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comments7.xml" ContentType="application/vnd.openxmlformats-officedocument.spreadsheetml.comments+xml"/>
  <Override PartName="/xl/drawings/drawing2.xml" ContentType="application/vnd.openxmlformats-officedocument.drawing+xml"/>
  <Override PartName="/xl/comments8.xml" ContentType="application/vnd.openxmlformats-officedocument.spreadsheetml.comments+xml"/>
  <Override PartName="/xl/drawings/drawing3.xml" ContentType="application/vnd.openxmlformats-officedocument.drawing+xml"/>
  <Override PartName="/xl/comments9.xml" ContentType="application/vnd.openxmlformats-officedocument.spreadsheetml.comments+xml"/>
  <Override PartName="/xl/drawings/drawing4.xml" ContentType="application/vnd.openxmlformats-officedocument.drawing+xml"/>
  <Override PartName="/xl/comments10.xml" ContentType="application/vnd.openxmlformats-officedocument.spreadsheetml.comments+xml"/>
  <Override PartName="/xl/drawings/drawing5.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drawings/drawing6.xml" ContentType="application/vnd.openxmlformats-officedocument.drawing+xml"/>
  <Override PartName="/xl/comments13.xml" ContentType="application/vnd.openxmlformats-officedocument.spreadsheetml.comments+xml"/>
  <Override PartName="/xl/drawings/drawing7.xml" ContentType="application/vnd.openxmlformats-officedocument.drawing+xml"/>
  <Override PartName="/xl/comments14.xml" ContentType="application/vnd.openxmlformats-officedocument.spreadsheetml.comments+xml"/>
  <Override PartName="/xl/comments15.xml" ContentType="application/vnd.openxmlformats-officedocument.spreadsheetml.comments+xml"/>
  <Override PartName="/xl/drawings/drawing8.xml" ContentType="application/vnd.openxmlformats-officedocument.drawing+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drawings/drawing9.xml" ContentType="application/vnd.openxmlformats-officedocument.drawing+xml"/>
  <Override PartName="/xl/comments26.xml" ContentType="application/vnd.openxmlformats-officedocument.spreadsheetml.comments+xml"/>
  <Override PartName="/xl/drawings/drawing10.xml" ContentType="application/vnd.openxmlformats-officedocument.drawing+xml"/>
  <Override PartName="/xl/comments27.xml" ContentType="application/vnd.openxmlformats-officedocument.spreadsheetml.comments+xml"/>
  <Override PartName="/xl/drawings/drawing11.xml" ContentType="application/vnd.openxmlformats-officedocument.drawing+xml"/>
  <Override PartName="/xl/comments28.xml" ContentType="application/vnd.openxmlformats-officedocument.spreadsheetml.comments+xml"/>
  <Override PartName="/xl/drawings/drawing12.xml" ContentType="application/vnd.openxmlformats-officedocument.drawing+xml"/>
  <Override PartName="/xl/comments29.xml" ContentType="application/vnd.openxmlformats-officedocument.spreadsheetml.comments+xml"/>
  <Override PartName="/xl/drawings/drawing13.xml" ContentType="application/vnd.openxmlformats-officedocument.drawing+xml"/>
  <Override PartName="/xl/comments30.xml" ContentType="application/vnd.openxmlformats-officedocument.spreadsheetml.comments+xml"/>
  <Override PartName="/xl/drawings/drawing14.xml" ContentType="application/vnd.openxmlformats-officedocument.drawing+xml"/>
  <Override PartName="/xl/comments3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Administrator.CNBJ-20161220VE\Desktop\3、个报系统0413\"/>
    </mc:Choice>
  </mc:AlternateContent>
  <bookViews>
    <workbookView xWindow="-15" yWindow="-15" windowWidth="7830" windowHeight="7695" firstSheet="8" activeTab="17"/>
  </bookViews>
  <sheets>
    <sheet name="STATPARA" sheetId="19" state="veryHidden" r:id="rId1"/>
    <sheet name="Lead" sheetId="4" r:id="rId2"/>
    <sheet name="递延所得税计算表" sheetId="95" r:id="rId3"/>
    <sheet name="所得税计算表" sheetId="97" r:id="rId4"/>
    <sheet name="noteChecks" sheetId="50" r:id="rId5"/>
    <sheet name="Notes" sheetId="18" r:id="rId6"/>
    <sheet name="BS" sheetId="72" r:id="rId7"/>
    <sheet name="IS" sheetId="73" r:id="rId8"/>
    <sheet name="CF" sheetId="74" r:id="rId9"/>
    <sheet name="CE" sheetId="75" r:id="rId10"/>
    <sheet name="AJE" sheetId="6" r:id="rId11"/>
    <sheet name="坏账及减值表" sheetId="96" r:id="rId12"/>
    <sheet name="Checks" sheetId="46" r:id="rId13"/>
    <sheet name="preBS" sheetId="7" r:id="rId14"/>
    <sheet name="preIS" sheetId="21" r:id="rId15"/>
    <sheet name="Sheet1" sheetId="99" r:id="rId16"/>
    <sheet name="preCE" sheetId="2" r:id="rId17"/>
    <sheet name="preCF" sheetId="8" r:id="rId18"/>
    <sheet name="CF底稿" sheetId="98" r:id="rId19"/>
    <sheet name="TB" sheetId="5" r:id="rId20"/>
    <sheet name="CFJE" sheetId="13" r:id="rId21"/>
    <sheet name="UJE" sheetId="11" r:id="rId22"/>
    <sheet name="AJE1" sheetId="12" r:id="rId23"/>
    <sheet name="BalanceSheet" sheetId="68" state="veryHidden" r:id="rId24"/>
    <sheet name="IncomeStatement" sheetId="69" state="veryHidden" r:id="rId25"/>
    <sheet name="CashFlow" sheetId="70" state="veryHidden" r:id="rId26"/>
    <sheet name="OwnersEquity" sheetId="71" state="veryHidden" r:id="rId27"/>
    <sheet name="CFWP1" sheetId="16" r:id="rId28"/>
    <sheet name="CFWP2" sheetId="17" r:id="rId29"/>
    <sheet name="STATDATA" sheetId="23" state="veryHidden" r:id="rId30"/>
    <sheet name="TBSPIVOT" sheetId="25" state="veryHidden" r:id="rId31"/>
    <sheet name="NOTEPIVO2" sheetId="45" state="veryHidden" r:id="rId32"/>
    <sheet name="NOTEPIVO" sheetId="24" state="veryHidden" r:id="rId33"/>
    <sheet name="未审报表分析" sheetId="51" r:id="rId34"/>
    <sheet name="未审财务指标分析" sheetId="52" r:id="rId35"/>
    <sheet name="已审报表分析" sheetId="47" r:id="rId36"/>
    <sheet name="已审财务指标分析" sheetId="48" r:id="rId37"/>
    <sheet name="非财务信息" sheetId="49" r:id="rId38"/>
    <sheet name="9000A错报程序表" sheetId="76" r:id="rId39"/>
    <sheet name="9002B未更正错报（不包括披露错报）汇总表" sheetId="77" r:id="rId40"/>
    <sheet name="9002C未更正披露错报汇总表" sheetId="78" r:id="rId41"/>
    <sheet name="9000B对错报性质的评价" sheetId="79" r:id="rId42"/>
    <sheet name="9000C错报评价" sheetId="80" r:id="rId43"/>
    <sheet name="9000D对错报的沟通" sheetId="81" r:id="rId44"/>
  </sheets>
  <externalReferences>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s>
  <definedNames>
    <definedName name="\A">#REF!</definedName>
    <definedName name="\B">#REF!</definedName>
    <definedName name="\C">#REF!</definedName>
    <definedName name="\P">#REF!</definedName>
    <definedName name="\Q">#REF!</definedName>
    <definedName name="\R">#REF!</definedName>
    <definedName name="\S">#REF!</definedName>
    <definedName name="\T">#REF!</definedName>
    <definedName name="\X">#REF!</definedName>
    <definedName name="_">#REF!</definedName>
    <definedName name="_.xls">#REF!</definedName>
    <definedName name="__GG1" hidden="1">{#N/A,#N/A,FALSE,"Aging Summary";#N/A,#N/A,FALSE,"Ratio Analysis";#N/A,#N/A,FALSE,"Test 120 Day Accts";#N/A,#N/A,FALSE,"Tickmarks"}</definedName>
    <definedName name="__GG2" hidden="1">{#N/A,#N/A,FALSE,"Aging Summary";#N/A,#N/A,FALSE,"Ratio Analysis";#N/A,#N/A,FALSE,"Test 120 Day Accts";#N/A,#N/A,FALSE,"Tickmarks"}</definedName>
    <definedName name="__T02">{"Book1"}</definedName>
    <definedName name="_01.xls">#REF!</definedName>
    <definedName name="_02.xls">#REF!</definedName>
    <definedName name="_03.xls">#REF!</definedName>
    <definedName name="_1">#N/A</definedName>
    <definedName name="_1000A01">#N/A</definedName>
    <definedName name="_10IV19999_">#REF!</definedName>
    <definedName name="_11.xls">#REF!</definedName>
    <definedName name="_1101L">#REF!</definedName>
    <definedName name="_1101P">#REF!</definedName>
    <definedName name="_1101Y">#REF!</definedName>
    <definedName name="_1111L">#REF!</definedName>
    <definedName name="_1111P">#REF!</definedName>
    <definedName name="_1111Y">#REF!</definedName>
    <definedName name="_1121Y">[1]LinkData!$G$4</definedName>
    <definedName name="_1131L">#REF!</definedName>
    <definedName name="_1131P">#REF!</definedName>
    <definedName name="_1131Y">#REF!</definedName>
    <definedName name="_1141">#REF!</definedName>
    <definedName name="_1141L">#REF!</definedName>
    <definedName name="_1141P">#REF!</definedName>
    <definedName name="_1141Y">#REF!</definedName>
    <definedName name="_1151L">#REF!</definedName>
    <definedName name="_1151P">#REF!</definedName>
    <definedName name="_1151Y">#REF!</definedName>
    <definedName name="_1161Y">[1]LinkData!$G$8</definedName>
    <definedName name="_1171L">#REF!</definedName>
    <definedName name="_1171P">#REF!</definedName>
    <definedName name="_1171Y">#REF!</definedName>
    <definedName name="_1181Y">[1]LinkData!$G$10</definedName>
    <definedName name="_1191L">#REF!</definedName>
    <definedName name="_1191P">#REF!</definedName>
    <definedName name="_1191Y">#REF!</definedName>
    <definedName name="_11IV20000_">#REF!</definedName>
    <definedName name="_12.xls">#REF!</definedName>
    <definedName name="_1201L">#REF!</definedName>
    <definedName name="_1201P">#REF!</definedName>
    <definedName name="_1201Y">#REF!</definedName>
    <definedName name="_121.dbf">#REF!</definedName>
    <definedName name="_1212002.dbf">#REF!</definedName>
    <definedName name="_12IV60000_">#REF!</definedName>
    <definedName name="_1301L">#REF!</definedName>
    <definedName name="_1301P">#REF!</definedName>
    <definedName name="_1301Y">#REF!</definedName>
    <definedName name="_1302L">#REF!</definedName>
    <definedName name="_1302P">#REF!</definedName>
    <definedName name="_1302Y">#REF!</definedName>
    <definedName name="_13MAÕ_HAØNG">#REF!</definedName>
    <definedName name="_1401L">#REF!</definedName>
    <definedName name="_1401P">#REF!</definedName>
    <definedName name="_1401Y">#REF!</definedName>
    <definedName name="_1411Y">[1]LinkData!$G$16</definedName>
    <definedName name="_1421L">#REF!</definedName>
    <definedName name="_1421P">#REF!</definedName>
    <definedName name="_1421Y">#REF!</definedName>
    <definedName name="_1431Y">[1]LinkData!$G$18</definedName>
    <definedName name="_1441Y">[1]LinkData!$G$19</definedName>
    <definedName name="_1450L">#REF!</definedName>
    <definedName name="_1450P">#REF!</definedName>
    <definedName name="_1450Y">#REF!</definedName>
    <definedName name="_1451L">#REF!</definedName>
    <definedName name="_1451P">#REF!</definedName>
    <definedName name="_1451Y">#REF!</definedName>
    <definedName name="_1461L">#REF!</definedName>
    <definedName name="_1461P">#REF!</definedName>
    <definedName name="_1461Y">#REF!</definedName>
    <definedName name="_1462Y">[2]LinkData!$G$23</definedName>
    <definedName name="_1471Y">[1]LinkData!$G$23</definedName>
    <definedName name="_1481L">#REF!</definedName>
    <definedName name="_1481P">#REF!</definedName>
    <definedName name="_1481Y">#REF!</definedName>
    <definedName name="_1491L">#REF!</definedName>
    <definedName name="_1491P">#REF!</definedName>
    <definedName name="_1491Y">#REF!</definedName>
    <definedName name="_14MAÕ_SOÁ_THUEÁ">#REF!</definedName>
    <definedName name="_1501Y">[1]LinkData!$G$26</definedName>
    <definedName name="_1511Y">[1]LinkData!$G$27</definedName>
    <definedName name="_15ÑÔN_GIAÙ">#REF!</definedName>
    <definedName name="_1601L">#REF!</definedName>
    <definedName name="_1601P">#REF!</definedName>
    <definedName name="_1601Y">#REF!</definedName>
    <definedName name="_1611L">#REF!</definedName>
    <definedName name="_1611P">#REF!</definedName>
    <definedName name="_1611Y">#REF!</definedName>
    <definedName name="_16SOÁ_CTÖØ">#REF!</definedName>
    <definedName name="_1701L">#REF!</definedName>
    <definedName name="_1701P">#REF!</definedName>
    <definedName name="_1701Y">#REF!</definedName>
    <definedName name="_17103.dbf">#REF!</definedName>
    <definedName name="_171032002.dbf">#REF!</definedName>
    <definedName name="_17SOÁ_LÖÔÏNG">#REF!</definedName>
    <definedName name="_1801L">#REF!</definedName>
    <definedName name="_1801P">#REF!</definedName>
    <definedName name="_1801Y">#REF!</definedName>
    <definedName name="_1811L">#REF!</definedName>
    <definedName name="_1811P">#REF!</definedName>
    <definedName name="_1811Y">#REF!</definedName>
    <definedName name="_1821Y">[1]LinkData!$G$33</definedName>
    <definedName name="_18T02_">{"Book1"}</definedName>
    <definedName name="_1901L">#REF!</definedName>
    <definedName name="_1901P">#REF!</definedName>
    <definedName name="_1901Y">#REF!</definedName>
    <definedName name="_1902L">#REF!</definedName>
    <definedName name="_1902P">#REF!</definedName>
    <definedName name="_1902Y">#REF!</definedName>
    <definedName name="_1903L">#REF!</definedName>
    <definedName name="_1903P">#REF!</definedName>
    <definedName name="_1903Y">#REF!</definedName>
    <definedName name="_1911Y">[1]LinkData!$G$37</definedName>
    <definedName name="_1921Y">[1]LinkData!$G$38</definedName>
    <definedName name="_1931Y">[1]LinkData!$G$39</definedName>
    <definedName name="_19TEÂN_HAØNG">#REF!</definedName>
    <definedName name="_1BA2500">#REF!</definedName>
    <definedName name="_1BA3250">#REF!</definedName>
    <definedName name="_1BA400P">#REF!</definedName>
    <definedName name="_1CAP001">#REF!</definedName>
    <definedName name="_1CAP011">#REF!</definedName>
    <definedName name="_1CAP012">#REF!</definedName>
    <definedName name="_1CDHT03">#REF!</definedName>
    <definedName name="_1CHANG2">#REF!</definedName>
    <definedName name="_1DADOI1">#REF!</definedName>
    <definedName name="_1DAU002">#REF!</definedName>
    <definedName name="_1DDAY03">#REF!</definedName>
    <definedName name="_1DDTT01">#REF!</definedName>
    <definedName name="_1FCO101">#REF!</definedName>
    <definedName name="_1GIA101">#REF!</definedName>
    <definedName name="_1LA1001">#REF!</definedName>
    <definedName name="_1LP">#REF!</definedName>
    <definedName name="_1MCCBO2">#REF!</definedName>
    <definedName name="_1PKCAP1">#REF!</definedName>
    <definedName name="_1PKIEN2">#REF!</definedName>
    <definedName name="_1PKTT01">#REF!</definedName>
    <definedName name="_1TCD101">#REF!</definedName>
    <definedName name="_1TCD201">#REF!</definedName>
    <definedName name="_1TCD203">#REF!</definedName>
    <definedName name="_1TD2001">#REF!</definedName>
    <definedName name="_1TIHT01">#REF!</definedName>
    <definedName name="_1TIHT06">#REF!</definedName>
    <definedName name="_1TIHT07">#REF!</definedName>
    <definedName name="_1TRU121">#REF!</definedName>
    <definedName name="_2">#N/A</definedName>
    <definedName name="_2_1141">#REF!</definedName>
    <definedName name="_20TEÂN_KHAÙCH_HAØ">#REF!</definedName>
    <definedName name="_2101L">#REF!</definedName>
    <definedName name="_2101P">#REF!</definedName>
    <definedName name="_2101Y">#REF!</definedName>
    <definedName name="_2111Y">[1]LinkData!$G$41</definedName>
    <definedName name="_212102SCL">[3]TB!#REF!</definedName>
    <definedName name="_2121L">#REF!</definedName>
    <definedName name="_2121P">#REF!</definedName>
    <definedName name="_2121Y">#REF!</definedName>
    <definedName name="_2131L">#REF!</definedName>
    <definedName name="_2131P">#REF!</definedName>
    <definedName name="_2131Y">#REF!</definedName>
    <definedName name="_2141L">#REF!</definedName>
    <definedName name="_2141P">#REF!</definedName>
    <definedName name="_2141Y">#REF!</definedName>
    <definedName name="_2151Y">[1]LinkData!$G$45</definedName>
    <definedName name="_216110SCL">[3]TB!#REF!</definedName>
    <definedName name="_2161L">#REF!</definedName>
    <definedName name="_2161P">#REF!</definedName>
    <definedName name="_2161Y">#REF!</definedName>
    <definedName name="_2171L">#REF!</definedName>
    <definedName name="_2171P">#REF!</definedName>
    <definedName name="_2171Y">#REF!</definedName>
    <definedName name="_2181L">#REF!</definedName>
    <definedName name="_2181P">#REF!</definedName>
    <definedName name="_2181Y">#REF!</definedName>
    <definedName name="_2191L">#REF!</definedName>
    <definedName name="_2191P">#REF!</definedName>
    <definedName name="_2191Y">#REF!</definedName>
    <definedName name="_21THAØNH_TIEÀN">#REF!</definedName>
    <definedName name="_22TRÒ_GIAÙ">#REF!</definedName>
    <definedName name="_23TRÒ_GIAÙ__VAT">#REF!</definedName>
    <definedName name="_2BLA100">#REF!</definedName>
    <definedName name="_2CHANG1">#REF!</definedName>
    <definedName name="_2CHANG2">#REF!</definedName>
    <definedName name="_2DADOI1">#REF!</definedName>
    <definedName name="_2DAL201">#REF!</definedName>
    <definedName name="_2KD0222">#REF!</definedName>
    <definedName name="_2LP">#REF!</definedName>
    <definedName name="_2TD2001">#REF!</definedName>
    <definedName name="_3_777">#REF!</definedName>
    <definedName name="_3101L">#REF!</definedName>
    <definedName name="_3101P">#REF!</definedName>
    <definedName name="_3101Y">#REF!</definedName>
    <definedName name="_3102Y">[1]LinkData!$G$51</definedName>
    <definedName name="_3111L">#REF!</definedName>
    <definedName name="_3111P">#REF!</definedName>
    <definedName name="_3111Y">#REF!</definedName>
    <definedName name="_3201Y">[1]LinkData!$G$53</definedName>
    <definedName name="_3211Y">[1]LinkData!$G$54</definedName>
    <definedName name="_3221Y">[1]LinkData!$G$55</definedName>
    <definedName name="_3311L">#REF!</definedName>
    <definedName name="_3311P">#REF!</definedName>
    <definedName name="_3311Y">#REF!</definedName>
    <definedName name="_3BLXMD">#REF!</definedName>
    <definedName name="_3BOAG01">#REF!</definedName>
    <definedName name="_3COSSE1">#REF!</definedName>
    <definedName name="_3CTKHAC">#REF!</definedName>
    <definedName name="_3DMINO1">#REF!</definedName>
    <definedName name="_3DMINO2">#REF!</definedName>
    <definedName name="_3DUPSSS">#REF!</definedName>
    <definedName name="_3GG1_" hidden="1">{#N/A,#N/A,FALSE,"Aging Summary";#N/A,#N/A,FALSE,"Ratio Analysis";#N/A,#N/A,FALSE,"Test 120 Day Accts";#N/A,#N/A,FALSE,"Tickmarks"}</definedName>
    <definedName name="_3HTTR01">#REF!</definedName>
    <definedName name="_3HTTR02">#REF!</definedName>
    <definedName name="_3HTTR03">#REF!</definedName>
    <definedName name="_3HTTR04">#REF!</definedName>
    <definedName name="_3HTTR05">#REF!</definedName>
    <definedName name="_3PKDOM1">#REF!</definedName>
    <definedName name="_3PKDOM2">#REF!</definedName>
    <definedName name="_3TRU122">#REF!</definedName>
    <definedName name="_3TU0609">#REF!</definedName>
    <definedName name="_4_7777">#REF!</definedName>
    <definedName name="_4101L">#REF!</definedName>
    <definedName name="_4101P">#REF!</definedName>
    <definedName name="_4101Y">#REF!</definedName>
    <definedName name="_420110SCL">[3]TB!#REF!</definedName>
    <definedName name="_420112SCL">[3]TB!#REF!</definedName>
    <definedName name="_420120SCL">[3]TB!#REF!</definedName>
    <definedName name="_420158SCL">[3]TB!#REF!</definedName>
    <definedName name="_420159SCL">[3]TB!#REF!</definedName>
    <definedName name="_420178SCL">[3]TB!#REF!</definedName>
    <definedName name="_420194SCL">[3]TB!#REF!</definedName>
    <definedName name="_4201L">#REF!</definedName>
    <definedName name="_4201P">#REF!</definedName>
    <definedName name="_4201Y">#REF!</definedName>
    <definedName name="_4202L">#REF!</definedName>
    <definedName name="_4202P">#REF!</definedName>
    <definedName name="_4202Y">#REF!</definedName>
    <definedName name="_430.001">#REF!</definedName>
    <definedName name="_4CNT240">#REF!</definedName>
    <definedName name="_4CTL240">#REF!</definedName>
    <definedName name="_4FCO100">#REF!</definedName>
    <definedName name="_4HDCTT4">#REF!</definedName>
    <definedName name="_4HNCTT4">#REF!</definedName>
    <definedName name="_4LBCO01">#REF!</definedName>
    <definedName name="_4OSLCTT">#REF!</definedName>
    <definedName name="_5080591">#REF!</definedName>
    <definedName name="_5101L">#REF!</definedName>
    <definedName name="_5101P">#REF!</definedName>
    <definedName name="_5101Y">#REF!</definedName>
    <definedName name="_5102P">[1]LinkData!$E$61</definedName>
    <definedName name="_5102Y">[1]LinkData!$G$61</definedName>
    <definedName name="_5111P">[1]LinkData!$E$62</definedName>
    <definedName name="_5111Y">[1]LinkData!$G$62</definedName>
    <definedName name="_5121L">#REF!</definedName>
    <definedName name="_5121P">#REF!</definedName>
    <definedName name="_5121Y">#REF!</definedName>
    <definedName name="_5122L">#REF!</definedName>
    <definedName name="_5122P">#REF!</definedName>
    <definedName name="_5122Y">#REF!</definedName>
    <definedName name="_5131L">#REF!</definedName>
    <definedName name="_5131P">#REF!</definedName>
    <definedName name="_5131Y">#REF!</definedName>
    <definedName name="_5141L">#REF!</definedName>
    <definedName name="_5141P">#REF!</definedName>
    <definedName name="_5141Y">#REF!</definedName>
    <definedName name="_514209SCL">[3]TB!#REF!</definedName>
    <definedName name="_514214SCL">[3]TB!#REF!</definedName>
    <definedName name="_514218SCL">[3]TB!#REF!</definedName>
    <definedName name="_514220SCL">[3]TB!#REF!</definedName>
    <definedName name="_514224SCL">[3]TB!#REF!</definedName>
    <definedName name="_514240SCL">[3]TB!#REF!</definedName>
    <definedName name="_514241SCL">[3]TB!#REF!</definedName>
    <definedName name="_514242SCL">[3]TB!#REF!</definedName>
    <definedName name="_514245SCL">[3]TB!#REF!</definedName>
    <definedName name="_514246SCL">[3]TB!#REF!</definedName>
    <definedName name="_514247SCL">[3]TB!#REF!</definedName>
    <definedName name="_514256SCL">[3]TB!#REF!</definedName>
    <definedName name="_514257SCL">[3]TB!#REF!</definedName>
    <definedName name="_514258SCL">[3]TB!#REF!</definedName>
    <definedName name="_514259SCL">[3]TB!#REF!</definedName>
    <definedName name="_514270SCL">[3]TB!#REF!</definedName>
    <definedName name="_514271SCL">[3]TB!#REF!</definedName>
    <definedName name="_514272SCL">[3]TB!#REF!</definedName>
    <definedName name="_514278SCL">[3]TB!#REF!</definedName>
    <definedName name="_5142L">#REF!</definedName>
    <definedName name="_5142P">#REF!</definedName>
    <definedName name="_5142Y">#REF!</definedName>
    <definedName name="_5151L">#REF!</definedName>
    <definedName name="_5151P">#REF!</definedName>
    <definedName name="_5151Y">#REF!</definedName>
    <definedName name="_520106SCL">[3]TB!#REF!</definedName>
    <definedName name="_5201L">#REF!</definedName>
    <definedName name="_5201P">#REF!</definedName>
    <definedName name="_5201Y">#REF!</definedName>
    <definedName name="_5211L">#REF!</definedName>
    <definedName name="_5211P">#REF!</definedName>
    <definedName name="_5211Y">#REF!</definedName>
    <definedName name="_5241P">[2]LinkData!$E$72</definedName>
    <definedName name="_5241Y">[2]LinkData!$G$72</definedName>
    <definedName name="_5501L">#REF!</definedName>
    <definedName name="_5501P">#REF!</definedName>
    <definedName name="_5501Y">#REF!</definedName>
    <definedName name="_5601L">#REF!</definedName>
    <definedName name="_5601P">#REF!</definedName>
    <definedName name="_5601Y">#REF!</definedName>
    <definedName name="_5999L">#REF!</definedName>
    <definedName name="_5999P">#REF!</definedName>
    <definedName name="_5999Y">#REF!</definedName>
    <definedName name="_6GG1_" hidden="1">{#N/A,#N/A,FALSE,"Aging Summary";#N/A,#N/A,FALSE,"Ratio Analysis";#N/A,#N/A,FALSE,"Test 120 Day Accts";#N/A,#N/A,FALSE,"Tickmarks"}</definedName>
    <definedName name="_6GG2_" hidden="1">{#N/A,#N/A,FALSE,"Aging Summary";#N/A,#N/A,FALSE,"Ratio Analysis";#N/A,#N/A,FALSE,"Test 120 Day Accts";#N/A,#N/A,FALSE,"Tickmarks"}</definedName>
    <definedName name="_7">#REF!</definedName>
    <definedName name="_777">#REF!</definedName>
    <definedName name="_7777">#REF!</definedName>
    <definedName name="_7GG2_" hidden="1">{#N/A,#N/A,FALSE,"Aging Summary";#N/A,#N/A,FALSE,"Ratio Analysis";#N/A,#N/A,FALSE,"Test 120 Day Accts";#N/A,#N/A,FALSE,"Tickmarks"}</definedName>
    <definedName name="_8IV16532_">#REF!</definedName>
    <definedName name="_8未还DB_查询">#REF!</definedName>
    <definedName name="_93">#REF!</definedName>
    <definedName name="_94">#REF!</definedName>
    <definedName name="_95">#REF!</definedName>
    <definedName name="_96">#REF!</definedName>
    <definedName name="_97">#REF!</definedName>
    <definedName name="_98">#REF!</definedName>
    <definedName name="_99">#REF!</definedName>
    <definedName name="_9IV17532_">#REF!</definedName>
    <definedName name="_9T02_">{"Book1"}</definedName>
    <definedName name="_A">#REF!</definedName>
    <definedName name="_all5">[4]上报资产负债表!$C$169</definedName>
    <definedName name="_all6">[4]上报资产负债表!$C$170</definedName>
    <definedName name="_CON1">#REF!</definedName>
    <definedName name="_CON2">#REF!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dn400">#REF!</definedName>
    <definedName name="_ddn600">#REF!</definedName>
    <definedName name="_E99999">#REF!</definedName>
    <definedName name="_Exchangeperiod">[3]TB!#REF!</definedName>
    <definedName name="_Exportperiod">[3]TB!#REF!</definedName>
    <definedName name="_Fill" hidden="1">#REF!</definedName>
    <definedName name="_xlnm._FilterDatabase" localSheetId="10" hidden="1">AJE!$A$8:$AE$65</definedName>
    <definedName name="_xlnm._FilterDatabase" localSheetId="22" hidden="1">'AJE1'!$A$8:$AE$38</definedName>
    <definedName name="_xlnm._FilterDatabase" localSheetId="20" hidden="1">CFJE!$B$8:$Q$41</definedName>
    <definedName name="_xlnm._FilterDatabase" localSheetId="18" hidden="1">CF底稿!$A$5:$E$314</definedName>
    <definedName name="_xlnm._FilterDatabase" localSheetId="4" hidden="1">noteChecks!$B$8:$Y$408</definedName>
    <definedName name="_xlnm._FilterDatabase" localSheetId="5" hidden="1">Notes!$Z$1:$AE$6262</definedName>
    <definedName name="_xlnm._FilterDatabase" localSheetId="0" hidden="1">STATPARA!$M$1:$X$468</definedName>
    <definedName name="_xlnm._FilterDatabase" localSheetId="21" hidden="1">UJE!$A$8:$AE$38</definedName>
    <definedName name="_xlnm._FilterDatabase" hidden="1">'[5]关联交易-存款'!#REF!</definedName>
    <definedName name="_Interestperiod">[3]TB!#REF!</definedName>
    <definedName name="_lvc1">#REF!</definedName>
    <definedName name="_lvc2">#REF!</definedName>
    <definedName name="_rem7">[4]上报资产负债表!$C$116</definedName>
    <definedName name="_rem8">[4]上报资产负债表!$C$117</definedName>
    <definedName name="_Sort" hidden="1">#REF!</definedName>
    <definedName name="_TB1">#REF!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VL100">#REF!</definedName>
    <definedName name="_VL200">#REF!</definedName>
    <definedName name="_VL250">#REF!</definedName>
    <definedName name="_XY123">#REF!</definedName>
    <definedName name="_YE1">#REF!</definedName>
    <definedName name="_ZC031">#REF!</definedName>
    <definedName name="_ZC032">#REF!</definedName>
    <definedName name="_ZC401">#REF!</definedName>
    <definedName name="_ZC402">#REF!</definedName>
    <definedName name="_ZC441">#REF!</definedName>
    <definedName name="_ZC442">#REF!</definedName>
    <definedName name="_ZC451">#REF!</definedName>
    <definedName name="_ZC452">#REF!</definedName>
    <definedName name="_担保还款">#REF!</definedName>
    <definedName name="A_impresión_IM">#REF!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xls">#REF!</definedName>
    <definedName name="A120_">#REF!</definedName>
    <definedName name="a2.xls">#REF!</definedName>
    <definedName name="a277Print_Titles">#REF!</definedName>
    <definedName name="a3.xls">#REF!</definedName>
    <definedName name="A35_">#REF!</definedName>
    <definedName name="a3l320">#REF!</definedName>
    <definedName name="A50_">#REF!</definedName>
    <definedName name="A70_">#REF!</definedName>
    <definedName name="A95_">#REF!</definedName>
    <definedName name="aa">#REF!</definedName>
    <definedName name="AA_SIZE">#REF!</definedName>
    <definedName name="aaa" localSheetId="18" hidden="1">[6]索引!$D$82:$D$118</definedName>
    <definedName name="aaa">[7]F1!#REF!</definedName>
    <definedName name="ab">[7]F1!#REF!</definedName>
    <definedName name="AC120_">#REF!</definedName>
    <definedName name="AC35_">#REF!</definedName>
    <definedName name="AC50_">#REF!</definedName>
    <definedName name="AC70_">#REF!</definedName>
    <definedName name="AC95_">#REF!</definedName>
    <definedName name="ACCT_AJE1" localSheetId="18" hidden="1">[8]STATPARA!$M$1:$M$247</definedName>
    <definedName name="ACCT_AJE1" localSheetId="2" hidden="1">[9]STATPARA!$M$1:$M$412</definedName>
    <definedName name="ACCT_AJE1" localSheetId="11" hidden="1">[9]STATPARA!$M$1:$M$412</definedName>
    <definedName name="ACCT_AJE1" localSheetId="3" hidden="1">[10]STATPARA!$M$1:$M$346</definedName>
    <definedName name="ACCT_AJE1" hidden="1">STATPARA!$M$1:$M$448</definedName>
    <definedName name="ACCT_AJE2" localSheetId="18" hidden="1">[8]STATPARA!$P$1:$P$62</definedName>
    <definedName name="ACCT_AJE2" localSheetId="2" hidden="1">[9]STATPARA!$P$1:$P$58</definedName>
    <definedName name="ACCT_AJE2" localSheetId="11" hidden="1">[9]STATPARA!$P$1:$P$58</definedName>
    <definedName name="ACCT_AJE2" localSheetId="3" hidden="1">[10]STATPARA!$P$1:$P$57</definedName>
    <definedName name="ACCT_AJE2" hidden="1">STATPARA!$P$1:$P$58</definedName>
    <definedName name="Address">#REF!</definedName>
    <definedName name="AE">[11]source!$G$3:$G$27</definedName>
    <definedName name="age">[12]master!$E$8:$E$10</definedName>
    <definedName name="agmmt">#REF!</definedName>
    <definedName name="agmt">#REF!</definedName>
    <definedName name="agmt1">#REF!</definedName>
    <definedName name="AjeWrote0">"DYS0120AS0_DYS2020AS0_ "</definedName>
    <definedName name="AjeWrote1">"DYS0711AS1_DYS1111AS1_ "</definedName>
    <definedName name="AjeWrote2">"DYF1818AF2_ "</definedName>
    <definedName name="AjeWrote3">"DYF1818AF3_ "</definedName>
    <definedName name="AjeWrote4">"DYF0118AF4_DYF1818AF4_ "</definedName>
    <definedName name="AjeWroteAuthor1">"预付账款Dy"</definedName>
    <definedName name="AjeWroteAuthor2">"预付账款Dy"</definedName>
    <definedName name="AjeWroteAuthor3">"累计折旧Dy"</definedName>
    <definedName name="al">#REF!</definedName>
    <definedName name="AL_HK">#REF!</definedName>
    <definedName name="All_Item">#REF!</definedName>
    <definedName name="ALPIN">#N/A</definedName>
    <definedName name="ALPJYOU">#N/A</definedName>
    <definedName name="ALPTOI">#N/A</definedName>
    <definedName name="AP">#REF!</definedName>
    <definedName name="AP_GROUP">'[3]TB Link'!$D$120</definedName>
    <definedName name="APnotes">#REF!</definedName>
    <definedName name="April">#REF!</definedName>
    <definedName name="AR">#REF!</definedName>
    <definedName name="AR_GROUP">'[3]TB Link'!$D$102</definedName>
    <definedName name="ARCHIVO">#REF!</definedName>
    <definedName name="Area_RepDate" localSheetId="18" hidden="1">[13]Lead!$F$5</definedName>
    <definedName name="Area_RepDate" localSheetId="2" hidden="1">[9]Lead!$F$5</definedName>
    <definedName name="Area_RepDate" localSheetId="11" hidden="1">[9]Lead!$F$5</definedName>
    <definedName name="Area_RepDate" localSheetId="3" hidden="1">[10]Lead!$F$5</definedName>
    <definedName name="Area_RepDate" hidden="1">Lead!$F$5</definedName>
    <definedName name="Area_RepDate1" localSheetId="18" hidden="1">[13]Lead!$F$6</definedName>
    <definedName name="Area_RepDate1" localSheetId="2" hidden="1">[9]Lead!$F$6</definedName>
    <definedName name="Area_RepDate1" localSheetId="11" hidden="1">[9]Lead!$F$6</definedName>
    <definedName name="Area_RepDate1" localSheetId="3" hidden="1">[10]Lead!$F$6</definedName>
    <definedName name="Area_RepDate1" hidden="1">Lead!$F$6</definedName>
    <definedName name="Area_RepDuration" localSheetId="18" hidden="1">[13]Lead!$F$7</definedName>
    <definedName name="Area_RepDuration" localSheetId="2" hidden="1">[9]Lead!$F$7</definedName>
    <definedName name="Area_RepDuration" localSheetId="11" hidden="1">[9]Lead!$F$7</definedName>
    <definedName name="Area_RepDuration" localSheetId="3" hidden="1">[10]Lead!$F$7</definedName>
    <definedName name="Area_RepDuration" hidden="1">Lead!$F$7</definedName>
    <definedName name="Area_RepDuration1" localSheetId="18" hidden="1">[13]Lead!$F$8</definedName>
    <definedName name="Area_RepDuration1" localSheetId="2" hidden="1">[9]Lead!$F$8</definedName>
    <definedName name="Area_RepDuration1" localSheetId="11" hidden="1">[9]Lead!$F$8</definedName>
    <definedName name="Area_RepDuration1" localSheetId="3" hidden="1">[10]Lead!$F$8</definedName>
    <definedName name="Area_RepDuration1" hidden="1">Lead!$F$8</definedName>
    <definedName name="Area_TemplateInf" localSheetId="1" hidden="1">Lead!$N$4:$Q$16</definedName>
    <definedName name="Area_UnitId" hidden="1">Lead!$C$7</definedName>
    <definedName name="Area_UnitName2" hidden="1">Lead!$C$6</definedName>
    <definedName name="area1">#REF!</definedName>
    <definedName name="ARnotes">#REF!</definedName>
    <definedName name="as">[7]F1!#REF!</definedName>
    <definedName name="AS2DocOpenMode" hidden="1">"AS2DocumentEdit"</definedName>
    <definedName name="AS2HasNoAutoHeaderFooter" hidden="1">" "</definedName>
    <definedName name="ATS">1/13.7603</definedName>
    <definedName name="avg_days">[14]Sheet3!$A$2</definedName>
    <definedName name="A产品">[15]预付账款Dy!$A$4</definedName>
    <definedName name="b">[7]F1!#REF!</definedName>
    <definedName name="B1S">#REF!</definedName>
    <definedName name="B31_4">[4]上报损益表!$G$49:$W$91,[4]上报损益表!$G$92:$W$134,[4]上报损益表!$G$135:$W$177,[4]上报损益表!$A$1:$W$48</definedName>
    <definedName name="B4A_B">[16]员工工资!$A$1:$H$29,[16]员工工资!#REF!</definedName>
    <definedName name="b5a_b">[16]员工工资!$A$1:$H$29,[16]员工工资!#REF!</definedName>
    <definedName name="b5abprnt">[16]员工工资!$A$1:$H$29,[16]员工工资!#REF!</definedName>
    <definedName name="b5txt1">[16]员工工资!#REF!</definedName>
    <definedName name="b9_9adj">#REF!,#REF!</definedName>
    <definedName name="bang_gia">#REF!</definedName>
    <definedName name="Bang_travl">#REF!</definedName>
    <definedName name="BarData">#REF!</definedName>
    <definedName name="BB" localSheetId="18">#REF!</definedName>
    <definedName name="bb">[7]F1!#REF!</definedName>
    <definedName name="BEF">1/40.3399</definedName>
    <definedName name="begining">#REF!</definedName>
    <definedName name="bg" hidden="1">#REF!</definedName>
    <definedName name="blkh">#REF!</definedName>
    <definedName name="blkh1">#REF!</definedName>
    <definedName name="BLOCK1">#REF!</definedName>
    <definedName name="BLOCK2">#REF!</definedName>
    <definedName name="BLOCK3">#REF!</definedName>
    <definedName name="BOQ">#REF!</definedName>
    <definedName name="BREAKDOWN">#REF!</definedName>
    <definedName name="BREWERY">#REF!</definedName>
    <definedName name="BREWERY_P">#REF!</definedName>
    <definedName name="BREWERY_Y">#REF!</definedName>
    <definedName name="BS">#REF!</definedName>
    <definedName name="BTLT1pm">#REF!</definedName>
    <definedName name="BTLT3pm">#REF!</definedName>
    <definedName name="BTLTct">#REF!</definedName>
    <definedName name="BTLTHTDL">#REF!</definedName>
    <definedName name="BTLTHTHH">#REF!</definedName>
    <definedName name="BVCISUMMARY">#REF!</definedName>
    <definedName name="B产品">[15]预付账款Dy!$A$24</definedName>
    <definedName name="C_O">#REF!</definedName>
    <definedName name="C_SIZE">#REF!</definedName>
    <definedName name="C2.7">#REF!</definedName>
    <definedName name="C3.0">#REF!</definedName>
    <definedName name="C3.5">#REF!</definedName>
    <definedName name="C3.7">#REF!</definedName>
    <definedName name="C4.0">#REF!</definedName>
    <definedName name="cacnlogic">#REF!</definedName>
    <definedName name="Caculated_Interest_Rate_CY">#REF!</definedName>
    <definedName name="Caculated_Interest_Rate_LY">#REF!</definedName>
    <definedName name="calculocosthora">#REF!</definedName>
    <definedName name="cap">#REF!</definedName>
    <definedName name="cap0.7">#REF!</definedName>
    <definedName name="capdat">#REF!</definedName>
    <definedName name="Catalog">[17]master!$B$3:$B$12</definedName>
    <definedName name="Category_All">#REF!</definedName>
    <definedName name="CATIN">#N/A</definedName>
    <definedName name="CATJYOU">#N/A</definedName>
    <definedName name="CATREC">#N/A</definedName>
    <definedName name="CATSYU">#N/A</definedName>
    <definedName name="CCS">#REF!</definedName>
    <definedName name="CDD">#REF!</definedName>
    <definedName name="CDDD">#REF!</definedName>
    <definedName name="CDDD1P">#REF!</definedName>
    <definedName name="CDDD1PHA">#REF!</definedName>
    <definedName name="CDDD3PHA">#REF!</definedName>
    <definedName name="Cdnum">#REF!</definedName>
    <definedName name="cellAbove" localSheetId="10">AJE!A1048576</definedName>
    <definedName name="cellAbove" localSheetId="22">'AJE1'!A1048576</definedName>
    <definedName name="cellAbove" localSheetId="20">CFJE!A1048576</definedName>
    <definedName name="cellAbove" localSheetId="21">UJE!A1048576</definedName>
    <definedName name="CFLOW">#REF!</definedName>
    <definedName name="CheckA1015a" localSheetId="5" hidden="1">Notes!$K$20</definedName>
    <definedName name="CheckA1015b" localSheetId="5" hidden="1">Notes!$K$10</definedName>
    <definedName name="CheckA1015c" localSheetId="5" hidden="1">Notes!$K$59</definedName>
    <definedName name="CheckA1101a" localSheetId="5" hidden="1">Notes!$K$90</definedName>
    <definedName name="CheckA1102a" localSheetId="5" hidden="1">Notes!$K$71</definedName>
    <definedName name="CheckA1115a" localSheetId="5" hidden="1">Notes!$K$109</definedName>
    <definedName name="CheckA1121a" localSheetId="5" hidden="1">Notes!$K$130</definedName>
    <definedName name="CheckA1121b" localSheetId="5" hidden="1">Notes!$K$138</definedName>
    <definedName name="CheckA1121c" localSheetId="5" hidden="1">Notes!$K$160</definedName>
    <definedName name="CheckA1121d" localSheetId="5" hidden="1">Notes!$K$146</definedName>
    <definedName name="CheckA1121e" localSheetId="5" hidden="1">Notes!$K$120</definedName>
    <definedName name="CheckA1121f" localSheetId="5" hidden="1">Notes!$K$170</definedName>
    <definedName name="CheckA1121g" localSheetId="5" hidden="1">Notes!$K$192</definedName>
    <definedName name="CheckA1121h" localSheetId="5" hidden="1">Notes!$K$214</definedName>
    <definedName name="CheckA1121i" localSheetId="5" hidden="1">Notes!$K$251</definedName>
    <definedName name="CheckA1121j" localSheetId="5" hidden="1">Notes!$K$273</definedName>
    <definedName name="CheckA1121k" localSheetId="5" hidden="1">Notes!$K$286</definedName>
    <definedName name="CheckA1121l" localSheetId="5" hidden="1">Notes!$K$293</definedName>
    <definedName name="CheckA1121m" localSheetId="5" hidden="1">Notes!$K$306</definedName>
    <definedName name="CheckA1121n" localSheetId="5" hidden="1">Notes!$K$236</definedName>
    <definedName name="CheckA112202" localSheetId="5" hidden="1">Notes!$K$415</definedName>
    <definedName name="CheckA11222" localSheetId="5" hidden="1">Notes!$K$415</definedName>
    <definedName name="CheckA1122a" localSheetId="5" hidden="1">Notes!$K$485</definedName>
    <definedName name="CheckA1122b" localSheetId="5" hidden="1">Notes!$K$500</definedName>
    <definedName name="CheckA1122c" localSheetId="5" hidden="1">Notes!$K$668</definedName>
    <definedName name="CheckA1122d" localSheetId="5" hidden="1">Notes!$K$535</definedName>
    <definedName name="CheckA1122e" localSheetId="5" hidden="1">Notes!$K$559</definedName>
    <definedName name="CheckA1122f" localSheetId="5" hidden="1">Notes!$K$569</definedName>
    <definedName name="CheckA1122g" localSheetId="5" hidden="1">Notes!$K$515</definedName>
    <definedName name="CheckA1122h" localSheetId="5" hidden="1">Notes!$K$601</definedName>
    <definedName name="CheckA1122i" localSheetId="5" hidden="1">Notes!$K$618</definedName>
    <definedName name="CheckA1122j" localSheetId="5" hidden="1">Notes!$K$317</definedName>
    <definedName name="CheckA1122k" localSheetId="5" hidden="1">Notes!$K$629</definedName>
    <definedName name="CheckA1122l" localSheetId="5" hidden="1">Notes!$K$678</definedName>
    <definedName name="CheckA1122m" localSheetId="5" hidden="1">Notes!$K$648</definedName>
    <definedName name="CheckA1122n" localSheetId="5" hidden="1">Notes!$K$658</definedName>
    <definedName name="CheckA1122p" localSheetId="5" hidden="1">Notes!$K$334</definedName>
    <definedName name="CheckA1122q" localSheetId="5" hidden="1">Notes!$K$430</definedName>
    <definedName name="CheckA1122r" localSheetId="5" hidden="1">Notes!$K$356</definedName>
    <definedName name="CheckA1122s" localSheetId="5" hidden="1">Notes!$K$378</definedName>
    <definedName name="CheckA1122t" localSheetId="5" hidden="1">Notes!$K$400</definedName>
    <definedName name="CheckA1122u" localSheetId="5" hidden="1">Notes!$K$579</definedName>
    <definedName name="CheckA1122v" localSheetId="5" hidden="1">Notes!$K$611</definedName>
    <definedName name="CheckA1122x" localSheetId="5" hidden="1">Notes!$K$688</definedName>
    <definedName name="CheckA1122y" localSheetId="5" hidden="1">Notes!$K$448</definedName>
    <definedName name="CheckA1122z" localSheetId="5" hidden="1">Notes!$K$468</definedName>
    <definedName name="CheckA1124a" localSheetId="5" hidden="1">Notes!$K$698</definedName>
    <definedName name="CheckA1124b" localSheetId="5" hidden="1">Notes!$K$706</definedName>
    <definedName name="CheckA1124c" localSheetId="5" hidden="1">Notes!$K$721</definedName>
    <definedName name="CheckA1124d" localSheetId="5" hidden="1">Notes!$K$740</definedName>
    <definedName name="CheckA1124e" localSheetId="5" hidden="1">Notes!$K$762</definedName>
    <definedName name="CheckA1124f" localSheetId="5" hidden="1">Notes!$K$848</definedName>
    <definedName name="CheckA1124g" localSheetId="5" hidden="1">Notes!$K$777</definedName>
    <definedName name="CheckA1124h" localSheetId="5" hidden="1">Notes!$K$792</definedName>
    <definedName name="CheckA1124i" localSheetId="5" hidden="1">Notes!$K$811</definedName>
    <definedName name="CheckA1124j" localSheetId="5" hidden="1">Notes!$K$833</definedName>
    <definedName name="CheckA1125a" localSheetId="5" hidden="1">Notes!$K$859</definedName>
    <definedName name="CheckA1125c" localSheetId="5" hidden="1">Notes!$K$871</definedName>
    <definedName name="CheckA1125d" localSheetId="5" hidden="1">Notes!$K$890</definedName>
    <definedName name="CheckA1125e" localSheetId="5" hidden="1">Notes!$K$910</definedName>
    <definedName name="CheckA1125f" localSheetId="5" hidden="1">Notes!$K$900</definedName>
    <definedName name="CheckA1125x" localSheetId="5" hidden="1">Notes!$K$920</definedName>
    <definedName name="CheckA1131a" localSheetId="5" hidden="1">Notes!$K$967</definedName>
    <definedName name="CheckA1131b" localSheetId="5" hidden="1">Notes!$K$977</definedName>
    <definedName name="CheckA1132a" localSheetId="5" hidden="1">Notes!$K$944</definedName>
    <definedName name="CheckA1132b" localSheetId="5" hidden="1">Notes!$K$956</definedName>
    <definedName name="CheckA1220a" localSheetId="5" hidden="1">Notes!$K$934</definedName>
    <definedName name="CheckA122100" localSheetId="5" hidden="1">Notes!$K$1027</definedName>
    <definedName name="CheckA122101" localSheetId="5" hidden="1">Notes!$K$1043</definedName>
    <definedName name="CheckA122102" localSheetId="5" hidden="1">Notes!$K$1131</definedName>
    <definedName name="CheckA122103" localSheetId="5" hidden="1">Notes!$K$1219</definedName>
    <definedName name="CheckA122104" localSheetId="5" hidden="1">Notes!$K$1491</definedName>
    <definedName name="CheckA12211" localSheetId="5" hidden="1">Notes!$K$1057</definedName>
    <definedName name="CheckA122111" localSheetId="5" hidden="1">Notes!$K$1057</definedName>
    <definedName name="CheckA122112" localSheetId="5" hidden="1">Notes!$K$1079</definedName>
    <definedName name="CheckA122113" localSheetId="5" hidden="1">Notes!$K$1101</definedName>
    <definedName name="CheckA122114" localSheetId="5" hidden="1">Notes!$K$1116</definedName>
    <definedName name="CheckA12212" localSheetId="5" hidden="1">Notes!$K$1079</definedName>
    <definedName name="CheckA122121" localSheetId="5" hidden="1">Notes!$K$1145</definedName>
    <definedName name="CheckA122122" localSheetId="5" hidden="1">Notes!$K$1167</definedName>
    <definedName name="CheckA122123" localSheetId="5" hidden="1">Notes!$K$1189</definedName>
    <definedName name="CheckA122124" localSheetId="5" hidden="1">Notes!$K$1204</definedName>
    <definedName name="CheckA12213" localSheetId="5" hidden="1">Notes!$K$1101</definedName>
    <definedName name="CheckA122131" localSheetId="5" hidden="1">Notes!$K$1233</definedName>
    <definedName name="CheckA122132" localSheetId="5" hidden="1">Notes!$K$1255</definedName>
    <definedName name="CheckA122133" localSheetId="5" hidden="1">Notes!$K$1277</definedName>
    <definedName name="CheckA122134" localSheetId="5" hidden="1">Notes!$K$1292</definedName>
    <definedName name="CheckA12214" localSheetId="5" hidden="1">Notes!$K$1491</definedName>
    <definedName name="CheckA1221a" localSheetId="5" hidden="1">Notes!$K$1365</definedName>
    <definedName name="CheckA1221b" localSheetId="5" hidden="1">Notes!$K$1387</definedName>
    <definedName name="CheckA1221c" localSheetId="5" hidden="1">Notes!$K$1587</definedName>
    <definedName name="CheckA1221d" localSheetId="5" hidden="1">Notes!$K$1428</definedName>
    <definedName name="CheckA1221e" localSheetId="5" hidden="1">Notes!$K$1449</definedName>
    <definedName name="CheckA1221f" localSheetId="5" hidden="1">Notes!$K$1459</definedName>
    <definedName name="CheckA1221g" localSheetId="5" hidden="1">Notes!$K$1409</definedName>
    <definedName name="CheckA1221h" localSheetId="5" hidden="1">Notes!$K$1510</definedName>
    <definedName name="CheckA1221i" localSheetId="5" hidden="1">Notes!$K$1527</definedName>
    <definedName name="CheckA1221j" localSheetId="5" hidden="1">Notes!$K$988</definedName>
    <definedName name="CheckA1221k" localSheetId="5" hidden="1">Notes!$K$1538</definedName>
    <definedName name="CheckA1221l" localSheetId="5" hidden="1">Notes!$K$1013</definedName>
    <definedName name="CheckA1221m" localSheetId="5" hidden="1">Notes!$K$1597</definedName>
    <definedName name="CheckA1221n" localSheetId="5" hidden="1">Notes!$K$1567</definedName>
    <definedName name="CheckA1221o" localSheetId="5" hidden="1">Notes!$K$1577</definedName>
    <definedName name="CheckA1221q" localSheetId="5" hidden="1">Notes!$K$1043</definedName>
    <definedName name="CheckA1221r" localSheetId="5" hidden="1">Notes!$K$1557</definedName>
    <definedName name="CheckA1221s" localSheetId="5" hidden="1">Notes!$K$1219</definedName>
    <definedName name="CheckA1221t" localSheetId="5" hidden="1">Notes!$K$1307</definedName>
    <definedName name="CheckA1221u" localSheetId="5" hidden="1">Notes!$K$1116</definedName>
    <definedName name="CheckA1221v" localSheetId="5" hidden="1">Notes!$K$1326</definedName>
    <definedName name="CheckA1221w" localSheetId="5" hidden="1">Notes!$K$1348</definedName>
    <definedName name="CheckA1221x" localSheetId="5" hidden="1">Notes!$K$1607</definedName>
    <definedName name="CheckA1221y" localSheetId="5" hidden="1">Notes!$K$1469</definedName>
    <definedName name="CheckA1221z" localSheetId="5" hidden="1">Notes!$K$1520</definedName>
    <definedName name="CheckA1315b" localSheetId="5" hidden="1">Notes!$K$1764</definedName>
    <definedName name="CheckA1315f" localSheetId="5" hidden="1">Notes!$K$1774</definedName>
    <definedName name="CheckA1400a" localSheetId="5" hidden="1">Notes!$K$1617</definedName>
    <definedName name="CheckA1400b" localSheetId="5" hidden="1">Notes!$K$1636</definedName>
    <definedName name="CheckA1400c" localSheetId="5" hidden="1">Notes!$K$1736</definedName>
    <definedName name="CheckA1400d" localSheetId="5" hidden="1">Notes!$K$1682</definedName>
    <definedName name="CheckA1400e" localSheetId="5" hidden="1">Notes!$K$1699</definedName>
    <definedName name="CheckA1400g" localSheetId="5" hidden="1">Notes!$K$1716</definedName>
    <definedName name="CheckA1400h" localSheetId="5" hidden="1">Notes!$K$1665</definedName>
    <definedName name="CheckA1400s" localSheetId="5" hidden="1">Notes!$K$1726</definedName>
    <definedName name="CheckA1400t" localSheetId="5" hidden="1">Notes!$K$1655</definedName>
    <definedName name="CheckA1400x" localSheetId="5" hidden="1">Notes!$K$1753</definedName>
    <definedName name="CheckA1495a" localSheetId="5" hidden="1">Notes!$K$1790</definedName>
    <definedName name="CheckA1495b" localSheetId="5" hidden="1">Notes!$K$1799</definedName>
    <definedName name="CheckA1496a" localSheetId="5" hidden="1">Notes!$K$1812</definedName>
    <definedName name="CheckA1501a" localSheetId="5" hidden="1">Notes!$K$2157</definedName>
    <definedName name="CheckA1501d" localSheetId="5" hidden="1">Notes!$K$2171</definedName>
    <definedName name="CheckA1501e" localSheetId="5" hidden="1">Notes!$K$2181</definedName>
    <definedName name="CheckA1501f" localSheetId="5" hidden="1">Notes!$K$2191</definedName>
    <definedName name="CheckA1503a" localSheetId="5" hidden="1">Notes!$K$1947</definedName>
    <definedName name="CheckA1503d" localSheetId="5" hidden="1">Notes!$K$2013</definedName>
    <definedName name="CheckA1503e" localSheetId="5" hidden="1">Notes!$K$1961</definedName>
    <definedName name="CheckA1503g" localSheetId="5" hidden="1">Notes!$K$2021</definedName>
    <definedName name="CheckA1503i" localSheetId="5" hidden="1">Notes!$K$1971</definedName>
    <definedName name="CheckA1503j" localSheetId="5" hidden="1">Notes!$K$1986</definedName>
    <definedName name="CheckA1503k" localSheetId="5" hidden="1">Notes!$K$2001</definedName>
    <definedName name="CheckA1505a" localSheetId="5" hidden="1">Notes!$K$1823</definedName>
    <definedName name="CheckA1505b" localSheetId="5" hidden="1">Notes!$K$1838</definedName>
    <definedName name="CheckA1505c" localSheetId="5" hidden="1">Notes!$K$1869</definedName>
    <definedName name="CheckA1505d" localSheetId="5" hidden="1">Notes!$K$1882</definedName>
    <definedName name="CheckA1505e" localSheetId="5" hidden="1">Notes!$K$1895</definedName>
    <definedName name="CheckA1505f" localSheetId="5" hidden="1">Notes!$K$1927</definedName>
    <definedName name="CheckA1505g" localSheetId="5" hidden="1">Notes!$K$1853</definedName>
    <definedName name="CheckA1505k" localSheetId="5" hidden="1">Notes!$K$1908</definedName>
    <definedName name="CheckA1508a" localSheetId="5" hidden="1">Notes!$K$2032</definedName>
    <definedName name="CheckA1508b" localSheetId="5" hidden="1">Notes!$K$2048</definedName>
    <definedName name="CheckA1508c" localSheetId="5" hidden="1">Notes!$K$2063</definedName>
    <definedName name="CheckA1508d" localSheetId="5" hidden="1">Notes!$K$2079</definedName>
    <definedName name="CheckA1508e" localSheetId="5" hidden="1">Notes!$K$2092</definedName>
    <definedName name="CheckA1508f" localSheetId="5" hidden="1">Notes!$K$2105</definedName>
    <definedName name="CheckA1508g" localSheetId="5" hidden="1">Notes!$K$2137</definedName>
    <definedName name="CheckA1508k" localSheetId="5" hidden="1">Notes!$K$2118</definedName>
    <definedName name="CheckA1511b" localSheetId="5" hidden="1">Notes!$K$2463</definedName>
    <definedName name="CheckA1511c" localSheetId="5" hidden="1">Notes!$K$2412</definedName>
    <definedName name="CheckA1511d" localSheetId="5" hidden="1">Notes!$K$2431</definedName>
    <definedName name="CheckA1521b" localSheetId="5" hidden="1">Notes!$K$2599</definedName>
    <definedName name="CheckA1521c" localSheetId="5" hidden="1">Notes!$K$2618</definedName>
    <definedName name="CheckA1521h" localSheetId="5" hidden="1">Notes!$K$2557</definedName>
    <definedName name="CheckA1521s" localSheetId="5" hidden="1">Notes!$K$2628</definedName>
    <definedName name="CheckA1531a" localSheetId="5" hidden="1">Notes!$K$2202</definedName>
    <definedName name="CheckA1531b" localSheetId="5" hidden="1">Notes!$K$2391</definedName>
    <definedName name="CheckA1531c" localSheetId="5" hidden="1">Notes!$K$2368</definedName>
    <definedName name="CheckA1531f" localSheetId="5" hidden="1">Notes!$K$2401</definedName>
    <definedName name="CheckA1531g" localSheetId="5" hidden="1">Notes!$K$2330</definedName>
    <definedName name="CheckA1531h" localSheetId="5" hidden="1">Notes!$K$2293</definedName>
    <definedName name="CheckA1531i" localSheetId="5" hidden="1">Notes!$K$2234</definedName>
    <definedName name="CheckA1531j" localSheetId="5" hidden="1">Notes!$K$2247</definedName>
    <definedName name="CheckA1531k" localSheetId="5" hidden="1">Notes!$K$2260</definedName>
    <definedName name="CheckA1531m" localSheetId="5" hidden="1">Notes!$K$2315</definedName>
    <definedName name="CheckA1531p" localSheetId="5" hidden="1">Notes!$K$2273</definedName>
    <definedName name="CheckA1531q" localSheetId="5" hidden="1">Notes!$K$2349</definedName>
    <definedName name="CheckA1531s" localSheetId="5" hidden="1">Notes!$K$2378</definedName>
    <definedName name="CheckA1531t" localSheetId="5" hidden="1">Notes!$K$2218</definedName>
    <definedName name="CheckA1538a" localSheetId="5" hidden="1">Notes!$K$2497</definedName>
    <definedName name="CheckA1538b" localSheetId="5" hidden="1">Notes!$K$2506</definedName>
    <definedName name="CheckA1539a" localSheetId="5" hidden="1">Notes!$K$2520</definedName>
    <definedName name="CheckA1539b" localSheetId="5" hidden="1">Notes!$K$2530</definedName>
    <definedName name="CheckA1539c" localSheetId="5" hidden="1">Notes!$K$2543</definedName>
    <definedName name="CheckA1601b" localSheetId="5" hidden="1">Notes!$K$2705</definedName>
    <definedName name="CheckA1601c" localSheetId="5" hidden="1">Notes!$K$2719</definedName>
    <definedName name="CheckA1601d" localSheetId="5" hidden="1">Notes!$K$2733</definedName>
    <definedName name="CheckA1601f" localSheetId="5" hidden="1">Notes!$K$2761</definedName>
    <definedName name="CheckA1601k" localSheetId="5" hidden="1">Notes!$K$2648</definedName>
    <definedName name="CheckA1601l" localSheetId="5" hidden="1">Notes!$K$2748</definedName>
    <definedName name="CheckA1601s" localSheetId="5" hidden="1">Notes!$K$2771</definedName>
    <definedName name="CheckA1601x" localSheetId="5" hidden="1">Notes!$K$2781</definedName>
    <definedName name="CheckA1604a" localSheetId="5" hidden="1">Notes!$K$2830</definedName>
    <definedName name="CheckA1604b" localSheetId="5" hidden="1">Notes!$K$2847</definedName>
    <definedName name="CheckA1604c" localSheetId="5" hidden="1">Notes!$K$2862</definedName>
    <definedName name="CheckA1604d" localSheetId="5" hidden="1">Notes!$K$2897</definedName>
    <definedName name="CheckA1604g" localSheetId="5" hidden="1">Notes!$K$2877</definedName>
    <definedName name="CheckA1605a" localSheetId="5" hidden="1">Notes!$K$2908</definedName>
    <definedName name="CheckA1606a" localSheetId="5" hidden="1">Notes!$K$2810</definedName>
    <definedName name="CheckA1606b" localSheetId="5" hidden="1">Notes!$K$2797</definedName>
    <definedName name="CheckA1611a" localSheetId="5" hidden="1">Notes!$K$2639</definedName>
    <definedName name="CheckA1616a" localSheetId="5" hidden="1">Notes!$K$2821</definedName>
    <definedName name="CheckA1621b" localSheetId="5" hidden="1">Notes!$K$2982</definedName>
    <definedName name="CheckA1621c" localSheetId="5" hidden="1">Notes!$K$2920</definedName>
    <definedName name="CheckA1631b" localSheetId="5" hidden="1">Notes!$K$3006</definedName>
    <definedName name="CheckA1700b" localSheetId="5" hidden="1">Notes!$K$3175</definedName>
    <definedName name="CheckA1701a" localSheetId="5" hidden="1">Notes!$K$3043</definedName>
    <definedName name="CheckA1701e" localSheetId="5" hidden="1">Notes!$K$3126</definedName>
    <definedName name="CheckA1701f" localSheetId="5" hidden="1">Notes!$K$3113</definedName>
    <definedName name="CheckA1701g" localSheetId="5" hidden="1">Notes!$K$3136</definedName>
    <definedName name="CheckA1701h" localSheetId="5" hidden="1">Notes!$K$3149</definedName>
    <definedName name="CheckA1701x" localSheetId="5" hidden="1">Notes!$K$3162</definedName>
    <definedName name="CheckA1704a" localSheetId="5" hidden="1">Notes!$K$5218</definedName>
    <definedName name="CheckA1711a" localSheetId="5" hidden="1">Notes!$K$3192</definedName>
    <definedName name="CheckA1711b" localSheetId="5" hidden="1">Notes!$K$3204</definedName>
    <definedName name="CheckA1801a" localSheetId="5" hidden="1">Notes!$K$3217</definedName>
    <definedName name="CheckA1801x" localSheetId="5" hidden="1">Notes!$K$3229</definedName>
    <definedName name="CheckA1829a" localSheetId="5" hidden="1">Notes!$K$3244</definedName>
    <definedName name="CheckA1829b" localSheetId="5" hidden="1">Notes!$K$3260</definedName>
    <definedName name="CheckA1829c" localSheetId="5" hidden="1">Notes!$K$3273</definedName>
    <definedName name="CheckA1829e" localSheetId="5" hidden="1">Notes!$K$3280</definedName>
    <definedName name="CheckA1829f" localSheetId="5" hidden="1">Notes!$K$3290</definedName>
    <definedName name="CheckA1996a" localSheetId="5" hidden="1">Notes!$K$3310</definedName>
    <definedName name="CheckA1997a" localSheetId="5" hidden="1">Notes!$K$5204</definedName>
    <definedName name="CheckA1999" localSheetId="23" hidden="1">BalanceSheet!$G$59</definedName>
    <definedName name="CheckA1999" localSheetId="6" hidden="1">BS!$G$50</definedName>
    <definedName name="CheckA1999" localSheetId="13" hidden="1">preBS!$F$68</definedName>
    <definedName name="CheckA2001a" localSheetId="5" hidden="1">Notes!$K$3323</definedName>
    <definedName name="CheckA2001b" localSheetId="5" hidden="1">Notes!$K$3363</definedName>
    <definedName name="CheckA2001c" localSheetId="5" hidden="1">Notes!$K$3374</definedName>
    <definedName name="CheckA2001d" localSheetId="5" hidden="1">Notes!$K$3333</definedName>
    <definedName name="CheckA2001e" localSheetId="5" hidden="1">Notes!$K$3343</definedName>
    <definedName name="CheckA2001f" localSheetId="5" hidden="1">Notes!$K$3353</definedName>
    <definedName name="CheckA2101a" localSheetId="5" hidden="1">Notes!$K$3413</definedName>
    <definedName name="CheckA2102a" localSheetId="5" hidden="1">Notes!$K$3385</definedName>
    <definedName name="CheckA2102b" localSheetId="5" hidden="1">Notes!$K$3398</definedName>
    <definedName name="CheckA2115a" localSheetId="5" hidden="1">Notes!$K$3425</definedName>
    <definedName name="CheckA2201a" localSheetId="5" hidden="1">Notes!$K$3436</definedName>
    <definedName name="CheckA2202a" localSheetId="5" hidden="1">Notes!$K$3475</definedName>
    <definedName name="CheckA2202c" localSheetId="5" hidden="1">Notes!$K$3495</definedName>
    <definedName name="CheckA2202d" localSheetId="5" hidden="1">Notes!$K$3485</definedName>
    <definedName name="CheckA2202e" localSheetId="5" hidden="1">Notes!$K$3447</definedName>
    <definedName name="CheckA2202f" localSheetId="5" hidden="1">Notes!$K$3458</definedName>
    <definedName name="CheckA2202g" localSheetId="5" hidden="1">Notes!$K$3505</definedName>
    <definedName name="CheckA2202x" localSheetId="5" hidden="1">Notes!$K$3515</definedName>
    <definedName name="CheckA2205a" localSheetId="5" hidden="1">Notes!$K$3562</definedName>
    <definedName name="CheckA2205c" localSheetId="5" hidden="1">Notes!$K$3592</definedName>
    <definedName name="CheckA2205e" localSheetId="5" hidden="1">Notes!$K$3582</definedName>
    <definedName name="CheckA2205f" localSheetId="5" hidden="1">Notes!$K$3535</definedName>
    <definedName name="CheckA2205g" localSheetId="5" hidden="1">Notes!$K$3545</definedName>
    <definedName name="CheckA2205h" localSheetId="5" hidden="1">Notes!$K$3572</definedName>
    <definedName name="CheckA2205x" localSheetId="5" hidden="1">Notes!$K$3602</definedName>
    <definedName name="CheckA2211a" localSheetId="5" hidden="1">Notes!$K$3622</definedName>
    <definedName name="CheckA2211b" localSheetId="5" hidden="1">Notes!$K$3632</definedName>
    <definedName name="CheckA2211c" localSheetId="5" hidden="1">Notes!$K$3661</definedName>
    <definedName name="CheckA2211d" localSheetId="5" hidden="1">Notes!$K$3685</definedName>
    <definedName name="CheckA2211x" localSheetId="5" hidden="1">Notes!$K$3717</definedName>
    <definedName name="CheckA2221a" localSheetId="5" hidden="1">Notes!$K$3731</definedName>
    <definedName name="CheckA2221x" localSheetId="5" hidden="1">Notes!$K$3750</definedName>
    <definedName name="CheckA2231a" localSheetId="5" hidden="1">Notes!$K$3774</definedName>
    <definedName name="CheckA2231b" localSheetId="5" hidden="1">Notes!$K$3794</definedName>
    <definedName name="CheckA2232a" localSheetId="5" hidden="1">Notes!$K$3805</definedName>
    <definedName name="CheckA2232b" localSheetId="5" hidden="1">Notes!$K$3822</definedName>
    <definedName name="CheckA2241a" localSheetId="5" hidden="1">Notes!$K$3890</definedName>
    <definedName name="CheckA2241b" localSheetId="5" hidden="1">Notes!$K$3870</definedName>
    <definedName name="CheckA2241c" localSheetId="5" hidden="1">Notes!$K$3860</definedName>
    <definedName name="CheckA2241e" localSheetId="5" hidden="1">Notes!$K$3833</definedName>
    <definedName name="CheckA2241f" localSheetId="5" hidden="1">Notes!$K$3843</definedName>
    <definedName name="CheckA2241g" localSheetId="5" hidden="1">Notes!$K$3880</definedName>
    <definedName name="CheckA2241x" localSheetId="5" hidden="1">Notes!$K$3900</definedName>
    <definedName name="CheckA2246a" localSheetId="5" hidden="1">Notes!$K$3764</definedName>
    <definedName name="CheckA2315a" localSheetId="5" hidden="1">Notes!$K$3920</definedName>
    <definedName name="CheckA2395a" localSheetId="5" hidden="1">Notes!$K$3931</definedName>
    <definedName name="CheckA2395b" localSheetId="5" hidden="1">Notes!$K$3941</definedName>
    <definedName name="CheckA2395e" localSheetId="5" hidden="1">Notes!$K$3951</definedName>
    <definedName name="CheckA2395f" localSheetId="5" hidden="1">Notes!$K$3961</definedName>
    <definedName name="CheckA2396a" localSheetId="5" hidden="1">Notes!$K$3972</definedName>
    <definedName name="CheckA2396c" localSheetId="5" hidden="1">Notes!$K$3983</definedName>
    <definedName name="CheckA2401a" localSheetId="5" hidden="1">Notes!$K$4265</definedName>
    <definedName name="CheckA2401b" localSheetId="5" hidden="1">Notes!$K$4273</definedName>
    <definedName name="CheckA2501a" localSheetId="5" hidden="1">Notes!$K$4001</definedName>
    <definedName name="CheckA2501c" localSheetId="5" hidden="1">Notes!$K$4044</definedName>
    <definedName name="CheckA2501d" localSheetId="5" hidden="1">Notes!$K$4014</definedName>
    <definedName name="CheckA2501e" localSheetId="5" hidden="1">Notes!$K$4024</definedName>
    <definedName name="CheckA2501f" localSheetId="5" hidden="1">Notes!$K$4034</definedName>
    <definedName name="CheckA2502a" localSheetId="5" hidden="1">Notes!$K$4065</definedName>
    <definedName name="CheckA2502b" localSheetId="5" hidden="1">Notes!$K$4055</definedName>
    <definedName name="CheckA2502c" localSheetId="5" hidden="1">Notes!$K$4088</definedName>
    <definedName name="CheckA2502d" localSheetId="5" hidden="1">Notes!$K$4078</definedName>
    <definedName name="CheckA2502e" localSheetId="5" hidden="1">Notes!$K$4100</definedName>
    <definedName name="CheckA2701c" localSheetId="5" hidden="1">Notes!$K$4122</definedName>
    <definedName name="CheckA2701d" localSheetId="5" hidden="1">Notes!$K$4140</definedName>
    <definedName name="CheckA2706a" localSheetId="5" hidden="1">Notes!$K$4111</definedName>
    <definedName name="CheckA2711a" localSheetId="5" hidden="1">Notes!$K$4151</definedName>
    <definedName name="CheckA2711b" localSheetId="5" hidden="1">Notes!$K$4161</definedName>
    <definedName name="CheckA2715a" localSheetId="5" hidden="1">Notes!$K$4172</definedName>
    <definedName name="CheckA2715b" localSheetId="5" hidden="1">Notes!$K$4182</definedName>
    <definedName name="CheckA2715c" localSheetId="5" hidden="1">Notes!$K$4202</definedName>
    <definedName name="CheckA2715d" localSheetId="5" hidden="1">Notes!$K$4217</definedName>
    <definedName name="CheckA2715g" localSheetId="5" hidden="1">Notes!$K$4226</definedName>
    <definedName name="CheckA2715h" localSheetId="5" hidden="1">Notes!$K$4237</definedName>
    <definedName name="CheckA2801a" localSheetId="5" hidden="1">Notes!$K$4251</definedName>
    <definedName name="CheckA2996a" localSheetId="5" hidden="1">Notes!$K$4291</definedName>
    <definedName name="CheckA2996x" localSheetId="5" hidden="1">Notes!$K$4301</definedName>
    <definedName name="CheckA4001" localSheetId="23" hidden="1">BalanceSheet!$K$47</definedName>
    <definedName name="CheckA4001" localSheetId="6" hidden="1">BS!$K$38</definedName>
    <definedName name="CheckA4001" localSheetId="13" hidden="1">preBS!$K$54</definedName>
    <definedName name="CheckA4001a" localSheetId="5" hidden="1">Notes!$K$4312</definedName>
    <definedName name="CheckA4001b" localSheetId="5" hidden="1">Notes!$K$4321</definedName>
    <definedName name="CheckA4002" localSheetId="23" hidden="1">BalanceSheet!$K$51</definedName>
    <definedName name="CheckA4002" localSheetId="6" hidden="1">BS!$K$42</definedName>
    <definedName name="CheckA4002" localSheetId="13" hidden="1">preBS!$K$58</definedName>
    <definedName name="CheckA4002a" localSheetId="5" hidden="1">Notes!$K$4355</definedName>
    <definedName name="CheckA4015" localSheetId="23" hidden="1">BalanceSheet!$K$48</definedName>
    <definedName name="CheckA4015" localSheetId="6" hidden="1">BS!$K$39</definedName>
    <definedName name="CheckA4015" localSheetId="13" hidden="1">preBS!$K$55</definedName>
    <definedName name="CheckA4015a" localSheetId="5" hidden="1">Notes!$K$4344</definedName>
    <definedName name="CheckA4015b" localSheetId="5" hidden="1">Notes!$K$4334</definedName>
    <definedName name="CheckA4101" localSheetId="23" hidden="1">BalanceSheet!$K$55</definedName>
    <definedName name="CheckA4101" localSheetId="6" hidden="1">BS!$K$46</definedName>
    <definedName name="CheckA4101" localSheetId="13" hidden="1">preBS!$K$62</definedName>
    <definedName name="CheckA4101a" localSheetId="5" hidden="1">Notes!$K$4441</definedName>
    <definedName name="CheckA4101b" localSheetId="5" hidden="1">Notes!$K$4428</definedName>
    <definedName name="CheckA4102" localSheetId="23" hidden="1">BalanceSheet!$K$56</definedName>
    <definedName name="CheckA4102" localSheetId="6" hidden="1">BS!$K$47</definedName>
    <definedName name="CheckA4102" localSheetId="13" hidden="1">preBS!$K$63</definedName>
    <definedName name="CheckA4102a" localSheetId="5" hidden="1">Notes!$K$4453</definedName>
    <definedName name="CheckA4200" localSheetId="23" hidden="1">BalanceSheet!$K$57</definedName>
    <definedName name="CheckA4200" localSheetId="6" hidden="1">BS!$K$48</definedName>
    <definedName name="CheckA4200" localSheetId="13" hidden="1">preBS!$K$64</definedName>
    <definedName name="CheckA4200a" localSheetId="5" hidden="1">Notes!$K$4461</definedName>
    <definedName name="CheckA4200b" localSheetId="5" hidden="1">Notes!$K$4478</definedName>
    <definedName name="CheckA4201" localSheetId="23" hidden="1">BalanceSheet!$K$52</definedName>
    <definedName name="CheckA4201" localSheetId="6" hidden="1">BS!$K$43</definedName>
    <definedName name="CheckA4201" localSheetId="13" hidden="1">preBS!$K$59</definedName>
    <definedName name="CheckA4201a" localSheetId="5" hidden="1">Notes!$K$4364</definedName>
    <definedName name="CheckA4215" localSheetId="23" hidden="1">BalanceSheet!$K$53</definedName>
    <definedName name="CheckA4215" localSheetId="6" hidden="1">BS!$K$44</definedName>
    <definedName name="CheckA4215" localSheetId="13" hidden="1">preBS!$K$60</definedName>
    <definedName name="CheckA4215a" localSheetId="5" hidden="1">Notes!$K$4396</definedName>
    <definedName name="CheckA4215b" localSheetId="5" hidden="1">Notes!$K$4371</definedName>
    <definedName name="CheckA4298" localSheetId="13" hidden="1">preBS!$K$65</definedName>
    <definedName name="CheckA4301" localSheetId="23" hidden="1">BalanceSheet!$K$54</definedName>
    <definedName name="CheckA4301" localSheetId="6" hidden="1">BS!$K$45</definedName>
    <definedName name="CheckA4301" localSheetId="13" hidden="1">preBS!$K$61</definedName>
    <definedName name="CheckA4301a" localSheetId="5" hidden="1">Notes!$K$4417</definedName>
    <definedName name="CheckA4398" localSheetId="13" hidden="1">preBS!$K$66</definedName>
    <definedName name="CheckA4999" localSheetId="23" hidden="1">BalanceSheet!$K$58</definedName>
    <definedName name="CheckA4999" localSheetId="6" hidden="1">BS!$K$49</definedName>
    <definedName name="CheckA4999" localSheetId="13" hidden="1">preBS!$K$67</definedName>
    <definedName name="CheckA5000" localSheetId="23" hidden="1">BalanceSheet!$K$59</definedName>
    <definedName name="CheckA5000" localSheetId="6" hidden="1">BS!$K$50</definedName>
    <definedName name="CheckA5000" localSheetId="13" hidden="1">preBS!$K$68</definedName>
    <definedName name="CheckA6001x" localSheetId="5" hidden="1">Notes!$K$4616</definedName>
    <definedName name="CheckA6064a" localSheetId="5" hidden="1">Notes!$K$4502</definedName>
    <definedName name="CheckA6064b" localSheetId="5" hidden="1">Notes!$K$4511</definedName>
    <definedName name="CheckA6064c" localSheetId="5" hidden="1">Notes!$K$4520</definedName>
    <definedName name="CheckA6064d" localSheetId="5" hidden="1">Notes!$K$4544</definedName>
    <definedName name="CheckA6064e" localSheetId="5" hidden="1">Notes!$K$4567</definedName>
    <definedName name="CheckA6064f" localSheetId="5" hidden="1">Notes!$K$4586</definedName>
    <definedName name="CheckA6064g" localSheetId="5" hidden="1">Notes!$K$4601</definedName>
    <definedName name="CheckA6064h" localSheetId="5" hidden="1">Notes!$K$4492</definedName>
    <definedName name="CheckA6101a" localSheetId="5" hidden="1">Notes!$K$4858</definedName>
    <definedName name="CheckA6101b" localSheetId="5" hidden="1">Notes!$K$4845</definedName>
    <definedName name="CheckA6102a" localSheetId="5" hidden="1">Notes!$K$4831</definedName>
    <definedName name="CheckA6111a" localSheetId="5" hidden="1">Notes!$K$4809</definedName>
    <definedName name="CheckA6171a" localSheetId="5" hidden="1">Notes!$K$4908</definedName>
    <definedName name="CheckA6181a" localSheetId="5" hidden="1">Notes!$K$4780</definedName>
    <definedName name="CheckA6401x" localSheetId="5" hidden="1">Notes!$K$4626</definedName>
    <definedName name="CheckA6600a" localSheetId="5" hidden="1">Notes!$K$4637</definedName>
    <definedName name="CheckA6600x" localSheetId="5" hidden="1">Notes!$K$4656</definedName>
    <definedName name="CheckA6601a" localSheetId="5" hidden="1">Notes!$K$4667</definedName>
    <definedName name="CheckA6601x" localSheetId="5" hidden="1">Notes!$K$4687</definedName>
    <definedName name="CheckA6602a" localSheetId="5" hidden="1">Notes!$K$4698</definedName>
    <definedName name="CheckA6602x" localSheetId="5" hidden="1">Notes!$K$4718</definedName>
    <definedName name="CheckA6603a" localSheetId="5" hidden="1">Notes!$K$4754</definedName>
    <definedName name="CheckA6603x" localSheetId="5" hidden="1">Notes!$K$4769</definedName>
    <definedName name="CheckA6606a" localSheetId="5" hidden="1">Notes!$K$4729</definedName>
    <definedName name="CheckA6606x" localSheetId="5" hidden="1">Notes!$K$4740</definedName>
    <definedName name="CheckA6671a" localSheetId="5" hidden="1">Notes!$K$4886</definedName>
    <definedName name="CheckA6672a" localSheetId="5" hidden="1">Notes!$K$4872</definedName>
    <definedName name="CheckA6710a" localSheetId="5" hidden="1">Notes!$K$4923</definedName>
    <definedName name="CheckA6710b" localSheetId="5" hidden="1">Notes!$K$4936</definedName>
    <definedName name="CheckA6711a" localSheetId="5" hidden="1">Notes!$K$4954</definedName>
    <definedName name="CheckA6791a" localSheetId="5" hidden="1">Notes!$K$4967</definedName>
    <definedName name="CheckA6791b" localSheetId="5" hidden="1">Notes!$K$4975</definedName>
    <definedName name="CheckA6799" localSheetId="24" hidden="1">IncomeStatement!$E$43</definedName>
    <definedName name="CheckA6799" localSheetId="7" hidden="1">IS!$E$30</definedName>
    <definedName name="CheckA6799" localSheetId="14" hidden="1">preIS!$E$45</definedName>
    <definedName name="CheckA6811" localSheetId="14" hidden="1">preIS!$E$50</definedName>
    <definedName name="CheckA6812" localSheetId="14" hidden="1">preIS!$E$51</definedName>
    <definedName name="CheckA6829" localSheetId="24" hidden="1">IncomeStatement!$E$46</definedName>
    <definedName name="CheckA6829" localSheetId="7" hidden="1">IS!$E$33</definedName>
    <definedName name="CheckA6829" localSheetId="14" hidden="1">preIS!$E$52</definedName>
    <definedName name="CheckA6839" localSheetId="24" hidden="1">IncomeStatement!$E$65</definedName>
    <definedName name="CheckA6839" localSheetId="7" hidden="1">IS!$E$52</definedName>
    <definedName name="CheckA6839" localSheetId="14" hidden="1">preIS!$E$74</definedName>
    <definedName name="CheckA6841" localSheetId="14" hidden="1">preIS!$E$75</definedName>
    <definedName name="CheckA6842" localSheetId="14" hidden="1">preIS!$E$76</definedName>
    <definedName name="CheckA7001x" localSheetId="5" hidden="1">Notes!$K$5878</definedName>
    <definedName name="CheckA7046a" localSheetId="5" hidden="1">Notes!$K$5030</definedName>
    <definedName name="CheckA7046x" localSheetId="5" hidden="1">Notes!$K$5889</definedName>
    <definedName name="CheckA7051x" localSheetId="5" hidden="1">Notes!$K$5900</definedName>
    <definedName name="CheckA7061x" localSheetId="5" hidden="1">Notes!$K$5911</definedName>
    <definedName name="CheckA7071x" localSheetId="5" hidden="1">Notes!$K$5922</definedName>
    <definedName name="CheckA7096a" localSheetId="5" hidden="1">Notes!$K$5046</definedName>
    <definedName name="CheckA7096x" localSheetId="5" hidden="1">Notes!$K$5933</definedName>
    <definedName name="CheckA7099" localSheetId="25" hidden="1">CashFlow!$E$33</definedName>
    <definedName name="CheckA7099" localSheetId="8" hidden="1">CF!$E$17</definedName>
    <definedName name="CheckA7099" localSheetId="17" hidden="1">preCF!$E$35</definedName>
    <definedName name="CheckA7101x" localSheetId="5" hidden="1">Notes!$K$5944</definedName>
    <definedName name="CheckA7105x" localSheetId="5" hidden="1">Notes!$K$5955</definedName>
    <definedName name="CheckA7111x" localSheetId="5" hidden="1">Notes!$K$5966</definedName>
    <definedName name="CheckA7146a" localSheetId="5" hidden="1">Notes!$K$5062</definedName>
    <definedName name="CheckA7151x" localSheetId="5" hidden="1">Notes!$K$5985</definedName>
    <definedName name="CheckA7161x" localSheetId="5" hidden="1">Notes!$K$6006</definedName>
    <definedName name="CheckA7196a" localSheetId="5" hidden="1">Notes!$K$5073</definedName>
    <definedName name="CheckA7211x" localSheetId="5" hidden="1">Notes!$K$6017</definedName>
    <definedName name="CheckA7246a" localSheetId="5" hidden="1">Notes!$K$5084</definedName>
    <definedName name="CheckA7251x" localSheetId="5" hidden="1">Notes!$K$6029</definedName>
    <definedName name="CheckA7261x" localSheetId="5" hidden="1">Notes!$K$6041</definedName>
    <definedName name="CheckA7296a" localSheetId="5" hidden="1">Notes!$K$5095</definedName>
    <definedName name="CheckA7348" localSheetId="25" hidden="1">CashFlow!$E$59</definedName>
    <definedName name="CheckA7348" localSheetId="8" hidden="1">CF!$E$42</definedName>
    <definedName name="CheckA7348" localSheetId="17" hidden="1">preCF!$E$63</definedName>
    <definedName name="CheckA7349" localSheetId="25" hidden="1">CashFlow!$E$60</definedName>
    <definedName name="CheckA7349" localSheetId="8" hidden="1">CF!$E$43</definedName>
    <definedName name="CheckA7349" localSheetId="17" hidden="1">preCF!$E$64</definedName>
    <definedName name="CheckA7399" localSheetId="25" hidden="1">CashFlow!$E$61</definedName>
    <definedName name="CheckA7399" localSheetId="8" hidden="1">CF!$E$44</definedName>
    <definedName name="CheckA7399" localSheetId="17" hidden="1">preCF!$E$65</definedName>
    <definedName name="CheckA7500a" localSheetId="5" hidden="1">Notes!$K$5106</definedName>
    <definedName name="CheckA7500b" localSheetId="5" hidden="1">Notes!$K$5129</definedName>
    <definedName name="CheckA7500c" localSheetId="5" hidden="1">Notes!$K$5137</definedName>
    <definedName name="CheckA7500e" localSheetId="5" hidden="1">Notes!$K$5166</definedName>
    <definedName name="CheckA7500f" localSheetId="5" hidden="1">Notes!$K$5182</definedName>
    <definedName name="CheckA7500g" localSheetId="5" hidden="1">Notes!$K$5146</definedName>
    <definedName name="CheckA7500h" localSheetId="5" hidden="1">Notes!$K$5156</definedName>
    <definedName name="CheckA7502" localSheetId="25" hidden="1">CashFlow!$E$68</definedName>
    <definedName name="CheckA7502" localSheetId="8" hidden="1">CF!$E$51</definedName>
    <definedName name="CheckA7502" localSheetId="17" hidden="1">preCF!$E$71</definedName>
    <definedName name="CheckA7503a" localSheetId="5" hidden="1">Notes!$K$6064</definedName>
    <definedName name="CheckA7505a" localSheetId="5" hidden="1">Notes!$K$6073</definedName>
    <definedName name="CheckA7506a" localSheetId="5" hidden="1">Notes!$K$6084</definedName>
    <definedName name="CheckA7507a" localSheetId="5" hidden="1">Notes!$K$6093</definedName>
    <definedName name="CheckA7508a" localSheetId="5" hidden="1">Notes!$K$6102</definedName>
    <definedName name="CheckA7509a" localSheetId="5" hidden="1">Notes!$K$6116</definedName>
    <definedName name="CheckA7510a" localSheetId="5" hidden="1">Notes!$K$6126</definedName>
    <definedName name="CheckA7511a" localSheetId="5" hidden="1">Notes!$K$6135</definedName>
    <definedName name="CheckA7512a" localSheetId="5" hidden="1">Notes!$K$6146</definedName>
    <definedName name="CheckA7515a" localSheetId="5" hidden="1">Notes!$K$6155</definedName>
    <definedName name="CheckA7516a" localSheetId="5" hidden="1">Notes!$K$6164</definedName>
    <definedName name="CheckA7517a" localSheetId="5" hidden="1">Notes!$K$6173</definedName>
    <definedName name="CheckA7518a" localSheetId="5" hidden="1">Notes!$K$6195</definedName>
    <definedName name="CheckA7519a" localSheetId="5" hidden="1">Notes!$K$6222</definedName>
    <definedName name="CheckA7523a" localSheetId="5" hidden="1">Notes!$K$6251</definedName>
    <definedName name="CheckA7525" localSheetId="25" hidden="1">CashFlow!$E$85</definedName>
    <definedName name="CheckA7525" localSheetId="8" hidden="1">CF!$E$68</definedName>
    <definedName name="CheckA7525" localSheetId="17" hidden="1">preCF!$E$88</definedName>
    <definedName name="CheckA7539" localSheetId="25" hidden="1">CashFlow!$E$95</definedName>
    <definedName name="CheckA7539" localSheetId="8" hidden="1">CF!$E$78</definedName>
    <definedName name="CheckA7539" localSheetId="17" hidden="1">preCF!$E$98</definedName>
    <definedName name="CheckA8001" localSheetId="9" hidden="1">CE!$P$9</definedName>
    <definedName name="CheckA8001" localSheetId="26" hidden="1">OwnersEquity!$P$9</definedName>
    <definedName name="CheckA8001" localSheetId="16" hidden="1">preCE!$Q$9</definedName>
    <definedName name="CheckA8010" localSheetId="9" hidden="1">CE!$P$13</definedName>
    <definedName name="CheckA8010" localSheetId="26" hidden="1">OwnersEquity!$P$13</definedName>
    <definedName name="CheckA8010" localSheetId="16" hidden="1">preCE!$Q$14</definedName>
    <definedName name="CheckA8040" localSheetId="9" hidden="1">CE!$P$15</definedName>
    <definedName name="CheckA8040" localSheetId="26" hidden="1">OwnersEquity!$P$15</definedName>
    <definedName name="CheckA8040" localSheetId="16" hidden="1">preCE!$Q$18</definedName>
    <definedName name="CheckA8099" localSheetId="9" hidden="1">CE!$P$36</definedName>
    <definedName name="CheckA8099" localSheetId="26" hidden="1">OwnersEquity!$P$37</definedName>
    <definedName name="CheckA8099" localSheetId="16" hidden="1">preCE!$Q$40</definedName>
    <definedName name="CheckA8101" localSheetId="9" hidden="1">CE!$D$9</definedName>
    <definedName name="CheckA8101" localSheetId="26" hidden="1">OwnersEquity!$D$9</definedName>
    <definedName name="CheckA8101" localSheetId="16" hidden="1">preCE!$D$9</definedName>
    <definedName name="CheckA8110" localSheetId="9" hidden="1">CE!$D$13</definedName>
    <definedName name="CheckA8110" localSheetId="26" hidden="1">OwnersEquity!$D$13</definedName>
    <definedName name="CheckA8110" localSheetId="16" hidden="1">preCE!$D$14</definedName>
    <definedName name="CheckA8199" localSheetId="9" hidden="1">CE!$D$36</definedName>
    <definedName name="CheckA8199" localSheetId="26" hidden="1">OwnersEquity!$D$37</definedName>
    <definedName name="CheckA8199" localSheetId="16" hidden="1">preCE!$D$40</definedName>
    <definedName name="CheckA8201" localSheetId="9" hidden="1">CE!$H$9</definedName>
    <definedName name="CheckA8201" localSheetId="26" hidden="1">OwnersEquity!$H$9</definedName>
    <definedName name="CheckA8201" localSheetId="16" hidden="1">preCE!$H$9</definedName>
    <definedName name="CheckA8210" localSheetId="9" hidden="1">CE!$H$13</definedName>
    <definedName name="CheckA8210" localSheetId="26" hidden="1">OwnersEquity!$H$13</definedName>
    <definedName name="CheckA8210" localSheetId="16" hidden="1">preCE!$H$14</definedName>
    <definedName name="CheckA8299" localSheetId="9" hidden="1">CE!$H$36</definedName>
    <definedName name="CheckA8299" localSheetId="26" hidden="1">OwnersEquity!$H$37</definedName>
    <definedName name="CheckA8299" localSheetId="16" hidden="1">preCE!$H$40</definedName>
    <definedName name="CheckA8301" localSheetId="9" hidden="1">CE!$I$9</definedName>
    <definedName name="CheckA8301" localSheetId="26" hidden="1">OwnersEquity!$I$9</definedName>
    <definedName name="CheckA8301" localSheetId="16" hidden="1">preCE!$I$9</definedName>
    <definedName name="CheckA8310" localSheetId="9" hidden="1">CE!$I$13</definedName>
    <definedName name="CheckA8310" localSheetId="26" hidden="1">OwnersEquity!$I$13</definedName>
    <definedName name="CheckA8310" localSheetId="16" hidden="1">preCE!$I$14</definedName>
    <definedName name="CheckA8399" localSheetId="9" hidden="1">CE!$I$36</definedName>
    <definedName name="CheckA8399" localSheetId="26" hidden="1">OwnersEquity!$I$37</definedName>
    <definedName name="CheckA8399" localSheetId="16" hidden="1">preCE!$I$40</definedName>
    <definedName name="CheckA8401" localSheetId="9" hidden="1">CE!$K$9</definedName>
    <definedName name="CheckA8401" localSheetId="26" hidden="1">OwnersEquity!$K$9</definedName>
    <definedName name="CheckA8401" localSheetId="16" hidden="1">preCE!$K$9</definedName>
    <definedName name="CheckA8410" localSheetId="9" hidden="1">CE!$K$13</definedName>
    <definedName name="CheckA8410" localSheetId="26" hidden="1">OwnersEquity!$K$13</definedName>
    <definedName name="CheckA8410" localSheetId="16" hidden="1">preCE!$K$14</definedName>
    <definedName name="CheckA8499" localSheetId="9" hidden="1">CE!$K$36</definedName>
    <definedName name="CheckA8499" localSheetId="26" hidden="1">OwnersEquity!$K$37</definedName>
    <definedName name="CheckA8499" localSheetId="16" hidden="1">preCE!$K$40</definedName>
    <definedName name="CheckA8501" localSheetId="9" hidden="1">CE!$L$9</definedName>
    <definedName name="CheckA8501" localSheetId="26" hidden="1">OwnersEquity!$L$9</definedName>
    <definedName name="CheckA8501" localSheetId="16" hidden="1">preCE!$L$9</definedName>
    <definedName name="CheckA8510" localSheetId="9" hidden="1">CE!$L$13</definedName>
    <definedName name="CheckA8510" localSheetId="26" hidden="1">OwnersEquity!$L$13</definedName>
    <definedName name="CheckA8510" localSheetId="16" hidden="1">preCE!$L$14</definedName>
    <definedName name="CheckA8599" localSheetId="9" hidden="1">CE!$L$36</definedName>
    <definedName name="CheckA8599" localSheetId="26" hidden="1">OwnersEquity!$L$37</definedName>
    <definedName name="CheckA8599" localSheetId="16" hidden="1">preCE!$L$40</definedName>
    <definedName name="CheckA8601" localSheetId="26" hidden="1">OwnersEquity!$M$9</definedName>
    <definedName name="CheckA8601" localSheetId="16" hidden="1">preCE!$M$9</definedName>
    <definedName name="CheckA8610" localSheetId="26" hidden="1">OwnersEquity!$M$13</definedName>
    <definedName name="CheckA8610" localSheetId="16" hidden="1">preCE!$M$14</definedName>
    <definedName name="CheckA8699" localSheetId="9" hidden="1">CE!$M$36</definedName>
    <definedName name="CheckA8699" localSheetId="26" hidden="1">OwnersEquity!$M$37</definedName>
    <definedName name="CheckA8699" localSheetId="16" hidden="1">preCE!$M$40</definedName>
    <definedName name="CheckA8701" localSheetId="9" hidden="1">CE!$N$9</definedName>
    <definedName name="CheckA8701" localSheetId="26" hidden="1">OwnersEquity!$N$9</definedName>
    <definedName name="CheckA8701" localSheetId="16" hidden="1">preCE!$N$9</definedName>
    <definedName name="CheckA8710" localSheetId="9" hidden="1">CE!$N$13</definedName>
    <definedName name="CheckA8710" localSheetId="26" hidden="1">OwnersEquity!$N$13</definedName>
    <definedName name="CheckA8710" localSheetId="16" hidden="1">preCE!$N$14</definedName>
    <definedName name="CheckA8740" localSheetId="9" hidden="1">CE!$N$15</definedName>
    <definedName name="CheckA8740" localSheetId="26" hidden="1">OwnersEquity!$N$15</definedName>
    <definedName name="CheckA8740" localSheetId="16" hidden="1">preCE!$N$18</definedName>
    <definedName name="CheckA8799" localSheetId="9" hidden="1">CE!$N$36</definedName>
    <definedName name="CheckA8799" localSheetId="26" hidden="1">OwnersEquity!$N$37</definedName>
    <definedName name="CheckA8799" localSheetId="16" hidden="1">preCE!$N$40</definedName>
    <definedName name="CheckA8801" localSheetId="9" hidden="1">CE!$O$9</definedName>
    <definedName name="CheckA8801" localSheetId="26" hidden="1">OwnersEquity!$O$9</definedName>
    <definedName name="CheckA8801" localSheetId="16" hidden="1">preCE!$O$9</definedName>
    <definedName name="CheckA8810" localSheetId="9" hidden="1">CE!$O$13</definedName>
    <definedName name="CheckA8810" localSheetId="26" hidden="1">OwnersEquity!$O$13</definedName>
    <definedName name="CheckA8810" localSheetId="16" hidden="1">preCE!$O$14</definedName>
    <definedName name="CheckA8899" localSheetId="9" hidden="1">CE!$O$36</definedName>
    <definedName name="CheckA8899" localSheetId="26" hidden="1">OwnersEquity!$O$37</definedName>
    <definedName name="CheckA8899" localSheetId="16" hidden="1">preCE!$O$40</definedName>
    <definedName name="CheckA8901" localSheetId="16" hidden="1">preCE!$P$9</definedName>
    <definedName name="CheckA8910" localSheetId="16" hidden="1">preCE!$P$14</definedName>
    <definedName name="CheckA8940" localSheetId="16" hidden="1">preCE!$P$18</definedName>
    <definedName name="CheckA8999" localSheetId="16" hidden="1">preCE!$P$40</definedName>
    <definedName name="CheckA8b01" localSheetId="9" hidden="1">CE!$E$9</definedName>
    <definedName name="CheckA8b01" localSheetId="26" hidden="1">OwnersEquity!$E$9</definedName>
    <definedName name="CheckA8b01" localSheetId="16" hidden="1">preCE!$E$9</definedName>
    <definedName name="CheckA8b10" localSheetId="9" hidden="1">CE!$E$13</definedName>
    <definedName name="CheckA8b10" localSheetId="26" hidden="1">OwnersEquity!$E$13</definedName>
    <definedName name="CheckA8b10" localSheetId="16" hidden="1">preCE!$E$14</definedName>
    <definedName name="CheckA8b99" localSheetId="9" hidden="1">CE!$E$36</definedName>
    <definedName name="CheckA8b99" localSheetId="26" hidden="1">OwnersEquity!$E$37</definedName>
    <definedName name="CheckA8b99" localSheetId="16" hidden="1">preCE!$E$40</definedName>
    <definedName name="CheckA8c01" localSheetId="9" hidden="1">CE!$F$9</definedName>
    <definedName name="CheckA8c01" localSheetId="26" hidden="1">OwnersEquity!$F$9</definedName>
    <definedName name="CheckA8c01" localSheetId="16" hidden="1">preCE!$F$9</definedName>
    <definedName name="CheckA8c10" localSheetId="9" hidden="1">CE!$F$13</definedName>
    <definedName name="CheckA8c10" localSheetId="26" hidden="1">OwnersEquity!$F$13</definedName>
    <definedName name="CheckA8c10" localSheetId="16" hidden="1">preCE!$F$14</definedName>
    <definedName name="CheckA8c99" localSheetId="9" hidden="1">CE!$F$36</definedName>
    <definedName name="CheckA8c99" localSheetId="26" hidden="1">OwnersEquity!$F$37</definedName>
    <definedName name="CheckA8c99" localSheetId="16" hidden="1">preCE!$F$40</definedName>
    <definedName name="CheckA8d01" localSheetId="9" hidden="1">CE!$G$9</definedName>
    <definedName name="CheckA8d01" localSheetId="26" hidden="1">OwnersEquity!$G$9</definedName>
    <definedName name="CheckA8d01" localSheetId="16" hidden="1">preCE!$G$9</definedName>
    <definedName name="CheckA8d10" localSheetId="9" hidden="1">CE!$G$13</definedName>
    <definedName name="CheckA8d10" localSheetId="26" hidden="1">OwnersEquity!$G$13</definedName>
    <definedName name="CheckA8d10" localSheetId="16" hidden="1">preCE!$G$14</definedName>
    <definedName name="CheckA8d99" localSheetId="9" hidden="1">CE!$G$36</definedName>
    <definedName name="CheckA8d99" localSheetId="26" hidden="1">OwnersEquity!$G$37</definedName>
    <definedName name="CheckA8d99" localSheetId="16" hidden="1">preCE!$G$40</definedName>
    <definedName name="CheckA8g01" localSheetId="9" hidden="1">CE!$J$9</definedName>
    <definedName name="CheckA8g01" localSheetId="26" hidden="1">OwnersEquity!$J$9</definedName>
    <definedName name="CheckA8g01" localSheetId="16" hidden="1">preCE!$J$9</definedName>
    <definedName name="CheckA8g10" localSheetId="9" hidden="1">CE!$J$13</definedName>
    <definedName name="CheckA8g10" localSheetId="26" hidden="1">OwnersEquity!$J$13</definedName>
    <definedName name="CheckA8g10" localSheetId="16" hidden="1">preCE!$J$14</definedName>
    <definedName name="CheckA8g40" localSheetId="9" hidden="1">CE!$J$15</definedName>
    <definedName name="CheckA8g40" localSheetId="26" hidden="1">OwnersEquity!$J$15</definedName>
    <definedName name="CheckA8g40" localSheetId="16" hidden="1">preCE!$J$18</definedName>
    <definedName name="CheckA8g99" localSheetId="9" hidden="1">CE!$J$36</definedName>
    <definedName name="CheckA8g99" localSheetId="26" hidden="1">OwnersEquity!$J$37</definedName>
    <definedName name="CheckA8g99" localSheetId="16" hidden="1">preCE!$J$40</definedName>
    <definedName name="CheckA9120c" localSheetId="5" hidden="1">Notes!$K$5657</definedName>
    <definedName name="CheckA9120d" localSheetId="5" hidden="1">Notes!$K$5667</definedName>
    <definedName name="CheckA9120e" localSheetId="5" hidden="1">Notes!$K$5677</definedName>
    <definedName name="CheckA9120f" localSheetId="5" hidden="1">Notes!$K$5687</definedName>
    <definedName name="CheckA9120g" localSheetId="5" hidden="1">Notes!$K$5697</definedName>
    <definedName name="CheckA9120h" localSheetId="5" hidden="1">Notes!$K$5707</definedName>
    <definedName name="CheckA9120i" localSheetId="5" hidden="1">Notes!$K$5717</definedName>
    <definedName name="CheckA9120j" localSheetId="5" hidden="1">Notes!$K$5727</definedName>
    <definedName name="CheckA9120k" localSheetId="5" hidden="1">Notes!$K$5737</definedName>
    <definedName name="CheckA9120l" localSheetId="5" hidden="1">Notes!$K$5747</definedName>
    <definedName name="CheckA9120m" localSheetId="5" hidden="1">Notes!$K$5631</definedName>
    <definedName name="CheckA9120n" localSheetId="5" hidden="1">Notes!$K$5644</definedName>
    <definedName name="CheckA9120o" localSheetId="5" hidden="1">Notes!$K$5755</definedName>
    <definedName name="CheckA9120p" localSheetId="5" hidden="1">Notes!$K$5770</definedName>
    <definedName name="CheckA9314a" localSheetId="5" hidden="1">Notes!$K$5193</definedName>
    <definedName name="CheckA9325g" localSheetId="5" hidden="1">Notes!$K$5329</definedName>
    <definedName name="CheckA9325h" localSheetId="5" hidden="1">Notes!$K$5346</definedName>
    <definedName name="CheckA9325i" localSheetId="5" hidden="1">Notes!$K$5363</definedName>
    <definedName name="CheckA9325j" localSheetId="5" hidden="1">Notes!$K$5379</definedName>
    <definedName name="CheckA9325k" localSheetId="5" hidden="1">Notes!$K$5395</definedName>
    <definedName name="CheckA9325m" localSheetId="5" hidden="1">Notes!$K$5429</definedName>
    <definedName name="CheckA9331a" localSheetId="5" hidden="1">Notes!$K$5464</definedName>
    <definedName name="CheckA9331b" localSheetId="5" hidden="1">Notes!$K$5611</definedName>
    <definedName name="CheckA9331g" localSheetId="5" hidden="1">Notes!$K$5585</definedName>
    <definedName name="CheckA9331i" localSheetId="5" hidden="1">Notes!$K$5558</definedName>
    <definedName name="CheckA9331j" localSheetId="5" hidden="1">Notes!$K$5567</definedName>
    <definedName name="CheckA9331k" localSheetId="5" hidden="1">Notes!$K$5510</definedName>
    <definedName name="CheckA9367a" localSheetId="5" hidden="1">Notes!$K$5784</definedName>
    <definedName name="CheckA9367b" localSheetId="5" hidden="1">Notes!$K$5805</definedName>
    <definedName name="CheckA9371h" localSheetId="5" hidden="1">Notes!$K$5285</definedName>
    <definedName name="CheckA9371i" localSheetId="5" hidden="1">Notes!$K$5300</definedName>
    <definedName name="CheckA9371j" localSheetId="5" hidden="1">Notes!$K$5315</definedName>
    <definedName name="CheckA9601a" localSheetId="5" hidden="1">Notes!$K$5814</definedName>
    <definedName name="CheckA9601b" localSheetId="5" hidden="1">Notes!$K$5856</definedName>
    <definedName name="CheckA9601c" localSheetId="5" hidden="1">Notes!$K$5846</definedName>
    <definedName name="CheckA9601d" localSheetId="5" hidden="1">Notes!$K$5866</definedName>
    <definedName name="CheckA9690a" localSheetId="5" hidden="1">Notes!$K$4994</definedName>
    <definedName name="CheckA9690b" localSheetId="5" hidden="1">Notes!$K$5008</definedName>
    <definedName name="CheckA9690c" localSheetId="5" hidden="1">Notes!$K$5018</definedName>
    <definedName name="CheckB1015a" localSheetId="5" hidden="1">Notes!$N$20</definedName>
    <definedName name="CheckB1015b" localSheetId="5" hidden="1">Notes!$N$10</definedName>
    <definedName name="CheckB1015c" localSheetId="5" hidden="1">Notes!$N$59</definedName>
    <definedName name="CheckB1101a" localSheetId="5" hidden="1">Notes!$N$90</definedName>
    <definedName name="CheckB1102a" localSheetId="5" hidden="1">Notes!$N$71</definedName>
    <definedName name="CheckB1115a" localSheetId="5" hidden="1">Notes!$N$109</definedName>
    <definedName name="CheckB1121a" localSheetId="5" hidden="1">Notes!$N$130</definedName>
    <definedName name="CheckB1121b" localSheetId="5" hidden="1">Notes!$N$138</definedName>
    <definedName name="CheckB1121c" localSheetId="5" hidden="1">Notes!$N$160</definedName>
    <definedName name="CheckB1121d" localSheetId="5" hidden="1">Notes!$N$146</definedName>
    <definedName name="CheckB1121e" localSheetId="5" hidden="1">Notes!$N$120</definedName>
    <definedName name="CheckB1121f" localSheetId="5" hidden="1">Notes!$N$170</definedName>
    <definedName name="CheckB1121g" localSheetId="5" hidden="1">Notes!$N$192</definedName>
    <definedName name="CheckB1121h" localSheetId="5" hidden="1">Notes!$N$214</definedName>
    <definedName name="CheckB1121i" localSheetId="5" hidden="1">Notes!$N$251</definedName>
    <definedName name="CheckB1121j" localSheetId="5" hidden="1">Notes!$N$273</definedName>
    <definedName name="CheckB1121k" localSheetId="5" hidden="1">Notes!$N$286</definedName>
    <definedName name="CheckB1121l" localSheetId="5" hidden="1">Notes!$N$293</definedName>
    <definedName name="CheckB1121m" localSheetId="5" hidden="1">Notes!$N$306</definedName>
    <definedName name="CheckB1121n" localSheetId="5" hidden="1">Notes!$N$236</definedName>
    <definedName name="CheckB112202" localSheetId="5" hidden="1">Notes!$N$415</definedName>
    <definedName name="CheckB11222" localSheetId="5" hidden="1">Notes!$N$415</definedName>
    <definedName name="CheckB1122a" localSheetId="5" hidden="1">Notes!$N$485</definedName>
    <definedName name="CheckB1122b" localSheetId="5" hidden="1">Notes!$N$500</definedName>
    <definedName name="CheckB1122c" localSheetId="5" hidden="1">Notes!$N$668</definedName>
    <definedName name="CheckB1122d" localSheetId="5" hidden="1">Notes!$N$535</definedName>
    <definedName name="CheckB1122e" localSheetId="5" hidden="1">Notes!$N$559</definedName>
    <definedName name="CheckB1122f" localSheetId="5" hidden="1">Notes!$N$569</definedName>
    <definedName name="CheckB1122g" localSheetId="5" hidden="1">Notes!$N$515</definedName>
    <definedName name="CheckB1122h" localSheetId="5" hidden="1">Notes!$N$601</definedName>
    <definedName name="CheckB1122i" localSheetId="5" hidden="1">Notes!$N$618</definedName>
    <definedName name="CheckB1122j" localSheetId="5" hidden="1">Notes!$N$317</definedName>
    <definedName name="CheckB1122k" localSheetId="5" hidden="1">Notes!$N$629</definedName>
    <definedName name="CheckB1122l" localSheetId="5" hidden="1">Notes!$N$678</definedName>
    <definedName name="CheckB1122m" localSheetId="5" hidden="1">Notes!$N$648</definedName>
    <definedName name="CheckB1122n" localSheetId="5" hidden="1">Notes!$N$658</definedName>
    <definedName name="CheckB1122p" localSheetId="5" hidden="1">Notes!$N$334</definedName>
    <definedName name="CheckB1122q" localSheetId="5" hidden="1">Notes!$N$430</definedName>
    <definedName name="CheckB1122r" localSheetId="5" hidden="1">Notes!$N$356</definedName>
    <definedName name="CheckB1122s" localSheetId="5" hidden="1">Notes!$N$378</definedName>
    <definedName name="CheckB1122t" localSheetId="5" hidden="1">Notes!$N$400</definedName>
    <definedName name="CheckB1122u" localSheetId="5" hidden="1">Notes!$N$579</definedName>
    <definedName name="CheckB1122v" localSheetId="5" hidden="1">Notes!$N$611</definedName>
    <definedName name="CheckB1122x" localSheetId="5" hidden="1">Notes!$N$688</definedName>
    <definedName name="CheckB1122y" localSheetId="5" hidden="1">Notes!$N$448</definedName>
    <definedName name="CheckB1122z" localSheetId="5" hidden="1">Notes!$N$468</definedName>
    <definedName name="CheckB1124a" localSheetId="5" hidden="1">Notes!$N$698</definedName>
    <definedName name="CheckB1124b" localSheetId="5" hidden="1">Notes!$N$706</definedName>
    <definedName name="CheckB1124c" localSheetId="5" hidden="1">Notes!$N$721</definedName>
    <definedName name="CheckB1124d" localSheetId="5" hidden="1">Notes!$N$740</definedName>
    <definedName name="CheckB1124e" localSheetId="5" hidden="1">Notes!$N$762</definedName>
    <definedName name="CheckB1124f" localSheetId="5" hidden="1">Notes!$N$848</definedName>
    <definedName name="CheckB1124g" localSheetId="5" hidden="1">Notes!$N$777</definedName>
    <definedName name="CheckB1124h" localSheetId="5" hidden="1">Notes!$N$792</definedName>
    <definedName name="CheckB1124i" localSheetId="5" hidden="1">Notes!$N$811</definedName>
    <definedName name="CheckB1124j" localSheetId="5" hidden="1">Notes!$N$833</definedName>
    <definedName name="CheckB1125a" localSheetId="5" hidden="1">Notes!$N$859</definedName>
    <definedName name="CheckB1125c" localSheetId="5" hidden="1">Notes!$N$871</definedName>
    <definedName name="CheckB1125d" localSheetId="5" hidden="1">Notes!$N$890</definedName>
    <definedName name="CheckB1125e" localSheetId="5" hidden="1">Notes!$N$910</definedName>
    <definedName name="CheckB1125f" localSheetId="5" hidden="1">Notes!$N$900</definedName>
    <definedName name="CheckB1125x" localSheetId="5" hidden="1">Notes!$N$920</definedName>
    <definedName name="CheckB1131a" localSheetId="5" hidden="1">Notes!$N$967</definedName>
    <definedName name="CheckB1131b" localSheetId="5" hidden="1">Notes!$N$977</definedName>
    <definedName name="CheckB1132a" localSheetId="5" hidden="1">Notes!$N$944</definedName>
    <definedName name="CheckB1132b" localSheetId="5" hidden="1">Notes!$N$956</definedName>
    <definedName name="CheckB1220a" localSheetId="5" hidden="1">Notes!$N$934</definedName>
    <definedName name="CheckB122100" localSheetId="5" hidden="1">Notes!$N$1027</definedName>
    <definedName name="CheckB122101" localSheetId="5" hidden="1">Notes!$N$1043</definedName>
    <definedName name="CheckB122102" localSheetId="5" hidden="1">Notes!$N$1131</definedName>
    <definedName name="CheckB122103" localSheetId="5" hidden="1">Notes!$N$1219</definedName>
    <definedName name="CheckB122104" localSheetId="5" hidden="1">Notes!$N$1491</definedName>
    <definedName name="CheckB12211" localSheetId="5" hidden="1">Notes!$N$1057</definedName>
    <definedName name="CheckB122111" localSheetId="5" hidden="1">Notes!$N$1057</definedName>
    <definedName name="CheckB122112" localSheetId="5" hidden="1">Notes!$N$1079</definedName>
    <definedName name="CheckB122113" localSheetId="5" hidden="1">Notes!$N$1101</definedName>
    <definedName name="CheckB122114" localSheetId="5" hidden="1">Notes!$N$1116</definedName>
    <definedName name="CheckB12212" localSheetId="5" hidden="1">Notes!$N$1079</definedName>
    <definedName name="CheckB122121" localSheetId="5" hidden="1">Notes!$N$1145</definedName>
    <definedName name="CheckB122122" localSheetId="5" hidden="1">Notes!$N$1167</definedName>
    <definedName name="CheckB122123" localSheetId="5" hidden="1">Notes!$N$1189</definedName>
    <definedName name="CheckB122124" localSheetId="5" hidden="1">Notes!$N$1204</definedName>
    <definedName name="CheckB12213" localSheetId="5" hidden="1">Notes!$N$1101</definedName>
    <definedName name="CheckB122131" localSheetId="5" hidden="1">Notes!$N$1233</definedName>
    <definedName name="CheckB122132" localSheetId="5" hidden="1">Notes!$N$1255</definedName>
    <definedName name="CheckB122133" localSheetId="5" hidden="1">Notes!$N$1277</definedName>
    <definedName name="CheckB122134" localSheetId="5" hidden="1">Notes!$N$1292</definedName>
    <definedName name="CheckB12214" localSheetId="5" hidden="1">Notes!$N$1491</definedName>
    <definedName name="CheckB1221a" localSheetId="5" hidden="1">Notes!$N$1365</definedName>
    <definedName name="CheckB1221b" localSheetId="5" hidden="1">Notes!$N$1387</definedName>
    <definedName name="CheckB1221c" localSheetId="5" hidden="1">Notes!$N$1587</definedName>
    <definedName name="CheckB1221d" localSheetId="5" hidden="1">Notes!$N$1428</definedName>
    <definedName name="CheckB1221e" localSheetId="5" hidden="1">Notes!$N$1449</definedName>
    <definedName name="CheckB1221f" localSheetId="5" hidden="1">Notes!$N$1459</definedName>
    <definedName name="CheckB1221g" localSheetId="5" hidden="1">Notes!$N$1409</definedName>
    <definedName name="CheckB1221h" localSheetId="5" hidden="1">Notes!$N$1510</definedName>
    <definedName name="CheckB1221i" localSheetId="5" hidden="1">Notes!$N$1527</definedName>
    <definedName name="CheckB1221j" localSheetId="5" hidden="1">Notes!$N$988</definedName>
    <definedName name="CheckB1221k" localSheetId="5" hidden="1">Notes!$N$1538</definedName>
    <definedName name="CheckB1221l" localSheetId="5" hidden="1">Notes!$N$1013</definedName>
    <definedName name="CheckB1221m" localSheetId="5" hidden="1">Notes!$N$1597</definedName>
    <definedName name="CheckB1221n" localSheetId="5" hidden="1">Notes!$N$1567</definedName>
    <definedName name="CheckB1221o" localSheetId="5" hidden="1">Notes!$N$1577</definedName>
    <definedName name="CheckB1221q" localSheetId="5" hidden="1">Notes!$N$1043</definedName>
    <definedName name="CheckB1221r" localSheetId="5" hidden="1">Notes!$N$1557</definedName>
    <definedName name="CheckB1221s" localSheetId="5" hidden="1">Notes!$N$1219</definedName>
    <definedName name="CheckB1221t" localSheetId="5" hidden="1">Notes!$N$1307</definedName>
    <definedName name="CheckB1221u" localSheetId="5" hidden="1">Notes!$N$1116</definedName>
    <definedName name="CheckB1221v" localSheetId="5" hidden="1">Notes!$N$1326</definedName>
    <definedName name="CheckB1221w" localSheetId="5" hidden="1">Notes!$N$1348</definedName>
    <definedName name="CheckB1221x" localSheetId="5" hidden="1">Notes!$N$1607</definedName>
    <definedName name="CheckB1221y" localSheetId="5" hidden="1">Notes!$N$1469</definedName>
    <definedName name="CheckB1221z" localSheetId="5" hidden="1">Notes!$N$1520</definedName>
    <definedName name="CheckB1315b" localSheetId="5" hidden="1">Notes!$N$1764</definedName>
    <definedName name="CheckB1315f" localSheetId="5" hidden="1">Notes!$N$1774</definedName>
    <definedName name="CheckB1400a" localSheetId="5" hidden="1">Notes!$N$1617</definedName>
    <definedName name="CheckB1400b" localSheetId="5" hidden="1">Notes!$N$1636</definedName>
    <definedName name="CheckB1400c" localSheetId="5" hidden="1">Notes!$N$1736</definedName>
    <definedName name="CheckB1400d" localSheetId="5" hidden="1">Notes!$N$1682</definedName>
    <definedName name="CheckB1400e" localSheetId="5" hidden="1">Notes!$N$1699</definedName>
    <definedName name="CheckB1400g" localSheetId="5" hidden="1">Notes!$N$1716</definedName>
    <definedName name="CheckB1400h" localSheetId="5" hidden="1">Notes!$N$1665</definedName>
    <definedName name="CheckB1400s" localSheetId="5" hidden="1">Notes!$N$1726</definedName>
    <definedName name="CheckB1400t" localSheetId="5" hidden="1">Notes!$N$1655</definedName>
    <definedName name="CheckB1400x" localSheetId="5" hidden="1">Notes!$N$1753</definedName>
    <definedName name="CheckB1495a" localSheetId="5" hidden="1">Notes!$N$1790</definedName>
    <definedName name="CheckB1495b" localSheetId="5" hidden="1">Notes!$N$1799</definedName>
    <definedName name="CheckB1496a" localSheetId="5" hidden="1">Notes!$N$1812</definedName>
    <definedName name="CheckB1501a" localSheetId="5" hidden="1">Notes!$N$2157</definedName>
    <definedName name="CheckB1501d" localSheetId="5" hidden="1">Notes!$N$2171</definedName>
    <definedName name="CheckB1501e" localSheetId="5" hidden="1">Notes!$N$2181</definedName>
    <definedName name="CheckB1501f" localSheetId="5" hidden="1">Notes!$N$2191</definedName>
    <definedName name="CheckB1503a" localSheetId="5" hidden="1">Notes!$N$1947</definedName>
    <definedName name="CheckB1503d" localSheetId="5" hidden="1">Notes!$N$2013</definedName>
    <definedName name="CheckB1503e" localSheetId="5" hidden="1">Notes!$N$1961</definedName>
    <definedName name="CheckB1503g" localSheetId="5" hidden="1">Notes!$N$2021</definedName>
    <definedName name="CheckB1503i" localSheetId="5" hidden="1">Notes!$N$1971</definedName>
    <definedName name="CheckB1503j" localSheetId="5" hidden="1">Notes!$N$1986</definedName>
    <definedName name="CheckB1503k" localSheetId="5" hidden="1">Notes!$N$2001</definedName>
    <definedName name="CheckB1505a" localSheetId="5" hidden="1">Notes!$N$1823</definedName>
    <definedName name="CheckB1505b" localSheetId="5" hidden="1">Notes!$N$1838</definedName>
    <definedName name="CheckB1505c" localSheetId="5" hidden="1">Notes!$N$1869</definedName>
    <definedName name="CheckB1505d" localSheetId="5" hidden="1">Notes!$N$1882</definedName>
    <definedName name="CheckB1505e" localSheetId="5" hidden="1">Notes!$N$1895</definedName>
    <definedName name="CheckB1505f" localSheetId="5" hidden="1">Notes!$N$1927</definedName>
    <definedName name="CheckB1505g" localSheetId="5" hidden="1">Notes!$N$1853</definedName>
    <definedName name="CheckB1505k" localSheetId="5" hidden="1">Notes!$N$1908</definedName>
    <definedName name="CheckB1508a" localSheetId="5" hidden="1">Notes!$N$2032</definedName>
    <definedName name="CheckB1508b" localSheetId="5" hidden="1">Notes!$N$2048</definedName>
    <definedName name="CheckB1508c" localSheetId="5" hidden="1">Notes!$N$2063</definedName>
    <definedName name="CheckB1508d" localSheetId="5" hidden="1">Notes!$N$2079</definedName>
    <definedName name="CheckB1508e" localSheetId="5" hidden="1">Notes!$N$2092</definedName>
    <definedName name="CheckB1508f" localSheetId="5" hidden="1">Notes!$N$2105</definedName>
    <definedName name="CheckB1508g" localSheetId="5" hidden="1">Notes!$N$2137</definedName>
    <definedName name="CheckB1508k" localSheetId="5" hidden="1">Notes!$N$2118</definedName>
    <definedName name="CheckB1511b" localSheetId="5" hidden="1">Notes!$N$2463</definedName>
    <definedName name="CheckB1511c" localSheetId="5" hidden="1">Notes!$N$2412</definedName>
    <definedName name="CheckB1511d" localSheetId="5" hidden="1">Notes!$N$2431</definedName>
    <definedName name="CheckB1521b" localSheetId="5" hidden="1">Notes!$N$2599</definedName>
    <definedName name="CheckB1521c" localSheetId="5" hidden="1">Notes!$N$2618</definedName>
    <definedName name="CheckB1521h" localSheetId="5" hidden="1">Notes!$N$2557</definedName>
    <definedName name="CheckB1521s" localSheetId="5" hidden="1">Notes!$N$2628</definedName>
    <definedName name="CheckB1531a" localSheetId="5" hidden="1">Notes!$N$2202</definedName>
    <definedName name="CheckB1531b" localSheetId="5" hidden="1">Notes!$N$2391</definedName>
    <definedName name="CheckB1531c" localSheetId="5" hidden="1">Notes!$N$2368</definedName>
    <definedName name="CheckB1531f" localSheetId="5" hidden="1">Notes!$N$2401</definedName>
    <definedName name="CheckB1531g" localSheetId="5" hidden="1">Notes!$N$2330</definedName>
    <definedName name="CheckB1531h" localSheetId="5" hidden="1">Notes!$N$2293</definedName>
    <definedName name="CheckB1531i" localSheetId="5" hidden="1">Notes!$N$2234</definedName>
    <definedName name="CheckB1531j" localSheetId="5" hidden="1">Notes!$N$2247</definedName>
    <definedName name="CheckB1531k" localSheetId="5" hidden="1">Notes!$N$2260</definedName>
    <definedName name="CheckB1531m" localSheetId="5" hidden="1">Notes!$N$2315</definedName>
    <definedName name="CheckB1531p" localSheetId="5" hidden="1">Notes!$N$2273</definedName>
    <definedName name="CheckB1531q" localSheetId="5" hidden="1">Notes!$N$2349</definedName>
    <definedName name="CheckB1531s" localSheetId="5" hidden="1">Notes!$N$2378</definedName>
    <definedName name="CheckB1531t" localSheetId="5" hidden="1">Notes!$N$2218</definedName>
    <definedName name="CheckB1538a" localSheetId="5" hidden="1">Notes!$N$2497</definedName>
    <definedName name="CheckB1538b" localSheetId="5" hidden="1">Notes!$N$2506</definedName>
    <definedName name="CheckB1539a" localSheetId="5" hidden="1">Notes!$N$2520</definedName>
    <definedName name="CheckB1539b" localSheetId="5" hidden="1">Notes!$N$2530</definedName>
    <definedName name="CheckB1539c" localSheetId="5" hidden="1">Notes!$N$2543</definedName>
    <definedName name="CheckB1601b" localSheetId="5" hidden="1">Notes!$N$2705</definedName>
    <definedName name="CheckB1601c" localSheetId="5" hidden="1">Notes!$N$2719</definedName>
    <definedName name="CheckB1601d" localSheetId="5" hidden="1">Notes!$N$2733</definedName>
    <definedName name="CheckB1601f" localSheetId="5" hidden="1">Notes!$N$2761</definedName>
    <definedName name="CheckB1601k" localSheetId="5" hidden="1">Notes!$N$2648</definedName>
    <definedName name="CheckB1601l" localSheetId="5" hidden="1">Notes!$N$2748</definedName>
    <definedName name="CheckB1601s" localSheetId="5" hidden="1">Notes!$N$2771</definedName>
    <definedName name="CheckB1601x" localSheetId="5" hidden="1">Notes!$N$2781</definedName>
    <definedName name="CheckB1604a" localSheetId="5" hidden="1">Notes!$N$2830</definedName>
    <definedName name="CheckB1604b" localSheetId="5" hidden="1">Notes!$N$2847</definedName>
    <definedName name="CheckB1604c" localSheetId="5" hidden="1">Notes!$N$2862</definedName>
    <definedName name="CheckB1604d" localSheetId="5" hidden="1">Notes!$N$2897</definedName>
    <definedName name="CheckB1604g" localSheetId="5" hidden="1">Notes!$N$2877</definedName>
    <definedName name="CheckB1605a" localSheetId="5" hidden="1">Notes!$N$2908</definedName>
    <definedName name="CheckB1606a" localSheetId="5" hidden="1">Notes!$N$2810</definedName>
    <definedName name="CheckB1606b" localSheetId="5" hidden="1">Notes!$N$2797</definedName>
    <definedName name="CheckB1611a" localSheetId="5" hidden="1">Notes!$N$2639</definedName>
    <definedName name="CheckB1616a" localSheetId="5" hidden="1">Notes!$N$2821</definedName>
    <definedName name="CheckB1621b" localSheetId="5" hidden="1">Notes!$N$2982</definedName>
    <definedName name="CheckB1621c" localSheetId="5" hidden="1">Notes!$N$2920</definedName>
    <definedName name="CheckB1631b" localSheetId="5" hidden="1">Notes!$N$3006</definedName>
    <definedName name="CheckB1700b" localSheetId="5" hidden="1">Notes!$N$3175</definedName>
    <definedName name="CheckB1701a" localSheetId="5" hidden="1">Notes!$N$3043</definedName>
    <definedName name="CheckB1701e" localSheetId="5" hidden="1">Notes!$N$3126</definedName>
    <definedName name="CheckB1701f" localSheetId="5" hidden="1">Notes!$N$3113</definedName>
    <definedName name="CheckB1701g" localSheetId="5" hidden="1">Notes!$N$3136</definedName>
    <definedName name="CheckB1701h" localSheetId="5" hidden="1">Notes!$N$3149</definedName>
    <definedName name="CheckB1701x" localSheetId="5" hidden="1">Notes!$N$3162</definedName>
    <definedName name="CheckB1704a" localSheetId="5" hidden="1">Notes!$N$5218</definedName>
    <definedName name="CheckB1711a" localSheetId="5" hidden="1">Notes!$N$3192</definedName>
    <definedName name="CheckB1711b" localSheetId="5" hidden="1">Notes!$N$3204</definedName>
    <definedName name="CheckB1801a" localSheetId="5" hidden="1">Notes!$N$3217</definedName>
    <definedName name="CheckB1801x" localSheetId="5" hidden="1">Notes!$N$3229</definedName>
    <definedName name="CheckB1829a" localSheetId="5" hidden="1">Notes!$N$3244</definedName>
    <definedName name="CheckB1829b" localSheetId="5" hidden="1">Notes!$N$3260</definedName>
    <definedName name="CheckB1829c" localSheetId="5" hidden="1">Notes!$N$3273</definedName>
    <definedName name="CheckB1829e" localSheetId="5" hidden="1">Notes!$N$3280</definedName>
    <definedName name="CheckB1829f" localSheetId="5" hidden="1">Notes!$N$3290</definedName>
    <definedName name="CheckB1996a" localSheetId="5" hidden="1">Notes!$N$3310</definedName>
    <definedName name="CheckB1997a" localSheetId="5" hidden="1">Notes!$N$5204</definedName>
    <definedName name="CheckB1999" localSheetId="23" hidden="1">BalanceSheet!$H$59</definedName>
    <definedName name="CheckB1999" localSheetId="6" hidden="1">BS!$H$50</definedName>
    <definedName name="CheckB1999" localSheetId="13" hidden="1">preBS!$G$68</definedName>
    <definedName name="CheckB2001a" localSheetId="5" hidden="1">Notes!$N$3323</definedName>
    <definedName name="CheckB2001b" localSheetId="5" hidden="1">Notes!$N$3363</definedName>
    <definedName name="CheckB2001c" localSheetId="5" hidden="1">Notes!$N$3374</definedName>
    <definedName name="CheckB2001d" localSheetId="5" hidden="1">Notes!$N$3333</definedName>
    <definedName name="CheckB2001e" localSheetId="5" hidden="1">Notes!$N$3343</definedName>
    <definedName name="CheckB2001f" localSheetId="5" hidden="1">Notes!$N$3353</definedName>
    <definedName name="CheckB2101a" localSheetId="5" hidden="1">Notes!$N$3413</definedName>
    <definedName name="CheckB2102a" localSheetId="5" hidden="1">Notes!$N$3385</definedName>
    <definedName name="CheckB2102b" localSheetId="5" hidden="1">Notes!$N$3398</definedName>
    <definedName name="CheckB2115a" localSheetId="5" hidden="1">Notes!$N$3425</definedName>
    <definedName name="CheckB2201a" localSheetId="5" hidden="1">Notes!$N$3436</definedName>
    <definedName name="CheckB2202a" localSheetId="5" hidden="1">Notes!$N$3475</definedName>
    <definedName name="CheckB2202c" localSheetId="5" hidden="1">Notes!$N$3495</definedName>
    <definedName name="CheckB2202d" localSheetId="5" hidden="1">Notes!$N$3485</definedName>
    <definedName name="CheckB2202e" localSheetId="5" hidden="1">Notes!$N$3447</definedName>
    <definedName name="CheckB2202f" localSheetId="5" hidden="1">Notes!$N$3458</definedName>
    <definedName name="CheckB2202g" localSheetId="5" hidden="1">Notes!$N$3505</definedName>
    <definedName name="CheckB2202x" localSheetId="5" hidden="1">Notes!$N$3515</definedName>
    <definedName name="CheckB2205a" localSheetId="5" hidden="1">Notes!$N$3562</definedName>
    <definedName name="CheckB2205c" localSheetId="5" hidden="1">Notes!$N$3592</definedName>
    <definedName name="CheckB2205e" localSheetId="5" hidden="1">Notes!$N$3582</definedName>
    <definedName name="CheckB2205f" localSheetId="5" hidden="1">Notes!$N$3535</definedName>
    <definedName name="CheckB2205g" localSheetId="5" hidden="1">Notes!$N$3545</definedName>
    <definedName name="CheckB2205h" localSheetId="5" hidden="1">Notes!$N$3572</definedName>
    <definedName name="CheckB2205x" localSheetId="5" hidden="1">Notes!$N$3602</definedName>
    <definedName name="CheckB2211a" localSheetId="5" hidden="1">Notes!$N$3622</definedName>
    <definedName name="CheckB2211b" localSheetId="5" hidden="1">Notes!$N$3632</definedName>
    <definedName name="CheckB2211c" localSheetId="5" hidden="1">Notes!$N$3661</definedName>
    <definedName name="CheckB2211d" localSheetId="5" hidden="1">Notes!$N$3685</definedName>
    <definedName name="CheckB2211x" localSheetId="5" hidden="1">Notes!$N$3717</definedName>
    <definedName name="CheckB2221a" localSheetId="5" hidden="1">Notes!$N$3731</definedName>
    <definedName name="CheckB2221x" localSheetId="5" hidden="1">Notes!$N$3750</definedName>
    <definedName name="CheckB2231a" localSheetId="5" hidden="1">Notes!$N$3774</definedName>
    <definedName name="CheckB2231b" localSheetId="5" hidden="1">Notes!$N$3794</definedName>
    <definedName name="CheckB2232a" localSheetId="5" hidden="1">Notes!$N$3805</definedName>
    <definedName name="CheckB2232b" localSheetId="5" hidden="1">Notes!$N$3822</definedName>
    <definedName name="CheckB2241a" localSheetId="5" hidden="1">Notes!$N$3890</definedName>
    <definedName name="CheckB2241b" localSheetId="5" hidden="1">Notes!$N$3870</definedName>
    <definedName name="CheckB2241c" localSheetId="5" hidden="1">Notes!$N$3860</definedName>
    <definedName name="CheckB2241e" localSheetId="5" hidden="1">Notes!$N$3833</definedName>
    <definedName name="CheckB2241f" localSheetId="5" hidden="1">Notes!$N$3843</definedName>
    <definedName name="CheckB2241g" localSheetId="5" hidden="1">Notes!$N$3880</definedName>
    <definedName name="CheckB2241x" localSheetId="5" hidden="1">Notes!$N$3900</definedName>
    <definedName name="CheckB2246a" localSheetId="5" hidden="1">Notes!$N$3764</definedName>
    <definedName name="CheckB2315a" localSheetId="5" hidden="1">Notes!$N$3920</definedName>
    <definedName name="CheckB2395a" localSheetId="5" hidden="1">Notes!$N$3931</definedName>
    <definedName name="CheckB2395b" localSheetId="5" hidden="1">Notes!$N$3941</definedName>
    <definedName name="CheckB2395e" localSheetId="5" hidden="1">Notes!$N$3951</definedName>
    <definedName name="CheckB2395f" localSheetId="5" hidden="1">Notes!$N$3961</definedName>
    <definedName name="CheckB2396a" localSheetId="5" hidden="1">Notes!$N$3972</definedName>
    <definedName name="CheckB2396c" localSheetId="5" hidden="1">Notes!$N$3983</definedName>
    <definedName name="CheckB2401a" localSheetId="5" hidden="1">Notes!$N$4265</definedName>
    <definedName name="CheckB2401b" localSheetId="5" hidden="1">Notes!$N$4273</definedName>
    <definedName name="CheckB2501a" localSheetId="5" hidden="1">Notes!$N$4001</definedName>
    <definedName name="CheckB2501c" localSheetId="5" hidden="1">Notes!$N$4044</definedName>
    <definedName name="CheckB2501d" localSheetId="5" hidden="1">Notes!$N$4014</definedName>
    <definedName name="CheckB2501e" localSheetId="5" hidden="1">Notes!$N$4024</definedName>
    <definedName name="CheckB2501f" localSheetId="5" hidden="1">Notes!$N$4034</definedName>
    <definedName name="CheckB2502a" localSheetId="5" hidden="1">Notes!$N$4065</definedName>
    <definedName name="CheckB2502b" localSheetId="5" hidden="1">Notes!$N$4055</definedName>
    <definedName name="CheckB2502c" localSheetId="5" hidden="1">Notes!$N$4088</definedName>
    <definedName name="CheckB2502d" localSheetId="5" hidden="1">Notes!$N$4078</definedName>
    <definedName name="CheckB2502e" localSheetId="5" hidden="1">Notes!$N$4100</definedName>
    <definedName name="CheckB2701c" localSheetId="5" hidden="1">Notes!$N$4122</definedName>
    <definedName name="CheckB2701d" localSheetId="5" hidden="1">Notes!$N$4140</definedName>
    <definedName name="CheckB2706a" localSheetId="5" hidden="1">Notes!$N$4111</definedName>
    <definedName name="CheckB2711a" localSheetId="5" hidden="1">Notes!$N$4151</definedName>
    <definedName name="CheckB2711b" localSheetId="5" hidden="1">Notes!$N$4161</definedName>
    <definedName name="CheckB2715a" localSheetId="5" hidden="1">Notes!$N$4172</definedName>
    <definedName name="CheckB2715b" localSheetId="5" hidden="1">Notes!$N$4182</definedName>
    <definedName name="CheckB2715c" localSheetId="5" hidden="1">Notes!$N$4202</definedName>
    <definedName name="CheckB2715d" localSheetId="5" hidden="1">Notes!$N$4217</definedName>
    <definedName name="CheckB2715g" localSheetId="5" hidden="1">Notes!$N$4226</definedName>
    <definedName name="CheckB2715h" localSheetId="5" hidden="1">Notes!$N$4237</definedName>
    <definedName name="CheckB2801a" localSheetId="5" hidden="1">Notes!$N$4251</definedName>
    <definedName name="CheckB2996a" localSheetId="5" hidden="1">Notes!$N$4291</definedName>
    <definedName name="CheckB2996x" localSheetId="5" hidden="1">Notes!$N$4301</definedName>
    <definedName name="CheckB4001" localSheetId="23" hidden="1">BalanceSheet!$L$47</definedName>
    <definedName name="CheckB4001" localSheetId="6" hidden="1">BS!$L$38</definedName>
    <definedName name="CheckB4001" localSheetId="13" hidden="1">preBS!$L$54</definedName>
    <definedName name="CheckB4001a" localSheetId="5" hidden="1">Notes!$N$4312</definedName>
    <definedName name="CheckB4001b" localSheetId="5" hidden="1">Notes!$N$4321</definedName>
    <definedName name="CheckB4002" localSheetId="23" hidden="1">BalanceSheet!$L$51</definedName>
    <definedName name="CheckB4002" localSheetId="6" hidden="1">BS!$L$42</definedName>
    <definedName name="CheckB4002" localSheetId="13" hidden="1">preBS!$L$58</definedName>
    <definedName name="CheckB4002a" localSheetId="5" hidden="1">Notes!$N$4355</definedName>
    <definedName name="CheckB4015" localSheetId="23" hidden="1">BalanceSheet!$L$48</definedName>
    <definedName name="CheckB4015" localSheetId="6" hidden="1">BS!$L$39</definedName>
    <definedName name="CheckB4015" localSheetId="13" hidden="1">preBS!$L$55</definedName>
    <definedName name="CheckB4015a" localSheetId="5" hidden="1">Notes!$N$4344</definedName>
    <definedName name="CheckB4015b" localSheetId="5" hidden="1">Notes!$N$4334</definedName>
    <definedName name="CheckB4101" localSheetId="23" hidden="1">BalanceSheet!$L$55</definedName>
    <definedName name="CheckB4101" localSheetId="6" hidden="1">BS!$L$46</definedName>
    <definedName name="CheckB4101" localSheetId="13" hidden="1">preBS!$L$62</definedName>
    <definedName name="CheckB4101a" localSheetId="5" hidden="1">Notes!$N$4441</definedName>
    <definedName name="CheckB4101b" localSheetId="5" hidden="1">Notes!$N$4428</definedName>
    <definedName name="CheckB4102" localSheetId="23" hidden="1">BalanceSheet!$L$56</definedName>
    <definedName name="CheckB4102" localSheetId="6" hidden="1">BS!$L$47</definedName>
    <definedName name="CheckB4102" localSheetId="13" hidden="1">preBS!$L$63</definedName>
    <definedName name="CheckB4102a" localSheetId="5" hidden="1">Notes!$N$4453</definedName>
    <definedName name="CheckB4200" localSheetId="23" hidden="1">BalanceSheet!$L$57</definedName>
    <definedName name="CheckB4200" localSheetId="6" hidden="1">BS!$L$48</definedName>
    <definedName name="CheckB4200" localSheetId="13" hidden="1">preBS!$L$64</definedName>
    <definedName name="CheckB4200a" localSheetId="5" hidden="1">Notes!$N$4461</definedName>
    <definedName name="CheckB4200b" localSheetId="5" hidden="1">Notes!$N$4478</definedName>
    <definedName name="CheckB4201" localSheetId="23" hidden="1">BalanceSheet!$L$52</definedName>
    <definedName name="CheckB4201" localSheetId="6" hidden="1">BS!$L$43</definedName>
    <definedName name="CheckB4201" localSheetId="13" hidden="1">preBS!$L$59</definedName>
    <definedName name="CheckB4201a" localSheetId="5" hidden="1">Notes!$N$4364</definedName>
    <definedName name="CheckB4215" localSheetId="23" hidden="1">BalanceSheet!$L$53</definedName>
    <definedName name="CheckB4215" localSheetId="6" hidden="1">BS!$L$44</definedName>
    <definedName name="CheckB4215" localSheetId="13" hidden="1">preBS!$L$60</definedName>
    <definedName name="CheckB4215a" localSheetId="5" hidden="1">Notes!$N$4396</definedName>
    <definedName name="CheckB4215b" localSheetId="5" hidden="1">Notes!$N$4371</definedName>
    <definedName name="CheckB4298" localSheetId="13" hidden="1">preBS!$L$65</definedName>
    <definedName name="CheckB4301" localSheetId="23" hidden="1">BalanceSheet!$L$54</definedName>
    <definedName name="CheckB4301" localSheetId="6" hidden="1">BS!$L$45</definedName>
    <definedName name="CheckB4301" localSheetId="13" hidden="1">preBS!$L$61</definedName>
    <definedName name="CheckB4301a" localSheetId="5" hidden="1">Notes!$N$4417</definedName>
    <definedName name="CheckB4398" localSheetId="13" hidden="1">preBS!$L$66</definedName>
    <definedName name="CheckB4999" localSheetId="23" hidden="1">BalanceSheet!$L$58</definedName>
    <definedName name="CheckB4999" localSheetId="6" hidden="1">BS!$L$49</definedName>
    <definedName name="CheckB4999" localSheetId="13" hidden="1">preBS!$L$67</definedName>
    <definedName name="CheckB5000" localSheetId="23" hidden="1">BalanceSheet!$L$59</definedName>
    <definedName name="CheckB5000" localSheetId="6" hidden="1">BS!$L$50</definedName>
    <definedName name="CheckB5000" localSheetId="13" hidden="1">preBS!$L$68</definedName>
    <definedName name="CheckB6001x" localSheetId="5" hidden="1">Notes!$N$4616</definedName>
    <definedName name="CheckB6064a" localSheetId="5" hidden="1">Notes!$N$4502</definedName>
    <definedName name="CheckB6064b" localSheetId="5" hidden="1">Notes!$N$4511</definedName>
    <definedName name="CheckB6064c" localSheetId="5" hidden="1">Notes!$N$4520</definedName>
    <definedName name="CheckB6064d" localSheetId="5" hidden="1">Notes!$N$4544</definedName>
    <definedName name="CheckB6064e" localSheetId="5" hidden="1">Notes!$N$4567</definedName>
    <definedName name="CheckB6064f" localSheetId="5" hidden="1">Notes!$N$4586</definedName>
    <definedName name="CheckB6064g" localSheetId="5" hidden="1">Notes!$N$4601</definedName>
    <definedName name="CheckB6064h" localSheetId="5" hidden="1">Notes!$N$4492</definedName>
    <definedName name="CheckB6101a" localSheetId="5" hidden="1">Notes!$N$4858</definedName>
    <definedName name="CheckB6101b" localSheetId="5" hidden="1">Notes!$N$4845</definedName>
    <definedName name="CheckB6102a" localSheetId="5" hidden="1">Notes!$N$4831</definedName>
    <definedName name="CheckB6111a" localSheetId="5" hidden="1">Notes!$N$4809</definedName>
    <definedName name="CheckB6171a" localSheetId="5" hidden="1">Notes!$N$4908</definedName>
    <definedName name="CheckB6181a" localSheetId="5" hidden="1">Notes!$N$4780</definedName>
    <definedName name="CheckB6401x" localSheetId="5" hidden="1">Notes!$N$4626</definedName>
    <definedName name="CheckB6600a" localSheetId="5" hidden="1">Notes!$N$4637</definedName>
    <definedName name="CheckB6600x" localSheetId="5" hidden="1">Notes!$N$4656</definedName>
    <definedName name="CheckB6601a" localSheetId="5" hidden="1">Notes!$N$4667</definedName>
    <definedName name="CheckB6601x" localSheetId="5" hidden="1">Notes!$N$4687</definedName>
    <definedName name="CheckB6602a" localSheetId="5" hidden="1">Notes!$N$4698</definedName>
    <definedName name="CheckB6602x" localSheetId="5" hidden="1">Notes!$N$4718</definedName>
    <definedName name="CheckB6603a" localSheetId="5" hidden="1">Notes!$N$4754</definedName>
    <definedName name="CheckB6603x" localSheetId="5" hidden="1">Notes!$N$4769</definedName>
    <definedName name="CheckB6606a" localSheetId="5" hidden="1">Notes!$N$4729</definedName>
    <definedName name="CheckB6606x" localSheetId="5" hidden="1">Notes!$N$4740</definedName>
    <definedName name="CheckB6671a" localSheetId="5" hidden="1">Notes!$N$4886</definedName>
    <definedName name="CheckB6672a" localSheetId="5" hidden="1">Notes!$N$4872</definedName>
    <definedName name="CheckB6710a" localSheetId="5" hidden="1">Notes!$N$4923</definedName>
    <definedName name="CheckB6710b" localSheetId="5" hidden="1">Notes!$N$4936</definedName>
    <definedName name="CheckB6711a" localSheetId="5" hidden="1">Notes!$N$4954</definedName>
    <definedName name="CheckB6791a" localSheetId="5" hidden="1">Notes!$N$4967</definedName>
    <definedName name="CheckB6791b" localSheetId="5" hidden="1">Notes!$N$4975</definedName>
    <definedName name="CheckB6799" localSheetId="24" hidden="1">IncomeStatement!$F$43</definedName>
    <definedName name="CheckB6799" localSheetId="7" hidden="1">IS!$F$30</definedName>
    <definedName name="CheckB6799" localSheetId="14" hidden="1">preIS!$F$45</definedName>
    <definedName name="CheckB6811" localSheetId="14" hidden="1">preIS!$F$50</definedName>
    <definedName name="CheckB6812" localSheetId="14" hidden="1">preIS!$F$51</definedName>
    <definedName name="CheckB6829" localSheetId="24" hidden="1">IncomeStatement!$F$46</definedName>
    <definedName name="CheckB6829" localSheetId="7" hidden="1">IS!$F$33</definedName>
    <definedName name="CheckB6829" localSheetId="14" hidden="1">preIS!$F$52</definedName>
    <definedName name="CheckB6839" localSheetId="24" hidden="1">IncomeStatement!$F$65</definedName>
    <definedName name="CheckB6839" localSheetId="7" hidden="1">IS!$F$52</definedName>
    <definedName name="CheckB6839" localSheetId="14" hidden="1">preIS!$F$74</definedName>
    <definedName name="CheckB6841" localSheetId="14" hidden="1">preIS!$F$75</definedName>
    <definedName name="CheckB6842" localSheetId="14" hidden="1">preIS!$F$76</definedName>
    <definedName name="CheckB7001x" localSheetId="5" hidden="1">Notes!$N$5878</definedName>
    <definedName name="CheckB7046a" localSheetId="5" hidden="1">Notes!$N$5030</definedName>
    <definedName name="CheckB7046x" localSheetId="5" hidden="1">Notes!$N$5889</definedName>
    <definedName name="CheckB7051x" localSheetId="5" hidden="1">Notes!$N$5900</definedName>
    <definedName name="CheckB7061x" localSheetId="5" hidden="1">Notes!$N$5911</definedName>
    <definedName name="CheckB7071x" localSheetId="5" hidden="1">Notes!$N$5922</definedName>
    <definedName name="CheckB7096a" localSheetId="5" hidden="1">Notes!$N$5046</definedName>
    <definedName name="CheckB7096x" localSheetId="5" hidden="1">Notes!$N$5933</definedName>
    <definedName name="CheckB7099" localSheetId="25" hidden="1">CashFlow!$F$33</definedName>
    <definedName name="CheckB7099" localSheetId="8" hidden="1">CF!$F$17</definedName>
    <definedName name="CheckB7099" localSheetId="17" hidden="1">preCF!$F$35</definedName>
    <definedName name="CheckB7101x" localSheetId="5" hidden="1">Notes!$N$5944</definedName>
    <definedName name="CheckB7105x" localSheetId="5" hidden="1">Notes!$N$5955</definedName>
    <definedName name="CheckB7111x" localSheetId="5" hidden="1">Notes!$N$5966</definedName>
    <definedName name="CheckB7146a" localSheetId="5" hidden="1">Notes!$N$5062</definedName>
    <definedName name="CheckB7151x" localSheetId="5" hidden="1">Notes!$N$5985</definedName>
    <definedName name="CheckB7161x" localSheetId="5" hidden="1">Notes!$N$6006</definedName>
    <definedName name="CheckB7196a" localSheetId="5" hidden="1">Notes!$N$5073</definedName>
    <definedName name="CheckB7211x" localSheetId="5" hidden="1">Notes!$N$6017</definedName>
    <definedName name="CheckB7246a" localSheetId="5" hidden="1">Notes!$N$5084</definedName>
    <definedName name="CheckB7251x" localSheetId="5" hidden="1">Notes!$N$6029</definedName>
    <definedName name="CheckB7261x" localSheetId="5" hidden="1">Notes!$N$6041</definedName>
    <definedName name="CheckB7296a" localSheetId="5" hidden="1">Notes!$N$5095</definedName>
    <definedName name="CheckB7348" localSheetId="25" hidden="1">CashFlow!$F$59</definedName>
    <definedName name="CheckB7348" localSheetId="8" hidden="1">CF!$F$42</definedName>
    <definedName name="CheckB7348" localSheetId="17" hidden="1">preCF!$F$63</definedName>
    <definedName name="CheckB7349" localSheetId="25" hidden="1">CashFlow!$F$60</definedName>
    <definedName name="CheckB7349" localSheetId="8" hidden="1">CF!$F$43</definedName>
    <definedName name="CheckB7349" localSheetId="17" hidden="1">preCF!$F$64</definedName>
    <definedName name="CheckB7399" localSheetId="25" hidden="1">CashFlow!$F$61</definedName>
    <definedName name="CheckB7399" localSheetId="8" hidden="1">CF!$F$44</definedName>
    <definedName name="CheckB7399" localSheetId="17" hidden="1">preCF!$F$65</definedName>
    <definedName name="CheckB7500a" localSheetId="5" hidden="1">Notes!$N$5106</definedName>
    <definedName name="CheckB7500b" localSheetId="5" hidden="1">Notes!$N$5129</definedName>
    <definedName name="CheckB7500c" localSheetId="5" hidden="1">Notes!$N$5137</definedName>
    <definedName name="CheckB7500e" localSheetId="5" hidden="1">Notes!$N$5166</definedName>
    <definedName name="CheckB7500f" localSheetId="5" hidden="1">Notes!$N$5182</definedName>
    <definedName name="CheckB7500g" localSheetId="5" hidden="1">Notes!$N$5146</definedName>
    <definedName name="CheckB7500h" localSheetId="5" hidden="1">Notes!$N$5156</definedName>
    <definedName name="CheckB7502" localSheetId="25" hidden="1">CashFlow!$F$68</definedName>
    <definedName name="CheckB7502" localSheetId="8" hidden="1">CF!$F$51</definedName>
    <definedName name="CheckB7502" localSheetId="17" hidden="1">preCF!$F$71</definedName>
    <definedName name="CheckB7503a" localSheetId="5" hidden="1">Notes!$N$6064</definedName>
    <definedName name="CheckB7505a" localSheetId="5" hidden="1">Notes!$N$6073</definedName>
    <definedName name="CheckB7506a" localSheetId="5" hidden="1">Notes!$N$6084</definedName>
    <definedName name="CheckB7507a" localSheetId="5" hidden="1">Notes!$N$6093</definedName>
    <definedName name="CheckB7508a" localSheetId="5" hidden="1">Notes!$N$6102</definedName>
    <definedName name="CheckB7509a" localSheetId="5" hidden="1">Notes!$N$6116</definedName>
    <definedName name="CheckB7510a" localSheetId="5" hidden="1">Notes!$N$6126</definedName>
    <definedName name="CheckB7511a" localSheetId="5" hidden="1">Notes!$N$6135</definedName>
    <definedName name="CheckB7512a" localSheetId="5" hidden="1">Notes!$N$6146</definedName>
    <definedName name="CheckB7515a" localSheetId="5" hidden="1">Notes!$N$6155</definedName>
    <definedName name="CheckB7516a" localSheetId="5" hidden="1">Notes!$N$6164</definedName>
    <definedName name="CheckB7517a" localSheetId="5" hidden="1">Notes!$N$6173</definedName>
    <definedName name="CheckB7518a" localSheetId="5" hidden="1">Notes!$N$6195</definedName>
    <definedName name="CheckB7519a" localSheetId="5" hidden="1">Notes!$N$6222</definedName>
    <definedName name="CheckB7523a" localSheetId="5" hidden="1">Notes!$N$6251</definedName>
    <definedName name="CheckB7525" localSheetId="25" hidden="1">CashFlow!$F$85</definedName>
    <definedName name="CheckB7525" localSheetId="8" hidden="1">CF!$F$68</definedName>
    <definedName name="CheckB7525" localSheetId="17" hidden="1">preCF!$F$88</definedName>
    <definedName name="CheckB7539" localSheetId="25" hidden="1">CashFlow!$F$95</definedName>
    <definedName name="CheckB7539" localSheetId="8" hidden="1">CF!$F$78</definedName>
    <definedName name="CheckB7539" localSheetId="17" hidden="1">preCF!$F$98</definedName>
    <definedName name="CheckB8001" localSheetId="9" hidden="1">CE!$AC$9</definedName>
    <definedName name="CheckB8001" localSheetId="26" hidden="1">OwnersEquity!$AC$9</definedName>
    <definedName name="CheckB8001" localSheetId="16" hidden="1">preCE!$AE$9</definedName>
    <definedName name="CheckB8040" localSheetId="9" hidden="1">CE!$AC$15</definedName>
    <definedName name="CheckB8040" localSheetId="26" hidden="1">OwnersEquity!$AC$15</definedName>
    <definedName name="CheckB8040" localSheetId="16" hidden="1">preCE!$AE$18</definedName>
    <definedName name="CheckB8099" localSheetId="9" hidden="1">CE!$AC$36</definedName>
    <definedName name="CheckB8099" localSheetId="26" hidden="1">OwnersEquity!$AC$37</definedName>
    <definedName name="CheckB8099" localSheetId="16" hidden="1">preCE!$AE$40</definedName>
    <definedName name="CheckB8101" localSheetId="9" hidden="1">CE!$Q$9</definedName>
    <definedName name="CheckB8101" localSheetId="26" hidden="1">OwnersEquity!$Q$9</definedName>
    <definedName name="CheckB8101" localSheetId="16" hidden="1">preCE!$R$9</definedName>
    <definedName name="CheckB8199" localSheetId="9" hidden="1">CE!$Q$36</definedName>
    <definedName name="CheckB8199" localSheetId="26" hidden="1">OwnersEquity!$Q$37</definedName>
    <definedName name="CheckB8199" localSheetId="16" hidden="1">preCE!$R$40</definedName>
    <definedName name="CheckB8201" localSheetId="9" hidden="1">CE!$U$9</definedName>
    <definedName name="CheckB8201" localSheetId="26" hidden="1">OwnersEquity!$U$9</definedName>
    <definedName name="CheckB8201" localSheetId="16" hidden="1">preCE!$V$9</definedName>
    <definedName name="CheckB8299" localSheetId="9" hidden="1">CE!$U$36</definedName>
    <definedName name="CheckB8299" localSheetId="26" hidden="1">OwnersEquity!$U$37</definedName>
    <definedName name="CheckB8299" localSheetId="16" hidden="1">preCE!$V$40</definedName>
    <definedName name="CheckB8301" localSheetId="9" hidden="1">CE!$V$9</definedName>
    <definedName name="CheckB8301" localSheetId="26" hidden="1">OwnersEquity!$V$9</definedName>
    <definedName name="CheckB8301" localSheetId="16" hidden="1">preCE!$W$9</definedName>
    <definedName name="CheckB8399" localSheetId="9" hidden="1">CE!$V$36</definedName>
    <definedName name="CheckB8399" localSheetId="26" hidden="1">OwnersEquity!$V$37</definedName>
    <definedName name="CheckB8399" localSheetId="16" hidden="1">preCE!$W$40</definedName>
    <definedName name="CheckB8401" localSheetId="9" hidden="1">CE!$X$9</definedName>
    <definedName name="CheckB8401" localSheetId="26" hidden="1">OwnersEquity!$X$9</definedName>
    <definedName name="CheckB8401" localSheetId="16" hidden="1">preCE!$Y$9</definedName>
    <definedName name="CheckB8499" localSheetId="9" hidden="1">CE!$X$36</definedName>
    <definedName name="CheckB8499" localSheetId="26" hidden="1">OwnersEquity!$X$37</definedName>
    <definedName name="CheckB8499" localSheetId="16" hidden="1">preCE!$Y$40</definedName>
    <definedName name="CheckB8501" localSheetId="9" hidden="1">CE!$Y$9</definedName>
    <definedName name="CheckB8501" localSheetId="26" hidden="1">OwnersEquity!$Y$9</definedName>
    <definedName name="CheckB8501" localSheetId="16" hidden="1">preCE!$Z$9</definedName>
    <definedName name="CheckB8599" localSheetId="9" hidden="1">CE!$Y$36</definedName>
    <definedName name="CheckB8599" localSheetId="26" hidden="1">OwnersEquity!$Y$37</definedName>
    <definedName name="CheckB8599" localSheetId="16" hidden="1">preCE!$Z$40</definedName>
    <definedName name="CheckB8601" localSheetId="26" hidden="1">OwnersEquity!$Z$9</definedName>
    <definedName name="CheckB8601" localSheetId="16" hidden="1">preCE!$AA$9</definedName>
    <definedName name="CheckB8699" localSheetId="9" hidden="1">CE!$Z$36</definedName>
    <definedName name="CheckB8699" localSheetId="26" hidden="1">OwnersEquity!$Z$37</definedName>
    <definedName name="CheckB8699" localSheetId="16" hidden="1">preCE!$AA$40</definedName>
    <definedName name="CheckB8701" localSheetId="9" hidden="1">CE!$AA$9</definedName>
    <definedName name="CheckB8701" localSheetId="26" hidden="1">OwnersEquity!$AA$9</definedName>
    <definedName name="CheckB8701" localSheetId="16" hidden="1">preCE!$AB$9</definedName>
    <definedName name="CheckB8740" localSheetId="9" hidden="1">CE!$AA$15</definedName>
    <definedName name="CheckB8740" localSheetId="26" hidden="1">OwnersEquity!$AA$15</definedName>
    <definedName name="CheckB8740" localSheetId="16" hidden="1">preCE!$AB$18</definedName>
    <definedName name="CheckB8799" localSheetId="9" hidden="1">CE!$AA$36</definedName>
    <definedName name="CheckB8799" localSheetId="26" hidden="1">OwnersEquity!$AA$37</definedName>
    <definedName name="CheckB8799" localSheetId="16" hidden="1">preCE!$AB$40</definedName>
    <definedName name="CheckB8801" localSheetId="9" hidden="1">CE!$AB$9</definedName>
    <definedName name="CheckB8801" localSheetId="26" hidden="1">OwnersEquity!$AB$9</definedName>
    <definedName name="CheckB8801" localSheetId="16" hidden="1">preCE!$AC$9</definedName>
    <definedName name="CheckB8899" localSheetId="9" hidden="1">CE!$AB$36</definedName>
    <definedName name="CheckB8899" localSheetId="26" hidden="1">OwnersEquity!$AB$37</definedName>
    <definedName name="CheckB8899" localSheetId="16" hidden="1">preCE!$AC$40</definedName>
    <definedName name="CheckB8901" localSheetId="16" hidden="1">preCE!$AD$9</definedName>
    <definedName name="CheckB8940" localSheetId="16" hidden="1">preCE!$AD$18</definedName>
    <definedName name="CheckB8999" localSheetId="16" hidden="1">preCE!$AD$40</definedName>
    <definedName name="CheckB8a01" localSheetId="16" hidden="1">preCE!$S$9</definedName>
    <definedName name="CheckB8b01" localSheetId="9" hidden="1">CE!$R$9</definedName>
    <definedName name="CheckB8b01" localSheetId="26" hidden="1">OwnersEquity!$R$9</definedName>
    <definedName name="CheckB8b99" localSheetId="9" hidden="1">CE!$R$36</definedName>
    <definedName name="CheckB8b99" localSheetId="26" hidden="1">OwnersEquity!$R$37</definedName>
    <definedName name="CheckB8b99" localSheetId="16" hidden="1">preCE!$S$40</definedName>
    <definedName name="CheckB8c01" localSheetId="9" hidden="1">CE!$S$9</definedName>
    <definedName name="CheckB8c01" localSheetId="26" hidden="1">OwnersEquity!$S$9</definedName>
    <definedName name="CheckB8c01" localSheetId="16" hidden="1">preCE!$T$9</definedName>
    <definedName name="CheckB8c99" localSheetId="9" hidden="1">CE!$S$36</definedName>
    <definedName name="CheckB8c99" localSheetId="26" hidden="1">OwnersEquity!$S$37</definedName>
    <definedName name="CheckB8c99" localSheetId="16" hidden="1">preCE!$T$40</definedName>
    <definedName name="CheckB8d01" localSheetId="9" hidden="1">CE!$T$9</definedName>
    <definedName name="CheckB8d01" localSheetId="26" hidden="1">OwnersEquity!$T$9</definedName>
    <definedName name="CheckB8d01" localSheetId="16" hidden="1">preCE!$U$9</definedName>
    <definedName name="CheckB8d99" localSheetId="9" hidden="1">CE!$T$36</definedName>
    <definedName name="CheckB8d99" localSheetId="26" hidden="1">OwnersEquity!$T$37</definedName>
    <definedName name="CheckB8d99" localSheetId="16" hidden="1">preCE!$U$40</definedName>
    <definedName name="CheckB8g01" localSheetId="9" hidden="1">CE!$W$9</definedName>
    <definedName name="CheckB8g01" localSheetId="26" hidden="1">OwnersEquity!$W$9</definedName>
    <definedName name="CheckB8g01" localSheetId="16" hidden="1">preCE!$X$9</definedName>
    <definedName name="CheckB8g40" localSheetId="9" hidden="1">CE!$W$15</definedName>
    <definedName name="CheckB8g40" localSheetId="26" hidden="1">OwnersEquity!$W$15</definedName>
    <definedName name="CheckB8g40" localSheetId="16" hidden="1">preCE!$X$18</definedName>
    <definedName name="CheckB8g99" localSheetId="9" hidden="1">CE!$W$36</definedName>
    <definedName name="CheckB8g99" localSheetId="26" hidden="1">OwnersEquity!$W$37</definedName>
    <definedName name="CheckB8g99" localSheetId="16" hidden="1">preCE!$X$40</definedName>
    <definedName name="CheckB9120c" localSheetId="5" hidden="1">Notes!$N$5657</definedName>
    <definedName name="CheckB9120d" localSheetId="5" hidden="1">Notes!$N$5667</definedName>
    <definedName name="CheckB9120e" localSheetId="5" hidden="1">Notes!$N$5677</definedName>
    <definedName name="CheckB9120f" localSheetId="5" hidden="1">Notes!$N$5687</definedName>
    <definedName name="CheckB9120g" localSheetId="5" hidden="1">Notes!$N$5697</definedName>
    <definedName name="CheckB9120h" localSheetId="5" hidden="1">Notes!$N$5707</definedName>
    <definedName name="CheckB9120i" localSheetId="5" hidden="1">Notes!$N$5717</definedName>
    <definedName name="CheckB9120j" localSheetId="5" hidden="1">Notes!$N$5727</definedName>
    <definedName name="CheckB9120k" localSheetId="5" hidden="1">Notes!$N$5737</definedName>
    <definedName name="CheckB9120l" localSheetId="5" hidden="1">Notes!$N$5747</definedName>
    <definedName name="CheckB9120m" localSheetId="5" hidden="1">Notes!$N$5631</definedName>
    <definedName name="CheckB9120n" localSheetId="5" hidden="1">Notes!$N$5644</definedName>
    <definedName name="CheckB9120o" localSheetId="5" hidden="1">Notes!$N$5755</definedName>
    <definedName name="CheckB9120p" localSheetId="5" hidden="1">Notes!$N$5770</definedName>
    <definedName name="CheckB9314a" localSheetId="5" hidden="1">Notes!$N$5193</definedName>
    <definedName name="CheckB9325g" localSheetId="5" hidden="1">Notes!$N$5329</definedName>
    <definedName name="CheckB9325h" localSheetId="5" hidden="1">Notes!$N$5346</definedName>
    <definedName name="CheckB9325i" localSheetId="5" hidden="1">Notes!$N$5363</definedName>
    <definedName name="CheckB9325j" localSheetId="5" hidden="1">Notes!$N$5379</definedName>
    <definedName name="CheckB9325k" localSheetId="5" hidden="1">Notes!$N$5395</definedName>
    <definedName name="CheckB9325m" localSheetId="5" hidden="1">Notes!$N$5429</definedName>
    <definedName name="CheckB9331a" localSheetId="5" hidden="1">Notes!$N$5464</definedName>
    <definedName name="CheckB9331b" localSheetId="5" hidden="1">Notes!$N$5611</definedName>
    <definedName name="CheckB9331g" localSheetId="5" hidden="1">Notes!$N$5585</definedName>
    <definedName name="CheckB9331i" localSheetId="5" hidden="1">Notes!$N$5558</definedName>
    <definedName name="CheckB9331j" localSheetId="5" hidden="1">Notes!$N$5567</definedName>
    <definedName name="CheckB9331k" localSheetId="5" hidden="1">Notes!$N$5510</definedName>
    <definedName name="CheckB9367a" localSheetId="5" hidden="1">Notes!$N$5784</definedName>
    <definedName name="CheckB9367b" localSheetId="5" hidden="1">Notes!$N$5805</definedName>
    <definedName name="CheckB9371h" localSheetId="5" hidden="1">Notes!$N$5285</definedName>
    <definedName name="CheckB9371i" localSheetId="5" hidden="1">Notes!$N$5300</definedName>
    <definedName name="CheckB9371j" localSheetId="5" hidden="1">Notes!$N$5315</definedName>
    <definedName name="CheckB9601a" localSheetId="5" hidden="1">Notes!$N$5814</definedName>
    <definedName name="CheckB9601b" localSheetId="5" hidden="1">Notes!$N$5856</definedName>
    <definedName name="CheckB9601c" localSheetId="5" hidden="1">Notes!$N$5846</definedName>
    <definedName name="CheckB9601d" localSheetId="5" hidden="1">Notes!$N$5866</definedName>
    <definedName name="CheckB9690a" localSheetId="5" hidden="1">Notes!$N$4994</definedName>
    <definedName name="CheckB9690b" localSheetId="5" hidden="1">Notes!$N$5008</definedName>
    <definedName name="CheckB9690c" localSheetId="5" hidden="1">Notes!$N$5018</definedName>
    <definedName name="CL">[18]master!$M$3:$M$31</definedName>
    <definedName name="COM_QZB_ACT">#REF!</definedName>
    <definedName name="COM_QZB_EST">#REF!</definedName>
    <definedName name="COM_TP_ACT">#REF!</definedName>
    <definedName name="COM_TP_EST">#REF!</definedName>
    <definedName name="COMISS_QZB">#REF!</definedName>
    <definedName name="Company_Name">#REF!</definedName>
    <definedName name="Company_Number">#REF!</definedName>
    <definedName name="count">#REF!</definedName>
    <definedName name="Cp101.xls">#REF!</definedName>
    <definedName name="Cp102.xls">#REF!</definedName>
    <definedName name="CRD">#REF!</definedName>
    <definedName name="CRITINST">#REF!</definedName>
    <definedName name="CRITPURC">#REF!</definedName>
    <definedName name="CRS">#REF!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d3p">#REF!</definedName>
    <definedName name="csddg1p">#REF!</definedName>
    <definedName name="csddt1p">#REF!</definedName>
    <definedName name="csht3p">#REF!</definedName>
    <definedName name="ctdn9697">#REF!</definedName>
    <definedName name="ctiep">#REF!</definedName>
    <definedName name="CTIET">#REF!</definedName>
    <definedName name="currcode">[4]上报资产负债表!$B$7</definedName>
    <definedName name="CURRENCY" localSheetId="18">#REF!</definedName>
    <definedName name="Currency">#REF!</definedName>
    <definedName name="Current_account_aging">[17]master!$A$6:$A$9</definedName>
    <definedName name="CUST_DUTY">#REF!</definedName>
    <definedName name="CX">#REF!</definedName>
    <definedName name="C产品">[15]预付账款Dy!$A$44</definedName>
    <definedName name="D_7101A_B">#REF!</definedName>
    <definedName name="D_SIZE">"Dsize"</definedName>
    <definedName name="D1689PA">#REF!</definedName>
    <definedName name="D1689PB">#REF!</definedName>
    <definedName name="D1689PL">#REF!</definedName>
    <definedName name="D1689PO">#REF!</definedName>
    <definedName name="D1689WB">#REF!</definedName>
    <definedName name="D1689WE">#REF!</definedName>
    <definedName name="D1689WL">#REF!</definedName>
    <definedName name="D1689YA">#REF!</definedName>
    <definedName name="D1689YB">#REF!</definedName>
    <definedName name="D1689YL">#REF!</definedName>
    <definedName name="D1690PA">#REF!</definedName>
    <definedName name="D1690PB">#REF!</definedName>
    <definedName name="D1690PL">#REF!</definedName>
    <definedName name="D1690PO">#REF!</definedName>
    <definedName name="D1690WB">#REF!</definedName>
    <definedName name="D1690WE">#REF!</definedName>
    <definedName name="D1690WL">#REF!</definedName>
    <definedName name="D1690YA">#REF!</definedName>
    <definedName name="D1690YB">#REF!</definedName>
    <definedName name="D1690YL">#REF!</definedName>
    <definedName name="D1954PA">#REF!</definedName>
    <definedName name="D1954PB">#REF!</definedName>
    <definedName name="D1954PL">#REF!</definedName>
    <definedName name="D1954PO">#REF!</definedName>
    <definedName name="D1954WB">#REF!</definedName>
    <definedName name="D1954WE">#REF!</definedName>
    <definedName name="D1954WL">#REF!</definedName>
    <definedName name="D1954YA">#REF!</definedName>
    <definedName name="D1954YB">#REF!</definedName>
    <definedName name="D1954YL">#REF!</definedName>
    <definedName name="D2710_">'[3]TB Link'!$D$8</definedName>
    <definedName name="D2710PA">#REF!</definedName>
    <definedName name="D2710PB">#REF!</definedName>
    <definedName name="D2710PL">#REF!</definedName>
    <definedName name="D2710PO">#REF!</definedName>
    <definedName name="D2710WB">#REF!</definedName>
    <definedName name="D2710WE">#REF!</definedName>
    <definedName name="D2710WL">#REF!</definedName>
    <definedName name="D2710YA">#REF!</definedName>
    <definedName name="D2710YB">#REF!</definedName>
    <definedName name="D2710YL">#REF!</definedName>
    <definedName name="D2715PA">#REF!</definedName>
    <definedName name="D2715PB">#REF!</definedName>
    <definedName name="D2715PL">#REF!</definedName>
    <definedName name="D2715PO">#REF!</definedName>
    <definedName name="D2715WB">#REF!</definedName>
    <definedName name="D2715WE">#REF!</definedName>
    <definedName name="D2715WL">#REF!</definedName>
    <definedName name="D2715YA">#REF!</definedName>
    <definedName name="D2715YB">#REF!</definedName>
    <definedName name="D2715YL">#REF!</definedName>
    <definedName name="D2720_">'[3]TB Link'!$D$10</definedName>
    <definedName name="D2720PA">#REF!</definedName>
    <definedName name="D2720PB">#REF!</definedName>
    <definedName name="D2720PL">#REF!</definedName>
    <definedName name="D2720PO">#REF!</definedName>
    <definedName name="D2720WB">#REF!</definedName>
    <definedName name="D2720WE">#REF!</definedName>
    <definedName name="D2720WL">#REF!</definedName>
    <definedName name="D2720YA">#REF!</definedName>
    <definedName name="D2720YB">#REF!</definedName>
    <definedName name="D2720YL">#REF!</definedName>
    <definedName name="D2731_">'[3]TB Link'!$D$11</definedName>
    <definedName name="D2731PA">#REF!</definedName>
    <definedName name="D2731PB">#REF!</definedName>
    <definedName name="D2731PL">#REF!</definedName>
    <definedName name="D2731PO">#REF!</definedName>
    <definedName name="D2731WB">#REF!</definedName>
    <definedName name="D2731WE">#REF!</definedName>
    <definedName name="D2731WL">#REF!</definedName>
    <definedName name="D2731YA">#REF!</definedName>
    <definedName name="D2731YB">#REF!</definedName>
    <definedName name="D2731YL">#REF!</definedName>
    <definedName name="D2732_">'[3]TB Link'!$D$12</definedName>
    <definedName name="D2732PA">#REF!</definedName>
    <definedName name="D2732PB">#REF!</definedName>
    <definedName name="D2732PL">#REF!</definedName>
    <definedName name="D2732PO">#REF!</definedName>
    <definedName name="D2732WB">#REF!</definedName>
    <definedName name="D2732WE">#REF!</definedName>
    <definedName name="D2732WL">#REF!</definedName>
    <definedName name="D2732YA">#REF!</definedName>
    <definedName name="D2732YB">#REF!</definedName>
    <definedName name="D2732YL">#REF!</definedName>
    <definedName name="D2733_">'[3]TB Link'!$D$13</definedName>
    <definedName name="D2733PA">#REF!</definedName>
    <definedName name="D2733PB">#REF!</definedName>
    <definedName name="D2733PL">#REF!</definedName>
    <definedName name="D2733PO">#REF!</definedName>
    <definedName name="D2733WB">#REF!</definedName>
    <definedName name="D2733WE">#REF!</definedName>
    <definedName name="D2733WL">#REF!</definedName>
    <definedName name="D2733YA">#REF!</definedName>
    <definedName name="D2733YB">#REF!</definedName>
    <definedName name="D2733YL">#REF!</definedName>
    <definedName name="D2734_">'[3]TB Link'!$D$14</definedName>
    <definedName name="D2734PA">#REF!</definedName>
    <definedName name="D2734PB">#REF!</definedName>
    <definedName name="D2734PL">#REF!</definedName>
    <definedName name="D2734PO">#REF!</definedName>
    <definedName name="D2734WB">#REF!</definedName>
    <definedName name="D2734WE">#REF!</definedName>
    <definedName name="D2734WL">#REF!</definedName>
    <definedName name="D2734YA">#REF!</definedName>
    <definedName name="D2734YB">#REF!</definedName>
    <definedName name="D2734YL">#REF!</definedName>
    <definedName name="D2740_">'[3]TB Link'!$D$15</definedName>
    <definedName name="D2740PA">#REF!</definedName>
    <definedName name="D2740PB">#REF!</definedName>
    <definedName name="D2740PL">#REF!</definedName>
    <definedName name="D2740PO">#REF!</definedName>
    <definedName name="D2740WB">#REF!</definedName>
    <definedName name="D2740WE">#REF!</definedName>
    <definedName name="D2740WL">#REF!</definedName>
    <definedName name="D2740YA">#REF!</definedName>
    <definedName name="D2740YB">#REF!</definedName>
    <definedName name="D2740YL">#REF!</definedName>
    <definedName name="D2745_">'[3]TB Link'!$D$16</definedName>
    <definedName name="D2745PA">#REF!</definedName>
    <definedName name="D2745PB">#REF!</definedName>
    <definedName name="D2745PL">#REF!</definedName>
    <definedName name="D2745PO">#REF!</definedName>
    <definedName name="D2745WB">#REF!</definedName>
    <definedName name="D2745WE">#REF!</definedName>
    <definedName name="D2745WL">#REF!</definedName>
    <definedName name="D2745YA">#REF!</definedName>
    <definedName name="D2745YB">#REF!</definedName>
    <definedName name="D2745YL">#REF!</definedName>
    <definedName name="D2750_">'[3]TB Link'!$D$17</definedName>
    <definedName name="D2750PA">#REF!</definedName>
    <definedName name="D2750PB">#REF!</definedName>
    <definedName name="D2750PL">#REF!</definedName>
    <definedName name="D2750PO">#REF!</definedName>
    <definedName name="D2750WB">#REF!</definedName>
    <definedName name="D2750WE">#REF!</definedName>
    <definedName name="D2750WL">#REF!</definedName>
    <definedName name="D2750YA">#REF!</definedName>
    <definedName name="D2750YB">#REF!</definedName>
    <definedName name="D2750YL">#REF!</definedName>
    <definedName name="D2755_">'[3]TB Link'!$D$18</definedName>
    <definedName name="D2755PA">#REF!</definedName>
    <definedName name="D2755PB">#REF!</definedName>
    <definedName name="D2755PL">#REF!</definedName>
    <definedName name="D2755PO">#REF!</definedName>
    <definedName name="D2755WB">#REF!</definedName>
    <definedName name="D2755WE">#REF!</definedName>
    <definedName name="D2755WL">#REF!</definedName>
    <definedName name="D2755YA">#REF!</definedName>
    <definedName name="D2755YB">#REF!</definedName>
    <definedName name="D2755YL">#REF!</definedName>
    <definedName name="D2760_">'[3]TB Link'!$D$19</definedName>
    <definedName name="D2760PA">#REF!</definedName>
    <definedName name="D2760PB">#REF!</definedName>
    <definedName name="D2760PL">#REF!</definedName>
    <definedName name="D2760PO">#REF!</definedName>
    <definedName name="D2760WB">#REF!</definedName>
    <definedName name="D2760WE">#REF!</definedName>
    <definedName name="D2760WL">#REF!</definedName>
    <definedName name="D2760YA">#REF!</definedName>
    <definedName name="D2760YB">#REF!</definedName>
    <definedName name="D2760YL">#REF!</definedName>
    <definedName name="D2765_">'[3]TB Link'!$D$20</definedName>
    <definedName name="D2765PA">#REF!</definedName>
    <definedName name="D2765PB">#REF!</definedName>
    <definedName name="D2765PL">#REF!</definedName>
    <definedName name="D2765PO">#REF!</definedName>
    <definedName name="D2765WB">#REF!</definedName>
    <definedName name="D2765WE">#REF!</definedName>
    <definedName name="D2765WL">#REF!</definedName>
    <definedName name="D2765YA">#REF!</definedName>
    <definedName name="D2765YB">#REF!</definedName>
    <definedName name="D2765YL">#REF!</definedName>
    <definedName name="D2770_">'[3]TB Link'!$D$21</definedName>
    <definedName name="D2770PA">#REF!</definedName>
    <definedName name="D2770PB">#REF!</definedName>
    <definedName name="D2770PL">#REF!</definedName>
    <definedName name="D2770PO">#REF!</definedName>
    <definedName name="D2770WB">#REF!</definedName>
    <definedName name="D2770WE">#REF!</definedName>
    <definedName name="D2770WL">#REF!</definedName>
    <definedName name="D2770YA">#REF!</definedName>
    <definedName name="D2770YB">#REF!</definedName>
    <definedName name="D2770YL">#REF!</definedName>
    <definedName name="D2775PA">#REF!</definedName>
    <definedName name="D2775PB">#REF!</definedName>
    <definedName name="D2775PL">#REF!</definedName>
    <definedName name="D2775PO">#REF!</definedName>
    <definedName name="D2775WB">#REF!</definedName>
    <definedName name="D2775WE">#REF!</definedName>
    <definedName name="D2775WL">#REF!</definedName>
    <definedName name="D2775YA">#REF!</definedName>
    <definedName name="D2775YB">#REF!</definedName>
    <definedName name="D2775YL">#REF!</definedName>
    <definedName name="D2780_">'[3]TB Link'!$D$23</definedName>
    <definedName name="D2780PA">#REF!</definedName>
    <definedName name="D2780PB">#REF!</definedName>
    <definedName name="D2780PL">#REF!</definedName>
    <definedName name="D2780PO">#REF!</definedName>
    <definedName name="D2780WB">#REF!</definedName>
    <definedName name="D2780WE">#REF!</definedName>
    <definedName name="D2780WL">#REF!</definedName>
    <definedName name="D2780YA">#REF!</definedName>
    <definedName name="D2780YB">#REF!</definedName>
    <definedName name="D2780YL">#REF!</definedName>
    <definedName name="D2785_">'[3]TB Link'!$D$24</definedName>
    <definedName name="D2785PA">#REF!</definedName>
    <definedName name="D2785PB">#REF!</definedName>
    <definedName name="D2785PL">#REF!</definedName>
    <definedName name="D2785PO">#REF!</definedName>
    <definedName name="D2785WB">#REF!</definedName>
    <definedName name="D2785WE">#REF!</definedName>
    <definedName name="D2785WL">#REF!</definedName>
    <definedName name="D2785YA">#REF!</definedName>
    <definedName name="D2785YB">#REF!</definedName>
    <definedName name="D2785YL">#REF!</definedName>
    <definedName name="D2790_">'[3]TB Link'!$D$25</definedName>
    <definedName name="D2790PA">#REF!</definedName>
    <definedName name="D2790PB">#REF!</definedName>
    <definedName name="D2790PL">#REF!</definedName>
    <definedName name="D2790PO">#REF!</definedName>
    <definedName name="D2790WB">#REF!</definedName>
    <definedName name="D2790WE">#REF!</definedName>
    <definedName name="D2790WL">#REF!</definedName>
    <definedName name="D2790YA">#REF!</definedName>
    <definedName name="D2790YB">#REF!</definedName>
    <definedName name="D2790YL">#REF!</definedName>
    <definedName name="D2795_">'[3]TB Link'!$D$26</definedName>
    <definedName name="D2795PA">#REF!</definedName>
    <definedName name="D2795PB">#REF!</definedName>
    <definedName name="D2795PL">#REF!</definedName>
    <definedName name="D2795PO">#REF!</definedName>
    <definedName name="D2795WB">#REF!</definedName>
    <definedName name="D2795WE">#REF!</definedName>
    <definedName name="D2795WL">#REF!</definedName>
    <definedName name="D2795YA">#REF!</definedName>
    <definedName name="D2795YB">#REF!</definedName>
    <definedName name="D2795YL">#REF!</definedName>
    <definedName name="D2815_">'[3]TB Link'!$D$27</definedName>
    <definedName name="D2815PA">#REF!</definedName>
    <definedName name="D2815PB">#REF!</definedName>
    <definedName name="D2815PL">#REF!</definedName>
    <definedName name="D2815PO">#REF!</definedName>
    <definedName name="D2815WB">#REF!</definedName>
    <definedName name="D2815WE">#REF!</definedName>
    <definedName name="D2815WL">#REF!</definedName>
    <definedName name="D2815YA">#REF!</definedName>
    <definedName name="D2815YB">#REF!</definedName>
    <definedName name="D2815YL">#REF!</definedName>
    <definedName name="D2855_">'[3]TB Link'!$D$28</definedName>
    <definedName name="D2855PA">#REF!</definedName>
    <definedName name="D2855PB">#REF!</definedName>
    <definedName name="D2855PL">#REF!</definedName>
    <definedName name="D2855PO">#REF!</definedName>
    <definedName name="D2855WB">#REF!</definedName>
    <definedName name="D2855WE">#REF!</definedName>
    <definedName name="D2855WL">#REF!</definedName>
    <definedName name="D2855YA">#REF!</definedName>
    <definedName name="D2855YB">#REF!</definedName>
    <definedName name="D2855YL">#REF!</definedName>
    <definedName name="D2860_">'[3]TB Link'!$D$29</definedName>
    <definedName name="D2860PA">#REF!</definedName>
    <definedName name="D2860PB">#REF!</definedName>
    <definedName name="D2860PL">#REF!</definedName>
    <definedName name="D2860PO">#REF!</definedName>
    <definedName name="D2860WB">#REF!</definedName>
    <definedName name="D2860WE">#REF!</definedName>
    <definedName name="D2860WL">#REF!</definedName>
    <definedName name="D2860YA">#REF!</definedName>
    <definedName name="D2860YB">#REF!</definedName>
    <definedName name="D2860YL">#REF!</definedName>
    <definedName name="D2870_">'[3]TB Link'!$D$30</definedName>
    <definedName name="D2870PA">#REF!</definedName>
    <definedName name="D2870PB">#REF!</definedName>
    <definedName name="D2870PL">#REF!</definedName>
    <definedName name="D2870PO">#REF!</definedName>
    <definedName name="D2870WB">#REF!</definedName>
    <definedName name="D2870WE">#REF!</definedName>
    <definedName name="D2870WL">#REF!</definedName>
    <definedName name="D2870YA">#REF!</definedName>
    <definedName name="D2870YB">#REF!</definedName>
    <definedName name="D2870YL">#REF!</definedName>
    <definedName name="D2880_">'[3]TB Link'!$D$31</definedName>
    <definedName name="D2880PA">#REF!</definedName>
    <definedName name="D2880PB">#REF!</definedName>
    <definedName name="D2880PL">#REF!</definedName>
    <definedName name="D2880PO">#REF!</definedName>
    <definedName name="D2880WB">#REF!</definedName>
    <definedName name="D2880WE">#REF!</definedName>
    <definedName name="D2880WL">#REF!</definedName>
    <definedName name="D2880YA">#REF!</definedName>
    <definedName name="D2880YB">#REF!</definedName>
    <definedName name="D2880YL">#REF!</definedName>
    <definedName name="D2920_">'[3]TB Link'!$D$32</definedName>
    <definedName name="D2920PA">#REF!</definedName>
    <definedName name="D2920PB">#REF!</definedName>
    <definedName name="D2920PL">#REF!</definedName>
    <definedName name="D2920PO">#REF!</definedName>
    <definedName name="D2920WB">#REF!</definedName>
    <definedName name="D2920WE">#REF!</definedName>
    <definedName name="D2920WL">#REF!</definedName>
    <definedName name="D2920YA">#REF!</definedName>
    <definedName name="D2920YB">#REF!</definedName>
    <definedName name="D2920YL">#REF!</definedName>
    <definedName name="D2930_">'[3]TB Link'!$D$33</definedName>
    <definedName name="D2930PA">#REF!</definedName>
    <definedName name="D2930PB">#REF!</definedName>
    <definedName name="D2930PL">#REF!</definedName>
    <definedName name="D2930PO">#REF!</definedName>
    <definedName name="D2930WB">#REF!</definedName>
    <definedName name="D2930WE">#REF!</definedName>
    <definedName name="D2930WL">#REF!</definedName>
    <definedName name="D2930YA">#REF!</definedName>
    <definedName name="D2930YB">#REF!</definedName>
    <definedName name="D2930YL">#REF!</definedName>
    <definedName name="D2935_">'[3]TB Link'!$D$34</definedName>
    <definedName name="D2935PA">#REF!</definedName>
    <definedName name="D2935PB">#REF!</definedName>
    <definedName name="D2935PL">#REF!</definedName>
    <definedName name="D2935PO">#REF!</definedName>
    <definedName name="D2935WB">#REF!</definedName>
    <definedName name="D2935WE">#REF!</definedName>
    <definedName name="D2935WL">#REF!</definedName>
    <definedName name="D2935YA">#REF!</definedName>
    <definedName name="D2935YB">#REF!</definedName>
    <definedName name="D2935YL">#REF!</definedName>
    <definedName name="D2940_">'[3]TB Link'!$D$35</definedName>
    <definedName name="D2940PA">#REF!</definedName>
    <definedName name="D2940PB">#REF!</definedName>
    <definedName name="D2940PL">#REF!</definedName>
    <definedName name="D2940PO">#REF!</definedName>
    <definedName name="D2940WB">#REF!</definedName>
    <definedName name="D2940WE">#REF!</definedName>
    <definedName name="D2940WL">#REF!</definedName>
    <definedName name="D2940YA">#REF!</definedName>
    <definedName name="D2940YB">#REF!</definedName>
    <definedName name="D2940YL">#REF!</definedName>
    <definedName name="D3110PA">#REF!</definedName>
    <definedName name="D3110PB">#REF!</definedName>
    <definedName name="D3110PL">#REF!</definedName>
    <definedName name="D3110PO">#REF!</definedName>
    <definedName name="D3110WB">#REF!</definedName>
    <definedName name="D3110WE">#REF!</definedName>
    <definedName name="D3110WL">#REF!</definedName>
    <definedName name="D3110YA">#REF!</definedName>
    <definedName name="D3110YB">#REF!</definedName>
    <definedName name="D3110YL">#REF!</definedName>
    <definedName name="D3115PA">#REF!</definedName>
    <definedName name="D3115PB">#REF!</definedName>
    <definedName name="D3115PL">#REF!</definedName>
    <definedName name="D3115PO">#REF!</definedName>
    <definedName name="D3115WB">#REF!</definedName>
    <definedName name="D3115WE">#REF!</definedName>
    <definedName name="D3115WL">#REF!</definedName>
    <definedName name="D3115YA">#REF!</definedName>
    <definedName name="D3115YB">#REF!</definedName>
    <definedName name="D3115YL">#REF!</definedName>
    <definedName name="D3135PA">#REF!</definedName>
    <definedName name="D3135PB">#REF!</definedName>
    <definedName name="D3135PL">#REF!</definedName>
    <definedName name="D3135PO">#REF!</definedName>
    <definedName name="D3135WB">#REF!</definedName>
    <definedName name="D3135WE">#REF!</definedName>
    <definedName name="D3135WL">#REF!</definedName>
    <definedName name="D3135YA">#REF!</definedName>
    <definedName name="D3135YB">#REF!</definedName>
    <definedName name="D3135YL">#REF!</definedName>
    <definedName name="D3140PA">#REF!</definedName>
    <definedName name="D3140PB">#REF!</definedName>
    <definedName name="D3140PL">#REF!</definedName>
    <definedName name="D3140PO">#REF!</definedName>
    <definedName name="D3140WB">#REF!</definedName>
    <definedName name="D3140WE">#REF!</definedName>
    <definedName name="D3140WL">#REF!</definedName>
    <definedName name="D3140YA">#REF!</definedName>
    <definedName name="D3140YB">#REF!</definedName>
    <definedName name="D3140YL">#REF!</definedName>
    <definedName name="D3510PA">#REF!</definedName>
    <definedName name="D3510PB">#REF!</definedName>
    <definedName name="D3510PL">#REF!</definedName>
    <definedName name="D3510PO">#REF!</definedName>
    <definedName name="D3510WB">#REF!</definedName>
    <definedName name="D3510WE">#REF!</definedName>
    <definedName name="D3510WL">#REF!</definedName>
    <definedName name="D3510YA">#REF!</definedName>
    <definedName name="D3510YB">#REF!</definedName>
    <definedName name="D3510YL">#REF!</definedName>
    <definedName name="D3515PA">#REF!</definedName>
    <definedName name="D3515PB">#REF!</definedName>
    <definedName name="D3515PL">#REF!</definedName>
    <definedName name="D3515PO">#REF!</definedName>
    <definedName name="D3515WB">#REF!</definedName>
    <definedName name="D3515WE">#REF!</definedName>
    <definedName name="D3515WL">#REF!</definedName>
    <definedName name="D3515YA">#REF!</definedName>
    <definedName name="D3515YB">#REF!</definedName>
    <definedName name="D3515YL">#REF!</definedName>
    <definedName name="D3539PA">#REF!</definedName>
    <definedName name="D3539PB">#REF!</definedName>
    <definedName name="D3539PL">#REF!</definedName>
    <definedName name="D3539PO">#REF!</definedName>
    <definedName name="D3539WB">#REF!</definedName>
    <definedName name="D3539WE">#REF!</definedName>
    <definedName name="D3539WL">#REF!</definedName>
    <definedName name="D3539YA">#REF!</definedName>
    <definedName name="D3539YB">#REF!</definedName>
    <definedName name="D3539YL">#REF!</definedName>
    <definedName name="D3540PA">#REF!</definedName>
    <definedName name="D3540PB">#REF!</definedName>
    <definedName name="D3540PL">#REF!</definedName>
    <definedName name="D3540PO">#REF!</definedName>
    <definedName name="D3540WB">#REF!</definedName>
    <definedName name="D3540WE">#REF!</definedName>
    <definedName name="D3540WL">#REF!</definedName>
    <definedName name="D3540YA">#REF!</definedName>
    <definedName name="D3540YB">#REF!</definedName>
    <definedName name="D3540YL">#REF!</definedName>
    <definedName name="danhmuc">#REF!</definedName>
    <definedName name="data">#REF!</definedName>
    <definedName name="DATA_DATA2_List">#REF!</definedName>
    <definedName name="DATA1">#REF!</definedName>
    <definedName name="DATA10">#REF!</definedName>
    <definedName name="DATA11">#REF!</definedName>
    <definedName name="DATA12">#REF!</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#REF!</definedName>
    <definedName name="DATA20">#REF!</definedName>
    <definedName name="DATA21">#REF!</definedName>
    <definedName name="DATA3">#REF!</definedName>
    <definedName name="DATA4">#REF!</definedName>
    <definedName name="Data41">#REF!</definedName>
    <definedName name="DATA5">#REF!</definedName>
    <definedName name="DATA6">#REF!</definedName>
    <definedName name="DATA7">#REF!</definedName>
    <definedName name="DATA8">#REF!</definedName>
    <definedName name="DATA9">#REF!</definedName>
    <definedName name="_xlnm.Database">#REF!</definedName>
    <definedName name="Database_Notes" localSheetId="29" hidden="1">STATDATA!$R$1:$AB$1</definedName>
    <definedName name="Database_Parameters" localSheetId="29" hidden="1">STATDATA!$L$1:$M$30</definedName>
    <definedName name="Database_Trialbal" localSheetId="29" hidden="1">STATDATA!$A$1:$I$1</definedName>
    <definedName name="date">[4]上报资产负债表!$B$26</definedName>
    <definedName name="DEM">1/1.95583</definedName>
    <definedName name="dfa">[19]B!#REF!</definedName>
    <definedName name="ds1pvl">#REF!</definedName>
    <definedName name="ds3pctnc">#REF!</definedName>
    <definedName name="ds3pctvc">#REF!</definedName>
    <definedName name="ds3pctvl">#REF!</definedName>
    <definedName name="ds3pmnc">#REF!</definedName>
    <definedName name="ds3pmvc">#REF!</definedName>
    <definedName name="ds3pmvl">#REF!</definedName>
    <definedName name="ds3pnc">#REF!</definedName>
    <definedName name="ds3pvl">#REF!</definedName>
    <definedName name="dsct3pnc">#REF!</definedName>
    <definedName name="dsct3pvl">#REF!</definedName>
    <definedName name="DSPK1p1nc">#REF!</definedName>
    <definedName name="DSPK1p1vl">#REF!</definedName>
    <definedName name="DSPK1pnc">#REF!</definedName>
    <definedName name="DSPK1pvl">#REF!</definedName>
    <definedName name="DSTD_Clear">#N/A</definedName>
    <definedName name="DSUMDATA">#REF!</definedName>
    <definedName name="dt">#REF!</definedName>
    <definedName name="dtdt">#REF!</definedName>
    <definedName name="DYF7474AF4" hidden="1">#REF!</definedName>
    <definedName name="DYS0503AS1" hidden="1">#REF!</definedName>
    <definedName name="D产品">[15]预付账款Dy!$A$64</definedName>
    <definedName name="e">#REF!</definedName>
    <definedName name="E11关联">[20]source!#REF!</definedName>
    <definedName name="EAS_Range_AccountDrCr" localSheetId="38">'9000A错报程序表'!$C$1</definedName>
    <definedName name="EAS_Range_AccountDrCr" localSheetId="41">'9000B对错报性质的评价'!$C$1</definedName>
    <definedName name="EAS_Range_AccountDrCr" localSheetId="42">'9000C错报评价'!$C$1</definedName>
    <definedName name="EAS_Range_AccountDrCr" localSheetId="43">'9000D对错报的沟通'!$C$1</definedName>
    <definedName name="EAS_Range_AccountDrCr" localSheetId="39">'9002B未更正错报（不包括披露错报）汇总表'!$C$1</definedName>
    <definedName name="EAS_Range_AccountDrCr" localSheetId="40">'9002C未更正披露错报汇总表'!$C$1</definedName>
    <definedName name="EAS_Range_AccountName" localSheetId="38">'9000A错报程序表'!$A$4</definedName>
    <definedName name="EAS_Range_AccountName" localSheetId="41">'9000B对错报性质的评价'!$A$4</definedName>
    <definedName name="EAS_Range_AccountName" localSheetId="42">'9000C错报评价'!$A$4</definedName>
    <definedName name="EAS_Range_AccountName" localSheetId="43">'9000D对错报的沟通'!$A$4</definedName>
    <definedName name="EAS_Range_AccountName" localSheetId="39">'9002B未更正错报（不包括披露错报）汇总表'!$A$4</definedName>
    <definedName name="EAS_Range_AccountName" localSheetId="40">'9002C未更正披露错报汇总表'!$A$4</definedName>
    <definedName name="EAS_Range_AuditProc" localSheetId="38">'9000A错报程序表'!$A$8:$K$26</definedName>
    <definedName name="EAS_Range_ClientName" localSheetId="38">'9000A错报程序表'!$B$3</definedName>
    <definedName name="EAS_Range_ClientName" localSheetId="41">'9000B对错报性质的评价'!$B$3</definedName>
    <definedName name="EAS_Range_ClientName" localSheetId="42">'9000C错报评价'!$B$3</definedName>
    <definedName name="EAS_Range_ClientName" localSheetId="43">'9000D对错报的沟通'!$B$3</definedName>
    <definedName name="EAS_Range_ClientName" localSheetId="39">'9002B未更正错报（不包括披露错报）汇总表'!$B$3</definedName>
    <definedName name="EAS_Range_ClientName" localSheetId="40">'9002C未更正披露错报汇总表'!$B$3</definedName>
    <definedName name="EAS_Range_PeriodEnd" localSheetId="38">'9000A错报程序表'!$B$5</definedName>
    <definedName name="EAS_Range_PeriodEnd" localSheetId="41">'9000B对错报性质的评价'!$B$5</definedName>
    <definedName name="EAS_Range_PeriodEnd" localSheetId="42">'9000C错报评价'!$B$5</definedName>
    <definedName name="EAS_Range_PeriodEnd" localSheetId="43">'9000D对错报的沟通'!$B$5</definedName>
    <definedName name="EAS_Range_PeriodEnd" localSheetId="39">'9002B未更正错报（不包括披露错报）汇总表'!$B$5</definedName>
    <definedName name="EAS_Range_PeriodEnd" localSheetId="40">'9002C未更正披露错报汇总表'!$B$5</definedName>
    <definedName name="EAS_Range_PreparedDate" localSheetId="38">'9000A错报程序表'!$A$2</definedName>
    <definedName name="EAS_Range_PreparedDate" localSheetId="41">'9000B对错报性质的评价'!$A$2</definedName>
    <definedName name="EAS_Range_PreparedDate" localSheetId="42">'9000C错报评价'!$A$2</definedName>
    <definedName name="EAS_Range_PreparedDate" localSheetId="43">'9000D对错报的沟通'!$A$2</definedName>
    <definedName name="EAS_Range_PreparedDate" localSheetId="39">'9002B未更正错报（不包括披露错报）汇总表'!$A$2</definedName>
    <definedName name="EAS_Range_PreparedDate" localSheetId="40">'9002C未更正披露错报汇总表'!$A$2</definedName>
    <definedName name="EAS_Range_Preparer" localSheetId="38">'9000A错报程序表'!$D$1</definedName>
    <definedName name="EAS_Range_Preparer" localSheetId="41">'9000B对错报性质的评价'!$D$1</definedName>
    <definedName name="EAS_Range_Preparer" localSheetId="42">'9000C错报评价'!$D$1</definedName>
    <definedName name="EAS_Range_Preparer" localSheetId="43">'9000D对错报的沟通'!$D$1</definedName>
    <definedName name="EAS_Range_Preparer" localSheetId="39">'9002B未更正错报（不包括披露错报）汇总表'!$D$1</definedName>
    <definedName name="EAS_Range_Preparer" localSheetId="40">'9002C未更正披露错报汇总表'!$D$1</definedName>
    <definedName name="EAS_Range_ReviewedDate" localSheetId="38">'9000A错报程序表'!$A$6</definedName>
    <definedName name="EAS_Range_ReviewedDate" localSheetId="41">'9000B对错报性质的评价'!$A$6</definedName>
    <definedName name="EAS_Range_ReviewedDate" localSheetId="42">'9000C错报评价'!$A$6</definedName>
    <definedName name="EAS_Range_ReviewedDate" localSheetId="43">'9000D对错报的沟通'!$A$6</definedName>
    <definedName name="EAS_Range_ReviewedDate" localSheetId="39">'9002B未更正错报（不包括披露错报）汇总表'!$A$6</definedName>
    <definedName name="EAS_Range_ReviewedDate" localSheetId="40">'9002C未更正披露错报汇总表'!$A$6</definedName>
    <definedName name="EAS_Range_Reviewer" localSheetId="38">'9000A错报程序表'!$A$5</definedName>
    <definedName name="EAS_Range_Reviewer" localSheetId="41">'9000B对错报性质的评价'!$A$5</definedName>
    <definedName name="EAS_Range_Reviewer" localSheetId="42">'9000C错报评价'!$A$5</definedName>
    <definedName name="EAS_Range_Reviewer" localSheetId="43">'9000D对错报的沟通'!$A$5</definedName>
    <definedName name="EAS_Range_Reviewer" localSheetId="39">'9002B未更正错报（不包括披露错报）汇总表'!$A$5</definedName>
    <definedName name="EAS_Range_Reviewer" localSheetId="40">'9002C未更正披露错报汇总表'!$A$5</definedName>
    <definedName name="EAS_Range_Subject" localSheetId="38">'9000A错报程序表'!$B$4</definedName>
    <definedName name="EAS_Range_Subject" localSheetId="41">'9000B对错报性质的评价'!$B$4</definedName>
    <definedName name="EAS_Range_Subject" localSheetId="42">'9000C错报评价'!$B$4</definedName>
    <definedName name="EAS_Range_Subject" localSheetId="43">'9000D对错报的沟通'!$B$4</definedName>
    <definedName name="EAS_Range_Subject" localSheetId="39">'9002B未更正错报（不包括披露错报）汇总表'!$B$4</definedName>
    <definedName name="EAS_Range_Subject" localSheetId="40">'9002C未更正披露错报汇总表'!$B$4</definedName>
    <definedName name="EAS_Range_TemplID" localSheetId="38">'9000A错报程序表'!$A$3</definedName>
    <definedName name="EAS_Range_TemplID" localSheetId="41">'9000B对错报性质的评价'!$A$3</definedName>
    <definedName name="EAS_Range_TemplID" localSheetId="42">'9000C错报评价'!$A$3</definedName>
    <definedName name="EAS_Range_TemplID" localSheetId="43">'9000D对错报的沟通'!$A$3</definedName>
    <definedName name="EAS_Range_TemplID" localSheetId="39">'9002B未更正错报（不包括披露错报）汇总表'!$A$3</definedName>
    <definedName name="EAS_Range_TemplID" localSheetId="40">'9002C未更正披露错报汇总表'!$A$3</definedName>
    <definedName name="EAS_Range_WPReference" localSheetId="38">'9000A错报程序表'!$B$1</definedName>
    <definedName name="EAS_Range_WPReference" localSheetId="41">'9000B对错报性质的评价'!$B$1</definedName>
    <definedName name="EAS_Range_WPReference" localSheetId="42">'9000C错报评价'!$B$1</definedName>
    <definedName name="EAS_Range_WPReference" localSheetId="43">'9000D对错报的沟通'!$B$1</definedName>
    <definedName name="EAS_Range_WPReference" localSheetId="39">'9002B未更正错报（不包括披露错报）汇总表'!$B$1</definedName>
    <definedName name="EAS_Range_WPReference" localSheetId="40">'9002C未更正披露错报汇总表'!$B$1</definedName>
    <definedName name="EAS_SheetType" localSheetId="38">"FSZ"</definedName>
    <definedName name="EAS_SheetType" localSheetId="41">"FSZ"</definedName>
    <definedName name="EAS_SheetType" localSheetId="42">"FSZ"</definedName>
    <definedName name="EAS_SheetType" localSheetId="43">"FSZ"</definedName>
    <definedName name="EAS_SheetType" localSheetId="39">"FSZ"</definedName>
    <definedName name="EAS_SheetType" localSheetId="40">"FSZ"</definedName>
    <definedName name="EAS_TemplVer" localSheetId="38" hidden="1">"19.09"</definedName>
    <definedName name="EAS_TemplVer" localSheetId="41" hidden="1">"19.09"</definedName>
    <definedName name="EAS_TemplVer" localSheetId="42" hidden="1">"19.09"</definedName>
    <definedName name="EAS_TemplVer" localSheetId="43" hidden="1">"19.09"</definedName>
    <definedName name="EAS_TemplVer" localSheetId="39" hidden="1">"19.09"</definedName>
    <definedName name="EAS_TemplVer" localSheetId="40" hidden="1">"19.09"</definedName>
    <definedName name="Email">#REF!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ing">#REF!</definedName>
    <definedName name="ESP">1/166.386</definedName>
    <definedName name="EUR">1.95583</definedName>
    <definedName name="ExRate">#REF!</definedName>
    <definedName name="EXT_INT_IN">#REF!</definedName>
    <definedName name="E产品">[15]预付账款Dy!$A$84</definedName>
    <definedName name="F">#REF!</definedName>
    <definedName name="FACTOR">#REF!</definedName>
    <definedName name="Fax">#REF!</definedName>
    <definedName name="FCode" hidden="1">#REF!</definedName>
    <definedName name="February">#REF!</definedName>
    <definedName name="FFST">"BRSUM FFST"</definedName>
    <definedName name="FIM">1/5.94573</definedName>
    <definedName name="fl">#REF!</definedName>
    <definedName name="fl01AS1" hidden="1">[21]分录!#REF!</definedName>
    <definedName name="fl04AF1" hidden="1">[22]分录!#REF!</definedName>
    <definedName name="FLnumber">0</definedName>
    <definedName name="form">[4]上报资产负债表!$A$25</definedName>
    <definedName name="fp">#REF!</definedName>
    <definedName name="FRF">1/6.55957</definedName>
    <definedName name="F产品">[15]预付账款Dy!$A$104</definedName>
    <definedName name="G">#REF!</definedName>
    <definedName name="G_ME">#REF!</definedName>
    <definedName name="Getdata">#N/A</definedName>
    <definedName name="gia">#REF!</definedName>
    <definedName name="Gia_CT">#REF!</definedName>
    <definedName name="gia_tien">#REF!</definedName>
    <definedName name="gia_tien_BTN">#REF!</definedName>
    <definedName name="Gia_VT">#REF!</definedName>
    <definedName name="GIAVLIEUTN">#REF!</definedName>
    <definedName name="Giocong">#REF!</definedName>
    <definedName name="gl3p">#REF!</definedName>
    <definedName name="GoBack">[23]KLHT!GoBack</definedName>
    <definedName name="GROSS">#REF!</definedName>
    <definedName name="GROUP">#REF!</definedName>
    <definedName name="gsktxd">[24]!gsktxd</definedName>
    <definedName name="GT">#REF!</definedName>
    <definedName name="GTXL">#REF!</definedName>
    <definedName name="G产品">[15]预付账款Dy!$A$124</definedName>
    <definedName name="H">#REF!</definedName>
    <definedName name="H_THUCHTHH">#REF!</definedName>
    <definedName name="H_THUCTT">#REF!</definedName>
    <definedName name="Heä_soá_laép_xaø_H">1.7</definedName>
    <definedName name="heä_soá_sình_laày">#REF!</definedName>
    <definedName name="HHTT">#REF!</definedName>
    <definedName name="HiddenRows" hidden="1">#REF!</definedName>
    <definedName name="hien">#REF!</definedName>
    <definedName name="HIEU" hidden="1">{"'Sheet1'!$L$16"}</definedName>
    <definedName name="Hinh_thuc">"bangtra"</definedName>
    <definedName name="HOME_MANP">#REF!</definedName>
    <definedName name="HOMEOFFICE_COST">#REF!</definedName>
    <definedName name="hoten">#REF!</definedName>
    <definedName name="Hoü_vaì_tãn">#REF!</definedName>
    <definedName name="HSCT3">0.1</definedName>
    <definedName name="hsdc">#REF!</definedName>
    <definedName name="hsdc1">#REF!</definedName>
    <definedName name="HSDN">#REF!</definedName>
    <definedName name="HSHH">#REF!</definedName>
    <definedName name="HSHHUT">#REF!</definedName>
    <definedName name="hsk">#REF!</definedName>
    <definedName name="hskd">#REF!</definedName>
    <definedName name="hskk">#REF!</definedName>
    <definedName name="HSKK35">#REF!</definedName>
    <definedName name="hslx">#REF!</definedName>
    <definedName name="hslxh">#REF!</definedName>
    <definedName name="HSLXP">#REF!</definedName>
    <definedName name="HSSL">#REF!</definedName>
    <definedName name="HSVC1">#REF!</definedName>
    <definedName name="HSVC2">#REF!</definedName>
    <definedName name="HSVC3">#REF!</definedName>
    <definedName name="HTHH">#REF!</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VL">#REF!</definedName>
    <definedName name="huy" hidden="1">{"'Sheet1'!$L$16"}</definedName>
    <definedName name="H产品">[15]预付账款Dy!$A$144</definedName>
    <definedName name="i">#REF!</definedName>
    <definedName name="IDLAB_COST">#REF!</definedName>
    <definedName name="IEP">1/0.787564</definedName>
    <definedName name="IND_LAB">#REF!</definedName>
    <definedName name="IndependentReviewer">#REF!</definedName>
    <definedName name="INDMANP">#REF!</definedName>
    <definedName name="Int_prod">#REF!</definedName>
    <definedName name="Intprod">#REF!</definedName>
    <definedName name="investment">#REF!</definedName>
    <definedName name="ITL">1/1936.27</definedName>
    <definedName name="IV">#REF!</definedName>
    <definedName name="j">#REF!</definedName>
    <definedName name="j356C8">#REF!</definedName>
    <definedName name="ja">#REF!</definedName>
    <definedName name="January">#REF!</definedName>
    <definedName name="jishanggongyingpin1">#REF!</definedName>
    <definedName name="jishanggongyingpin2">#REF!</definedName>
    <definedName name="JP">#REF!</definedName>
    <definedName name="K">#REF!</definedName>
    <definedName name="K_1">[25]!K_1</definedName>
    <definedName name="K_2">[25]!K_2</definedName>
    <definedName name="k2b">#REF!</definedName>
    <definedName name="KA_1">#REF!</definedName>
    <definedName name="KA_2">#REF!</definedName>
    <definedName name="kcong">#REF!</definedName>
    <definedName name="kehu">#REF!</definedName>
    <definedName name="kehu2">#REF!</definedName>
    <definedName name="kehu3">#REF!</definedName>
    <definedName name="KH_Chang">#REF!</definedName>
    <definedName name="khoi" hidden="1">{"'Sheet1'!$L$16"}</definedName>
    <definedName name="kl_ME">#REF!</definedName>
    <definedName name="KLTHDN">#REF!</definedName>
    <definedName name="KLVANKHUON">#REF!</definedName>
    <definedName name="KMDM">#REF!</definedName>
    <definedName name="kp1ph">#REF!</definedName>
    <definedName name="KSTK">#REF!</definedName>
    <definedName name="KVC">#REF!</definedName>
    <definedName name="L">#REF!</definedName>
    <definedName name="L_mong">#REF!</definedName>
    <definedName name="lan" hidden="1">{#N/A,#N/A,TRUE,"BT M200 da 10x20"}</definedName>
    <definedName name="last">#REF!</definedName>
    <definedName name="Last_Year">#REF!</definedName>
    <definedName name="laychua">{"Thuxm2.xls","Sheet1"}</definedName>
    <definedName name="lbcnckt">[26]!lbcnckt</definedName>
    <definedName name="LINE">#REF!</definedName>
    <definedName name="LIQUID">[3]SCTB!#REF!</definedName>
    <definedName name="list">#REF!</definedName>
    <definedName name="LK_hathe">#REF!</definedName>
    <definedName name="LLLLL" hidden="1">{#N/A,#N/A,FALSE,"Chi tiÆt"}</definedName>
    <definedName name="Lmk">#REF!</definedName>
    <definedName name="LN">#REF!</definedName>
    <definedName name="Loai_TD">#REF!</definedName>
    <definedName name="LOC">#REF!</definedName>
    <definedName name="LUF">1/40.3399</definedName>
    <definedName name="lVC">#REF!</definedName>
    <definedName name="m">#REF!</definedName>
    <definedName name="M102bnnc">#REF!</definedName>
    <definedName name="M102bnvl">#REF!</definedName>
    <definedName name="M10aanc">#REF!</definedName>
    <definedName name="M10aavc">#REF!</definedName>
    <definedName name="M10aavl">#REF!</definedName>
    <definedName name="M10banc">#REF!</definedName>
    <definedName name="M10bavl">#REF!</definedName>
    <definedName name="M12aavl">#REF!</definedName>
    <definedName name="M12ba3p">#REF!</definedName>
    <definedName name="M12banc">#REF!</definedName>
    <definedName name="M12bavl">#REF!</definedName>
    <definedName name="M12bb1p">#REF!</definedName>
    <definedName name="M12bbnc">#REF!</definedName>
    <definedName name="M12bbvl">#REF!</definedName>
    <definedName name="M12bnnc">#REF!</definedName>
    <definedName name="M12bnvl">#REF!</definedName>
    <definedName name="M14bb1p">#REF!</definedName>
    <definedName name="M14bbnc">#REF!</definedName>
    <definedName name="M14bbvc">#REF!</definedName>
    <definedName name="M14bbvl">#REF!</definedName>
    <definedName name="M8a">#REF!</definedName>
    <definedName name="M8aa">#REF!</definedName>
    <definedName name="m8aanc">#REF!</definedName>
    <definedName name="m8aavl">#REF!</definedName>
    <definedName name="Ma3pnc">#REF!</definedName>
    <definedName name="Ma3pvl">#REF!</definedName>
    <definedName name="Maa3pnc">#REF!</definedName>
    <definedName name="Maa3pvl">#REF!</definedName>
    <definedName name="Macro1">#N/A</definedName>
    <definedName name="MADONVI">OFFSET([27]NGUON!$C$1:$C$65536,COUNTA([27]NGUON!$C$1:$C$65536)-1,0,1)</definedName>
    <definedName name="MAJ_CON_EQP">#REF!</definedName>
    <definedName name="MaNV">#REF!</definedName>
    <definedName name="March">#REF!</definedName>
    <definedName name="MAVANKHUON">#REF!</definedName>
    <definedName name="MAVLTHDN">#REF!</definedName>
    <definedName name="May">#REF!</definedName>
    <definedName name="Mba1p">#REF!</definedName>
    <definedName name="Mba3p">#REF!</definedName>
    <definedName name="Mbb3p">#REF!</definedName>
    <definedName name="MBnc">#REF!</definedName>
    <definedName name="MBvl">#REF!</definedName>
    <definedName name="MC">#REF!</definedName>
    <definedName name="MG_A">#REF!</definedName>
    <definedName name="mno">[4]上报资产负债表!$B$6</definedName>
    <definedName name="mod">#REF!,#REF!,#REF!,#REF!,#REF!</definedName>
    <definedName name="Module1.cplhsmt">[26]!Module1.cplhsmt</definedName>
    <definedName name="Module1.cptdhsmt">[26]!Module1.cptdhsmt</definedName>
    <definedName name="Module1.cptdtdt">[26]!Module1.cptdtdt</definedName>
    <definedName name="Module1.cptdtkkt">[26]!Module1.cptdtkkt</definedName>
    <definedName name="Module1.gsktxd">[26]!Module1.gsktxd</definedName>
    <definedName name="Module1.qlda">[26]!Module1.qlda</definedName>
    <definedName name="Module1.tinhqt">[26]!Module1.tinhqt</definedName>
    <definedName name="mong1pm">#REF!</definedName>
    <definedName name="mong3pm">#REF!</definedName>
    <definedName name="mongct">#REF!</definedName>
    <definedName name="monght">#REF!</definedName>
    <definedName name="mongHTDL">#REF!</definedName>
    <definedName name="mongHTHH">#REF!</definedName>
    <definedName name="mongneo1pm">#REF!</definedName>
    <definedName name="mongneo3pm">#REF!</definedName>
    <definedName name="mongneoct">#REF!</definedName>
    <definedName name="mongneoht">#REF!</definedName>
    <definedName name="mongneoHTDL">#REF!</definedName>
    <definedName name="mongneoHTHH">#REF!</definedName>
    <definedName name="month">[4]上报资产负债表!$B$8</definedName>
    <definedName name="Moùng">#REF!</definedName>
    <definedName name="MSCT">#REF!</definedName>
    <definedName name="MTC1P">#REF!</definedName>
    <definedName name="MTC3P">#REF!</definedName>
    <definedName name="MTCMB">#REF!</definedName>
    <definedName name="MTMAC12">#REF!</definedName>
    <definedName name="mtram">#REF!</definedName>
    <definedName name="MULTIPLICA">#REF!</definedName>
    <definedName name="mx" hidden="1">#REF!</definedName>
    <definedName name="MXS0303AS1" hidden="1">[28]应收账款Mx!#REF!</definedName>
    <definedName name="N">#REF!</definedName>
    <definedName name="n1pig">#REF!</definedName>
    <definedName name="N1pIGnc">#REF!</definedName>
    <definedName name="N1pIGvc">#REF!</definedName>
    <definedName name="N1pIGvl">#REF!</definedName>
    <definedName name="n1pind">#REF!</definedName>
    <definedName name="N1pINDnc">#REF!</definedName>
    <definedName name="N1pINDvc">#REF!</definedName>
    <definedName name="N1pINDvl">#REF!</definedName>
    <definedName name="n1ping">#REF!</definedName>
    <definedName name="N1pINGnc">#REF!</definedName>
    <definedName name="N1pINGvc">#REF!</definedName>
    <definedName name="N1pINGvl">#REF!</definedName>
    <definedName name="n1pint">#REF!</definedName>
    <definedName name="N1pINTnc">#REF!</definedName>
    <definedName name="N1pINTvc">#REF!</definedName>
    <definedName name="N1pINTvl">#REF!</definedName>
    <definedName name="N1pNLnc">#REF!</definedName>
    <definedName name="N1pNLvc">#REF!</definedName>
    <definedName name="N1pNLvl">#REF!</definedName>
    <definedName name="NA">#REF!</definedName>
    <definedName name="Ñaép_ñaát">#REF!</definedName>
    <definedName name="Name" localSheetId="18">#REF!</definedName>
    <definedName name="name">[4]上报资产负债表!$B$1</definedName>
    <definedName name="Ñaøo_ñaát_tieáp_ñòa">#REF!</definedName>
    <definedName name="nc">#REF!</definedName>
    <definedName name="NC1P">#REF!</definedName>
    <definedName name="NC3P">#REF!</definedName>
    <definedName name="NCBD100">#REF!</definedName>
    <definedName name="NCBD200">#REF!</definedName>
    <definedName name="NCBD250">#REF!</definedName>
    <definedName name="NCcap0.7">#REF!</definedName>
    <definedName name="NCcap1">#REF!</definedName>
    <definedName name="NCCT3p">#REF!</definedName>
    <definedName name="nctram">#REF!</definedName>
    <definedName name="NCVC100">#REF!</definedName>
    <definedName name="NCVC200">#REF!</definedName>
    <definedName name="NCVC250">#REF!</definedName>
    <definedName name="NCVC3P">#REF!</definedName>
    <definedName name="NET">#REF!</definedName>
    <definedName name="NET_1">#REF!</definedName>
    <definedName name="NET_ANA">#REF!</definedName>
    <definedName name="NET_ANA_1">#REF!</definedName>
    <definedName name="NET_ANA_2">#REF!</definedName>
    <definedName name="new">#REF!</definedName>
    <definedName name="NGANHANG">OFFSET([27]NGUON!$F$1:$F$65536,COUNTIF([27]NGUON!$F$1:$F$65536,"&lt;&gt;0")-1,0,1)</definedName>
    <definedName name="NGAØY">#REF!</definedName>
    <definedName name="NGAY">OFFSET([27]NGUON!$B$1:$B$65536,COUNTA([27]NGUON!$B$1:$B$65536)-1,0,1)</definedName>
    <definedName name="NH">#REF!</definedName>
    <definedName name="NHAÂN_COÂNG">[0]!BTRAM</definedName>
    <definedName name="Nhapsolieu">#REF!</definedName>
    <definedName name="nhn">#REF!</definedName>
    <definedName name="NHot">#REF!</definedName>
    <definedName name="nig">#REF!</definedName>
    <definedName name="nig1p">#REF!</definedName>
    <definedName name="nig3p">#REF!</definedName>
    <definedName name="NIGnc">#REF!</definedName>
    <definedName name="nignc1p">#REF!</definedName>
    <definedName name="NIGvc">#REF!</definedName>
    <definedName name="NIGvl">#REF!</definedName>
    <definedName name="nigvl1p">#REF!</definedName>
    <definedName name="nin">#REF!</definedName>
    <definedName name="nin1903p">#REF!</definedName>
    <definedName name="NIN190nc">#REF!</definedName>
    <definedName name="NIN190vl">#REF!</definedName>
    <definedName name="nin3p">#REF!</definedName>
    <definedName name="nind">#REF!</definedName>
    <definedName name="nind1p">#REF!</definedName>
    <definedName name="nind3p">#REF!</definedName>
    <definedName name="NINDnc">#REF!</definedName>
    <definedName name="nindnc1p">#REF!</definedName>
    <definedName name="NINDvc">#REF!</definedName>
    <definedName name="NINDvl">#REF!</definedName>
    <definedName name="nindvl1p">#REF!</definedName>
    <definedName name="ning1p">#REF!</definedName>
    <definedName name="ningnc1p">#REF!</definedName>
    <definedName name="ningvl1p">#REF!</definedName>
    <definedName name="NINnc">#REF!</definedName>
    <definedName name="nint1p">#REF!</definedName>
    <definedName name="nintnc1p">#REF!</definedName>
    <definedName name="nintvl1p">#REF!</definedName>
    <definedName name="NINvc">#REF!</definedName>
    <definedName name="NINvl">#REF!</definedName>
    <definedName name="nl">#REF!</definedName>
    <definedName name="NL12nc">#REF!</definedName>
    <definedName name="NL12vl">#REF!</definedName>
    <definedName name="nl1p">#REF!</definedName>
    <definedName name="nl3p">#REF!</definedName>
    <definedName name="NLG">1/2.20371</definedName>
    <definedName name="nlht">#REF!</definedName>
    <definedName name="NLTK1p">#REF!</definedName>
    <definedName name="nn">#REF!</definedName>
    <definedName name="nn1p">#REF!</definedName>
    <definedName name="nn3p">#REF!</definedName>
    <definedName name="No">#REF!</definedName>
    <definedName name="NOIDUNG">OFFSET([27]NGUON!$H$1:$H$65536,COUNTA([27]NGUON!$H$1:$H$65536)-1,0,1)</definedName>
    <definedName name="note">[29]source!$J$2:$J$4</definedName>
    <definedName name="NOTE_1015a" localSheetId="5" hidden="1">Notes!$E$21:$M$58</definedName>
    <definedName name="NOTE_1015b" localSheetId="5" hidden="1">Notes!$E$11:$I$19</definedName>
    <definedName name="NOTE_1015c" localSheetId="5" hidden="1">Notes!$E$60:$I$69</definedName>
    <definedName name="NOTE_1101a" localSheetId="5" hidden="1">Notes!$E$91:$I$107</definedName>
    <definedName name="NOTE_1102a" localSheetId="5" hidden="1">Notes!$E$72:$I$88</definedName>
    <definedName name="NOTE_1115a" localSheetId="5" hidden="1">Notes!$E$110:$I$118</definedName>
    <definedName name="NOTE_1121a" localSheetId="5" hidden="1">Notes!$E$131:$I$137</definedName>
    <definedName name="NOTE_1121b" localSheetId="5" hidden="1">Notes!$E$139:$H$145</definedName>
    <definedName name="NOTE_1121c" localSheetId="5" hidden="1">Notes!$E$161:$H$169</definedName>
    <definedName name="NOTE_1121d" localSheetId="5" hidden="1">Notes!$E$147:$I$159</definedName>
    <definedName name="NOTE_1121e" localSheetId="5" hidden="1">Notes!$E$121:$M$129</definedName>
    <definedName name="NOTE_1121f" localSheetId="5" hidden="1">Notes!$E$171:$L$184</definedName>
    <definedName name="NOTE_1121fCHKH01" localSheetId="5" hidden="1">Notes!$G$185:$M$191</definedName>
    <definedName name="NOTE_1121g" localSheetId="5" hidden="1">Notes!$E$193:$K$206</definedName>
    <definedName name="NOTE_1121gCHKH01" localSheetId="5" hidden="1">Notes!$G$207:$L$213</definedName>
    <definedName name="NOTE_1121h" localSheetId="5" hidden="1">Notes!$E$215:$J$228</definedName>
    <definedName name="NOTE_1121hCHKH01" localSheetId="5" hidden="1">Notes!$G$229:$K$235</definedName>
    <definedName name="NOTE_1121i" localSheetId="5" hidden="1">Notes!$E$252:$N$265</definedName>
    <definedName name="NOTE_1121iCHKH01" localSheetId="5" hidden="1">Notes!$G$266:$O$272</definedName>
    <definedName name="NOTE_1121j" localSheetId="5" hidden="1">Notes!$E$274:$I$285</definedName>
    <definedName name="NOTE_1121k" localSheetId="5" hidden="1">Notes!$E$287:$H$292</definedName>
    <definedName name="NOTE_1121l" localSheetId="5" hidden="1">Notes!$E$294:$L$305</definedName>
    <definedName name="NOTE_1121m" localSheetId="5" hidden="1">Notes!$E$307:$J$315</definedName>
    <definedName name="NOTE_1121n" localSheetId="5" hidden="1">Notes!$E$237:$J$250</definedName>
    <definedName name="NOTE_112202" localSheetId="5" hidden="1">Notes!$E$416:$J$429</definedName>
    <definedName name="NOTE_1122a" localSheetId="5" hidden="1">Notes!$E$486:$L$499</definedName>
    <definedName name="NOTE_1122b" localSheetId="5" hidden="1">Notes!$E$501:$L$514</definedName>
    <definedName name="NOTE_1122c" localSheetId="5" hidden="1">Notes!$E$669:$J$677</definedName>
    <definedName name="NOTE_1122d" localSheetId="5" hidden="1">Notes!$E$536:$J$551</definedName>
    <definedName name="NOTE_1122dCHKH01" localSheetId="5" hidden="1">Notes!$G$552:$K$558</definedName>
    <definedName name="NOTE_1122e" localSheetId="5" hidden="1">Notes!$E$560:$K$568</definedName>
    <definedName name="NOTE_1122f" localSheetId="5" hidden="1">Notes!$E$570:$L$578</definedName>
    <definedName name="NOTE_1122g" localSheetId="5" hidden="1">Notes!$E$516:$K$527</definedName>
    <definedName name="NOTE_1122gCHKH01" localSheetId="5" hidden="1">Notes!$G$528:$L$534</definedName>
    <definedName name="NOTE_1122h" localSheetId="5" hidden="1">Notes!$E$602:$I$610</definedName>
    <definedName name="NOTE_1122i" localSheetId="5" hidden="1">Notes!$E$619:$L$628</definedName>
    <definedName name="NOTE_1122j" localSheetId="5" hidden="1">Notes!$E$318:$I$333</definedName>
    <definedName name="NOTE_1122k" localSheetId="5" hidden="1">Notes!$E$630:$J$647</definedName>
    <definedName name="NOTE_1122l" localSheetId="5" hidden="1">Notes!$E$679:$K$687</definedName>
    <definedName name="NOTE_1122m" localSheetId="5" hidden="1">Notes!$E$649:$J$657</definedName>
    <definedName name="NOTE_1122n" localSheetId="5" hidden="1">Notes!$E$659:$J$667</definedName>
    <definedName name="NOTE_1122p" localSheetId="5" hidden="1">Notes!$E$335:$L$348</definedName>
    <definedName name="NOTE_1122pCHKH01" localSheetId="5" hidden="1">Notes!$G$349:$M$355</definedName>
    <definedName name="NOTE_1122q" localSheetId="5" hidden="1">Notes!$E$431:$L$440</definedName>
    <definedName name="NOTE_1122qCHKH01" localSheetId="5" hidden="1">Notes!$G$441:$M$447</definedName>
    <definedName name="NOTE_1122r" localSheetId="5" hidden="1">Notes!$E$357:$K$370</definedName>
    <definedName name="NOTE_1122rCHKH01" localSheetId="5" hidden="1">Notes!$G$371:$L$377</definedName>
    <definedName name="NOTE_1122s" localSheetId="5" hidden="1">Notes!$E$379:$J$392</definedName>
    <definedName name="NOTE_1122sCHKH01" localSheetId="5" hidden="1">Notes!$G$393:$K$399</definedName>
    <definedName name="NOTE_1122t" localSheetId="5" hidden="1">Notes!$E$401:$J$414</definedName>
    <definedName name="NOTE_1122u" localSheetId="5" hidden="1">Notes!$E$580:$N$593</definedName>
    <definedName name="NOTE_1122uCHKH01" localSheetId="5" hidden="1">Notes!$G$594:$O$600</definedName>
    <definedName name="NOTE_1122v" localSheetId="5" hidden="1">Notes!$E$612:$H$617</definedName>
    <definedName name="NOTE_1122x" localSheetId="5" hidden="1">Notes!$E$689:$N$696</definedName>
    <definedName name="NOTE_1122y" localSheetId="5" hidden="1">Notes!$E$449:$K$460</definedName>
    <definedName name="NOTE_1122yCHKH01" localSheetId="5" hidden="1">Notes!$G$461:$L$467</definedName>
    <definedName name="NOTE_1122z" localSheetId="5" hidden="1">Notes!$E$469:$J$484</definedName>
    <definedName name="NOTE_1124a" localSheetId="5" hidden="1">Notes!$E$699:$I$705</definedName>
    <definedName name="NOTE_1124b" localSheetId="5" hidden="1">Notes!$E$707:$K$720</definedName>
    <definedName name="NOTE_1124c" localSheetId="5" hidden="1">Notes!$E$722:$K$732</definedName>
    <definedName name="NOTE_1124cCHKH01" localSheetId="5" hidden="1">Notes!$G$733:$L$739</definedName>
    <definedName name="NOTE_1124d" localSheetId="5" hidden="1">Notes!$E$741:$K$754</definedName>
    <definedName name="NOTE_1124dCHKH01" localSheetId="5" hidden="1">Notes!$G$755:$L$761</definedName>
    <definedName name="NOTE_1124e" localSheetId="5" hidden="1">Notes!$E$763:$K$776</definedName>
    <definedName name="NOTE_1124f" localSheetId="5" hidden="1">Notes!$E$849:$N$857</definedName>
    <definedName name="NOTE_1124g" localSheetId="5" hidden="1">Notes!$E$778:$K$791</definedName>
    <definedName name="NOTE_1124h" localSheetId="5" hidden="1">Notes!$E$793:$K$803</definedName>
    <definedName name="NOTE_1124hCHKH01" localSheetId="5" hidden="1">Notes!$G$804:$L$810</definedName>
    <definedName name="NOTE_1124i" localSheetId="5" hidden="1">Notes!$E$812:$K$825</definedName>
    <definedName name="NOTE_1124iCHKH01" localSheetId="5" hidden="1">Notes!$G$826:$L$832</definedName>
    <definedName name="NOTE_1124j" localSheetId="5" hidden="1">Notes!$E$834:$K$847</definedName>
    <definedName name="NOTE_1125a" localSheetId="5" hidden="1">Notes!$E$860:$K$870</definedName>
    <definedName name="NOTE_1125c" localSheetId="5" hidden="1">Notes!$E$872:$I$889</definedName>
    <definedName name="NOTE_1125d" localSheetId="5" hidden="1">Notes!$E$891:$J$899</definedName>
    <definedName name="NOTE_1125e" localSheetId="5" hidden="1">Notes!$E$911:$I$919</definedName>
    <definedName name="NOTE_1125f" localSheetId="5" hidden="1">Notes!$E$901:$I$909</definedName>
    <definedName name="NOTE_1125x" localSheetId="5" hidden="1">Notes!$E$921:$P$932</definedName>
    <definedName name="NOTE_1131a" localSheetId="5" hidden="1">Notes!$E$968:$I$976</definedName>
    <definedName name="NOTE_1131b" localSheetId="5" hidden="1">Notes!$E$978:$K$986</definedName>
    <definedName name="NOTE_1132a" localSheetId="5" hidden="1">Notes!$E$945:$I$955</definedName>
    <definedName name="NOTE_1132b" localSheetId="5" hidden="1">Notes!$E$957:$K$965</definedName>
    <definedName name="NOTE_1220a" localSheetId="5" hidden="1">Notes!$E$935:$I$942</definedName>
    <definedName name="NOTE_122100" localSheetId="5" hidden="1">Notes!$E$1028:$J$1035</definedName>
    <definedName name="NOTE_122100CHKH01" localSheetId="5" hidden="1">Notes!$G$1036:$K$1042</definedName>
    <definedName name="NOTE_122101" localSheetId="5" hidden="1">Notes!$E$1044:$L$1056</definedName>
    <definedName name="NOTE_122102" localSheetId="5" hidden="1">Notes!$E$1132:$L$1144</definedName>
    <definedName name="NOTE_122103" localSheetId="5" hidden="1">Notes!$E$1220:$L$1232</definedName>
    <definedName name="NOTE_122104" localSheetId="5" hidden="1">Notes!$E$1492:$K$1509</definedName>
    <definedName name="NOTE_122111" localSheetId="5" hidden="1">Notes!$E$1058:$K$1071</definedName>
    <definedName name="NOTE_122111CHKH01" localSheetId="5" hidden="1">Notes!$G$1072:$L$1078</definedName>
    <definedName name="NOTE_122112" localSheetId="5" hidden="1">Notes!$E$1080:$J$1093</definedName>
    <definedName name="NOTE_122112CHKH01" localSheetId="5" hidden="1">Notes!$G$1094:$K$1100</definedName>
    <definedName name="NOTE_122113" localSheetId="5" hidden="1">Notes!$E$1102:$J$1115</definedName>
    <definedName name="NOTE_122114" localSheetId="5" hidden="1">Notes!$E$1117:$J$1130</definedName>
    <definedName name="NOTE_122121" localSheetId="5" hidden="1">Notes!$E$1146:$K$1159</definedName>
    <definedName name="NOTE_122121CHKH01" localSheetId="5" hidden="1">Notes!$G$1160:$L$1166</definedName>
    <definedName name="NOTE_122122" localSheetId="5" hidden="1">Notes!$E$1168:$J$1181</definedName>
    <definedName name="NOTE_122122CHKH01" localSheetId="5" hidden="1">Notes!$G$1182:$K$1188</definedName>
    <definedName name="NOTE_122123" localSheetId="5" hidden="1">Notes!$E$1190:$J$1203</definedName>
    <definedName name="NOTE_122124" localSheetId="5" hidden="1">Notes!$E$1205:$J$1218</definedName>
    <definedName name="NOTE_122131" localSheetId="5" hidden="1">Notes!$E$1234:$K$1247</definedName>
    <definedName name="NOTE_122131CHKH01" localSheetId="5" hidden="1">Notes!$G$1248:$L$1254</definedName>
    <definedName name="NOTE_122132" localSheetId="5" hidden="1">Notes!$E$1256:$J$1269</definedName>
    <definedName name="NOTE_122132CHKH01" localSheetId="5" hidden="1">Notes!$G$1270:$K$1276</definedName>
    <definedName name="NOTE_122133" localSheetId="5" hidden="1">Notes!$E$1278:$J$1291</definedName>
    <definedName name="NOTE_122134" localSheetId="5" hidden="1">Notes!$E$1293:$J$1306</definedName>
    <definedName name="NOTE_1221a" localSheetId="5" hidden="1">Notes!$E$1366:$L$1379</definedName>
    <definedName name="NOTE_1221aCHKH01" localSheetId="5" hidden="1">Notes!$G$1380:$M$1386</definedName>
    <definedName name="NOTE_1221b" localSheetId="5" hidden="1">Notes!$E$1388:$L$1401</definedName>
    <definedName name="NOTE_1221bCHKH01" localSheetId="5" hidden="1">Notes!$G$1402:$M$1408</definedName>
    <definedName name="NOTE_1221c" localSheetId="5" hidden="1">Notes!$E$1588:$J$1596</definedName>
    <definedName name="NOTE_1221d" localSheetId="5" hidden="1">Notes!$E$1429:$L$1441</definedName>
    <definedName name="NOTE_1221dCHKH01" localSheetId="5" hidden="1">Notes!$G$1442:$M$1448</definedName>
    <definedName name="NOTE_1221e" localSheetId="5" hidden="1">Notes!$E$1450:$K$1458</definedName>
    <definedName name="NOTE_1221f" localSheetId="5" hidden="1">Notes!$E$1460:$L$1468</definedName>
    <definedName name="NOTE_1221g" localSheetId="5" hidden="1">Notes!$E$1410:$K$1420</definedName>
    <definedName name="NOTE_1221gCHKH01" localSheetId="5" hidden="1">Notes!$G$1421:$L$1427</definedName>
    <definedName name="NOTE_1221h" localSheetId="5" hidden="1">Notes!$E$1511:$I$1519</definedName>
    <definedName name="NOTE_1221i" localSheetId="5" hidden="1">Notes!$E$1528:$L$1537</definedName>
    <definedName name="NOTE_1221j" localSheetId="5" hidden="1">Notes!$E$989:$I$1005</definedName>
    <definedName name="NOTE_1221jCHKH01" localSheetId="5" hidden="1">Notes!$G$1006:$J$1012</definedName>
    <definedName name="NOTE_1221k" localSheetId="5" hidden="1">Notes!$E$1539:$L$1556</definedName>
    <definedName name="NOTE_1221l" localSheetId="5" hidden="1">Notes!$E$1014:$I$1026</definedName>
    <definedName name="NOTE_1221m" localSheetId="5" hidden="1">Notes!$E$1598:$K$1606</definedName>
    <definedName name="NOTE_1221n" localSheetId="5" hidden="1">Notes!$E$1568:$J$1576</definedName>
    <definedName name="NOTE_1221o" localSheetId="5" hidden="1">Notes!$E$1578:$J$1586</definedName>
    <definedName name="NOTE_1221r" localSheetId="5" hidden="1">Notes!$E$1558:$K$1566</definedName>
    <definedName name="NOTE_1221t" localSheetId="5" hidden="1">Notes!$E$1308:$L$1318</definedName>
    <definedName name="NOTE_1221tCHKH01" localSheetId="5" hidden="1">Notes!$G$1319:$M$1325</definedName>
    <definedName name="NOTE_1221v" localSheetId="5" hidden="1">Notes!$E$1327:$K$1340</definedName>
    <definedName name="NOTE_1221vCHKH01" localSheetId="5" hidden="1">Notes!$G$1341:$L$1347</definedName>
    <definedName name="NOTE_1221w" localSheetId="5" hidden="1">Notes!$E$1349:$J$1364</definedName>
    <definedName name="NOTE_1221x" localSheetId="5" hidden="1">Notes!$E$1608:$N$1615</definedName>
    <definedName name="NOTE_1221y" localSheetId="5" hidden="1">Notes!$E$1470:$N$1483</definedName>
    <definedName name="NOTE_1221yCHKH01" localSheetId="5" hidden="1">Notes!$G$1484:$O$1490</definedName>
    <definedName name="NOTE_1221z" localSheetId="5" hidden="1">Notes!$E$1521:$H$1526</definedName>
    <definedName name="NOTE_1315b" localSheetId="5" hidden="1">Notes!$E$1765:$K$1773</definedName>
    <definedName name="NOTE_1315f" localSheetId="5" hidden="1">Notes!$E$1775:$L$1788</definedName>
    <definedName name="NOTE_1400a" localSheetId="5" hidden="1">Notes!$E$1618:$M$1635</definedName>
    <definedName name="NOTE_1400b" localSheetId="5" hidden="1">Notes!$E$1637:$M$1654</definedName>
    <definedName name="NOTE_1400c" localSheetId="5" hidden="1">Notes!$E$1737:$K$1752</definedName>
    <definedName name="NOTE_1400d" localSheetId="5" hidden="1">Notes!$E$1683:$M$1691</definedName>
    <definedName name="NOTE_1400dCHKH01" localSheetId="5" hidden="1">Notes!$G$1692:$N$1698</definedName>
    <definedName name="NOTE_1400e" localSheetId="5" hidden="1">Notes!$E$1700:$M$1708</definedName>
    <definedName name="NOTE_1400eCHKH01" localSheetId="5" hidden="1">Notes!$G$1709:$N$1715</definedName>
    <definedName name="NOTE_1400g" localSheetId="5" hidden="1">Notes!$E$1717:$K$1725</definedName>
    <definedName name="NOTE_1400h" localSheetId="5" hidden="1">Notes!$E$1666:$H$1674</definedName>
    <definedName name="NOTE_1400hCHKH01" localSheetId="5" hidden="1">Notes!$G$1675:$I$1681</definedName>
    <definedName name="NOTE_1400s" localSheetId="5" hidden="1">Notes!$E$1727:$J$1735</definedName>
    <definedName name="NOTE_1400t" localSheetId="5" hidden="1">Notes!$E$1656:$I$1664</definedName>
    <definedName name="NOTE_1400x" localSheetId="5" hidden="1">Notes!$E$1754:$Q$1762</definedName>
    <definedName name="NOTE_1495a" localSheetId="5" hidden="1">Notes!$E$1791:$I$1798</definedName>
    <definedName name="NOTE_1495b" localSheetId="5" hidden="1">Notes!$E$1800:$O$1810</definedName>
    <definedName name="NOTE_1496a" localSheetId="5" hidden="1">Notes!$E$1813:$I$1821</definedName>
    <definedName name="NOTE_1501a" localSheetId="5" hidden="1">Notes!$E$2158:$M$2170</definedName>
    <definedName name="NOTE_1501d" localSheetId="5" hidden="1">Notes!$E$2172:$K$2180</definedName>
    <definedName name="NOTE_1501e" localSheetId="5" hidden="1">Notes!$E$2182:$J$2190</definedName>
    <definedName name="NOTE_1501f" localSheetId="5" hidden="1">Notes!$E$2192:$J$2200</definedName>
    <definedName name="NOTE_1503a" localSheetId="5" hidden="1">Notes!$E$1948:$M$1960</definedName>
    <definedName name="NOTE_1503d" localSheetId="5" hidden="1">Notes!$E$2014:$M$2020</definedName>
    <definedName name="NOTE_1503e" localSheetId="5" hidden="1">Notes!$E$1962:$K$1970</definedName>
    <definedName name="NOTE_1503g" localSheetId="5" hidden="1">Notes!$E$2022:$M$2030</definedName>
    <definedName name="NOTE_1503i" localSheetId="5" hidden="1">Notes!$E$1972:$K$1985</definedName>
    <definedName name="NOTE_1503j" localSheetId="5" hidden="1">Notes!$E$1987:$M$2000</definedName>
    <definedName name="NOTE_1503k" localSheetId="5" hidden="1">Notes!$E$2002:$J$2012</definedName>
    <definedName name="NOTE_1505a" localSheetId="5" hidden="1">Notes!$E$1824:$M$1837</definedName>
    <definedName name="NOTE_1505b" localSheetId="5" hidden="1">Notes!$E$1839:$O$1852</definedName>
    <definedName name="NOTE_1505c" localSheetId="5" hidden="1">Notes!$E$1870:$L$1881</definedName>
    <definedName name="NOTE_1505d" localSheetId="5" hidden="1">Notes!$E$1883:$L$1894</definedName>
    <definedName name="NOTE_1505e" localSheetId="5" hidden="1">Notes!$E$1896:$L$1907</definedName>
    <definedName name="NOTE_1505f" localSheetId="5" hidden="1">Notes!$E$1928:$K$1945</definedName>
    <definedName name="NOTE_1505g" localSheetId="5" hidden="1">Notes!$E$1854:$J$1861</definedName>
    <definedName name="NOTE_1505gCHKH01" localSheetId="5" hidden="1">Notes!$G$1862:$K$1868</definedName>
    <definedName name="NOTE_1505k" localSheetId="5" hidden="1">Notes!$E$1909:$N$1919</definedName>
    <definedName name="NOTE_1505kCHKH01" localSheetId="5" hidden="1">Notes!$G$1920:$O$1926</definedName>
    <definedName name="NOTE_1508a" localSheetId="5" hidden="1">Notes!$E$2033:$Q$2047</definedName>
    <definedName name="NOTE_1508b" localSheetId="5" hidden="1">Notes!$E$2049:$O$2062</definedName>
    <definedName name="NOTE_1508c" localSheetId="5" hidden="1">Notes!$E$2064:$I$2071</definedName>
    <definedName name="NOTE_1508cCHKH01" localSheetId="5" hidden="1">Notes!$G$2072:$J$2078</definedName>
    <definedName name="NOTE_1508d" localSheetId="5" hidden="1">Notes!$E$2080:$K$2091</definedName>
    <definedName name="NOTE_1508e" localSheetId="5" hidden="1">Notes!$E$2093:$K$2104</definedName>
    <definedName name="NOTE_1508f" localSheetId="5" hidden="1">Notes!$E$2106:$K$2117</definedName>
    <definedName name="NOTE_1508g" localSheetId="5" hidden="1">Notes!$E$2138:$K$2155</definedName>
    <definedName name="NOTE_1508k" localSheetId="5" hidden="1">Notes!$E$2119:$N$2129</definedName>
    <definedName name="NOTE_1508kCHKH01" localSheetId="5" hidden="1">Notes!$G$2130:$O$2136</definedName>
    <definedName name="NOTE_1511b" localSheetId="5" hidden="1">Notes!$E$2464:$R$2495</definedName>
    <definedName name="NOTE_1511c" localSheetId="5" hidden="1">Notes!$E$2413:$M$2423</definedName>
    <definedName name="NOTE_1511cCHKH01" localSheetId="5" hidden="1">Notes!$G$2424:$N$2430</definedName>
    <definedName name="NOTE_1511d" localSheetId="5" hidden="1">Notes!$E$2432:$M$2455</definedName>
    <definedName name="NOTE_1511dCHKH01" localSheetId="5" hidden="1">Notes!$G$2456:$N$2462</definedName>
    <definedName name="NOTE_1521b" localSheetId="5" hidden="1">Notes!$E$2600:$K$2617</definedName>
    <definedName name="NOTE_1521c" localSheetId="5" hidden="1">Notes!$E$2619:$I$2627</definedName>
    <definedName name="NOTE_1521h" localSheetId="5" hidden="1">Notes!$E$2558:$K$2598</definedName>
    <definedName name="NOTE_1521s" localSheetId="5" hidden="1">Notes!$E$2629:$L$2637</definedName>
    <definedName name="NOTE_1531a" localSheetId="5" hidden="1">Notes!$E$2203:$N$2217</definedName>
    <definedName name="NOTE_1531b" localSheetId="5" hidden="1">Notes!$E$2392:$I$2400</definedName>
    <definedName name="NOTE_1531c" localSheetId="5" hidden="1">Notes!$E$2369:$J$2377</definedName>
    <definedName name="NOTE_1531f" localSheetId="5" hidden="1">Notes!$E$2402:$J$2410</definedName>
    <definedName name="NOTE_1531g" localSheetId="5" hidden="1">Notes!$E$2331:$N$2341</definedName>
    <definedName name="NOTE_1531gCHKH01" localSheetId="5" hidden="1">Notes!$G$2342:$O$2348</definedName>
    <definedName name="NOTE_1531h" localSheetId="5" hidden="1">Notes!$E$2294:$K$2307</definedName>
    <definedName name="NOTE_1531hCHKH01" localSheetId="5" hidden="1">Notes!$G$2308:$L$2314</definedName>
    <definedName name="NOTE_1531i" localSheetId="5" hidden="1">Notes!$E$2235:$L$2246</definedName>
    <definedName name="NOTE_1531j" localSheetId="5" hidden="1">Notes!$E$2248:$L$2259</definedName>
    <definedName name="NOTE_1531k" localSheetId="5" hidden="1">Notes!$E$2261:$L$2272</definedName>
    <definedName name="NOTE_1531m" localSheetId="5" hidden="1">Notes!$E$2316:$J$2329</definedName>
    <definedName name="NOTE_1531p" localSheetId="5" hidden="1">Notes!$E$2274:$L$2285</definedName>
    <definedName name="NOTE_1531pCHKH01" localSheetId="5" hidden="1">Notes!$G$2286:$M$2292</definedName>
    <definedName name="NOTE_1531q" localSheetId="5" hidden="1">Notes!$E$2350:$K$2367</definedName>
    <definedName name="NOTE_1531s" localSheetId="5" hidden="1">Notes!$E$2379:$J$2390</definedName>
    <definedName name="NOTE_1531t" localSheetId="5" hidden="1">Notes!$E$2219:$J$2226</definedName>
    <definedName name="NOTE_1531tCHKH01" localSheetId="5" hidden="1">Notes!$G$2227:$K$2233</definedName>
    <definedName name="NOTE_1535c" localSheetId="5" hidden="1">Notes!$E$2619:$I$2627</definedName>
    <definedName name="NOTE_1538a" localSheetId="5" hidden="1">Notes!$E$2498:$I$2505</definedName>
    <definedName name="NOTE_1538b" localSheetId="5" hidden="1">Notes!$E$2507:$M$2518</definedName>
    <definedName name="NOTE_1539a" localSheetId="5" hidden="1">Notes!$E$2521:$I$2529</definedName>
    <definedName name="NOTE_1539b" localSheetId="5" hidden="1">Notes!$E$2531:$M$2542</definedName>
    <definedName name="NOTE_1539c" localSheetId="5" hidden="1">Notes!$E$2544:$K$2555</definedName>
    <definedName name="NOTE_1601b" localSheetId="5" hidden="1">Notes!$E$2706:$L$2718</definedName>
    <definedName name="NOTE_1601c" localSheetId="5" hidden="1">Notes!$E$2720:$K$2732</definedName>
    <definedName name="NOTE_1601d" localSheetId="5" hidden="1">Notes!$E$2734:$H$2747</definedName>
    <definedName name="NOTE_1601f" localSheetId="5" hidden="1">Notes!$E$2762:$M$2770</definedName>
    <definedName name="NOTE_1601k" localSheetId="5" hidden="1">Notes!$E$2649:$P$2697</definedName>
    <definedName name="NOTE_1601kCHKH01" localSheetId="5" hidden="1">Notes!$G$2698:$Q$2704</definedName>
    <definedName name="NOTE_1601l" localSheetId="5" hidden="1">Notes!$E$2749:$I$2760</definedName>
    <definedName name="NOTE_1601s" localSheetId="5" hidden="1">Notes!$E$2772:$L$2780</definedName>
    <definedName name="NOTE_1601x" localSheetId="5" hidden="1">Notes!$E$2782:$I$2795</definedName>
    <definedName name="NOTE_1604a" localSheetId="5" hidden="1">Notes!$E$2831:$M$2846</definedName>
    <definedName name="NOTE_1604b" localSheetId="5" hidden="1">Notes!$E$2848:$M$2861</definedName>
    <definedName name="NOTE_1604c" localSheetId="5" hidden="1">Notes!$E$2863:$M$2876</definedName>
    <definedName name="NOTE_1604d" localSheetId="5" hidden="1">Notes!$E$2898:$I$2906</definedName>
    <definedName name="NOTE_1604g" localSheetId="5" hidden="1">Notes!$E$2878:$J$2889</definedName>
    <definedName name="NOTE_1604gCHKH01" localSheetId="5" hidden="1">Notes!$G$2890:$K$2896</definedName>
    <definedName name="NOTE_1605a" localSheetId="5" hidden="1">Notes!$E$2909:$M$2918</definedName>
    <definedName name="NOTE_1606a" localSheetId="5" hidden="1">Notes!$E$2811:$L$2819</definedName>
    <definedName name="NOTE_1606b" localSheetId="5" hidden="1">Notes!$E$2798:$I$2809</definedName>
    <definedName name="NOTE_1611a" localSheetId="5" hidden="1">Notes!$E$2640:$I$2646</definedName>
    <definedName name="NOTE_1616a" localSheetId="5" hidden="1">Notes!$E$2822:$I$2828</definedName>
    <definedName name="NOTE_1621b" localSheetId="5" hidden="1">Notes!$E$2983:$P$3004</definedName>
    <definedName name="NOTE_1621c" localSheetId="5" hidden="1">Notes!$E$2921:$O$2981</definedName>
    <definedName name="NOTE_1631b" localSheetId="5" hidden="1">Notes!$E$3007:$L$3041</definedName>
    <definedName name="NOTE_1700a" localSheetId="5" hidden="1">Notes!$E$3174:$K$3174</definedName>
    <definedName name="NOTE_1700b" localSheetId="5" hidden="1">Notes!$E$3176:$P$3190</definedName>
    <definedName name="NOTE_1701a" localSheetId="5" hidden="1">Notes!$E$3044:$P$3105</definedName>
    <definedName name="NOTE_1701aCHKH01" localSheetId="5" hidden="1">Notes!$G$3106:$Q$3112</definedName>
    <definedName name="NOTE_1701e" localSheetId="5" hidden="1">Notes!$E$3127:$L$3135</definedName>
    <definedName name="NOTE_1701f" localSheetId="5" hidden="1">Notes!$E$3114:$I$3125</definedName>
    <definedName name="NOTE_1701g" localSheetId="5" hidden="1">Notes!$E$3137:$L$3148</definedName>
    <definedName name="NOTE_1701h" localSheetId="5" hidden="1">Notes!$E$3150:$P$3161</definedName>
    <definedName name="NOTE_1701x" localSheetId="5" hidden="1">Notes!$E$3163:$I$3173</definedName>
    <definedName name="NOTE_1704a" localSheetId="5" hidden="1">Notes!$E$5219:$J$5283</definedName>
    <definedName name="NOTE_1711a" localSheetId="5" hidden="1">Notes!$E$3193:$M$3203</definedName>
    <definedName name="NOTE_1711b" localSheetId="5" hidden="1">Notes!$E$3205:$M$3215</definedName>
    <definedName name="NOTE_1801a" localSheetId="5" hidden="1">Notes!$E$3218:$L$3228</definedName>
    <definedName name="NOTE_1801x" localSheetId="5" hidden="1">Notes!$E$3230:$I$3240</definedName>
    <definedName name="NOTE_1811a" localSheetId="5" hidden="1">Notes!$E$3242:$K$3242</definedName>
    <definedName name="NOTE_1829a" localSheetId="5" hidden="1">Notes!$E$3245:$K$3259</definedName>
    <definedName name="NOTE_1829b" localSheetId="5" hidden="1">Notes!$E$3261:$K$3272</definedName>
    <definedName name="NOTE_1829c" localSheetId="5" hidden="1">Notes!$E$3274:$K$3279</definedName>
    <definedName name="NOTE_1829e" localSheetId="5" hidden="1">Notes!$E$3281:$I$3289</definedName>
    <definedName name="NOTE_1829f" localSheetId="5" hidden="1">Notes!$E$3291:$J$3301</definedName>
    <definedName name="NOTE_1829fCHKH01" localSheetId="5" hidden="1">Notes!$G$3302:$J$3308</definedName>
    <definedName name="NOTE_1996a" localSheetId="5" hidden="1">Notes!$E$3311:$I$3321</definedName>
    <definedName name="NOTE_1997a" localSheetId="5" hidden="1">Notes!$E$5205:$I$5216</definedName>
    <definedName name="NOTE_2001a" localSheetId="5" hidden="1">Notes!$E$3324:$I$3332</definedName>
    <definedName name="NOTE_2001b" localSheetId="5" hidden="1">Notes!$E$3364:$K$3373</definedName>
    <definedName name="NOTE_2001c" localSheetId="5" hidden="1">Notes!$E$3375:$J$3383</definedName>
    <definedName name="NOTE_2001d" localSheetId="5" hidden="1">Notes!$E$3334:$J$3342</definedName>
    <definedName name="NOTE_2001e" localSheetId="5" hidden="1">Notes!$E$3344:$J$3352</definedName>
    <definedName name="NOTE_2001f" localSheetId="5" hidden="1">Notes!$E$3354:$J$3362</definedName>
    <definedName name="NOTE_2101a" localSheetId="5" hidden="1">Notes!$E$3414:$I$3423</definedName>
    <definedName name="NOTE_2102a" localSheetId="5" hidden="1">Notes!$E$3386:$K$3397</definedName>
    <definedName name="NOTE_2102b" localSheetId="5" hidden="1">Notes!$E$3399:$J$3411</definedName>
    <definedName name="NOTE_2115a" localSheetId="5" hidden="1">Notes!$E$3426:$I$3434</definedName>
    <definedName name="NOTE_2201a" localSheetId="5" hidden="1">Notes!$E$3437:$I$3445</definedName>
    <definedName name="NOTE_2202a" localSheetId="5" hidden="1">Notes!$E$3476:$I$3484</definedName>
    <definedName name="NOTE_2202c" localSheetId="5" hidden="1">Notes!$E$3496:$I$3504</definedName>
    <definedName name="NOTE_2202d" localSheetId="5" hidden="1">Notes!$E$3486:$J$3494</definedName>
    <definedName name="NOTE_2202e" localSheetId="5" hidden="1">Notes!$E$3448:$I$3457</definedName>
    <definedName name="NOTE_2202f" localSheetId="5" hidden="1">Notes!$E$3459:$I$3467</definedName>
    <definedName name="NOTE_2202fCHKH01" localSheetId="5" hidden="1">Notes!$G$3468:$J$3474</definedName>
    <definedName name="NOTE_2202g" localSheetId="5" hidden="1">Notes!$E$3506:$J$3514</definedName>
    <definedName name="NOTE_2202x" localSheetId="5" hidden="1">Notes!$E$3516:$I$3533</definedName>
    <definedName name="NOTE_2205a" localSheetId="5" hidden="1">Notes!$E$3563:$I$3571</definedName>
    <definedName name="NOTE_2205c" localSheetId="5" hidden="1">Notes!$E$3593:$I$3601</definedName>
    <definedName name="NOTE_2205e" localSheetId="5" hidden="1">Notes!$E$3583:$K$3591</definedName>
    <definedName name="NOTE_2205f" localSheetId="5" hidden="1">Notes!$E$3536:$I$3544</definedName>
    <definedName name="NOTE_2205g" localSheetId="5" hidden="1">Notes!$E$3546:$I$3554</definedName>
    <definedName name="NOTE_2205gCHKH01" localSheetId="5" hidden="1">Notes!$G$3555:$J$3561</definedName>
    <definedName name="NOTE_2205h" localSheetId="5" hidden="1">Notes!$E$3573:$H$3581</definedName>
    <definedName name="NOTE_2205x" localSheetId="5" hidden="1">Notes!$E$3603:$I$3620</definedName>
    <definedName name="NOTE_2211a" localSheetId="5" hidden="1">Notes!$E$3623:$K$3631</definedName>
    <definedName name="NOTE_2211b" localSheetId="5" hidden="1">Notes!$E$3633:$K$3653</definedName>
    <definedName name="NOTE_2211bCHKH01" localSheetId="5" hidden="1">Notes!$G$3654:$L$3660</definedName>
    <definedName name="NOTE_2211c" localSheetId="5" hidden="1">Notes!$E$3662:$K$3677</definedName>
    <definedName name="NOTE_2211cCHKH01" localSheetId="5" hidden="1">Notes!$G$3678:$L$3684</definedName>
    <definedName name="NOTE_2211d" localSheetId="5" hidden="1">Notes!$E$3686:$K$3716</definedName>
    <definedName name="NOTE_2211x" localSheetId="5" hidden="1">Notes!$E$3718:$I$3729</definedName>
    <definedName name="NOTE_2221a" localSheetId="5" hidden="1">Notes!$E$3732:$K$3749</definedName>
    <definedName name="NOTE_2221x" localSheetId="5" hidden="1">Notes!$E$3751:$K$3762</definedName>
    <definedName name="NOTE_2231a" localSheetId="5" hidden="1">Notes!$E$3775:$I$3793</definedName>
    <definedName name="NOTE_2231b" localSheetId="5" hidden="1">Notes!$E$3795:$I$3803</definedName>
    <definedName name="NOTE_2232a" localSheetId="5" hidden="1">Notes!$E$3806:$I$3821</definedName>
    <definedName name="NOTE_2232b" localSheetId="5" hidden="1">Notes!$E$3823:$I$3831</definedName>
    <definedName name="NOTE_2241a" localSheetId="5" hidden="1">Notes!$E$3891:$I$3899</definedName>
    <definedName name="NOTE_2241b" localSheetId="5" hidden="1">Notes!$E$3871:$J$3879</definedName>
    <definedName name="NOTE_2241c" localSheetId="5" hidden="1">Notes!$E$3861:$I$3869</definedName>
    <definedName name="NOTE_2241e" localSheetId="5" hidden="1">Notes!$E$3834:$I$3842</definedName>
    <definedName name="NOTE_2241f" localSheetId="5" hidden="1">Notes!$E$3844:$I$3852</definedName>
    <definedName name="NOTE_2241fCHKH01" localSheetId="5" hidden="1">Notes!$G$3853:$J$3859</definedName>
    <definedName name="NOTE_2241g" localSheetId="5" hidden="1">Notes!$E$3881:$J$3889</definedName>
    <definedName name="NOTE_2241x" localSheetId="5" hidden="1">Notes!$E$3901:$I$3918</definedName>
    <definedName name="NOTE_2246a" localSheetId="5" hidden="1">Notes!$E$3765:$I$3772</definedName>
    <definedName name="NOTE_2315a" localSheetId="5" hidden="1">Notes!$E$3921:$I$3929</definedName>
    <definedName name="NOTE_2395a" localSheetId="5" hidden="1">Notes!$E$3932:$I$3940</definedName>
    <definedName name="NOTE_2395b" localSheetId="5" hidden="1">Notes!$E$3942:$I$3950</definedName>
    <definedName name="NOTE_2395e" localSheetId="5" hidden="1">Notes!$E$3952:$Q$3960</definedName>
    <definedName name="NOTE_2395f" localSheetId="5" hidden="1">Notes!$E$3962:$I$3970</definedName>
    <definedName name="NOTE_2396a" localSheetId="5" hidden="1">Notes!$E$3973:$I$3982</definedName>
    <definedName name="NOTE_2396c" localSheetId="5" hidden="1">Notes!$E$3984:$Q$3992</definedName>
    <definedName name="NOTE_2396cCHKH01" localSheetId="5" hidden="1">Notes!$G$3993:$Q$3999</definedName>
    <definedName name="NOTE_2401a" localSheetId="5" hidden="1">Notes!$E$4266:$L$4272</definedName>
    <definedName name="NOTE_2401b" localSheetId="5" hidden="1">Notes!$E$4274:$N$4282</definedName>
    <definedName name="NOTE_2401bCHKH01" localSheetId="5" hidden="1">Notes!$G$4283:$O$4289</definedName>
    <definedName name="NOTE_2501a" localSheetId="5" hidden="1">Notes!$E$4002:$J$4013</definedName>
    <definedName name="NOTE_2501c" localSheetId="5" hidden="1">Notes!$E$4045:$J$4053</definedName>
    <definedName name="NOTE_2501d" localSheetId="5" hidden="1">Notes!$E$4015:$L$4023</definedName>
    <definedName name="NOTE_2501e" localSheetId="5" hidden="1">Notes!$E$4025:$L$4033</definedName>
    <definedName name="NOTE_2501f" localSheetId="5" hidden="1">Notes!$E$4035:$K$4043</definedName>
    <definedName name="NOTE_2502a" localSheetId="5" hidden="1">Notes!$E$4066:$Q$4077</definedName>
    <definedName name="NOTE_2502b" localSheetId="5" hidden="1">Notes!$E$4056:$I$4064</definedName>
    <definedName name="NOTE_2502c" localSheetId="5" hidden="1">Notes!$E$4089:$O$4099</definedName>
    <definedName name="NOTE_2502d" localSheetId="5" hidden="1">Notes!$E$4079:$O$4087</definedName>
    <definedName name="NOTE_2502e" localSheetId="5" hidden="1">Notes!$E$4101:$J$4109</definedName>
    <definedName name="NOTE_2701c" localSheetId="5" hidden="1">Notes!$E$4123:$I$4132</definedName>
    <definedName name="NOTE_2701cCHKH01" localSheetId="5" hidden="1">Notes!$G$4133:$J$4139</definedName>
    <definedName name="NOTE_2701d" localSheetId="5" hidden="1">Notes!$E$4141:$J$4149</definedName>
    <definedName name="NOTE_2706a" localSheetId="5" hidden="1">Notes!$E$4112:$I$4120</definedName>
    <definedName name="NOTE_2711a" localSheetId="5" hidden="1">Notes!$E$4152:$L$4160</definedName>
    <definedName name="NOTE_2711b" localSheetId="5" hidden="1">Notes!$E$4162:$J$4170</definedName>
    <definedName name="NOTE_2715a" localSheetId="5" hidden="1">Notes!$E$4173:$I$4181</definedName>
    <definedName name="NOTE_2715b" localSheetId="5" hidden="1">Notes!$E$4183:$I$4201</definedName>
    <definedName name="NOTE_2715c" localSheetId="5" hidden="1">Notes!$E$4203:$I$4216</definedName>
    <definedName name="NOTE_2715d" localSheetId="5" hidden="1">Notes!$E$4218:$I$4225</definedName>
    <definedName name="NOTE_2715g" localSheetId="5" hidden="1">Notes!$E$4227:$I$4236</definedName>
    <definedName name="NOTE_2715h" localSheetId="5" hidden="1">Notes!$E$4238:$J$4249</definedName>
    <definedName name="NOTE_2801a" localSheetId="5" hidden="1">Notes!$E$4252:$J$4263</definedName>
    <definedName name="NOTE_2901a" localSheetId="5" hidden="1">Notes!$E$3243:$K$3243</definedName>
    <definedName name="NOTE_2996a" localSheetId="5" hidden="1">Notes!$E$4292:$I$4300</definedName>
    <definedName name="NOTE_2996x" localSheetId="5" hidden="1">Notes!$E$4302:$Q$4310</definedName>
    <definedName name="NOTE_4001a" localSheetId="5" hidden="1">Notes!$E$4313:$N$4320</definedName>
    <definedName name="NOTE_4001b" localSheetId="5" hidden="1">Notes!$E$4322:$M$4332</definedName>
    <definedName name="NOTE_4002a" localSheetId="5" hidden="1">Notes!$E$4356:$K$4362</definedName>
    <definedName name="NOTE_4015a" localSheetId="5" hidden="1">Notes!$E$4345:$O$4353</definedName>
    <definedName name="NOTE_4015b" localSheetId="5" hidden="1">Notes!$E$4335:$O$4343</definedName>
    <definedName name="NOTE_4101a" localSheetId="5" hidden="1">Notes!$E$4442:$K$4451</definedName>
    <definedName name="NOTE_4101b" localSheetId="5" hidden="1">Notes!$E$4429:$M$4440</definedName>
    <definedName name="NOTE_4102a" localSheetId="5" hidden="1">Notes!$E$4454:$K$4459</definedName>
    <definedName name="NOTE_4200a" localSheetId="5" hidden="1">Notes!$E$4462:$I$4477</definedName>
    <definedName name="NOTE_4200b" localSheetId="5" hidden="1">Notes!$E$4479:$H$4488</definedName>
    <definedName name="NOTE_4201a" localSheetId="5" hidden="1">Notes!$E$4365:$K$4369</definedName>
    <definedName name="NOTE_4215a" localSheetId="5" hidden="1">Notes!$E$4397:$N$4415</definedName>
    <definedName name="NOTE_4215b" localSheetId="5" hidden="1">Notes!$E$4372:$P$4395</definedName>
    <definedName name="NOTE_4301a" localSheetId="5" hidden="1">Notes!$E$4418:$K$4426</definedName>
    <definedName name="NOTE_6001a" localSheetId="5" hidden="1">Notes!$E$4490:$I$4490</definedName>
    <definedName name="NOTE_6001x" localSheetId="5" hidden="1">Notes!$E$4617:$I$4625</definedName>
    <definedName name="NOTE_6064a" localSheetId="5" hidden="1">Notes!$E$4503:$I$4510</definedName>
    <definedName name="NOTE_6064b" localSheetId="5" hidden="1">Notes!$E$4512:$I$4519</definedName>
    <definedName name="NOTE_6064c" localSheetId="5" hidden="1">Notes!$E$4521:$K$4536</definedName>
    <definedName name="NOTE_6064cCHKH01" localSheetId="5" hidden="1">Notes!$G$4537:$K$4543</definedName>
    <definedName name="NOTE_6064d" localSheetId="5" hidden="1">Notes!$E$4545:$K$4559</definedName>
    <definedName name="NOTE_6064dCHKH01" localSheetId="5" hidden="1">Notes!$G$4560:$K$4566</definedName>
    <definedName name="NOTE_6064e" localSheetId="5" hidden="1">Notes!$E$4568:$K$4578</definedName>
    <definedName name="NOTE_6064eCHKH01" localSheetId="5" hidden="1">Notes!$G$4579:$K$4585</definedName>
    <definedName name="NOTE_6064f" localSheetId="5" hidden="1">Notes!$E$4587:$H$4600</definedName>
    <definedName name="NOTE_6064g" localSheetId="5" hidden="1">Notes!$E$4602:$H$4615</definedName>
    <definedName name="NOTE_6064h" localSheetId="5" hidden="1">Notes!$E$4493:$K$4501</definedName>
    <definedName name="NOTE_6101a" localSheetId="5" hidden="1">Notes!$E$4859:$I$4870</definedName>
    <definedName name="NOTE_6101b" localSheetId="5" hidden="1">Notes!$E$4846:$I$4857</definedName>
    <definedName name="NOTE_6102a" localSheetId="5" hidden="1">Notes!$E$4832:$I$4843</definedName>
    <definedName name="NOTE_6111a" localSheetId="5" hidden="1">Notes!$E$4810:$I$4829</definedName>
    <definedName name="NOTE_6171a" localSheetId="5" hidden="1">Notes!$E$4909:$I$4921</definedName>
    <definedName name="NOTE_6181a" localSheetId="5" hidden="1">Notes!$E$4781:$J$4799</definedName>
    <definedName name="NOTE_6181aCHKH01" localSheetId="5" hidden="1">Notes!$G$4800:$K$4807</definedName>
    <definedName name="NOTE_6401a" localSheetId="5" hidden="1">Notes!$E$4491:$I$4491</definedName>
    <definedName name="NOTE_6401x" localSheetId="5" hidden="1">Notes!$E$4627:$I$4635</definedName>
    <definedName name="NOTE_6600a" localSheetId="5" hidden="1">Notes!$E$4638:$I$4655</definedName>
    <definedName name="NOTE_6600x" localSheetId="5" hidden="1">Notes!$E$4657:$I$4665</definedName>
    <definedName name="NOTE_6601a" localSheetId="5" hidden="1">Notes!$E$4668:$I$4686</definedName>
    <definedName name="NOTE_6601x" localSheetId="5" hidden="1">Notes!$E$4688:$I$4696</definedName>
    <definedName name="NOTE_6602a" localSheetId="5" hidden="1">Notes!$E$4699:$I$4717</definedName>
    <definedName name="NOTE_6602x" localSheetId="5" hidden="1">Notes!$E$4719:$I$4727</definedName>
    <definedName name="NOTE_6603a" localSheetId="5" hidden="1">Notes!$E$4755:$I$4768</definedName>
    <definedName name="NOTE_6603x" localSheetId="5" hidden="1">Notes!$E$4770:$I$4778</definedName>
    <definedName name="NOTE_6606a" localSheetId="5" hidden="1">Notes!$E$4730:$I$4739</definedName>
    <definedName name="NOTE_6606x" localSheetId="5" hidden="1">Notes!$E$4741:$J$4752</definedName>
    <definedName name="NOTE_6671a" localSheetId="5" hidden="1">Notes!$E$4887:$I$4906</definedName>
    <definedName name="NOTE_6672a" localSheetId="5" hidden="1">Notes!$E$4873:$I$4884</definedName>
    <definedName name="NOTE_6710a" localSheetId="5" hidden="1">Notes!$E$4924:$J$4935</definedName>
    <definedName name="NOTE_6710b" localSheetId="5" hidden="1">Notes!$E$4937:$J$4945</definedName>
    <definedName name="NOTE_6710bCHKH01" localSheetId="5" hidden="1">Notes!$G$4946:$K$4952</definedName>
    <definedName name="NOTE_6711a" localSheetId="5" hidden="1">Notes!$E$4955:$J$4965</definedName>
    <definedName name="NOTE_6791a" localSheetId="5" hidden="1">Notes!$E$4968:$I$4974</definedName>
    <definedName name="NOTE_6791b" localSheetId="5" hidden="1">Notes!$E$4976:$I$4992</definedName>
    <definedName name="NOTE_7001x" localSheetId="5" hidden="1">Notes!$E$5879:$J$5887</definedName>
    <definedName name="NOTE_7046a" localSheetId="5" hidden="1">Notes!$E$5031:$I$5044</definedName>
    <definedName name="NOTE_7046x" localSheetId="5" hidden="1">Notes!$E$5890:$J$5898</definedName>
    <definedName name="NOTE_7051x" localSheetId="5" hidden="1">Notes!$E$5901:$J$5909</definedName>
    <definedName name="NOTE_7061x" localSheetId="5" hidden="1">Notes!$E$5912:$J$5920</definedName>
    <definedName name="NOTE_7071x" localSheetId="5" hidden="1">Notes!$E$5923:$J$5931</definedName>
    <definedName name="NOTE_7096a" localSheetId="5" hidden="1">Notes!$E$5047:$I$5060</definedName>
    <definedName name="NOTE_7096x" localSheetId="5" hidden="1">Notes!$E$5934:$J$5942</definedName>
    <definedName name="NOTE_7101x" localSheetId="5" hidden="1">Notes!$E$5945:$J$5953</definedName>
    <definedName name="NOTE_7105x" localSheetId="5" hidden="1">Notes!$E$5956:$J$5964</definedName>
    <definedName name="NOTE_7111x" localSheetId="5" hidden="1">Notes!$E$5967:$J$5983</definedName>
    <definedName name="NOTE_7146a" localSheetId="5" hidden="1">Notes!$E$5063:$I$5071</definedName>
    <definedName name="NOTE_7151x" localSheetId="5" hidden="1">Notes!$E$5986:$J$6004</definedName>
    <definedName name="NOTE_7161x" localSheetId="5" hidden="1">Notes!$E$6007:$J$6015</definedName>
    <definedName name="NOTE_7196a" localSheetId="5" hidden="1">Notes!$E$5074:$I$5082</definedName>
    <definedName name="NOTE_7211x" localSheetId="5" hidden="1">Notes!$E$6018:$J$6027</definedName>
    <definedName name="NOTE_7246a" localSheetId="5" hidden="1">Notes!$E$5085:$I$5093</definedName>
    <definedName name="NOTE_7251x" localSheetId="5" hidden="1">Notes!$E$6030:$J$6039</definedName>
    <definedName name="NOTE_7261x" localSheetId="5" hidden="1">Notes!$E$6042:$J$6061</definedName>
    <definedName name="NOTE_7296a" localSheetId="5" hidden="1">Notes!$E$5096:$I$5104</definedName>
    <definedName name="NOTE_7400a" localSheetId="5" hidden="1">Notes!$E$5028:$I$5028</definedName>
    <definedName name="NOTE_7500a" localSheetId="5" hidden="1">Notes!$E$5107:$I$5128</definedName>
    <definedName name="NOTE_7500b" localSheetId="5" hidden="1">Notes!$E$5130:$I$5136</definedName>
    <definedName name="NOTE_7500c" localSheetId="5" hidden="1">Notes!$E$5138:$I$5145</definedName>
    <definedName name="NOTE_7500e" localSheetId="5" hidden="1">Notes!$E$5167:$I$5181</definedName>
    <definedName name="NOTE_7500f" localSheetId="5" hidden="1">Notes!$E$5183:$H$5191</definedName>
    <definedName name="NOTE_7500g" localSheetId="5" hidden="1">Notes!$E$5147:$H$5155</definedName>
    <definedName name="NOTE_7500h" localSheetId="5" hidden="1">Notes!$E$5157:$H$5165</definedName>
    <definedName name="NOTE_7503a" localSheetId="5" hidden="1">Notes!$E$6065:$I$6071</definedName>
    <definedName name="NOTE_7505a" localSheetId="5" hidden="1">Notes!$E$6074:$I$6082</definedName>
    <definedName name="NOTE_7506a" localSheetId="5" hidden="1">Notes!$E$6085:$I$6091</definedName>
    <definedName name="NOTE_7507a" localSheetId="5" hidden="1">Notes!$E$6094:$I$6100</definedName>
    <definedName name="NOTE_7508a" localSheetId="5" hidden="1">Notes!$E$6103:$I$6114</definedName>
    <definedName name="NOTE_7509a" localSheetId="5" hidden="1">Notes!$E$6117:$I$6124</definedName>
    <definedName name="NOTE_7510a" localSheetId="5" hidden="1">Notes!$E$6127:$I$6133</definedName>
    <definedName name="NOTE_7511a" localSheetId="5" hidden="1">Notes!$E$6136:$I$6144</definedName>
    <definedName name="NOTE_7512a" localSheetId="5" hidden="1">Notes!$E$6147:$I$6153</definedName>
    <definedName name="NOTE_7515a" localSheetId="5" hidden="1">Notes!$E$6156:$K$6162</definedName>
    <definedName name="NOTE_7516a" localSheetId="5" hidden="1">Notes!$E$6165:$K$6171</definedName>
    <definedName name="NOTE_7517a" localSheetId="5" hidden="1">Notes!$E$6174:$K$6193</definedName>
    <definedName name="NOTE_7518a" localSheetId="5" hidden="1">Notes!$E$6196:$K$6220</definedName>
    <definedName name="NOTE_7519a" localSheetId="5" hidden="1">Notes!$E$6223:$K$6249</definedName>
    <definedName name="NOTE_7523a" localSheetId="5" hidden="1">Notes!$E$6252:$I$6258</definedName>
    <definedName name="NOTE_9120c" localSheetId="5" hidden="1">Notes!$E$5658:$M$5666</definedName>
    <definedName name="NOTE_9120d" localSheetId="5" hidden="1">Notes!$E$5668:$M$5676</definedName>
    <definedName name="NOTE_9120e" localSheetId="5" hidden="1">Notes!$E$5678:$J$5686</definedName>
    <definedName name="NOTE_9120f" localSheetId="5" hidden="1">Notes!$E$5688:$J$5696</definedName>
    <definedName name="NOTE_9120g" localSheetId="5" hidden="1">Notes!$E$5698:$K$5706</definedName>
    <definedName name="NOTE_9120h" localSheetId="5" hidden="1">Notes!$E$5708:$K$5716</definedName>
    <definedName name="NOTE_9120i" localSheetId="5" hidden="1">Notes!$E$5718:$K$5726</definedName>
    <definedName name="NOTE_9120j" localSheetId="5" hidden="1">Notes!$E$5728:$K$5736</definedName>
    <definedName name="NOTE_9120k" localSheetId="5" hidden="1">Notes!$E$5738:$J$5746</definedName>
    <definedName name="NOTE_9120l" localSheetId="5" hidden="1">Notes!$E$5748:$I$5754</definedName>
    <definedName name="NOTE_9120m" localSheetId="5" hidden="1">Notes!$E$5632:$J$5643</definedName>
    <definedName name="NOTE_9120n" localSheetId="5" hidden="1">Notes!$E$5645:$J$5656</definedName>
    <definedName name="NOTE_9120o" localSheetId="5" hidden="1">Notes!$E$5756:$L$5769</definedName>
    <definedName name="NOTE_9120p" localSheetId="5" hidden="1">Notes!$E$5771:$J$5782</definedName>
    <definedName name="NOTE_9314a" localSheetId="5" hidden="1">Notes!$E$5194:$I$5202</definedName>
    <definedName name="NOTE_9325g" localSheetId="5" hidden="1">Notes!$E$5330:$L$5345</definedName>
    <definedName name="NOTE_9325h" localSheetId="5" hidden="1">Notes!$E$5347:$L$5362</definedName>
    <definedName name="NOTE_9325i" localSheetId="5" hidden="1">Notes!$E$5364:$M$5378</definedName>
    <definedName name="NOTE_9325j" localSheetId="5" hidden="1">Notes!$E$5380:$M$5394</definedName>
    <definedName name="NOTE_9325k" localSheetId="5" hidden="1">Notes!$E$5396:$J$5428</definedName>
    <definedName name="NOTE_9325m" localSheetId="5" hidden="1">Notes!$E$5430:$J$5462</definedName>
    <definedName name="NOTE_9331a" localSheetId="5" hidden="1">Notes!$E$5465:$K$5509</definedName>
    <definedName name="NOTE_9331b" localSheetId="5" hidden="1">Notes!$E$5612:$K$5629</definedName>
    <definedName name="NOTE_9331g" localSheetId="5" hidden="1">Notes!$E$5586:$R$5610</definedName>
    <definedName name="NOTE_9331i" localSheetId="5" hidden="1">Notes!$E$5559:$J$5566</definedName>
    <definedName name="NOTE_9331j" localSheetId="5" hidden="1">Notes!$E$5568:$K$5584</definedName>
    <definedName name="NOTE_9331k" localSheetId="5" hidden="1">Notes!$E$5511:$K$5557</definedName>
    <definedName name="NOTE_9367a" localSheetId="5" hidden="1">Notes!$E$5785:$I$5804</definedName>
    <definedName name="NOTE_9367b" localSheetId="5" hidden="1">Notes!$E$5806:$M$5812</definedName>
    <definedName name="NOTE_9371h" localSheetId="5" hidden="1">Notes!$E$5286:$L$5299</definedName>
    <definedName name="NOTE_9371i" localSheetId="5" hidden="1">Notes!$E$5301:$L$5314</definedName>
    <definedName name="NOTE_9371j" localSheetId="5" hidden="1">Notes!$E$5316:$I$5327</definedName>
    <definedName name="NOTE_9601a" localSheetId="5" hidden="1">Notes!$E$5815:$J$5845</definedName>
    <definedName name="NOTE_9601b" localSheetId="5" hidden="1">Notes!$E$5857:$I$5865</definedName>
    <definedName name="NOTE_9601c" localSheetId="5" hidden="1">Notes!$E$5847:$I$5855</definedName>
    <definedName name="NOTE_9601d" localSheetId="5" hidden="1">Notes!$E$5867:$I$5875</definedName>
    <definedName name="NOTE_9690a" localSheetId="5" hidden="1">Notes!$E$4995:$I$5007</definedName>
    <definedName name="NOTE_9690b" localSheetId="5" hidden="1">Notes!$E$5009:$Q$5017</definedName>
    <definedName name="NOTE_9690c" localSheetId="5" hidden="1">Notes!$E$5019:$O$5027</definedName>
    <definedName name="Note5">#REF!</definedName>
    <definedName name="Notes">#REF!</definedName>
    <definedName name="notes_status">#REF!</definedName>
    <definedName name="Number_of_Month">#REF!</definedName>
    <definedName name="NvsASD">"V2001-12-31"</definedName>
    <definedName name="NvsAutoDrillOk">"VN"</definedName>
    <definedName name="NvsElapsedTime">0.000181828705535736</definedName>
    <definedName name="NvsEndTime">37274.7274061343</definedName>
    <definedName name="NvsInstSpec">"%"</definedName>
    <definedName name="NvsLayoutType">"M3"</definedName>
    <definedName name="NvsPanelEffdt">"V1900-01-01"</definedName>
    <definedName name="NvsPanelSetid">"VFCMNY"</definedName>
    <definedName name="NvsReqBU">"VFCMHK"</definedName>
    <definedName name="NvsReqBUOnly">"VY"</definedName>
    <definedName name="NvsTransLed">"VN"</definedName>
    <definedName name="NvsTreeASD">"V2001-12-31"</definedName>
    <definedName name="NvsValTbl.ACCOUNT">"GL_ACCOUNT_TBL"</definedName>
    <definedName name="O1_2">#REF!</definedName>
    <definedName name="O1_2_1">#REF!</definedName>
    <definedName name="OA">[30]master!$L$3:$L$16</definedName>
    <definedName name="OBS_P7QS">#REF!</definedName>
    <definedName name="OBS_P7QX">#REF!</definedName>
    <definedName name="OBS_P7QZB">#REF!</definedName>
    <definedName name="OP_nature">[31]Source!$L$2:$L$45</definedName>
    <definedName name="OR_nature">[17]master!$P$3:$P$27</definedName>
    <definedName name="P">#REF!</definedName>
    <definedName name="P1050PA">#REF!</definedName>
    <definedName name="P1050PB">#REF!</definedName>
    <definedName name="P1050PL">#REF!</definedName>
    <definedName name="P1050PO">#REF!</definedName>
    <definedName name="P1050WB">#REF!</definedName>
    <definedName name="P1050WE">#REF!</definedName>
    <definedName name="P1050WL">#REF!</definedName>
    <definedName name="P1050YA">#REF!</definedName>
    <definedName name="P1050YB">#REF!</definedName>
    <definedName name="P1050YL">#REF!</definedName>
    <definedName name="P1060PA">#REF!</definedName>
    <definedName name="P1060PB">#REF!</definedName>
    <definedName name="P1060PL">#REF!</definedName>
    <definedName name="P1060PO">#REF!</definedName>
    <definedName name="P1060WB">#REF!</definedName>
    <definedName name="P1060WE">#REF!</definedName>
    <definedName name="P1060WL">#REF!</definedName>
    <definedName name="P1060YA">#REF!</definedName>
    <definedName name="P1060YB">#REF!</definedName>
    <definedName name="P1060YL">#REF!</definedName>
    <definedName name="P1230PA">#REF!</definedName>
    <definedName name="P1230PB">#REF!</definedName>
    <definedName name="P1230PL">#REF!</definedName>
    <definedName name="P1230PO">#REF!</definedName>
    <definedName name="P1230WB">#REF!</definedName>
    <definedName name="P1230WE">#REF!</definedName>
    <definedName name="P1230WL">#REF!</definedName>
    <definedName name="P1230YA">#REF!</definedName>
    <definedName name="P1230YB">#REF!</definedName>
    <definedName name="P1230YL">#REF!</definedName>
    <definedName name="P1235PA">#REF!</definedName>
    <definedName name="P1235PB">#REF!</definedName>
    <definedName name="P1235PL">#REF!</definedName>
    <definedName name="P1235PO">#REF!</definedName>
    <definedName name="P1235WB">#REF!</definedName>
    <definedName name="P1235WE">#REF!</definedName>
    <definedName name="P1235WL">#REF!</definedName>
    <definedName name="P1235YA">#REF!</definedName>
    <definedName name="P1235YB">#REF!</definedName>
    <definedName name="P1235YL">#REF!</definedName>
    <definedName name="P1240PA">#REF!</definedName>
    <definedName name="P1240PB">#REF!</definedName>
    <definedName name="P1240PL">#REF!</definedName>
    <definedName name="P1240PO">#REF!</definedName>
    <definedName name="P1240WB">#REF!</definedName>
    <definedName name="P1240WE">#REF!</definedName>
    <definedName name="P1240WL">#REF!</definedName>
    <definedName name="P1240YA">#REF!</definedName>
    <definedName name="P1240YB">#REF!</definedName>
    <definedName name="P1240YL">#REF!</definedName>
    <definedName name="P1310PA">#REF!</definedName>
    <definedName name="P1310PB">#REF!</definedName>
    <definedName name="P1310PL">#REF!</definedName>
    <definedName name="P1310PO">#REF!</definedName>
    <definedName name="P1310WB">#REF!</definedName>
    <definedName name="P1310WE">#REF!</definedName>
    <definedName name="P1310WL">#REF!</definedName>
    <definedName name="P1310YA">#REF!</definedName>
    <definedName name="P1310YB">#REF!</definedName>
    <definedName name="P1310YL">#REF!</definedName>
    <definedName name="P1A130PA">#REF!</definedName>
    <definedName name="P1A130PB">#REF!</definedName>
    <definedName name="P1A130PL">#REF!</definedName>
    <definedName name="P1A130PO">#REF!</definedName>
    <definedName name="P1A130WB">#REF!</definedName>
    <definedName name="P1A130WE">#REF!</definedName>
    <definedName name="P1A130WL">#REF!</definedName>
    <definedName name="P1A130YA">#REF!</definedName>
    <definedName name="P1A130YB">#REF!</definedName>
    <definedName name="P1A130YL">#REF!</definedName>
    <definedName name="P1A140PA">#REF!</definedName>
    <definedName name="P1A140PB">#REF!</definedName>
    <definedName name="P1A140PL">#REF!</definedName>
    <definedName name="P1A140PO">#REF!</definedName>
    <definedName name="P1A140WB">#REF!</definedName>
    <definedName name="P1A140WE">#REF!</definedName>
    <definedName name="P1A140WL">#REF!</definedName>
    <definedName name="P1A140YA">#REF!</definedName>
    <definedName name="P1A140YB">#REF!</definedName>
    <definedName name="P1A140YL">#REF!</definedName>
    <definedName name="P1A150PA">#REF!</definedName>
    <definedName name="P1A150PB">#REF!</definedName>
    <definedName name="P1A150PL">#REF!</definedName>
    <definedName name="P1A150PO">#REF!</definedName>
    <definedName name="P1A150WB">#REF!</definedName>
    <definedName name="P1A150WE">#REF!</definedName>
    <definedName name="P1A150WL">#REF!</definedName>
    <definedName name="P1A150YA">#REF!</definedName>
    <definedName name="P1A150YB">#REF!</definedName>
    <definedName name="P1A150YL">#REF!</definedName>
    <definedName name="P1A170PA">#REF!</definedName>
    <definedName name="P1A170PB">#REF!</definedName>
    <definedName name="P1A170PL">#REF!</definedName>
    <definedName name="P1A170PO">#REF!</definedName>
    <definedName name="P1A170WB">#REF!</definedName>
    <definedName name="P1A170WE">#REF!</definedName>
    <definedName name="P1A170WL">#REF!</definedName>
    <definedName name="P1A170YA">#REF!</definedName>
    <definedName name="P1A170YB">#REF!</definedName>
    <definedName name="P1A170YL">#REF!</definedName>
    <definedName name="P1A180PA">#REF!</definedName>
    <definedName name="P1A180PB">#REF!</definedName>
    <definedName name="P1A180PL">#REF!</definedName>
    <definedName name="P1A180PO">#REF!</definedName>
    <definedName name="P1A180WB">#REF!</definedName>
    <definedName name="P1A180WE">#REF!</definedName>
    <definedName name="P1A180WL">#REF!</definedName>
    <definedName name="P1A180YA">#REF!</definedName>
    <definedName name="P1A180YB">#REF!</definedName>
    <definedName name="P1A180YL">#REF!</definedName>
    <definedName name="P1A190PA">#REF!</definedName>
    <definedName name="P1A190PB">#REF!</definedName>
    <definedName name="P1A190PL">#REF!</definedName>
    <definedName name="P1A190PO">#REF!</definedName>
    <definedName name="P1A190WB">#REF!</definedName>
    <definedName name="P1A190WE">#REF!</definedName>
    <definedName name="P1A190WL">#REF!</definedName>
    <definedName name="P1A190YA">#REF!</definedName>
    <definedName name="P1A190YB">#REF!</definedName>
    <definedName name="P1A190YL">#REF!</definedName>
    <definedName name="P1A310PA">#REF!</definedName>
    <definedName name="P1A310PB">#REF!</definedName>
    <definedName name="P1A310PL">#REF!</definedName>
    <definedName name="P1A310PO">#REF!</definedName>
    <definedName name="P1A310WB">#REF!</definedName>
    <definedName name="P1A310WE">#REF!</definedName>
    <definedName name="P1A310WL">#REF!</definedName>
    <definedName name="P1A310YA">#REF!</definedName>
    <definedName name="P1A310YB">#REF!</definedName>
    <definedName name="P1A310YL">#REF!</definedName>
    <definedName name="P1A330PA">#REF!</definedName>
    <definedName name="P1A330PB">#REF!</definedName>
    <definedName name="P1A330PL">#REF!</definedName>
    <definedName name="P1A330PO">#REF!</definedName>
    <definedName name="P1A330WB">#REF!</definedName>
    <definedName name="P1A330WE">#REF!</definedName>
    <definedName name="P1A330WL">#REF!</definedName>
    <definedName name="P1A330YA">#REF!</definedName>
    <definedName name="P1A330YB">#REF!</definedName>
    <definedName name="P1A330YL">#REF!</definedName>
    <definedName name="P1A350PA">#REF!</definedName>
    <definedName name="P1A350PB">#REF!</definedName>
    <definedName name="P1A350PL">#REF!</definedName>
    <definedName name="P1A350PO">#REF!</definedName>
    <definedName name="P1A350WB">#REF!</definedName>
    <definedName name="P1A350WE">#REF!</definedName>
    <definedName name="P1A350WL">#REF!</definedName>
    <definedName name="P1A350YA">#REF!</definedName>
    <definedName name="P1A350YB">#REF!</definedName>
    <definedName name="P1A350YL">#REF!</definedName>
    <definedName name="P1A380PA">#REF!</definedName>
    <definedName name="P1A380PB">#REF!</definedName>
    <definedName name="P1A380PL">#REF!</definedName>
    <definedName name="P1A380PO">#REF!</definedName>
    <definedName name="P1A380WB">#REF!</definedName>
    <definedName name="P1A380WE">#REF!</definedName>
    <definedName name="P1A380WL">#REF!</definedName>
    <definedName name="P1A380YA">#REF!</definedName>
    <definedName name="P1A380YB">#REF!</definedName>
    <definedName name="P1A380YL">#REF!</definedName>
    <definedName name="P1A390PA">#REF!</definedName>
    <definedName name="P1A390PB">#REF!</definedName>
    <definedName name="P1A390PL">#REF!</definedName>
    <definedName name="P1A390PO">#REF!</definedName>
    <definedName name="P1A390WB">#REF!</definedName>
    <definedName name="P1A390WE">#REF!</definedName>
    <definedName name="P1A390WL">#REF!</definedName>
    <definedName name="P1A390YA">#REF!</definedName>
    <definedName name="P1A390YB">#REF!</definedName>
    <definedName name="P1A390YL">#REF!</definedName>
    <definedName name="P1A510PA">#REF!</definedName>
    <definedName name="P1A510PB">#REF!</definedName>
    <definedName name="P1A510PL">#REF!</definedName>
    <definedName name="P1A510PO">#REF!</definedName>
    <definedName name="P1A510WB">#REF!</definedName>
    <definedName name="P1A510WE">#REF!</definedName>
    <definedName name="P1A510WL">#REF!</definedName>
    <definedName name="P1A510YA">#REF!</definedName>
    <definedName name="P1A510YB">#REF!</definedName>
    <definedName name="P1A510YL">#REF!</definedName>
    <definedName name="P1A520PA">#REF!</definedName>
    <definedName name="P1A520PB">#REF!</definedName>
    <definedName name="P1A520PL">#REF!</definedName>
    <definedName name="P1A520PO">#REF!</definedName>
    <definedName name="P1A520WB">#REF!</definedName>
    <definedName name="P1A520WE">#REF!</definedName>
    <definedName name="P1A520WL">#REF!</definedName>
    <definedName name="P1A520YA">#REF!</definedName>
    <definedName name="P1A520YB">#REF!</definedName>
    <definedName name="P1A520YL">#REF!</definedName>
    <definedName name="P1A560PA">#REF!</definedName>
    <definedName name="P1A560PB">#REF!</definedName>
    <definedName name="P1A560PL">#REF!</definedName>
    <definedName name="P1A560PO">#REF!</definedName>
    <definedName name="P1A560WB">#REF!</definedName>
    <definedName name="P1A560WE">#REF!</definedName>
    <definedName name="P1A560WL">#REF!</definedName>
    <definedName name="P1A560YA">#REF!</definedName>
    <definedName name="P1A560YB">#REF!</definedName>
    <definedName name="P1A560YL">#REF!</definedName>
    <definedName name="P1A580PA">#REF!</definedName>
    <definedName name="P1A580PB">#REF!</definedName>
    <definedName name="P1A580PL">#REF!</definedName>
    <definedName name="P1A580PO">#REF!</definedName>
    <definedName name="P1A580WB">#REF!</definedName>
    <definedName name="P1A580WE">#REF!</definedName>
    <definedName name="P1A580WL">#REF!</definedName>
    <definedName name="P1A580YA">#REF!</definedName>
    <definedName name="P1A580YB">#REF!</definedName>
    <definedName name="P1A580YL">#REF!</definedName>
    <definedName name="P1A590PA">#REF!</definedName>
    <definedName name="P1A590PB">#REF!</definedName>
    <definedName name="P1A590PL">#REF!</definedName>
    <definedName name="P1A590PO">#REF!</definedName>
    <definedName name="P1A590WB">#REF!</definedName>
    <definedName name="P1A590WE">#REF!</definedName>
    <definedName name="P1A590WL">#REF!</definedName>
    <definedName name="P1A590YA">#REF!</definedName>
    <definedName name="P1A590YB">#REF!</definedName>
    <definedName name="P1A590YL">#REF!</definedName>
    <definedName name="P1AE_TO_P3AP">#REF!</definedName>
    <definedName name="P1AE_TO_P3AY">#REF!</definedName>
    <definedName name="P2415PA">#REF!</definedName>
    <definedName name="P2415PB">#REF!</definedName>
    <definedName name="P2415PL">#REF!</definedName>
    <definedName name="P2415PO">#REF!</definedName>
    <definedName name="P2415WB">#REF!</definedName>
    <definedName name="P2415WE">#REF!</definedName>
    <definedName name="P2415WL">#REF!</definedName>
    <definedName name="P2415YA">#REF!</definedName>
    <definedName name="P2415YB">#REF!</definedName>
    <definedName name="P2415YL">#REF!</definedName>
    <definedName name="P2430PA">#REF!</definedName>
    <definedName name="P2430PB">#REF!</definedName>
    <definedName name="P2430PL">#REF!</definedName>
    <definedName name="P2430PO">#REF!</definedName>
    <definedName name="P2430WB">#REF!</definedName>
    <definedName name="P2430WE">#REF!</definedName>
    <definedName name="P2430WL">#REF!</definedName>
    <definedName name="P2430YA">#REF!</definedName>
    <definedName name="P2430YB">#REF!</definedName>
    <definedName name="P2430YL">#REF!</definedName>
    <definedName name="P2435PA">#REF!</definedName>
    <definedName name="P2435PB">#REF!</definedName>
    <definedName name="P2435PL">#REF!</definedName>
    <definedName name="P2435PO">#REF!</definedName>
    <definedName name="P2435WB">#REF!</definedName>
    <definedName name="P2435WE">#REF!</definedName>
    <definedName name="P2435WL">#REF!</definedName>
    <definedName name="P2435YA">#REF!</definedName>
    <definedName name="P2435YB">#REF!</definedName>
    <definedName name="P2435YL">#REF!</definedName>
    <definedName name="P2450PA">#REF!</definedName>
    <definedName name="P2450PB">#REF!</definedName>
    <definedName name="P2450PL">#REF!</definedName>
    <definedName name="P2450PO">#REF!</definedName>
    <definedName name="P2450WB">#REF!</definedName>
    <definedName name="P2450WE">#REF!</definedName>
    <definedName name="P2450WL">#REF!</definedName>
    <definedName name="P2450YA">#REF!</definedName>
    <definedName name="P2450YB">#REF!</definedName>
    <definedName name="P2450YL">#REF!</definedName>
    <definedName name="P2455PA">#REF!</definedName>
    <definedName name="P2455PB">#REF!</definedName>
    <definedName name="P2455PL">#REF!</definedName>
    <definedName name="P2455PO">#REF!</definedName>
    <definedName name="P2455WB">#REF!</definedName>
    <definedName name="P2455WE">#REF!</definedName>
    <definedName name="P2455WL">#REF!</definedName>
    <definedName name="P2455YA">#REF!</definedName>
    <definedName name="P2455YB">#REF!</definedName>
    <definedName name="P2455YL">#REF!</definedName>
    <definedName name="P2460PA">#REF!</definedName>
    <definedName name="P2460PB">#REF!</definedName>
    <definedName name="P2460PL">#REF!</definedName>
    <definedName name="P2460PO">#REF!</definedName>
    <definedName name="P2460WB">#REF!</definedName>
    <definedName name="P2460WE">#REF!</definedName>
    <definedName name="P2460WL">#REF!</definedName>
    <definedName name="P2460YA">#REF!</definedName>
    <definedName name="P2460YB">#REF!</definedName>
    <definedName name="P2460YL">#REF!</definedName>
    <definedName name="P2465PA">#REF!</definedName>
    <definedName name="P2465PB">#REF!</definedName>
    <definedName name="P2465PL">#REF!</definedName>
    <definedName name="P2465PO">#REF!</definedName>
    <definedName name="P2465WB">#REF!</definedName>
    <definedName name="P2465WE">#REF!</definedName>
    <definedName name="P2465WL">#REF!</definedName>
    <definedName name="P2465YA">#REF!</definedName>
    <definedName name="P2465YB">#REF!</definedName>
    <definedName name="P2465YL">#REF!</definedName>
    <definedName name="P2A110PA">#REF!</definedName>
    <definedName name="P2A110PB">#REF!</definedName>
    <definedName name="P2A110PL">#REF!</definedName>
    <definedName name="P2A110PO">#REF!</definedName>
    <definedName name="P2A110WB">#REF!</definedName>
    <definedName name="P2A110WE">#REF!</definedName>
    <definedName name="P2A110WL">#REF!</definedName>
    <definedName name="P2A110YA">#REF!</definedName>
    <definedName name="P2A110YB">#REF!</definedName>
    <definedName name="P2A110YL">#REF!</definedName>
    <definedName name="P2A120PA">#REF!</definedName>
    <definedName name="P2A120PB">#REF!</definedName>
    <definedName name="P2A120PL">#REF!</definedName>
    <definedName name="P2A120PO">#REF!</definedName>
    <definedName name="P2A120WB">#REF!</definedName>
    <definedName name="P2A120WE">#REF!</definedName>
    <definedName name="P2A120WL">#REF!</definedName>
    <definedName name="P2A120YA">#REF!</definedName>
    <definedName name="P2A120YB">#REF!</definedName>
    <definedName name="P2A120YL">#REF!</definedName>
    <definedName name="P2A240PA">#REF!</definedName>
    <definedName name="P2A240PB">#REF!</definedName>
    <definedName name="P2A240PL">#REF!</definedName>
    <definedName name="P2A240PO">#REF!</definedName>
    <definedName name="P2A240WB">#REF!</definedName>
    <definedName name="P2A240WE">#REF!</definedName>
    <definedName name="P2A240WL">#REF!</definedName>
    <definedName name="P2A240YA">#REF!</definedName>
    <definedName name="P2A240YB">#REF!</definedName>
    <definedName name="P2A240YL">#REF!</definedName>
    <definedName name="P2A310PA">#REF!</definedName>
    <definedName name="P2A310PB">#REF!</definedName>
    <definedName name="P2A310PL">#REF!</definedName>
    <definedName name="P2A310PO">#REF!</definedName>
    <definedName name="P2A310WB">#REF!</definedName>
    <definedName name="P2A310WE">#REF!</definedName>
    <definedName name="P2A310WL">#REF!</definedName>
    <definedName name="P2A310YA">#REF!</definedName>
    <definedName name="P2A310YB">#REF!</definedName>
    <definedName name="P2A310YL">#REF!</definedName>
    <definedName name="P2A320PA">#REF!</definedName>
    <definedName name="P2A320PB">#REF!</definedName>
    <definedName name="P2A320PL">#REF!</definedName>
    <definedName name="P2A320PO">#REF!</definedName>
    <definedName name="P2A320WB">#REF!</definedName>
    <definedName name="P2A320WE">#REF!</definedName>
    <definedName name="P2A320WL">#REF!</definedName>
    <definedName name="P2A320YA">#REF!</definedName>
    <definedName name="P2A320YB">#REF!</definedName>
    <definedName name="P2A320YL">#REF!</definedName>
    <definedName name="P2A330PA">#REF!</definedName>
    <definedName name="P2A330PB">#REF!</definedName>
    <definedName name="P2A330PL">#REF!</definedName>
    <definedName name="P2A330PO">#REF!</definedName>
    <definedName name="P2A330WB">#REF!</definedName>
    <definedName name="P2A330WE">#REF!</definedName>
    <definedName name="P2A330WL">#REF!</definedName>
    <definedName name="P2A330YA">#REF!</definedName>
    <definedName name="P2A330YB">#REF!</definedName>
    <definedName name="P2A330YL">#REF!</definedName>
    <definedName name="P2A360PA">#REF!</definedName>
    <definedName name="P2A360PB">#REF!</definedName>
    <definedName name="P2A360PL">#REF!</definedName>
    <definedName name="P2A360PO">#REF!</definedName>
    <definedName name="P2A360WB">#REF!</definedName>
    <definedName name="P2A360WE">#REF!</definedName>
    <definedName name="P2A360WL">#REF!</definedName>
    <definedName name="P2A360YA">#REF!</definedName>
    <definedName name="P2A360YB">#REF!</definedName>
    <definedName name="P2A360YL">#REF!</definedName>
    <definedName name="P3030PA">#REF!</definedName>
    <definedName name="P3030PB">#REF!</definedName>
    <definedName name="P3030PL">#REF!</definedName>
    <definedName name="P3030PO">#REF!</definedName>
    <definedName name="P3030WB">#REF!</definedName>
    <definedName name="P3030WE">#REF!</definedName>
    <definedName name="P3030WL">#REF!</definedName>
    <definedName name="P3030YA">#REF!</definedName>
    <definedName name="P3030YB">#REF!</definedName>
    <definedName name="P3030YL">#REF!</definedName>
    <definedName name="P3040PA">#REF!</definedName>
    <definedName name="P3040PB">#REF!</definedName>
    <definedName name="P3040PL">#REF!</definedName>
    <definedName name="P3040PO">#REF!</definedName>
    <definedName name="P3040WB">#REF!</definedName>
    <definedName name="P3040WE">#REF!</definedName>
    <definedName name="P3040WL">#REF!</definedName>
    <definedName name="P3040YA">#REF!</definedName>
    <definedName name="P3040YB">#REF!</definedName>
    <definedName name="P3040YL">#REF!</definedName>
    <definedName name="P3050PA">#REF!</definedName>
    <definedName name="P3050PB">#REF!</definedName>
    <definedName name="P3050PL">#REF!</definedName>
    <definedName name="P3050PO">#REF!</definedName>
    <definedName name="P3050WB">#REF!</definedName>
    <definedName name="P3050WE">#REF!</definedName>
    <definedName name="P3050WL">#REF!</definedName>
    <definedName name="P3050YA">#REF!</definedName>
    <definedName name="P3050YB">#REF!</definedName>
    <definedName name="P3050YL">#REF!</definedName>
    <definedName name="P3060PA">#REF!</definedName>
    <definedName name="P3060PB">#REF!</definedName>
    <definedName name="P3060PL">#REF!</definedName>
    <definedName name="P3060PO">#REF!</definedName>
    <definedName name="P3060WB">#REF!</definedName>
    <definedName name="P3060WE">#REF!</definedName>
    <definedName name="P3060WL">#REF!</definedName>
    <definedName name="P3060YA">#REF!</definedName>
    <definedName name="P3060YB">#REF!</definedName>
    <definedName name="P3060YL">#REF!</definedName>
    <definedName name="P3070PA">#REF!</definedName>
    <definedName name="P3070PB">#REF!</definedName>
    <definedName name="P3070PL">#REF!</definedName>
    <definedName name="P3070PO">#REF!</definedName>
    <definedName name="P3070WB">#REF!</definedName>
    <definedName name="P3070WE">#REF!</definedName>
    <definedName name="P3070WL">#REF!</definedName>
    <definedName name="P3070YA">#REF!</definedName>
    <definedName name="P3070YB">#REF!</definedName>
    <definedName name="P3070YL">#REF!</definedName>
    <definedName name="P3090PA">#REF!</definedName>
    <definedName name="P3090PB">#REF!</definedName>
    <definedName name="P3090PL">#REF!</definedName>
    <definedName name="P3090PO">#REF!</definedName>
    <definedName name="P3090WB">#REF!</definedName>
    <definedName name="P3090WE">#REF!</definedName>
    <definedName name="P3090WL">#REF!</definedName>
    <definedName name="P3090YA">#REF!</definedName>
    <definedName name="P3090YB">#REF!</definedName>
    <definedName name="P3090YL">#REF!</definedName>
    <definedName name="P3100PA">#REF!</definedName>
    <definedName name="P3100PB">#REF!</definedName>
    <definedName name="P3100PL">#REF!</definedName>
    <definedName name="P3100PO">#REF!</definedName>
    <definedName name="P3100WB">#REF!</definedName>
    <definedName name="P3100WE">#REF!</definedName>
    <definedName name="P3100WL">#REF!</definedName>
    <definedName name="P3100YA">#REF!</definedName>
    <definedName name="P3100YB">#REF!</definedName>
    <definedName name="P3100YL">#REF!</definedName>
    <definedName name="P3110PA">#REF!</definedName>
    <definedName name="P3110PB">#REF!</definedName>
    <definedName name="P3110PL">#REF!</definedName>
    <definedName name="P3110PO">#REF!</definedName>
    <definedName name="P3110WB">#REF!</definedName>
    <definedName name="P3110WE">#REF!</definedName>
    <definedName name="P3110WL">#REF!</definedName>
    <definedName name="P3110YA">#REF!</definedName>
    <definedName name="P3110YB">#REF!</definedName>
    <definedName name="P3110YL">#REF!</definedName>
    <definedName name="P3120PA">#REF!</definedName>
    <definedName name="P3120PB">#REF!</definedName>
    <definedName name="P3120PL">#REF!</definedName>
    <definedName name="P3120PO">#REF!</definedName>
    <definedName name="P3120WB">#REF!</definedName>
    <definedName name="P3120WE">#REF!</definedName>
    <definedName name="P3120WL">#REF!</definedName>
    <definedName name="P3120YA">#REF!</definedName>
    <definedName name="P3120YB">#REF!</definedName>
    <definedName name="P3120YL">#REF!</definedName>
    <definedName name="P3130APA">[2]LinkData!#REF!</definedName>
    <definedName name="P3130AYA">[2]LinkData!#REF!</definedName>
    <definedName name="P3130PA">#REF!</definedName>
    <definedName name="P3130PB">#REF!</definedName>
    <definedName name="P3130PL">#REF!</definedName>
    <definedName name="P3130PO">#REF!</definedName>
    <definedName name="P3130WB">#REF!</definedName>
    <definedName name="P3130WE">#REF!</definedName>
    <definedName name="P3130WL">#REF!</definedName>
    <definedName name="P3130YA">#REF!</definedName>
    <definedName name="P3130YB">#REF!</definedName>
    <definedName name="P3130YL">#REF!</definedName>
    <definedName name="P3140PA">#REF!</definedName>
    <definedName name="P3140PB">#REF!</definedName>
    <definedName name="P3140PL">#REF!</definedName>
    <definedName name="P3140PO">#REF!</definedName>
    <definedName name="P3140WB">#REF!</definedName>
    <definedName name="P3140WE">#REF!</definedName>
    <definedName name="P3140WL">#REF!</definedName>
    <definedName name="P3140YA">#REF!</definedName>
    <definedName name="P3140YB">#REF!</definedName>
    <definedName name="P3140YL">#REF!</definedName>
    <definedName name="P3150PA">#REF!</definedName>
    <definedName name="P3150PB">#REF!</definedName>
    <definedName name="P3150PL">#REF!</definedName>
    <definedName name="P3150PO">#REF!</definedName>
    <definedName name="P3150WB">#REF!</definedName>
    <definedName name="P3150WE">#REF!</definedName>
    <definedName name="P3150WL">#REF!</definedName>
    <definedName name="P3150YA">#REF!</definedName>
    <definedName name="P3150YB">#REF!</definedName>
    <definedName name="P3150YL">#REF!</definedName>
    <definedName name="P3180PA">#REF!</definedName>
    <definedName name="P3180PB">#REF!</definedName>
    <definedName name="P3180PL">#REF!</definedName>
    <definedName name="P3180PO">#REF!</definedName>
    <definedName name="P3180WB">#REF!</definedName>
    <definedName name="P3180WE">#REF!</definedName>
    <definedName name="P3180WL">#REF!</definedName>
    <definedName name="P3180YA">#REF!</definedName>
    <definedName name="P3180YB">#REF!</definedName>
    <definedName name="P3180YL">#REF!</definedName>
    <definedName name="P3190PA">#REF!</definedName>
    <definedName name="P3190PB">#REF!</definedName>
    <definedName name="P3190PL">#REF!</definedName>
    <definedName name="P3190PO">#REF!</definedName>
    <definedName name="P3190WB">#REF!</definedName>
    <definedName name="P3190WE">#REF!</definedName>
    <definedName name="P3190WL">#REF!</definedName>
    <definedName name="P3190YA">#REF!</definedName>
    <definedName name="P3190YB">#REF!</definedName>
    <definedName name="P3190YL">#REF!</definedName>
    <definedName name="P3200PA">#REF!</definedName>
    <definedName name="P3200PB">#REF!</definedName>
    <definedName name="P3200PL">#REF!</definedName>
    <definedName name="P3200PO">#REF!</definedName>
    <definedName name="P3200WB">#REF!</definedName>
    <definedName name="P3200WE">#REF!</definedName>
    <definedName name="P3200WL">#REF!</definedName>
    <definedName name="P3200YA">#REF!</definedName>
    <definedName name="P3200YB">#REF!</definedName>
    <definedName name="P3200YL">#REF!</definedName>
    <definedName name="P7QSINT">#REF!</definedName>
    <definedName name="P7QSINTA">#REF!</definedName>
    <definedName name="P7QSINTAP">#REF!</definedName>
    <definedName name="P7QXINT">#REF!</definedName>
    <definedName name="P7QXINTA">#REF!</definedName>
    <definedName name="P7QXINTAP">#REF!</definedName>
    <definedName name="P7QZBINT">#REF!</definedName>
    <definedName name="P7QZBINTA">#REF!</definedName>
    <definedName name="P7QZBINTAP">#REF!</definedName>
    <definedName name="P8INT">#REF!</definedName>
    <definedName name="P8INTA">#REF!</definedName>
    <definedName name="P8INTAP">#REF!</definedName>
    <definedName name="Parameter_ColsHide" localSheetId="10" hidden="1">"A:A,C:G,AA:AD"</definedName>
    <definedName name="Parameter_ColsHide" localSheetId="22" hidden="1">"A:A,C:G,AA:AD"</definedName>
    <definedName name="Parameter_ColsHide" localSheetId="23" hidden="1">"A:D"</definedName>
    <definedName name="Parameter_ColsHide" localSheetId="6" hidden="1">"A:D"</definedName>
    <definedName name="Parameter_ColsHide" localSheetId="25" hidden="1">"A:B"</definedName>
    <definedName name="Parameter_ColsHide" localSheetId="9">"A:B"</definedName>
    <definedName name="Parameter_ColsHide" localSheetId="8" hidden="1">"A:B"</definedName>
    <definedName name="Parameter_ColsHide" localSheetId="20" hidden="1">"A:A,C:G"</definedName>
    <definedName name="Parameter_ColsHide" localSheetId="12" hidden="1">"D:D,I:I"</definedName>
    <definedName name="Parameter_ColsHide" localSheetId="24" hidden="1">"A:B"</definedName>
    <definedName name="Parameter_ColsHide" localSheetId="7" hidden="1">"A:B"</definedName>
    <definedName name="Parameter_ColsHide" localSheetId="1" hidden="1">"G:H"</definedName>
    <definedName name="Parameter_ColsHide" localSheetId="4" hidden="1">"A:C"</definedName>
    <definedName name="Parameter_ColsHide" localSheetId="5" hidden="1">"A:E"</definedName>
    <definedName name="Parameter_ColsHide" localSheetId="26">"A:B"</definedName>
    <definedName name="Parameter_ColsHide" localSheetId="13" hidden="1">"A:C,H:H"</definedName>
    <definedName name="Parameter_ColsHide" localSheetId="16" hidden="1">"A:B"</definedName>
    <definedName name="Parameter_ColsHide" localSheetId="17" hidden="1">"A:B"</definedName>
    <definedName name="Parameter_ColsHide" localSheetId="14" hidden="1">"A:B"</definedName>
    <definedName name="Parameter_ColsHide" localSheetId="19" hidden="1">"A:C"</definedName>
    <definedName name="Parameter_ColsHide" localSheetId="21" hidden="1">"A:A,C:G,AA:AD"</definedName>
    <definedName name="Parameter_EntryNum" localSheetId="10" hidden="1">AJE!$F$4</definedName>
    <definedName name="Parameter_EntryNum" localSheetId="22" hidden="1">'AJE1'!$F$4</definedName>
    <definedName name="Parameter_EntryNum" localSheetId="20" hidden="1">CFJE!$F$4</definedName>
    <definedName name="Parameter_EntryNum" localSheetId="21" hidden="1">UJE!$F$4</definedName>
    <definedName name="Parameter_RowsHide" localSheetId="10" hidden="1">"1:3"</definedName>
    <definedName name="Parameter_RowsHide" localSheetId="22" hidden="1">"1:3"</definedName>
    <definedName name="Parameter_RowsHide" localSheetId="23" hidden="1">"1:1"</definedName>
    <definedName name="Parameter_RowsHide" localSheetId="6" hidden="1">"1:1"</definedName>
    <definedName name="Parameter_RowsHide" localSheetId="25" hidden="1">"1:1"</definedName>
    <definedName name="Parameter_RowsHide" localSheetId="9">"1:2"</definedName>
    <definedName name="Parameter_RowsHide" localSheetId="8" hidden="1">"1:1"</definedName>
    <definedName name="Parameter_RowsHide" localSheetId="20" hidden="1">"1:3"</definedName>
    <definedName name="Parameter_RowsHide" localSheetId="24" hidden="1">"1:1"</definedName>
    <definedName name="Parameter_RowsHide" localSheetId="7" hidden="1">"1:1"</definedName>
    <definedName name="Parameter_RowsHide" localSheetId="1" hidden="1">"1:1"</definedName>
    <definedName name="Parameter_RowsHide" localSheetId="4" hidden="1">"1:1,7:7"</definedName>
    <definedName name="Parameter_RowsHide" localSheetId="5" hidden="1">"1:1"</definedName>
    <definedName name="Parameter_RowsHide" localSheetId="26">"1:2"</definedName>
    <definedName name="Parameter_RowsHide" localSheetId="13" hidden="1">"1:1,6:7"</definedName>
    <definedName name="Parameter_RowsHide" localSheetId="16" hidden="1">"1:2"</definedName>
    <definedName name="Parameter_RowsHide" localSheetId="17" hidden="1">"1:1,6:7"</definedName>
    <definedName name="Parameter_RowsHide" localSheetId="14" hidden="1">"1:1,6:7"</definedName>
    <definedName name="Parameter_RowsHide" localSheetId="19" hidden="1">"1:1,5:5"</definedName>
    <definedName name="Parameter_RowsHide" localSheetId="21" hidden="1">"1:3"</definedName>
    <definedName name="Parameter_TableCli" localSheetId="10" hidden="1">"1"</definedName>
    <definedName name="Parameter_TableCli" localSheetId="22" hidden="1">"1"</definedName>
    <definedName name="Parameter_TableCli" localSheetId="23" hidden="1">"1"</definedName>
    <definedName name="Parameter_TableCli" localSheetId="6" hidden="1">"1"</definedName>
    <definedName name="Parameter_TableCli" localSheetId="25" hidden="1">"1"</definedName>
    <definedName name="Parameter_TableCli" localSheetId="9">"1"</definedName>
    <definedName name="Parameter_TableCli" localSheetId="8" hidden="1">"1"</definedName>
    <definedName name="Parameter_TableCli" localSheetId="20" hidden="1">"1"</definedName>
    <definedName name="Parameter_TableCli" localSheetId="27" hidden="1">"-1"</definedName>
    <definedName name="Parameter_TableCli" localSheetId="28" hidden="1">"-1"</definedName>
    <definedName name="Parameter_TableCli" localSheetId="12" hidden="1">"1"</definedName>
    <definedName name="Parameter_TableCli" localSheetId="24" hidden="1">"1"</definedName>
    <definedName name="Parameter_TableCli" localSheetId="7" hidden="1">"1"</definedName>
    <definedName name="Parameter_TableCli" localSheetId="1" hidden="1">"-1"</definedName>
    <definedName name="Parameter_TableCli" localSheetId="4" hidden="1">"1"</definedName>
    <definedName name="Parameter_TableCli" localSheetId="5" hidden="1">"1"</definedName>
    <definedName name="Parameter_TableCli" localSheetId="26">"1"</definedName>
    <definedName name="Parameter_TableCli" localSheetId="13" hidden="1">"1"</definedName>
    <definedName name="Parameter_TableCli" localSheetId="16" hidden="1">"1"</definedName>
    <definedName name="Parameter_TableCli" localSheetId="17" hidden="1">"1"</definedName>
    <definedName name="Parameter_TableCli" localSheetId="14" hidden="1">"1"</definedName>
    <definedName name="Parameter_TableCli" localSheetId="19" hidden="1">"1"</definedName>
    <definedName name="Parameter_TableCli" localSheetId="21" hidden="1">"1"</definedName>
    <definedName name="Parameter_TableCli" localSheetId="37" hidden="1">"1"</definedName>
    <definedName name="Parameter_TableCli" localSheetId="33" hidden="1">"1"</definedName>
    <definedName name="Parameter_TableCli" localSheetId="34" hidden="1">"1"</definedName>
    <definedName name="Parameter_TableCli" localSheetId="35" hidden="1">"1"</definedName>
    <definedName name="Parameter_TableCli" localSheetId="36" hidden="1">"1"</definedName>
    <definedName name="Parameter_TableCon" localSheetId="10" hidden="1">"IND"</definedName>
    <definedName name="Parameter_TableCon" localSheetId="22" hidden="1">"IND"</definedName>
    <definedName name="Parameter_TableCon" localSheetId="23" hidden="1">"IND"</definedName>
    <definedName name="Parameter_TableCon" localSheetId="6" hidden="1">"IND"</definedName>
    <definedName name="Parameter_TableCon" localSheetId="25" hidden="1">"IND"</definedName>
    <definedName name="Parameter_TableCon" localSheetId="9">"IND"</definedName>
    <definedName name="Parameter_TableCon" localSheetId="8" hidden="1">"IND"</definedName>
    <definedName name="Parameter_TableCon" localSheetId="20" hidden="1">"IND"</definedName>
    <definedName name="Parameter_TableCon" localSheetId="27" hidden="1">"IND"</definedName>
    <definedName name="Parameter_TableCon" localSheetId="28" hidden="1">"IND"</definedName>
    <definedName name="Parameter_TableCon" localSheetId="12" hidden="1">"GEN"</definedName>
    <definedName name="Parameter_TableCon" localSheetId="24" hidden="1">"IND"</definedName>
    <definedName name="Parameter_TableCon" localSheetId="7" hidden="1">"IND"</definedName>
    <definedName name="Parameter_TableCon" localSheetId="1" hidden="1">"IND"</definedName>
    <definedName name="Parameter_TableCon" localSheetId="4" hidden="1">"GEN"</definedName>
    <definedName name="Parameter_TableCon" localSheetId="5" hidden="1">"IND"</definedName>
    <definedName name="Parameter_TableCon" localSheetId="26">"IND"</definedName>
    <definedName name="Parameter_TableCon" localSheetId="13" hidden="1">"IND"</definedName>
    <definedName name="Parameter_TableCon" localSheetId="16" hidden="1">"IND"</definedName>
    <definedName name="Parameter_TableCon" localSheetId="17" hidden="1">"IND"</definedName>
    <definedName name="Parameter_TableCon" localSheetId="14" hidden="1">"IND"</definedName>
    <definedName name="Parameter_TableCon" localSheetId="19" hidden="1">"IND"</definedName>
    <definedName name="Parameter_TableCon" localSheetId="21" hidden="1">"IND"</definedName>
    <definedName name="Parameter_TableCon" localSheetId="37" hidden="1">"GEN"</definedName>
    <definedName name="Parameter_TableCon" localSheetId="33" hidden="1">"GEN"</definedName>
    <definedName name="Parameter_TableCon" localSheetId="34" hidden="1">"GEN"</definedName>
    <definedName name="Parameter_TableCon" localSheetId="35" hidden="1">"GEN"</definedName>
    <definedName name="Parameter_TableCon" localSheetId="36" hidden="1">"GEN"</definedName>
    <definedName name="Parameter_TableHeaders" localSheetId="23" hidden="1">"2:4"</definedName>
    <definedName name="Parameter_TableHeaders" localSheetId="6" hidden="1">"2:4"</definedName>
    <definedName name="Parameter_TableHeaders" localSheetId="25" hidden="1">"2:5"</definedName>
    <definedName name="Parameter_TableHeaders" localSheetId="9">"3:5"</definedName>
    <definedName name="Parameter_TableHeaders" localSheetId="8" hidden="1">"2:5"</definedName>
    <definedName name="Parameter_TableHeaders" localSheetId="12">"2:6"</definedName>
    <definedName name="Parameter_TableHeaders" localSheetId="24" hidden="1">"2:5"</definedName>
    <definedName name="Parameter_TableHeaders" localSheetId="7" hidden="1">"2:5"</definedName>
    <definedName name="Parameter_TableHeaders" localSheetId="4" hidden="1">"2:6"</definedName>
    <definedName name="Parameter_TableHeaders" localSheetId="5" hidden="1">"2:6"</definedName>
    <definedName name="Parameter_TableHeaders" localSheetId="26">"3:5"</definedName>
    <definedName name="Parameter_TableHeaders" localSheetId="13" hidden="1">"2:5"</definedName>
    <definedName name="Parameter_TableHeaders" localSheetId="16" hidden="1">"3:5"</definedName>
    <definedName name="Parameter_TableHeaders" localSheetId="17" hidden="1">"2:5"</definedName>
    <definedName name="Parameter_TableHeaders" localSheetId="14" hidden="1">"2:5"</definedName>
    <definedName name="Parameter_TableHeaders" localSheetId="19" hidden="1">"2:6"</definedName>
    <definedName name="Parameter_TableHeaders" localSheetId="37">"2:6"</definedName>
    <definedName name="Parameter_TableHeaders" localSheetId="33">"2:6"</definedName>
    <definedName name="Parameter_TableHeaders" localSheetId="34">"2:6"</definedName>
    <definedName name="Parameter_TableHeaders" localSheetId="35">"2:6"</definedName>
    <definedName name="Parameter_TableHeaders" localSheetId="36">"2:6"</definedName>
    <definedName name="Parameter_TableName" localSheetId="10" hidden="1">"JE"</definedName>
    <definedName name="Parameter_TableName" localSheetId="22" hidden="1">"JE"</definedName>
    <definedName name="Parameter_TableName" localSheetId="23" hidden="1">"BS"</definedName>
    <definedName name="Parameter_TableName" localSheetId="6" hidden="1">"BS"</definedName>
    <definedName name="Parameter_TableName" localSheetId="25" hidden="1">"CF"</definedName>
    <definedName name="Parameter_TableName" localSheetId="9">"CE"</definedName>
    <definedName name="Parameter_TableName" localSheetId="8" hidden="1">"CF"</definedName>
    <definedName name="Parameter_TableName" localSheetId="20" hidden="1">"JE"</definedName>
    <definedName name="Parameter_TableName" localSheetId="27" hidden="1">"WP"</definedName>
    <definedName name="Parameter_TableName" localSheetId="28" hidden="1">"WP"</definedName>
    <definedName name="Parameter_TableName" localSheetId="12" hidden="1">"OT"</definedName>
    <definedName name="Parameter_TableName" localSheetId="24" hidden="1">"IS"</definedName>
    <definedName name="Parameter_TableName" localSheetId="7" hidden="1">"IS"</definedName>
    <definedName name="Parameter_TableName" localSheetId="1" hidden="1">"ME"</definedName>
    <definedName name="Parameter_TableName" localSheetId="4" hidden="1">"OT"</definedName>
    <definedName name="Parameter_TableName" localSheetId="5" hidden="1">"NO"</definedName>
    <definedName name="Parameter_TableName" localSheetId="26">"CE"</definedName>
    <definedName name="Parameter_TableName" localSheetId="13" hidden="1">"BS"</definedName>
    <definedName name="Parameter_TableName" localSheetId="16" hidden="1">"CE"</definedName>
    <definedName name="Parameter_TableName" localSheetId="17" hidden="1">"CF"</definedName>
    <definedName name="Parameter_TableName" localSheetId="14" hidden="1">"IS"</definedName>
    <definedName name="Parameter_TableName" localSheetId="19" hidden="1">"TB"</definedName>
    <definedName name="Parameter_TableName" localSheetId="21" hidden="1">"JE"</definedName>
    <definedName name="Parameter_TableName" localSheetId="37" hidden="1">"OT"</definedName>
    <definedName name="Parameter_TableName" localSheetId="33" hidden="1">"OT"</definedName>
    <definedName name="Parameter_TableName" localSheetId="34" hidden="1">"OT"</definedName>
    <definedName name="Parameter_TableName" localSheetId="35" hidden="1">"OT"</definedName>
    <definedName name="Parameter_TableName" localSheetId="36" hidden="1">"OT"</definedName>
    <definedName name="Parameter_TableRep" localSheetId="10" hidden="1">"-1"</definedName>
    <definedName name="Parameter_TableRep" localSheetId="22" hidden="1">"-1"</definedName>
    <definedName name="Parameter_TableRep" localSheetId="23" hidden="1">"1"</definedName>
    <definedName name="Parameter_TableRep" localSheetId="6" hidden="1">"1"</definedName>
    <definedName name="Parameter_TableRep" localSheetId="25" hidden="1">"3"</definedName>
    <definedName name="Parameter_TableRep" localSheetId="9">"4"</definedName>
    <definedName name="Parameter_TableRep" localSheetId="8" hidden="1">"3"</definedName>
    <definedName name="Parameter_TableRep" localSheetId="20" hidden="1">"-1"</definedName>
    <definedName name="Parameter_TableRep" localSheetId="27" hidden="1">"-1"</definedName>
    <definedName name="Parameter_TableRep" localSheetId="28" hidden="1">"-1"</definedName>
    <definedName name="Parameter_TableRep" localSheetId="12" hidden="1">"-1"</definedName>
    <definedName name="Parameter_TableRep" localSheetId="24" hidden="1">"2"</definedName>
    <definedName name="Parameter_TableRep" localSheetId="7" hidden="1">"2"</definedName>
    <definedName name="Parameter_TableRep" localSheetId="1" hidden="1">"-1"</definedName>
    <definedName name="Parameter_TableRep" localSheetId="4" hidden="1">"-1"</definedName>
    <definedName name="Parameter_TableRep" localSheetId="5" hidden="1">"-1"</definedName>
    <definedName name="Parameter_TableRep" localSheetId="26">"4"</definedName>
    <definedName name="Parameter_TableRep" localSheetId="13" hidden="1">"-1"</definedName>
    <definedName name="Parameter_TableRep" localSheetId="16" hidden="1">"-1"</definedName>
    <definedName name="Parameter_TableRep" localSheetId="17" hidden="1">"-1"</definedName>
    <definedName name="Parameter_TableRep" localSheetId="14" hidden="1">"-1"</definedName>
    <definedName name="Parameter_TableRep" localSheetId="19" hidden="1">"-1"</definedName>
    <definedName name="Parameter_TableRep" localSheetId="21" hidden="1">"-1"</definedName>
    <definedName name="Parameter_TableRep" localSheetId="37" hidden="1">"-1"</definedName>
    <definedName name="Parameter_TableRep" localSheetId="33" hidden="1">"-1"</definedName>
    <definedName name="Parameter_TableRep" localSheetId="34" hidden="1">"-1"</definedName>
    <definedName name="Parameter_TableRep" localSheetId="35" hidden="1">"-1"</definedName>
    <definedName name="Parameter_TableRep" localSheetId="36" hidden="1">"-1"</definedName>
    <definedName name="Parameter_TableTem" localSheetId="10" hidden="1">"A11.03GEN"</definedName>
    <definedName name="Parameter_TableTem" localSheetId="22" hidden="1">"A11.03GEN"</definedName>
    <definedName name="Parameter_TableTem" localSheetId="23" hidden="1">"A11.03GEN"</definedName>
    <definedName name="Parameter_TableTem" localSheetId="6" hidden="1">"A11.03GEN"</definedName>
    <definedName name="Parameter_TableTem" localSheetId="25" hidden="1">"A11.03GEN"</definedName>
    <definedName name="Parameter_TableTem" localSheetId="9">"A11.03GEN"</definedName>
    <definedName name="Parameter_TableTem" localSheetId="8" hidden="1">"A11.03GEN"</definedName>
    <definedName name="Parameter_TableTem" localSheetId="20" hidden="1">"A11.03GEN"</definedName>
    <definedName name="Parameter_TableTem" localSheetId="27" hidden="1">"A11.03GEN"</definedName>
    <definedName name="Parameter_TableTem" localSheetId="28" hidden="1">"A11.03GEN"</definedName>
    <definedName name="Parameter_TableTem" localSheetId="12" hidden="1">"A11.03GEN"</definedName>
    <definedName name="Parameter_TableTem" localSheetId="24" hidden="1">"A11.03GEN"</definedName>
    <definedName name="Parameter_TableTem" localSheetId="7" hidden="1">"A11.03GEN"</definedName>
    <definedName name="Parameter_TableTem" localSheetId="1" hidden="1">"A11.03GEN"</definedName>
    <definedName name="Parameter_TableTem" localSheetId="4" hidden="1">"A11.03GEN"</definedName>
    <definedName name="Parameter_TableTem" localSheetId="5" hidden="1">"A11.03GEN"</definedName>
    <definedName name="Parameter_TableTem" localSheetId="26">"A11.03GEN"</definedName>
    <definedName name="Parameter_TableTem" localSheetId="13" hidden="1">"A11.03GEN"</definedName>
    <definedName name="Parameter_TableTem" localSheetId="16" hidden="1">"A11.03GEN"</definedName>
    <definedName name="Parameter_TableTem" localSheetId="17" hidden="1">"A11.03GEN"</definedName>
    <definedName name="Parameter_TableTem" localSheetId="14" hidden="1">"A11.03GEN"</definedName>
    <definedName name="Parameter_TableTem" localSheetId="19" hidden="1">"A11.03GEN"</definedName>
    <definedName name="Parameter_TableTem" localSheetId="21" hidden="1">"A11.03GEN"</definedName>
    <definedName name="Parameter_TableTem" localSheetId="37" hidden="1">"A11.03GEN"</definedName>
    <definedName name="Parameter_TableTem" localSheetId="33" hidden="1">"A11.03GEN"</definedName>
    <definedName name="Parameter_TableTem" localSheetId="34" hidden="1">"A11.03GEN"</definedName>
    <definedName name="Parameter_TableTem" localSheetId="35" hidden="1">"A11.03GEN"</definedName>
    <definedName name="Parameter_TableTem" localSheetId="36" hidden="1">"A11.03GEN"</definedName>
    <definedName name="Parameter_TableVersion" localSheetId="10" hidden="1">"WPERE211.1225"</definedName>
    <definedName name="Parameter_TableVersion" localSheetId="22" hidden="1">"WPERE211.1225"</definedName>
    <definedName name="Parameter_TableVersion" localSheetId="23" hidden="1">"WPERE211.1225"</definedName>
    <definedName name="Parameter_TableVersion" localSheetId="6" hidden="1">"WPERE211.1225"</definedName>
    <definedName name="Parameter_TableVersion" localSheetId="25" hidden="1">"WPERE211.1225"</definedName>
    <definedName name="Parameter_TableVersion" localSheetId="9">"WPERE211.1225"</definedName>
    <definedName name="Parameter_TableVersion" localSheetId="8" hidden="1">"WPERE211.1225"</definedName>
    <definedName name="Parameter_TableVersion" localSheetId="20" hidden="1">"WPERE211.1225"</definedName>
    <definedName name="Parameter_TableVersion" localSheetId="27" hidden="1">"WPERE211.1225"</definedName>
    <definedName name="Parameter_TableVersion" localSheetId="28" hidden="1">"WPERE211.1225"</definedName>
    <definedName name="Parameter_TableVersion" localSheetId="12" hidden="1">"WPERE211.1225"</definedName>
    <definedName name="Parameter_TableVersion" localSheetId="24" hidden="1">"WPERE211.1225"</definedName>
    <definedName name="Parameter_TableVersion" localSheetId="7" hidden="1">"WPERE211.1225"</definedName>
    <definedName name="Parameter_TableVersion" localSheetId="1" hidden="1">"WPERE211.1225"</definedName>
    <definedName name="Parameter_TableVersion" localSheetId="4" hidden="1">"WPERE211.1225"</definedName>
    <definedName name="Parameter_TableVersion" localSheetId="32" hidden="1">"WPERE211.1225"</definedName>
    <definedName name="Parameter_TableVersion" localSheetId="31" hidden="1">"WPERE211.1225"</definedName>
    <definedName name="Parameter_TableVersion" localSheetId="5" hidden="1">"WPERE215.1025"</definedName>
    <definedName name="Parameter_TableVersion" localSheetId="26">"WPERE211.1225"</definedName>
    <definedName name="Parameter_TableVersion" localSheetId="13" hidden="1">"WPERE211.1225"</definedName>
    <definedName name="Parameter_TableVersion" localSheetId="16" hidden="1">"WPERE211.1225"</definedName>
    <definedName name="Parameter_TableVersion" localSheetId="17" hidden="1">"WPERE211.1225"</definedName>
    <definedName name="Parameter_TableVersion" localSheetId="14" hidden="1">"WPERE211.1225"</definedName>
    <definedName name="Parameter_TableVersion" localSheetId="29" hidden="1">"WPERE211.1225"</definedName>
    <definedName name="Parameter_TableVersion" localSheetId="0" hidden="1">"WPERE211.1225"</definedName>
    <definedName name="Parameter_TableVersion" localSheetId="19" hidden="1">"WPERE211.1225"</definedName>
    <definedName name="Parameter_TableVersion" localSheetId="30" hidden="1">"WPERE211.1225"</definedName>
    <definedName name="Parameter_TableVersion" localSheetId="21" hidden="1">"WPERE211.1225"</definedName>
    <definedName name="Parameter_TableVersion" localSheetId="37" hidden="1">"WPERE211.1225"</definedName>
    <definedName name="Parameter_TableVersion" localSheetId="33" hidden="1">"WPERE211.1225"</definedName>
    <definedName name="Parameter_TableVersion" localSheetId="34" hidden="1">"WPERE211.1225"</definedName>
    <definedName name="Parameter_TableVersion" localSheetId="35" hidden="1">"WPERE211.1225"</definedName>
    <definedName name="Parameter_TableVersion" localSheetId="36" hidden="1">"WPERE211.1225"</definedName>
    <definedName name="Period">#REF!</definedName>
    <definedName name="PinYin" hidden="1">STATPARA!$AD$1:$AE$23</definedName>
    <definedName name="PL">#REF!</definedName>
    <definedName name="PLaudited">#REF!</definedName>
    <definedName name="Pledged_or_not">[17]master!$A$3:$A$5</definedName>
    <definedName name="PLopening">#REF!</definedName>
    <definedName name="PREPAYM">[3]SCTB!#REF!</definedName>
    <definedName name="_xlnm.Print_Area" localSheetId="38">'9000A错报程序表'!$B$2:$J$28</definedName>
    <definedName name="_xlnm.Print_Area" localSheetId="41">'9000B对错报性质的评价'!$B$2:$H$38</definedName>
    <definedName name="_xlnm.Print_Area" localSheetId="42">'9000C错报评价'!$B$2:$K$33</definedName>
    <definedName name="_xlnm.Print_Area" localSheetId="43">'9000D对错报的沟通'!$B$2:$K$41</definedName>
    <definedName name="_xlnm.Print_Area" localSheetId="39">'9002B未更正错报（不包括披露错报）汇总表'!$B$2:$P$33</definedName>
    <definedName name="_xlnm.Print_Area" localSheetId="40">'9002C未更正披露错报汇总表'!$B$2:$H$25</definedName>
    <definedName name="_xlnm.Print_Area" localSheetId="10">AJE!$I$4:$P$75</definedName>
    <definedName name="_xlnm.Print_Area" localSheetId="22">'AJE1'!$I$4:$P$48</definedName>
    <definedName name="_xlnm.Print_Area" localSheetId="23">BalanceSheet!$E$2:$L$61</definedName>
    <definedName name="_xlnm.Print_Area" localSheetId="6">BS!$E$2:$L$52</definedName>
    <definedName name="_xlnm.Print_Area" localSheetId="25">CashFlow!$C$2:$F$62</definedName>
    <definedName name="_xlnm.Print_Area" localSheetId="9">CE!$C$3:$AC$37</definedName>
    <definedName name="_xlnm.Print_Area" localSheetId="8">CF!$C$2:$F$45</definedName>
    <definedName name="_xlnm.Print_Area" localSheetId="20">CFJE!$I$4:$P$49</definedName>
    <definedName name="_xlnm.Print_Area" localSheetId="27">CFWP1!$B$2:$J$113</definedName>
    <definedName name="_xlnm.Print_Area" localSheetId="28">CFWP2!$B$2:$I$196</definedName>
    <definedName name="_xlnm.Print_Area" localSheetId="12">Checks!$B$2:$N$85</definedName>
    <definedName name="_xlnm.Print_Area" localSheetId="24">IncomeStatement!$C$2:$F$70</definedName>
    <definedName name="_xlnm.Print_Area" localSheetId="7">IS!$C$2:$F$57</definedName>
    <definedName name="_xlnm.Print_Area" localSheetId="1">Lead!$B$3:$K$59</definedName>
    <definedName name="_xlnm.Print_Area" localSheetId="4">noteChecks!$D$2:$N$409</definedName>
    <definedName name="_xlnm.Print_Area" localSheetId="5">Notes!$G$2:$R$6259</definedName>
    <definedName name="_xlnm.Print_Area" localSheetId="26">OwnersEquity!$C$3:$AC$38</definedName>
    <definedName name="_xlnm.Print_Area" localSheetId="13">preBS!$D$2:$L$69</definedName>
    <definedName name="_xlnm.Print_Area" localSheetId="16">preCE!$C$3:$AE$41</definedName>
    <definedName name="_xlnm.Print_Area" localSheetId="17">preCF!$C$2:$F$66</definedName>
    <definedName name="_xlnm.Print_Area" localSheetId="14">preIS!$C$2:$F$81</definedName>
    <definedName name="_xlnm.Print_Area" localSheetId="19">TB!$E$2:$M$764</definedName>
    <definedName name="_xlnm.Print_Area" localSheetId="21">UJE!$I$4:$P$51</definedName>
    <definedName name="_xlnm.Print_Area" localSheetId="37">非财务信息!$B$2:$I$17</definedName>
    <definedName name="_xlnm.Print_Area" localSheetId="33">未审报表分析!$B$2:$K$130</definedName>
    <definedName name="_xlnm.Print_Area" localSheetId="34">未审财务指标分析!$B$2:$I$39</definedName>
    <definedName name="_xlnm.Print_Area" localSheetId="35">已审报表分析!$B$2:$K$130</definedName>
    <definedName name="_xlnm.Print_Area" localSheetId="36">已审财务指标分析!$B$2:$I$66</definedName>
    <definedName name="_xlnm.Print_Area">#REF!</definedName>
    <definedName name="_xlnm.Print_Titles" localSheetId="38">'9000A错报程序表'!$2:$6</definedName>
    <definedName name="_xlnm.Print_Titles" localSheetId="41">'9000B对错报性质的评价'!$2:$6</definedName>
    <definedName name="_xlnm.Print_Titles" localSheetId="42">'9000C错报评价'!$2:$6</definedName>
    <definedName name="_xlnm.Print_Titles" localSheetId="43">'9000D对错报的沟通'!$2:$6</definedName>
    <definedName name="_xlnm.Print_Titles" localSheetId="39">'9002B未更正错报（不包括披露错报）汇总表'!$2:$6</definedName>
    <definedName name="_xlnm.Print_Titles" localSheetId="40">'9002C未更正披露错报汇总表'!$2:$6</definedName>
    <definedName name="_xlnm.Print_Titles" localSheetId="10">AJE!$4:$8</definedName>
    <definedName name="_xlnm.Print_Titles" localSheetId="22">'AJE1'!$4:$8</definedName>
    <definedName name="_xlnm.Print_Titles" localSheetId="9">CE!$C:$C</definedName>
    <definedName name="_xlnm.Print_Titles" localSheetId="20">CFJE!$4:$8</definedName>
    <definedName name="_xlnm.Print_Titles" localSheetId="27">CFWP1!$2:$6</definedName>
    <definedName name="_xlnm.Print_Titles" localSheetId="28">CFWP2!$2:$6</definedName>
    <definedName name="_xlnm.Print_Titles" localSheetId="12">Checks!$2:$8</definedName>
    <definedName name="_xlnm.Print_Titles" localSheetId="4">noteChecks!$2:$8</definedName>
    <definedName name="_xlnm.Print_Titles" localSheetId="5">Notes!$2:$6</definedName>
    <definedName name="_xlnm.Print_Titles" localSheetId="26">OwnersEquity!$C:$C</definedName>
    <definedName name="_xlnm.Print_Titles" localSheetId="19">TB!$2:$8</definedName>
    <definedName name="_xlnm.Print_Titles" localSheetId="21">UJE!$4:$8</definedName>
    <definedName name="_xlnm.Print_Titles" localSheetId="37">非财务信息!$2:$7</definedName>
    <definedName name="_xlnm.Print_Titles" localSheetId="33">未审报表分析!$2:$8</definedName>
    <definedName name="_xlnm.Print_Titles" localSheetId="34">未审财务指标分析!$2:$8</definedName>
    <definedName name="_xlnm.Print_Titles" localSheetId="35">已审报表分析!$2:$8</definedName>
    <definedName name="_xlnm.Print_Titles" localSheetId="36">已审财务指标分析!$2:$8</definedName>
    <definedName name="PTE">1/200.482</definedName>
    <definedName name="QSCOMISS">#REF!</definedName>
    <definedName name="QZBCOMISS">#REF!</definedName>
    <definedName name="Reclass">#REF!</definedName>
    <definedName name="RECOUT">#N/A</definedName>
    <definedName name="Reporting_Period">#REF!</definedName>
    <definedName name="RESULT99">#REF!</definedName>
    <definedName name="RESUMEN">#REF!</definedName>
    <definedName name="RFP003A">#REF!</definedName>
    <definedName name="RFP003B">#REF!</definedName>
    <definedName name="RFP003C">#REF!</definedName>
    <definedName name="RFP003D">#REF!</definedName>
    <definedName name="RFP003E">#REF!</definedName>
    <definedName name="RFP003F">#REF!</definedName>
    <definedName name="rpt">[32]source!$B$2:$B$5</definedName>
    <definedName name="s">#REF!</definedName>
    <definedName name="SALES_TRANSACTION_TEST_DETAILS">#REF!</definedName>
    <definedName name="SAV">#REF!</definedName>
    <definedName name="SC">#REF!</definedName>
    <definedName name="SCH">#REF!</definedName>
    <definedName name="sd1p">#REF!</definedName>
    <definedName name="sd3p">#REF!</definedName>
    <definedName name="SDDK">#REF!</definedName>
    <definedName name="SDMONG">#REF!</definedName>
    <definedName name="shadeB8">[4]补充表!$I$10:$U$12,[4]补充表!$I$14:$U$17,[4]补充表!$J$19,[4]补充表!$I$22:$U$22,[4]补充表!$I$25:$U$31,[4]补充表!$I$35:$U$35,[4]补充表!$I$37:$U$37</definedName>
    <definedName name="shadeB9">#REF!,#REF!,#REF!</definedName>
    <definedName name="Sheet_AcctClass" localSheetId="18" hidden="1">[8]STATPARA!$AK$1:$AK$8</definedName>
    <definedName name="Sheet_AcctClass" localSheetId="2" hidden="1">[9]STATPARA!$AK$1:$AK$8</definedName>
    <definedName name="Sheet_AcctClass" localSheetId="11" hidden="1">[9]STATPARA!$AK$1:$AK$8</definedName>
    <definedName name="Sheet_AcctClass" localSheetId="3" hidden="1">[10]STATPARA!$AK$1:$AK$8</definedName>
    <definedName name="Sheet_AcctClass" hidden="1">STATPARA!$AK$1:$AK$8</definedName>
    <definedName name="Sheet_Adjentry" localSheetId="10" hidden="1">AJE!$A$8:$AE$65</definedName>
    <definedName name="Sheet_Adjentry" localSheetId="22" hidden="1">'AJE1'!$A$8:$AE$38</definedName>
    <definedName name="Sheet_Adjentry" localSheetId="20" hidden="1">CFJE!$A$8:$T$38</definedName>
    <definedName name="Sheet_Adjentry" localSheetId="21" hidden="1">UJE!$A$8:$AE$38</definedName>
    <definedName name="Sheet_AjeProof" localSheetId="18" hidden="1">[8]STATPARA!$AI$1:$AI$20</definedName>
    <definedName name="Sheet_AjeProof" localSheetId="2" hidden="1">[9]STATPARA!$AI$1:$AI$22</definedName>
    <definedName name="Sheet_AjeProof" localSheetId="11" hidden="1">[9]STATPARA!$AI$1:$AI$22</definedName>
    <definedName name="Sheet_AjeProof" localSheetId="3" hidden="1">[10]STATPARA!$AI$1:$AI$22</definedName>
    <definedName name="Sheet_AjeProof" hidden="1">STATPARA!$AI$1:$AI$22</definedName>
    <definedName name="Sheet_AjeSatus" localSheetId="18" hidden="1">[8]STATPARA!$AG$1:$AG$20</definedName>
    <definedName name="Sheet_AjeSatus" localSheetId="2" hidden="1">[9]STATPARA!$AG$1:$AG$22</definedName>
    <definedName name="Sheet_AjeSatus" localSheetId="11" hidden="1">[9]STATPARA!$AG$1:$AG$22</definedName>
    <definedName name="Sheet_AjeSatus" localSheetId="3" hidden="1">[10]STATPARA!$AG$1:$AG$22</definedName>
    <definedName name="Sheet_AjeSatus" hidden="1">STATPARA!$AG$1:$AG$22</definedName>
    <definedName name="Sheet_AnalyData" localSheetId="37" hidden="1">非财务信息!$A$7:$I$17</definedName>
    <definedName name="Sheet_AnalyData" localSheetId="33" hidden="1">未审报表分析!$A$8:$K$130</definedName>
    <definedName name="Sheet_AnalyData" localSheetId="34" hidden="1">未审财务指标分析!$A$8:$I$70</definedName>
    <definedName name="Sheet_AnalyData" localSheetId="35" hidden="1">已审报表分析!$A$8:$K$130</definedName>
    <definedName name="Sheet_AnalyData" localSheetId="36" hidden="1">已审财务指标分析!$A$8:$I$109</definedName>
    <definedName name="Sheet_Balance1" localSheetId="2" hidden="1">[9]TB!$T$6:$U$739</definedName>
    <definedName name="Sheet_Balance1" localSheetId="11" hidden="1">[9]TB!$T$6:$U$739</definedName>
    <definedName name="Sheet_Balance1" localSheetId="3" hidden="1">[33]TB!$T$6:$U$729</definedName>
    <definedName name="Sheet_Balance1" hidden="1">TB!$T$6:$U$739</definedName>
    <definedName name="Sheet_BS1" hidden="1">BS!$C$6:$H$51</definedName>
    <definedName name="Sheet_BS2" hidden="1">BS!$D$6:$L$51</definedName>
    <definedName name="Sheet_Caption1" localSheetId="23" hidden="1">BalanceSheet!$E$2:$L$2</definedName>
    <definedName name="Sheet_Caption1" localSheetId="6" hidden="1">BS!$E$2:$L$2</definedName>
    <definedName name="Sheet_Caption1" localSheetId="25" hidden="1">CashFlow!$C$2:$F$2</definedName>
    <definedName name="Sheet_Caption1" localSheetId="9" hidden="1">CE!$H$3</definedName>
    <definedName name="Sheet_Caption1" localSheetId="8" hidden="1">CF!$C$2:$F$2</definedName>
    <definedName name="Sheet_Caption1" localSheetId="24" hidden="1">IncomeStatement!$C$2:$F$2</definedName>
    <definedName name="Sheet_Caption1" localSheetId="7" hidden="1">IS!$C$2:$F$2</definedName>
    <definedName name="Sheet_Caption1" localSheetId="26" hidden="1">OwnersEquity!$H$3</definedName>
    <definedName name="Sheet_Caption2" localSheetId="9" hidden="1">CE!$T$3</definedName>
    <definedName name="Sheet_Caption2" localSheetId="26" hidden="1">OwnersEquity!$T$3</definedName>
    <definedName name="Sheet_CE" hidden="1">CE!$B$2:$AC$36</definedName>
    <definedName name="Sheet_CEcol" hidden="1">CE!$B$2:$AC$2</definedName>
    <definedName name="Sheet_CErow" hidden="1">CE!$B$2:$B$36</definedName>
    <definedName name="Sheet_CF" hidden="1">CF!$B$6:$F$44</definedName>
    <definedName name="Sheet_CF7" localSheetId="18" hidden="1">[8]CF!$B$50:$F$78</definedName>
    <definedName name="Sheet_CF7" localSheetId="2" hidden="1">[9]CF!$B$50:$F$78</definedName>
    <definedName name="Sheet_CF7" localSheetId="11" hidden="1">[9]CF!$B$50:$F$78</definedName>
    <definedName name="Sheet_CF7" localSheetId="3" hidden="1">[10]CF!$B$50:$F$78</definedName>
    <definedName name="Sheet_CF7" hidden="1">CF!$B$49:$F$78</definedName>
    <definedName name="Sheet_Check1" localSheetId="23" hidden="1">BalanceSheet!$E$65:$E$69</definedName>
    <definedName name="Sheet_Check1" localSheetId="6" hidden="1">BS!$E$56:$E$60</definedName>
    <definedName name="Sheet_Check1" localSheetId="25" hidden="1">CashFlow!$C$97:$C$101</definedName>
    <definedName name="Sheet_Check1" localSheetId="9" hidden="1">CE!$C$41:$C$45</definedName>
    <definedName name="Sheet_Check1" localSheetId="8" hidden="1">CF!$C$80:$C$84</definedName>
    <definedName name="Sheet_Check1" localSheetId="24" hidden="1">IncomeStatement!$C$74:$C$81</definedName>
    <definedName name="Sheet_Check1" localSheetId="7" hidden="1">IS!$C$61:$C$68</definedName>
    <definedName name="Sheet_Check1" localSheetId="5" hidden="1">Notes!$G$6261:$G$6265</definedName>
    <definedName name="Sheet_Check1" localSheetId="26" hidden="1">OwnersEquity!$C$42:$C$46</definedName>
    <definedName name="Sheet_Check1" localSheetId="13" hidden="1">preBS!$D$90:$D$97</definedName>
    <definedName name="Sheet_Check1" localSheetId="16" hidden="1">preCE!$C$45:$C$57</definedName>
    <definedName name="Sheet_Check1" localSheetId="17" hidden="1">preCF!$C$100:$C$129</definedName>
    <definedName name="Sheet_Check1" localSheetId="14" hidden="1">preIS!$C$85:$C$129</definedName>
    <definedName name="Sheet_Check1" localSheetId="19" hidden="1">TB!$E$784:$E$877</definedName>
    <definedName name="Sheet_Freeze1" localSheetId="10" hidden="1">AJE!$L$9</definedName>
    <definedName name="Sheet_Freeze1" localSheetId="22" hidden="1">'AJE1'!$L$9</definedName>
    <definedName name="Sheet_Freeze1" localSheetId="23" hidden="1">BalanceSheet!$F$7</definedName>
    <definedName name="Sheet_Freeze1" localSheetId="6" hidden="1">BS!$F$7</definedName>
    <definedName name="Sheet_Freeze1" localSheetId="25" hidden="1">CashFlow!$D$7</definedName>
    <definedName name="Sheet_Freeze1" localSheetId="9" hidden="1">CE!$D$9</definedName>
    <definedName name="Sheet_Freeze1" localSheetId="8" hidden="1">CF!$D$7</definedName>
    <definedName name="Sheet_Freeze1" localSheetId="20" hidden="1">CFJE!$L$9</definedName>
    <definedName name="Sheet_Freeze1" localSheetId="24" hidden="1">IncomeStatement!$D$7</definedName>
    <definedName name="Sheet_Freeze1" localSheetId="7" hidden="1">IS!$D$7</definedName>
    <definedName name="Sheet_Freeze1" localSheetId="5" hidden="1">Notes!$H$8</definedName>
    <definedName name="Sheet_Freeze1" localSheetId="26" hidden="1">OwnersEquity!$D$9</definedName>
    <definedName name="Sheet_Freeze1" localSheetId="13" hidden="1">preBS!$E$9</definedName>
    <definedName name="Sheet_Freeze1" localSheetId="16" hidden="1">preCE!$D$9</definedName>
    <definedName name="Sheet_Freeze1" localSheetId="17" hidden="1">preCF!$D$9</definedName>
    <definedName name="Sheet_Freeze1" localSheetId="14" hidden="1">preIS!$D$9</definedName>
    <definedName name="Sheet_Freeze1" localSheetId="19" hidden="1">TB!$F$9</definedName>
    <definedName name="Sheet_Freeze1" localSheetId="21" hidden="1">UJE!$L$9</definedName>
    <definedName name="Sheet_FsCheckList" hidden="1">STATPARA!$AS$1:$BD$120</definedName>
    <definedName name="Sheet_FsChecks" localSheetId="12" hidden="1">Checks!$B$8:$N$84</definedName>
    <definedName name="Sheet_FsnotesList" hidden="1">STATPARA!$Z$1:$AB$142</definedName>
    <definedName name="Sheet_IS" hidden="1">IS!$B$6:$F$50</definedName>
    <definedName name="Sheet_Items" localSheetId="18" hidden="1">[8]STATPARA!$B$1:$J$583</definedName>
    <definedName name="Sheet_Items" localSheetId="2" hidden="1">[9]STATPARA!$B$1:$J$832</definedName>
    <definedName name="Sheet_Items" localSheetId="11" hidden="1">[9]STATPARA!$B$1:$J$832</definedName>
    <definedName name="Sheet_Items" localSheetId="3" hidden="1">[10]STATPARA!$B$1:$J$798</definedName>
    <definedName name="Sheet_Items" hidden="1">STATPARA!$B$1:$J$875</definedName>
    <definedName name="Sheet_Items2" localSheetId="18" hidden="1">[8]STATPARA!$C$1:$J$583</definedName>
    <definedName name="Sheet_Items2" localSheetId="2" hidden="1">[9]STATPARA!$C$1:$J$832</definedName>
    <definedName name="Sheet_Items2" localSheetId="11" hidden="1">[9]STATPARA!$C$1:$J$832</definedName>
    <definedName name="Sheet_Items2" localSheetId="3" hidden="1">[10]STATPARA!$C$1:$J$798</definedName>
    <definedName name="Sheet_Items2" hidden="1">STATPARA!$C$1:$J$875</definedName>
    <definedName name="Sheet_Link1" localSheetId="34" hidden="1">未审财务指标分析!$C$42</definedName>
    <definedName name="Sheet_Link1" localSheetId="36" hidden="1">已审财务指标分析!$C$69</definedName>
    <definedName name="Sheet_MisstaCause" localSheetId="18" hidden="1">[8]STATPARA!$AQ$1:$AQ$2</definedName>
    <definedName name="Sheet_MisstaCause" localSheetId="2" hidden="1">[9]STATPARA!$AQ$1:$AQ$2</definedName>
    <definedName name="Sheet_MisstaCause" localSheetId="11" hidden="1">[9]STATPARA!$AQ$1:$AQ$2</definedName>
    <definedName name="Sheet_MisstaCause" localSheetId="3" hidden="1">[10]STATPARA!$AQ$1:$AQ$2</definedName>
    <definedName name="Sheet_MisstaCause" hidden="1">STATPARA!$AQ$1:$AQ$2</definedName>
    <definedName name="Sheet_MisstaType" localSheetId="18" hidden="1">[8]STATPARA!$AM$1:$AM$3</definedName>
    <definedName name="Sheet_MisstaType" localSheetId="2" hidden="1">[9]STATPARA!$AM$1:$AM$3</definedName>
    <definedName name="Sheet_MisstaType" localSheetId="11" hidden="1">[9]STATPARA!$AM$1:$AM$3</definedName>
    <definedName name="Sheet_MisstaType" localSheetId="3" hidden="1">[10]STATPARA!$AM$1:$AM$3</definedName>
    <definedName name="Sheet_MisstaType" hidden="1">STATPARA!$AM$1:$AM$3</definedName>
    <definedName name="Sheet_NoteChecks" localSheetId="4" hidden="1">noteChecks!$A$8:$Y$408</definedName>
    <definedName name="Sheet_NoteList" localSheetId="18" hidden="1">[8]STATPARA!$S$1:$X$217</definedName>
    <definedName name="Sheet_NoteList" localSheetId="2" hidden="1">[9]STATPARA!$S$1:$X$355</definedName>
    <definedName name="Sheet_NoteList" localSheetId="11" hidden="1">[9]STATPARA!$S$1:$X$355</definedName>
    <definedName name="Sheet_NoteList" localSheetId="3" hidden="1">[10]STATPARA!$S$1:$X$255</definedName>
    <definedName name="Sheet_NoteList" hidden="1">STATPARA!$S$1:$X$485</definedName>
    <definedName name="Sheet_Prebs1" localSheetId="18" hidden="1">[8]preBS!$C$8:$G$57</definedName>
    <definedName name="Sheet_Prebs1" localSheetId="2" hidden="1">[9]preBS!$C$8:$G$70</definedName>
    <definedName name="Sheet_Prebs1" localSheetId="11" hidden="1">[9]preBS!$C$8:$G$70</definedName>
    <definedName name="Sheet_Prebs1" localSheetId="3" hidden="1">[10]preBS!$C$8:$G$67</definedName>
    <definedName name="Sheet_Prebs1" hidden="1">preBS!$C$8:$G$68</definedName>
    <definedName name="Sheet_Prebs2" localSheetId="18" hidden="1">[8]preBS!$H$8:$L$57</definedName>
    <definedName name="Sheet_Prebs2" localSheetId="2" hidden="1">[9]preBS!$H$8:$L$70</definedName>
    <definedName name="Sheet_Prebs2" localSheetId="11" hidden="1">[9]preBS!$H$8:$L$70</definedName>
    <definedName name="Sheet_Prebs2" localSheetId="3" hidden="1">[10]preBS!$H$8:$L$67</definedName>
    <definedName name="Sheet_Prebs2" hidden="1">preBS!$H$8:$L$68</definedName>
    <definedName name="Sheet_Prebs3" localSheetId="18" hidden="1">[8]preBS!$C$60:$G$77</definedName>
    <definedName name="Sheet_Prebs3" localSheetId="2" hidden="1">[9]preBS!$C$73:$G$90</definedName>
    <definedName name="Sheet_Prebs3" localSheetId="11" hidden="1">[9]preBS!$C$73:$G$90</definedName>
    <definedName name="Sheet_Prebs3" localSheetId="3" hidden="1">[10]preBS!$C$70:$G$87</definedName>
    <definedName name="Sheet_Prebs3" hidden="1">preBS!$C$71:$G$88</definedName>
    <definedName name="Sheet_Precf" localSheetId="18" hidden="1">[8]preCF!$B$8:$F$65</definedName>
    <definedName name="Sheet_Precf" localSheetId="2" hidden="1">[9]preCF!$B$8:$F$66</definedName>
    <definedName name="Sheet_Precf" localSheetId="11" hidden="1">[9]preCF!$B$8:$F$66</definedName>
    <definedName name="Sheet_Precf" localSheetId="3" hidden="1">[10]preCF!$B$8:$F$66</definedName>
    <definedName name="Sheet_Precf" hidden="1">preCF!$B$8:$F$65</definedName>
    <definedName name="Sheet_Precf7" localSheetId="18" hidden="1">[8]preCF!$B$69:$F$97</definedName>
    <definedName name="Sheet_Precf7" localSheetId="2" hidden="1">[9]preCF!$B$70:$F$98</definedName>
    <definedName name="Sheet_Precf7" localSheetId="11" hidden="1">[9]preCF!$B$70:$F$98</definedName>
    <definedName name="Sheet_Precf7" localSheetId="3" hidden="1">[10]preCF!$B$70:$F$98</definedName>
    <definedName name="Sheet_Precf7" hidden="1">preCF!$B$69:$F$98</definedName>
    <definedName name="Sheet_Preis" localSheetId="18" hidden="1">[8]preIS!$B$8:$F$48</definedName>
    <definedName name="Sheet_Preis" localSheetId="2" hidden="1">[9]preIS!$B$8:$F$70</definedName>
    <definedName name="Sheet_Preis" localSheetId="11" hidden="1">[9]preIS!$B$8:$F$70</definedName>
    <definedName name="Sheet_Preis" localSheetId="3" hidden="1">[10]preIS!$B$8:$F$64</definedName>
    <definedName name="Sheet_Preis" hidden="1">preIS!$B$8:$F$79</definedName>
    <definedName name="Sheet_Presc" localSheetId="18" hidden="1">[8]preCE!$B$2:$W$36</definedName>
    <definedName name="Sheet_Presc" localSheetId="2" hidden="1">[9]preCE!$B$2:$AE$39</definedName>
    <definedName name="Sheet_Presc" localSheetId="11" hidden="1">[9]preCE!$B$2:$AE$39</definedName>
    <definedName name="Sheet_Presc" localSheetId="3" hidden="1">[10]preCE!$B$2:$AE$39</definedName>
    <definedName name="Sheet_Presc" hidden="1">preCE!$B$2:$AE$40</definedName>
    <definedName name="Sheet_Presccol" localSheetId="18" hidden="1">[8]preCE!$B$2:$W$2</definedName>
    <definedName name="Sheet_Presccol" localSheetId="2" hidden="1">[9]preCE!$B$2:$AE$2</definedName>
    <definedName name="Sheet_Presccol" localSheetId="11" hidden="1">[9]preCE!$B$2:$AE$2</definedName>
    <definedName name="Sheet_Presccol" localSheetId="3" hidden="1">[10]preCE!$B$2:$AE$2</definedName>
    <definedName name="Sheet_Presccol" hidden="1">preCE!$B$2:$AE$2</definedName>
    <definedName name="Sheet_Prescrow" localSheetId="18" hidden="1">[8]preCE!$B$2:$B$36</definedName>
    <definedName name="Sheet_Prescrow" localSheetId="2" hidden="1">[9]preCE!$B$2:$B$39</definedName>
    <definedName name="Sheet_Prescrow" localSheetId="11" hidden="1">[9]preCE!$B$2:$B$39</definedName>
    <definedName name="Sheet_Prescrow" localSheetId="3" hidden="1">[10]preCE!$B$2:$B$39</definedName>
    <definedName name="Sheet_Prescrow" hidden="1">preCE!$B$2:$B$40</definedName>
    <definedName name="Sheet_Trialbal" localSheetId="18" hidden="1">[8]TB!$D$6:$M$532</definedName>
    <definedName name="Sheet_Trialbal" localSheetId="2" hidden="1">[9]TB!$D$6:$M$739</definedName>
    <definedName name="Sheet_Trialbal" localSheetId="11" hidden="1">[9]TB!$D$6:$M$739</definedName>
    <definedName name="Sheet_Trialbal" localSheetId="3" hidden="1">[10]TB!$D$6:$M$712</definedName>
    <definedName name="Sheet_Trialbal" hidden="1">TB!$D$6:$M$781</definedName>
    <definedName name="Sheet_TypeName" hidden="1">STATPARA!$BF$1:$BF$8</definedName>
    <definedName name="Sheet_UncorMistaType" localSheetId="18" hidden="1">[8]STATPARA!$AO$1:$AO$3</definedName>
    <definedName name="Sheet_UncorMistaType" localSheetId="2" hidden="1">[9]STATPARA!$AO$1:$AO$3</definedName>
    <definedName name="Sheet_UncorMistaType" localSheetId="11" hidden="1">[9]STATPARA!$AO$1:$AO$3</definedName>
    <definedName name="Sheet_UncorMistaType" localSheetId="3" hidden="1">[10]STATPARA!$AO$1:$AO$3</definedName>
    <definedName name="Sheet_UncorMistaType" hidden="1">STATPARA!$AO$1:$AO$3</definedName>
    <definedName name="Sheet_Units" hidden="1">[34]Menu!$C$16:$C$25</definedName>
    <definedName name="Sheet1" localSheetId="18">#REF!</definedName>
    <definedName name="Sheet1">#REF!</definedName>
    <definedName name="sht">#REF!</definedName>
    <definedName name="sht1p">#REF!</definedName>
    <definedName name="sht3p">#REF!</definedName>
    <definedName name="SIZE">#REF!</definedName>
    <definedName name="SL_CRD">#REF!</definedName>
    <definedName name="SL_CRS">#REF!</definedName>
    <definedName name="SL_CS">#REF!</definedName>
    <definedName name="SL_DD">#REF!</definedName>
    <definedName name="slBTLT1pm">#REF!</definedName>
    <definedName name="slBTLT3pm">#REF!</definedName>
    <definedName name="slBTLTct">#REF!</definedName>
    <definedName name="slBTLTHTDL">#REF!</definedName>
    <definedName name="slBTLTHTHH">#REF!</definedName>
    <definedName name="slchang1pm">#REF!</definedName>
    <definedName name="slchang3pm">#REF!</definedName>
    <definedName name="slchangct">#REF!</definedName>
    <definedName name="slchanght">#REF!</definedName>
    <definedName name="slchangHTDL">#REF!</definedName>
    <definedName name="slchangHTHH">#REF!</definedName>
    <definedName name="slmong1pm">#REF!</definedName>
    <definedName name="slmong3pm">#REF!</definedName>
    <definedName name="slmongct">#REF!</definedName>
    <definedName name="slmonght">#REF!</definedName>
    <definedName name="slmongHTDL">#REF!</definedName>
    <definedName name="slmongHTHH">#REF!</definedName>
    <definedName name="slmongneo1pm">#REF!</definedName>
    <definedName name="slmongneo3pm">#REF!</definedName>
    <definedName name="slmongneoct">#REF!</definedName>
    <definedName name="slmongneoht">#REF!</definedName>
    <definedName name="slmongneoHTDL">#REF!</definedName>
    <definedName name="slmongneoHTHH">#REF!</definedName>
    <definedName name="sltdll1pm">#REF!</definedName>
    <definedName name="sltdll3pm">#REF!</definedName>
    <definedName name="sltdllct">#REF!</definedName>
    <definedName name="sltdllHTDL">#REF!</definedName>
    <definedName name="sltdllHTHH">#REF!</definedName>
    <definedName name="slxa1pm">#REF!</definedName>
    <definedName name="slxa3pm">#REF!</definedName>
    <definedName name="slxact">#REF!</definedName>
    <definedName name="SO">OFFSET([27]NGUON!$A$1:$A$65536,COUNTA([27]NGUON!$A$1:$A$65536)-1,0,1)</definedName>
    <definedName name="soc3p">#REF!</definedName>
    <definedName name="solieu">#REF!</definedName>
    <definedName name="SORT">#REF!</definedName>
    <definedName name="SOTIEN">OFFSET([27]NGUON!$I$1:$I$65536,COUNTA([27]NGUON!$I$1:$I$65536)-1,0,1)</definedName>
    <definedName name="SPEC">#REF!</definedName>
    <definedName name="SpecialPrice" hidden="1">#REF!</definedName>
    <definedName name="SPECSUMMARY">#REF!</definedName>
    <definedName name="SPEND">#REF!</definedName>
    <definedName name="src">#REF!</definedName>
    <definedName name="ss">[19]B!#REF!</definedName>
    <definedName name="st_investment">[17]master!$C$3:$C$11</definedName>
    <definedName name="st1p">#REF!</definedName>
    <definedName name="st3p">#REF!</definedName>
    <definedName name="STANDARCOSTAA">#REF!</definedName>
    <definedName name="STANDARCOSTC">#REF!</definedName>
    <definedName name="STANDARCOSTD">#REF!</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te">#REF!</definedName>
    <definedName name="Steps">#REF!</definedName>
    <definedName name="STOCK_P7QS">#REF!</definedName>
    <definedName name="STOCK_P7QX">#REF!</definedName>
    <definedName name="STOCK_P7QZB">#REF!</definedName>
    <definedName name="SUMMARY">#REF!</definedName>
    <definedName name="T">#REF!</definedName>
    <definedName name="T_HOP">#REF!</definedName>
    <definedName name="T02_DANH_MUC_CONG_VIEC">#REF!</definedName>
    <definedName name="T03_BANG_GIA_VAT_LIEU">#REF!</definedName>
    <definedName name="T09_DINH_MUC_DU_TOAN">#REF!</definedName>
    <definedName name="t101p">#REF!</definedName>
    <definedName name="t103p">#REF!</definedName>
    <definedName name="t10m">#REF!</definedName>
    <definedName name="T10nc">#REF!</definedName>
    <definedName name="t10nc1p">#REF!</definedName>
    <definedName name="T10vc">#REF!</definedName>
    <definedName name="T10vl">#REF!</definedName>
    <definedName name="t10vl1p">#REF!</definedName>
    <definedName name="t121p">#REF!</definedName>
    <definedName name="t123p">#REF!</definedName>
    <definedName name="T12nc">#REF!</definedName>
    <definedName name="t12nc3p">#REF!</definedName>
    <definedName name="T12vc">#REF!</definedName>
    <definedName name="T12vl">#REF!</definedName>
    <definedName name="t141p">#REF!</definedName>
    <definedName name="t143p">#REF!</definedName>
    <definedName name="T14nc">#REF!</definedName>
    <definedName name="T14vc">#REF!</definedName>
    <definedName name="T14vl">#REF!</definedName>
    <definedName name="t7m">#REF!</definedName>
    <definedName name="t8m">#REF!</definedName>
    <definedName name="TA">#REF!</definedName>
    <definedName name="TAM">#N/A</definedName>
    <definedName name="TAMTINH">#REF!</definedName>
    <definedName name="TaxTV">10%</definedName>
    <definedName name="TaxXL">5%</definedName>
    <definedName name="tb">#REF!</definedName>
    <definedName name="tbl_ProdInfo" hidden="1">#REF!</definedName>
    <definedName name="TBLink1000" localSheetId="19" hidden="1">TB!$E$9:$E$13</definedName>
    <definedName name="TBLink1900" localSheetId="19" hidden="1">TB!$E$717:$E$721</definedName>
    <definedName name="TBLink2000" localSheetId="19" hidden="1">TB!$E$65:$E$68</definedName>
    <definedName name="TBLink6000" localSheetId="19" hidden="1">TB!$E$126:$E$130</definedName>
    <definedName name="TBLink7000" localSheetId="19" hidden="1">TB!$E$656:$E$660</definedName>
    <definedName name="TBLink7500" localSheetId="19" hidden="1">TB!$E$735:$E$740</definedName>
    <definedName name="TBLink8000" localSheetId="19" hidden="1">TB!$E$201:$E$205</definedName>
    <definedName name="test\">#REF!</definedName>
    <definedName name="TEST1" localSheetId="18">#REF!</definedName>
    <definedName name="TEST1">#REF!</definedName>
    <definedName name="TEST2">#REF!</definedName>
    <definedName name="TESTHKEY">#REF!</definedName>
    <definedName name="TESTKEYS">#REF!</definedName>
    <definedName name="TESTVKEY">#REF!</definedName>
    <definedName name="TextRefCopy1">#REF!</definedName>
    <definedName name="TextRefCopy10">#REF!</definedName>
    <definedName name="TextRefCopy11">[35]Sheet1!$G$5</definedName>
    <definedName name="TextRefCopy12">[35]Sheet1!$G$7</definedName>
    <definedName name="TextRefCopy13">[35]Sheet1!$G$9</definedName>
    <definedName name="TextRefCopy14">[35]Sheet1!$G$9</definedName>
    <definedName name="TextRefCopy15">#REF!</definedName>
    <definedName name="TextRefCopy16">#REF!</definedName>
    <definedName name="TextRefCopy17">#REF!</definedName>
    <definedName name="TextRefCopy2">#REF!</definedName>
    <definedName name="TextRefCopy20">#REF!</definedName>
    <definedName name="TextRefCopy21">#REF!</definedName>
    <definedName name="TextRefCopy3">#REF!</definedName>
    <definedName name="TextRefCopy4">#REF!</definedName>
    <definedName name="TextRefCopy5">#REF!</definedName>
    <definedName name="TextRefCopy6">#REF!</definedName>
    <definedName name="TextRefCopy7">#REF!</definedName>
    <definedName name="TextRefCopy8">#REF!</definedName>
    <definedName name="TextRefCopy9">#REF!</definedName>
    <definedName name="TextRefCopyRangeCount" localSheetId="18" hidden="1">10</definedName>
    <definedName name="TextRefCopyRangeCount" hidden="1">4</definedName>
    <definedName name="TG">#REF!</definedName>
    <definedName name="TH_INV">'[3]TB Link'!#REF!</definedName>
    <definedName name="TH_INVP">'[3]TB Link'!#REF!</definedName>
    <definedName name="TH_ORDER">'[3]TB Link'!#REF!</definedName>
    <definedName name="TH_ORDERP">'[3]TB Link'!#REF!</definedName>
    <definedName name="THCTAU">#REF!</definedName>
    <definedName name="THGO1pnc">#REF!</definedName>
    <definedName name="thht">#REF!</definedName>
    <definedName name="THI">#REF!</definedName>
    <definedName name="thkp3">#REF!</definedName>
    <definedName name="THT">#REF!</definedName>
    <definedName name="thtt">#REF!</definedName>
    <definedName name="Tien">#REF!</definedName>
    <definedName name="TienLuong">#REF!</definedName>
    <definedName name="time">[4]上报资产负债表!$A$26</definedName>
    <definedName name="tinhqt">[24]!tinhqt</definedName>
    <definedName name="TINHTP">OFFSET([27]NGUON!$G$1:$G$65536,COUNTIF([27]NGUON!$G$1:$G$65536,"&lt;&gt;0")-1,0,1)</definedName>
    <definedName name="TITAN">#REF!</definedName>
    <definedName name="tkp">[24]!tkp</definedName>
    <definedName name="tkpdt">[24]Data!tkpdt</definedName>
    <definedName name="TLAC120">#REF!</definedName>
    <definedName name="TLAC35">#REF!</definedName>
    <definedName name="TLAC50">#REF!</definedName>
    <definedName name="TLAC70">#REF!</definedName>
    <definedName name="TLAC95">#REF!</definedName>
    <definedName name="Tle">#REF!</definedName>
    <definedName name="tluong">#REF!</definedName>
    <definedName name="TM">[0]!BTRAM</definedName>
    <definedName name="TNCM">#REF!</definedName>
    <definedName name="TO_P1A_ADM">#REF!</definedName>
    <definedName name="TO_P1A_PRD">#REF!</definedName>
    <definedName name="TO_P1A_SAL">#REF!</definedName>
    <definedName name="TO_P1AE">#REF!</definedName>
    <definedName name="TO_P1AE_P">#REF!</definedName>
    <definedName name="TO_P1AE_Y">#REF!</definedName>
    <definedName name="Toggle1">#REF!</definedName>
    <definedName name="ToggleCheckSum">#REF!</definedName>
    <definedName name="TONGDUTOAN">#REF!</definedName>
    <definedName name="TOP">#REF!</definedName>
    <definedName name="total">#REF!</definedName>
    <definedName name="TOTAL_AP_GROUP">#REF!</definedName>
    <definedName name="TOTAL_AR_GROUP">#REF!</definedName>
    <definedName name="totald">#REF!</definedName>
    <definedName name="Totales">#REF!,#REF!,#REF!,#REF!</definedName>
    <definedName name="Totales2">#REF!,#REF!,#REF!,#REF!,#REF!</definedName>
    <definedName name="TPLRP">#REF!</definedName>
    <definedName name="TR_BACKLOG_EST">'[3]TB Link'!#REF!</definedName>
    <definedName name="TR_GM_EST">'[3]TB Link'!#REF!</definedName>
    <definedName name="TR_INV">'[3]TB Link'!#REF!</definedName>
    <definedName name="TR_INV_EST">'[3]TB Link'!#REF!</definedName>
    <definedName name="TR_INVP">'[3]TB Link'!#REF!</definedName>
    <definedName name="TR_ORDER">'[3]TB Link'!#REF!</definedName>
    <definedName name="TR_ORDER_EST">'[3]TB Link'!#REF!</definedName>
    <definedName name="TR_ORDERP">'[3]TB Link'!#REF!</definedName>
    <definedName name="Tra_DM_su_dung">#REF!</definedName>
    <definedName name="Tra_don_gia_KS">#REF!</definedName>
    <definedName name="Tra_DTCT">#REF!</definedName>
    <definedName name="Tra_tim_hang_mucPT_trung">#REF!</definedName>
    <definedName name="Tra_TL">#REF!</definedName>
    <definedName name="Tra_ty_le2">#REF!</definedName>
    <definedName name="Tra_ty_le3">#REF!</definedName>
    <definedName name="Tra_ty_le4">#REF!</definedName>
    <definedName name="Tra_ty_le5">#REF!</definedName>
    <definedName name="Trade_Debtor_Current">[36]F101!#REF!</definedName>
    <definedName name="Trade_Debtor_Prior">[36]F101!#REF!</definedName>
    <definedName name="TRADE2">#REF!</definedName>
    <definedName name="TRAM">#REF!</definedName>
    <definedName name="TT_1P">#REF!</definedName>
    <definedName name="TT_3p">#REF!</definedName>
    <definedName name="ttbt">#REF!</definedName>
    <definedName name="TTDD">#REF!</definedName>
    <definedName name="TTDDCT3p">#REF!</definedName>
    <definedName name="tthi">#REF!</definedName>
    <definedName name="ttronmk">#REF!</definedName>
    <definedName name="tv75nc">#REF!</definedName>
    <definedName name="tv75vl">#REF!</definedName>
    <definedName name="TXL">#N/A</definedName>
    <definedName name="ty_le">#REF!</definedName>
    <definedName name="ty_le_BTN">#REF!</definedName>
    <definedName name="Ty_le1">#REF!</definedName>
    <definedName name="UF">#REF!</definedName>
    <definedName name="UFP">#REF!</definedName>
    <definedName name="UFPrn">#REF!</definedName>
    <definedName name="UFPrn20000925150907">#REF!</definedName>
    <definedName name="UFPrn20000925150927">#REF!</definedName>
    <definedName name="UFPrn20000925165850">#REF!</definedName>
    <definedName name="UFPrn20010303111833">#REF!</definedName>
    <definedName name="UFPrn20021217113109">#REF!</definedName>
    <definedName name="UFPrn20021217113550">#REF!</definedName>
    <definedName name="UFPrn20021217145908">#REF!</definedName>
    <definedName name="UFPrn20021218150038">[37]K110!$A$4:$J$52</definedName>
    <definedName name="UFPrn20021219114701">[37]G210!$A$7:$E$78</definedName>
    <definedName name="UFPrn20021220114055">[37]O111!$A$6:$C$29</definedName>
    <definedName name="UFPrn20030113135659">#REF!</definedName>
    <definedName name="UFPrn20030625090333">#REF!</definedName>
    <definedName name="UFPrn20031219195424">#REF!</definedName>
    <definedName name="UFPrn20031225094429">#REF!</definedName>
    <definedName name="UFPrn20031225094904">#REF!</definedName>
    <definedName name="UFPrn20031225094927">#REF!</definedName>
    <definedName name="UFPrn20031225094955">#REF!</definedName>
    <definedName name="UFPrn20031225153540">#REF!</definedName>
    <definedName name="UFPrn20031225164314">#REF!</definedName>
    <definedName name="UFPrn20031225164340">#REF!</definedName>
    <definedName name="UFPrn20031225164436">#REF!</definedName>
    <definedName name="UFPrn20031225164518">#REF!</definedName>
    <definedName name="UFPrn20031225164551">#REF!</definedName>
    <definedName name="UFPrn20031225164627">#REF!</definedName>
    <definedName name="UFPrn20031225164726">#REF!</definedName>
    <definedName name="UFPrn20040108094949">#REF!</definedName>
    <definedName name="UFPrn20040108095037">#REF!</definedName>
    <definedName name="UFPrn20040108095054">#REF!</definedName>
    <definedName name="UFPrn20040108095311">#REF!</definedName>
    <definedName name="UFPrn20040108215511">#REF!</definedName>
    <definedName name="UFPrn20040212103151">#REF!</definedName>
    <definedName name="UFPrn20040213155233">#REF!</definedName>
    <definedName name="UFPrn20040213155320">#REF!</definedName>
    <definedName name="UFPrn20040213155348">#REF!</definedName>
    <definedName name="UFPrn20040213155409">#REF!</definedName>
    <definedName name="UFPrn20040213155529">#REF!</definedName>
    <definedName name="UFPrn20040213155620">#REF!</definedName>
    <definedName name="UFPrn20040215194039">#REF!</definedName>
    <definedName name="UFPrn20040215194101">#REF!</definedName>
    <definedName name="UFPrn20040215194121">#REF!</definedName>
    <definedName name="UFPrn20040215194200">#REF!</definedName>
    <definedName name="UFPrn20040215194222">#REF!</definedName>
    <definedName name="UFPrn20040215194256">#REF!</definedName>
    <definedName name="UFPrn20040215194324">#REF!</definedName>
    <definedName name="UFPrn20040215194347">#REF!</definedName>
    <definedName name="UFPrn20040215194424">#REF!</definedName>
    <definedName name="UFPrn20040215194450">#REF!</definedName>
    <definedName name="UFPrn20040215204411">#REF!</definedName>
    <definedName name="UFPrn20040215204948">#REF!</definedName>
    <definedName name="UFPrn20040307090525">#REF!</definedName>
    <definedName name="UFPrn20040319152128">#REF!</definedName>
    <definedName name="UFPrn20040607160131">#REF!</definedName>
    <definedName name="UFPrn20040726091933">#REF!</definedName>
    <definedName name="UFPrn20040804154156">#REF!</definedName>
    <definedName name="UFPrn20040812141748">#REF!</definedName>
    <definedName name="UFPrn20040812141839">#REF!</definedName>
    <definedName name="UFPrn20040907140125">#REF!</definedName>
    <definedName name="UFPrn20040908134652">#REF!</definedName>
    <definedName name="UFPrn20040908142005">#REF!</definedName>
    <definedName name="UFPrn20040908194024">#REF!</definedName>
    <definedName name="UFPrn20041109094030">#REF!</definedName>
    <definedName name="UFPrn20041203134042">#REF!</definedName>
    <definedName name="UFPrn20050110123203">#REF!</definedName>
    <definedName name="UFPrn20050204121214">#REF!</definedName>
    <definedName name="UFPrn20050304085251">#REF!</definedName>
    <definedName name="UFPrn20050304111500">#REF!</definedName>
    <definedName name="UFPrn20050405142025">#REF!</definedName>
    <definedName name="UFPrn20050602162617">#REF!</definedName>
    <definedName name="UFPrn20050707091816">#REF!</definedName>
    <definedName name="UFPrn20050805092116">#REF!</definedName>
    <definedName name="UFPrn20050905092900">#REF!</definedName>
    <definedName name="UFPrn20051010105841">#REF!</definedName>
    <definedName name="UFPrn20051103141755">#REF!</definedName>
    <definedName name="UFPrn20051208105910">#REF!</definedName>
    <definedName name="UFPrn20060106100943">#REF!</definedName>
    <definedName name="UFPrn20060106104514">#REF!</definedName>
    <definedName name="UFPrn20060106105221">#REF!</definedName>
    <definedName name="UFPrn20060213161045">#REF!</definedName>
    <definedName name="UFPrn20060306091535">#REF!</definedName>
    <definedName name="UFPrn20060405162820">#REF!</definedName>
    <definedName name="UFPrn20060511142540">#REF!</definedName>
    <definedName name="UFPrn20060605114658">#REF!</definedName>
    <definedName name="UFPrn20060707090149">#REF!</definedName>
    <definedName name="UFPrn20060807091407">#REF!</definedName>
    <definedName name="UFPrn20061013121653">#REF!</definedName>
    <definedName name="UFPrn20061019092758">#REF!</definedName>
    <definedName name="UFPrn20061207102800">#REF!</definedName>
    <definedName name="UFPrn20070118094912">#REF!</definedName>
    <definedName name="UFPrn20070307131043">#REF!</definedName>
    <definedName name="UFPrn20070416124415">#REF!</definedName>
    <definedName name="UFPrn20071015133735">#REF!</definedName>
    <definedName name="UFPrn20080114135201">#REF!</definedName>
    <definedName name="UFPrn20080114135301">#REF!</definedName>
    <definedName name="UFPrn20080215142456">#REF!</definedName>
    <definedName name="UFPrn20081015203224">#REF!</definedName>
    <definedName name="Untitled">#REF!</definedName>
    <definedName name="USD_Exchange_Rate">#REF!</definedName>
    <definedName name="v">[38]Source!$D$20:$D$23</definedName>
    <definedName name="VAÄT_LIEÄU">"ATRAM"</definedName>
    <definedName name="VAD_OH">#REF!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R">#REF!</definedName>
    <definedName name="VARIINST">#REF!</definedName>
    <definedName name="VARIPURC">#REF!</definedName>
    <definedName name="Vat_tu">#REF!</definedName>
    <definedName name="vbtchongnuocm300">#REF!</definedName>
    <definedName name="vbtm150">#REF!</definedName>
    <definedName name="vbtm300">#REF!</definedName>
    <definedName name="vbtm400">#REF!</definedName>
    <definedName name="VC">#REF!</definedName>
    <definedName name="vccot">#REF!</definedName>
    <definedName name="VCDD1P">#REF!</definedName>
    <definedName name="VCDD3p">#REF!</definedName>
    <definedName name="VCDDCT3p">#REF!</definedName>
    <definedName name="VCDDMBA">#REF!</definedName>
    <definedName name="VCHT">#REF!</definedName>
    <definedName name="VCPKHTK">#REF!</definedName>
    <definedName name="vctb">#REF!</definedName>
    <definedName name="VCVBT1">#REF!</definedName>
    <definedName name="VCVBT2">#REF!</definedName>
    <definedName name="vd3p">#REF!</definedName>
    <definedName name="vkcauthang">#REF!</definedName>
    <definedName name="vksan">#REF!</definedName>
    <definedName name="vl">#REF!</definedName>
    <definedName name="VL1P">#REF!</definedName>
    <definedName name="VL3P">#REF!</definedName>
    <definedName name="Vlcap0.7">#REF!</definedName>
    <definedName name="VLcap1">#REF!</definedName>
    <definedName name="VLCT3p">#REF!</definedName>
    <definedName name="vldn400">#REF!</definedName>
    <definedName name="vldn600">#REF!</definedName>
    <definedName name="vltram">#REF!</definedName>
    <definedName name="vr3p">#REF!</definedName>
    <definedName name="VT">#REF!</definedName>
    <definedName name="W" localSheetId="18">#REF!</definedName>
    <definedName name="w">#REF!</definedName>
    <definedName name="Wfl04AS1">#REF!</definedName>
    <definedName name="Wfl04RS1">#REF!</definedName>
    <definedName name="Wfl04US1">#REF!</definedName>
    <definedName name="whatever">#REF!</definedName>
    <definedName name="WO" hidden="1">{#N/A,#N/A,FALSE,"Aging Summary";#N/A,#N/A,FALSE,"Ratio Analysis";#N/A,#N/A,FALSE,"Test 120 Day Accts";#N/A,#N/A,FALSE,"Tickmarks"}</definedName>
    <definedName name="woi">#N/A</definedName>
    <definedName name="WPE_ClientName" localSheetId="38" hidden="1">'9000A错报程序表'!$B$3</definedName>
    <definedName name="WPE_ClientName" localSheetId="41" hidden="1">'9000B对错报性质的评价'!$B$3</definedName>
    <definedName name="WPE_ClientName" localSheetId="42" hidden="1">'9000C错报评价'!$B$3</definedName>
    <definedName name="WPE_ClientName" localSheetId="43" hidden="1">'9000D对错报的沟通'!$B$3</definedName>
    <definedName name="WPE_ClientName" localSheetId="39" hidden="1">'9002B未更正错报（不包括披露错报）汇总表'!$B$3</definedName>
    <definedName name="WPE_ClientName" localSheetId="40" hidden="1">'9002C未更正披露错报汇总表'!$B$3</definedName>
    <definedName name="WPE_PeriodEnd" localSheetId="38" hidden="1">'9000A错报程序表'!$B$5</definedName>
    <definedName name="WPE_PeriodEnd" localSheetId="41" hidden="1">'9000B对错报性质的评价'!$B$5</definedName>
    <definedName name="WPE_PeriodEnd" localSheetId="42" hidden="1">'9000C错报评价'!$B$5</definedName>
    <definedName name="WPE_PeriodEnd" localSheetId="43" hidden="1">'9000D对错报的沟通'!$B$5</definedName>
    <definedName name="WPE_PeriodEnd" localSheetId="39" hidden="1">'9002B未更正错报（不包括披露错报）汇总表'!$B$5</definedName>
    <definedName name="WPE_PeriodEnd" localSheetId="40" hidden="1">'9002C未更正披露错报汇总表'!$B$5</definedName>
    <definedName name="WPE_PreparedDate" localSheetId="38" hidden="1">'9000A错报程序表'!$A$2</definedName>
    <definedName name="WPE_PreparedDate" localSheetId="41" hidden="1">'9000B对错报性质的评价'!$A$2</definedName>
    <definedName name="WPE_PreparedDate" localSheetId="42" hidden="1">'9000C错报评价'!$A$2</definedName>
    <definedName name="WPE_PreparedDate" localSheetId="43" hidden="1">'9000D对错报的沟通'!$A$2</definedName>
    <definedName name="WPE_PreparedDate" localSheetId="39" hidden="1">'9002B未更正错报（不包括披露错报）汇总表'!$A$2</definedName>
    <definedName name="WPE_PreparedDate" localSheetId="40" hidden="1">'9002C未更正披露错报汇总表'!$A$2</definedName>
    <definedName name="WPE_Preparer" localSheetId="38" hidden="1">'9000A错报程序表'!$D$1</definedName>
    <definedName name="WPE_Preparer" localSheetId="41" hidden="1">'9000B对错报性质的评价'!$D$1</definedName>
    <definedName name="WPE_Preparer" localSheetId="42" hidden="1">'9000C错报评价'!$D$1</definedName>
    <definedName name="WPE_Preparer" localSheetId="43" hidden="1">'9000D对错报的沟通'!$D$1</definedName>
    <definedName name="WPE_Preparer" localSheetId="39" hidden="1">'9002B未更正错报（不包括披露错报）汇总表'!$D$1</definedName>
    <definedName name="WPE_Preparer" localSheetId="40" hidden="1">'9002C未更正披露错报汇总表'!$D$1</definedName>
    <definedName name="WPE_Range_AccountDrCr" localSheetId="38" hidden="1">'9000A错报程序表'!$C$1</definedName>
    <definedName name="WPE_Range_AccountDrCr" localSheetId="41" hidden="1">'9000B对错报性质的评价'!$C$1</definedName>
    <definedName name="WPE_Range_AccountDrCr" localSheetId="42" hidden="1">'9000C错报评价'!$C$1</definedName>
    <definedName name="WPE_Range_AccountDrCr" localSheetId="43" hidden="1">'9000D对错报的沟通'!$C$1</definedName>
    <definedName name="WPE_Range_AccountDrCr" localSheetId="39" hidden="1">'9002B未更正错报（不包括披露错报）汇总表'!$C$1</definedName>
    <definedName name="WPE_Range_AccountDrCr" localSheetId="40" hidden="1">'9002C未更正披露错报汇总表'!$C$1</definedName>
    <definedName name="WPE_Range_AccountName" localSheetId="38" hidden="1">'9000A错报程序表'!$A$4</definedName>
    <definedName name="WPE_Range_AccountName" localSheetId="41" hidden="1">'9000B对错报性质的评价'!$A$4</definedName>
    <definedName name="WPE_Range_AccountName" localSheetId="42" hidden="1">'9000C错报评价'!$A$4</definedName>
    <definedName name="WPE_Range_AccountName" localSheetId="43" hidden="1">'9000D对错报的沟通'!$A$4</definedName>
    <definedName name="WPE_Range_AccountName" localSheetId="39" hidden="1">'9002B未更正错报（不包括披露错报）汇总表'!$A$4</definedName>
    <definedName name="WPE_Range_AccountName" localSheetId="40" hidden="1">'9002C未更正披露错报汇总表'!$A$4</definedName>
    <definedName name="WPE_Range_AuditProc" localSheetId="38" hidden="1">'9000A错报程序表'!$A$8:$K$26</definedName>
    <definedName name="WPE_Range_GuideButton1" localSheetId="38" hidden="1">'9000A错报程序表'!$I$8</definedName>
    <definedName name="WPE_Range_GuideTxtbox1" localSheetId="38" hidden="1">'9000A错报程序表'!$B$32</definedName>
    <definedName name="WPE_Range_StHeader" localSheetId="38" hidden="1">'9000A错报程序表'!$B$2:$J$6</definedName>
    <definedName name="WPE_Range_StHeader" localSheetId="41" hidden="1">'9000B对错报性质的评价'!$B$2:$H$6</definedName>
    <definedName name="WPE_Range_StHeader" localSheetId="42" hidden="1">'9000C错报评价'!$B$2:$K$6</definedName>
    <definedName name="WPE_Range_StHeader" localSheetId="43" hidden="1">'9000D对错报的沟通'!$B$2:$K$6</definedName>
    <definedName name="WPE_Range_StHeader" localSheetId="39" hidden="1">'9002B未更正错报（不包括披露错报）汇总表'!$B$2:$P$6</definedName>
    <definedName name="WPE_Range_StHeader" localSheetId="40" hidden="1">'9002C未更正披露错报汇总表'!$B$2:$H$6</definedName>
    <definedName name="WPE_Range_Subject" localSheetId="38" hidden="1">'9000A错报程序表'!$B$4</definedName>
    <definedName name="WPE_Range_Subject" localSheetId="41" hidden="1">'9000B对错报性质的评价'!$B$4</definedName>
    <definedName name="WPE_Range_Subject" localSheetId="42" hidden="1">'9000C错报评价'!$B$4</definedName>
    <definedName name="WPE_Range_Subject" localSheetId="43" hidden="1">'9000D对错报的沟通'!$B$4</definedName>
    <definedName name="WPE_Range_Subject" localSheetId="39" hidden="1">'9002B未更正错报（不包括披露错报）汇总表'!$B$4</definedName>
    <definedName name="WPE_Range_Subject" localSheetId="40" hidden="1">'9002C未更正披露错报汇总表'!$B$4</definedName>
    <definedName name="WPE_Range_TemplID" localSheetId="38" hidden="1">'9000A错报程序表'!$A$3</definedName>
    <definedName name="WPE_Range_TemplID" localSheetId="41" hidden="1">'9000B对错报性质的评价'!$A$3</definedName>
    <definedName name="WPE_Range_TemplID" localSheetId="42" hidden="1">'9000C错报评价'!$A$3</definedName>
    <definedName name="WPE_Range_TemplID" localSheetId="43" hidden="1">'9000D对错报的沟通'!$A$3</definedName>
    <definedName name="WPE_Range_TemplID" localSheetId="39" hidden="1">'9002B未更正错报（不包括披露错报）汇总表'!$A$3</definedName>
    <definedName name="WPE_Range_TemplID" localSheetId="40" hidden="1">'9002C未更正披露错报汇总表'!$A$3</definedName>
    <definedName name="WPE_Range_WPReference" localSheetId="38" hidden="1">'9000A错报程序表'!$B$1</definedName>
    <definedName name="WPE_Range_WPReference" localSheetId="41" hidden="1">'9000B对错报性质的评价'!$B$1</definedName>
    <definedName name="WPE_Range_WPReference" localSheetId="42" hidden="1">'9000C错报评价'!$B$1</definedName>
    <definedName name="WPE_Range_WPReference" localSheetId="43" hidden="1">'9000D对错报的沟通'!$B$1</definedName>
    <definedName name="WPE_Range_WPReference" localSheetId="39" hidden="1">'9002B未更正错报（不包括披露错报）汇总表'!$B$1</definedName>
    <definedName name="WPE_Range_WPReference" localSheetId="40" hidden="1">'9002C未更正披露错报汇总表'!$B$1</definedName>
    <definedName name="WPE_ReviewedDate" localSheetId="38" hidden="1">'9000A错报程序表'!$A$6</definedName>
    <definedName name="WPE_ReviewedDate" localSheetId="41" hidden="1">'9000B对错报性质的评价'!$A$6</definedName>
    <definedName name="WPE_ReviewedDate" localSheetId="42" hidden="1">'9000C错报评价'!$A$6</definedName>
    <definedName name="WPE_ReviewedDate" localSheetId="43" hidden="1">'9000D对错报的沟通'!$A$6</definedName>
    <definedName name="WPE_ReviewedDate" localSheetId="39" hidden="1">'9002B未更正错报（不包括披露错报）汇总表'!$A$6</definedName>
    <definedName name="WPE_ReviewedDate" localSheetId="40" hidden="1">'9002C未更正披露错报汇总表'!$A$6</definedName>
    <definedName name="WPE_Reviewer" localSheetId="38" hidden="1">'9000A错报程序表'!$A$5</definedName>
    <definedName name="WPE_Reviewer" localSheetId="41" hidden="1">'9000B对错报性质的评价'!$A$5</definedName>
    <definedName name="WPE_Reviewer" localSheetId="42" hidden="1">'9000C错报评价'!$A$5</definedName>
    <definedName name="WPE_Reviewer" localSheetId="43" hidden="1">'9000D对错报的沟通'!$A$5</definedName>
    <definedName name="WPE_Reviewer" localSheetId="39" hidden="1">'9002B未更正错报（不包括披露错报）汇总表'!$A$5</definedName>
    <definedName name="WPE_Reviewer" localSheetId="40" hidden="1">'9002C未更正披露错报汇总表'!$A$5</definedName>
    <definedName name="WPE_SheetType" localSheetId="38" hidden="1">"FSZ"</definedName>
    <definedName name="WPE_SheetType" localSheetId="41" hidden="1">"FSZ"</definedName>
    <definedName name="WPE_SheetType" localSheetId="42" hidden="1">"FSZ"</definedName>
    <definedName name="WPE_SheetType" localSheetId="43" hidden="1">"FSZ"</definedName>
    <definedName name="WPE_SheetType" localSheetId="39" hidden="1">"FSZ"</definedName>
    <definedName name="WPE_SheetType" localSheetId="40" hidden="1">"FSZ"</definedName>
    <definedName name="WPE_TemplVer" localSheetId="38" hidden="1">"19.09"</definedName>
    <definedName name="WPE_TemplVer" localSheetId="41" hidden="1">"19.09"</definedName>
    <definedName name="WPE_TemplVer" localSheetId="42" hidden="1">"19.09"</definedName>
    <definedName name="WPE_TemplVer" localSheetId="43" hidden="1">"19.09"</definedName>
    <definedName name="WPE_TemplVer" localSheetId="39" hidden="1">"19.09"</definedName>
    <definedName name="WPE_TemplVer" localSheetId="40" hidden="1">"19.09"</definedName>
    <definedName name="ws">[39]B!#REF!</definedName>
    <definedName name="x">#REF!</definedName>
    <definedName name="XD_jb查">#REF!</definedName>
    <definedName name="XDjb2_3月数查询">#REF!</definedName>
    <definedName name="XFCOnc">#REF!</definedName>
    <definedName name="xfcotnc">#REF!</definedName>
    <definedName name="xfcotvl">#REF!</definedName>
    <definedName name="XFCOvc">#REF!</definedName>
    <definedName name="XFCOvl">#REF!</definedName>
    <definedName name="xh">#REF!</definedName>
    <definedName name="xhn">#REF!</definedName>
    <definedName name="xig">#REF!</definedName>
    <definedName name="xig1">#REF!</definedName>
    <definedName name="XIG1nc">#REF!</definedName>
    <definedName name="xig1p">#REF!</definedName>
    <definedName name="XIG1vl">#REF!</definedName>
    <definedName name="xig3p">#REF!</definedName>
    <definedName name="XIGnc">#REF!</definedName>
    <definedName name="XIGvc">#REF!</definedName>
    <definedName name="XIGvl">#REF!</definedName>
    <definedName name="xin">#REF!</definedName>
    <definedName name="xin190">#REF!</definedName>
    <definedName name="xin1903p">#REF!</definedName>
    <definedName name="XIN190nc">#REF!</definedName>
    <definedName name="XIN190vc">#REF!</definedName>
    <definedName name="XIN190vl">#REF!</definedName>
    <definedName name="xin3p">#REF!</definedName>
    <definedName name="xind">#REF!</definedName>
    <definedName name="xind1p">#REF!</definedName>
    <definedName name="xind3p">#REF!</definedName>
    <definedName name="XINDnc">#REF!</definedName>
    <definedName name="xindnc1p">#REF!</definedName>
    <definedName name="XINDvc">#REF!</definedName>
    <definedName name="XINDvl">#REF!</definedName>
    <definedName name="xindvl1p">#REF!</definedName>
    <definedName name="xing1p">#REF!</definedName>
    <definedName name="xingnc1p">#REF!</definedName>
    <definedName name="xingvl1p">#REF!</definedName>
    <definedName name="XINnc">#REF!</definedName>
    <definedName name="xint1p">#REF!</definedName>
    <definedName name="XINvc">#REF!</definedName>
    <definedName name="XINvl">#REF!</definedName>
    <definedName name="xit">#REF!</definedName>
    <definedName name="xit1">#REF!</definedName>
    <definedName name="XIT1nc">#REF!</definedName>
    <definedName name="xit1p">#REF!</definedName>
    <definedName name="XIT1vl">#REF!</definedName>
    <definedName name="xit3p">#REF!</definedName>
    <definedName name="XITnc">#REF!</definedName>
    <definedName name="XITvc">#REF!</definedName>
    <definedName name="XITvl">#REF!</definedName>
    <definedName name="xjjc100">#REF!</definedName>
    <definedName name="xjjc137">#REF!</definedName>
    <definedName name="xjjc138">#REF!</definedName>
    <definedName name="xjjc139">#REF!</definedName>
    <definedName name="xjjc140">#REF!</definedName>
    <definedName name="xjjc141">#REF!</definedName>
    <definedName name="xjjc142">#REF!</definedName>
    <definedName name="xjjc143">#REF!</definedName>
    <definedName name="xjjc144">#REF!</definedName>
    <definedName name="xjjc26">#REF!</definedName>
    <definedName name="xjjc27">#REF!</definedName>
    <definedName name="xjjc93">#REF!</definedName>
    <definedName name="xjjc94">#REF!</definedName>
    <definedName name="xjjc95">#REF!</definedName>
    <definedName name="xjjc97">#REF!</definedName>
    <definedName name="xjjc98">#REF!</definedName>
    <definedName name="xjjc99">#REF!</definedName>
    <definedName name="xlbs">#REF!</definedName>
    <definedName name="xmcax">#REF!</definedName>
    <definedName name="xn">#REF!</definedName>
    <definedName name="XREF_COLUMN_1" hidden="1">#REF!</definedName>
    <definedName name="XREF_COLUMN_2" hidden="1">#REF!</definedName>
    <definedName name="XREF_COLUMN_3" hidden="1">#REF!</definedName>
    <definedName name="XREF_COLUMN_4" hidden="1">#REF!</definedName>
    <definedName name="XREF_COLUMN_5" hidden="1">'[40]2004'!#REF!</definedName>
    <definedName name="XRefActiveRow" hidden="1">#REF!</definedName>
    <definedName name="XRefColumnsCount" hidden="1">3</definedName>
    <definedName name="XRefCopy1" hidden="1">#REF!</definedName>
    <definedName name="XRefCopy10" hidden="1">#REF!</definedName>
    <definedName name="XRefCopy11" hidden="1">#REF!</definedName>
    <definedName name="XRefCopy12" hidden="1">#REF!</definedName>
    <definedName name="XRefCopy13" hidden="1">#REF!</definedName>
    <definedName name="XRefCopy14" hidden="1">#REF!</definedName>
    <definedName name="XRefCopy15" hidden="1">#REF!</definedName>
    <definedName name="XRefCopy1Row" hidden="1">#REF!</definedName>
    <definedName name="XRefCopy2" hidden="1">#REF!</definedName>
    <definedName name="XRefCopy2Row" hidden="1">#REF!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8Row" hidden="1">#REF!</definedName>
    <definedName name="XRefCopy9" hidden="1">#REF!</definedName>
    <definedName name="XRefCopyRangeCount" hidden="1">8</definedName>
    <definedName name="XRefPaste1" hidden="1">#REF!</definedName>
    <definedName name="XRefPaste10" hidden="1">#REF!</definedName>
    <definedName name="XRefPaste11" hidden="1">#REF!</definedName>
    <definedName name="XRefPaste1Row" hidden="1">#REF!</definedName>
    <definedName name="XRefPaste2" hidden="1">[35]Sheet1!$G$17</definedName>
    <definedName name="XRefPaste2Row" hidden="1">#REF!</definedName>
    <definedName name="XRefPaste3" hidden="1">#REF!</definedName>
    <definedName name="XRefPaste3Row" hidden="1">#REF!</definedName>
    <definedName name="XRefPaste4" hidden="1">#REF!</definedName>
    <definedName name="XRefPaste4Row" hidden="1">#REF!</definedName>
    <definedName name="XRefPaste5" hidden="1">#REF!</definedName>
    <definedName name="XRefPaste6" hidden="1">#REF!</definedName>
    <definedName name="XRefPaste7" hidden="1">#REF!</definedName>
    <definedName name="XRefPaste8" hidden="1">#REF!</definedName>
    <definedName name="XRefPaste9" hidden="1">#REF!</definedName>
    <definedName name="XRefPasteRangeCount" hidden="1">4</definedName>
    <definedName name="xxjj11">#REF!</definedName>
    <definedName name="xxjj19">#REF!</definedName>
    <definedName name="xxjj27">#REF!</definedName>
    <definedName name="xxjj32">#REF!</definedName>
    <definedName name="xxjj40">#REF!</definedName>
    <definedName name="xxjj50">#REF!</definedName>
    <definedName name="xxjj80">#REF!</definedName>
    <definedName name="xxjj81">#REF!</definedName>
    <definedName name="xxjj82">#REF!</definedName>
    <definedName name="xxjj83">#REF!</definedName>
    <definedName name="Year" localSheetId="18">[41]!Year</definedName>
    <definedName name="year">[4]上报资产负债表!$B$5</definedName>
    <definedName name="Year_End" localSheetId="18">[41]Company!Year_End</definedName>
    <definedName name="year_end">[14]Sheet3!$A$1</definedName>
    <definedName name="yen" hidden="1">{#N/A,#N/A,FALSE,"Chi tiÆt"}</definedName>
    <definedName name="yes">[42]master!$N$3:$N$5</definedName>
    <definedName name="YesNoRange">#REF!</definedName>
    <definedName name="yinhang">[17]master!#REF!</definedName>
    <definedName name="yuiyu">[43]参数!$L$68:$L$208</definedName>
    <definedName name="Z">#REF!</definedName>
    <definedName name="Z_E738B51C_56AE_4F9F_8D8A_36AD6137B90D_.wvu.Cols" hidden="1">#REF!</definedName>
    <definedName name="Z_E738B51C_56AE_4F9F_8D8A_36AD6137B90D_.wvu.PrintArea" hidden="1">#REF!</definedName>
    <definedName name="Z_E738B51C_56AE_4F9F_8D8A_36AD6137B90D_.wvu.PrintTitles" hidden="1">#REF!,#REF!</definedName>
    <definedName name="Z_E738B51C_56AE_4F9F_8D8A_36AD6137B90D_.wvu.Rows" hidden="1">#REF!</definedName>
    <definedName name="Zip">#REF!</definedName>
    <definedName name="ZXD">#REF!</definedName>
    <definedName name="ZYX">#REF!</definedName>
    <definedName name="ZZZ">#REF!</definedName>
    <definedName name="阿" hidden="1">[44]STATPARA!$M$1:$M$247</definedName>
    <definedName name="阿的" hidden="1">[45]STATPARA!$M$1:$M$247</definedName>
    <definedName name="啊啊" hidden="1">[46]索引!$D$13:$F$76</definedName>
    <definedName name="按客户的销售">#REF!</definedName>
    <definedName name="报表编码">[47]参数!$G$68:$G$207</definedName>
    <definedName name="报表属性">[48]主菜单!$A$1</definedName>
    <definedName name="本循环科目" localSheetId="18" hidden="1">[49]索引!$D$15:$D$76</definedName>
    <definedName name="本循环科目" hidden="1">[50]索引!$D$15:$D$76</definedName>
    <definedName name="本月折旧">[51]固定资产卡片!$Q$3:$Q$65000</definedName>
    <definedName name="币种" hidden="1">[50]索引!$E$82:$E$118</definedName>
    <definedName name="编码报表项目">[48]参数!$G$68:$H$206</definedName>
    <definedName name="编码现金流量">[48]参数!$D$69:$E$139</definedName>
    <definedName name="编制人" hidden="1">[50]索引!$C$8</definedName>
    <definedName name="标准流量表">#REF!</definedName>
    <definedName name="表外项目">[52]B!#REF!</definedName>
    <definedName name="部门">#REF!</definedName>
    <definedName name="部门回款情况">#REF!</definedName>
    <definedName name="财务费用bg" hidden="1">[53]财务费用Dy!$B$7:$K$12</definedName>
    <definedName name="财务费用mx" hidden="1">[53]财务费用Dy!$C$9:$C$12</definedName>
    <definedName name="财务费用ZS">#REF!</definedName>
    <definedName name="采购入库单">#REF!</definedName>
    <definedName name="采购入库单3">#REF!</definedName>
    <definedName name="仓库">#REF!</definedName>
    <definedName name="测册">[54]应收账款!$A$1:$E$149</definedName>
    <definedName name="测试">[54]应收账款!$A$1:$E$149</definedName>
    <definedName name="差旅费12">#REF!</definedName>
    <definedName name="持有至到期投资ZS">#REF!</definedName>
    <definedName name="创频">#REF!</definedName>
    <definedName name="创频公司">#REF!</definedName>
    <definedName name="创频应收账款">#REF!</definedName>
    <definedName name="存货93期初">[55]企业表一!$C$7</definedName>
    <definedName name="存货93期末">[55]企业表一!$D$7</definedName>
    <definedName name="存货94期初">[55]企业表一!$E$7</definedName>
    <definedName name="存货94期末">[55]企业表一!$F$7</definedName>
    <definedName name="存货95期初">[55]企业表一!$G$7</definedName>
    <definedName name="存货95期末">[55]企业表一!$H$7</definedName>
    <definedName name="存货ZS">#REF!</definedName>
    <definedName name="存货核算">#REF!</definedName>
    <definedName name="存货明细___1_原材料_">#REF!</definedName>
    <definedName name="存款">#REF!</definedName>
    <definedName name="贷款清单2">[52]B!#REF!</definedName>
    <definedName name="待处理固定资产净损失明细表">#REF!</definedName>
    <definedName name="担保并贴现_查询5">#REF!</definedName>
    <definedName name="单位清单">#REF!</definedName>
    <definedName name="单位总数">#REF!</definedName>
    <definedName name="导引表" hidden="1">TRIM([56]索引!$C$7&amp;[56]索引!$D$7)</definedName>
    <definedName name="抵押和质押ZS">#REF!</definedName>
    <definedName name="递延所得税负债ZS">#REF!</definedName>
    <definedName name="递延所得税资产ZS">#REF!</definedName>
    <definedName name="第三方">[57]Source!$B$30:$B$31</definedName>
    <definedName name="短期借款bg" hidden="1">#REF!</definedName>
    <definedName name="短期借款mx" hidden="1">#REF!</definedName>
    <definedName name="短期借款ZS">#REF!</definedName>
    <definedName name="短期投资_债券_明细表">#REF!</definedName>
    <definedName name="对外担保ZS">#REF!</definedName>
    <definedName name="放大法">#REF!</definedName>
    <definedName name="非经常性损益ZS">#REF!</definedName>
    <definedName name="分类">[29]source!$B$2:$B$4</definedName>
    <definedName name="福州长盛房地产开发有限公司" hidden="1">[58]索引!$C$4</definedName>
    <definedName name="付首付">[43]参数!$L$68:$L$208</definedName>
    <definedName name="负债表">#REF!</definedName>
    <definedName name="负债合计93期末">[55]企业表一!$D$17</definedName>
    <definedName name="负债合计94期末">[55]企业表一!$F$17</definedName>
    <definedName name="负债合计95期末">[55]企业表一!$H$17</definedName>
    <definedName name="工程物资ZS">#REF!</definedName>
    <definedName name="公司">#REF!</definedName>
    <definedName name="公司类别">[59]Source!$B$5:$B$13</definedName>
    <definedName name="公允价值变动收益ZS">#REF!</definedName>
    <definedName name="股份会计科目">[60]参数!$L$68:$L$205</definedName>
    <definedName name="固定资产">#REF!</definedName>
    <definedName name="固定资产bg" hidden="1">#REF!</definedName>
    <definedName name="固定资产mx" hidden="1">#REF!</definedName>
    <definedName name="固定资产mxb" hidden="1">#REF!</definedName>
    <definedName name="固定资产ZS">#REF!</definedName>
    <definedName name="固定资产清理bg" hidden="1">#REF!</definedName>
    <definedName name="固定资产清理mx" hidden="1">#REF!</definedName>
    <definedName name="固定资产清理mxb" hidden="1">#REF!</definedName>
    <definedName name="固定资产清理ZS">#REF!</definedName>
    <definedName name="关联">[61]source!$B$2:$B$8</definedName>
    <definedName name="关联交易">[29]source!$F$2:$F$11</definedName>
    <definedName name="管理部门">#REF!</definedName>
    <definedName name="管理费用bg" hidden="1">#REF!</definedName>
    <definedName name="管理费用mx" hidden="1">#REF!</definedName>
    <definedName name="管理费用明细表">#REF!</definedName>
    <definedName name="合并价差明细表">#REF!</definedName>
    <definedName name="合计">[15]预付账款Dy!$A$240</definedName>
    <definedName name="核算项目余额表">#REF!</definedName>
    <definedName name="坏账准备_应收账款bg" hidden="1">#REF!</definedName>
    <definedName name="坏账准备_应收账款mx" hidden="1">#REF!</definedName>
    <definedName name="汇率">#REF!</definedName>
    <definedName name="汇总">#REF!</definedName>
    <definedName name="会计机构负责人">[47]主菜单!$A$44</definedName>
    <definedName name="会计科目编码">[47]参数!$L$68:$M$208</definedName>
    <definedName name="货币资金bg" localSheetId="18" hidden="1">#REF!</definedName>
    <definedName name="货币资金bg" hidden="1">[53]货币资金Dy!$B$7:$K$11</definedName>
    <definedName name="货币资金mx" localSheetId="18" hidden="1">#REF!</definedName>
    <definedName name="货币资金mx" hidden="1">[53]货币资金Dy!$C$9:$C$11</definedName>
    <definedName name="货币资金ZS">#REF!</definedName>
    <definedName name="机顶盒产成品入库">#REF!</definedName>
    <definedName name="计划及实际价格入库记录">#REF!</definedName>
    <definedName name="交易性金融负债ZS">#REF!</definedName>
    <definedName name="交易性金融资产ZS">#REF!</definedName>
    <definedName name="结论" localSheetId="18" hidden="1">[49]索引!$D$82:$D$118</definedName>
    <definedName name="结论" hidden="1">[50]索引!$D$82:$D$118</definedName>
    <definedName name="借款性质">[62]source!$A$2:$A$6</definedName>
    <definedName name="经营">[29]source!$D$2:$D$4</definedName>
    <definedName name="净_利_润93">'[55]M-5C'!$B$24</definedName>
    <definedName name="净_利_润94">'[55]M-5C'!$D$24</definedName>
    <definedName name="净_利_润95">'[55]M-5C'!$F$24</definedName>
    <definedName name="净值">[51]固定资产卡片!$U$3:$U$65536</definedName>
    <definedName name="净资产合计93期初">[55]企业表一!$C$20</definedName>
    <definedName name="净资产合计93期末">[55]企业表一!$D$20</definedName>
    <definedName name="净资产合计94期初">[55]企业表一!$E$20</definedName>
    <definedName name="净资产合计94期末">[55]企业表一!$F$20</definedName>
    <definedName name="净资产合计95期初">[55]企业表一!$G$20</definedName>
    <definedName name="净资产合计95期末">[55]企业表一!$H$20</definedName>
    <definedName name="开办费明细表">#REF!</definedName>
    <definedName name="开发支出ZS">#REF!</definedName>
    <definedName name="科目表">#REF!</definedName>
    <definedName name="科目表1" localSheetId="18" hidden="1">'[63]标本-资产'!$C$140:$C$237</definedName>
    <definedName name="科目表1" hidden="1">'[50]标本-资产'!$G$140:$G$220</definedName>
    <definedName name="科目表BS" hidden="1">[50]索引!$D$261:$D$370</definedName>
    <definedName name="科目属性" localSheetId="18" hidden="1">[49]索引!$C$122:$G$234</definedName>
    <definedName name="科目属性" hidden="1">[50]索引!$J$122:$O$238</definedName>
    <definedName name="科目索引" localSheetId="18" hidden="1">[49]索引!$D$13:$F$76</definedName>
    <definedName name="科目索引" hidden="1">[50]索引!$D$13:$F$76</definedName>
    <definedName name="科目余额表">#REF!</definedName>
    <definedName name="可供出售金融资产ZS">#REF!</definedName>
    <definedName name="客户" localSheetId="18" hidden="1">[64]索引!$C$4</definedName>
    <definedName name="客户" hidden="1">[50]索引!$C$4</definedName>
    <definedName name="库存商品bg" hidden="1">#REF!</definedName>
    <definedName name="库存商品mx" hidden="1">#REF!</definedName>
    <definedName name="累计折旧bg" hidden="1">#REF!</definedName>
    <definedName name="累计折旧mx" hidden="1">#REF!</definedName>
    <definedName name="累计折旧明细表">#REF!</definedName>
    <definedName name="利_润_总_额93">'[55]M-5A'!$B$10</definedName>
    <definedName name="利_润_总_额94">'[55]M-5A'!$C$10</definedName>
    <definedName name="利_润_总_额95">'[55]M-5A'!$D$10</definedName>
    <definedName name="利润表">#REF!</definedName>
    <definedName name="领料">#REF!</definedName>
    <definedName name="流_动_资_产93">'[55]M-5A'!$B$15</definedName>
    <definedName name="流_动_资_产94">'[55]M-5A'!$C$15</definedName>
    <definedName name="流_动_资_产95">'[55]M-5A'!$D$15</definedName>
    <definedName name="流动负债93期末">[55]企业表一!$D$15</definedName>
    <definedName name="流动负债94期末">[55]企业表一!$F$15</definedName>
    <definedName name="流动负债95期末">[55]企业表一!$H$15</definedName>
    <definedName name="流量编码">[47]参数!$D$69:$D$139</definedName>
    <definedName name="_xlnm.Recorder">#REF!</definedName>
    <definedName name="每股收益ZS">#REF!</definedName>
    <definedName name="明细分类账">#REF!</definedName>
    <definedName name="内部">#REF!</definedName>
    <definedName name="期初">[65]source!$G$2:$G$5</definedName>
    <definedName name="期初或年初日期">[66]source!$D$1:$D$5</definedName>
    <definedName name="期间" hidden="1">TRIM([50]索引!$C$7&amp;[50]索引!$D$7)</definedName>
    <definedName name="期末">[65]source!$H$2:$H$6</definedName>
    <definedName name="期末或年末日期">[66]source!$D$7:$D$12</definedName>
    <definedName name="期末累计折旧">[51]固定资产卡片!$T$3:$T$65000</definedName>
    <definedName name="其他产品">[15]预付账款Dy!$A$164</definedName>
    <definedName name="其他非流动负债ZS">#REF!</definedName>
    <definedName name="其他货币资金明细表">#REF!</definedName>
    <definedName name="其他流动负债ZS">#REF!</definedName>
    <definedName name="其他流动资产bg" hidden="1">#REF!</definedName>
    <definedName name="其他流动资产mx" hidden="1">#REF!</definedName>
    <definedName name="其他流动资产ZS">#REF!</definedName>
    <definedName name="其他未交款明细表">#REF!</definedName>
    <definedName name="其他业务利润bg" hidden="1">#REF!</definedName>
    <definedName name="其他业务利润mx" hidden="1">#REF!</definedName>
    <definedName name="其他应付款mxb" hidden="1">#REF!</definedName>
    <definedName name="其他应付款ZS">#REF!</definedName>
    <definedName name="其他应付款明细表">#REF!</definedName>
    <definedName name="其他应交款bg" hidden="1">#REF!</definedName>
    <definedName name="其他应交款mx" hidden="1">#REF!</definedName>
    <definedName name="其他应收款bg" hidden="1">#REF!</definedName>
    <definedName name="其他应收款mx" hidden="1">#REF!</definedName>
    <definedName name="其他应收款ZS">#REF!</definedName>
    <definedName name="其他应收款明细表">#REF!</definedName>
    <definedName name="企业负责人">[47]主菜单!$A$42</definedName>
    <definedName name="全部末级余额">#REF!</definedName>
    <definedName name="商誉ZS">#REF!</definedName>
    <definedName name="上海电气集团股份有限公司">#REF!</definedName>
    <definedName name="少数股东权益ZS">#REF!</definedName>
    <definedName name="少数股东损益ZS">#REF!</definedName>
    <definedName name="设备">[67]设备部房屋!$C$5:$AC$108</definedName>
    <definedName name="审计程序Procedures" localSheetId="38">'9000A错报程序表'!$B$8:$J$26</definedName>
    <definedName name="生产列1">#REF!</definedName>
    <definedName name="生产列11">#REF!</definedName>
    <definedName name="生产列15">#REF!</definedName>
    <definedName name="生产列16">#REF!</definedName>
    <definedName name="生产列17">#REF!</definedName>
    <definedName name="生产列19">#REF!</definedName>
    <definedName name="生产列2">#REF!</definedName>
    <definedName name="生产列20">#REF!</definedName>
    <definedName name="生产列3">#REF!</definedName>
    <definedName name="生产列4">#REF!</definedName>
    <definedName name="生产列5">[68]E1020!#REF!</definedName>
    <definedName name="生产列6">#REF!</definedName>
    <definedName name="生产列7">#REF!</definedName>
    <definedName name="生产列8">#REF!</definedName>
    <definedName name="生产列9">#REF!</definedName>
    <definedName name="生产期">#REF!</definedName>
    <definedName name="生产期1">#REF!</definedName>
    <definedName name="生产期11">#REF!</definedName>
    <definedName name="生产期15">#REF!</definedName>
    <definedName name="生产期16">#REF!</definedName>
    <definedName name="生产期17">#REF!</definedName>
    <definedName name="生产期19">#REF!</definedName>
    <definedName name="生产期2">#REF!</definedName>
    <definedName name="生产期20">#REF!</definedName>
    <definedName name="生产期3">#REF!</definedName>
    <definedName name="生产期4">#REF!</definedName>
    <definedName name="生产期5">[68]E1020!#REF!</definedName>
    <definedName name="生产期6">#REF!</definedName>
    <definedName name="生产期7">#REF!</definedName>
    <definedName name="生产期8">#REF!</definedName>
    <definedName name="生产期9">#REF!</definedName>
    <definedName name="实收资本bg" hidden="1">[58]实收资本Dy!$B$7:$K$11</definedName>
    <definedName name="实收资本mx" hidden="1">[58]实收资本Dy!$C$9:$C$11</definedName>
    <definedName name="试算表数">[47]试算平衡表!$A:$F</definedName>
    <definedName name="是">#REF!</definedName>
    <definedName name="数字">[69]Source!#REF!</definedName>
    <definedName name="说">#REF!</definedName>
    <definedName name="速_动_资_产93">'[55]M-5A'!$B$14</definedName>
    <definedName name="速_动_资_产94">'[55]M-5A'!$C$14</definedName>
    <definedName name="速_动_资_产95">'[55]M-5A'!$D$14</definedName>
    <definedName name="投资收益明细表">#REF!</definedName>
    <definedName name="未交税金明细表">#REF!</definedName>
    <definedName name="无对应明细表的报表项目">#REF!</definedName>
    <definedName name="现金流量">[47]参数!$E$68:$E$139</definedName>
    <definedName name="现金流量编码">[47]参数!$E$69:$F$139</definedName>
    <definedName name="项目进度">[70]基础数据!$C$8:$C$19</definedName>
    <definedName name="销售" hidden="1">{#N/A,#N/A,FALSE,"Aging Summary";#N/A,#N/A,FALSE,"Ratio Analysis";#N/A,#N/A,FALSE,"Test 120 Day Accts";#N/A,#N/A,FALSE,"Tickmarks"}</definedName>
    <definedName name="销售成本" hidden="1">{#N/A,#N/A,FALSE,"Aging Summary";#N/A,#N/A,FALSE,"Ratio Analysis";#N/A,#N/A,FALSE,"Test 120 Day Accts";#N/A,#N/A,FALSE,"Tickmarks"}</definedName>
    <definedName name="销售费用bg" hidden="1">[71]销售费用Dy!$B$7:$K$13</definedName>
    <definedName name="销售费用mx" hidden="1">[71]销售费用Dy!$C$9:$C$13</definedName>
    <definedName name="新">#REF!</definedName>
    <definedName name="新旧科目">[72]Accounts!$B$2:$B$204</definedName>
    <definedName name="新客户" hidden="1">#REF!</definedName>
    <definedName name="一级子公司">#REF!</definedName>
    <definedName name="一年内到期的非流动负债ZS">#REF!</definedName>
    <definedName name="一年内到期的非流动资产ZS">#REF!</definedName>
    <definedName name="以前年度损益调整明细表">#REF!</definedName>
    <definedName name="银行存款bg" hidden="1">#REF!</definedName>
    <definedName name="银行存款mx" hidden="1">#REF!</definedName>
    <definedName name="盈余公积ZS">#REF!</definedName>
    <definedName name="营业费用bg" hidden="1">#REF!</definedName>
    <definedName name="营业费用mx" hidden="1">#REF!</definedName>
    <definedName name="营业收入ZS">#REF!</definedName>
    <definedName name="营业税金及附加ZS">#REF!</definedName>
    <definedName name="营业外收入bg" hidden="1">[73]营业外收入Dy!$B$7:$K$13</definedName>
    <definedName name="营业外收入mx" hidden="1">[73]营业外收入Dy!$C$9:$C$13</definedName>
    <definedName name="营业外收入ZS">#REF!</definedName>
    <definedName name="营业外支出bg" hidden="1">[73]营业外支出Dy!$B$7:$K$15</definedName>
    <definedName name="营业外支出mx" hidden="1">[73]营业外支出Dy!$C$9:$C$15</definedName>
    <definedName name="营业外支出ZS">#REF!</definedName>
    <definedName name="营业外支出明细表">#REF!</definedName>
    <definedName name="应付股利ZS">#REF!</definedName>
    <definedName name="应付股利明细表">#REF!</definedName>
    <definedName name="应付利息ZS">#REF!</definedName>
    <definedName name="应付票据bg" hidden="1">[74]应付票据Dy!$B$7:$K$10</definedName>
    <definedName name="应付票据mx" hidden="1">[74]应付票据Dy!$C$9:$C$10</definedName>
    <definedName name="应付票据mxb" hidden="1">#REF!</definedName>
    <definedName name="应付票据ZS">#REF!</definedName>
    <definedName name="应付票据明细表">#REF!</definedName>
    <definedName name="应付债券ZS">#REF!</definedName>
    <definedName name="应付账款bg" hidden="1">#REF!</definedName>
    <definedName name="应付账款mx" hidden="1">#REF!</definedName>
    <definedName name="应付账款ZS">#REF!</definedName>
    <definedName name="应付职工薪酬bg" localSheetId="18" hidden="1">#REF!</definedName>
    <definedName name="应付职工薪酬bg" hidden="1">[58]应付职工薪酬Dy!$B$7:$K$18</definedName>
    <definedName name="应付职工薪酬mx" localSheetId="18" hidden="1">#REF!</definedName>
    <definedName name="应付职工薪酬mx" hidden="1">[58]应付职工薪酬Dy!$C$9:$C$18</definedName>
    <definedName name="应付职工薪酬ZS">#REF!</definedName>
    <definedName name="应交税费ZS">#REF!</definedName>
    <definedName name="应交税金bg" hidden="1">#REF!</definedName>
    <definedName name="应交税金mx" hidden="1">#REF!</definedName>
    <definedName name="应收股利ZS">#REF!</definedName>
    <definedName name="应收利息ZS">#REF!</definedName>
    <definedName name="应收票据bg" hidden="1">#REF!</definedName>
    <definedName name="应收票据mx" hidden="1">#REF!</definedName>
    <definedName name="应收票据ZS">#REF!</definedName>
    <definedName name="应收帐款93期初">[55]企业表一!$C$6</definedName>
    <definedName name="应收帐款93期末">[55]企业表一!$D$6</definedName>
    <definedName name="应收帐款94期初">[55]企业表一!$E$6</definedName>
    <definedName name="应收帐款94期末">[55]企业表一!$F$6</definedName>
    <definedName name="应收帐款95期初">[55]企业表一!$G$6</definedName>
    <definedName name="应收帐款95期末">[55]企业表一!$H$6</definedName>
    <definedName name="应收账款" hidden="1">TRIM([46]索引!$C$7&amp;[46]索引!$D$7)</definedName>
    <definedName name="应收账款bg" hidden="1">#REF!</definedName>
    <definedName name="应收账款Dy__I_13">#REF!</definedName>
    <definedName name="应收账款mx" hidden="1">#REF!</definedName>
    <definedName name="应收账款mxb" hidden="1">#REF!</definedName>
    <definedName name="应收账款ZS">#REF!</definedName>
    <definedName name="应收账款明细">[15]Sheet2!$B$8:$I$20</definedName>
    <definedName name="永" hidden="1">[75]索引!$C$4</definedName>
    <definedName name="油气资产ZS">#REF!</definedName>
    <definedName name="有">[76]master!$D$17:$D$18+[76]master!$D$17:$D$18</definedName>
    <definedName name="余额表2">#REF!</definedName>
    <definedName name="预付款项ZS">#REF!</definedName>
    <definedName name="预付帐款明细表">#REF!</definedName>
    <definedName name="预付账款bg" hidden="1">#REF!</definedName>
    <definedName name="预付账款mx" hidden="1">#REF!</definedName>
    <definedName name="预计负债ZS">#REF!</definedName>
    <definedName name="预收货款明细表">#REF!</definedName>
    <definedName name="预收款项ZS">#REF!</definedName>
    <definedName name="预收账款bg" hidden="1">#REF!</definedName>
    <definedName name="预收账款mx" hidden="1">#REF!</definedName>
    <definedName name="预提费用明细表">#REF!</definedName>
    <definedName name="原值">'[77]折旧表LB1-3-2'!$E$3:$E$3390</definedName>
    <definedName name="在建工程bg" hidden="1">#REF!</definedName>
    <definedName name="在建工程mx" hidden="1">#REF!</definedName>
    <definedName name="在建工程ZS">#REF!</definedName>
    <definedName name="长期待摊费用bg" localSheetId="18" hidden="1">#REF!</definedName>
    <definedName name="长期待摊费用bg" hidden="1">[58]长期待摊费用Dy!$B$7:$K$12</definedName>
    <definedName name="长期待摊费用mx" localSheetId="18" hidden="1">#REF!</definedName>
    <definedName name="长期待摊费用mx" hidden="1">[58]长期待摊费用Dy!$C$9:$C$12</definedName>
    <definedName name="长期待摊费用ZS">#REF!</definedName>
    <definedName name="长期股权投资bg" hidden="1">#REF!</definedName>
    <definedName name="长期股权投资mx" hidden="1">#REF!</definedName>
    <definedName name="长期股权投资ZS">#REF!</definedName>
    <definedName name="长期借款ZS">#REF!</definedName>
    <definedName name="长期应付款ZS">#REF!</definedName>
    <definedName name="长期应收款ZS">#REF!</definedName>
    <definedName name="帐龄">[78]master!$E$8:$E$10</definedName>
    <definedName name="账龄分析表">#REF!</definedName>
    <definedName name="招待费12">#REF!</definedName>
    <definedName name="折旧1" hidden="1">{#N/A,#N/A,FALSE,"Aging Summary";#N/A,#N/A,FALSE,"Ratio Analysis";#N/A,#N/A,FALSE,"Test 120 Day Accts";#N/A,#N/A,FALSE,"Tickmarks"}</definedName>
    <definedName name="支付的其他与筹资活动有关的现金ZS">#REF!</definedName>
    <definedName name="支付的其他与经营活动有关的现金ZS">#REF!</definedName>
    <definedName name="支付的其他与投资活动有关的现金ZS">#REF!</definedName>
    <definedName name="支付进度">[70]基础数据!$E$8:$E$19</definedName>
    <definedName name="直放站产成品">#REF!</definedName>
    <definedName name="主管会计工作负责人">[47]主菜单!$A$43</definedName>
    <definedName name="主营业务收入bg" hidden="1">#REF!</definedName>
    <definedName name="主营业务收入mx" hidden="1">#REF!</definedName>
    <definedName name="主营业务税金及附加bg" hidden="1">#REF!</definedName>
    <definedName name="主营业务税金及附加mx" hidden="1">#REF!</definedName>
    <definedName name="专项应付款ZS">#REF!</definedName>
    <definedName name="资本公积ZS">#REF!</definedName>
    <definedName name="资产负债表日" hidden="1">[50]索引!$C$6</definedName>
    <definedName name="资产合计93期初">[55]企业表一!$C$14</definedName>
    <definedName name="资产合计93期末">[55]企业表一!$D$14</definedName>
    <definedName name="资产合计94期初">[55]企业表一!$E$14</definedName>
    <definedName name="资产合计94期末">[55]企业表一!$F$14</definedName>
    <definedName name="资产合计95期初">[55]企业表一!$G$14</definedName>
    <definedName name="资产合计95期末">[55]企业表一!$H$14</definedName>
    <definedName name="资产减值损失ZS">#REF!</definedName>
    <definedName name="资产减值准备ZS">#REF!</definedName>
    <definedName name="子公司名称">[66]source!$B$1:$B$19</definedName>
    <definedName name="总分析">#REF!</definedName>
  </definedNames>
  <calcPr calcId="162913" fullPrecision="0"/>
</workbook>
</file>

<file path=xl/calcChain.xml><?xml version="1.0" encoding="utf-8"?>
<calcChain xmlns="http://schemas.openxmlformats.org/spreadsheetml/2006/main">
  <c r="O54" i="6" l="1"/>
  <c r="H3252" i="18" l="1"/>
  <c r="P42" i="6" l="1"/>
  <c r="AD51" i="6" l="1"/>
  <c r="AC51" i="6"/>
  <c r="G51" i="6"/>
  <c r="C51" i="6"/>
  <c r="Q51" i="6" s="1"/>
  <c r="AE51" i="6" s="1"/>
  <c r="AD50" i="6"/>
  <c r="AC50" i="6"/>
  <c r="J50" i="6"/>
  <c r="G50" i="6" s="1"/>
  <c r="C50" i="6"/>
  <c r="B50" i="6" s="1"/>
  <c r="Q50" i="6" l="1"/>
  <c r="AE50" i="6" s="1"/>
  <c r="R50" i="6"/>
  <c r="R51" i="6"/>
  <c r="B51" i="6"/>
  <c r="AD63" i="6" l="1"/>
  <c r="AC63" i="6"/>
  <c r="R63" i="6"/>
  <c r="J63" i="6"/>
  <c r="G63" i="6"/>
  <c r="E63" i="6"/>
  <c r="D63" i="6"/>
  <c r="C63" i="6"/>
  <c r="Q63" i="6" s="1"/>
  <c r="AE63" i="6" s="1"/>
  <c r="B63" i="6"/>
  <c r="AD62" i="6"/>
  <c r="AC62" i="6"/>
  <c r="J62" i="6"/>
  <c r="G62" i="6"/>
  <c r="E62" i="6"/>
  <c r="D62" i="6"/>
  <c r="C62" i="6"/>
  <c r="Q62" i="6" s="1"/>
  <c r="AE62" i="6" s="1"/>
  <c r="B62" i="6"/>
  <c r="AD61" i="6"/>
  <c r="AC61" i="6"/>
  <c r="G61" i="6"/>
  <c r="E61" i="6"/>
  <c r="D61" i="6"/>
  <c r="C61" i="6"/>
  <c r="Q61" i="6" s="1"/>
  <c r="B61" i="6"/>
  <c r="AD65" i="6"/>
  <c r="AC65" i="6"/>
  <c r="J65" i="6"/>
  <c r="G65" i="6" s="1"/>
  <c r="E65" i="6"/>
  <c r="D65" i="6"/>
  <c r="C65" i="6"/>
  <c r="R65" i="6" s="1"/>
  <c r="B65" i="6"/>
  <c r="AD64" i="6"/>
  <c r="AC64" i="6"/>
  <c r="J64" i="6"/>
  <c r="G64" i="6" s="1"/>
  <c r="E64" i="6"/>
  <c r="D64" i="6"/>
  <c r="C64" i="6"/>
  <c r="R64" i="6" s="1"/>
  <c r="B64" i="6"/>
  <c r="F63" i="6" l="1"/>
  <c r="R62" i="6"/>
  <c r="F62" i="6"/>
  <c r="R61" i="6"/>
  <c r="AE61" i="6"/>
  <c r="F65" i="6"/>
  <c r="Q64" i="6"/>
  <c r="AE64" i="6" s="1"/>
  <c r="Q65" i="6"/>
  <c r="AE65" i="6" s="1"/>
  <c r="H4895" i="18"/>
  <c r="L2676" i="18"/>
  <c r="E80" i="8"/>
  <c r="J58" i="6"/>
  <c r="F64" i="6" l="1"/>
  <c r="AD60" i="6"/>
  <c r="AC60" i="6"/>
  <c r="J60" i="6"/>
  <c r="G60" i="6"/>
  <c r="E60" i="6"/>
  <c r="F61" i="6" s="1"/>
  <c r="D60" i="6"/>
  <c r="C60" i="6"/>
  <c r="Q60" i="6" s="1"/>
  <c r="B60" i="6"/>
  <c r="AD59" i="6"/>
  <c r="AC59" i="6"/>
  <c r="J59" i="6"/>
  <c r="G59" i="6" s="1"/>
  <c r="C59" i="6"/>
  <c r="Q59" i="6" s="1"/>
  <c r="R60" i="6" l="1"/>
  <c r="AE60" i="6"/>
  <c r="B59" i="6"/>
  <c r="R59" i="6"/>
  <c r="AE59" i="6"/>
  <c r="J1122" i="18"/>
  <c r="J1121" i="18"/>
  <c r="I1053" i="18" l="1"/>
  <c r="I481" i="18" l="1"/>
  <c r="I480" i="18"/>
  <c r="I479" i="18"/>
  <c r="I478" i="18"/>
  <c r="I477" i="18"/>
  <c r="I474" i="18"/>
  <c r="H478" i="18"/>
  <c r="H479" i="18"/>
  <c r="H480" i="18"/>
  <c r="H481" i="18"/>
  <c r="H477" i="18"/>
  <c r="H474" i="18"/>
  <c r="I436" i="18"/>
  <c r="J436" i="18"/>
  <c r="H436" i="18"/>
  <c r="N27" i="2" l="1"/>
  <c r="E47" i="8" l="1"/>
  <c r="P55" i="6" l="1"/>
  <c r="E273" i="98" s="1"/>
  <c r="AD58" i="6" l="1"/>
  <c r="AC58" i="6"/>
  <c r="G58" i="6"/>
  <c r="C58" i="6"/>
  <c r="Q58" i="6" s="1"/>
  <c r="AE58" i="6" s="1"/>
  <c r="AD57" i="6"/>
  <c r="AC57" i="6"/>
  <c r="G57" i="6"/>
  <c r="E57" i="6"/>
  <c r="E58" i="6" s="1"/>
  <c r="D57" i="6"/>
  <c r="D58" i="6" s="1"/>
  <c r="D59" i="6" s="1"/>
  <c r="C57" i="6"/>
  <c r="Q57" i="6" s="1"/>
  <c r="B57" i="6"/>
  <c r="AD56" i="6"/>
  <c r="AC56" i="6"/>
  <c r="J56" i="6"/>
  <c r="G56" i="6" s="1"/>
  <c r="E56" i="6"/>
  <c r="C56" i="6"/>
  <c r="R56" i="6" s="1"/>
  <c r="B56" i="6"/>
  <c r="AD55" i="6"/>
  <c r="AC55" i="6"/>
  <c r="J55" i="6"/>
  <c r="G55" i="6" s="1"/>
  <c r="C55" i="6"/>
  <c r="R55" i="6" s="1"/>
  <c r="E59" i="6" l="1"/>
  <c r="F60" i="6" s="1"/>
  <c r="B58" i="6"/>
  <c r="R58" i="6"/>
  <c r="B55" i="6"/>
  <c r="D56" i="6"/>
  <c r="F58" i="6"/>
  <c r="R57" i="6"/>
  <c r="F57" i="6"/>
  <c r="AE57" i="6"/>
  <c r="Q56" i="6"/>
  <c r="AE56" i="6" s="1"/>
  <c r="Q55" i="6"/>
  <c r="AE55" i="6" s="1"/>
  <c r="F59" i="6" l="1"/>
  <c r="I3249" i="18"/>
  <c r="AD54" i="6" l="1"/>
  <c r="AC54" i="6"/>
  <c r="J54" i="6"/>
  <c r="C54" i="6"/>
  <c r="R54" i="6" s="1"/>
  <c r="AD36" i="6"/>
  <c r="AC36" i="6"/>
  <c r="G36" i="6"/>
  <c r="E36" i="6"/>
  <c r="F36" i="6" s="1"/>
  <c r="D36" i="6"/>
  <c r="C36" i="6"/>
  <c r="Q36" i="6" s="1"/>
  <c r="AE36" i="6" s="1"/>
  <c r="B36" i="6"/>
  <c r="AD35" i="6"/>
  <c r="AC35" i="6"/>
  <c r="J35" i="6"/>
  <c r="D35" i="6" s="1"/>
  <c r="E35" i="6"/>
  <c r="C35" i="6"/>
  <c r="Q35" i="6" s="1"/>
  <c r="B35" i="6"/>
  <c r="G35" i="6" l="1"/>
  <c r="AE35" i="6"/>
  <c r="B54" i="6"/>
  <c r="Q54" i="6"/>
  <c r="AE54" i="6" s="1"/>
  <c r="G54" i="6"/>
  <c r="R35" i="6"/>
  <c r="R36" i="6"/>
  <c r="O24" i="6" l="1"/>
  <c r="AD28" i="6"/>
  <c r="AC28" i="6"/>
  <c r="G28" i="6"/>
  <c r="E28" i="6"/>
  <c r="D28" i="6"/>
  <c r="C28" i="6"/>
  <c r="Q28" i="6" s="1"/>
  <c r="AE28" i="6" s="1"/>
  <c r="B28" i="6"/>
  <c r="AD27" i="6"/>
  <c r="AC27" i="6"/>
  <c r="J27" i="6"/>
  <c r="D27" i="6" s="1"/>
  <c r="E27" i="6"/>
  <c r="C27" i="6"/>
  <c r="R27" i="6" s="1"/>
  <c r="B27" i="6"/>
  <c r="G27" i="6" l="1"/>
  <c r="F28" i="6"/>
  <c r="Q27" i="6"/>
  <c r="AE27" i="6" s="1"/>
  <c r="R28" i="6"/>
  <c r="H939" i="18"/>
  <c r="P46" i="6" l="1"/>
  <c r="H5034" i="18" l="1"/>
  <c r="H5033" i="18"/>
  <c r="E284" i="98"/>
  <c r="E50" i="98"/>
  <c r="K159" i="98"/>
  <c r="K158" i="98"/>
  <c r="J157" i="98"/>
  <c r="E267" i="98"/>
  <c r="E263" i="98"/>
  <c r="E177" i="98"/>
  <c r="E176" i="98"/>
  <c r="E307" i="98"/>
  <c r="E195" i="98"/>
  <c r="E104" i="98"/>
  <c r="E175" i="98" s="1"/>
  <c r="E174" i="98"/>
  <c r="E117" i="98" l="1"/>
  <c r="H5037" i="18"/>
  <c r="H5036" i="18"/>
  <c r="L45" i="98"/>
  <c r="K44" i="98"/>
  <c r="K43" i="98"/>
  <c r="K42" i="98"/>
  <c r="E112" i="98"/>
  <c r="I11" i="8"/>
  <c r="I12" i="8"/>
  <c r="I13" i="8"/>
  <c r="I14" i="8"/>
  <c r="I15" i="8"/>
  <c r="I16" i="8"/>
  <c r="I17" i="8"/>
  <c r="I18" i="8"/>
  <c r="I19" i="8"/>
  <c r="I20" i="8"/>
  <c r="I25" i="8"/>
  <c r="I26" i="8"/>
  <c r="I27" i="8"/>
  <c r="I28" i="8"/>
  <c r="I29" i="8"/>
  <c r="I30" i="8"/>
  <c r="I36" i="8"/>
  <c r="I45" i="8"/>
  <c r="I46" i="8"/>
  <c r="I50" i="8"/>
  <c r="I52" i="8"/>
  <c r="I58" i="8"/>
  <c r="I59" i="8"/>
  <c r="I62" i="8"/>
  <c r="E45" i="98" l="1"/>
  <c r="E76" i="98"/>
  <c r="E75" i="98"/>
  <c r="E64" i="8"/>
  <c r="I6202" i="18"/>
  <c r="I6200" i="18"/>
  <c r="E76" i="8"/>
  <c r="E75" i="8"/>
  <c r="E305" i="98"/>
  <c r="E56" i="8" s="1"/>
  <c r="I56" i="8" s="1"/>
  <c r="H3626" i="18"/>
  <c r="L9" i="2" l="1"/>
  <c r="N9" i="2"/>
  <c r="C42" i="97" l="1"/>
  <c r="C41" i="97"/>
  <c r="C40" i="97"/>
  <c r="H4469" i="18" l="1"/>
  <c r="H12" i="97"/>
  <c r="K12" i="97" s="1"/>
  <c r="J10" i="97" s="1"/>
  <c r="I17" i="97"/>
  <c r="I12" i="97"/>
  <c r="C12" i="97"/>
  <c r="C7" i="97"/>
  <c r="H3249" i="18"/>
  <c r="AD53" i="6"/>
  <c r="AC53" i="6"/>
  <c r="G53" i="6"/>
  <c r="E53" i="6"/>
  <c r="D53" i="6"/>
  <c r="D54" i="6" s="1"/>
  <c r="D55" i="6" s="1"/>
  <c r="C53" i="6"/>
  <c r="Q53" i="6" s="1"/>
  <c r="B53" i="6"/>
  <c r="AD52" i="6"/>
  <c r="AC52" i="6"/>
  <c r="J52" i="6"/>
  <c r="G52" i="6" s="1"/>
  <c r="E52" i="6"/>
  <c r="C52" i="6"/>
  <c r="Q52" i="6" s="1"/>
  <c r="B52" i="6"/>
  <c r="AD49" i="6"/>
  <c r="AC49" i="6"/>
  <c r="G49" i="6"/>
  <c r="C49" i="6"/>
  <c r="Q49" i="6" s="1"/>
  <c r="AD48" i="6"/>
  <c r="AC48" i="6"/>
  <c r="J48" i="6"/>
  <c r="D48" i="6" s="1"/>
  <c r="D49" i="6" s="1"/>
  <c r="D50" i="6" s="1"/>
  <c r="D51" i="6" s="1"/>
  <c r="E48" i="6"/>
  <c r="E49" i="6" s="1"/>
  <c r="C48" i="6"/>
  <c r="Q48" i="6" s="1"/>
  <c r="B48" i="6"/>
  <c r="AD47" i="6"/>
  <c r="AC47" i="6"/>
  <c r="J47" i="6"/>
  <c r="C47" i="6"/>
  <c r="R47" i="6" s="1"/>
  <c r="C46" i="6"/>
  <c r="Q46" i="6" s="1"/>
  <c r="C45" i="6"/>
  <c r="R45" i="6" s="1"/>
  <c r="AD44" i="6"/>
  <c r="AC44" i="6"/>
  <c r="G44" i="6"/>
  <c r="E44" i="6"/>
  <c r="D44" i="6"/>
  <c r="C44" i="6"/>
  <c r="Q44" i="6" s="1"/>
  <c r="B44" i="6"/>
  <c r="D22" i="95"/>
  <c r="O19" i="6"/>
  <c r="H4482" i="18" s="1"/>
  <c r="O21" i="6"/>
  <c r="D7" i="96"/>
  <c r="E14" i="98" s="1"/>
  <c r="AD23" i="6"/>
  <c r="AC23" i="6"/>
  <c r="G23" i="6"/>
  <c r="E23" i="6"/>
  <c r="D23" i="6"/>
  <c r="C23" i="6"/>
  <c r="Q23" i="6" s="1"/>
  <c r="AE23" i="6" s="1"/>
  <c r="B23" i="6"/>
  <c r="AD22" i="6"/>
  <c r="AC22" i="6"/>
  <c r="J22" i="6"/>
  <c r="G22" i="6" s="1"/>
  <c r="E22" i="6"/>
  <c r="C22" i="6"/>
  <c r="R22" i="6" s="1"/>
  <c r="B22" i="6"/>
  <c r="E16" i="96"/>
  <c r="E9" i="95" s="1"/>
  <c r="F9" i="95" s="1"/>
  <c r="H9" i="95" s="1"/>
  <c r="D16" i="96"/>
  <c r="D17" i="96" s="1"/>
  <c r="D15" i="96"/>
  <c r="E10" i="96"/>
  <c r="E44" i="98" s="1"/>
  <c r="D10" i="96"/>
  <c r="D9" i="96"/>
  <c r="D11" i="96" s="1"/>
  <c r="E7" i="96"/>
  <c r="D6" i="96"/>
  <c r="C9" i="95"/>
  <c r="D9" i="95" s="1"/>
  <c r="E314" i="98"/>
  <c r="E298" i="98"/>
  <c r="E285" i="98"/>
  <c r="I47" i="8" s="1"/>
  <c r="F284" i="98"/>
  <c r="E283" i="98"/>
  <c r="E280" i="98"/>
  <c r="E44" i="8" s="1"/>
  <c r="I44" i="8" s="1"/>
  <c r="E226" i="98"/>
  <c r="E222" i="98"/>
  <c r="E40" i="8" s="1"/>
  <c r="I40" i="8" s="1"/>
  <c r="E218" i="98"/>
  <c r="E39" i="8" s="1"/>
  <c r="I39" i="8" s="1"/>
  <c r="E197" i="98"/>
  <c r="E37" i="8" s="1"/>
  <c r="I37" i="8" s="1"/>
  <c r="D159" i="98"/>
  <c r="C159" i="98"/>
  <c r="F67" i="98"/>
  <c r="E26" i="98"/>
  <c r="E21" i="8" s="1"/>
  <c r="I21" i="8" s="1"/>
  <c r="C60" i="97"/>
  <c r="C59" i="97"/>
  <c r="G30" i="97"/>
  <c r="G28" i="97"/>
  <c r="G25" i="97"/>
  <c r="G24" i="97"/>
  <c r="G23" i="97"/>
  <c r="G22" i="97"/>
  <c r="G26" i="97" s="1"/>
  <c r="G29" i="97" s="1"/>
  <c r="G31" i="97" s="1"/>
  <c r="G34" i="97" s="1"/>
  <c r="G21" i="97"/>
  <c r="J15" i="97"/>
  <c r="H25" i="96"/>
  <c r="H24" i="96"/>
  <c r="H23" i="96"/>
  <c r="H22" i="96"/>
  <c r="H21" i="96"/>
  <c r="H20" i="96"/>
  <c r="H19" i="96"/>
  <c r="H18" i="96"/>
  <c r="G17" i="96"/>
  <c r="F17" i="96"/>
  <c r="H16" i="96"/>
  <c r="H14" i="96"/>
  <c r="E14" i="96"/>
  <c r="J13" i="96"/>
  <c r="H13" i="96"/>
  <c r="H12" i="96"/>
  <c r="G11" i="96"/>
  <c r="F11" i="96"/>
  <c r="G8" i="96"/>
  <c r="F8" i="96"/>
  <c r="G18" i="95"/>
  <c r="H16" i="95"/>
  <c r="F14" i="95"/>
  <c r="D12" i="95"/>
  <c r="H11" i="95"/>
  <c r="F11" i="95"/>
  <c r="D11" i="95"/>
  <c r="F10" i="95"/>
  <c r="H10" i="95" s="1"/>
  <c r="D10" i="95"/>
  <c r="F8" i="95"/>
  <c r="H8" i="95" s="1"/>
  <c r="D8" i="95"/>
  <c r="C8" i="95"/>
  <c r="I584" i="18"/>
  <c r="H584" i="18"/>
  <c r="I693" i="18"/>
  <c r="H693" i="18"/>
  <c r="E50" i="6" l="1"/>
  <c r="E51" i="6" s="1"/>
  <c r="F51" i="6" s="1"/>
  <c r="D52" i="6"/>
  <c r="E54" i="6"/>
  <c r="D22" i="6"/>
  <c r="R52" i="6"/>
  <c r="R53" i="6"/>
  <c r="H10" i="96"/>
  <c r="J10" i="96" s="1"/>
  <c r="B49" i="6"/>
  <c r="E7" i="95"/>
  <c r="E17" i="98"/>
  <c r="F53" i="6"/>
  <c r="B47" i="6"/>
  <c r="B46" i="6"/>
  <c r="B45" i="6"/>
  <c r="AE53" i="6"/>
  <c r="AE52" i="6"/>
  <c r="R48" i="6"/>
  <c r="F49" i="6"/>
  <c r="AE49" i="6"/>
  <c r="R49" i="6"/>
  <c r="Q47" i="6"/>
  <c r="AE47" i="6" s="1"/>
  <c r="AE48" i="6"/>
  <c r="G48" i="6"/>
  <c r="R46" i="6"/>
  <c r="G47" i="6"/>
  <c r="Q45" i="6"/>
  <c r="R44" i="6"/>
  <c r="AE44" i="6"/>
  <c r="Q22" i="6"/>
  <c r="AE22" i="6" s="1"/>
  <c r="D8" i="96"/>
  <c r="R23" i="6"/>
  <c r="C7" i="95"/>
  <c r="D7" i="95" s="1"/>
  <c r="D13" i="95" s="1"/>
  <c r="F23" i="6"/>
  <c r="J16" i="96"/>
  <c r="H7" i="96"/>
  <c r="J7" i="96" s="1"/>
  <c r="G32" i="97"/>
  <c r="I1085" i="18"/>
  <c r="I1086" i="18"/>
  <c r="I1084" i="18"/>
  <c r="AD43" i="6"/>
  <c r="AC43" i="6"/>
  <c r="J43" i="6"/>
  <c r="D43" i="6" s="1"/>
  <c r="E43" i="6"/>
  <c r="C43" i="6"/>
  <c r="Q43" i="6" s="1"/>
  <c r="B43" i="6"/>
  <c r="I1051" i="18"/>
  <c r="I1030" i="18"/>
  <c r="N1013" i="18"/>
  <c r="I1017" i="18"/>
  <c r="F52" i="6" l="1"/>
  <c r="F50" i="6"/>
  <c r="G43" i="6"/>
  <c r="E55" i="6"/>
  <c r="F56" i="6" s="1"/>
  <c r="F54" i="6"/>
  <c r="F44" i="6"/>
  <c r="C13" i="95"/>
  <c r="C6" i="97"/>
  <c r="F7" i="95"/>
  <c r="H7" i="95" s="1"/>
  <c r="H3250" i="18"/>
  <c r="I3250" i="18" s="1"/>
  <c r="AE43" i="6"/>
  <c r="G33" i="97"/>
  <c r="R43" i="6"/>
  <c r="H385" i="18"/>
  <c r="I385" i="18" s="1"/>
  <c r="H386" i="18"/>
  <c r="I386" i="18" s="1"/>
  <c r="H387" i="18"/>
  <c r="I387" i="18" s="1"/>
  <c r="H388" i="18"/>
  <c r="I388" i="18" s="1"/>
  <c r="H384" i="18"/>
  <c r="I384" i="18" s="1"/>
  <c r="H383" i="18"/>
  <c r="I383" i="18" s="1"/>
  <c r="J344" i="18"/>
  <c r="F55" i="6" l="1"/>
  <c r="O15" i="6"/>
  <c r="H4890" i="18" s="1"/>
  <c r="AC42" i="6"/>
  <c r="AD42" i="6"/>
  <c r="C42" i="6"/>
  <c r="R42" i="6" s="1"/>
  <c r="AD41" i="6"/>
  <c r="AC41" i="6"/>
  <c r="J41" i="6"/>
  <c r="G41" i="6" s="1"/>
  <c r="C41" i="6"/>
  <c r="R41" i="6" s="1"/>
  <c r="AD40" i="6"/>
  <c r="AC40" i="6"/>
  <c r="E40" i="6"/>
  <c r="E41" i="6" s="1"/>
  <c r="E42" i="6" s="1"/>
  <c r="F43" i="6" s="1"/>
  <c r="D40" i="6"/>
  <c r="C40" i="6"/>
  <c r="Q40" i="6" s="1"/>
  <c r="B40" i="6"/>
  <c r="D41" i="6" l="1"/>
  <c r="J42" i="6"/>
  <c r="G42" i="6" s="1"/>
  <c r="B42" i="6"/>
  <c r="B41" i="6"/>
  <c r="F42" i="6"/>
  <c r="R40" i="6"/>
  <c r="F41" i="6"/>
  <c r="Q42" i="6"/>
  <c r="Q41" i="6"/>
  <c r="AE41" i="6" s="1"/>
  <c r="AE40" i="6"/>
  <c r="G40" i="6"/>
  <c r="AE42" i="6" l="1"/>
  <c r="D42" i="6"/>
  <c r="I4783" i="18" l="1"/>
  <c r="H4783" i="18"/>
  <c r="H4787" i="18"/>
  <c r="D4783" i="18" l="1"/>
  <c r="D4784" i="18"/>
  <c r="D4785" i="18"/>
  <c r="D4786" i="18"/>
  <c r="D4787" i="18"/>
  <c r="D4788" i="18"/>
  <c r="D4789" i="18"/>
  <c r="D4790" i="18"/>
  <c r="D4791" i="18"/>
  <c r="D4792" i="18"/>
  <c r="D4793" i="18"/>
  <c r="D4794" i="18"/>
  <c r="D4795" i="18"/>
  <c r="D4796" i="18"/>
  <c r="D4797" i="18"/>
  <c r="D4798" i="18"/>
  <c r="I4798" i="18"/>
  <c r="O34" i="6" l="1"/>
  <c r="M3186" i="18" l="1"/>
  <c r="L3189" i="18"/>
  <c r="K3189" i="18"/>
  <c r="J3189" i="18"/>
  <c r="I3189" i="18"/>
  <c r="H3189" i="18"/>
  <c r="M3187" i="18"/>
  <c r="D3180" i="18"/>
  <c r="D3181" i="18"/>
  <c r="D3182" i="18"/>
  <c r="D3183" i="18"/>
  <c r="D3184" i="18"/>
  <c r="D3185" i="18"/>
  <c r="D3188" i="18"/>
  <c r="D3189" i="18"/>
  <c r="M3185" i="18"/>
  <c r="M3184" i="18"/>
  <c r="E9" i="50" l="1"/>
  <c r="E10" i="50"/>
  <c r="E11" i="50"/>
  <c r="E12" i="50"/>
  <c r="E13" i="50"/>
  <c r="E14" i="50"/>
  <c r="E15" i="50"/>
  <c r="E16" i="50"/>
  <c r="E17" i="50"/>
  <c r="E18" i="50"/>
  <c r="E19" i="50"/>
  <c r="E20" i="50"/>
  <c r="E21" i="50"/>
  <c r="E22" i="50"/>
  <c r="E23" i="50"/>
  <c r="E24" i="50"/>
  <c r="E25" i="50"/>
  <c r="E26" i="50"/>
  <c r="E27" i="50"/>
  <c r="E28" i="50"/>
  <c r="E29" i="50"/>
  <c r="E30" i="50"/>
  <c r="E31" i="50"/>
  <c r="E32" i="50"/>
  <c r="E33" i="50"/>
  <c r="E34" i="50"/>
  <c r="E35" i="50"/>
  <c r="E36" i="50"/>
  <c r="E37" i="50"/>
  <c r="E38" i="50"/>
  <c r="E39" i="50"/>
  <c r="E40" i="50"/>
  <c r="E41" i="50"/>
  <c r="E42" i="50"/>
  <c r="E43" i="50"/>
  <c r="E44" i="50"/>
  <c r="E45" i="50"/>
  <c r="E46" i="50"/>
  <c r="E47" i="50"/>
  <c r="E48" i="50"/>
  <c r="E49" i="50"/>
  <c r="E50" i="50"/>
  <c r="E51" i="50"/>
  <c r="E52" i="50"/>
  <c r="E53" i="50"/>
  <c r="E54" i="50"/>
  <c r="E55" i="50"/>
  <c r="E56" i="50"/>
  <c r="E57" i="50"/>
  <c r="E58" i="50"/>
  <c r="E59" i="50"/>
  <c r="E60" i="50"/>
  <c r="E61" i="50"/>
  <c r="E62" i="50"/>
  <c r="E63" i="50"/>
  <c r="E64" i="50"/>
  <c r="E65" i="50"/>
  <c r="E66" i="50"/>
  <c r="E67" i="50"/>
  <c r="E68" i="50"/>
  <c r="E69" i="50"/>
  <c r="E70" i="50"/>
  <c r="E71" i="50"/>
  <c r="E72" i="50"/>
  <c r="E73" i="50"/>
  <c r="E74" i="50"/>
  <c r="E75" i="50"/>
  <c r="E76" i="50"/>
  <c r="E77" i="50"/>
  <c r="E78" i="50"/>
  <c r="E79" i="50"/>
  <c r="E80" i="50"/>
  <c r="E81" i="50"/>
  <c r="E82" i="50"/>
  <c r="E83" i="50"/>
  <c r="E84" i="50"/>
  <c r="E85" i="50"/>
  <c r="E86" i="50"/>
  <c r="E87" i="50"/>
  <c r="E88" i="50"/>
  <c r="E89" i="50"/>
  <c r="E90" i="50"/>
  <c r="E91" i="50"/>
  <c r="E92" i="50"/>
  <c r="E93" i="50"/>
  <c r="E94" i="50"/>
  <c r="E95" i="50"/>
  <c r="E96" i="50"/>
  <c r="E97" i="50"/>
  <c r="E98" i="50"/>
  <c r="E99" i="50"/>
  <c r="E100" i="50"/>
  <c r="E101" i="50"/>
  <c r="E102" i="50"/>
  <c r="E103" i="50"/>
  <c r="E104" i="50"/>
  <c r="E105" i="50"/>
  <c r="E106" i="50"/>
  <c r="E107" i="50"/>
  <c r="E108" i="50"/>
  <c r="E109" i="50"/>
  <c r="E110" i="50"/>
  <c r="E111" i="50"/>
  <c r="E112" i="50"/>
  <c r="E113" i="50"/>
  <c r="E114" i="50"/>
  <c r="E115" i="50"/>
  <c r="E116" i="50"/>
  <c r="E117" i="50"/>
  <c r="E118" i="50"/>
  <c r="E119" i="50"/>
  <c r="E120" i="50"/>
  <c r="E121" i="50"/>
  <c r="E122" i="50"/>
  <c r="E123" i="50"/>
  <c r="E124" i="50"/>
  <c r="E125" i="50"/>
  <c r="E126" i="50"/>
  <c r="E127" i="50"/>
  <c r="E128" i="50"/>
  <c r="E129" i="50"/>
  <c r="E130" i="50"/>
  <c r="E131" i="50"/>
  <c r="E132" i="50"/>
  <c r="E133" i="50"/>
  <c r="E134" i="50"/>
  <c r="E135" i="50"/>
  <c r="E136" i="50"/>
  <c r="E137" i="50"/>
  <c r="E138" i="50"/>
  <c r="E139" i="50"/>
  <c r="E140" i="50"/>
  <c r="E141" i="50"/>
  <c r="E142" i="50"/>
  <c r="E143" i="50"/>
  <c r="E144" i="50"/>
  <c r="E145" i="50"/>
  <c r="E146" i="50"/>
  <c r="E147" i="50"/>
  <c r="E148" i="50"/>
  <c r="E149" i="50"/>
  <c r="E150" i="50"/>
  <c r="E151" i="50"/>
  <c r="E152" i="50"/>
  <c r="E153" i="50"/>
  <c r="E154" i="50"/>
  <c r="E155" i="50"/>
  <c r="E156" i="50"/>
  <c r="E157" i="50"/>
  <c r="E158" i="50"/>
  <c r="E159" i="50"/>
  <c r="E160" i="50"/>
  <c r="E161" i="50"/>
  <c r="E162" i="50"/>
  <c r="E163" i="50"/>
  <c r="E164" i="50"/>
  <c r="E165" i="50"/>
  <c r="E166" i="50"/>
  <c r="E167" i="50"/>
  <c r="E168" i="50"/>
  <c r="E169" i="50"/>
  <c r="E170" i="50"/>
  <c r="E171" i="50"/>
  <c r="E172" i="50"/>
  <c r="E173" i="50"/>
  <c r="E174" i="50"/>
  <c r="E175" i="50"/>
  <c r="E176" i="50"/>
  <c r="E177" i="50"/>
  <c r="E178" i="50"/>
  <c r="E179" i="50"/>
  <c r="E180" i="50"/>
  <c r="E181" i="50"/>
  <c r="E182" i="50"/>
  <c r="E183" i="50"/>
  <c r="E184" i="50"/>
  <c r="E185" i="50"/>
  <c r="E186" i="50"/>
  <c r="E187" i="50"/>
  <c r="E188" i="50"/>
  <c r="E189" i="50"/>
  <c r="E190" i="50"/>
  <c r="E191" i="50"/>
  <c r="E192" i="50"/>
  <c r="E193" i="50"/>
  <c r="E194" i="50"/>
  <c r="E195" i="50"/>
  <c r="E196" i="50"/>
  <c r="E197" i="50"/>
  <c r="E198" i="50"/>
  <c r="E199" i="50"/>
  <c r="E200" i="50"/>
  <c r="E201" i="50"/>
  <c r="E202" i="50"/>
  <c r="G202" i="50"/>
  <c r="K202" i="50"/>
  <c r="E203" i="50"/>
  <c r="G203" i="50"/>
  <c r="K203" i="50"/>
  <c r="E204" i="50"/>
  <c r="G204" i="50"/>
  <c r="K204" i="50"/>
  <c r="E205" i="50"/>
  <c r="E206" i="50"/>
  <c r="E207" i="50"/>
  <c r="E208" i="50"/>
  <c r="E209" i="50"/>
  <c r="E210" i="50"/>
  <c r="E211" i="50"/>
  <c r="E212" i="50"/>
  <c r="E213" i="50"/>
  <c r="E214" i="50"/>
  <c r="E215" i="50"/>
  <c r="E216" i="50"/>
  <c r="E217" i="50"/>
  <c r="E218" i="50"/>
  <c r="E219" i="50"/>
  <c r="E220" i="50"/>
  <c r="E221" i="50"/>
  <c r="E222" i="50"/>
  <c r="E223" i="50"/>
  <c r="E224" i="50"/>
  <c r="E225" i="50"/>
  <c r="E226" i="50"/>
  <c r="E227" i="50"/>
  <c r="E228" i="50"/>
  <c r="E229" i="50"/>
  <c r="E230" i="50"/>
  <c r="E231" i="50"/>
  <c r="E232" i="50"/>
  <c r="E233" i="50"/>
  <c r="E234" i="50"/>
  <c r="E235" i="50"/>
  <c r="E236" i="50"/>
  <c r="E237" i="50"/>
  <c r="E238" i="50"/>
  <c r="E239" i="50"/>
  <c r="E240" i="50"/>
  <c r="E241" i="50"/>
  <c r="E242" i="50"/>
  <c r="E243" i="50"/>
  <c r="E244" i="50"/>
  <c r="E245" i="50"/>
  <c r="E246" i="50"/>
  <c r="E247" i="50"/>
  <c r="E248" i="50"/>
  <c r="E249" i="50"/>
  <c r="E250" i="50"/>
  <c r="E251" i="50"/>
  <c r="E252" i="50"/>
  <c r="E253" i="50"/>
  <c r="E254" i="50"/>
  <c r="E255" i="50"/>
  <c r="E256" i="50"/>
  <c r="E257" i="50"/>
  <c r="E258" i="50"/>
  <c r="E259" i="50"/>
  <c r="E260" i="50"/>
  <c r="E261" i="50"/>
  <c r="E262" i="50"/>
  <c r="E263" i="50"/>
  <c r="E264" i="50"/>
  <c r="E265" i="50"/>
  <c r="E266" i="50"/>
  <c r="E267" i="50"/>
  <c r="E268" i="50"/>
  <c r="E269" i="50"/>
  <c r="E270" i="50"/>
  <c r="E271" i="50"/>
  <c r="E272" i="50"/>
  <c r="E273" i="50"/>
  <c r="E274" i="50"/>
  <c r="E275" i="50"/>
  <c r="E276" i="50"/>
  <c r="E277" i="50"/>
  <c r="E278" i="50"/>
  <c r="E279" i="50"/>
  <c r="E280" i="50"/>
  <c r="E281" i="50"/>
  <c r="E282" i="50"/>
  <c r="E283" i="50"/>
  <c r="E284" i="50"/>
  <c r="E285" i="50"/>
  <c r="E286" i="50"/>
  <c r="E287" i="50"/>
  <c r="E288" i="50"/>
  <c r="E289" i="50"/>
  <c r="E290" i="50"/>
  <c r="E291" i="50"/>
  <c r="E292" i="50"/>
  <c r="E293" i="50"/>
  <c r="E294" i="50"/>
  <c r="E295" i="50"/>
  <c r="G295" i="50"/>
  <c r="K295" i="50"/>
  <c r="E296" i="50"/>
  <c r="E297" i="50"/>
  <c r="E298" i="50"/>
  <c r="G298" i="50"/>
  <c r="K298" i="50"/>
  <c r="E299" i="50"/>
  <c r="G299" i="50"/>
  <c r="K299" i="50"/>
  <c r="E300" i="50"/>
  <c r="G300" i="50"/>
  <c r="K300" i="50"/>
  <c r="E301" i="50"/>
  <c r="E302"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G347" i="50"/>
  <c r="K347" i="50"/>
  <c r="E348" i="50"/>
  <c r="G348" i="50"/>
  <c r="K348" i="50"/>
  <c r="E349" i="50"/>
  <c r="G349" i="50"/>
  <c r="K349" i="50"/>
  <c r="E350" i="50"/>
  <c r="G350" i="50"/>
  <c r="K350" i="50"/>
  <c r="E351" i="50"/>
  <c r="G351" i="50"/>
  <c r="K351" i="50"/>
  <c r="E352" i="50"/>
  <c r="G352" i="50"/>
  <c r="K352" i="50"/>
  <c r="E353" i="50"/>
  <c r="G353" i="50"/>
  <c r="K353" i="50"/>
  <c r="E354" i="50"/>
  <c r="G354" i="50"/>
  <c r="K354" i="50"/>
  <c r="E355" i="50"/>
  <c r="G355" i="50"/>
  <c r="K355" i="50"/>
  <c r="E356" i="50"/>
  <c r="G356" i="50"/>
  <c r="K356" i="50"/>
  <c r="E357" i="50"/>
  <c r="G357" i="50"/>
  <c r="K357" i="50"/>
  <c r="E358" i="50"/>
  <c r="G358" i="50"/>
  <c r="K358" i="50"/>
  <c r="E359" i="50"/>
  <c r="G359" i="50"/>
  <c r="K359" i="50"/>
  <c r="E360" i="50"/>
  <c r="G360" i="50"/>
  <c r="K360" i="50"/>
  <c r="E361" i="50"/>
  <c r="G361" i="50"/>
  <c r="K361" i="50"/>
  <c r="E362" i="50"/>
  <c r="G362" i="50"/>
  <c r="K362" i="50"/>
  <c r="E363" i="50"/>
  <c r="G363" i="50"/>
  <c r="K363" i="50"/>
  <c r="E364" i="50"/>
  <c r="G364" i="50"/>
  <c r="K364" i="50"/>
  <c r="E365" i="50"/>
  <c r="G365" i="50"/>
  <c r="K365" i="50"/>
  <c r="E366" i="50"/>
  <c r="G366" i="50"/>
  <c r="K366" i="50"/>
  <c r="E367" i="50"/>
  <c r="G367" i="50"/>
  <c r="K367" i="50"/>
  <c r="E368" i="50"/>
  <c r="G368" i="50"/>
  <c r="K368" i="50"/>
  <c r="E369" i="50"/>
  <c r="G369" i="50"/>
  <c r="K369" i="50"/>
  <c r="E370" i="50"/>
  <c r="G370" i="50"/>
  <c r="K370" i="50"/>
  <c r="E371" i="50"/>
  <c r="G371" i="50"/>
  <c r="K371" i="50"/>
  <c r="E372" i="50"/>
  <c r="G372" i="50"/>
  <c r="K372" i="50"/>
  <c r="E373" i="50"/>
  <c r="G373" i="50"/>
  <c r="K373" i="50"/>
  <c r="E374" i="50"/>
  <c r="G374" i="50"/>
  <c r="K374" i="50"/>
  <c r="E375" i="50"/>
  <c r="G375" i="50"/>
  <c r="K375" i="50"/>
  <c r="E376" i="50"/>
  <c r="G376" i="50"/>
  <c r="K376" i="50"/>
  <c r="E377" i="50"/>
  <c r="G377" i="50"/>
  <c r="K377" i="50"/>
  <c r="E378" i="50"/>
  <c r="G378" i="50"/>
  <c r="K378" i="50"/>
  <c r="E379" i="50"/>
  <c r="G379" i="50"/>
  <c r="K379" i="50"/>
  <c r="E380" i="50"/>
  <c r="G380" i="50"/>
  <c r="K380" i="50"/>
  <c r="E381" i="50"/>
  <c r="G381" i="50"/>
  <c r="K381" i="50"/>
  <c r="E382" i="50"/>
  <c r="G382" i="50"/>
  <c r="K382" i="50"/>
  <c r="E383" i="50"/>
  <c r="G383" i="50"/>
  <c r="K383" i="50"/>
  <c r="E384" i="50"/>
  <c r="G384" i="50"/>
  <c r="K384" i="50"/>
  <c r="E385" i="50"/>
  <c r="G385" i="50"/>
  <c r="K385" i="50"/>
  <c r="E386" i="50"/>
  <c r="G386" i="50"/>
  <c r="K386" i="50"/>
  <c r="E387" i="50"/>
  <c r="G387" i="50"/>
  <c r="K387" i="50"/>
  <c r="E388" i="50"/>
  <c r="G388" i="50"/>
  <c r="K388" i="50"/>
  <c r="E389" i="50"/>
  <c r="G389" i="50"/>
  <c r="K389" i="50"/>
  <c r="E390" i="50"/>
  <c r="G390" i="50"/>
  <c r="K390" i="50"/>
  <c r="E391" i="50"/>
  <c r="G391" i="50"/>
  <c r="K391" i="50"/>
  <c r="E392" i="50"/>
  <c r="G392" i="50"/>
  <c r="K392" i="50"/>
  <c r="E393" i="50"/>
  <c r="G393" i="50"/>
  <c r="K393" i="50"/>
  <c r="E394" i="50"/>
  <c r="G394" i="50"/>
  <c r="K394" i="50"/>
  <c r="E395" i="50"/>
  <c r="G395" i="50"/>
  <c r="K395" i="50"/>
  <c r="E396" i="50"/>
  <c r="G396" i="50"/>
  <c r="K396" i="50"/>
  <c r="E397" i="50"/>
  <c r="G397" i="50"/>
  <c r="K397" i="50"/>
  <c r="E398" i="50"/>
  <c r="G398" i="50"/>
  <c r="K398" i="50"/>
  <c r="E399" i="50"/>
  <c r="G399" i="50"/>
  <c r="K399" i="50"/>
  <c r="E400" i="50"/>
  <c r="G400" i="50"/>
  <c r="K400" i="50"/>
  <c r="E401" i="50"/>
  <c r="G401" i="50"/>
  <c r="K401" i="50"/>
  <c r="E402" i="50"/>
  <c r="G402" i="50"/>
  <c r="K402" i="50"/>
  <c r="E403" i="50"/>
  <c r="G403" i="50"/>
  <c r="K403" i="50"/>
  <c r="E404" i="50"/>
  <c r="G404" i="50"/>
  <c r="K404" i="50"/>
  <c r="E405" i="50"/>
  <c r="G405" i="50"/>
  <c r="K405" i="50"/>
  <c r="E406" i="50"/>
  <c r="G406" i="50"/>
  <c r="K406" i="50"/>
  <c r="E407" i="50"/>
  <c r="G407" i="50"/>
  <c r="K407" i="50"/>
  <c r="E408" i="50"/>
  <c r="G408" i="50"/>
  <c r="K408" i="50"/>
  <c r="E9" i="46"/>
  <c r="F9" i="46"/>
  <c r="J9" i="46"/>
  <c r="K9" i="46"/>
  <c r="E10" i="46"/>
  <c r="F10" i="46"/>
  <c r="J10" i="46"/>
  <c r="K10" i="46"/>
  <c r="E11" i="46"/>
  <c r="F11" i="46"/>
  <c r="J11" i="46"/>
  <c r="K11" i="46"/>
  <c r="E12" i="46"/>
  <c r="F12" i="46"/>
  <c r="J12" i="46"/>
  <c r="K12" i="46"/>
  <c r="E13" i="46"/>
  <c r="F13" i="46"/>
  <c r="J13" i="46"/>
  <c r="K13" i="46"/>
  <c r="E14" i="46"/>
  <c r="F14" i="46"/>
  <c r="J14" i="46"/>
  <c r="K14" i="46"/>
  <c r="E15" i="46"/>
  <c r="F15" i="46"/>
  <c r="J15" i="46"/>
  <c r="K15" i="46"/>
  <c r="E16" i="46"/>
  <c r="F16" i="46"/>
  <c r="J16" i="46"/>
  <c r="K16" i="46"/>
  <c r="E17" i="46"/>
  <c r="F17" i="46"/>
  <c r="J17" i="46"/>
  <c r="K17" i="46"/>
  <c r="E18" i="46"/>
  <c r="F18" i="46"/>
  <c r="J18" i="46"/>
  <c r="K18" i="46"/>
  <c r="E19" i="46"/>
  <c r="F19" i="46"/>
  <c r="J19" i="46"/>
  <c r="K19" i="46"/>
  <c r="E20" i="46"/>
  <c r="F20" i="46"/>
  <c r="J20" i="46"/>
  <c r="K20" i="46"/>
  <c r="E21" i="46"/>
  <c r="F21" i="46"/>
  <c r="J21" i="46"/>
  <c r="K21" i="46"/>
  <c r="E22" i="46"/>
  <c r="F22" i="46"/>
  <c r="J22" i="46"/>
  <c r="K22" i="46"/>
  <c r="E23" i="46"/>
  <c r="F23" i="46"/>
  <c r="J23" i="46"/>
  <c r="K23" i="46"/>
  <c r="E24" i="46"/>
  <c r="F24" i="46"/>
  <c r="J24" i="46"/>
  <c r="K24" i="46"/>
  <c r="E25" i="46"/>
  <c r="F25" i="46"/>
  <c r="J25" i="46"/>
  <c r="K25" i="46"/>
  <c r="E26" i="46"/>
  <c r="F26" i="46"/>
  <c r="J26" i="46"/>
  <c r="K26" i="46"/>
  <c r="E27" i="46"/>
  <c r="F27" i="46"/>
  <c r="J27" i="46"/>
  <c r="K27" i="46"/>
  <c r="E28" i="46"/>
  <c r="F28" i="46"/>
  <c r="J28" i="46"/>
  <c r="K28" i="46"/>
  <c r="E29" i="46"/>
  <c r="F29" i="46"/>
  <c r="J29" i="46"/>
  <c r="K29" i="46"/>
  <c r="E30" i="46"/>
  <c r="F30" i="46"/>
  <c r="J30" i="46"/>
  <c r="K30" i="46"/>
  <c r="E31" i="46"/>
  <c r="F31" i="46"/>
  <c r="J31" i="46"/>
  <c r="K31" i="46"/>
  <c r="E32" i="46"/>
  <c r="F32" i="46"/>
  <c r="J32" i="46"/>
  <c r="K32" i="46"/>
  <c r="E33" i="46"/>
  <c r="F33" i="46"/>
  <c r="J33" i="46"/>
  <c r="K33" i="46"/>
  <c r="E34" i="46"/>
  <c r="F34" i="46"/>
  <c r="J34" i="46"/>
  <c r="K34" i="46"/>
  <c r="E35" i="46"/>
  <c r="F35" i="46"/>
  <c r="J35" i="46"/>
  <c r="K35" i="46"/>
  <c r="E36" i="46"/>
  <c r="F36" i="46"/>
  <c r="J36" i="46"/>
  <c r="K36" i="46"/>
  <c r="E37" i="46"/>
  <c r="F37" i="46"/>
  <c r="J37" i="46"/>
  <c r="K37" i="46"/>
  <c r="E38" i="46"/>
  <c r="F38" i="46"/>
  <c r="J38" i="46"/>
  <c r="K38" i="46"/>
  <c r="E39" i="46"/>
  <c r="F39" i="46"/>
  <c r="J39" i="46"/>
  <c r="K39" i="46"/>
  <c r="E40" i="46"/>
  <c r="F40" i="46"/>
  <c r="J40" i="46"/>
  <c r="K40" i="46"/>
  <c r="E41" i="46"/>
  <c r="F41" i="46"/>
  <c r="J41" i="46"/>
  <c r="K41" i="46"/>
  <c r="E42" i="46"/>
  <c r="F42" i="46"/>
  <c r="J42" i="46"/>
  <c r="K42" i="46"/>
  <c r="E43" i="46"/>
  <c r="F43" i="46"/>
  <c r="J43" i="46"/>
  <c r="K43" i="46"/>
  <c r="E44" i="46"/>
  <c r="F44" i="46"/>
  <c r="J44" i="46"/>
  <c r="K44" i="46"/>
  <c r="E45" i="46"/>
  <c r="F45" i="46"/>
  <c r="J45" i="46"/>
  <c r="K45" i="46"/>
  <c r="E46" i="46"/>
  <c r="F46" i="46"/>
  <c r="J46" i="46"/>
  <c r="K46" i="46"/>
  <c r="E47" i="46"/>
  <c r="F47" i="46"/>
  <c r="J47" i="46"/>
  <c r="K47" i="46"/>
  <c r="E48" i="46"/>
  <c r="F48" i="46"/>
  <c r="J48" i="46"/>
  <c r="K48" i="46"/>
  <c r="E49" i="46"/>
  <c r="F49" i="46"/>
  <c r="J49" i="46"/>
  <c r="K49" i="46"/>
  <c r="E50" i="46"/>
  <c r="F50" i="46"/>
  <c r="J50" i="46"/>
  <c r="K50" i="46"/>
  <c r="E51" i="46"/>
  <c r="F51" i="46"/>
  <c r="J51" i="46"/>
  <c r="K51" i="46"/>
  <c r="E52" i="46"/>
  <c r="F52" i="46"/>
  <c r="J52" i="46"/>
  <c r="K52" i="46"/>
  <c r="E53" i="46"/>
  <c r="F53" i="46"/>
  <c r="J53" i="46"/>
  <c r="K53" i="46"/>
  <c r="E54" i="46"/>
  <c r="F54" i="46"/>
  <c r="J54" i="46"/>
  <c r="K54" i="46"/>
  <c r="E55" i="46"/>
  <c r="F55" i="46"/>
  <c r="J55" i="46"/>
  <c r="K55" i="46"/>
  <c r="E56" i="46"/>
  <c r="F56" i="46"/>
  <c r="J56" i="46"/>
  <c r="K56" i="46"/>
  <c r="E57" i="46"/>
  <c r="F57" i="46"/>
  <c r="J57" i="46"/>
  <c r="K57" i="46"/>
  <c r="E58" i="46"/>
  <c r="F58" i="46"/>
  <c r="J58" i="46"/>
  <c r="K58" i="46"/>
  <c r="E59" i="46"/>
  <c r="F59" i="46"/>
  <c r="J59" i="46"/>
  <c r="K59" i="46"/>
  <c r="E60" i="46"/>
  <c r="F60" i="46"/>
  <c r="J60" i="46"/>
  <c r="K60" i="46"/>
  <c r="E61" i="46"/>
  <c r="F61" i="46"/>
  <c r="J61" i="46"/>
  <c r="K61" i="46"/>
  <c r="E62" i="46"/>
  <c r="F62" i="46"/>
  <c r="J62" i="46"/>
  <c r="K62" i="46"/>
  <c r="E63" i="46"/>
  <c r="F63" i="46"/>
  <c r="J63" i="46"/>
  <c r="K63" i="46"/>
  <c r="E64" i="46"/>
  <c r="F64" i="46"/>
  <c r="J64" i="46"/>
  <c r="K64" i="46"/>
  <c r="E65" i="46"/>
  <c r="F65" i="46"/>
  <c r="J65" i="46"/>
  <c r="K65" i="46"/>
  <c r="E66" i="46"/>
  <c r="F66" i="46"/>
  <c r="J66" i="46"/>
  <c r="K66" i="46"/>
  <c r="E67" i="46"/>
  <c r="F67" i="46"/>
  <c r="J67" i="46"/>
  <c r="K67" i="46"/>
  <c r="E68" i="46"/>
  <c r="F68" i="46"/>
  <c r="J68" i="46"/>
  <c r="K68" i="46"/>
  <c r="E69" i="46"/>
  <c r="F69" i="46"/>
  <c r="J69" i="46"/>
  <c r="K69" i="46"/>
  <c r="E70" i="46"/>
  <c r="F70" i="46"/>
  <c r="J70" i="46"/>
  <c r="K70" i="46"/>
  <c r="E71" i="46"/>
  <c r="F71" i="46"/>
  <c r="J71" i="46"/>
  <c r="K71" i="46"/>
  <c r="E72" i="46"/>
  <c r="F72" i="46"/>
  <c r="J72" i="46"/>
  <c r="K72" i="46"/>
  <c r="E73" i="46"/>
  <c r="F73" i="46"/>
  <c r="J73" i="46"/>
  <c r="K73" i="46"/>
  <c r="E74" i="46"/>
  <c r="F74" i="46"/>
  <c r="J74" i="46"/>
  <c r="K74" i="46"/>
  <c r="E75" i="46"/>
  <c r="F75" i="46"/>
  <c r="J75" i="46"/>
  <c r="K75" i="46"/>
  <c r="E76" i="46"/>
  <c r="F76" i="46"/>
  <c r="J76" i="46"/>
  <c r="K76" i="46"/>
  <c r="E77" i="46"/>
  <c r="F77" i="46"/>
  <c r="J77" i="46"/>
  <c r="K77" i="46"/>
  <c r="E78" i="46"/>
  <c r="F78" i="46"/>
  <c r="J78" i="46"/>
  <c r="K78" i="46"/>
  <c r="E79" i="46"/>
  <c r="F79" i="46"/>
  <c r="J79" i="46"/>
  <c r="K79" i="46"/>
  <c r="E80" i="46"/>
  <c r="F80" i="46"/>
  <c r="J80" i="46"/>
  <c r="K80" i="46"/>
  <c r="E81" i="46"/>
  <c r="F81" i="46"/>
  <c r="J81" i="46"/>
  <c r="K81" i="46"/>
  <c r="E82" i="46"/>
  <c r="F82" i="46"/>
  <c r="J82" i="46"/>
  <c r="K82" i="46"/>
  <c r="E83" i="46"/>
  <c r="F83" i="46"/>
  <c r="J83" i="46"/>
  <c r="K83" i="46"/>
  <c r="E84" i="46"/>
  <c r="F84" i="46"/>
  <c r="J84" i="46"/>
  <c r="K84" i="46"/>
  <c r="N35" i="2"/>
  <c r="F38" i="21"/>
  <c r="R9" i="2" l="1"/>
  <c r="S9" i="2"/>
  <c r="T9" i="2"/>
  <c r="U9" i="2"/>
  <c r="V9" i="2"/>
  <c r="W9" i="2"/>
  <c r="X9" i="2"/>
  <c r="Y9" i="2"/>
  <c r="Z9" i="2"/>
  <c r="AA9" i="2"/>
  <c r="AB9" i="2"/>
  <c r="AC9" i="2"/>
  <c r="AD9" i="2"/>
  <c r="R10" i="2"/>
  <c r="S10" i="2"/>
  <c r="T10" i="2"/>
  <c r="U10" i="2"/>
  <c r="V10" i="2"/>
  <c r="W10" i="2"/>
  <c r="X10" i="2"/>
  <c r="Y10" i="2"/>
  <c r="Z10" i="2"/>
  <c r="AA10" i="2"/>
  <c r="AB10" i="2"/>
  <c r="AC10" i="2"/>
  <c r="AD10" i="2"/>
  <c r="R11" i="2"/>
  <c r="S11" i="2"/>
  <c r="T11" i="2"/>
  <c r="U11" i="2"/>
  <c r="V11" i="2"/>
  <c r="W11" i="2"/>
  <c r="X11" i="2"/>
  <c r="Y11" i="2"/>
  <c r="Z11" i="2"/>
  <c r="AA11" i="2"/>
  <c r="AB11" i="2"/>
  <c r="AC11" i="2"/>
  <c r="AD11" i="2"/>
  <c r="R12" i="2"/>
  <c r="S12" i="2"/>
  <c r="T12" i="2"/>
  <c r="U12" i="2"/>
  <c r="V12" i="2"/>
  <c r="W12" i="2"/>
  <c r="X12" i="2"/>
  <c r="Y12" i="2"/>
  <c r="Z12" i="2"/>
  <c r="AA12" i="2"/>
  <c r="AB12" i="2"/>
  <c r="AC12" i="2"/>
  <c r="AD12" i="2"/>
  <c r="R13" i="2"/>
  <c r="S13" i="2"/>
  <c r="T13" i="2"/>
  <c r="U13" i="2"/>
  <c r="V13" i="2"/>
  <c r="W13" i="2"/>
  <c r="X13" i="2"/>
  <c r="Y13" i="2"/>
  <c r="Z13" i="2"/>
  <c r="AA13" i="2"/>
  <c r="AB13" i="2"/>
  <c r="AC13" i="2"/>
  <c r="AD13" i="2"/>
  <c r="R16" i="2"/>
  <c r="S16" i="2"/>
  <c r="T16" i="2"/>
  <c r="U16" i="2"/>
  <c r="V16" i="2"/>
  <c r="W16" i="2"/>
  <c r="X16" i="2"/>
  <c r="Y16" i="2"/>
  <c r="Z16" i="2"/>
  <c r="AA16" i="2"/>
  <c r="AC16" i="2"/>
  <c r="AD16" i="2"/>
  <c r="R17" i="2"/>
  <c r="S17" i="2"/>
  <c r="T17" i="2"/>
  <c r="U17" i="2"/>
  <c r="V17" i="2"/>
  <c r="W17" i="2"/>
  <c r="X17" i="2"/>
  <c r="Y17" i="2"/>
  <c r="Z17" i="2"/>
  <c r="AA17" i="2"/>
  <c r="AB17" i="2"/>
  <c r="AC17" i="2"/>
  <c r="AD17" i="2"/>
  <c r="R18" i="2"/>
  <c r="S18" i="2"/>
  <c r="T18" i="2"/>
  <c r="U18" i="2"/>
  <c r="V18" i="2"/>
  <c r="W18" i="2"/>
  <c r="Y18" i="2"/>
  <c r="Z18" i="2"/>
  <c r="AA18" i="2"/>
  <c r="AC18" i="2"/>
  <c r="AD18" i="2"/>
  <c r="R20" i="2"/>
  <c r="S20" i="2"/>
  <c r="T20" i="2"/>
  <c r="U20" i="2"/>
  <c r="V20" i="2"/>
  <c r="W20" i="2"/>
  <c r="X20" i="2"/>
  <c r="Y20" i="2"/>
  <c r="Z20" i="2"/>
  <c r="AA20" i="2"/>
  <c r="AB20" i="2"/>
  <c r="AC20" i="2"/>
  <c r="AD20" i="2"/>
  <c r="R21" i="2"/>
  <c r="S21" i="2"/>
  <c r="T21" i="2"/>
  <c r="U21" i="2"/>
  <c r="V21" i="2"/>
  <c r="W21" i="2"/>
  <c r="X21" i="2"/>
  <c r="Y21" i="2"/>
  <c r="Z21" i="2"/>
  <c r="AA21" i="2"/>
  <c r="AB21" i="2"/>
  <c r="AC21" i="2"/>
  <c r="AD21" i="2"/>
  <c r="R22" i="2"/>
  <c r="S22" i="2"/>
  <c r="T22" i="2"/>
  <c r="U22" i="2"/>
  <c r="V22" i="2"/>
  <c r="W22" i="2"/>
  <c r="X22" i="2"/>
  <c r="Y22" i="2"/>
  <c r="Z22" i="2"/>
  <c r="AA22" i="2"/>
  <c r="AB22" i="2"/>
  <c r="AC22" i="2"/>
  <c r="AD22" i="2"/>
  <c r="R23" i="2"/>
  <c r="S23" i="2"/>
  <c r="T23" i="2"/>
  <c r="U23" i="2"/>
  <c r="V23" i="2"/>
  <c r="W23" i="2"/>
  <c r="X23" i="2"/>
  <c r="Y23" i="2"/>
  <c r="Z23" i="2"/>
  <c r="AA23" i="2"/>
  <c r="AB23" i="2"/>
  <c r="AC23" i="2"/>
  <c r="AD23" i="2"/>
  <c r="R25" i="2"/>
  <c r="S25" i="2"/>
  <c r="T25" i="2"/>
  <c r="U25" i="2"/>
  <c r="V25" i="2"/>
  <c r="W25" i="2"/>
  <c r="X25" i="2"/>
  <c r="Y25" i="2"/>
  <c r="Z25" i="2"/>
  <c r="AA25" i="2"/>
  <c r="AB25" i="2"/>
  <c r="AC25" i="2"/>
  <c r="AD25" i="2"/>
  <c r="R26" i="2"/>
  <c r="S26" i="2"/>
  <c r="T26" i="2"/>
  <c r="U26" i="2"/>
  <c r="V26" i="2"/>
  <c r="W26" i="2"/>
  <c r="X26" i="2"/>
  <c r="Y26" i="2"/>
  <c r="Z26" i="2"/>
  <c r="AA26" i="2"/>
  <c r="AB26" i="2"/>
  <c r="AC26" i="2"/>
  <c r="AD26" i="2"/>
  <c r="R27" i="2"/>
  <c r="S27" i="2"/>
  <c r="T27" i="2"/>
  <c r="U27" i="2"/>
  <c r="V27" i="2"/>
  <c r="W27" i="2"/>
  <c r="X27" i="2"/>
  <c r="Y27" i="2"/>
  <c r="Z27" i="2"/>
  <c r="AA27" i="2"/>
  <c r="AB27" i="2"/>
  <c r="AC27" i="2"/>
  <c r="AD27" i="2"/>
  <c r="R28" i="2"/>
  <c r="S28" i="2"/>
  <c r="T28" i="2"/>
  <c r="U28" i="2"/>
  <c r="V28" i="2"/>
  <c r="W28" i="2"/>
  <c r="X28" i="2"/>
  <c r="Y28" i="2"/>
  <c r="Z28" i="2"/>
  <c r="AA28" i="2"/>
  <c r="AB28" i="2"/>
  <c r="AC28" i="2"/>
  <c r="AD28" i="2"/>
  <c r="R30" i="2"/>
  <c r="S30" i="2"/>
  <c r="T30" i="2"/>
  <c r="U30" i="2"/>
  <c r="V30" i="2"/>
  <c r="W30" i="2"/>
  <c r="X30" i="2"/>
  <c r="Y30" i="2"/>
  <c r="Z30" i="2"/>
  <c r="AA30" i="2"/>
  <c r="AB30" i="2"/>
  <c r="AC30" i="2"/>
  <c r="AD30" i="2"/>
  <c r="R31" i="2"/>
  <c r="S31" i="2"/>
  <c r="T31" i="2"/>
  <c r="U31" i="2"/>
  <c r="V31" i="2"/>
  <c r="W31" i="2"/>
  <c r="X31" i="2"/>
  <c r="Y31" i="2"/>
  <c r="Z31" i="2"/>
  <c r="AA31" i="2"/>
  <c r="AB31" i="2"/>
  <c r="AC31" i="2"/>
  <c r="AD31" i="2"/>
  <c r="R32" i="2"/>
  <c r="S32" i="2"/>
  <c r="T32" i="2"/>
  <c r="U32" i="2"/>
  <c r="V32" i="2"/>
  <c r="W32" i="2"/>
  <c r="X32" i="2"/>
  <c r="Y32" i="2"/>
  <c r="Z32" i="2"/>
  <c r="AA32" i="2"/>
  <c r="AB32" i="2"/>
  <c r="AC32" i="2"/>
  <c r="AD32" i="2"/>
  <c r="R33" i="2"/>
  <c r="S33" i="2"/>
  <c r="T33" i="2"/>
  <c r="U33" i="2"/>
  <c r="V33" i="2"/>
  <c r="W33" i="2"/>
  <c r="X33" i="2"/>
  <c r="Y33" i="2"/>
  <c r="Z33" i="2"/>
  <c r="AA33" i="2"/>
  <c r="AB33" i="2"/>
  <c r="AC33" i="2"/>
  <c r="AD33" i="2"/>
  <c r="R34" i="2"/>
  <c r="S34" i="2"/>
  <c r="T34" i="2"/>
  <c r="U34" i="2"/>
  <c r="V34" i="2"/>
  <c r="W34" i="2"/>
  <c r="X34" i="2"/>
  <c r="Y34" i="2"/>
  <c r="Z34" i="2"/>
  <c r="AA34" i="2"/>
  <c r="AB34" i="2"/>
  <c r="AC34" i="2"/>
  <c r="AD34" i="2"/>
  <c r="R35" i="2"/>
  <c r="S35" i="2"/>
  <c r="T35" i="2"/>
  <c r="U35" i="2"/>
  <c r="V35" i="2"/>
  <c r="W35" i="2"/>
  <c r="X35" i="2"/>
  <c r="Y35" i="2"/>
  <c r="Z35" i="2"/>
  <c r="AA35" i="2"/>
  <c r="AB35" i="2"/>
  <c r="AC35" i="2"/>
  <c r="AD35" i="2"/>
  <c r="R37" i="2"/>
  <c r="S37" i="2"/>
  <c r="T37" i="2"/>
  <c r="U37" i="2"/>
  <c r="V37" i="2"/>
  <c r="W37" i="2"/>
  <c r="X37" i="2"/>
  <c r="Y37" i="2"/>
  <c r="Z37" i="2"/>
  <c r="AA37" i="2"/>
  <c r="AB37" i="2"/>
  <c r="AC37" i="2"/>
  <c r="AD37" i="2"/>
  <c r="R38" i="2"/>
  <c r="S38" i="2"/>
  <c r="T38" i="2"/>
  <c r="U38" i="2"/>
  <c r="V38" i="2"/>
  <c r="W38" i="2"/>
  <c r="X38" i="2"/>
  <c r="Y38" i="2"/>
  <c r="Z38" i="2"/>
  <c r="AA38" i="2"/>
  <c r="AB38" i="2"/>
  <c r="AC38" i="2"/>
  <c r="AD38" i="2"/>
  <c r="R39" i="2"/>
  <c r="S39" i="2"/>
  <c r="T39" i="2"/>
  <c r="U39" i="2"/>
  <c r="V39" i="2"/>
  <c r="W39" i="2"/>
  <c r="X39" i="2"/>
  <c r="Y39" i="2"/>
  <c r="Z39" i="2"/>
  <c r="AA39" i="2"/>
  <c r="AB39" i="2"/>
  <c r="AC39" i="2"/>
  <c r="AD39" i="2"/>
  <c r="F70" i="8"/>
  <c r="F72" i="8"/>
  <c r="F73" i="8"/>
  <c r="F74" i="8"/>
  <c r="F75" i="8"/>
  <c r="F76" i="8"/>
  <c r="F77" i="8"/>
  <c r="F78" i="8"/>
  <c r="F79" i="8"/>
  <c r="F80" i="8"/>
  <c r="F81" i="8"/>
  <c r="F82" i="8"/>
  <c r="F83" i="8"/>
  <c r="F84" i="8"/>
  <c r="F85" i="8"/>
  <c r="F86" i="8"/>
  <c r="F87" i="8"/>
  <c r="F89" i="8"/>
  <c r="F90" i="8"/>
  <c r="F91" i="8"/>
  <c r="F92" i="8"/>
  <c r="F93" i="8"/>
  <c r="F95" i="8"/>
  <c r="F96" i="8"/>
  <c r="F97" i="8"/>
  <c r="F9" i="8"/>
  <c r="F10" i="8"/>
  <c r="F11" i="8"/>
  <c r="F12" i="8"/>
  <c r="F13" i="8"/>
  <c r="F14" i="8"/>
  <c r="F15" i="8"/>
  <c r="F16" i="8"/>
  <c r="F17" i="8"/>
  <c r="F18" i="8"/>
  <c r="F19" i="8"/>
  <c r="F20" i="8"/>
  <c r="F21" i="8"/>
  <c r="F22" i="8"/>
  <c r="F24" i="8"/>
  <c r="F25" i="8"/>
  <c r="F26" i="8"/>
  <c r="F27" i="8"/>
  <c r="F28" i="8"/>
  <c r="F29" i="8"/>
  <c r="F30" i="8"/>
  <c r="F31" i="8"/>
  <c r="F32" i="8"/>
  <c r="F33" i="8"/>
  <c r="F36" i="8"/>
  <c r="F37" i="8"/>
  <c r="F38" i="8"/>
  <c r="F39" i="8"/>
  <c r="F40" i="8"/>
  <c r="F41" i="8"/>
  <c r="F43" i="8"/>
  <c r="F44" i="8"/>
  <c r="F45" i="8"/>
  <c r="F46" i="8"/>
  <c r="F47" i="8"/>
  <c r="F50" i="8"/>
  <c r="F51" i="8"/>
  <c r="F52" i="8"/>
  <c r="F53" i="8"/>
  <c r="F54" i="8"/>
  <c r="F56" i="8"/>
  <c r="F57" i="8"/>
  <c r="F58" i="8"/>
  <c r="F59" i="8"/>
  <c r="F62" i="8"/>
  <c r="F64" i="8"/>
  <c r="F10" i="21"/>
  <c r="F11" i="21"/>
  <c r="F12" i="21"/>
  <c r="F13" i="21"/>
  <c r="F15" i="21"/>
  <c r="F16" i="21"/>
  <c r="F17" i="21"/>
  <c r="F18" i="21"/>
  <c r="F19" i="21"/>
  <c r="F20" i="21"/>
  <c r="F21" i="21"/>
  <c r="F22" i="21"/>
  <c r="F23" i="21"/>
  <c r="F24" i="21"/>
  <c r="F25" i="21"/>
  <c r="F26" i="21"/>
  <c r="F27" i="21"/>
  <c r="F28" i="21"/>
  <c r="F29" i="21"/>
  <c r="F30" i="21"/>
  <c r="F31" i="21"/>
  <c r="F32" i="21"/>
  <c r="F33" i="21"/>
  <c r="F34" i="21"/>
  <c r="F35" i="21"/>
  <c r="F36" i="21"/>
  <c r="F37" i="21"/>
  <c r="F39" i="21"/>
  <c r="F41" i="21"/>
  <c r="F42" i="21"/>
  <c r="F44" i="21"/>
  <c r="F46" i="21"/>
  <c r="F48" i="21"/>
  <c r="F49" i="21"/>
  <c r="F51" i="21"/>
  <c r="F55" i="21"/>
  <c r="F56" i="21"/>
  <c r="F57" i="21"/>
  <c r="F58" i="21"/>
  <c r="F59" i="21"/>
  <c r="F61" i="21"/>
  <c r="F62" i="21"/>
  <c r="F63" i="21"/>
  <c r="F64" i="21"/>
  <c r="F65" i="21"/>
  <c r="F66" i="21"/>
  <c r="F67" i="21"/>
  <c r="F68" i="21"/>
  <c r="F69" i="21"/>
  <c r="F70" i="21"/>
  <c r="F71" i="21"/>
  <c r="F72" i="21"/>
  <c r="F73" i="21"/>
  <c r="F77" i="21"/>
  <c r="F78" i="21"/>
  <c r="F79" i="21"/>
  <c r="F80" i="21"/>
  <c r="L9" i="7"/>
  <c r="L10" i="7"/>
  <c r="L11" i="7"/>
  <c r="L12" i="7"/>
  <c r="L13" i="7"/>
  <c r="L14" i="7"/>
  <c r="L15" i="7"/>
  <c r="L16" i="7"/>
  <c r="L17" i="7"/>
  <c r="L18" i="7"/>
  <c r="L19" i="7"/>
  <c r="L20" i="7"/>
  <c r="L21" i="7"/>
  <c r="L22" i="7"/>
  <c r="L23" i="7"/>
  <c r="L24" i="7"/>
  <c r="L25" i="7"/>
  <c r="L27" i="7"/>
  <c r="L28" i="7"/>
  <c r="L29" i="7"/>
  <c r="L30" i="7"/>
  <c r="L31" i="7"/>
  <c r="L32" i="7"/>
  <c r="L33" i="7"/>
  <c r="L34" i="7"/>
  <c r="L36" i="7"/>
  <c r="L37" i="7"/>
  <c r="L38" i="7"/>
  <c r="L39" i="7"/>
  <c r="L40" i="7"/>
  <c r="L41" i="7"/>
  <c r="L42" i="7"/>
  <c r="L44" i="7"/>
  <c r="L43" i="7" s="1"/>
  <c r="L45" i="7"/>
  <c r="L46" i="7"/>
  <c r="L47" i="7"/>
  <c r="L48" i="7"/>
  <c r="L49" i="7"/>
  <c r="L50" i="7"/>
  <c r="L53" i="7"/>
  <c r="L54" i="7"/>
  <c r="L55" i="7"/>
  <c r="L56" i="7"/>
  <c r="L57" i="7"/>
  <c r="L58" i="7"/>
  <c r="L59" i="7"/>
  <c r="L60" i="7"/>
  <c r="L61" i="7"/>
  <c r="L62" i="7"/>
  <c r="L25" i="2" s="1"/>
  <c r="N25" i="2" s="1"/>
  <c r="L63" i="7"/>
  <c r="L64" i="7"/>
  <c r="L66" i="7"/>
  <c r="G9" i="7"/>
  <c r="G10" i="7"/>
  <c r="G11" i="7"/>
  <c r="G12" i="7"/>
  <c r="G13" i="7"/>
  <c r="G14" i="7"/>
  <c r="G15" i="7"/>
  <c r="G16" i="7"/>
  <c r="G17" i="7"/>
  <c r="G18" i="7"/>
  <c r="G19" i="7"/>
  <c r="G20" i="7"/>
  <c r="G21" i="7"/>
  <c r="G22" i="7"/>
  <c r="G24" i="7"/>
  <c r="G25" i="7"/>
  <c r="G26" i="7"/>
  <c r="G27" i="7"/>
  <c r="G28" i="7"/>
  <c r="G29" i="7"/>
  <c r="G30" i="7"/>
  <c r="G31" i="7"/>
  <c r="G32" i="7"/>
  <c r="G33" i="7"/>
  <c r="G34" i="7"/>
  <c r="G36" i="7"/>
  <c r="G37" i="7"/>
  <c r="G38" i="7"/>
  <c r="G39" i="7"/>
  <c r="G40" i="7"/>
  <c r="G41" i="7"/>
  <c r="G42" i="7"/>
  <c r="G43" i="7"/>
  <c r="G44" i="7"/>
  <c r="G45" i="7"/>
  <c r="G46" i="7"/>
  <c r="G48" i="7"/>
  <c r="G49" i="7"/>
  <c r="G51" i="7"/>
  <c r="G52" i="7"/>
  <c r="G53" i="7"/>
  <c r="G54" i="7"/>
  <c r="G55" i="7"/>
  <c r="G56" i="7"/>
  <c r="G57" i="7"/>
  <c r="G58" i="7"/>
  <c r="G59" i="7"/>
  <c r="G60" i="7"/>
  <c r="G61" i="7"/>
  <c r="G62" i="7"/>
  <c r="G63" i="7"/>
  <c r="G64" i="7"/>
  <c r="G65" i="7"/>
  <c r="G66" i="7"/>
  <c r="AC36" i="2" l="1"/>
  <c r="Y36" i="2"/>
  <c r="U36" i="2"/>
  <c r="W14" i="2"/>
  <c r="S14" i="2"/>
  <c r="F23" i="8"/>
  <c r="AD24" i="2"/>
  <c r="Z24" i="2"/>
  <c r="V24" i="2"/>
  <c r="R24" i="2"/>
  <c r="F9" i="21"/>
  <c r="F42" i="8"/>
  <c r="G47" i="7"/>
  <c r="F76" i="21"/>
  <c r="F60" i="8"/>
  <c r="AA14" i="2"/>
  <c r="F14" i="21"/>
  <c r="Z29" i="2"/>
  <c r="R29" i="2"/>
  <c r="F34" i="8"/>
  <c r="AB36" i="2"/>
  <c r="T36" i="2"/>
  <c r="Y29" i="2"/>
  <c r="Z19" i="2"/>
  <c r="R19" i="2"/>
  <c r="Y19" i="2"/>
  <c r="L65" i="7"/>
  <c r="L67" i="7" s="1"/>
  <c r="F55" i="8"/>
  <c r="AA36" i="2"/>
  <c r="W36" i="2"/>
  <c r="S36" i="2"/>
  <c r="AC24" i="2"/>
  <c r="Y24" i="2"/>
  <c r="U24" i="2"/>
  <c r="AB24" i="2"/>
  <c r="X24" i="2"/>
  <c r="T24" i="2"/>
  <c r="AB19" i="2"/>
  <c r="X19" i="2"/>
  <c r="T19" i="2"/>
  <c r="AD14" i="2"/>
  <c r="Z14" i="2"/>
  <c r="V14" i="2"/>
  <c r="R14" i="2"/>
  <c r="AB14" i="2"/>
  <c r="X14" i="2"/>
  <c r="T14" i="2"/>
  <c r="L51" i="7"/>
  <c r="F48" i="8"/>
  <c r="AD29" i="2"/>
  <c r="V29" i="2"/>
  <c r="G50" i="7"/>
  <c r="G67" i="7" s="1"/>
  <c r="G23" i="7"/>
  <c r="G35" i="7" s="1"/>
  <c r="X36" i="2"/>
  <c r="AC29" i="2"/>
  <c r="U29" i="2"/>
  <c r="AD19" i="2"/>
  <c r="V19" i="2"/>
  <c r="AC19" i="2"/>
  <c r="U19" i="2"/>
  <c r="L26" i="7"/>
  <c r="L35" i="7" s="1"/>
  <c r="F60" i="21"/>
  <c r="F54" i="21"/>
  <c r="F40" i="21"/>
  <c r="F43" i="21" s="1"/>
  <c r="F45" i="21" s="1"/>
  <c r="AD36" i="2"/>
  <c r="Z36" i="2"/>
  <c r="V36" i="2"/>
  <c r="R36" i="2"/>
  <c r="AB29" i="2"/>
  <c r="X29" i="2"/>
  <c r="T29" i="2"/>
  <c r="AA29" i="2"/>
  <c r="W29" i="2"/>
  <c r="S29" i="2"/>
  <c r="AA24" i="2"/>
  <c r="W24" i="2"/>
  <c r="S24" i="2"/>
  <c r="AA19" i="2"/>
  <c r="W19" i="2"/>
  <c r="S19" i="2"/>
  <c r="AC14" i="2"/>
  <c r="Y14" i="2"/>
  <c r="U14" i="2"/>
  <c r="AC15" i="2"/>
  <c r="F35" i="8" l="1"/>
  <c r="L52" i="7"/>
  <c r="L68" i="7" s="1"/>
  <c r="F49" i="8"/>
  <c r="F61" i="8"/>
  <c r="Y15" i="2"/>
  <c r="T15" i="2"/>
  <c r="T40" i="2" s="1"/>
  <c r="AA15" i="2"/>
  <c r="AA40" i="2" s="1"/>
  <c r="F53" i="21"/>
  <c r="F52" i="21" s="1"/>
  <c r="F74" i="21" s="1"/>
  <c r="Y40" i="2"/>
  <c r="AC40" i="2"/>
  <c r="S15" i="2"/>
  <c r="S40" i="2" s="1"/>
  <c r="W15" i="2"/>
  <c r="W40" i="2" s="1"/>
  <c r="U15" i="2"/>
  <c r="U40" i="2" s="1"/>
  <c r="F47" i="21"/>
  <c r="F50" i="21"/>
  <c r="R15" i="2"/>
  <c r="R40" i="2" s="1"/>
  <c r="V15" i="2"/>
  <c r="V40" i="2" s="1"/>
  <c r="AD15" i="2"/>
  <c r="AD40" i="2" s="1"/>
  <c r="Z15" i="2"/>
  <c r="Z40" i="2" s="1"/>
  <c r="G68" i="7"/>
  <c r="H9" i="2" l="1"/>
  <c r="D9" i="2"/>
  <c r="F63" i="8"/>
  <c r="F75" i="21"/>
  <c r="E47" i="21"/>
  <c r="E93" i="21"/>
  <c r="E25" i="21"/>
  <c r="E10" i="21"/>
  <c r="E15" i="21"/>
  <c r="A6" i="81"/>
  <c r="B5" i="81"/>
  <c r="A5" i="81"/>
  <c r="B3" i="81"/>
  <c r="A2" i="81"/>
  <c r="K4" i="81" s="1"/>
  <c r="D1" i="81"/>
  <c r="A6" i="80"/>
  <c r="B5" i="80"/>
  <c r="A5" i="80"/>
  <c r="K5" i="80" s="1"/>
  <c r="B3" i="80"/>
  <c r="A2" i="80"/>
  <c r="D1" i="80"/>
  <c r="K4" i="80" s="1"/>
  <c r="A6" i="79"/>
  <c r="B5" i="79"/>
  <c r="A5" i="79"/>
  <c r="B3" i="79"/>
  <c r="A2" i="79"/>
  <c r="D1" i="79"/>
  <c r="A6" i="78"/>
  <c r="B5" i="78"/>
  <c r="A5" i="78"/>
  <c r="H5" i="78" s="1"/>
  <c r="B3" i="78"/>
  <c r="A2" i="78"/>
  <c r="H4" i="78" s="1"/>
  <c r="D1" i="78"/>
  <c r="A6" i="77"/>
  <c r="B5" i="77"/>
  <c r="A5" i="77"/>
  <c r="B3" i="77"/>
  <c r="A2" i="77"/>
  <c r="D1" i="77"/>
  <c r="P4" i="77" s="1"/>
  <c r="A6" i="76"/>
  <c r="B5" i="76"/>
  <c r="A5" i="76"/>
  <c r="J5" i="76" s="1"/>
  <c r="B3" i="76"/>
  <c r="A2" i="76"/>
  <c r="J4" i="76" s="1"/>
  <c r="D1" i="76"/>
  <c r="K5" i="81"/>
  <c r="K3" i="81"/>
  <c r="K3" i="80"/>
  <c r="H5" i="79"/>
  <c r="H4" i="79"/>
  <c r="H3" i="79"/>
  <c r="H3" i="78"/>
  <c r="M30" i="77"/>
  <c r="L30" i="77"/>
  <c r="K30" i="77"/>
  <c r="J30" i="77"/>
  <c r="I30" i="77"/>
  <c r="H30" i="77"/>
  <c r="G30" i="77"/>
  <c r="F30" i="77"/>
  <c r="N30" i="77" s="1"/>
  <c r="N29" i="77"/>
  <c r="N28" i="77"/>
  <c r="N27" i="77"/>
  <c r="N26" i="77"/>
  <c r="N25" i="77"/>
  <c r="J23" i="77"/>
  <c r="J31" i="77" s="1"/>
  <c r="F23" i="77"/>
  <c r="F31" i="77" s="1"/>
  <c r="M22" i="77"/>
  <c r="L22" i="77"/>
  <c r="L23" i="77" s="1"/>
  <c r="L31" i="77" s="1"/>
  <c r="K22" i="77"/>
  <c r="K23" i="77" s="1"/>
  <c r="K31" i="77" s="1"/>
  <c r="J22" i="77"/>
  <c r="I22" i="77"/>
  <c r="H22" i="77"/>
  <c r="H23" i="77" s="1"/>
  <c r="H31" i="77" s="1"/>
  <c r="G22" i="77"/>
  <c r="G23" i="77" s="1"/>
  <c r="G31" i="77" s="1"/>
  <c r="F22" i="77"/>
  <c r="N22" i="77" s="1"/>
  <c r="N21" i="77"/>
  <c r="N20" i="77"/>
  <c r="N19" i="77"/>
  <c r="N18" i="77"/>
  <c r="N17" i="77"/>
  <c r="M15" i="77"/>
  <c r="M23" i="77" s="1"/>
  <c r="M31" i="77" s="1"/>
  <c r="L15" i="77"/>
  <c r="K15" i="77"/>
  <c r="J15" i="77"/>
  <c r="I15" i="77"/>
  <c r="I23" i="77" s="1"/>
  <c r="I31" i="77" s="1"/>
  <c r="H15" i="77"/>
  <c r="G15" i="77"/>
  <c r="F15" i="77"/>
  <c r="N15" i="77" s="1"/>
  <c r="N14" i="77"/>
  <c r="N13" i="77"/>
  <c r="N12" i="77"/>
  <c r="N11" i="77"/>
  <c r="N10" i="77"/>
  <c r="P5" i="77"/>
  <c r="P3" i="77"/>
  <c r="J3" i="76"/>
  <c r="C5" i="71"/>
  <c r="C19" i="73"/>
  <c r="C31" i="69"/>
  <c r="C50" i="21"/>
  <c r="C37" i="2"/>
  <c r="C31" i="71"/>
  <c r="B30" i="12"/>
  <c r="B31" i="12"/>
  <c r="B32" i="12"/>
  <c r="B33" i="12"/>
  <c r="B34" i="12"/>
  <c r="B35" i="12"/>
  <c r="B36" i="12"/>
  <c r="B37" i="12"/>
  <c r="B21" i="12"/>
  <c r="B22" i="12"/>
  <c r="B23" i="12"/>
  <c r="B24" i="12"/>
  <c r="B25" i="12"/>
  <c r="B26" i="12"/>
  <c r="B27" i="12"/>
  <c r="B28" i="12"/>
  <c r="B29" i="12"/>
  <c r="B11" i="12"/>
  <c r="B12" i="12"/>
  <c r="B13" i="12"/>
  <c r="B14" i="12"/>
  <c r="B15" i="12"/>
  <c r="B16" i="12"/>
  <c r="B17" i="12"/>
  <c r="B18" i="12"/>
  <c r="B19" i="12"/>
  <c r="B20" i="12"/>
  <c r="B35" i="11"/>
  <c r="B36" i="11"/>
  <c r="B37" i="11"/>
  <c r="B27" i="11"/>
  <c r="B28" i="11"/>
  <c r="B29" i="11"/>
  <c r="B30" i="11"/>
  <c r="B31" i="11"/>
  <c r="B32" i="11"/>
  <c r="B33" i="11"/>
  <c r="B34" i="11"/>
  <c r="B20" i="11"/>
  <c r="B21" i="11"/>
  <c r="B22" i="11"/>
  <c r="B23" i="11"/>
  <c r="B24" i="11"/>
  <c r="B25" i="11"/>
  <c r="B26" i="11"/>
  <c r="B11" i="11"/>
  <c r="B12" i="11"/>
  <c r="B13" i="11"/>
  <c r="B14" i="11"/>
  <c r="B15" i="11"/>
  <c r="B16" i="11"/>
  <c r="B17" i="11"/>
  <c r="B18" i="11"/>
  <c r="B19" i="11"/>
  <c r="B32" i="13"/>
  <c r="B33" i="13"/>
  <c r="B34" i="13"/>
  <c r="B35" i="13"/>
  <c r="B36" i="13"/>
  <c r="B37" i="13"/>
  <c r="B22" i="13"/>
  <c r="B23" i="13"/>
  <c r="B24" i="13"/>
  <c r="B25" i="13"/>
  <c r="B26" i="13"/>
  <c r="B27" i="13"/>
  <c r="B28" i="13"/>
  <c r="B29" i="13"/>
  <c r="B30" i="13"/>
  <c r="B31" i="13"/>
  <c r="B11" i="13"/>
  <c r="B12" i="13"/>
  <c r="B13" i="13"/>
  <c r="B14" i="13"/>
  <c r="B15" i="13"/>
  <c r="B16" i="13"/>
  <c r="B17" i="13"/>
  <c r="B18" i="13"/>
  <c r="B19" i="13"/>
  <c r="B20" i="13"/>
  <c r="B21" i="13"/>
  <c r="B32" i="6"/>
  <c r="B39" i="6"/>
  <c r="B31" i="6"/>
  <c r="B13" i="6"/>
  <c r="B14" i="6"/>
  <c r="B17" i="6"/>
  <c r="L12" i="18"/>
  <c r="K12" i="18"/>
  <c r="G2074" i="18"/>
  <c r="G2073" i="18"/>
  <c r="G2132" i="18"/>
  <c r="G2131" i="18"/>
  <c r="I2070" i="18"/>
  <c r="K2063" i="18" s="1"/>
  <c r="F65" i="8" l="1"/>
  <c r="N23" i="77"/>
  <c r="N31" i="77" s="1"/>
  <c r="I2074" i="18"/>
  <c r="P851" i="18"/>
  <c r="Q856" i="18"/>
  <c r="R851" i="18"/>
  <c r="G828" i="18"/>
  <c r="G827" i="18"/>
  <c r="G806" i="18"/>
  <c r="G805" i="18"/>
  <c r="G757" i="18"/>
  <c r="G756" i="18"/>
  <c r="G735" i="18"/>
  <c r="G734" i="18"/>
  <c r="J846" i="18"/>
  <c r="J824" i="18"/>
  <c r="J828" i="18" s="1"/>
  <c r="J802" i="18"/>
  <c r="J806" i="18" s="1"/>
  <c r="J775" i="18"/>
  <c r="K762" i="18" s="1"/>
  <c r="J753" i="18"/>
  <c r="K740" i="18" s="1"/>
  <c r="J731" i="18"/>
  <c r="K721" i="18" s="1"/>
  <c r="H833" i="18"/>
  <c r="H811" i="18"/>
  <c r="H792" i="18"/>
  <c r="K833" i="18"/>
  <c r="D838" i="18"/>
  <c r="D839" i="18"/>
  <c r="D840" i="18"/>
  <c r="D841" i="18"/>
  <c r="D842" i="18"/>
  <c r="D843" i="18"/>
  <c r="D844" i="18"/>
  <c r="D845" i="18"/>
  <c r="D846" i="18"/>
  <c r="D833" i="18"/>
  <c r="G833" i="18" s="1"/>
  <c r="K811" i="18"/>
  <c r="D816" i="18"/>
  <c r="D817" i="18"/>
  <c r="D818" i="18"/>
  <c r="D819" i="18"/>
  <c r="D820" i="18"/>
  <c r="D821" i="18"/>
  <c r="D822" i="18"/>
  <c r="D823" i="18"/>
  <c r="D824" i="18"/>
  <c r="D811" i="18"/>
  <c r="G811" i="18" s="1"/>
  <c r="K792" i="18"/>
  <c r="D797" i="18"/>
  <c r="D798" i="18"/>
  <c r="D799" i="18"/>
  <c r="D800" i="18"/>
  <c r="D801" i="18"/>
  <c r="D802" i="18"/>
  <c r="D792" i="18"/>
  <c r="G792" i="18" s="1"/>
  <c r="D782" i="18"/>
  <c r="D783" i="18"/>
  <c r="D784" i="18"/>
  <c r="D785" i="18"/>
  <c r="D786" i="18"/>
  <c r="D787" i="18"/>
  <c r="D788" i="18"/>
  <c r="D789" i="18"/>
  <c r="D790" i="18"/>
  <c r="J786" i="18"/>
  <c r="J782" i="18"/>
  <c r="H777" i="18"/>
  <c r="L827" i="18" s="1"/>
  <c r="D777" i="18"/>
  <c r="G777" i="18" s="1"/>
  <c r="H804" i="18" s="1"/>
  <c r="L4973" i="18"/>
  <c r="M4969" i="18"/>
  <c r="K4969" i="18"/>
  <c r="G4803" i="18"/>
  <c r="G4801" i="18"/>
  <c r="G4802" i="18"/>
  <c r="K4639" i="18"/>
  <c r="L4654" i="18"/>
  <c r="M4654" i="18"/>
  <c r="N4639" i="18"/>
  <c r="G4285" i="18"/>
  <c r="G4284" i="18"/>
  <c r="G4135" i="18"/>
  <c r="G4134" i="18"/>
  <c r="M3933" i="18"/>
  <c r="L3933" i="18"/>
  <c r="K3933" i="18"/>
  <c r="G3855" i="18"/>
  <c r="G3854" i="18"/>
  <c r="J757" i="18" l="1"/>
  <c r="J735" i="18"/>
  <c r="R854" i="18"/>
  <c r="L805" i="18"/>
  <c r="H826" i="18"/>
  <c r="J790" i="18"/>
  <c r="K777" i="18" s="1"/>
  <c r="M3766" i="18"/>
  <c r="L3766" i="18"/>
  <c r="K3766" i="18"/>
  <c r="G3680" i="18"/>
  <c r="G3679" i="18"/>
  <c r="G3656" i="18"/>
  <c r="G3655" i="18"/>
  <c r="G3557" i="18"/>
  <c r="G3556" i="18"/>
  <c r="G3470" i="18"/>
  <c r="G3469" i="18"/>
  <c r="G2892" i="18" l="1"/>
  <c r="G2891" i="18"/>
  <c r="M2823" i="18"/>
  <c r="L2823" i="18"/>
  <c r="K2823" i="18"/>
  <c r="M2641" i="18"/>
  <c r="L2641" i="18"/>
  <c r="K2641" i="18"/>
  <c r="G2426" i="18"/>
  <c r="G2425" i="18"/>
  <c r="G2458" i="18"/>
  <c r="G2457" i="18"/>
  <c r="G2344" i="18" l="1"/>
  <c r="G2343" i="18"/>
  <c r="G2310" i="18"/>
  <c r="G2309" i="18"/>
  <c r="G2288" i="18"/>
  <c r="G2287" i="18"/>
  <c r="N2220" i="18"/>
  <c r="M2220" i="18"/>
  <c r="L2220" i="18"/>
  <c r="O2220" i="18"/>
  <c r="G2229" i="18"/>
  <c r="G2228" i="18"/>
  <c r="L2065" i="18"/>
  <c r="M2065" i="18"/>
  <c r="N1855" i="18"/>
  <c r="M1855" i="18"/>
  <c r="L1855" i="18"/>
  <c r="O1855" i="18"/>
  <c r="G1922" i="18"/>
  <c r="G1921" i="18"/>
  <c r="G1864" i="18"/>
  <c r="G1863" i="18"/>
  <c r="M1792" i="18"/>
  <c r="L1792" i="18"/>
  <c r="K1792" i="18"/>
  <c r="G1711" i="18"/>
  <c r="G1710" i="18"/>
  <c r="G1694" i="18"/>
  <c r="G1693" i="18"/>
  <c r="G1677" i="18"/>
  <c r="G1676" i="18"/>
  <c r="G1008" i="18"/>
  <c r="G1007" i="18"/>
  <c r="G1444" i="18"/>
  <c r="G1443" i="18"/>
  <c r="G1423" i="18"/>
  <c r="G1422" i="18"/>
  <c r="G1404" i="18"/>
  <c r="G1403" i="18"/>
  <c r="G1382" i="18"/>
  <c r="G1381" i="18"/>
  <c r="G1343" i="18"/>
  <c r="G1342" i="18"/>
  <c r="G1272" i="18"/>
  <c r="G1271" i="18"/>
  <c r="G1250" i="18"/>
  <c r="G1249" i="18"/>
  <c r="G1184" i="18"/>
  <c r="G1183" i="18"/>
  <c r="G1162" i="18"/>
  <c r="G1161" i="18"/>
  <c r="G1096" i="18"/>
  <c r="G1095" i="18"/>
  <c r="G1074" i="18" l="1"/>
  <c r="G1073" i="18"/>
  <c r="N1029" i="18"/>
  <c r="M1029" i="18"/>
  <c r="L1029" i="18"/>
  <c r="M1482" i="18"/>
  <c r="L1482" i="18"/>
  <c r="K1482" i="18"/>
  <c r="I1482" i="18"/>
  <c r="H1482" i="18"/>
  <c r="H1486" i="18" s="1"/>
  <c r="G1486" i="18"/>
  <c r="G1485" i="18"/>
  <c r="G1321" i="18"/>
  <c r="G1320" i="18"/>
  <c r="G1038" i="18"/>
  <c r="G1037" i="18"/>
  <c r="L936" i="18"/>
  <c r="K936" i="18"/>
  <c r="G554" i="18"/>
  <c r="G553" i="18"/>
  <c r="G530" i="18"/>
  <c r="G529" i="18"/>
  <c r="G463" i="18"/>
  <c r="G462" i="18"/>
  <c r="G596" i="18"/>
  <c r="G595" i="18"/>
  <c r="G443" i="18"/>
  <c r="G442" i="18"/>
  <c r="G395" i="18"/>
  <c r="G394" i="18"/>
  <c r="G373" i="18"/>
  <c r="G372" i="18"/>
  <c r="G351" i="18"/>
  <c r="G350" i="18"/>
  <c r="H4740" i="18" l="1"/>
  <c r="H4321" i="18"/>
  <c r="H2543" i="18"/>
  <c r="H2530" i="18"/>
  <c r="H20" i="18"/>
  <c r="H236" i="18"/>
  <c r="G5249" i="18"/>
  <c r="G5248" i="18"/>
  <c r="G5247" i="18"/>
  <c r="D5225" i="18"/>
  <c r="D5230" i="18"/>
  <c r="D5235" i="18"/>
  <c r="D5240" i="18"/>
  <c r="D5245" i="18"/>
  <c r="D5250" i="18"/>
  <c r="D5255" i="18"/>
  <c r="D5260" i="18"/>
  <c r="D5265" i="18"/>
  <c r="D5270" i="18"/>
  <c r="D5275" i="18"/>
  <c r="D5280" i="18"/>
  <c r="D5281" i="18"/>
  <c r="D5282" i="18"/>
  <c r="D4743" i="18"/>
  <c r="D4744" i="18"/>
  <c r="D4745" i="18"/>
  <c r="D4746" i="18"/>
  <c r="D4747" i="18"/>
  <c r="D4748" i="18"/>
  <c r="D4749" i="18"/>
  <c r="D4750" i="18"/>
  <c r="D4751" i="18"/>
  <c r="D4740" i="18"/>
  <c r="G4740" i="18" s="1"/>
  <c r="C72" i="8"/>
  <c r="C52" i="74"/>
  <c r="C69" i="70"/>
  <c r="G5110" i="18"/>
  <c r="H5510" i="18"/>
  <c r="K5554" i="18"/>
  <c r="K5553" i="18"/>
  <c r="K5551" i="18"/>
  <c r="K5550" i="18"/>
  <c r="K5542" i="18"/>
  <c r="K5543" i="18"/>
  <c r="K5544" i="18"/>
  <c r="K5545" i="18"/>
  <c r="K5546" i="18"/>
  <c r="K5547" i="18"/>
  <c r="K5535" i="18"/>
  <c r="K5537" i="18"/>
  <c r="K5538" i="18"/>
  <c r="K5539" i="18"/>
  <c r="K5527" i="18"/>
  <c r="K5528" i="18"/>
  <c r="K5529" i="18"/>
  <c r="K5530" i="18"/>
  <c r="K5532" i="18"/>
  <c r="K5533" i="18"/>
  <c r="K5534" i="18"/>
  <c r="K5518" i="18"/>
  <c r="K5519" i="18"/>
  <c r="K5520" i="18"/>
  <c r="K5521" i="18"/>
  <c r="K5523" i="18"/>
  <c r="K5524" i="18"/>
  <c r="K5525" i="18"/>
  <c r="I5517" i="18"/>
  <c r="J5517" i="18"/>
  <c r="I5522" i="18"/>
  <c r="J5522" i="18"/>
  <c r="I5526" i="18"/>
  <c r="J5526" i="18"/>
  <c r="I5531" i="18"/>
  <c r="J5531" i="18"/>
  <c r="I5536" i="18"/>
  <c r="J5536" i="18"/>
  <c r="I5541" i="18"/>
  <c r="I5548" i="18" s="1"/>
  <c r="J5541" i="18"/>
  <c r="J5548" i="18" s="1"/>
  <c r="I5552" i="18"/>
  <c r="J5552" i="18"/>
  <c r="I5555" i="18"/>
  <c r="J5555" i="18"/>
  <c r="H5555" i="18"/>
  <c r="H5552" i="18"/>
  <c r="H5541" i="18"/>
  <c r="H5536" i="18"/>
  <c r="H5531" i="18"/>
  <c r="H5526" i="18"/>
  <c r="H5522" i="18"/>
  <c r="H5517" i="18"/>
  <c r="D5515" i="18"/>
  <c r="D5516" i="18"/>
  <c r="D5517" i="18"/>
  <c r="D5518" i="18"/>
  <c r="D5519" i="18"/>
  <c r="D5520" i="18"/>
  <c r="D5521" i="18"/>
  <c r="D5522" i="18"/>
  <c r="D5523" i="18"/>
  <c r="D5524" i="18"/>
  <c r="D5525" i="18"/>
  <c r="D5526" i="18"/>
  <c r="D5527" i="18"/>
  <c r="D5528" i="18"/>
  <c r="D5529" i="18"/>
  <c r="D5530" i="18"/>
  <c r="D5531" i="18"/>
  <c r="D5532" i="18"/>
  <c r="D5533" i="18"/>
  <c r="D5534" i="18"/>
  <c r="D5535" i="18"/>
  <c r="D5536" i="18"/>
  <c r="D5537" i="18"/>
  <c r="D5538" i="18"/>
  <c r="D5539" i="18"/>
  <c r="D5540" i="18"/>
  <c r="D5541" i="18"/>
  <c r="D5542" i="18"/>
  <c r="D5543" i="18"/>
  <c r="D5544" i="18"/>
  <c r="D5545" i="18"/>
  <c r="D5546" i="18"/>
  <c r="D5547" i="18"/>
  <c r="D5548" i="18"/>
  <c r="D5549" i="18"/>
  <c r="D5550" i="18"/>
  <c r="D5551" i="18"/>
  <c r="D5552" i="18"/>
  <c r="D5553" i="18"/>
  <c r="D5554" i="18"/>
  <c r="D5555" i="18"/>
  <c r="D5556" i="18"/>
  <c r="D5469" i="18"/>
  <c r="D5470" i="18"/>
  <c r="D5471" i="18"/>
  <c r="D5472" i="18"/>
  <c r="D5473" i="18"/>
  <c r="D5474" i="18"/>
  <c r="D5475" i="18"/>
  <c r="D5476" i="18"/>
  <c r="D5477" i="18"/>
  <c r="D5478" i="18"/>
  <c r="D5479" i="18"/>
  <c r="D5480" i="18"/>
  <c r="D5481" i="18"/>
  <c r="D5482" i="18"/>
  <c r="D5483" i="18"/>
  <c r="D5484" i="18"/>
  <c r="D5485" i="18"/>
  <c r="D5486" i="18"/>
  <c r="D5487" i="18"/>
  <c r="D5488" i="18"/>
  <c r="D5489" i="18"/>
  <c r="D5490" i="18"/>
  <c r="D5491" i="18"/>
  <c r="D5492" i="18"/>
  <c r="D5493" i="18"/>
  <c r="D5494" i="18"/>
  <c r="D5495" i="18"/>
  <c r="D5496" i="18"/>
  <c r="D5497" i="18"/>
  <c r="D5498" i="18"/>
  <c r="D5499" i="18"/>
  <c r="D5500" i="18"/>
  <c r="D5501" i="18"/>
  <c r="D5502" i="18"/>
  <c r="D5503" i="18"/>
  <c r="D5504" i="18"/>
  <c r="D5505" i="18"/>
  <c r="D5506" i="18"/>
  <c r="D5507" i="18"/>
  <c r="D5508" i="18"/>
  <c r="K5496" i="18"/>
  <c r="K5486" i="18"/>
  <c r="K5478" i="18"/>
  <c r="K5474" i="18"/>
  <c r="N5510" i="18"/>
  <c r="K5510" i="18"/>
  <c r="D5510" i="18"/>
  <c r="G5510" i="18" s="1"/>
  <c r="H5516" i="18" l="1"/>
  <c r="K5531" i="18"/>
  <c r="K5555" i="18"/>
  <c r="K5552" i="18"/>
  <c r="J5516" i="18"/>
  <c r="J5540" i="18" s="1"/>
  <c r="K5536" i="18"/>
  <c r="K5517" i="18"/>
  <c r="K5526" i="18"/>
  <c r="H5540" i="18"/>
  <c r="K5541" i="18"/>
  <c r="H5548" i="18"/>
  <c r="K5548" i="18" s="1"/>
  <c r="I5516" i="18"/>
  <c r="I5540" i="18" s="1"/>
  <c r="K5522" i="18"/>
  <c r="K5540" i="18" l="1"/>
  <c r="K5516" i="18"/>
  <c r="I5840" i="18" l="1"/>
  <c r="I5842" i="18" s="1"/>
  <c r="I4762" i="18"/>
  <c r="I4759" i="18"/>
  <c r="H4762" i="18"/>
  <c r="H4759" i="18"/>
  <c r="D4978" i="18"/>
  <c r="D4979" i="18"/>
  <c r="D4980" i="18"/>
  <c r="D4981" i="18"/>
  <c r="D4982" i="18"/>
  <c r="D4983" i="18"/>
  <c r="D4984" i="18"/>
  <c r="D4985" i="18"/>
  <c r="D4986" i="18"/>
  <c r="D4987" i="18"/>
  <c r="D4988" i="18"/>
  <c r="D4989" i="18"/>
  <c r="D4990" i="18"/>
  <c r="D4991" i="18"/>
  <c r="Q4388" i="18"/>
  <c r="Q4389" i="18"/>
  <c r="Q4390" i="18"/>
  <c r="Q4391" i="18"/>
  <c r="Q4392" i="18"/>
  <c r="Q4393" i="18"/>
  <c r="Q4377" i="18"/>
  <c r="Q4378" i="18"/>
  <c r="Q4379" i="18"/>
  <c r="Q4380" i="18"/>
  <c r="Q4381" i="18"/>
  <c r="Q4382" i="18"/>
  <c r="Q4384" i="18"/>
  <c r="Q4385" i="18"/>
  <c r="Q4386" i="18"/>
  <c r="Q4387" i="18"/>
  <c r="P4393" i="18"/>
  <c r="P4392" i="18"/>
  <c r="P4391" i="18"/>
  <c r="P4390" i="18"/>
  <c r="P4387" i="18"/>
  <c r="P4386" i="18"/>
  <c r="P4385" i="18"/>
  <c r="P4384" i="18"/>
  <c r="P4382" i="18"/>
  <c r="P4381" i="18"/>
  <c r="P4380" i="18"/>
  <c r="P4379" i="18"/>
  <c r="P4378" i="18"/>
  <c r="P4377" i="18"/>
  <c r="M4277" i="18"/>
  <c r="M4278" i="18"/>
  <c r="M4279" i="18"/>
  <c r="M4280" i="18"/>
  <c r="M4276" i="18"/>
  <c r="D3767" i="18"/>
  <c r="D3768" i="18"/>
  <c r="D3769" i="18"/>
  <c r="D3770" i="18"/>
  <c r="D3771" i="18"/>
  <c r="J3671" i="18"/>
  <c r="I3671" i="18"/>
  <c r="H3671" i="18"/>
  <c r="J3670" i="18"/>
  <c r="I3670" i="18"/>
  <c r="H3670" i="18"/>
  <c r="D3664" i="18"/>
  <c r="D3665" i="18"/>
  <c r="D3666" i="18"/>
  <c r="D3667" i="18"/>
  <c r="D3668" i="18"/>
  <c r="D3669" i="18"/>
  <c r="D3670" i="18"/>
  <c r="D3671" i="18"/>
  <c r="D3672" i="18"/>
  <c r="D3673" i="18"/>
  <c r="D3674" i="18"/>
  <c r="D3675" i="18"/>
  <c r="D3676" i="18"/>
  <c r="K3674" i="18"/>
  <c r="D2824" i="18"/>
  <c r="D2825" i="18"/>
  <c r="D2826" i="18"/>
  <c r="D2827" i="18"/>
  <c r="D2642" i="18"/>
  <c r="D2643" i="18"/>
  <c r="D2644" i="18"/>
  <c r="D2645" i="18"/>
  <c r="Q2493" i="18"/>
  <c r="Q2492" i="18"/>
  <c r="Q2490" i="18"/>
  <c r="Q2489" i="18"/>
  <c r="Q2488" i="18"/>
  <c r="Q2487" i="18"/>
  <c r="Q2486" i="18"/>
  <c r="Q2485" i="18"/>
  <c r="Q2484" i="18"/>
  <c r="Q2483" i="18"/>
  <c r="Q2482" i="18"/>
  <c r="Q2481" i="18"/>
  <c r="Q2480" i="18"/>
  <c r="Q2478" i="18"/>
  <c r="Q2477" i="18"/>
  <c r="Q2476" i="18"/>
  <c r="Q2475" i="18"/>
  <c r="Q2474" i="18"/>
  <c r="Q2473" i="18"/>
  <c r="Q2472" i="18"/>
  <c r="Q2471" i="18"/>
  <c r="Q2470" i="18"/>
  <c r="Q2469" i="18"/>
  <c r="J2045" i="18"/>
  <c r="M2045" i="18" s="1"/>
  <c r="J2036" i="18"/>
  <c r="M2036" i="18" s="1"/>
  <c r="J2037" i="18"/>
  <c r="M2037" i="18" s="1"/>
  <c r="J2038" i="18"/>
  <c r="M2038" i="18" s="1"/>
  <c r="J2039" i="18"/>
  <c r="M2039" i="18" s="1"/>
  <c r="J2040" i="18"/>
  <c r="M2040" i="18" s="1"/>
  <c r="J2041" i="18"/>
  <c r="M2041" i="18" s="1"/>
  <c r="J2042" i="18"/>
  <c r="M2042" i="18" s="1"/>
  <c r="J2043" i="18"/>
  <c r="M2043" i="18" s="1"/>
  <c r="J2035" i="18"/>
  <c r="M2035" i="18" s="1"/>
  <c r="J2267" i="18"/>
  <c r="H2267" i="18"/>
  <c r="J2263" i="18"/>
  <c r="H2263" i="18"/>
  <c r="J2254" i="18"/>
  <c r="H2254" i="18"/>
  <c r="J2250" i="18"/>
  <c r="H2250" i="18"/>
  <c r="J2241" i="18"/>
  <c r="H2241" i="18"/>
  <c r="J2237" i="18"/>
  <c r="H2237" i="18"/>
  <c r="J2112" i="18"/>
  <c r="J2108" i="18"/>
  <c r="J2099" i="18"/>
  <c r="J2095" i="18"/>
  <c r="J2086" i="18"/>
  <c r="J2082" i="18"/>
  <c r="J1226" i="18"/>
  <c r="H1226" i="18"/>
  <c r="J1222" i="18"/>
  <c r="H1222" i="18"/>
  <c r="J1138" i="18"/>
  <c r="H1138" i="18"/>
  <c r="J1134" i="18"/>
  <c r="H1134" i="18"/>
  <c r="J715" i="18"/>
  <c r="J711" i="18"/>
  <c r="J343" i="18"/>
  <c r="J339" i="18"/>
  <c r="H339" i="18"/>
  <c r="J1902" i="18"/>
  <c r="J1898" i="18"/>
  <c r="H1902" i="18"/>
  <c r="H1898" i="18"/>
  <c r="J1889" i="18"/>
  <c r="J1885" i="18"/>
  <c r="H1889" i="18"/>
  <c r="H1885" i="18"/>
  <c r="J1876" i="18"/>
  <c r="J1872" i="18"/>
  <c r="H1876" i="18"/>
  <c r="H1872" i="18"/>
  <c r="L1953" i="18"/>
  <c r="K1953" i="18"/>
  <c r="J1953" i="18"/>
  <c r="I1953" i="18"/>
  <c r="H1953" i="18"/>
  <c r="D1433" i="18"/>
  <c r="D1434" i="18"/>
  <c r="D1435" i="18"/>
  <c r="D1436" i="18"/>
  <c r="D1437" i="18"/>
  <c r="D1438" i="18"/>
  <c r="D1439" i="18"/>
  <c r="D1440" i="18"/>
  <c r="D937" i="18"/>
  <c r="D938" i="18"/>
  <c r="D939" i="18"/>
  <c r="D940" i="18"/>
  <c r="D941" i="18"/>
  <c r="I249" i="18"/>
  <c r="N236" i="18" s="1"/>
  <c r="H249" i="18"/>
  <c r="K236" i="18" s="1"/>
  <c r="D241" i="18"/>
  <c r="D242" i="18"/>
  <c r="D243" i="18"/>
  <c r="D244" i="18"/>
  <c r="D245" i="18"/>
  <c r="D246" i="18"/>
  <c r="D247" i="18"/>
  <c r="D248" i="18"/>
  <c r="D249" i="18"/>
  <c r="D236" i="18"/>
  <c r="G236" i="18" s="1"/>
  <c r="J3676" i="18" l="1"/>
  <c r="J3626" i="18" s="1"/>
  <c r="J2090" i="18"/>
  <c r="K2079" i="18" s="1"/>
  <c r="J2116" i="18"/>
  <c r="K2105" i="18" s="1"/>
  <c r="J2103" i="18"/>
  <c r="K2092" i="18" s="1"/>
  <c r="J719" i="18"/>
  <c r="K706" i="18" s="1"/>
  <c r="I3676" i="18"/>
  <c r="I3626" i="18" s="1"/>
  <c r="H6251" i="18"/>
  <c r="H6222" i="18"/>
  <c r="H6195" i="18"/>
  <c r="H6173" i="18"/>
  <c r="H6164" i="18"/>
  <c r="H6155" i="18"/>
  <c r="H6146" i="18"/>
  <c r="H6135" i="18"/>
  <c r="H6126" i="18"/>
  <c r="H6116" i="18"/>
  <c r="H6102" i="18"/>
  <c r="H6093" i="18"/>
  <c r="H6084" i="18"/>
  <c r="H6073" i="18"/>
  <c r="H6064" i="18"/>
  <c r="H6041" i="18"/>
  <c r="H6029" i="18"/>
  <c r="H6017" i="18"/>
  <c r="H6006" i="18"/>
  <c r="H5985" i="18"/>
  <c r="H5966" i="18"/>
  <c r="H5955" i="18"/>
  <c r="H5944" i="18"/>
  <c r="H5933" i="18"/>
  <c r="H5922" i="18"/>
  <c r="H5911" i="18"/>
  <c r="H5900" i="18"/>
  <c r="H5889" i="18"/>
  <c r="H5878" i="18"/>
  <c r="H5866" i="18"/>
  <c r="H5856" i="18"/>
  <c r="H5805" i="18"/>
  <c r="H5182" i="18"/>
  <c r="H5018" i="18"/>
  <c r="H5008" i="18"/>
  <c r="H4994" i="18"/>
  <c r="H4845" i="18"/>
  <c r="H4769" i="18"/>
  <c r="H4718" i="18"/>
  <c r="H4687" i="18"/>
  <c r="H4656" i="18"/>
  <c r="H4626" i="18"/>
  <c r="H4616" i="18"/>
  <c r="H4601" i="18"/>
  <c r="H4586" i="18"/>
  <c r="H4478" i="18"/>
  <c r="H4453" i="18"/>
  <c r="H4301" i="18"/>
  <c r="H4161" i="18"/>
  <c r="H4140" i="18"/>
  <c r="H4100" i="18"/>
  <c r="H4044" i="18"/>
  <c r="H4034" i="18"/>
  <c r="H4024" i="18"/>
  <c r="H4014" i="18"/>
  <c r="H3961" i="18"/>
  <c r="H3951" i="18"/>
  <c r="H3941" i="18"/>
  <c r="H3900" i="18"/>
  <c r="H3890" i="18"/>
  <c r="H3880" i="18"/>
  <c r="H3870" i="18"/>
  <c r="H3843" i="18"/>
  <c r="H3750" i="18"/>
  <c r="H3717" i="18"/>
  <c r="H3685" i="18"/>
  <c r="H3602" i="18"/>
  <c r="H3592" i="18"/>
  <c r="H3582" i="18"/>
  <c r="H3545" i="18"/>
  <c r="H3515" i="18"/>
  <c r="H3505" i="18"/>
  <c r="H3495" i="18"/>
  <c r="H3485" i="18"/>
  <c r="H3458" i="18"/>
  <c r="H3374" i="18"/>
  <c r="H3353" i="18"/>
  <c r="H3343" i="18"/>
  <c r="H3333" i="18"/>
  <c r="H3229" i="18"/>
  <c r="H2897" i="18"/>
  <c r="H2862" i="18"/>
  <c r="H2847" i="18"/>
  <c r="H2810" i="18"/>
  <c r="H2781" i="18"/>
  <c r="H2771" i="18"/>
  <c r="H2628" i="18"/>
  <c r="H2431" i="18"/>
  <c r="H2412" i="18"/>
  <c r="N2457" i="18" s="1"/>
  <c r="H2401" i="18"/>
  <c r="H2391" i="18"/>
  <c r="H2218" i="18"/>
  <c r="H2191" i="18"/>
  <c r="H2013" i="18"/>
  <c r="H1655" i="18"/>
  <c r="H1101" i="18"/>
  <c r="H1057" i="18"/>
  <c r="H1027" i="18"/>
  <c r="H920" i="18"/>
  <c r="H910" i="18"/>
  <c r="H900" i="18"/>
  <c r="H890" i="18"/>
  <c r="H762" i="18"/>
  <c r="H688" i="18"/>
  <c r="H678" i="18"/>
  <c r="H668" i="18"/>
  <c r="H569" i="18"/>
  <c r="H559" i="18"/>
  <c r="H500" i="18"/>
  <c r="H485" i="18"/>
  <c r="H415" i="18"/>
  <c r="H306" i="18"/>
  <c r="H130" i="18"/>
  <c r="H59" i="18"/>
  <c r="H1607" i="18"/>
  <c r="H1597" i="18"/>
  <c r="H1587" i="18"/>
  <c r="H1459" i="18"/>
  <c r="H1449" i="18"/>
  <c r="H1428" i="18"/>
  <c r="H1292" i="18"/>
  <c r="H1277" i="18"/>
  <c r="H1255" i="18"/>
  <c r="H1233" i="18"/>
  <c r="H1204" i="18"/>
  <c r="H1189" i="18"/>
  <c r="H1167" i="18"/>
  <c r="H1145" i="18"/>
  <c r="H1131" i="18"/>
  <c r="H355" i="50"/>
  <c r="H344" i="50"/>
  <c r="L212" i="50"/>
  <c r="L379" i="50"/>
  <c r="H152" i="50"/>
  <c r="H21" i="50"/>
  <c r="H259" i="50"/>
  <c r="H368" i="50"/>
  <c r="L37" i="46"/>
  <c r="H361" i="50"/>
  <c r="L28" i="46"/>
  <c r="G15" i="46"/>
  <c r="L23" i="50"/>
  <c r="G31" i="46"/>
  <c r="H77" i="50"/>
  <c r="H249" i="50"/>
  <c r="L300" i="50"/>
  <c r="H97" i="50"/>
  <c r="L162" i="50"/>
  <c r="H188" i="50"/>
  <c r="L253" i="50"/>
  <c r="H173" i="50"/>
  <c r="H201" i="50"/>
  <c r="H377" i="50"/>
  <c r="L289" i="50"/>
  <c r="H16" i="50"/>
  <c r="L282" i="50"/>
  <c r="H18" i="50"/>
  <c r="L17" i="46"/>
  <c r="L90" i="50"/>
  <c r="L213" i="50"/>
  <c r="L284" i="50"/>
  <c r="H160" i="50"/>
  <c r="H258" i="50"/>
  <c r="H96" i="50"/>
  <c r="H299" i="50"/>
  <c r="L18" i="46"/>
  <c r="G12" i="46"/>
  <c r="L92" i="50"/>
  <c r="L266" i="50"/>
  <c r="L87" i="50"/>
  <c r="H100" i="50"/>
  <c r="L27" i="46"/>
  <c r="H33" i="50"/>
  <c r="H27" i="50"/>
  <c r="H356" i="50"/>
  <c r="L225" i="50"/>
  <c r="H92" i="50"/>
  <c r="L15" i="46"/>
  <c r="H138" i="50"/>
  <c r="H398" i="50"/>
  <c r="G9" i="46"/>
  <c r="H339" i="50"/>
  <c r="H253" i="50"/>
  <c r="H134" i="50"/>
  <c r="G16" i="46"/>
  <c r="L27" i="50"/>
  <c r="L141" i="50"/>
  <c r="L163" i="50"/>
  <c r="H59" i="50"/>
  <c r="L376" i="50"/>
  <c r="H143" i="50"/>
  <c r="L46" i="46"/>
  <c r="G29" i="46"/>
  <c r="H300" i="50"/>
  <c r="H341" i="50"/>
  <c r="H48" i="50"/>
  <c r="H266" i="50"/>
  <c r="L100" i="50"/>
  <c r="G20" i="46"/>
  <c r="L10" i="46"/>
  <c r="H223" i="50"/>
  <c r="H269" i="50"/>
  <c r="H164" i="50"/>
  <c r="L187" i="50"/>
  <c r="H84" i="50"/>
  <c r="H244" i="50"/>
  <c r="H93" i="50"/>
  <c r="G11" i="46"/>
  <c r="G10" i="46"/>
  <c r="L178" i="50"/>
  <c r="L116" i="50"/>
  <c r="L117" i="50"/>
  <c r="L56" i="50"/>
  <c r="H343" i="50"/>
  <c r="L193" i="50"/>
  <c r="H124" i="50"/>
  <c r="H131" i="50"/>
  <c r="L196" i="50"/>
  <c r="L39" i="46"/>
  <c r="L197" i="50"/>
  <c r="L211" i="50"/>
  <c r="H44" i="50"/>
  <c r="L228" i="50"/>
  <c r="L304" i="50"/>
  <c r="G33" i="46"/>
  <c r="H211" i="50"/>
  <c r="G58" i="46"/>
  <c r="H282" i="50"/>
  <c r="H336" i="50"/>
  <c r="H359" i="50"/>
  <c r="L60" i="50"/>
  <c r="L310" i="50"/>
  <c r="H90" i="50"/>
  <c r="H364" i="50"/>
  <c r="H54" i="50"/>
  <c r="L188" i="50"/>
  <c r="G27" i="46"/>
  <c r="L299" i="50"/>
  <c r="L148" i="50"/>
  <c r="H147" i="50"/>
  <c r="H376" i="50"/>
  <c r="L32" i="46"/>
  <c r="H25" i="50"/>
  <c r="G42" i="46"/>
  <c r="H363" i="50"/>
  <c r="L20" i="46"/>
  <c r="L118" i="50"/>
  <c r="H338" i="50"/>
  <c r="H51" i="50"/>
  <c r="L45" i="50"/>
  <c r="L112" i="50"/>
  <c r="H235" i="50"/>
  <c r="L30" i="46"/>
  <c r="H330" i="50"/>
  <c r="H222" i="50"/>
  <c r="H135" i="50"/>
  <c r="L261" i="50"/>
  <c r="H99" i="50"/>
  <c r="H285" i="50"/>
  <c r="H386" i="50"/>
  <c r="L38" i="46"/>
  <c r="H79" i="50"/>
  <c r="H254" i="50"/>
  <c r="G32" i="46"/>
  <c r="H237" i="50"/>
  <c r="L156" i="50"/>
  <c r="H45" i="50"/>
  <c r="H374" i="50"/>
  <c r="H39" i="50"/>
  <c r="H197" i="50"/>
  <c r="H153" i="50"/>
  <c r="L165" i="50"/>
  <c r="H132" i="50"/>
  <c r="L61" i="50"/>
  <c r="H196" i="50"/>
  <c r="L33" i="46"/>
  <c r="H154" i="50"/>
  <c r="L35" i="46"/>
  <c r="L157" i="50"/>
  <c r="G14" i="46"/>
  <c r="H192" i="50"/>
  <c r="L401" i="50"/>
  <c r="H362" i="50"/>
  <c r="H22" i="50"/>
  <c r="H123" i="50"/>
  <c r="H32" i="50"/>
  <c r="L22" i="50"/>
  <c r="H345" i="50"/>
  <c r="L36" i="46"/>
  <c r="H213" i="50"/>
  <c r="H156" i="50"/>
  <c r="H80" i="50"/>
  <c r="H246" i="50"/>
  <c r="G36" i="46"/>
  <c r="L44" i="46"/>
  <c r="L265" i="50"/>
  <c r="L122" i="50"/>
  <c r="L252" i="50"/>
  <c r="H357" i="50"/>
  <c r="H380" i="50"/>
  <c r="H271" i="50"/>
  <c r="L35" i="50"/>
  <c r="H209" i="50"/>
  <c r="L114" i="50"/>
  <c r="H117" i="50"/>
  <c r="H26" i="50"/>
  <c r="L286" i="50"/>
  <c r="H360" i="50"/>
  <c r="H40" i="50"/>
  <c r="H38" i="50"/>
  <c r="H50" i="50"/>
  <c r="H155" i="50"/>
  <c r="H133" i="50"/>
  <c r="H49" i="50"/>
  <c r="H335" i="50"/>
  <c r="H264" i="50"/>
  <c r="L62" i="50"/>
  <c r="L19" i="46"/>
  <c r="H184" i="50"/>
  <c r="L29" i="46"/>
  <c r="H91" i="50"/>
  <c r="H190" i="50"/>
  <c r="H23" i="50"/>
  <c r="H346" i="50"/>
  <c r="H260" i="50"/>
  <c r="L26" i="46"/>
  <c r="H76" i="50"/>
  <c r="H252" i="50"/>
  <c r="H303" i="50"/>
  <c r="H78" i="50"/>
  <c r="H292" i="50"/>
  <c r="L306" i="50"/>
  <c r="L398" i="50"/>
  <c r="L303" i="50"/>
  <c r="H137" i="50"/>
  <c r="H149" i="50"/>
  <c r="L380" i="50"/>
  <c r="H83" i="50"/>
  <c r="H358" i="50"/>
  <c r="L72" i="50"/>
  <c r="L131" i="50"/>
  <c r="L154" i="50"/>
  <c r="H328" i="50"/>
  <c r="H230" i="50"/>
  <c r="H172" i="50"/>
  <c r="L244" i="50"/>
  <c r="H337" i="50"/>
  <c r="L40" i="46"/>
  <c r="H284" i="50"/>
  <c r="H178" i="50"/>
  <c r="L42" i="46"/>
  <c r="H114" i="50"/>
  <c r="L88" i="50"/>
  <c r="H20" i="50"/>
  <c r="H176" i="50"/>
  <c r="H306" i="50"/>
  <c r="H61" i="50"/>
  <c r="H261" i="50"/>
  <c r="L41" i="46"/>
  <c r="L24" i="46"/>
  <c r="H228" i="50"/>
  <c r="H220" i="50"/>
  <c r="H98" i="50"/>
  <c r="L76" i="50"/>
  <c r="L254" i="50"/>
  <c r="L130" i="50"/>
  <c r="L43" i="46"/>
  <c r="L237" i="50"/>
  <c r="H378" i="50"/>
  <c r="G13" i="46"/>
  <c r="G24" i="46"/>
  <c r="G35" i="46"/>
  <c r="L375" i="50"/>
  <c r="H55" i="50"/>
  <c r="H375" i="50"/>
  <c r="H208" i="50"/>
  <c r="H247" i="50"/>
  <c r="H383" i="50"/>
  <c r="L48" i="46"/>
  <c r="H62" i="50"/>
  <c r="H141" i="50"/>
  <c r="L99" i="50"/>
  <c r="H43" i="50"/>
  <c r="L34" i="46"/>
  <c r="H304" i="50"/>
  <c r="H225" i="50"/>
  <c r="G22" i="46"/>
  <c r="H379" i="50"/>
  <c r="L85" i="50"/>
  <c r="H30" i="50"/>
  <c r="G37" i="46"/>
  <c r="L22" i="46"/>
  <c r="L84" i="50"/>
  <c r="H72" i="50"/>
  <c r="H340" i="50"/>
  <c r="L31" i="46"/>
  <c r="L173" i="50"/>
  <c r="H24" i="50"/>
  <c r="H41" i="50"/>
  <c r="H42" i="50"/>
  <c r="L9" i="46"/>
  <c r="L378" i="50"/>
  <c r="H342" i="50"/>
  <c r="L292" i="50"/>
  <c r="H60" i="50"/>
  <c r="H85" i="50"/>
  <c r="H82" i="50"/>
  <c r="G30" i="46"/>
  <c r="L21" i="46"/>
  <c r="H354" i="50"/>
  <c r="H401" i="50"/>
  <c r="L377" i="50"/>
  <c r="L201" i="50"/>
  <c r="L16" i="46"/>
  <c r="L374" i="50"/>
  <c r="L150" i="50"/>
  <c r="H382" i="50"/>
  <c r="L164" i="50"/>
  <c r="H365" i="50"/>
  <c r="G19" i="46"/>
  <c r="H122" i="50"/>
  <c r="L51" i="50"/>
  <c r="H193" i="50"/>
  <c r="H53" i="50"/>
  <c r="H52" i="50"/>
  <c r="H310" i="50"/>
  <c r="M19" i="46" l="1"/>
  <c r="N19" i="46" s="1"/>
  <c r="M30" i="46"/>
  <c r="N30" i="46" s="1"/>
  <c r="M37" i="46"/>
  <c r="N37" i="46" s="1"/>
  <c r="M22" i="46"/>
  <c r="N22" i="46" s="1"/>
  <c r="M35" i="46"/>
  <c r="N35" i="46" s="1"/>
  <c r="M24" i="46"/>
  <c r="N24" i="46" s="1"/>
  <c r="M36" i="46"/>
  <c r="N36" i="46" s="1"/>
  <c r="M32" i="46"/>
  <c r="N32" i="46" s="1"/>
  <c r="M42" i="46"/>
  <c r="N42" i="46" s="1"/>
  <c r="M27" i="46"/>
  <c r="N27" i="46" s="1"/>
  <c r="M33" i="46"/>
  <c r="N33" i="46" s="1"/>
  <c r="M10" i="46"/>
  <c r="N10" i="46" s="1"/>
  <c r="M20" i="46"/>
  <c r="N20" i="46" s="1"/>
  <c r="M29" i="46"/>
  <c r="N29" i="46" s="1"/>
  <c r="M16" i="46"/>
  <c r="N16" i="46" s="1"/>
  <c r="M9" i="46"/>
  <c r="N9" i="46" s="1"/>
  <c r="M31" i="46"/>
  <c r="N31" i="46" s="1"/>
  <c r="M15" i="46"/>
  <c r="N15" i="46" s="1"/>
  <c r="L1161" i="18"/>
  <c r="K1183" i="18"/>
  <c r="O1031" i="18"/>
  <c r="L529" i="18"/>
  <c r="K553" i="18"/>
  <c r="L4281" i="18"/>
  <c r="K4281" i="18"/>
  <c r="J4281" i="18"/>
  <c r="I4281" i="18"/>
  <c r="Y3" i="18" l="1"/>
  <c r="H1975" i="18" s="1"/>
  <c r="U5" i="18"/>
  <c r="V5" i="18" s="1"/>
  <c r="U4" i="18"/>
  <c r="V4" i="18" s="1"/>
  <c r="H4742" i="18" s="1"/>
  <c r="H4751" i="18" s="1"/>
  <c r="K4740" i="18" s="1"/>
  <c r="U2" i="18"/>
  <c r="W2" i="18" s="1"/>
  <c r="M5811" i="18"/>
  <c r="L5811" i="18"/>
  <c r="K5811" i="18"/>
  <c r="J5811" i="18"/>
  <c r="I5811" i="18"/>
  <c r="N5805" i="18" s="1"/>
  <c r="H5811" i="18"/>
  <c r="K5805" i="18" s="1"/>
  <c r="D5808" i="18"/>
  <c r="D5809" i="18"/>
  <c r="D5810" i="18"/>
  <c r="D5811" i="18"/>
  <c r="D5805" i="18"/>
  <c r="G5805" i="18" s="1"/>
  <c r="H311" i="50"/>
  <c r="Q3985" i="18" l="1"/>
  <c r="H3824" i="18"/>
  <c r="K5289" i="18"/>
  <c r="I4742" i="18"/>
  <c r="I4751" i="18" s="1"/>
  <c r="N4740" i="18" s="1"/>
  <c r="W4" i="18"/>
  <c r="I5739" i="18" s="1"/>
  <c r="H5786" i="18"/>
  <c r="H4570" i="18"/>
  <c r="H5816" i="18"/>
  <c r="I1540" i="18"/>
  <c r="H5613" i="18"/>
  <c r="H5206" i="18"/>
  <c r="G3038" i="18"/>
  <c r="M2034" i="18"/>
  <c r="H873" i="18"/>
  <c r="H5467" i="18"/>
  <c r="H5220" i="18"/>
  <c r="G3027" i="18"/>
  <c r="G2616" i="18"/>
  <c r="G2593" i="18"/>
  <c r="G1508" i="18"/>
  <c r="G1944" i="18"/>
  <c r="H5560" i="18"/>
  <c r="J5220" i="18"/>
  <c r="H3365" i="18"/>
  <c r="H3275" i="18"/>
  <c r="G2595" i="18"/>
  <c r="H5569" i="18"/>
  <c r="H5398" i="18"/>
  <c r="H3862" i="18"/>
  <c r="I3275" i="18"/>
  <c r="G3036" i="18"/>
  <c r="G3018" i="18"/>
  <c r="G2583" i="18"/>
  <c r="G2366" i="18"/>
  <c r="G2573" i="18"/>
  <c r="W5" i="18"/>
  <c r="V2" i="18"/>
  <c r="H1766" i="18"/>
  <c r="H958" i="18"/>
  <c r="G2154" i="18"/>
  <c r="I1766" i="18"/>
  <c r="H700" i="18"/>
  <c r="I1559" i="18"/>
  <c r="G2004" i="18"/>
  <c r="H1990" i="18"/>
  <c r="H4956" i="18"/>
  <c r="H4731" i="18"/>
  <c r="H4738" i="18" s="1"/>
  <c r="H5032" i="18"/>
  <c r="H4504" i="18"/>
  <c r="H4888" i="18"/>
  <c r="H5139" i="18"/>
  <c r="H4219" i="18"/>
  <c r="H4811" i="18"/>
  <c r="H5086" i="18"/>
  <c r="I4184" i="18"/>
  <c r="I4463" i="18"/>
  <c r="J4523" i="18"/>
  <c r="I4669" i="18"/>
  <c r="I4771" i="18"/>
  <c r="I4847" i="18"/>
  <c r="I4925" i="18"/>
  <c r="I4977" i="18"/>
  <c r="I4991" i="18" s="1"/>
  <c r="I5064" i="18"/>
  <c r="I5108" i="18"/>
  <c r="K5304" i="18"/>
  <c r="H4184" i="18"/>
  <c r="H4463" i="18"/>
  <c r="H4523" i="18"/>
  <c r="H4669" i="18"/>
  <c r="H4771" i="18"/>
  <c r="H4847" i="18"/>
  <c r="H4925" i="18"/>
  <c r="H4977" i="18"/>
  <c r="H5064" i="18"/>
  <c r="H5108" i="18"/>
  <c r="J5304" i="18"/>
  <c r="I4219" i="18"/>
  <c r="I4504" i="18"/>
  <c r="J4570" i="18"/>
  <c r="I4731" i="18"/>
  <c r="I4738" i="18" s="1"/>
  <c r="I4811" i="18"/>
  <c r="I4888" i="18"/>
  <c r="I4956" i="18"/>
  <c r="I5032" i="18"/>
  <c r="I5086" i="18"/>
  <c r="I5139" i="18"/>
  <c r="I5816" i="18"/>
  <c r="I4204" i="18"/>
  <c r="I4228" i="18"/>
  <c r="I4513" i="18"/>
  <c r="J4547" i="18"/>
  <c r="I4639" i="18"/>
  <c r="I4700" i="18"/>
  <c r="I4756" i="18"/>
  <c r="I4782" i="18"/>
  <c r="I4833" i="18"/>
  <c r="I4910" i="18"/>
  <c r="I4938" i="18"/>
  <c r="I4969" i="18"/>
  <c r="I4996" i="18"/>
  <c r="I5048" i="18"/>
  <c r="I5075" i="18"/>
  <c r="I5097" i="18"/>
  <c r="I5131" i="18"/>
  <c r="I5786" i="18"/>
  <c r="H4204" i="18"/>
  <c r="H4228" i="18"/>
  <c r="H4495" i="18"/>
  <c r="H4513" i="18"/>
  <c r="H4547" i="18"/>
  <c r="H4639" i="18"/>
  <c r="H4700" i="18"/>
  <c r="H4756" i="18"/>
  <c r="H4782" i="18"/>
  <c r="H4833" i="18"/>
  <c r="H4874" i="18"/>
  <c r="H4910" i="18"/>
  <c r="H4938" i="18"/>
  <c r="H4969" i="18"/>
  <c r="H4996" i="18"/>
  <c r="H5048" i="18"/>
  <c r="H5075" i="18"/>
  <c r="H5097" i="18"/>
  <c r="H5131" i="18"/>
  <c r="J5289" i="18"/>
  <c r="J4495" i="18"/>
  <c r="I4874" i="18"/>
  <c r="I4869" i="18"/>
  <c r="H4869" i="18"/>
  <c r="D4861" i="18"/>
  <c r="D4862" i="18"/>
  <c r="D4863" i="18"/>
  <c r="D4864" i="18"/>
  <c r="D4865" i="18"/>
  <c r="D4866" i="18"/>
  <c r="D4867" i="18"/>
  <c r="D4868" i="18"/>
  <c r="D4869" i="18"/>
  <c r="L311" i="50"/>
  <c r="H814" i="18" l="1"/>
  <c r="H836" i="18"/>
  <c r="H795" i="18"/>
  <c r="H765" i="18"/>
  <c r="H724" i="18"/>
  <c r="H780" i="18"/>
  <c r="H743" i="18"/>
  <c r="H3325" i="18"/>
  <c r="K2545" i="18"/>
  <c r="H5749" i="18"/>
  <c r="H3427" i="18"/>
  <c r="N2121" i="18"/>
  <c r="K4366" i="18"/>
  <c r="H3312" i="18"/>
  <c r="H1082" i="18"/>
  <c r="L3220" i="18"/>
  <c r="H1620" i="18"/>
  <c r="H1170" i="18"/>
  <c r="H3835" i="18"/>
  <c r="N1911" i="18"/>
  <c r="Q2466" i="18"/>
  <c r="H4174" i="18"/>
  <c r="I5633" i="18"/>
  <c r="I5646" i="18"/>
  <c r="K4153" i="18"/>
  <c r="H239" i="18"/>
  <c r="H2205" i="18"/>
  <c r="H3415" i="18"/>
  <c r="H217" i="18"/>
  <c r="N4091" i="18"/>
  <c r="I5679" i="18"/>
  <c r="I5689" i="18"/>
  <c r="M4275" i="18"/>
  <c r="H5332" i="18"/>
  <c r="Q4067" i="18"/>
  <c r="H2879" i="18"/>
  <c r="H1792" i="18"/>
  <c r="K2433" i="18"/>
  <c r="H979" i="18"/>
  <c r="H2415" i="18"/>
  <c r="H3922" i="18"/>
  <c r="H1015" i="18"/>
  <c r="H1802" i="18"/>
  <c r="H12" i="18"/>
  <c r="H5366" i="18"/>
  <c r="H23" i="18"/>
  <c r="K3663" i="18"/>
  <c r="H2833" i="18"/>
  <c r="M1639" i="18"/>
  <c r="H518" i="18"/>
  <c r="H195" i="18"/>
  <c r="H1060" i="18"/>
  <c r="K3387" i="18"/>
  <c r="N254" i="18"/>
  <c r="N582" i="18"/>
  <c r="M4430" i="18"/>
  <c r="N4347" i="18"/>
  <c r="I5749" i="18"/>
  <c r="J5689" i="18"/>
  <c r="J5646" i="18"/>
  <c r="J5739" i="18"/>
  <c r="J5679" i="18"/>
  <c r="J5633" i="18"/>
  <c r="H3477" i="18"/>
  <c r="H2823" i="18"/>
  <c r="H1207" i="18"/>
  <c r="H319" i="18"/>
  <c r="H3933" i="18"/>
  <c r="H3537" i="18"/>
  <c r="H2499" i="18"/>
  <c r="H1148" i="18"/>
  <c r="H337" i="18"/>
  <c r="H73" i="18"/>
  <c r="H3974" i="18"/>
  <c r="H3564" i="18"/>
  <c r="H2522" i="18"/>
  <c r="H1667" i="18"/>
  <c r="H1104" i="18"/>
  <c r="H403" i="18"/>
  <c r="H92" i="18"/>
  <c r="H3438" i="18"/>
  <c r="N2333" i="18"/>
  <c r="H946" i="18"/>
  <c r="N4315" i="18"/>
  <c r="I5758" i="18"/>
  <c r="H4293" i="18"/>
  <c r="K4419" i="18"/>
  <c r="K4267" i="18"/>
  <c r="N691" i="18"/>
  <c r="H3247" i="18"/>
  <c r="H1814" i="18"/>
  <c r="H936" i="18"/>
  <c r="K3634" i="18"/>
  <c r="H1826" i="18"/>
  <c r="H488" i="18"/>
  <c r="H3733" i="18"/>
  <c r="M2849" i="18"/>
  <c r="H359" i="18"/>
  <c r="H111" i="18"/>
  <c r="H3766" i="18"/>
  <c r="M3178" i="18"/>
  <c r="H1192" i="18"/>
  <c r="H538" i="18"/>
  <c r="H3574" i="18"/>
  <c r="H2641" i="18"/>
  <c r="H5168" i="18"/>
  <c r="H61" i="18"/>
  <c r="K3624" i="18"/>
  <c r="H3282" i="18"/>
  <c r="H2799" i="18"/>
  <c r="H1841" i="18"/>
  <c r="N1472" i="18"/>
  <c r="H969" i="18"/>
  <c r="H381" i="18"/>
  <c r="H3292" i="18"/>
  <c r="H2160" i="18"/>
  <c r="H862" i="18"/>
  <c r="H4113" i="18"/>
  <c r="H3776" i="18"/>
  <c r="M3195" i="18"/>
  <c r="L1777" i="18"/>
  <c r="H990" i="18"/>
  <c r="H132" i="18"/>
  <c r="H4124" i="18"/>
  <c r="H3807" i="18"/>
  <c r="M3207" i="18"/>
  <c r="H2051" i="18"/>
  <c r="H1280" i="18"/>
  <c r="N851" i="18"/>
  <c r="H173" i="18"/>
  <c r="K3687" i="18"/>
  <c r="H3263" i="18"/>
  <c r="H1295" i="18"/>
  <c r="H418" i="18"/>
  <c r="P4374" i="18"/>
  <c r="Q5588" i="18"/>
  <c r="H709" i="18"/>
  <c r="H3449" i="18"/>
  <c r="K2532" i="18"/>
  <c r="H1258" i="18"/>
  <c r="H2911" i="18"/>
  <c r="H4003" i="18"/>
  <c r="H1236" i="18"/>
  <c r="H4057" i="18"/>
  <c r="H1950" i="18"/>
  <c r="H123" i="18"/>
  <c r="H1119" i="18"/>
  <c r="K4357" i="18"/>
  <c r="I5772" i="18"/>
  <c r="H4253" i="18"/>
  <c r="I4856" i="18"/>
  <c r="N4845" i="18" s="1"/>
  <c r="H4856" i="18"/>
  <c r="K4845" i="18" s="1"/>
  <c r="D4848" i="18"/>
  <c r="D4849" i="18"/>
  <c r="D4850" i="18"/>
  <c r="D4851" i="18"/>
  <c r="D4852" i="18"/>
  <c r="D4853" i="18"/>
  <c r="D4854" i="18"/>
  <c r="D4855" i="18"/>
  <c r="D4856" i="18"/>
  <c r="D4845" i="18"/>
  <c r="G4845" i="18" s="1"/>
  <c r="D4757" i="18"/>
  <c r="D4758" i="18"/>
  <c r="D4759" i="18"/>
  <c r="D4760" i="18"/>
  <c r="D4761" i="18"/>
  <c r="D4762" i="18"/>
  <c r="D4763" i="18"/>
  <c r="D4764" i="18"/>
  <c r="D4765" i="18"/>
  <c r="D4766" i="18"/>
  <c r="D4767" i="18"/>
  <c r="I4767" i="18"/>
  <c r="H4767" i="18"/>
  <c r="D4444" i="18"/>
  <c r="D4445" i="18"/>
  <c r="D4446" i="18"/>
  <c r="D4447" i="18"/>
  <c r="D4448" i="18"/>
  <c r="D4449" i="18"/>
  <c r="D4450" i="18"/>
  <c r="H4441" i="18"/>
  <c r="H4396" i="18"/>
  <c r="M4331" i="18"/>
  <c r="L4331" i="18"/>
  <c r="K4331" i="18"/>
  <c r="I4331" i="18"/>
  <c r="D4326" i="18"/>
  <c r="D4327" i="18"/>
  <c r="D4328" i="18"/>
  <c r="D4329" i="18"/>
  <c r="D4330" i="18"/>
  <c r="D4331" i="18"/>
  <c r="D4185" i="18"/>
  <c r="D4186" i="18"/>
  <c r="D4187" i="18"/>
  <c r="D4188" i="18"/>
  <c r="D4189" i="18"/>
  <c r="D4190" i="18"/>
  <c r="D4191" i="18"/>
  <c r="D4192" i="18"/>
  <c r="D4193" i="18"/>
  <c r="D4194" i="18"/>
  <c r="D4195" i="18"/>
  <c r="D4196" i="18"/>
  <c r="D4197" i="18"/>
  <c r="D4198" i="18"/>
  <c r="D4199" i="18"/>
  <c r="D4200" i="18"/>
  <c r="D4205" i="18"/>
  <c r="D4206" i="18"/>
  <c r="D4207" i="18"/>
  <c r="D4208" i="18"/>
  <c r="D4209" i="18"/>
  <c r="D4210" i="18"/>
  <c r="D4211" i="18"/>
  <c r="D4212" i="18"/>
  <c r="D4213" i="18"/>
  <c r="D4214" i="18"/>
  <c r="D4215" i="18"/>
  <c r="L318" i="50"/>
  <c r="H318" i="50"/>
  <c r="D4114" i="18" l="1"/>
  <c r="D4115" i="18"/>
  <c r="D4116" i="18"/>
  <c r="D4117" i="18"/>
  <c r="D4118" i="18"/>
  <c r="D4119" i="18"/>
  <c r="J3392" i="18"/>
  <c r="I3392" i="18"/>
  <c r="J3388" i="18"/>
  <c r="I3388" i="18"/>
  <c r="K3147" i="18"/>
  <c r="K3136" i="18" s="1"/>
  <c r="J3147" i="18"/>
  <c r="I3147" i="18"/>
  <c r="H3147" i="18"/>
  <c r="H3136" i="18"/>
  <c r="H3149" i="18"/>
  <c r="P3160" i="18"/>
  <c r="M3160" i="18"/>
  <c r="J3160" i="18"/>
  <c r="I3160" i="18"/>
  <c r="N3149" i="18" s="1"/>
  <c r="H3160" i="18"/>
  <c r="K3149" i="18" s="1"/>
  <c r="D3152" i="18"/>
  <c r="D3153" i="18"/>
  <c r="D3154" i="18"/>
  <c r="D3155" i="18"/>
  <c r="D3156" i="18"/>
  <c r="D3157" i="18"/>
  <c r="D3158" i="18"/>
  <c r="D3159" i="18"/>
  <c r="D3160" i="18"/>
  <c r="D3149" i="18"/>
  <c r="G3149" i="18" s="1"/>
  <c r="D3139" i="18"/>
  <c r="D3140" i="18"/>
  <c r="D3141" i="18"/>
  <c r="D3142" i="18"/>
  <c r="D3143" i="18"/>
  <c r="D3144" i="18"/>
  <c r="D3145" i="18"/>
  <c r="D3146" i="18"/>
  <c r="D3147" i="18"/>
  <c r="D3136" i="18"/>
  <c r="G3136" i="18" s="1"/>
  <c r="H3162" i="18"/>
  <c r="H3126" i="18"/>
  <c r="L2860" i="18"/>
  <c r="K2860" i="18"/>
  <c r="J2860" i="18"/>
  <c r="H2860" i="18"/>
  <c r="D2850" i="18"/>
  <c r="D2851" i="18"/>
  <c r="D2852" i="18"/>
  <c r="D2853" i="18"/>
  <c r="D2854" i="18"/>
  <c r="D2855" i="18"/>
  <c r="D2856" i="18"/>
  <c r="D2857" i="18"/>
  <c r="D2858" i="18"/>
  <c r="D2859" i="18"/>
  <c r="D2860" i="18"/>
  <c r="M2851" i="18"/>
  <c r="M2852" i="18"/>
  <c r="M2853" i="18"/>
  <c r="M2854" i="18"/>
  <c r="M2855" i="18"/>
  <c r="M2856" i="18"/>
  <c r="M2857" i="18"/>
  <c r="M2858" i="18"/>
  <c r="M2859" i="18"/>
  <c r="M2850" i="18"/>
  <c r="H2761" i="18"/>
  <c r="M2860" i="18" l="1"/>
  <c r="N2847" i="18" s="1"/>
  <c r="L181" i="50"/>
  <c r="H1961" i="18" l="1"/>
  <c r="H1764" i="18"/>
  <c r="P931" i="18"/>
  <c r="M931" i="18"/>
  <c r="J931" i="18"/>
  <c r="I931" i="18"/>
  <c r="N920" i="18" s="1"/>
  <c r="H931" i="18"/>
  <c r="K920" i="18" s="1"/>
  <c r="D923" i="18"/>
  <c r="D924" i="18"/>
  <c r="D925" i="18"/>
  <c r="D926" i="18"/>
  <c r="D927" i="18"/>
  <c r="D928" i="18"/>
  <c r="D929" i="18"/>
  <c r="D930" i="18"/>
  <c r="D931" i="18"/>
  <c r="D920" i="18"/>
  <c r="G920" i="18" s="1"/>
  <c r="H3422" i="18"/>
  <c r="H2368" i="18"/>
  <c r="H2181" i="18"/>
  <c r="H1753" i="18"/>
  <c r="H1736" i="18"/>
  <c r="H1726" i="18"/>
  <c r="H1716" i="18"/>
  <c r="H1699" i="18"/>
  <c r="H1682" i="18"/>
  <c r="H1491" i="18"/>
  <c r="H1387" i="18"/>
  <c r="H1365" i="18"/>
  <c r="L1422" i="18" l="1"/>
  <c r="M1443" i="18"/>
  <c r="G268" i="18"/>
  <c r="G267" i="18"/>
  <c r="G231" i="18"/>
  <c r="G230" i="18"/>
  <c r="G209" i="18"/>
  <c r="G208" i="18"/>
  <c r="G187" i="18"/>
  <c r="J179" i="18"/>
  <c r="J175" i="18"/>
  <c r="H179" i="18"/>
  <c r="H175" i="18"/>
  <c r="G186" i="18"/>
  <c r="J1046" i="18" l="1"/>
  <c r="H1046" i="18"/>
  <c r="J1050" i="18"/>
  <c r="H1050" i="18"/>
  <c r="D2320" i="18"/>
  <c r="D2321" i="18"/>
  <c r="D2322" i="18"/>
  <c r="D2323" i="18"/>
  <c r="D2324" i="18"/>
  <c r="D2325" i="18"/>
  <c r="D2326" i="18"/>
  <c r="D2327" i="18"/>
  <c r="D2328" i="18"/>
  <c r="J2222" i="18"/>
  <c r="J2223" i="18"/>
  <c r="J2224" i="18"/>
  <c r="J2221" i="18"/>
  <c r="I2225" i="18"/>
  <c r="I2229" i="18" s="1"/>
  <c r="H2225" i="18"/>
  <c r="D2221" i="18"/>
  <c r="D2222" i="18"/>
  <c r="D2223" i="18"/>
  <c r="D2224" i="18"/>
  <c r="D2225" i="18"/>
  <c r="D2218" i="18"/>
  <c r="G2218" i="18" s="1"/>
  <c r="M2128" i="18"/>
  <c r="L2128" i="18"/>
  <c r="K2128" i="18"/>
  <c r="I2128" i="18"/>
  <c r="H2128" i="18"/>
  <c r="D2123" i="18"/>
  <c r="D2124" i="18"/>
  <c r="D2125" i="18"/>
  <c r="D2126" i="18"/>
  <c r="D2127" i="18"/>
  <c r="D2128" i="18"/>
  <c r="J2124" i="18"/>
  <c r="N2124" i="18" s="1"/>
  <c r="J2125" i="18"/>
  <c r="N2125" i="18" s="1"/>
  <c r="J2126" i="18"/>
  <c r="J2127" i="18"/>
  <c r="N2127" i="18" s="1"/>
  <c r="J2123" i="18"/>
  <c r="N2123" i="18" s="1"/>
  <c r="D2066" i="18"/>
  <c r="D2067" i="18"/>
  <c r="D2068" i="18"/>
  <c r="D2069" i="18"/>
  <c r="D2070" i="18"/>
  <c r="M1918" i="18"/>
  <c r="L1918" i="18"/>
  <c r="K1918" i="18"/>
  <c r="I1918" i="18"/>
  <c r="H1918" i="18"/>
  <c r="H1922" i="18" s="1"/>
  <c r="D1913" i="18"/>
  <c r="D1914" i="18"/>
  <c r="D1915" i="18"/>
  <c r="D1916" i="18"/>
  <c r="D1917" i="18"/>
  <c r="D1918" i="18"/>
  <c r="J1914" i="18"/>
  <c r="N1914" i="18" s="1"/>
  <c r="J1915" i="18"/>
  <c r="N1915" i="18" s="1"/>
  <c r="J1916" i="18"/>
  <c r="N1916" i="18" s="1"/>
  <c r="J1917" i="18"/>
  <c r="N1917" i="18" s="1"/>
  <c r="J1913" i="18"/>
  <c r="N1913" i="18" s="1"/>
  <c r="D1856" i="18"/>
  <c r="D1857" i="18"/>
  <c r="D1858" i="18"/>
  <c r="D1859" i="18"/>
  <c r="D1860" i="18"/>
  <c r="J1860" i="18"/>
  <c r="J1864" i="18" s="1"/>
  <c r="I1860" i="18"/>
  <c r="I1864" i="18" s="1"/>
  <c r="H1860" i="18"/>
  <c r="H1864" i="18" s="1"/>
  <c r="D1282" i="18"/>
  <c r="D1283" i="18"/>
  <c r="D1284" i="18"/>
  <c r="D1285" i="18"/>
  <c r="D1286" i="18"/>
  <c r="D1287" i="18"/>
  <c r="D1288" i="18"/>
  <c r="D1289" i="18"/>
  <c r="D1290" i="18"/>
  <c r="D1194" i="18"/>
  <c r="D1195" i="18"/>
  <c r="D1196" i="18"/>
  <c r="D1197" i="18"/>
  <c r="D1198" i="18"/>
  <c r="D1199" i="18"/>
  <c r="D1200" i="18"/>
  <c r="D1201" i="18"/>
  <c r="D1202" i="18"/>
  <c r="D1260" i="18"/>
  <c r="D1261" i="18"/>
  <c r="D1262" i="18"/>
  <c r="D1263" i="18"/>
  <c r="D1264" i="18"/>
  <c r="D1265" i="18"/>
  <c r="D1266" i="18"/>
  <c r="D1267" i="18"/>
  <c r="D1268" i="18"/>
  <c r="D1172" i="18"/>
  <c r="D1173" i="18"/>
  <c r="D1174" i="18"/>
  <c r="D1175" i="18"/>
  <c r="D1176" i="18"/>
  <c r="D1177" i="18"/>
  <c r="D1178" i="18"/>
  <c r="D1179" i="18"/>
  <c r="D1180" i="18"/>
  <c r="D1106" i="18"/>
  <c r="D1107" i="18"/>
  <c r="D1108" i="18"/>
  <c r="D1109" i="18"/>
  <c r="D1110" i="18"/>
  <c r="D1111" i="18"/>
  <c r="D1112" i="18"/>
  <c r="D1113" i="18"/>
  <c r="D1114" i="18"/>
  <c r="D1084" i="18"/>
  <c r="D1085" i="18"/>
  <c r="D1086" i="18"/>
  <c r="D1087" i="18"/>
  <c r="D1088" i="18"/>
  <c r="D1089" i="18"/>
  <c r="D1090" i="18"/>
  <c r="D1091" i="18"/>
  <c r="D1092" i="18"/>
  <c r="D1121" i="18"/>
  <c r="D1122" i="18"/>
  <c r="D1123" i="18"/>
  <c r="D1124" i="18"/>
  <c r="D1125" i="18"/>
  <c r="D1126" i="18"/>
  <c r="D1127" i="18"/>
  <c r="D1128" i="18"/>
  <c r="D1129" i="18"/>
  <c r="I1129" i="18"/>
  <c r="H1129" i="18"/>
  <c r="I1305" i="18"/>
  <c r="N1292" i="18" s="1"/>
  <c r="H1305" i="18"/>
  <c r="K1292" i="18" s="1"/>
  <c r="D1297" i="18"/>
  <c r="D1298" i="18"/>
  <c r="D1299" i="18"/>
  <c r="D1300" i="18"/>
  <c r="D1301" i="18"/>
  <c r="D1302" i="18"/>
  <c r="D1303" i="18"/>
  <c r="D1304" i="18"/>
  <c r="D1305" i="18"/>
  <c r="I1290" i="18"/>
  <c r="N1277" i="18" s="1"/>
  <c r="H1290" i="18"/>
  <c r="K1277" i="18" s="1"/>
  <c r="I1268" i="18"/>
  <c r="I1272" i="18" s="1"/>
  <c r="H1268" i="18"/>
  <c r="I1246" i="18"/>
  <c r="I1250" i="18" s="1"/>
  <c r="H1246" i="18"/>
  <c r="D1238" i="18"/>
  <c r="D1239" i="18"/>
  <c r="D1240" i="18"/>
  <c r="D1241" i="18"/>
  <c r="D1242" i="18"/>
  <c r="D1243" i="18"/>
  <c r="D1244" i="18"/>
  <c r="D1245" i="18"/>
  <c r="D1246" i="18"/>
  <c r="D1222" i="18"/>
  <c r="D1223" i="18"/>
  <c r="D1224" i="18"/>
  <c r="D1225" i="18"/>
  <c r="D1226" i="18"/>
  <c r="D1227" i="18"/>
  <c r="D1228" i="18"/>
  <c r="D1229" i="18"/>
  <c r="D1230" i="18"/>
  <c r="D1231" i="18"/>
  <c r="J1231" i="18"/>
  <c r="H1231" i="18"/>
  <c r="K1229" i="18"/>
  <c r="I1217" i="18"/>
  <c r="H1217" i="18"/>
  <c r="K1204" i="18" s="1"/>
  <c r="D1209" i="18"/>
  <c r="D1210" i="18"/>
  <c r="D1211" i="18"/>
  <c r="D1212" i="18"/>
  <c r="D1213" i="18"/>
  <c r="D1214" i="18"/>
  <c r="D1215" i="18"/>
  <c r="D1216" i="18"/>
  <c r="D1217" i="18"/>
  <c r="I1202" i="18"/>
  <c r="H1202" i="18"/>
  <c r="K1189" i="18" s="1"/>
  <c r="I1180" i="18"/>
  <c r="I1184" i="18" s="1"/>
  <c r="H1180" i="18"/>
  <c r="D1150" i="18"/>
  <c r="D1151" i="18"/>
  <c r="D1152" i="18"/>
  <c r="D1153" i="18"/>
  <c r="D1154" i="18"/>
  <c r="D1155" i="18"/>
  <c r="D1156" i="18"/>
  <c r="D1157" i="18"/>
  <c r="D1158" i="18"/>
  <c r="I1158" i="18"/>
  <c r="I1162" i="18" s="1"/>
  <c r="H1158" i="18"/>
  <c r="D1134" i="18"/>
  <c r="D1135" i="18"/>
  <c r="D1136" i="18"/>
  <c r="D1137" i="18"/>
  <c r="D1138" i="18"/>
  <c r="D1139" i="18"/>
  <c r="D1140" i="18"/>
  <c r="D1141" i="18"/>
  <c r="D1142" i="18"/>
  <c r="D1143" i="18"/>
  <c r="J1143" i="18"/>
  <c r="H1143" i="18"/>
  <c r="K1131" i="18" s="1"/>
  <c r="K1141" i="18"/>
  <c r="D1046" i="18"/>
  <c r="D1047" i="18"/>
  <c r="D1048" i="18"/>
  <c r="D1049" i="18"/>
  <c r="D1050" i="18"/>
  <c r="D1051" i="18"/>
  <c r="D1052" i="18"/>
  <c r="D1053" i="18"/>
  <c r="D1054" i="18"/>
  <c r="D1055" i="18"/>
  <c r="K1053" i="18"/>
  <c r="D1292" i="18"/>
  <c r="G1292" i="18" s="1"/>
  <c r="D1277" i="18"/>
  <c r="G1277" i="18" s="1"/>
  <c r="D1255" i="18"/>
  <c r="G1255" i="18" s="1"/>
  <c r="D1233" i="18"/>
  <c r="G1233" i="18" s="1"/>
  <c r="J1217" i="18"/>
  <c r="D1204" i="18"/>
  <c r="G1204" i="18" s="1"/>
  <c r="J1202" i="18"/>
  <c r="D1189" i="18"/>
  <c r="G1189" i="18" s="1"/>
  <c r="D1167" i="18"/>
  <c r="G1167" i="18" s="1"/>
  <c r="D1145" i="18"/>
  <c r="G1145" i="18" s="1"/>
  <c r="K1135" i="18"/>
  <c r="K1136" i="18"/>
  <c r="K1137" i="18"/>
  <c r="K1138" i="18"/>
  <c r="K1139" i="18"/>
  <c r="K1140" i="18"/>
  <c r="K1142" i="18"/>
  <c r="K1134" i="18"/>
  <c r="N1131" i="18"/>
  <c r="D1131" i="18"/>
  <c r="G1131" i="18" s="1"/>
  <c r="I1034" i="18"/>
  <c r="I1038" i="18" s="1"/>
  <c r="D1030" i="18"/>
  <c r="D1031" i="18"/>
  <c r="D1032" i="18"/>
  <c r="D1033" i="18"/>
  <c r="D1034" i="18"/>
  <c r="D1027" i="18"/>
  <c r="G1027" i="18" s="1"/>
  <c r="K1145" i="18" l="1"/>
  <c r="H1162" i="18"/>
  <c r="K1233" i="18"/>
  <c r="H1250" i="18"/>
  <c r="K1255" i="18"/>
  <c r="H1272" i="18"/>
  <c r="K2218" i="18"/>
  <c r="H2229" i="18"/>
  <c r="K1167" i="18"/>
  <c r="H1184" i="18"/>
  <c r="H1160" i="18"/>
  <c r="H1182" i="18"/>
  <c r="J1055" i="18"/>
  <c r="H1055" i="18"/>
  <c r="J2128" i="18"/>
  <c r="J2225" i="18"/>
  <c r="J2229" i="18" s="1"/>
  <c r="N2126" i="18"/>
  <c r="N2128" i="18" s="1"/>
  <c r="N1918" i="18"/>
  <c r="N1922" i="18" s="1"/>
  <c r="J1918" i="18"/>
  <c r="K1143" i="18"/>
  <c r="J166" i="5"/>
  <c r="J165" i="5"/>
  <c r="F166" i="5"/>
  <c r="F165" i="5"/>
  <c r="F93" i="21"/>
  <c r="F45" i="69"/>
  <c r="F44" i="69"/>
  <c r="E78" i="69"/>
  <c r="F32" i="73"/>
  <c r="I59" i="68"/>
  <c r="I58" i="68"/>
  <c r="I47" i="68"/>
  <c r="I46" i="68"/>
  <c r="K2118" i="18" l="1"/>
  <c r="N2132" i="18"/>
  <c r="F78" i="69"/>
  <c r="I47" i="72"/>
  <c r="G1" i="5"/>
  <c r="H136" i="50"/>
  <c r="F797" i="5" l="1"/>
  <c r="J797" i="5"/>
  <c r="F796" i="5"/>
  <c r="J796" i="5"/>
  <c r="D2468" i="18"/>
  <c r="D2469" i="18"/>
  <c r="D2470" i="18"/>
  <c r="D2471" i="18"/>
  <c r="D2472" i="18"/>
  <c r="D2473" i="18"/>
  <c r="D2474" i="18"/>
  <c r="D2475" i="18"/>
  <c r="D2476" i="18"/>
  <c r="D2477" i="18"/>
  <c r="D2478" i="18"/>
  <c r="D2479" i="18"/>
  <c r="D2480" i="18"/>
  <c r="D2481" i="18"/>
  <c r="D2482" i="18"/>
  <c r="D2483" i="18"/>
  <c r="D2484" i="18"/>
  <c r="D2485" i="18"/>
  <c r="D2486" i="18"/>
  <c r="D2487" i="18"/>
  <c r="D2488" i="18"/>
  <c r="D2489" i="18"/>
  <c r="D2490" i="18"/>
  <c r="D2491" i="18"/>
  <c r="D2492" i="18"/>
  <c r="D2493" i="18"/>
  <c r="D2494" i="18"/>
  <c r="K2451" i="18"/>
  <c r="K2452" i="18"/>
  <c r="K2453" i="18"/>
  <c r="K2435" i="18"/>
  <c r="K2436" i="18"/>
  <c r="K2437" i="18"/>
  <c r="K2438" i="18"/>
  <c r="K2439" i="18"/>
  <c r="K2440" i="18"/>
  <c r="K2441" i="18"/>
  <c r="K2442" i="18"/>
  <c r="K2443" i="18"/>
  <c r="K2444" i="18"/>
  <c r="K2445" i="18"/>
  <c r="K2446" i="18"/>
  <c r="K2447" i="18"/>
  <c r="K2448" i="18"/>
  <c r="K2449" i="18"/>
  <c r="K2450" i="18"/>
  <c r="K2434" i="18"/>
  <c r="D2434" i="18"/>
  <c r="D2435" i="18"/>
  <c r="D2436" i="18"/>
  <c r="D2437" i="18"/>
  <c r="D2438" i="18"/>
  <c r="D2439" i="18"/>
  <c r="D2440" i="18"/>
  <c r="D2441" i="18"/>
  <c r="D2442" i="18"/>
  <c r="D2443" i="18"/>
  <c r="D2444" i="18"/>
  <c r="D2445" i="18"/>
  <c r="D2446" i="18"/>
  <c r="D2447" i="18"/>
  <c r="D2448" i="18"/>
  <c r="D2449" i="18"/>
  <c r="D2450" i="18"/>
  <c r="D2451" i="18"/>
  <c r="D2452" i="18"/>
  <c r="D2453" i="18"/>
  <c r="D2454" i="18"/>
  <c r="M2454" i="18"/>
  <c r="M2458" i="18" s="1"/>
  <c r="L2454" i="18"/>
  <c r="J2454" i="18"/>
  <c r="I2454" i="18"/>
  <c r="N2431" i="18" s="1"/>
  <c r="D2431" i="18"/>
  <c r="G2431" i="18" s="1"/>
  <c r="M2418" i="18"/>
  <c r="M2417" i="18"/>
  <c r="J2418" i="18"/>
  <c r="J2417" i="18"/>
  <c r="L2422" i="18"/>
  <c r="K2422" i="18"/>
  <c r="I2422" i="18"/>
  <c r="H2422" i="18"/>
  <c r="K2412" i="18" s="1"/>
  <c r="D2417" i="18"/>
  <c r="D2418" i="18"/>
  <c r="D2419" i="18"/>
  <c r="D2420" i="18"/>
  <c r="D2421" i="18"/>
  <c r="D2422" i="18"/>
  <c r="D2412" i="18"/>
  <c r="G2412" i="18" s="1"/>
  <c r="H2456" i="18" s="1"/>
  <c r="K1506" i="18"/>
  <c r="K1505" i="18"/>
  <c r="K1504" i="18"/>
  <c r="K1503" i="18"/>
  <c r="K1502" i="18"/>
  <c r="K1496" i="18"/>
  <c r="K1501" i="18"/>
  <c r="K1500" i="18"/>
  <c r="K1499" i="18"/>
  <c r="K1498" i="18"/>
  <c r="J1508" i="18"/>
  <c r="I1508" i="18"/>
  <c r="H1508" i="18"/>
  <c r="D1507" i="18"/>
  <c r="N2412" i="18" l="1"/>
  <c r="I2426" i="18"/>
  <c r="K2454" i="18"/>
  <c r="K2458" i="18" s="1"/>
  <c r="M798" i="5"/>
  <c r="M799" i="5" s="1"/>
  <c r="I798" i="5"/>
  <c r="I799" i="5" s="1"/>
  <c r="J2422" i="18"/>
  <c r="J2426" i="18" s="1"/>
  <c r="M2422" i="18"/>
  <c r="M2426" i="18" s="1"/>
  <c r="K1508" i="18"/>
  <c r="C38" i="71" l="1"/>
  <c r="E60" i="68"/>
  <c r="Q6" i="71"/>
  <c r="D6" i="71"/>
  <c r="C33" i="71"/>
  <c r="C26" i="71"/>
  <c r="C21" i="71"/>
  <c r="C62" i="70"/>
  <c r="C70" i="69"/>
  <c r="F6" i="70"/>
  <c r="E6" i="70"/>
  <c r="C70" i="70"/>
  <c r="C54" i="70"/>
  <c r="A64" i="69"/>
  <c r="A65" i="69"/>
  <c r="A66" i="69"/>
  <c r="A67" i="69"/>
  <c r="A68" i="69"/>
  <c r="A57" i="69"/>
  <c r="A58" i="69"/>
  <c r="A59" i="69"/>
  <c r="A60" i="69"/>
  <c r="A61" i="69"/>
  <c r="A62" i="69"/>
  <c r="A63" i="69"/>
  <c r="A52" i="69"/>
  <c r="A53" i="69"/>
  <c r="A54" i="69"/>
  <c r="A55" i="69"/>
  <c r="A56" i="69"/>
  <c r="A50" i="69"/>
  <c r="A51" i="69"/>
  <c r="A33" i="69"/>
  <c r="A34" i="69"/>
  <c r="A35" i="69"/>
  <c r="A36" i="69"/>
  <c r="A37" i="69"/>
  <c r="A38" i="69"/>
  <c r="A39" i="69"/>
  <c r="A40" i="69"/>
  <c r="A41" i="69"/>
  <c r="A42" i="69"/>
  <c r="A43" i="69"/>
  <c r="A44" i="69"/>
  <c r="A45" i="69"/>
  <c r="A46" i="69"/>
  <c r="A47" i="69"/>
  <c r="A48" i="69"/>
  <c r="A49" i="69"/>
  <c r="A30" i="69"/>
  <c r="A31" i="69"/>
  <c r="A32" i="69"/>
  <c r="A8" i="69"/>
  <c r="A9" i="69"/>
  <c r="A10" i="69"/>
  <c r="A11" i="69"/>
  <c r="A12" i="69"/>
  <c r="A13" i="69"/>
  <c r="A14" i="69"/>
  <c r="A15" i="69"/>
  <c r="A16" i="69"/>
  <c r="A17" i="69"/>
  <c r="A18" i="69"/>
  <c r="A19" i="69"/>
  <c r="A20" i="69"/>
  <c r="A21" i="69"/>
  <c r="A22" i="69"/>
  <c r="A23" i="69"/>
  <c r="A24" i="69"/>
  <c r="A25" i="69"/>
  <c r="A26" i="69"/>
  <c r="A27" i="69"/>
  <c r="A28" i="69"/>
  <c r="A29" i="69"/>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C28" i="70"/>
  <c r="C62" i="69"/>
  <c r="F6" i="69"/>
  <c r="E6" i="69"/>
  <c r="C57" i="69"/>
  <c r="C58" i="69"/>
  <c r="C59" i="69"/>
  <c r="C60" i="69"/>
  <c r="C61" i="69"/>
  <c r="C63" i="69"/>
  <c r="C53" i="69"/>
  <c r="C50" i="69"/>
  <c r="C51" i="69"/>
  <c r="C47" i="69"/>
  <c r="C32" i="69"/>
  <c r="C30" i="69"/>
  <c r="C13" i="69"/>
  <c r="K6" i="68"/>
  <c r="G6" i="68"/>
  <c r="E67" i="68" s="1"/>
  <c r="I70" i="68"/>
  <c r="G53" i="68"/>
  <c r="H53" i="68"/>
  <c r="G54" i="68"/>
  <c r="H54" i="68"/>
  <c r="G55" i="68"/>
  <c r="H55" i="68"/>
  <c r="G56" i="68"/>
  <c r="H56" i="68"/>
  <c r="G57" i="68"/>
  <c r="H57" i="68"/>
  <c r="G29" i="68"/>
  <c r="H29" i="68"/>
  <c r="G30" i="68"/>
  <c r="H30" i="68"/>
  <c r="E54" i="68"/>
  <c r="E55" i="68"/>
  <c r="E56" i="68"/>
  <c r="E57" i="68"/>
  <c r="E46" i="68"/>
  <c r="E47" i="68"/>
  <c r="E48" i="68"/>
  <c r="E49" i="68"/>
  <c r="E50" i="68"/>
  <c r="E51" i="68"/>
  <c r="E52" i="68"/>
  <c r="E53" i="68"/>
  <c r="E41" i="68"/>
  <c r="E42" i="68"/>
  <c r="E43" i="68"/>
  <c r="E44" i="68"/>
  <c r="E45" i="68"/>
  <c r="E35" i="68"/>
  <c r="E36" i="68"/>
  <c r="E37" i="68"/>
  <c r="E38" i="68"/>
  <c r="E39" i="68"/>
  <c r="E40" i="68"/>
  <c r="E33" i="68"/>
  <c r="I40" i="68"/>
  <c r="I41" i="68"/>
  <c r="I42" i="68"/>
  <c r="I43" i="68"/>
  <c r="I34" i="68"/>
  <c r="I35" i="68"/>
  <c r="I36" i="68"/>
  <c r="I37" i="68"/>
  <c r="I38" i="68"/>
  <c r="I39" i="68"/>
  <c r="I33" i="68"/>
  <c r="I44" i="68"/>
  <c r="I28" i="68"/>
  <c r="I29" i="68"/>
  <c r="I30" i="68"/>
  <c r="I22" i="68"/>
  <c r="I23" i="68"/>
  <c r="I24" i="68"/>
  <c r="I25" i="68"/>
  <c r="I26" i="68"/>
  <c r="I27" i="68"/>
  <c r="I15" i="68"/>
  <c r="I16" i="68"/>
  <c r="I17" i="68"/>
  <c r="I18" i="68"/>
  <c r="I19" i="68"/>
  <c r="I20" i="68"/>
  <c r="I21" i="68"/>
  <c r="I9" i="68"/>
  <c r="I10" i="68"/>
  <c r="I11" i="68"/>
  <c r="I12" i="68"/>
  <c r="I13" i="68"/>
  <c r="I14" i="68"/>
  <c r="E28" i="68"/>
  <c r="E29" i="68"/>
  <c r="E30" i="68"/>
  <c r="E17" i="68"/>
  <c r="E18" i="68"/>
  <c r="E19" i="68"/>
  <c r="E20" i="68"/>
  <c r="E21" i="68"/>
  <c r="E22" i="68"/>
  <c r="E23" i="68"/>
  <c r="E24" i="68"/>
  <c r="E25" i="68"/>
  <c r="E26" i="68"/>
  <c r="E27" i="68"/>
  <c r="E9" i="68"/>
  <c r="E10" i="68"/>
  <c r="E11" i="68"/>
  <c r="E12" i="68"/>
  <c r="E13" i="68"/>
  <c r="E14" i="68"/>
  <c r="E15" i="68"/>
  <c r="E16" i="68"/>
  <c r="Q6" i="75"/>
  <c r="D6" i="75"/>
  <c r="F6" i="74"/>
  <c r="E6" i="74"/>
  <c r="F6" i="73"/>
  <c r="E6" i="73"/>
  <c r="K6" i="72"/>
  <c r="G6" i="72"/>
  <c r="E58" i="72" s="1"/>
  <c r="E3" i="72"/>
  <c r="Y37" i="75"/>
  <c r="L37" i="75"/>
  <c r="T37" i="75"/>
  <c r="G37" i="75"/>
  <c r="C37" i="75"/>
  <c r="C34" i="75"/>
  <c r="C33" i="75"/>
  <c r="C27" i="75"/>
  <c r="C26" i="75"/>
  <c r="C23" i="75"/>
  <c r="C19" i="75"/>
  <c r="C17" i="75"/>
  <c r="C16" i="75"/>
  <c r="C45" i="74"/>
  <c r="C57" i="73"/>
  <c r="C32" i="73"/>
  <c r="C31" i="73"/>
  <c r="K51" i="72"/>
  <c r="H51" i="72"/>
  <c r="E51" i="72"/>
  <c r="C36" i="75"/>
  <c r="C50" i="75" s="1"/>
  <c r="C35" i="75"/>
  <c r="C32" i="75"/>
  <c r="C31" i="75"/>
  <c r="C30" i="75"/>
  <c r="C29" i="75"/>
  <c r="C28" i="75"/>
  <c r="C25" i="75"/>
  <c r="C24" i="75"/>
  <c r="C22" i="75"/>
  <c r="C21" i="75"/>
  <c r="C20" i="75"/>
  <c r="C18" i="75"/>
  <c r="C15" i="75"/>
  <c r="C78" i="73" s="1"/>
  <c r="C14" i="75"/>
  <c r="C13" i="75"/>
  <c r="C12" i="75"/>
  <c r="C11" i="75"/>
  <c r="C10" i="75"/>
  <c r="C9" i="75"/>
  <c r="C5" i="75"/>
  <c r="U4" i="75"/>
  <c r="H4" i="75"/>
  <c r="C89" i="74"/>
  <c r="C78" i="74"/>
  <c r="C105" i="74" s="1"/>
  <c r="A78" i="74"/>
  <c r="C77" i="74"/>
  <c r="A77" i="74"/>
  <c r="C76" i="74"/>
  <c r="A76" i="74"/>
  <c r="C75" i="74"/>
  <c r="C101" i="74" s="1"/>
  <c r="A75" i="74"/>
  <c r="C74" i="74"/>
  <c r="C97" i="74" s="1"/>
  <c r="A74" i="74"/>
  <c r="C73" i="74"/>
  <c r="A73" i="74"/>
  <c r="C72" i="74"/>
  <c r="A72" i="74"/>
  <c r="C71" i="74"/>
  <c r="A71" i="74"/>
  <c r="C70" i="74"/>
  <c r="A70" i="74"/>
  <c r="C69" i="74"/>
  <c r="A69" i="74"/>
  <c r="C68" i="74"/>
  <c r="C93" i="74" s="1"/>
  <c r="A68" i="74"/>
  <c r="C67" i="74"/>
  <c r="A67" i="74"/>
  <c r="C66" i="74"/>
  <c r="A66" i="74"/>
  <c r="C65" i="74"/>
  <c r="A65" i="74"/>
  <c r="C64" i="74"/>
  <c r="A64" i="74"/>
  <c r="C63" i="74"/>
  <c r="A63" i="74"/>
  <c r="C62" i="74"/>
  <c r="A62" i="74"/>
  <c r="C61" i="74"/>
  <c r="A61" i="74"/>
  <c r="C60" i="74"/>
  <c r="A60" i="74"/>
  <c r="C59" i="74"/>
  <c r="A59" i="74"/>
  <c r="C58" i="74"/>
  <c r="A58" i="74"/>
  <c r="C57" i="74"/>
  <c r="A57" i="74"/>
  <c r="C56" i="74"/>
  <c r="A56" i="74"/>
  <c r="C55" i="74"/>
  <c r="A55" i="74"/>
  <c r="C54" i="74"/>
  <c r="A54" i="74"/>
  <c r="C53" i="74"/>
  <c r="A53" i="74"/>
  <c r="A52" i="74"/>
  <c r="C51" i="74"/>
  <c r="C88" i="74" s="1"/>
  <c r="A51" i="74"/>
  <c r="C50" i="74"/>
  <c r="A50" i="74"/>
  <c r="C44" i="74"/>
  <c r="C84" i="74" s="1"/>
  <c r="A44" i="74"/>
  <c r="C43" i="74"/>
  <c r="C102" i="74" s="1"/>
  <c r="A43" i="74"/>
  <c r="C42" i="74"/>
  <c r="C106" i="74" s="1"/>
  <c r="A42" i="74"/>
  <c r="C41" i="74"/>
  <c r="A41" i="74"/>
  <c r="C40" i="74"/>
  <c r="A40" i="74"/>
  <c r="C39" i="74"/>
  <c r="A39" i="74"/>
  <c r="C38" i="74"/>
  <c r="A38" i="74"/>
  <c r="C37" i="74"/>
  <c r="A37" i="74"/>
  <c r="C36" i="74"/>
  <c r="A36" i="74"/>
  <c r="C35" i="74"/>
  <c r="A35" i="74"/>
  <c r="C34" i="74"/>
  <c r="A34" i="74"/>
  <c r="C33" i="74"/>
  <c r="A33" i="74"/>
  <c r="C32" i="74"/>
  <c r="A32" i="74"/>
  <c r="F31" i="74"/>
  <c r="C31" i="74"/>
  <c r="A31" i="74"/>
  <c r="C30" i="74"/>
  <c r="A30" i="74"/>
  <c r="C29" i="74"/>
  <c r="A29" i="74"/>
  <c r="C28" i="74"/>
  <c r="A28" i="74"/>
  <c r="C27" i="74"/>
  <c r="A27" i="74"/>
  <c r="C26" i="74"/>
  <c r="A26" i="74"/>
  <c r="C25" i="74"/>
  <c r="A25" i="74"/>
  <c r="C24" i="74"/>
  <c r="A24" i="74"/>
  <c r="C23" i="74"/>
  <c r="A23" i="74"/>
  <c r="C22" i="74"/>
  <c r="A22" i="74"/>
  <c r="C21" i="74"/>
  <c r="A21" i="74"/>
  <c r="C20" i="74"/>
  <c r="A20" i="74"/>
  <c r="C19" i="74"/>
  <c r="A19" i="74"/>
  <c r="F18" i="74"/>
  <c r="C18" i="74"/>
  <c r="A18" i="74"/>
  <c r="C17" i="74"/>
  <c r="C94" i="74" s="1"/>
  <c r="A17" i="74"/>
  <c r="C16" i="74"/>
  <c r="A16" i="74"/>
  <c r="C15" i="74"/>
  <c r="A15" i="74"/>
  <c r="C14" i="74"/>
  <c r="A14" i="74"/>
  <c r="C13" i="74"/>
  <c r="A13" i="74"/>
  <c r="C12" i="74"/>
  <c r="A12" i="74"/>
  <c r="C11" i="74"/>
  <c r="A11" i="74"/>
  <c r="C10" i="74"/>
  <c r="A10" i="74"/>
  <c r="C9" i="74"/>
  <c r="A9" i="74"/>
  <c r="C8" i="74"/>
  <c r="A8" i="74"/>
  <c r="F7" i="74"/>
  <c r="E7" i="74"/>
  <c r="C7" i="74"/>
  <c r="A7" i="74"/>
  <c r="C5" i="74"/>
  <c r="C3" i="74"/>
  <c r="C55" i="73"/>
  <c r="A55" i="73"/>
  <c r="C54" i="73"/>
  <c r="A54" i="73"/>
  <c r="C53" i="73"/>
  <c r="A53" i="73"/>
  <c r="C52" i="73"/>
  <c r="C77" i="73" s="1"/>
  <c r="A52" i="73"/>
  <c r="C51" i="73"/>
  <c r="A51" i="73"/>
  <c r="C50" i="73"/>
  <c r="A50" i="73"/>
  <c r="C49" i="73"/>
  <c r="A49" i="73"/>
  <c r="C48" i="73"/>
  <c r="A48" i="73"/>
  <c r="C47" i="73"/>
  <c r="C46" i="73"/>
  <c r="C45" i="73"/>
  <c r="A45" i="73"/>
  <c r="C44" i="73"/>
  <c r="C43" i="73"/>
  <c r="A43" i="73"/>
  <c r="C42" i="73"/>
  <c r="C41" i="73"/>
  <c r="A41" i="73"/>
  <c r="C40" i="73"/>
  <c r="A40" i="73"/>
  <c r="C39" i="73"/>
  <c r="A39" i="73"/>
  <c r="C38" i="73"/>
  <c r="A38" i="73"/>
  <c r="C37" i="73"/>
  <c r="A37" i="73"/>
  <c r="C36" i="73"/>
  <c r="A36" i="73"/>
  <c r="C35" i="73"/>
  <c r="A35" i="73"/>
  <c r="C34" i="73"/>
  <c r="A34" i="73"/>
  <c r="C33" i="73"/>
  <c r="C73" i="73" s="1"/>
  <c r="A33" i="73"/>
  <c r="A32" i="73"/>
  <c r="A31" i="73"/>
  <c r="C30" i="73"/>
  <c r="A30" i="73"/>
  <c r="C29" i="73"/>
  <c r="A29" i="73"/>
  <c r="C28" i="73"/>
  <c r="A28" i="73"/>
  <c r="C27" i="73"/>
  <c r="A27" i="73"/>
  <c r="C26" i="73"/>
  <c r="A26" i="73"/>
  <c r="C25" i="73"/>
  <c r="A25" i="73"/>
  <c r="C24" i="73"/>
  <c r="A24" i="73"/>
  <c r="C23" i="73"/>
  <c r="A23" i="73"/>
  <c r="C22" i="73"/>
  <c r="A22" i="73"/>
  <c r="C21" i="73"/>
  <c r="A21" i="73"/>
  <c r="C20" i="73"/>
  <c r="A20" i="73"/>
  <c r="A19" i="73"/>
  <c r="C18" i="73"/>
  <c r="A18" i="73"/>
  <c r="C17" i="73"/>
  <c r="A17" i="73"/>
  <c r="C16" i="73"/>
  <c r="A16" i="73"/>
  <c r="C15" i="73"/>
  <c r="A15" i="73"/>
  <c r="C14" i="73"/>
  <c r="A14" i="73"/>
  <c r="C13" i="73"/>
  <c r="A13" i="73"/>
  <c r="C12" i="73"/>
  <c r="A12" i="73"/>
  <c r="C11" i="73"/>
  <c r="A11" i="73"/>
  <c r="C10" i="73"/>
  <c r="A10" i="73"/>
  <c r="C9" i="73"/>
  <c r="A9" i="73"/>
  <c r="C8" i="73"/>
  <c r="A8" i="73"/>
  <c r="C7" i="73"/>
  <c r="A7" i="73"/>
  <c r="C5" i="73"/>
  <c r="C3" i="73"/>
  <c r="I50" i="72"/>
  <c r="I61" i="72" s="1"/>
  <c r="E50" i="72"/>
  <c r="E61" i="72" s="1"/>
  <c r="B50" i="72"/>
  <c r="A50" i="72"/>
  <c r="I49" i="72"/>
  <c r="E49" i="72"/>
  <c r="B49" i="72"/>
  <c r="A49" i="72"/>
  <c r="I48" i="72"/>
  <c r="H48" i="72"/>
  <c r="G48" i="72"/>
  <c r="E48" i="72"/>
  <c r="B48" i="72"/>
  <c r="A48" i="72"/>
  <c r="I46" i="72"/>
  <c r="H46" i="72"/>
  <c r="G46" i="72"/>
  <c r="E46" i="72"/>
  <c r="B46" i="72"/>
  <c r="A46" i="72"/>
  <c r="I45" i="72"/>
  <c r="H45" i="72"/>
  <c r="G45" i="72"/>
  <c r="E45" i="72"/>
  <c r="B45" i="72"/>
  <c r="A45" i="72"/>
  <c r="I44" i="72"/>
  <c r="H44" i="72"/>
  <c r="G44" i="72"/>
  <c r="E44" i="72"/>
  <c r="B44" i="72"/>
  <c r="A44" i="72"/>
  <c r="I43" i="72"/>
  <c r="E43" i="72"/>
  <c r="B43" i="72"/>
  <c r="A43" i="72"/>
  <c r="I42" i="72"/>
  <c r="E42" i="72"/>
  <c r="B42" i="72"/>
  <c r="A42" i="72"/>
  <c r="I41" i="72"/>
  <c r="E41" i="72"/>
  <c r="B41" i="72"/>
  <c r="A41" i="72"/>
  <c r="I40" i="72"/>
  <c r="E40" i="72"/>
  <c r="B40" i="72"/>
  <c r="A40" i="72"/>
  <c r="I39" i="72"/>
  <c r="E39" i="72"/>
  <c r="B39" i="72"/>
  <c r="A39" i="72"/>
  <c r="I38" i="72"/>
  <c r="E38" i="72"/>
  <c r="B38" i="72"/>
  <c r="A38" i="72"/>
  <c r="K37" i="72"/>
  <c r="I37" i="72"/>
  <c r="E37" i="72"/>
  <c r="B37" i="72"/>
  <c r="A37" i="72"/>
  <c r="I36" i="72"/>
  <c r="E36" i="72"/>
  <c r="B36" i="72"/>
  <c r="A36" i="72"/>
  <c r="I35" i="72"/>
  <c r="E35" i="72"/>
  <c r="B35" i="72"/>
  <c r="A35" i="72"/>
  <c r="I34" i="72"/>
  <c r="E34" i="72"/>
  <c r="B34" i="72"/>
  <c r="A34" i="72"/>
  <c r="I33" i="72"/>
  <c r="E33" i="72"/>
  <c r="B33" i="72"/>
  <c r="A33" i="72"/>
  <c r="I32" i="72"/>
  <c r="E32" i="72"/>
  <c r="B32" i="72"/>
  <c r="A32" i="72"/>
  <c r="I31" i="72"/>
  <c r="E31" i="72"/>
  <c r="B31" i="72"/>
  <c r="A31" i="72"/>
  <c r="I30" i="72"/>
  <c r="E30" i="72"/>
  <c r="B30" i="72"/>
  <c r="A30" i="72"/>
  <c r="I29" i="72"/>
  <c r="E29" i="72"/>
  <c r="B29" i="72"/>
  <c r="A29" i="72"/>
  <c r="I28" i="72"/>
  <c r="E28" i="72"/>
  <c r="B28" i="72"/>
  <c r="A28" i="72"/>
  <c r="I27" i="72"/>
  <c r="E27" i="72"/>
  <c r="B27" i="72"/>
  <c r="A27" i="72"/>
  <c r="I26" i="72"/>
  <c r="E26" i="72"/>
  <c r="B26" i="72"/>
  <c r="A26" i="72"/>
  <c r="I25" i="72"/>
  <c r="E25" i="72"/>
  <c r="B25" i="72"/>
  <c r="A25" i="72"/>
  <c r="K24" i="72"/>
  <c r="I24" i="72"/>
  <c r="G24" i="72"/>
  <c r="E24" i="72"/>
  <c r="B24" i="72"/>
  <c r="A24" i="72"/>
  <c r="I23" i="72"/>
  <c r="E23" i="72"/>
  <c r="B23" i="72"/>
  <c r="A23" i="72"/>
  <c r="I22" i="72"/>
  <c r="E22" i="72"/>
  <c r="B22" i="72"/>
  <c r="A22" i="72"/>
  <c r="I21" i="72"/>
  <c r="E21" i="72"/>
  <c r="B21" i="72"/>
  <c r="A21" i="72"/>
  <c r="I20" i="72"/>
  <c r="E20" i="72"/>
  <c r="B20" i="72"/>
  <c r="A20" i="72"/>
  <c r="I19" i="72"/>
  <c r="E19" i="72"/>
  <c r="B19" i="72"/>
  <c r="A19" i="72"/>
  <c r="I18" i="72"/>
  <c r="E18" i="72"/>
  <c r="B18" i="72"/>
  <c r="A18" i="72"/>
  <c r="I17" i="72"/>
  <c r="E17" i="72"/>
  <c r="B17" i="72"/>
  <c r="A17" i="72"/>
  <c r="I16" i="72"/>
  <c r="E16" i="72"/>
  <c r="B16" i="72"/>
  <c r="A16" i="72"/>
  <c r="I15" i="72"/>
  <c r="E15" i="72"/>
  <c r="B15" i="72"/>
  <c r="A15" i="72"/>
  <c r="I14" i="72"/>
  <c r="E14" i="72"/>
  <c r="B14" i="72"/>
  <c r="A14" i="72"/>
  <c r="I13" i="72"/>
  <c r="E13" i="72"/>
  <c r="B13" i="72"/>
  <c r="A13" i="72"/>
  <c r="I12" i="72"/>
  <c r="E12" i="72"/>
  <c r="B12" i="72"/>
  <c r="A12" i="72"/>
  <c r="I11" i="72"/>
  <c r="E11" i="72"/>
  <c r="B11" i="72"/>
  <c r="A11" i="72"/>
  <c r="I10" i="72"/>
  <c r="E10" i="72"/>
  <c r="B10" i="72"/>
  <c r="A10" i="72"/>
  <c r="I9" i="72"/>
  <c r="E9" i="72"/>
  <c r="B9" i="72"/>
  <c r="A9" i="72"/>
  <c r="I8" i="72"/>
  <c r="E8" i="72"/>
  <c r="B8" i="72"/>
  <c r="A8" i="72"/>
  <c r="L7" i="72"/>
  <c r="I7" i="72"/>
  <c r="H7" i="72"/>
  <c r="G7" i="72"/>
  <c r="E7" i="72"/>
  <c r="B7" i="72"/>
  <c r="A7" i="72"/>
  <c r="E5" i="72"/>
  <c r="D13" i="7"/>
  <c r="Y38" i="71"/>
  <c r="T38" i="71"/>
  <c r="L38" i="71"/>
  <c r="G38" i="71"/>
  <c r="C37" i="71"/>
  <c r="C51" i="71" s="1"/>
  <c r="C36" i="71"/>
  <c r="C32" i="71"/>
  <c r="C30" i="71"/>
  <c r="C29" i="71"/>
  <c r="C28" i="71"/>
  <c r="C27" i="71"/>
  <c r="C25" i="71"/>
  <c r="C24" i="71"/>
  <c r="C23" i="71"/>
  <c r="C22" i="71"/>
  <c r="C35" i="71"/>
  <c r="C34" i="71"/>
  <c r="C20" i="71"/>
  <c r="C19" i="71"/>
  <c r="C18" i="71"/>
  <c r="C17" i="71"/>
  <c r="C16" i="71"/>
  <c r="C15" i="71"/>
  <c r="C83" i="69" s="1"/>
  <c r="C14" i="71"/>
  <c r="C13" i="71"/>
  <c r="C12" i="71"/>
  <c r="C11" i="71"/>
  <c r="C10" i="71"/>
  <c r="C9" i="71"/>
  <c r="U4" i="71"/>
  <c r="H4" i="71"/>
  <c r="C106" i="70"/>
  <c r="C95" i="70"/>
  <c r="C122" i="70" s="1"/>
  <c r="A95" i="70"/>
  <c r="C94" i="70"/>
  <c r="A94" i="70"/>
  <c r="C93" i="70"/>
  <c r="A93" i="70"/>
  <c r="C92" i="70"/>
  <c r="C118" i="70" s="1"/>
  <c r="A92" i="70"/>
  <c r="C91" i="70"/>
  <c r="C114" i="70" s="1"/>
  <c r="A91" i="70"/>
  <c r="C90" i="70"/>
  <c r="A90" i="70"/>
  <c r="C89" i="70"/>
  <c r="A89" i="70"/>
  <c r="C88" i="70"/>
  <c r="A88" i="70"/>
  <c r="C87" i="70"/>
  <c r="A87" i="70"/>
  <c r="C86" i="70"/>
  <c r="A86" i="70"/>
  <c r="C85" i="70"/>
  <c r="C110" i="70" s="1"/>
  <c r="A85" i="70"/>
  <c r="C84" i="70"/>
  <c r="A84" i="70"/>
  <c r="C83" i="70"/>
  <c r="A83" i="70"/>
  <c r="C82" i="70"/>
  <c r="A82" i="70"/>
  <c r="C81" i="70"/>
  <c r="A81" i="70"/>
  <c r="C80" i="70"/>
  <c r="A80" i="70"/>
  <c r="C79" i="70"/>
  <c r="A79" i="70"/>
  <c r="C78" i="70"/>
  <c r="A78" i="70"/>
  <c r="C77" i="70"/>
  <c r="A77" i="70"/>
  <c r="C76" i="70"/>
  <c r="A76" i="70"/>
  <c r="C75" i="70"/>
  <c r="A75" i="70"/>
  <c r="C74" i="70"/>
  <c r="A74" i="70"/>
  <c r="C73" i="70"/>
  <c r="A73" i="70"/>
  <c r="C72" i="70"/>
  <c r="A72" i="70"/>
  <c r="C71" i="70"/>
  <c r="A71" i="70"/>
  <c r="A69" i="70"/>
  <c r="C68" i="70"/>
  <c r="C105" i="70" s="1"/>
  <c r="A68" i="70"/>
  <c r="C67" i="70"/>
  <c r="A67" i="70"/>
  <c r="C61" i="70"/>
  <c r="C115" i="70" s="1"/>
  <c r="A61" i="70"/>
  <c r="C60" i="70"/>
  <c r="C119" i="70" s="1"/>
  <c r="A60" i="70"/>
  <c r="C59" i="70"/>
  <c r="C123" i="70" s="1"/>
  <c r="A59" i="70"/>
  <c r="C58" i="70"/>
  <c r="A58" i="70"/>
  <c r="C57" i="70"/>
  <c r="A57" i="70"/>
  <c r="C56" i="70"/>
  <c r="A56" i="70"/>
  <c r="C55" i="70"/>
  <c r="A55" i="70"/>
  <c r="C53" i="70"/>
  <c r="A53" i="70"/>
  <c r="C52" i="70"/>
  <c r="A52" i="70"/>
  <c r="C51" i="70"/>
  <c r="A51" i="70"/>
  <c r="C50" i="70"/>
  <c r="A50" i="70"/>
  <c r="C49" i="70"/>
  <c r="A49" i="70"/>
  <c r="C48" i="70"/>
  <c r="A48" i="70"/>
  <c r="C47" i="70"/>
  <c r="A47" i="70"/>
  <c r="C46" i="70"/>
  <c r="A46" i="70"/>
  <c r="C45" i="70"/>
  <c r="A45" i="70"/>
  <c r="C44" i="70"/>
  <c r="A44" i="70"/>
  <c r="C43" i="70"/>
  <c r="A43" i="70"/>
  <c r="C42" i="70"/>
  <c r="A42" i="70"/>
  <c r="C41" i="70"/>
  <c r="A41" i="70"/>
  <c r="C40" i="70"/>
  <c r="A40" i="70"/>
  <c r="C39" i="70"/>
  <c r="A39" i="70"/>
  <c r="C38" i="70"/>
  <c r="A38" i="70"/>
  <c r="C37" i="70"/>
  <c r="A37" i="70"/>
  <c r="C36" i="70"/>
  <c r="A36" i="70"/>
  <c r="C35" i="70"/>
  <c r="A35" i="70"/>
  <c r="C34" i="70"/>
  <c r="A34" i="70"/>
  <c r="C33" i="70"/>
  <c r="C111" i="70" s="1"/>
  <c r="A33" i="70"/>
  <c r="C32" i="70"/>
  <c r="A32" i="70"/>
  <c r="C31" i="70"/>
  <c r="A31" i="70"/>
  <c r="C30" i="70"/>
  <c r="A30" i="70"/>
  <c r="C29" i="70"/>
  <c r="A29" i="70"/>
  <c r="C27" i="70"/>
  <c r="A27" i="70"/>
  <c r="C26" i="70"/>
  <c r="A26" i="70"/>
  <c r="C25" i="70"/>
  <c r="A25" i="70"/>
  <c r="C24" i="70"/>
  <c r="A24" i="70"/>
  <c r="C23" i="70"/>
  <c r="A23" i="70"/>
  <c r="C22" i="70"/>
  <c r="A22" i="70"/>
  <c r="C21" i="70"/>
  <c r="A21" i="70"/>
  <c r="C20" i="70"/>
  <c r="A20" i="70"/>
  <c r="C19" i="70"/>
  <c r="A19" i="70"/>
  <c r="C18" i="70"/>
  <c r="A18" i="70"/>
  <c r="C17" i="70"/>
  <c r="A17" i="70"/>
  <c r="C16" i="70"/>
  <c r="A16" i="70"/>
  <c r="C15" i="70"/>
  <c r="A15" i="70"/>
  <c r="C14" i="70"/>
  <c r="A14" i="70"/>
  <c r="C13" i="70"/>
  <c r="A13" i="70"/>
  <c r="C12" i="70"/>
  <c r="A12" i="70"/>
  <c r="C11" i="70"/>
  <c r="A11" i="70"/>
  <c r="C10" i="70"/>
  <c r="A10" i="70"/>
  <c r="C9" i="70"/>
  <c r="A9" i="70"/>
  <c r="C8" i="70"/>
  <c r="A8" i="70"/>
  <c r="C7" i="70"/>
  <c r="A7" i="70"/>
  <c r="C5" i="70"/>
  <c r="C3" i="70"/>
  <c r="C68" i="69"/>
  <c r="C67" i="69"/>
  <c r="C66" i="69"/>
  <c r="C65" i="69"/>
  <c r="C90" i="69" s="1"/>
  <c r="C64" i="69"/>
  <c r="C56" i="69"/>
  <c r="C55" i="69"/>
  <c r="C54" i="69"/>
  <c r="C52" i="69"/>
  <c r="C49" i="69"/>
  <c r="C48" i="69"/>
  <c r="C46" i="69"/>
  <c r="C86" i="69" s="1"/>
  <c r="C45" i="69"/>
  <c r="C44" i="69"/>
  <c r="C43" i="69"/>
  <c r="C42" i="69"/>
  <c r="C41" i="69"/>
  <c r="C40" i="69"/>
  <c r="C39" i="69"/>
  <c r="C38" i="69"/>
  <c r="C37" i="69"/>
  <c r="C36" i="69"/>
  <c r="C35" i="69"/>
  <c r="C34" i="69"/>
  <c r="C33" i="69"/>
  <c r="C29" i="69"/>
  <c r="C28" i="69"/>
  <c r="C27" i="69"/>
  <c r="C26" i="69"/>
  <c r="C25" i="69"/>
  <c r="C24" i="69"/>
  <c r="C23" i="69"/>
  <c r="C22" i="69"/>
  <c r="C21" i="69"/>
  <c r="C20" i="69"/>
  <c r="C19" i="69"/>
  <c r="C18" i="69"/>
  <c r="C17" i="69"/>
  <c r="C16" i="69"/>
  <c r="C15" i="69"/>
  <c r="C14" i="69"/>
  <c r="C12" i="69"/>
  <c r="C11" i="69"/>
  <c r="C10" i="69"/>
  <c r="C9" i="69"/>
  <c r="C8" i="69"/>
  <c r="C7" i="69"/>
  <c r="A7" i="69"/>
  <c r="C5" i="69"/>
  <c r="C3" i="69"/>
  <c r="K60" i="68"/>
  <c r="H60" i="68"/>
  <c r="E59" i="68"/>
  <c r="E68" i="68" s="1"/>
  <c r="E58" i="68"/>
  <c r="I57" i="68"/>
  <c r="I56" i="68"/>
  <c r="I55" i="68"/>
  <c r="I54" i="68"/>
  <c r="I53" i="68"/>
  <c r="I52" i="68"/>
  <c r="I51" i="68"/>
  <c r="I50" i="68"/>
  <c r="I49" i="68"/>
  <c r="I48" i="68"/>
  <c r="K46" i="68"/>
  <c r="I45" i="68"/>
  <c r="E34" i="68"/>
  <c r="I32" i="68"/>
  <c r="E32" i="68"/>
  <c r="I31" i="68"/>
  <c r="E31" i="68"/>
  <c r="I8" i="68"/>
  <c r="E8" i="68"/>
  <c r="I7" i="68"/>
  <c r="E7" i="68"/>
  <c r="B7" i="68"/>
  <c r="A7" i="68"/>
  <c r="E5" i="68"/>
  <c r="E3" i="68"/>
  <c r="J676" i="5"/>
  <c r="F676" i="5"/>
  <c r="E676" i="5"/>
  <c r="C676" i="5"/>
  <c r="B676" i="5"/>
  <c r="A676" i="5"/>
  <c r="J668" i="5"/>
  <c r="F668" i="5"/>
  <c r="E668" i="5"/>
  <c r="C668" i="5"/>
  <c r="B668" i="5"/>
  <c r="A668" i="5"/>
  <c r="C38" i="2"/>
  <c r="C31" i="2"/>
  <c r="C30" i="2"/>
  <c r="C29" i="2"/>
  <c r="C27" i="2"/>
  <c r="C22" i="2"/>
  <c r="E14" i="21"/>
  <c r="C73" i="21"/>
  <c r="C70" i="21"/>
  <c r="C71" i="21"/>
  <c r="C72" i="21"/>
  <c r="C28" i="8"/>
  <c r="A28" i="8"/>
  <c r="A29" i="8"/>
  <c r="A30" i="8"/>
  <c r="A31" i="8"/>
  <c r="C20" i="8"/>
  <c r="A20" i="8"/>
  <c r="A21" i="8"/>
  <c r="A22" i="8"/>
  <c r="C77" i="21"/>
  <c r="C75" i="21"/>
  <c r="C74" i="21"/>
  <c r="C68" i="21"/>
  <c r="A68" i="21"/>
  <c r="A70" i="21"/>
  <c r="A71" i="21"/>
  <c r="C62" i="21"/>
  <c r="C63" i="21"/>
  <c r="C64" i="21"/>
  <c r="C65" i="21"/>
  <c r="C66" i="21"/>
  <c r="C67" i="21"/>
  <c r="C69" i="21"/>
  <c r="C61" i="21"/>
  <c r="C60" i="21"/>
  <c r="C56" i="21"/>
  <c r="C57" i="21"/>
  <c r="C58" i="21"/>
  <c r="C59" i="21"/>
  <c r="C55" i="21"/>
  <c r="C54" i="21"/>
  <c r="C53" i="21"/>
  <c r="C52" i="21"/>
  <c r="C45" i="21"/>
  <c r="C92" i="21" s="1"/>
  <c r="C43" i="21"/>
  <c r="C40" i="21"/>
  <c r="C33" i="21"/>
  <c r="C10" i="21"/>
  <c r="K26" i="7"/>
  <c r="K35" i="7" s="1"/>
  <c r="F23" i="7"/>
  <c r="F35" i="7" s="1"/>
  <c r="D63" i="7"/>
  <c r="D64" i="7"/>
  <c r="D65" i="7"/>
  <c r="D66" i="7"/>
  <c r="B68" i="7"/>
  <c r="A68" i="7"/>
  <c r="B67" i="7"/>
  <c r="A67" i="7"/>
  <c r="B66" i="7"/>
  <c r="A66" i="7"/>
  <c r="B65" i="7"/>
  <c r="A65" i="7"/>
  <c r="B64" i="7"/>
  <c r="A64" i="7"/>
  <c r="B63" i="7"/>
  <c r="A63" i="7"/>
  <c r="B62" i="7"/>
  <c r="A62" i="7"/>
  <c r="B61" i="7"/>
  <c r="A61" i="7"/>
  <c r="B60" i="7"/>
  <c r="A60" i="7"/>
  <c r="B59" i="7"/>
  <c r="A59" i="7"/>
  <c r="B58" i="7"/>
  <c r="A58" i="7"/>
  <c r="B57" i="7"/>
  <c r="A57" i="7"/>
  <c r="B56" i="7"/>
  <c r="A56" i="7"/>
  <c r="B55" i="7"/>
  <c r="A55" i="7"/>
  <c r="B54" i="7"/>
  <c r="A54" i="7"/>
  <c r="B53" i="7"/>
  <c r="A53" i="7"/>
  <c r="B52" i="7"/>
  <c r="A52" i="7"/>
  <c r="B51" i="7"/>
  <c r="A51" i="7"/>
  <c r="B50" i="7"/>
  <c r="A50" i="7"/>
  <c r="B49" i="7"/>
  <c r="A49" i="7"/>
  <c r="B48" i="7"/>
  <c r="A48" i="7"/>
  <c r="B47" i="7"/>
  <c r="A47" i="7"/>
  <c r="B46" i="7"/>
  <c r="A46" i="7"/>
  <c r="B45" i="7"/>
  <c r="A45" i="7"/>
  <c r="B44" i="7"/>
  <c r="A44" i="7"/>
  <c r="B43" i="7"/>
  <c r="A43" i="7"/>
  <c r="B42" i="7"/>
  <c r="A42" i="7"/>
  <c r="B41" i="7"/>
  <c r="A41" i="7"/>
  <c r="B40" i="7"/>
  <c r="A40" i="7"/>
  <c r="B39" i="7"/>
  <c r="A39" i="7"/>
  <c r="B38" i="7"/>
  <c r="A38" i="7"/>
  <c r="B37" i="7"/>
  <c r="A37" i="7"/>
  <c r="B36" i="7"/>
  <c r="A36" i="7"/>
  <c r="B35" i="7"/>
  <c r="A35" i="7"/>
  <c r="B34" i="7"/>
  <c r="A34" i="7"/>
  <c r="B33" i="7"/>
  <c r="A33" i="7"/>
  <c r="B32" i="7"/>
  <c r="A32" i="7"/>
  <c r="B31" i="7"/>
  <c r="A31" i="7"/>
  <c r="B30" i="7"/>
  <c r="A30" i="7"/>
  <c r="B29" i="7"/>
  <c r="A29" i="7"/>
  <c r="B28" i="7"/>
  <c r="A28" i="7"/>
  <c r="B27" i="7"/>
  <c r="A27" i="7"/>
  <c r="B26" i="7"/>
  <c r="A26" i="7"/>
  <c r="B25" i="7"/>
  <c r="A25" i="7"/>
  <c r="B24" i="7"/>
  <c r="A24" i="7"/>
  <c r="B23" i="7"/>
  <c r="A23" i="7"/>
  <c r="B22" i="7"/>
  <c r="A22" i="7"/>
  <c r="B21" i="7"/>
  <c r="A21" i="7"/>
  <c r="B20" i="7"/>
  <c r="A20" i="7"/>
  <c r="B19" i="7"/>
  <c r="A19" i="7"/>
  <c r="B18" i="7"/>
  <c r="A18" i="7"/>
  <c r="B17" i="7"/>
  <c r="A17" i="7"/>
  <c r="B16" i="7"/>
  <c r="A16" i="7"/>
  <c r="B15" i="7"/>
  <c r="A15" i="7"/>
  <c r="B14" i="7"/>
  <c r="A14" i="7"/>
  <c r="B13" i="7"/>
  <c r="A13" i="7"/>
  <c r="B12" i="7"/>
  <c r="A12" i="7"/>
  <c r="B11" i="7"/>
  <c r="A11" i="7"/>
  <c r="B10" i="7"/>
  <c r="A10" i="7"/>
  <c r="M676" i="5" l="1"/>
  <c r="M668" i="5"/>
  <c r="L44" i="71"/>
  <c r="C65" i="73"/>
  <c r="C69" i="73"/>
  <c r="C64" i="73"/>
  <c r="C82" i="69"/>
  <c r="C77" i="69"/>
  <c r="C78" i="69"/>
  <c r="L43" i="75"/>
  <c r="C98" i="74"/>
  <c r="E59" i="72"/>
  <c r="C74" i="73"/>
  <c r="C70" i="73"/>
  <c r="L44" i="75"/>
  <c r="C83" i="74"/>
  <c r="I59" i="72"/>
  <c r="C91" i="69"/>
  <c r="C87" i="69"/>
  <c r="I68" i="68"/>
  <c r="E70" i="68"/>
  <c r="L45" i="71"/>
  <c r="C101" i="70"/>
  <c r="C100" i="70"/>
  <c r="D60" i="7"/>
  <c r="D59" i="7"/>
  <c r="D58" i="7"/>
  <c r="D57" i="7"/>
  <c r="D56" i="7"/>
  <c r="I47" i="7"/>
  <c r="I46" i="7"/>
  <c r="I38" i="7"/>
  <c r="D42" i="7"/>
  <c r="D37" i="7"/>
  <c r="D33" i="7"/>
  <c r="D34" i="7"/>
  <c r="D25" i="7"/>
  <c r="I25" i="7"/>
  <c r="I19" i="7"/>
  <c r="I15" i="7"/>
  <c r="D15" i="7"/>
  <c r="I14" i="7"/>
  <c r="D14" i="7"/>
  <c r="D21" i="7"/>
  <c r="N1491" i="18"/>
  <c r="K1491" i="18"/>
  <c r="D1491" i="18"/>
  <c r="G1491" i="18" s="1"/>
  <c r="D3734" i="18"/>
  <c r="D3735" i="18"/>
  <c r="D3736" i="18"/>
  <c r="D3737" i="18"/>
  <c r="D3738" i="18"/>
  <c r="D3739" i="18"/>
  <c r="D3740" i="18"/>
  <c r="D3741" i="18"/>
  <c r="D3742" i="18"/>
  <c r="D3743" i="18"/>
  <c r="D3744" i="18"/>
  <c r="D3745" i="18"/>
  <c r="D3746" i="18"/>
  <c r="D3747" i="18"/>
  <c r="D3748" i="18"/>
  <c r="K3748" i="18"/>
  <c r="J3748" i="18"/>
  <c r="H3748" i="18"/>
  <c r="I81" i="18"/>
  <c r="I74" i="18"/>
  <c r="H81" i="18"/>
  <c r="H74" i="18"/>
  <c r="D74" i="18"/>
  <c r="D75" i="18"/>
  <c r="D76" i="18"/>
  <c r="D77" i="18"/>
  <c r="D78" i="18"/>
  <c r="D79" i="18"/>
  <c r="D80" i="18"/>
  <c r="D81" i="18"/>
  <c r="D82" i="18"/>
  <c r="D83" i="18"/>
  <c r="D84" i="18"/>
  <c r="D85" i="18"/>
  <c r="D86" i="18"/>
  <c r="D87" i="18"/>
  <c r="H87" i="18" l="1"/>
  <c r="K71" i="18" s="1"/>
  <c r="J2554" i="18"/>
  <c r="I2554" i="18"/>
  <c r="N2543" i="18" s="1"/>
  <c r="D2546" i="18"/>
  <c r="D2547" i="18"/>
  <c r="D2548" i="18"/>
  <c r="D2549" i="18"/>
  <c r="D2550" i="18"/>
  <c r="D2551" i="18"/>
  <c r="D2552" i="18"/>
  <c r="D2553" i="18"/>
  <c r="D2554" i="18"/>
  <c r="D2543" i="18"/>
  <c r="G2543" i="18" s="1"/>
  <c r="M2541" i="18"/>
  <c r="J2541" i="18"/>
  <c r="I2541" i="18"/>
  <c r="N2530" i="18" s="1"/>
  <c r="D2533" i="18"/>
  <c r="D2534" i="18"/>
  <c r="D2535" i="18"/>
  <c r="D2536" i="18"/>
  <c r="D2537" i="18"/>
  <c r="D2538" i="18"/>
  <c r="D2539" i="18"/>
  <c r="D2540" i="18"/>
  <c r="D2541" i="18"/>
  <c r="D2530" i="18"/>
  <c r="G2530" i="18" s="1"/>
  <c r="G5229" i="18"/>
  <c r="G5228" i="18"/>
  <c r="G5227" i="18"/>
  <c r="J4108" i="18"/>
  <c r="N4100" i="18"/>
  <c r="K4100" i="18"/>
  <c r="D4103" i="18"/>
  <c r="D4104" i="18"/>
  <c r="D4105" i="18"/>
  <c r="D4106" i="18"/>
  <c r="D4107" i="18"/>
  <c r="D4108" i="18"/>
  <c r="D4100" i="18"/>
  <c r="G4100" i="18" s="1"/>
  <c r="J2199" i="18"/>
  <c r="N2191" i="18"/>
  <c r="K2191" i="18"/>
  <c r="D2194" i="18"/>
  <c r="D2195" i="18"/>
  <c r="D2196" i="18"/>
  <c r="D2197" i="18"/>
  <c r="D2198" i="18"/>
  <c r="D2199" i="18"/>
  <c r="D2191" i="18"/>
  <c r="G2191" i="18" s="1"/>
  <c r="J314" i="18"/>
  <c r="N306" i="18"/>
  <c r="K306" i="18"/>
  <c r="D309" i="18"/>
  <c r="D310" i="18"/>
  <c r="D311" i="18"/>
  <c r="D312" i="18"/>
  <c r="D313" i="18"/>
  <c r="D314" i="18"/>
  <c r="D306" i="18"/>
  <c r="G306" i="18" s="1"/>
  <c r="H64" i="18"/>
  <c r="H67" i="18" s="1"/>
  <c r="K59" i="18" s="1"/>
  <c r="R2491" i="18"/>
  <c r="P2491" i="18"/>
  <c r="O2491" i="18"/>
  <c r="N2491" i="18"/>
  <c r="M2491" i="18"/>
  <c r="L2491" i="18"/>
  <c r="K2491" i="18"/>
  <c r="J2491" i="18"/>
  <c r="I2491" i="18"/>
  <c r="H2491" i="18"/>
  <c r="R2479" i="18"/>
  <c r="P2479" i="18"/>
  <c r="O2479" i="18"/>
  <c r="N2479" i="18"/>
  <c r="M2479" i="18"/>
  <c r="L2479" i="18"/>
  <c r="K2479" i="18"/>
  <c r="J2479" i="18"/>
  <c r="I2479" i="18"/>
  <c r="H2479" i="18"/>
  <c r="H1079" i="18"/>
  <c r="D420" i="18"/>
  <c r="D421" i="18"/>
  <c r="D422" i="18"/>
  <c r="D423" i="18"/>
  <c r="D424" i="18"/>
  <c r="D425" i="18"/>
  <c r="D426" i="18"/>
  <c r="D427" i="18"/>
  <c r="D428" i="18"/>
  <c r="I428" i="18"/>
  <c r="H428" i="18"/>
  <c r="K415" i="18" s="1"/>
  <c r="D415" i="18"/>
  <c r="G415" i="18" s="1"/>
  <c r="I1114" i="18"/>
  <c r="H1114" i="18"/>
  <c r="K1101" i="18" s="1"/>
  <c r="I1092" i="18"/>
  <c r="I1096" i="18" s="1"/>
  <c r="H1092" i="18"/>
  <c r="D1101" i="18"/>
  <c r="G1101" i="18" s="1"/>
  <c r="D1079" i="18"/>
  <c r="G1079" i="18" s="1"/>
  <c r="H3731" i="18"/>
  <c r="M4970" i="18" s="1"/>
  <c r="D6105" i="18"/>
  <c r="D6106" i="18"/>
  <c r="D6107" i="18"/>
  <c r="D6108" i="18"/>
  <c r="D6109" i="18"/>
  <c r="D6110" i="18"/>
  <c r="D6111" i="18"/>
  <c r="D6112" i="18"/>
  <c r="D6113" i="18"/>
  <c r="H6113" i="18"/>
  <c r="K6102" i="18" s="1"/>
  <c r="I1070" i="18"/>
  <c r="H1070" i="18"/>
  <c r="D1062" i="18"/>
  <c r="D1063" i="18"/>
  <c r="D1064" i="18"/>
  <c r="D1065" i="18"/>
  <c r="D1066" i="18"/>
  <c r="D1067" i="18"/>
  <c r="D1068" i="18"/>
  <c r="D1069" i="18"/>
  <c r="D1070" i="18"/>
  <c r="D1057" i="18"/>
  <c r="G1057" i="18" s="1"/>
  <c r="N762" i="18"/>
  <c r="D767" i="18"/>
  <c r="D768" i="18"/>
  <c r="D769" i="18"/>
  <c r="D770" i="18"/>
  <c r="D771" i="18"/>
  <c r="D772" i="18"/>
  <c r="D773" i="18"/>
  <c r="D774" i="18"/>
  <c r="D775" i="18"/>
  <c r="D762" i="18"/>
  <c r="G762" i="18" s="1"/>
  <c r="H448" i="18"/>
  <c r="H468" i="18"/>
  <c r="I476" i="18"/>
  <c r="I483" i="18" s="1"/>
  <c r="H476" i="18"/>
  <c r="H483" i="18" s="1"/>
  <c r="N468" i="18" s="1"/>
  <c r="D473" i="18"/>
  <c r="D474" i="18"/>
  <c r="D475" i="18"/>
  <c r="D476" i="18"/>
  <c r="D477" i="18"/>
  <c r="D478" i="18"/>
  <c r="D479" i="18"/>
  <c r="D480" i="18"/>
  <c r="D481" i="18"/>
  <c r="D482" i="18"/>
  <c r="D483" i="18"/>
  <c r="D468" i="18"/>
  <c r="G468" i="18" s="1"/>
  <c r="I459" i="18"/>
  <c r="I463" i="18" s="1"/>
  <c r="H459" i="18"/>
  <c r="D453" i="18"/>
  <c r="D454" i="18"/>
  <c r="D455" i="18"/>
  <c r="D456" i="18"/>
  <c r="D457" i="18"/>
  <c r="D458" i="18"/>
  <c r="D459" i="18"/>
  <c r="D448" i="18"/>
  <c r="G448" i="18" s="1"/>
  <c r="P4383" i="18"/>
  <c r="O4383" i="18"/>
  <c r="N4383" i="18"/>
  <c r="M4383" i="18"/>
  <c r="L4383" i="18"/>
  <c r="K4383" i="18"/>
  <c r="J4383" i="18"/>
  <c r="I4383" i="18"/>
  <c r="H4383" i="18"/>
  <c r="P4376" i="18"/>
  <c r="O4376" i="18"/>
  <c r="N4376" i="18"/>
  <c r="M4376" i="18"/>
  <c r="L4376" i="18"/>
  <c r="K4376" i="18"/>
  <c r="J4376" i="18"/>
  <c r="I4376" i="18"/>
  <c r="H4376" i="18"/>
  <c r="D4376" i="18"/>
  <c r="D4377" i="18"/>
  <c r="D4378" i="18"/>
  <c r="D4379" i="18"/>
  <c r="D4380" i="18"/>
  <c r="D4381" i="18"/>
  <c r="D4382" i="18"/>
  <c r="D4383" i="18"/>
  <c r="D4384" i="18"/>
  <c r="D4385" i="18"/>
  <c r="D4386" i="18"/>
  <c r="D4387" i="18"/>
  <c r="D4388" i="18"/>
  <c r="D4389" i="18"/>
  <c r="D4390" i="18"/>
  <c r="D4391" i="18"/>
  <c r="D4392" i="18"/>
  <c r="D4393" i="18"/>
  <c r="D4394" i="18"/>
  <c r="G2699" i="18"/>
  <c r="G3107" i="18"/>
  <c r="G3108" i="18"/>
  <c r="G2700" i="18"/>
  <c r="P1639" i="18"/>
  <c r="P1640" i="18"/>
  <c r="O1640" i="18"/>
  <c r="G1" i="18"/>
  <c r="D13" i="18"/>
  <c r="D14" i="18"/>
  <c r="D15" i="18"/>
  <c r="D16" i="18"/>
  <c r="D17" i="18"/>
  <c r="H17" i="18"/>
  <c r="K10" i="18" s="1"/>
  <c r="H5846" i="18"/>
  <c r="H5814" i="18"/>
  <c r="H5784" i="18"/>
  <c r="H5770" i="18"/>
  <c r="H5755" i="18"/>
  <c r="H5747" i="18"/>
  <c r="H5737" i="18"/>
  <c r="H5727" i="18"/>
  <c r="H5717" i="18"/>
  <c r="H5707" i="18"/>
  <c r="H5697" i="18"/>
  <c r="H5687" i="18"/>
  <c r="H5677" i="18"/>
  <c r="H5667" i="18"/>
  <c r="H5657" i="18"/>
  <c r="H5644" i="18"/>
  <c r="H5631" i="18"/>
  <c r="H5611" i="18"/>
  <c r="H5585" i="18"/>
  <c r="H5567" i="18"/>
  <c r="D5558" i="18"/>
  <c r="G5558" i="18" s="1"/>
  <c r="H5558" i="18"/>
  <c r="H5464" i="18"/>
  <c r="H5429" i="18"/>
  <c r="H5395" i="18"/>
  <c r="H5379" i="18"/>
  <c r="H5363" i="18"/>
  <c r="H5346" i="18"/>
  <c r="H5329" i="18"/>
  <c r="H5315" i="18"/>
  <c r="H5300" i="18"/>
  <c r="H5285" i="18"/>
  <c r="H5218" i="18"/>
  <c r="H5204" i="18"/>
  <c r="H5193" i="18"/>
  <c r="H5166" i="18"/>
  <c r="H5156" i="18"/>
  <c r="H5146" i="18"/>
  <c r="H5137" i="18"/>
  <c r="H5129" i="18"/>
  <c r="H5106" i="18"/>
  <c r="H5095" i="18"/>
  <c r="H5084" i="18"/>
  <c r="H5073" i="18"/>
  <c r="H5062" i="18"/>
  <c r="H5046" i="18"/>
  <c r="H5030" i="18"/>
  <c r="H4975" i="18"/>
  <c r="H4967" i="18"/>
  <c r="H4954" i="18"/>
  <c r="H4936" i="18"/>
  <c r="H4923" i="18"/>
  <c r="K4947" i="18" s="1"/>
  <c r="H4908" i="18"/>
  <c r="H4886" i="18"/>
  <c r="H4872" i="18"/>
  <c r="H4858" i="18"/>
  <c r="H4831" i="18"/>
  <c r="H4809" i="18"/>
  <c r="H4780" i="18"/>
  <c r="H4754" i="18"/>
  <c r="H4729" i="18"/>
  <c r="H4698" i="18"/>
  <c r="H4667" i="18"/>
  <c r="H4637" i="18"/>
  <c r="H4567" i="18"/>
  <c r="H4544" i="18"/>
  <c r="H4520" i="18"/>
  <c r="H4511" i="18"/>
  <c r="H4502" i="18"/>
  <c r="H4492" i="18"/>
  <c r="H4461" i="18"/>
  <c r="H4428" i="18"/>
  <c r="H4417" i="18"/>
  <c r="H4371" i="18"/>
  <c r="H4364" i="18"/>
  <c r="H4355" i="18"/>
  <c r="H4344" i="18"/>
  <c r="H4334" i="18"/>
  <c r="H4312" i="18"/>
  <c r="H4291" i="18"/>
  <c r="H4273" i="18"/>
  <c r="K4801" i="18" s="1"/>
  <c r="H4265" i="18"/>
  <c r="O4284" i="18" s="1"/>
  <c r="H4251" i="18"/>
  <c r="H4237" i="18"/>
  <c r="H4226" i="18"/>
  <c r="H4217" i="18"/>
  <c r="H4202" i="18"/>
  <c r="H4182" i="18"/>
  <c r="H4172" i="18"/>
  <c r="H4151" i="18"/>
  <c r="H4122" i="18"/>
  <c r="H4111" i="18"/>
  <c r="H4088" i="18"/>
  <c r="H4078" i="18"/>
  <c r="H4065" i="18"/>
  <c r="H4055" i="18"/>
  <c r="M3935" i="18" s="1"/>
  <c r="H4001" i="18"/>
  <c r="M3934" i="18" s="1"/>
  <c r="H3983" i="18"/>
  <c r="H3972" i="18"/>
  <c r="R3994" i="18" s="1"/>
  <c r="H3931" i="18"/>
  <c r="H3920" i="18"/>
  <c r="H3860" i="18"/>
  <c r="H3833" i="18"/>
  <c r="H3822" i="18"/>
  <c r="H3805" i="18"/>
  <c r="M3768" i="18" s="1"/>
  <c r="H3794" i="18"/>
  <c r="H3774" i="18"/>
  <c r="M3767" i="18" s="1"/>
  <c r="H3764" i="18"/>
  <c r="H3661" i="18"/>
  <c r="H3632" i="18"/>
  <c r="H3622" i="18"/>
  <c r="H3572" i="18"/>
  <c r="H3562" i="18"/>
  <c r="H3535" i="18"/>
  <c r="J3556" i="18" s="1"/>
  <c r="H3475" i="18"/>
  <c r="H3447" i="18"/>
  <c r="J3469" i="18" s="1"/>
  <c r="H3436" i="18"/>
  <c r="H3425" i="18"/>
  <c r="H3413" i="18"/>
  <c r="H3398" i="18"/>
  <c r="H3385" i="18"/>
  <c r="H3363" i="18"/>
  <c r="H3323" i="18"/>
  <c r="H3310" i="18"/>
  <c r="H3290" i="18"/>
  <c r="J3304" i="18" s="1"/>
  <c r="H3280" i="18"/>
  <c r="J3303" i="18" s="1"/>
  <c r="H3273" i="18"/>
  <c r="H3260" i="18"/>
  <c r="H3244" i="18"/>
  <c r="H3217" i="18"/>
  <c r="H3204" i="18"/>
  <c r="H3192" i="18"/>
  <c r="H3175" i="18"/>
  <c r="H3113" i="18"/>
  <c r="H3043" i="18"/>
  <c r="H3006" i="18"/>
  <c r="H2982" i="18"/>
  <c r="H2920" i="18"/>
  <c r="H2908" i="18"/>
  <c r="M2825" i="18" s="1"/>
  <c r="H2877" i="18"/>
  <c r="H2830" i="18"/>
  <c r="H2821" i="18"/>
  <c r="H2797" i="18"/>
  <c r="M2643" i="18" s="1"/>
  <c r="H2748" i="18"/>
  <c r="H2733" i="18"/>
  <c r="H2719" i="18"/>
  <c r="H2705" i="18"/>
  <c r="H2648" i="18"/>
  <c r="M2642" i="18" s="1"/>
  <c r="H2639" i="18"/>
  <c r="H2618" i="18"/>
  <c r="H2599" i="18"/>
  <c r="H2557" i="18"/>
  <c r="H2520" i="18"/>
  <c r="H2506" i="18"/>
  <c r="H2497" i="18"/>
  <c r="H2463" i="18"/>
  <c r="N2425" i="18" s="1"/>
  <c r="H2378" i="18"/>
  <c r="H2330" i="18"/>
  <c r="H2349" i="18"/>
  <c r="H2293" i="18"/>
  <c r="H2273" i="18"/>
  <c r="L2309" i="18" s="1"/>
  <c r="H2315" i="18"/>
  <c r="H2260" i="18"/>
  <c r="O2223" i="18" s="1"/>
  <c r="H2247" i="18"/>
  <c r="O2222" i="18" s="1"/>
  <c r="H2234" i="18"/>
  <c r="O2221" i="18" s="1"/>
  <c r="H2202" i="18"/>
  <c r="M1795" i="18" s="1"/>
  <c r="H2171" i="18"/>
  <c r="H2157" i="18"/>
  <c r="H2118" i="18"/>
  <c r="H2105" i="18"/>
  <c r="M2068" i="18" s="1"/>
  <c r="H2092" i="18"/>
  <c r="M2067" i="18" s="1"/>
  <c r="H2079" i="18"/>
  <c r="M2066" i="18" s="1"/>
  <c r="H2137" i="18"/>
  <c r="H2063" i="18"/>
  <c r="O2131" i="18" s="1"/>
  <c r="H2048" i="18"/>
  <c r="H2032" i="18"/>
  <c r="H2021" i="18"/>
  <c r="H2001" i="18"/>
  <c r="H1986" i="18"/>
  <c r="H1971" i="18"/>
  <c r="H1947" i="18"/>
  <c r="H1908" i="18"/>
  <c r="H1895" i="18"/>
  <c r="O1858" i="18" s="1"/>
  <c r="H1882" i="18"/>
  <c r="O1857" i="18" s="1"/>
  <c r="H1869" i="18"/>
  <c r="O1856" i="18" s="1"/>
  <c r="H1927" i="18"/>
  <c r="H1853" i="18"/>
  <c r="H1838" i="18"/>
  <c r="H1823" i="18"/>
  <c r="H1812" i="18"/>
  <c r="H1799" i="18"/>
  <c r="H1790" i="18"/>
  <c r="H1774" i="18"/>
  <c r="H1665" i="18"/>
  <c r="H1636" i="18"/>
  <c r="H1617" i="18"/>
  <c r="H1577" i="18"/>
  <c r="H1567" i="18"/>
  <c r="H1557" i="18"/>
  <c r="H1538" i="18"/>
  <c r="H1527" i="18"/>
  <c r="H1520" i="18"/>
  <c r="H1510" i="18"/>
  <c r="H1469" i="18"/>
  <c r="H1348" i="18"/>
  <c r="H1326" i="18"/>
  <c r="H1116" i="18"/>
  <c r="H1409" i="18"/>
  <c r="H1307" i="18"/>
  <c r="L1342" i="18" s="1"/>
  <c r="H1219" i="18"/>
  <c r="H1043" i="18"/>
  <c r="H1013" i="18"/>
  <c r="H988" i="18"/>
  <c r="H977" i="18"/>
  <c r="H967" i="18"/>
  <c r="H956" i="18"/>
  <c r="H944" i="18"/>
  <c r="H934" i="18"/>
  <c r="H871" i="18"/>
  <c r="H859" i="18"/>
  <c r="H848" i="18"/>
  <c r="H740" i="18"/>
  <c r="H721" i="18"/>
  <c r="H706" i="18"/>
  <c r="H698" i="18"/>
  <c r="H658" i="18"/>
  <c r="H648" i="18"/>
  <c r="H629" i="18"/>
  <c r="H618" i="18"/>
  <c r="H611" i="18"/>
  <c r="H601" i="18"/>
  <c r="H579" i="18"/>
  <c r="H535" i="18"/>
  <c r="H515" i="18"/>
  <c r="H400" i="18"/>
  <c r="H378" i="18"/>
  <c r="H356" i="18"/>
  <c r="H430" i="18"/>
  <c r="L462" i="18" s="1"/>
  <c r="H334" i="18"/>
  <c r="H317" i="18"/>
  <c r="H293" i="18"/>
  <c r="H286" i="18"/>
  <c r="H273" i="18"/>
  <c r="H251" i="18"/>
  <c r="H214" i="18"/>
  <c r="H192" i="18"/>
  <c r="H170" i="18"/>
  <c r="H160" i="18"/>
  <c r="H146" i="18"/>
  <c r="H138" i="18"/>
  <c r="H120" i="18"/>
  <c r="H109" i="18"/>
  <c r="H90" i="18"/>
  <c r="H71" i="18"/>
  <c r="H10" i="18"/>
  <c r="N1799" i="18"/>
  <c r="H1809" i="18"/>
  <c r="K1799" i="18" s="1"/>
  <c r="D991" i="18"/>
  <c r="D992" i="18"/>
  <c r="D993" i="18"/>
  <c r="D994" i="18"/>
  <c r="D995" i="18"/>
  <c r="D996" i="18"/>
  <c r="D997" i="18"/>
  <c r="D998" i="18"/>
  <c r="D999" i="18"/>
  <c r="D1000" i="18"/>
  <c r="D1001" i="18"/>
  <c r="D1002" i="18"/>
  <c r="D1003" i="18"/>
  <c r="D1004" i="18"/>
  <c r="D320" i="18"/>
  <c r="D321" i="18"/>
  <c r="D322" i="18"/>
  <c r="D323" i="18"/>
  <c r="D324" i="18"/>
  <c r="D325" i="18"/>
  <c r="D326" i="18"/>
  <c r="D327" i="18"/>
  <c r="D328" i="18"/>
  <c r="D329" i="18"/>
  <c r="D330" i="18"/>
  <c r="D331" i="18"/>
  <c r="D332" i="18"/>
  <c r="G2695" i="18"/>
  <c r="G2694" i="18"/>
  <c r="G2693" i="18"/>
  <c r="G2692" i="18"/>
  <c r="G2691" i="18"/>
  <c r="G2690" i="18"/>
  <c r="G2689" i="18"/>
  <c r="G2688" i="18"/>
  <c r="G2687" i="18"/>
  <c r="G2684" i="18"/>
  <c r="G2683" i="18"/>
  <c r="G2682" i="18"/>
  <c r="G2681" i="18"/>
  <c r="G2680" i="18"/>
  <c r="G2679" i="18"/>
  <c r="G2678" i="18"/>
  <c r="G2677" i="18"/>
  <c r="G2676" i="18"/>
  <c r="G2673" i="18"/>
  <c r="G2672" i="18"/>
  <c r="G2671" i="18"/>
  <c r="G2670" i="18"/>
  <c r="G2669" i="18"/>
  <c r="G2668" i="18"/>
  <c r="G2667" i="18"/>
  <c r="G2666" i="18"/>
  <c r="G2665" i="18"/>
  <c r="O2685" i="18"/>
  <c r="N2685" i="18"/>
  <c r="M2685" i="18"/>
  <c r="L2685" i="18"/>
  <c r="K2685" i="18"/>
  <c r="J2685" i="18"/>
  <c r="I2685" i="18"/>
  <c r="H2685" i="18"/>
  <c r="O2674" i="18"/>
  <c r="N2674" i="18"/>
  <c r="M2674" i="18"/>
  <c r="L2674" i="18"/>
  <c r="E74" i="8" s="1"/>
  <c r="K2674" i="18"/>
  <c r="J2674" i="18"/>
  <c r="I2674" i="18"/>
  <c r="H2674" i="18"/>
  <c r="O2663" i="18"/>
  <c r="N2663" i="18"/>
  <c r="M2663" i="18"/>
  <c r="M2696" i="18" s="1"/>
  <c r="L2663" i="18"/>
  <c r="K2663" i="18"/>
  <c r="J2663" i="18"/>
  <c r="I2663" i="18"/>
  <c r="I2696" i="18" s="1"/>
  <c r="H2663" i="18"/>
  <c r="H2695" i="18"/>
  <c r="H2694" i="18"/>
  <c r="H2693" i="18"/>
  <c r="H2692" i="18"/>
  <c r="H2691" i="18"/>
  <c r="H2690" i="18"/>
  <c r="H2689" i="18"/>
  <c r="H2688" i="18"/>
  <c r="H2687" i="18"/>
  <c r="P2684" i="18"/>
  <c r="P2683" i="18"/>
  <c r="P2682" i="18"/>
  <c r="P2681" i="18"/>
  <c r="P2680" i="18"/>
  <c r="P2679" i="18"/>
  <c r="P2678" i="18"/>
  <c r="P2677" i="18"/>
  <c r="P2676" i="18"/>
  <c r="P2673" i="18"/>
  <c r="P2672" i="18"/>
  <c r="P2671" i="18"/>
  <c r="P2670" i="18"/>
  <c r="P2669" i="18"/>
  <c r="P2668" i="18"/>
  <c r="P2667" i="18"/>
  <c r="P2666" i="18"/>
  <c r="P2665" i="18"/>
  <c r="P2662" i="18"/>
  <c r="P2661" i="18"/>
  <c r="P2660" i="18"/>
  <c r="P2659" i="18"/>
  <c r="P2658" i="18"/>
  <c r="P2657" i="18"/>
  <c r="P2656" i="18"/>
  <c r="P2655" i="18"/>
  <c r="P2654" i="18"/>
  <c r="I5427" i="18"/>
  <c r="N5395" i="18" s="1"/>
  <c r="K5395" i="18"/>
  <c r="D5438" i="18"/>
  <c r="D5443" i="18"/>
  <c r="D5448" i="18"/>
  <c r="D5453" i="18"/>
  <c r="D5458" i="18"/>
  <c r="D5459" i="18"/>
  <c r="D5460" i="18"/>
  <c r="I5461" i="18"/>
  <c r="N5429" i="18" s="1"/>
  <c r="G5457" i="18"/>
  <c r="G5456" i="18"/>
  <c r="G5455" i="18"/>
  <c r="G5452" i="18"/>
  <c r="G5451" i="18"/>
  <c r="G5450" i="18"/>
  <c r="G5447" i="18"/>
  <c r="G5446" i="18"/>
  <c r="G5445" i="18"/>
  <c r="G5442" i="18"/>
  <c r="G5441" i="18"/>
  <c r="G5440" i="18"/>
  <c r="G5437" i="18"/>
  <c r="G5436" i="18"/>
  <c r="G5435" i="18"/>
  <c r="D5404" i="18"/>
  <c r="D5409" i="18"/>
  <c r="D5414" i="18"/>
  <c r="D5419" i="18"/>
  <c r="D5424" i="18"/>
  <c r="D5425" i="18"/>
  <c r="D5426" i="18"/>
  <c r="G5423" i="18"/>
  <c r="G5422" i="18"/>
  <c r="G5421" i="18"/>
  <c r="G5418" i="18"/>
  <c r="G5417" i="18"/>
  <c r="G5416" i="18"/>
  <c r="G5413" i="18"/>
  <c r="G5412" i="18"/>
  <c r="G5411" i="18"/>
  <c r="G5408" i="18"/>
  <c r="G5407" i="18"/>
  <c r="G5406" i="18"/>
  <c r="G5403" i="18"/>
  <c r="G5402" i="18"/>
  <c r="G5401" i="18"/>
  <c r="D5135" i="18"/>
  <c r="G5279" i="18"/>
  <c r="G5278" i="18"/>
  <c r="G5277" i="18"/>
  <c r="G5274" i="18"/>
  <c r="G5273" i="18"/>
  <c r="G5272" i="18"/>
  <c r="G5269" i="18"/>
  <c r="G5268" i="18"/>
  <c r="G5267" i="18"/>
  <c r="G5264" i="18"/>
  <c r="G5263" i="18"/>
  <c r="G5262" i="18"/>
  <c r="G5259" i="18"/>
  <c r="G5258" i="18"/>
  <c r="G5257" i="18"/>
  <c r="G5254" i="18"/>
  <c r="G5253" i="18"/>
  <c r="G5252" i="18"/>
  <c r="G5244" i="18"/>
  <c r="G5243" i="18"/>
  <c r="G5242" i="18"/>
  <c r="G5239" i="18"/>
  <c r="G5238" i="18"/>
  <c r="G5237" i="18"/>
  <c r="G5234" i="18"/>
  <c r="G5233" i="18"/>
  <c r="G5232" i="18"/>
  <c r="G5224" i="18"/>
  <c r="G5223" i="18"/>
  <c r="G5222" i="18"/>
  <c r="G5111" i="18"/>
  <c r="I4794" i="18"/>
  <c r="H4794" i="18"/>
  <c r="H4798" i="18"/>
  <c r="N4754" i="18"/>
  <c r="K4754" i="18"/>
  <c r="K4498" i="18"/>
  <c r="K4497" i="18"/>
  <c r="I4498" i="18"/>
  <c r="I4497" i="18"/>
  <c r="J4498" i="18"/>
  <c r="H4498" i="18"/>
  <c r="J4497" i="18"/>
  <c r="H4497" i="18"/>
  <c r="I4117" i="18"/>
  <c r="H4117" i="18"/>
  <c r="I4061" i="18"/>
  <c r="H4061" i="18"/>
  <c r="H4063" i="18" s="1"/>
  <c r="K4055" i="18" s="1"/>
  <c r="D4058" i="18"/>
  <c r="D4059" i="18"/>
  <c r="D4060" i="18"/>
  <c r="D4061" i="18"/>
  <c r="D4062" i="18"/>
  <c r="D4063" i="18"/>
  <c r="I4010" i="18"/>
  <c r="H4010" i="18"/>
  <c r="H4012" i="18" s="1"/>
  <c r="D4004" i="18"/>
  <c r="D4005" i="18"/>
  <c r="D4006" i="18"/>
  <c r="D4007" i="18"/>
  <c r="D4008" i="18"/>
  <c r="D4009" i="18"/>
  <c r="D4010" i="18"/>
  <c r="D4011" i="18"/>
  <c r="D4012" i="18"/>
  <c r="I3818" i="18"/>
  <c r="H3818" i="18"/>
  <c r="I3813" i="18"/>
  <c r="H3813" i="18"/>
  <c r="D3808" i="18"/>
  <c r="D3809" i="18"/>
  <c r="D3810" i="18"/>
  <c r="D3811" i="18"/>
  <c r="D3812" i="18"/>
  <c r="D3813" i="18"/>
  <c r="D3814" i="18"/>
  <c r="D3815" i="18"/>
  <c r="D3816" i="18"/>
  <c r="D3817" i="18"/>
  <c r="D3818" i="18"/>
  <c r="D3819" i="18"/>
  <c r="D3820" i="18"/>
  <c r="I3789" i="18"/>
  <c r="H3789" i="18"/>
  <c r="I3784" i="18"/>
  <c r="H3784" i="18"/>
  <c r="D3777" i="18"/>
  <c r="D3778" i="18"/>
  <c r="D3779" i="18"/>
  <c r="D3780" i="18"/>
  <c r="D3781" i="18"/>
  <c r="D3782" i="18"/>
  <c r="D3783" i="18"/>
  <c r="D3784" i="18"/>
  <c r="D3785" i="18"/>
  <c r="D3786" i="18"/>
  <c r="D3787" i="18"/>
  <c r="D3788" i="18"/>
  <c r="D3789" i="18"/>
  <c r="D3790" i="18"/>
  <c r="D3791" i="18"/>
  <c r="D3792" i="18"/>
  <c r="D2610" i="18"/>
  <c r="D2615" i="18"/>
  <c r="K2607" i="18"/>
  <c r="K2608" i="18"/>
  <c r="D2568" i="18"/>
  <c r="D2572" i="18"/>
  <c r="D2578" i="18"/>
  <c r="D2582" i="18"/>
  <c r="D2588" i="18"/>
  <c r="D2592" i="18"/>
  <c r="D2597" i="18"/>
  <c r="K2566" i="18"/>
  <c r="K2567" i="18"/>
  <c r="K3389" i="18"/>
  <c r="K3390" i="18"/>
  <c r="K3391" i="18"/>
  <c r="K3392" i="18"/>
  <c r="K3393" i="18"/>
  <c r="K3394" i="18"/>
  <c r="K3395" i="18"/>
  <c r="K3388" i="18"/>
  <c r="M2914" i="18"/>
  <c r="M2915" i="18"/>
  <c r="M2916" i="18"/>
  <c r="M2913" i="18"/>
  <c r="J2914" i="18"/>
  <c r="J2915" i="18"/>
  <c r="J2916" i="18"/>
  <c r="J2913" i="18"/>
  <c r="K2264" i="18"/>
  <c r="K2265" i="18"/>
  <c r="K2266" i="18"/>
  <c r="K2267" i="18"/>
  <c r="K2268" i="18"/>
  <c r="K2269" i="18"/>
  <c r="K2270" i="18"/>
  <c r="K2263" i="18"/>
  <c r="K2251" i="18"/>
  <c r="K2252" i="18"/>
  <c r="K2253" i="18"/>
  <c r="K2254" i="18"/>
  <c r="K2255" i="18"/>
  <c r="K2256" i="18"/>
  <c r="K2257" i="18"/>
  <c r="K2250" i="18"/>
  <c r="M2207" i="18"/>
  <c r="K1992" i="18"/>
  <c r="K1993" i="18"/>
  <c r="K1994" i="18"/>
  <c r="K1995" i="18"/>
  <c r="K1996" i="18"/>
  <c r="K1997" i="18"/>
  <c r="K1998" i="18"/>
  <c r="K1991" i="18"/>
  <c r="K1977" i="18"/>
  <c r="K1978" i="18"/>
  <c r="K1979" i="18"/>
  <c r="K1980" i="18"/>
  <c r="K1981" i="18"/>
  <c r="K1982" i="18"/>
  <c r="K1983" i="18"/>
  <c r="K1976" i="18"/>
  <c r="K1899" i="18"/>
  <c r="K1900" i="18"/>
  <c r="K1901" i="18"/>
  <c r="K1902" i="18"/>
  <c r="K1903" i="18"/>
  <c r="K1904" i="18"/>
  <c r="K1905" i="18"/>
  <c r="K1898" i="18"/>
  <c r="J4432" i="18"/>
  <c r="M4432" i="18" s="1"/>
  <c r="J4433" i="18"/>
  <c r="M4433" i="18" s="1"/>
  <c r="J4434" i="18"/>
  <c r="M4434" i="18" s="1"/>
  <c r="J4435" i="18"/>
  <c r="M4435" i="18" s="1"/>
  <c r="J4431" i="18"/>
  <c r="M4431" i="18" s="1"/>
  <c r="J2336" i="18"/>
  <c r="N2336" i="18" s="1"/>
  <c r="J2337" i="18"/>
  <c r="N2337" i="18" s="1"/>
  <c r="J2338" i="18"/>
  <c r="N2338" i="18" s="1"/>
  <c r="J2339" i="18"/>
  <c r="N2339" i="18" s="1"/>
  <c r="J2335" i="18"/>
  <c r="N2335" i="18" s="1"/>
  <c r="J1475" i="18"/>
  <c r="N1475" i="18" s="1"/>
  <c r="J1476" i="18"/>
  <c r="N1476" i="18" s="1"/>
  <c r="J1477" i="18"/>
  <c r="N1477" i="18" s="1"/>
  <c r="J1478" i="18"/>
  <c r="J1479" i="18"/>
  <c r="N1479" i="18" s="1"/>
  <c r="J1480" i="18"/>
  <c r="N1480" i="18" s="1"/>
  <c r="J1481" i="18"/>
  <c r="N1481" i="18" s="1"/>
  <c r="J1474" i="18"/>
  <c r="J854" i="18"/>
  <c r="N854" i="18" s="1"/>
  <c r="J855" i="18"/>
  <c r="N855" i="18" s="1"/>
  <c r="J853" i="18"/>
  <c r="N853" i="18" s="1"/>
  <c r="J585" i="18"/>
  <c r="J586" i="18"/>
  <c r="N586" i="18" s="1"/>
  <c r="J587" i="18"/>
  <c r="N587" i="18" s="1"/>
  <c r="J588" i="18"/>
  <c r="N588" i="18" s="1"/>
  <c r="J589" i="18"/>
  <c r="N589" i="18" s="1"/>
  <c r="J590" i="18"/>
  <c r="N590" i="18" s="1"/>
  <c r="J591" i="18"/>
  <c r="N591" i="18" s="1"/>
  <c r="J584" i="18"/>
  <c r="N584" i="18" s="1"/>
  <c r="J257" i="18"/>
  <c r="N257" i="18" s="1"/>
  <c r="J258" i="18"/>
  <c r="N258" i="18" s="1"/>
  <c r="J259" i="18"/>
  <c r="N259" i="18" s="1"/>
  <c r="J260" i="18"/>
  <c r="N260" i="18" s="1"/>
  <c r="J261" i="18"/>
  <c r="N261" i="18" s="1"/>
  <c r="J262" i="18"/>
  <c r="N262" i="18" s="1"/>
  <c r="J263" i="18"/>
  <c r="N263" i="18" s="1"/>
  <c r="J256" i="18"/>
  <c r="N256" i="18" s="1"/>
  <c r="K2365" i="18"/>
  <c r="K2364" i="18"/>
  <c r="K2363" i="18"/>
  <c r="K2362" i="18"/>
  <c r="K2361" i="18"/>
  <c r="K2360" i="18"/>
  <c r="K2359" i="18"/>
  <c r="K2358" i="18"/>
  <c r="K2357" i="18"/>
  <c r="K2356" i="18"/>
  <c r="K2354" i="18"/>
  <c r="K2153" i="18"/>
  <c r="K2152" i="18"/>
  <c r="K2151" i="18"/>
  <c r="K2150" i="18"/>
  <c r="K2149" i="18"/>
  <c r="K2148" i="18"/>
  <c r="K2147" i="18"/>
  <c r="K2146" i="18"/>
  <c r="K2145" i="18"/>
  <c r="K2144" i="18"/>
  <c r="K2142" i="18"/>
  <c r="K1932" i="18"/>
  <c r="K1938" i="18"/>
  <c r="K1939" i="18"/>
  <c r="K1940" i="18"/>
  <c r="K1941" i="18"/>
  <c r="K1942" i="18"/>
  <c r="K1943" i="18"/>
  <c r="K1935" i="18"/>
  <c r="K1936" i="18"/>
  <c r="K1937" i="18"/>
  <c r="K1934" i="18"/>
  <c r="O3089" i="18"/>
  <c r="N3089" i="18"/>
  <c r="M3089" i="18"/>
  <c r="L3089" i="18"/>
  <c r="H3089" i="18"/>
  <c r="O3075" i="18"/>
  <c r="N3075" i="18"/>
  <c r="M3075" i="18"/>
  <c r="L3075" i="18"/>
  <c r="H3075" i="18"/>
  <c r="O3061" i="18"/>
  <c r="N3061" i="18"/>
  <c r="M3061" i="18"/>
  <c r="K3061" i="18"/>
  <c r="J3061" i="18"/>
  <c r="I3061" i="18"/>
  <c r="H3061" i="18"/>
  <c r="H3092" i="18"/>
  <c r="H3093" i="18"/>
  <c r="H3094" i="18"/>
  <c r="H3095" i="18"/>
  <c r="H3096" i="18"/>
  <c r="H3097" i="18"/>
  <c r="H3098" i="18"/>
  <c r="H3099" i="18"/>
  <c r="H3100" i="18"/>
  <c r="H3101" i="18"/>
  <c r="H3102" i="18"/>
  <c r="H3091" i="18"/>
  <c r="G3102" i="18"/>
  <c r="G3101" i="18"/>
  <c r="G3100" i="18"/>
  <c r="G3099" i="18"/>
  <c r="G3098" i="18"/>
  <c r="G3097" i="18"/>
  <c r="G3096" i="18"/>
  <c r="G3095" i="18"/>
  <c r="G3094" i="18"/>
  <c r="G3093" i="18"/>
  <c r="G3092" i="18"/>
  <c r="G3091" i="18"/>
  <c r="G3088" i="18"/>
  <c r="G3087" i="18"/>
  <c r="G3086" i="18"/>
  <c r="G3085" i="18"/>
  <c r="G3084" i="18"/>
  <c r="G3083" i="18"/>
  <c r="G3082" i="18"/>
  <c r="G3081" i="18"/>
  <c r="G3080" i="18"/>
  <c r="G3079" i="18"/>
  <c r="G3078" i="18"/>
  <c r="G3077" i="18"/>
  <c r="G3074" i="18"/>
  <c r="G3073" i="18"/>
  <c r="G3072" i="18"/>
  <c r="G3071" i="18"/>
  <c r="G3070" i="18"/>
  <c r="G3069" i="18"/>
  <c r="G3068" i="18"/>
  <c r="G3067" i="18"/>
  <c r="G3066" i="18"/>
  <c r="G3065" i="18"/>
  <c r="G3064" i="18"/>
  <c r="G3063" i="18"/>
  <c r="P3088" i="18"/>
  <c r="P3087" i="18"/>
  <c r="P3086" i="18"/>
  <c r="P3085" i="18"/>
  <c r="P3084" i="18"/>
  <c r="P3083" i="18"/>
  <c r="P3082" i="18"/>
  <c r="P3081" i="18"/>
  <c r="P3080" i="18"/>
  <c r="P3079" i="18"/>
  <c r="P3078" i="18"/>
  <c r="P3077" i="18"/>
  <c r="P3074" i="18"/>
  <c r="P3073" i="18"/>
  <c r="P3072" i="18"/>
  <c r="P3071" i="18"/>
  <c r="P3070" i="18"/>
  <c r="P3069" i="18"/>
  <c r="P3068" i="18"/>
  <c r="P3067" i="18"/>
  <c r="P3066" i="18"/>
  <c r="P3065" i="18"/>
  <c r="P3064" i="18"/>
  <c r="H2979" i="18"/>
  <c r="H2978" i="18"/>
  <c r="H2976" i="18"/>
  <c r="H2975" i="18"/>
  <c r="H2973" i="18"/>
  <c r="H2972" i="18"/>
  <c r="H2970" i="18"/>
  <c r="H2969" i="18"/>
  <c r="O2965" i="18"/>
  <c r="O2964" i="18"/>
  <c r="O2962" i="18"/>
  <c r="O2961" i="18"/>
  <c r="O2959" i="18"/>
  <c r="O2958" i="18"/>
  <c r="O2956" i="18"/>
  <c r="O2955" i="18"/>
  <c r="O2951" i="18"/>
  <c r="O2950" i="18"/>
  <c r="O2948" i="18"/>
  <c r="O2947" i="18"/>
  <c r="O2945" i="18"/>
  <c r="O2944" i="18"/>
  <c r="O2942" i="18"/>
  <c r="O2941" i="18"/>
  <c r="N2966" i="18"/>
  <c r="M2966" i="18"/>
  <c r="L2966" i="18"/>
  <c r="K2966" i="18"/>
  <c r="H2966" i="18"/>
  <c r="N2952" i="18"/>
  <c r="M2952" i="18"/>
  <c r="L2952" i="18"/>
  <c r="K2952" i="18"/>
  <c r="H2952" i="18"/>
  <c r="N2938" i="18"/>
  <c r="M2938" i="18"/>
  <c r="L2938" i="18"/>
  <c r="J2938" i="18"/>
  <c r="I2938" i="18"/>
  <c r="H2938" i="18"/>
  <c r="G2979" i="18"/>
  <c r="G2978" i="18"/>
  <c r="G2977" i="18"/>
  <c r="G2976" i="18"/>
  <c r="G2975" i="18"/>
  <c r="G2974" i="18"/>
  <c r="G2973" i="18"/>
  <c r="G2972" i="18"/>
  <c r="G2971" i="18"/>
  <c r="G2970" i="18"/>
  <c r="G2969" i="18"/>
  <c r="G2968" i="18"/>
  <c r="G2965" i="18"/>
  <c r="G2964" i="18"/>
  <c r="G2963" i="18"/>
  <c r="G2962" i="18"/>
  <c r="G2961" i="18"/>
  <c r="G2960" i="18"/>
  <c r="G2959" i="18"/>
  <c r="G2958" i="18"/>
  <c r="G2957" i="18"/>
  <c r="G2956" i="18"/>
  <c r="G2955" i="18"/>
  <c r="G2954" i="18"/>
  <c r="G2951" i="18"/>
  <c r="G2950" i="18"/>
  <c r="G2949" i="18"/>
  <c r="G2948" i="18"/>
  <c r="G2947" i="18"/>
  <c r="G2946" i="18"/>
  <c r="G2943" i="18"/>
  <c r="G2945" i="18"/>
  <c r="G2944" i="18"/>
  <c r="G2942" i="18"/>
  <c r="G2941" i="18"/>
  <c r="G2940" i="18"/>
  <c r="D5334" i="18"/>
  <c r="D5335" i="18"/>
  <c r="D5336" i="18"/>
  <c r="D5337" i="18"/>
  <c r="D5338" i="18"/>
  <c r="D5339" i="18"/>
  <c r="D5340" i="18"/>
  <c r="D5341" i="18"/>
  <c r="D5342" i="18"/>
  <c r="D5343" i="18"/>
  <c r="D5344" i="18"/>
  <c r="L5344" i="18"/>
  <c r="K5344" i="18"/>
  <c r="J5344" i="18"/>
  <c r="I5344" i="18"/>
  <c r="N5329" i="18" s="1"/>
  <c r="H5344" i="18"/>
  <c r="K5329" i="18" s="1"/>
  <c r="I3039" i="18"/>
  <c r="J3039" i="18"/>
  <c r="K3039" i="18"/>
  <c r="I3033" i="18"/>
  <c r="J3033" i="18"/>
  <c r="K3033" i="18"/>
  <c r="I3030" i="18"/>
  <c r="J3030" i="18"/>
  <c r="K3030" i="18"/>
  <c r="I3024" i="18"/>
  <c r="J3024" i="18"/>
  <c r="K3024" i="18"/>
  <c r="I3021" i="18"/>
  <c r="J3021" i="18"/>
  <c r="K3021" i="18"/>
  <c r="I3015" i="18"/>
  <c r="J3015" i="18"/>
  <c r="K3015" i="18"/>
  <c r="I3011" i="18"/>
  <c r="J3011" i="18"/>
  <c r="K3011" i="18"/>
  <c r="L3034" i="18"/>
  <c r="L3035" i="18"/>
  <c r="L3020" i="18"/>
  <c r="L3022" i="18"/>
  <c r="L3023" i="18"/>
  <c r="L3025" i="18"/>
  <c r="L3026" i="18"/>
  <c r="L3029" i="18"/>
  <c r="L3031" i="18"/>
  <c r="L3032" i="18"/>
  <c r="L3012" i="18"/>
  <c r="L3013" i="18"/>
  <c r="L3014" i="18"/>
  <c r="L3016" i="18"/>
  <c r="L3017" i="18"/>
  <c r="L3010" i="18"/>
  <c r="H3039" i="18"/>
  <c r="H3033" i="18"/>
  <c r="H3030" i="18"/>
  <c r="H3024" i="18"/>
  <c r="H3021" i="18"/>
  <c r="H3015" i="18"/>
  <c r="H3011" i="18"/>
  <c r="K2615" i="18"/>
  <c r="K2614" i="18"/>
  <c r="K2613" i="18"/>
  <c r="K2612" i="18"/>
  <c r="K2610" i="18"/>
  <c r="K2609" i="18"/>
  <c r="K2606" i="18"/>
  <c r="K2605" i="18"/>
  <c r="K2604" i="18"/>
  <c r="K2602" i="18"/>
  <c r="N2599" i="18" s="1"/>
  <c r="I2603" i="18"/>
  <c r="J2603" i="18"/>
  <c r="I2611" i="18"/>
  <c r="J2611" i="18"/>
  <c r="H2611" i="18"/>
  <c r="H2603" i="18"/>
  <c r="K2592" i="18"/>
  <c r="K2591" i="18"/>
  <c r="K2590" i="18"/>
  <c r="K2588" i="18"/>
  <c r="K2587" i="18"/>
  <c r="K2585" i="18"/>
  <c r="K2582" i="18"/>
  <c r="K2581" i="18"/>
  <c r="K2580" i="18"/>
  <c r="K2578" i="18"/>
  <c r="K2577" i="18"/>
  <c r="K2575" i="18"/>
  <c r="K2572" i="18"/>
  <c r="K2571" i="18"/>
  <c r="K2570" i="18"/>
  <c r="K2568" i="18"/>
  <c r="K2565" i="18"/>
  <c r="K2564" i="18"/>
  <c r="K2563" i="18"/>
  <c r="K2561" i="18"/>
  <c r="J2596" i="18"/>
  <c r="J2589" i="18"/>
  <c r="J2586" i="18"/>
  <c r="J2579" i="18"/>
  <c r="J2576" i="18"/>
  <c r="J2569" i="18"/>
  <c r="J2562" i="18"/>
  <c r="I2596" i="18"/>
  <c r="I2589" i="18"/>
  <c r="I2586" i="18"/>
  <c r="I2579" i="18"/>
  <c r="I2576" i="18"/>
  <c r="I2569" i="18"/>
  <c r="I2562" i="18"/>
  <c r="H2596" i="18"/>
  <c r="H2589" i="18"/>
  <c r="H2586" i="18"/>
  <c r="H2579" i="18"/>
  <c r="H2576" i="18"/>
  <c r="H2569" i="18"/>
  <c r="H2562" i="18"/>
  <c r="K2557" i="18"/>
  <c r="L2279" i="18"/>
  <c r="L2280" i="18"/>
  <c r="L2281" i="18"/>
  <c r="L2282" i="18"/>
  <c r="L2283" i="18"/>
  <c r="L2278" i="18"/>
  <c r="K2238" i="18"/>
  <c r="K2239" i="18"/>
  <c r="K2240" i="18"/>
  <c r="K2241" i="18"/>
  <c r="K2242" i="18"/>
  <c r="K2243" i="18"/>
  <c r="K2244" i="18"/>
  <c r="K2237" i="18"/>
  <c r="J2005" i="18"/>
  <c r="J2006" i="18"/>
  <c r="J2007" i="18"/>
  <c r="J2008" i="18"/>
  <c r="J2009" i="18"/>
  <c r="J2010" i="18"/>
  <c r="J2004" i="18"/>
  <c r="D2010" i="18"/>
  <c r="I2011" i="18"/>
  <c r="H2011" i="18"/>
  <c r="J1984" i="18"/>
  <c r="I1984" i="18"/>
  <c r="H1984" i="18"/>
  <c r="M1954" i="18"/>
  <c r="M1955" i="18"/>
  <c r="M1956" i="18"/>
  <c r="M1957" i="18"/>
  <c r="M1958" i="18"/>
  <c r="K1908" i="18"/>
  <c r="K1892" i="18"/>
  <c r="K1891" i="18"/>
  <c r="K1890" i="18"/>
  <c r="K1889" i="18"/>
  <c r="K1888" i="18"/>
  <c r="K1887" i="18"/>
  <c r="K1886" i="18"/>
  <c r="K1885" i="18"/>
  <c r="K1873" i="18"/>
  <c r="K1874" i="18"/>
  <c r="K1875" i="18"/>
  <c r="K1876" i="18"/>
  <c r="K1877" i="18"/>
  <c r="K1878" i="18"/>
  <c r="K1879" i="18"/>
  <c r="K1872" i="18"/>
  <c r="D1943" i="18"/>
  <c r="J1835" i="18"/>
  <c r="J1833" i="18"/>
  <c r="J1832" i="18"/>
  <c r="J1831" i="18"/>
  <c r="J1830" i="18"/>
  <c r="J1829" i="18"/>
  <c r="J1828" i="18"/>
  <c r="D1353" i="18"/>
  <c r="D1354" i="18"/>
  <c r="D1355" i="18"/>
  <c r="D1356" i="18"/>
  <c r="D1357" i="18"/>
  <c r="D1358" i="18"/>
  <c r="D1359" i="18"/>
  <c r="D1360" i="18"/>
  <c r="D1361" i="18"/>
  <c r="D1362" i="18"/>
  <c r="D1363" i="18"/>
  <c r="L1313" i="18"/>
  <c r="L1314" i="18"/>
  <c r="L1315" i="18"/>
  <c r="L1316" i="18"/>
  <c r="L1312" i="18"/>
  <c r="K1230" i="18"/>
  <c r="K1228" i="18"/>
  <c r="K1227" i="18"/>
  <c r="K1226" i="18"/>
  <c r="K1225" i="18"/>
  <c r="K1224" i="18"/>
  <c r="K1223" i="18"/>
  <c r="K1222" i="18"/>
  <c r="K1054" i="18"/>
  <c r="K1052" i="18"/>
  <c r="K1051" i="18"/>
  <c r="K1050" i="18"/>
  <c r="K1049" i="18"/>
  <c r="K1048" i="18"/>
  <c r="K1047" i="18"/>
  <c r="K1046" i="18"/>
  <c r="D1016" i="18"/>
  <c r="D1017" i="18"/>
  <c r="D1018" i="18"/>
  <c r="D1019" i="18"/>
  <c r="D1020" i="18"/>
  <c r="D1021" i="18"/>
  <c r="D1022" i="18"/>
  <c r="D1023" i="18"/>
  <c r="D1024" i="18"/>
  <c r="D1025" i="18"/>
  <c r="D980" i="18"/>
  <c r="D981" i="18"/>
  <c r="D982" i="18"/>
  <c r="D983" i="18"/>
  <c r="D984" i="18"/>
  <c r="D985" i="18"/>
  <c r="H856" i="18"/>
  <c r="N848" i="18" s="1"/>
  <c r="J666" i="18"/>
  <c r="I666" i="18"/>
  <c r="D632" i="18"/>
  <c r="D633" i="18"/>
  <c r="D634" i="18"/>
  <c r="D635" i="18"/>
  <c r="D636" i="18"/>
  <c r="D637" i="18"/>
  <c r="D638" i="18"/>
  <c r="D639" i="18"/>
  <c r="D640" i="18"/>
  <c r="D641" i="18"/>
  <c r="D642" i="18"/>
  <c r="D643" i="18"/>
  <c r="D644" i="18"/>
  <c r="D645" i="18"/>
  <c r="D646" i="18"/>
  <c r="D614" i="18"/>
  <c r="D615" i="18"/>
  <c r="D616" i="18"/>
  <c r="H616" i="18"/>
  <c r="K611" i="18" s="1"/>
  <c r="D540" i="18"/>
  <c r="D541" i="18"/>
  <c r="D542" i="18"/>
  <c r="D543" i="18"/>
  <c r="D544" i="18"/>
  <c r="D545" i="18"/>
  <c r="D546" i="18"/>
  <c r="D547" i="18"/>
  <c r="D548" i="18"/>
  <c r="D549" i="18"/>
  <c r="D550" i="18"/>
  <c r="L436" i="18"/>
  <c r="L437" i="18"/>
  <c r="L438" i="18"/>
  <c r="L435" i="18"/>
  <c r="L340" i="18"/>
  <c r="L341" i="18"/>
  <c r="L342" i="18"/>
  <c r="L345" i="18"/>
  <c r="L346" i="18"/>
  <c r="L339" i="18"/>
  <c r="L176" i="18"/>
  <c r="L177" i="18"/>
  <c r="L178" i="18"/>
  <c r="L179" i="18"/>
  <c r="L180" i="18"/>
  <c r="L181" i="18"/>
  <c r="L182" i="18"/>
  <c r="L175" i="18"/>
  <c r="J183" i="18"/>
  <c r="J187" i="18" s="1"/>
  <c r="H183" i="18"/>
  <c r="H187" i="18" s="1"/>
  <c r="D175" i="18"/>
  <c r="D176" i="18"/>
  <c r="D177" i="18"/>
  <c r="D178" i="18"/>
  <c r="D179" i="18"/>
  <c r="D180" i="18"/>
  <c r="D181" i="18"/>
  <c r="D182" i="18"/>
  <c r="D183" i="18"/>
  <c r="D149" i="18"/>
  <c r="D150" i="18"/>
  <c r="D151" i="18"/>
  <c r="D152" i="18"/>
  <c r="D153" i="18"/>
  <c r="D154" i="18"/>
  <c r="D155" i="18"/>
  <c r="D156" i="18"/>
  <c r="D157" i="18"/>
  <c r="D158" i="18"/>
  <c r="M127" i="18"/>
  <c r="M126" i="18"/>
  <c r="M125" i="18"/>
  <c r="J126" i="18"/>
  <c r="J127" i="18"/>
  <c r="J125" i="18"/>
  <c r="D125" i="18"/>
  <c r="D126" i="18"/>
  <c r="D127" i="18"/>
  <c r="D128" i="18"/>
  <c r="L128" i="18"/>
  <c r="K128" i="18"/>
  <c r="I128" i="18"/>
  <c r="H128" i="18"/>
  <c r="D93" i="18"/>
  <c r="D94" i="18"/>
  <c r="D95" i="18"/>
  <c r="D96" i="18"/>
  <c r="D97" i="18"/>
  <c r="D98" i="18"/>
  <c r="D99" i="18"/>
  <c r="D100" i="18"/>
  <c r="D101" i="18"/>
  <c r="D102" i="18"/>
  <c r="D103" i="18"/>
  <c r="D104" i="18"/>
  <c r="D105" i="18"/>
  <c r="D106" i="18"/>
  <c r="H106" i="18"/>
  <c r="K90" i="18" s="1"/>
  <c r="G4" i="49"/>
  <c r="E4" i="49"/>
  <c r="C4" i="49"/>
  <c r="G3" i="49"/>
  <c r="E3" i="49"/>
  <c r="C2" i="49"/>
  <c r="I78" i="48"/>
  <c r="H78" i="48"/>
  <c r="I73" i="48"/>
  <c r="H73" i="48"/>
  <c r="F49" i="48"/>
  <c r="D49" i="48"/>
  <c r="F48" i="48"/>
  <c r="D48" i="48"/>
  <c r="F47" i="48"/>
  <c r="D47" i="48"/>
  <c r="D40" i="48"/>
  <c r="D39" i="48"/>
  <c r="D38" i="48"/>
  <c r="D37" i="48"/>
  <c r="D36" i="48"/>
  <c r="F33" i="48"/>
  <c r="D33" i="48"/>
  <c r="G4" i="48"/>
  <c r="E4" i="48"/>
  <c r="C4" i="48"/>
  <c r="G3" i="48"/>
  <c r="E3" i="48"/>
  <c r="C2" i="48"/>
  <c r="I125" i="47"/>
  <c r="J125" i="47" s="1"/>
  <c r="H125" i="47"/>
  <c r="H124" i="47"/>
  <c r="C124" i="47"/>
  <c r="H123" i="47"/>
  <c r="C123" i="47"/>
  <c r="H122" i="47"/>
  <c r="C122" i="47"/>
  <c r="H121" i="47"/>
  <c r="C121" i="47"/>
  <c r="H120" i="47"/>
  <c r="C120" i="47"/>
  <c r="H119" i="47"/>
  <c r="C119" i="47"/>
  <c r="H118" i="47"/>
  <c r="C118" i="47"/>
  <c r="H117" i="47"/>
  <c r="C117" i="47"/>
  <c r="H116" i="47"/>
  <c r="C116" i="47"/>
  <c r="G115" i="47"/>
  <c r="E115" i="47"/>
  <c r="C115" i="47"/>
  <c r="H114" i="47"/>
  <c r="C114" i="47"/>
  <c r="H113" i="47"/>
  <c r="C113" i="47"/>
  <c r="H112" i="47"/>
  <c r="C112" i="47"/>
  <c r="H111" i="47"/>
  <c r="C111" i="47"/>
  <c r="H110" i="47"/>
  <c r="C110" i="47"/>
  <c r="H109" i="47"/>
  <c r="C109" i="47"/>
  <c r="H108" i="47"/>
  <c r="C108" i="47"/>
  <c r="H107" i="47"/>
  <c r="C107" i="47"/>
  <c r="H106" i="47"/>
  <c r="C106" i="47"/>
  <c r="H105" i="47"/>
  <c r="C105" i="47"/>
  <c r="H104" i="47"/>
  <c r="C104" i="47"/>
  <c r="H103" i="47"/>
  <c r="C103" i="47"/>
  <c r="H102" i="47"/>
  <c r="H115" i="47" s="1"/>
  <c r="C102" i="47"/>
  <c r="H101" i="47"/>
  <c r="C101" i="47"/>
  <c r="J100" i="47"/>
  <c r="I100" i="47"/>
  <c r="H100" i="47"/>
  <c r="C100" i="47"/>
  <c r="H99" i="47"/>
  <c r="C99" i="47"/>
  <c r="C98" i="47"/>
  <c r="C97" i="47"/>
  <c r="C96" i="47"/>
  <c r="C95" i="47"/>
  <c r="C94" i="47"/>
  <c r="C93" i="47"/>
  <c r="C92" i="47"/>
  <c r="C91" i="47"/>
  <c r="C90" i="47"/>
  <c r="C89" i="47"/>
  <c r="C88" i="47"/>
  <c r="C87" i="47"/>
  <c r="I86" i="47"/>
  <c r="J86" i="47" s="1"/>
  <c r="H86" i="47"/>
  <c r="C86" i="47"/>
  <c r="C85" i="47"/>
  <c r="C84" i="47"/>
  <c r="C83" i="47"/>
  <c r="C82" i="47"/>
  <c r="C81" i="47"/>
  <c r="C80" i="47"/>
  <c r="C79" i="47"/>
  <c r="C78" i="47"/>
  <c r="C77" i="47"/>
  <c r="C76" i="47"/>
  <c r="C75" i="47"/>
  <c r="C74" i="47"/>
  <c r="I73" i="47"/>
  <c r="J73" i="47" s="1"/>
  <c r="H73" i="47"/>
  <c r="C73" i="47"/>
  <c r="C72" i="47"/>
  <c r="C71" i="47"/>
  <c r="C70" i="47"/>
  <c r="C69" i="47"/>
  <c r="C68" i="47"/>
  <c r="C67" i="47"/>
  <c r="C66" i="47"/>
  <c r="C65" i="47"/>
  <c r="C64" i="47"/>
  <c r="C63" i="47"/>
  <c r="C62" i="47"/>
  <c r="C61" i="47"/>
  <c r="C60" i="47"/>
  <c r="C59" i="47"/>
  <c r="C58" i="47"/>
  <c r="C57" i="47"/>
  <c r="I56" i="47"/>
  <c r="J56" i="47" s="1"/>
  <c r="H56" i="47"/>
  <c r="C56" i="47"/>
  <c r="C55" i="47"/>
  <c r="C54" i="47"/>
  <c r="C53" i="47"/>
  <c r="C52" i="47"/>
  <c r="C51" i="47"/>
  <c r="C50" i="47"/>
  <c r="C49" i="47"/>
  <c r="C48" i="47"/>
  <c r="C47" i="47"/>
  <c r="C46" i="47"/>
  <c r="C45" i="47"/>
  <c r="C44" i="47"/>
  <c r="C43" i="47"/>
  <c r="C42" i="47"/>
  <c r="C41" i="47"/>
  <c r="C40" i="47"/>
  <c r="C39" i="47"/>
  <c r="C38" i="47"/>
  <c r="C37" i="47"/>
  <c r="C36" i="47"/>
  <c r="C35" i="47"/>
  <c r="C34" i="47"/>
  <c r="C33" i="47"/>
  <c r="C32" i="47"/>
  <c r="C31" i="47"/>
  <c r="C30" i="47"/>
  <c r="I29" i="47"/>
  <c r="J29" i="47" s="1"/>
  <c r="H29" i="47"/>
  <c r="C29" i="47"/>
  <c r="C28" i="47"/>
  <c r="C27" i="47"/>
  <c r="C26" i="47"/>
  <c r="C25" i="47"/>
  <c r="C24" i="47"/>
  <c r="C23" i="47"/>
  <c r="C22" i="47"/>
  <c r="C21" i="47"/>
  <c r="C20" i="47"/>
  <c r="C19" i="47"/>
  <c r="C18" i="47"/>
  <c r="C17" i="47"/>
  <c r="C16" i="47"/>
  <c r="C15" i="47"/>
  <c r="C14" i="47"/>
  <c r="C13" i="47"/>
  <c r="J12" i="47"/>
  <c r="C12" i="47"/>
  <c r="I11" i="47"/>
  <c r="J11" i="47" s="1"/>
  <c r="H11" i="47"/>
  <c r="C11" i="47"/>
  <c r="I4" i="47"/>
  <c r="G4" i="47"/>
  <c r="C4" i="47"/>
  <c r="I3" i="47"/>
  <c r="G3" i="47"/>
  <c r="C2" i="47"/>
  <c r="I51" i="52"/>
  <c r="H51" i="52"/>
  <c r="I46" i="52"/>
  <c r="H46" i="52"/>
  <c r="F34" i="52"/>
  <c r="D34" i="52"/>
  <c r="F33" i="52"/>
  <c r="D33" i="52"/>
  <c r="F32" i="52"/>
  <c r="D32" i="52"/>
  <c r="D30" i="52"/>
  <c r="D29" i="52"/>
  <c r="D28" i="52"/>
  <c r="D27" i="52"/>
  <c r="D26" i="52"/>
  <c r="G4" i="52"/>
  <c r="E4" i="52"/>
  <c r="C4" i="52"/>
  <c r="G3" i="52"/>
  <c r="E3" i="52"/>
  <c r="C2" i="52"/>
  <c r="I125" i="51"/>
  <c r="J125" i="51" s="1"/>
  <c r="H125" i="51"/>
  <c r="H124" i="51"/>
  <c r="C124" i="51"/>
  <c r="H123" i="51"/>
  <c r="C123" i="51"/>
  <c r="H122" i="51"/>
  <c r="C122" i="51"/>
  <c r="H121" i="51"/>
  <c r="C121" i="51"/>
  <c r="H120" i="51"/>
  <c r="C120" i="51"/>
  <c r="H119" i="51"/>
  <c r="C119" i="51"/>
  <c r="H118" i="51"/>
  <c r="C118" i="51"/>
  <c r="H117" i="51"/>
  <c r="C117" i="51"/>
  <c r="H116" i="51"/>
  <c r="C116" i="51"/>
  <c r="G115" i="51"/>
  <c r="E115" i="51"/>
  <c r="C115" i="51"/>
  <c r="H114" i="51"/>
  <c r="C114" i="51"/>
  <c r="H113" i="51"/>
  <c r="C113" i="51"/>
  <c r="H112" i="51"/>
  <c r="C112" i="51"/>
  <c r="H111" i="51"/>
  <c r="C111" i="51"/>
  <c r="H110" i="51"/>
  <c r="C110" i="51"/>
  <c r="H109" i="51"/>
  <c r="C109" i="51"/>
  <c r="H108" i="51"/>
  <c r="C108" i="51"/>
  <c r="H107" i="51"/>
  <c r="C107" i="51"/>
  <c r="H106" i="51"/>
  <c r="C106" i="51"/>
  <c r="H105" i="51"/>
  <c r="C105" i="51"/>
  <c r="H104" i="51"/>
  <c r="C104" i="51"/>
  <c r="H103" i="51"/>
  <c r="C103" i="51"/>
  <c r="H102" i="51"/>
  <c r="C102" i="51"/>
  <c r="H101" i="51"/>
  <c r="C101" i="51"/>
  <c r="I100" i="51"/>
  <c r="J100" i="51" s="1"/>
  <c r="H100" i="51"/>
  <c r="C100" i="51"/>
  <c r="H99" i="51"/>
  <c r="C99" i="51"/>
  <c r="C98" i="51"/>
  <c r="C97" i="51"/>
  <c r="C96" i="51"/>
  <c r="C95" i="51"/>
  <c r="C94" i="51"/>
  <c r="C93" i="51"/>
  <c r="C92" i="51"/>
  <c r="C91" i="51"/>
  <c r="C90" i="51"/>
  <c r="C89" i="51"/>
  <c r="C88" i="51"/>
  <c r="C87" i="51"/>
  <c r="I86" i="51"/>
  <c r="J86" i="51" s="1"/>
  <c r="H86" i="51"/>
  <c r="C86" i="51"/>
  <c r="C85" i="51"/>
  <c r="C84" i="51"/>
  <c r="C83" i="51"/>
  <c r="C82" i="51"/>
  <c r="C81" i="51"/>
  <c r="C80" i="51"/>
  <c r="C79" i="51"/>
  <c r="C78" i="51"/>
  <c r="C77" i="51"/>
  <c r="C76" i="51"/>
  <c r="C75" i="51"/>
  <c r="C74" i="51"/>
  <c r="I73" i="51"/>
  <c r="J73" i="51" s="1"/>
  <c r="H73" i="51"/>
  <c r="C73" i="51"/>
  <c r="C72" i="51"/>
  <c r="C71" i="51"/>
  <c r="C70" i="51"/>
  <c r="C69" i="51"/>
  <c r="C68" i="51"/>
  <c r="C67" i="51"/>
  <c r="C66" i="51"/>
  <c r="C65" i="51"/>
  <c r="C64" i="51"/>
  <c r="C63" i="51"/>
  <c r="C62" i="51"/>
  <c r="C61" i="51"/>
  <c r="C60" i="51"/>
  <c r="C59" i="51"/>
  <c r="C58" i="51"/>
  <c r="C57" i="51"/>
  <c r="I56" i="51"/>
  <c r="J56" i="51" s="1"/>
  <c r="H56" i="51"/>
  <c r="C56" i="51"/>
  <c r="C55" i="51"/>
  <c r="C54" i="51"/>
  <c r="C53" i="51"/>
  <c r="C52" i="51"/>
  <c r="C51" i="51"/>
  <c r="C50" i="51"/>
  <c r="C49" i="51"/>
  <c r="C48" i="51"/>
  <c r="C47" i="51"/>
  <c r="C46" i="51"/>
  <c r="C45" i="51"/>
  <c r="C44" i="51"/>
  <c r="C43" i="51"/>
  <c r="C42" i="51"/>
  <c r="C41" i="51"/>
  <c r="C40" i="51"/>
  <c r="C39" i="51"/>
  <c r="C38" i="51"/>
  <c r="C37" i="51"/>
  <c r="C36" i="51"/>
  <c r="C35" i="51"/>
  <c r="C34" i="51"/>
  <c r="C33" i="51"/>
  <c r="C32" i="51"/>
  <c r="C31" i="51"/>
  <c r="C30" i="51"/>
  <c r="I29" i="51"/>
  <c r="J29" i="51" s="1"/>
  <c r="H29" i="51"/>
  <c r="C29" i="51"/>
  <c r="C28" i="51"/>
  <c r="C27" i="51"/>
  <c r="C26" i="51"/>
  <c r="C25" i="51"/>
  <c r="C24" i="51"/>
  <c r="C23" i="51"/>
  <c r="C22" i="51"/>
  <c r="C21" i="51"/>
  <c r="C20" i="51"/>
  <c r="C19" i="51"/>
  <c r="C18" i="51"/>
  <c r="C17" i="51"/>
  <c r="C16" i="51"/>
  <c r="C15" i="51"/>
  <c r="C14" i="51"/>
  <c r="C13" i="51"/>
  <c r="J12" i="51"/>
  <c r="C12" i="51"/>
  <c r="I11" i="51"/>
  <c r="J11" i="51" s="1"/>
  <c r="H11" i="51"/>
  <c r="C11" i="51"/>
  <c r="I4" i="51"/>
  <c r="G4" i="51"/>
  <c r="C4" i="51"/>
  <c r="I3" i="51"/>
  <c r="G3" i="51"/>
  <c r="C2" i="51"/>
  <c r="G4" i="17"/>
  <c r="F4" i="17"/>
  <c r="C4" i="17"/>
  <c r="G3" i="17"/>
  <c r="F3" i="17"/>
  <c r="C2" i="17"/>
  <c r="D24" i="16"/>
  <c r="H4" i="16"/>
  <c r="F4" i="16"/>
  <c r="C4" i="16"/>
  <c r="H3" i="16"/>
  <c r="F3" i="16"/>
  <c r="C2" i="16"/>
  <c r="H6257" i="18"/>
  <c r="K6251" i="18" s="1"/>
  <c r="D6257" i="18"/>
  <c r="D6256" i="18"/>
  <c r="D6255" i="18"/>
  <c r="D6254" i="18"/>
  <c r="D6251" i="18"/>
  <c r="G6251" i="18" s="1"/>
  <c r="C6250" i="18"/>
  <c r="G6250" i="18" s="1"/>
  <c r="D6248" i="18"/>
  <c r="D6247" i="18"/>
  <c r="I6246" i="18"/>
  <c r="H6246" i="18"/>
  <c r="D6246" i="18"/>
  <c r="J6245" i="18"/>
  <c r="D6245" i="18"/>
  <c r="J6244" i="18"/>
  <c r="D6244" i="18"/>
  <c r="J6243" i="18"/>
  <c r="D6243" i="18"/>
  <c r="J6242" i="18"/>
  <c r="D6242" i="18"/>
  <c r="J6241" i="18"/>
  <c r="D6241" i="18"/>
  <c r="J6240" i="18"/>
  <c r="D6240" i="18"/>
  <c r="J6239" i="18"/>
  <c r="D6239" i="18"/>
  <c r="J6238" i="18"/>
  <c r="D6238" i="18"/>
  <c r="J6237" i="18"/>
  <c r="D6237" i="18"/>
  <c r="D6236" i="18"/>
  <c r="D6235" i="18"/>
  <c r="D6234" i="18"/>
  <c r="J6233" i="18"/>
  <c r="D6233" i="18"/>
  <c r="J6232" i="18"/>
  <c r="D6232" i="18"/>
  <c r="D6231" i="18"/>
  <c r="D6230" i="18"/>
  <c r="D6229" i="18"/>
  <c r="D6228" i="18"/>
  <c r="D6227" i="18"/>
  <c r="D6226" i="18"/>
  <c r="D6225" i="18"/>
  <c r="D6222" i="18"/>
  <c r="G6222" i="18" s="1"/>
  <c r="C6221" i="18"/>
  <c r="G6221" i="18" s="1"/>
  <c r="D6219" i="18"/>
  <c r="J6218" i="18"/>
  <c r="D6218" i="18"/>
  <c r="I6217" i="18"/>
  <c r="H6217" i="18"/>
  <c r="D6217" i="18"/>
  <c r="J6216" i="18"/>
  <c r="D6216" i="18"/>
  <c r="J6215" i="18"/>
  <c r="D6215" i="18"/>
  <c r="J6214" i="18"/>
  <c r="D6214" i="18"/>
  <c r="J6213" i="18"/>
  <c r="D6213" i="18"/>
  <c r="J6212" i="18"/>
  <c r="D6212" i="18"/>
  <c r="J6211" i="18"/>
  <c r="D6211" i="18"/>
  <c r="J6210" i="18"/>
  <c r="D6210" i="18"/>
  <c r="J6209" i="18"/>
  <c r="D6209" i="18"/>
  <c r="J6208" i="18"/>
  <c r="D6208" i="18"/>
  <c r="D6207" i="18"/>
  <c r="D6206" i="18"/>
  <c r="D6205" i="18"/>
  <c r="J6204" i="18"/>
  <c r="D6204" i="18"/>
  <c r="D6203" i="18"/>
  <c r="D6202" i="18"/>
  <c r="D6201" i="18"/>
  <c r="D6200" i="18"/>
  <c r="D6199" i="18"/>
  <c r="D6198" i="18"/>
  <c r="D6195" i="18"/>
  <c r="G6195" i="18" s="1"/>
  <c r="C6194" i="18"/>
  <c r="G6194" i="18" s="1"/>
  <c r="D6192" i="18"/>
  <c r="D6191" i="18"/>
  <c r="H6190" i="18"/>
  <c r="D6190" i="18"/>
  <c r="D6189" i="18"/>
  <c r="D6188" i="18"/>
  <c r="D6187" i="18"/>
  <c r="D6186" i="18"/>
  <c r="D6185" i="18"/>
  <c r="D6184" i="18"/>
  <c r="D6183" i="18"/>
  <c r="D6182" i="18"/>
  <c r="D6181" i="18"/>
  <c r="D6180" i="18"/>
  <c r="D6179" i="18"/>
  <c r="H6178" i="18"/>
  <c r="D6178" i="18"/>
  <c r="D6177" i="18"/>
  <c r="D6176" i="18"/>
  <c r="D6173" i="18"/>
  <c r="G6173" i="18" s="1"/>
  <c r="C6172" i="18"/>
  <c r="G6172" i="18" s="1"/>
  <c r="I6170" i="18"/>
  <c r="H6170" i="18"/>
  <c r="D6170" i="18"/>
  <c r="D6169" i="18"/>
  <c r="D6168" i="18"/>
  <c r="J6167" i="18"/>
  <c r="J6170" i="18" s="1"/>
  <c r="K6164" i="18" s="1"/>
  <c r="D6167" i="18"/>
  <c r="D6164" i="18"/>
  <c r="G6164" i="18" s="1"/>
  <c r="C6163" i="18"/>
  <c r="G6163" i="18" s="1"/>
  <c r="I6161" i="18"/>
  <c r="H6161" i="18"/>
  <c r="D6161" i="18"/>
  <c r="D6160" i="18"/>
  <c r="D6159" i="18"/>
  <c r="J6158" i="18"/>
  <c r="J6161" i="18" s="1"/>
  <c r="K6155" i="18" s="1"/>
  <c r="D6158" i="18"/>
  <c r="D6155" i="18"/>
  <c r="G6155" i="18" s="1"/>
  <c r="C6154" i="18"/>
  <c r="G6154" i="18" s="1"/>
  <c r="H6152" i="18"/>
  <c r="K6146" i="18" s="1"/>
  <c r="D6152" i="18"/>
  <c r="D6151" i="18"/>
  <c r="D6150" i="18"/>
  <c r="D6149" i="18"/>
  <c r="D6146" i="18"/>
  <c r="G6146" i="18" s="1"/>
  <c r="C6145" i="18"/>
  <c r="G6145" i="18" s="1"/>
  <c r="H6143" i="18"/>
  <c r="K6135" i="18" s="1"/>
  <c r="D6143" i="18"/>
  <c r="D6142" i="18"/>
  <c r="D6141" i="18"/>
  <c r="D6140" i="18"/>
  <c r="D6139" i="18"/>
  <c r="D6138" i="18"/>
  <c r="D6135" i="18"/>
  <c r="G6135" i="18" s="1"/>
  <c r="C6134" i="18"/>
  <c r="G6134" i="18" s="1"/>
  <c r="H6132" i="18"/>
  <c r="K6126" i="18" s="1"/>
  <c r="D6132" i="18"/>
  <c r="D6131" i="18"/>
  <c r="D6130" i="18"/>
  <c r="D6129" i="18"/>
  <c r="D6126" i="18"/>
  <c r="G6126" i="18" s="1"/>
  <c r="C6125" i="18"/>
  <c r="G6125" i="18" s="1"/>
  <c r="H6123" i="18"/>
  <c r="K6116" i="18" s="1"/>
  <c r="D6123" i="18"/>
  <c r="D6122" i="18"/>
  <c r="D6121" i="18"/>
  <c r="D6120" i="18"/>
  <c r="D6119" i="18"/>
  <c r="D6116" i="18"/>
  <c r="G6116" i="18" s="1"/>
  <c r="C6115" i="18"/>
  <c r="G6115" i="18" s="1"/>
  <c r="D6102" i="18"/>
  <c r="G6102" i="18" s="1"/>
  <c r="C6101" i="18"/>
  <c r="G6101" i="18" s="1"/>
  <c r="H6099" i="18"/>
  <c r="K6093" i="18" s="1"/>
  <c r="D6099" i="18"/>
  <c r="D6098" i="18"/>
  <c r="D6097" i="18"/>
  <c r="D6096" i="18"/>
  <c r="D6093" i="18"/>
  <c r="G6093" i="18" s="1"/>
  <c r="C6092" i="18"/>
  <c r="G6092" i="18" s="1"/>
  <c r="H6090" i="18"/>
  <c r="K6084" i="18" s="1"/>
  <c r="D6090" i="18"/>
  <c r="D6089" i="18"/>
  <c r="D6088" i="18"/>
  <c r="D6087" i="18"/>
  <c r="D6084" i="18"/>
  <c r="G6084" i="18" s="1"/>
  <c r="C6083" i="18"/>
  <c r="G6083" i="18" s="1"/>
  <c r="H6081" i="18"/>
  <c r="K6073" i="18" s="1"/>
  <c r="D6081" i="18"/>
  <c r="D6080" i="18"/>
  <c r="D6079" i="18"/>
  <c r="D6078" i="18"/>
  <c r="D6077" i="18"/>
  <c r="D6076" i="18"/>
  <c r="D6073" i="18"/>
  <c r="G6073" i="18" s="1"/>
  <c r="C6072" i="18"/>
  <c r="G6072" i="18" s="1"/>
  <c r="H6070" i="18"/>
  <c r="K6064" i="18" s="1"/>
  <c r="D6070" i="18"/>
  <c r="D6069" i="18"/>
  <c r="D6068" i="18"/>
  <c r="D6067" i="18"/>
  <c r="D6064" i="18"/>
  <c r="G6064" i="18" s="1"/>
  <c r="C6063" i="18"/>
  <c r="G6063" i="18" s="1"/>
  <c r="D6060" i="18"/>
  <c r="D6059" i="18"/>
  <c r="D6058" i="18"/>
  <c r="D6057" i="18"/>
  <c r="D6056" i="18"/>
  <c r="D6055" i="18"/>
  <c r="D6054" i="18"/>
  <c r="I6053" i="18"/>
  <c r="D6053" i="18"/>
  <c r="D6052" i="18"/>
  <c r="D6051" i="18"/>
  <c r="D6050" i="18"/>
  <c r="I6049" i="18"/>
  <c r="D6049" i="18"/>
  <c r="D6048" i="18"/>
  <c r="D6047" i="18"/>
  <c r="I6046" i="18"/>
  <c r="D6046" i="18"/>
  <c r="D6045" i="18"/>
  <c r="D6044" i="18"/>
  <c r="D6041" i="18"/>
  <c r="G6041" i="18" s="1"/>
  <c r="C6040" i="18"/>
  <c r="G6040" i="18" s="1"/>
  <c r="I6038" i="18"/>
  <c r="D6038" i="18"/>
  <c r="D6037" i="18"/>
  <c r="D6036" i="18"/>
  <c r="D6035" i="18"/>
  <c r="D6034" i="18"/>
  <c r="D6033" i="18"/>
  <c r="D6032" i="18"/>
  <c r="K6029" i="18"/>
  <c r="D6029" i="18"/>
  <c r="G6029" i="18" s="1"/>
  <c r="C6028" i="18"/>
  <c r="G6028" i="18" s="1"/>
  <c r="I6026" i="18"/>
  <c r="D6026" i="18"/>
  <c r="D6025" i="18"/>
  <c r="D6024" i="18"/>
  <c r="D6023" i="18"/>
  <c r="D6022" i="18"/>
  <c r="D6021" i="18"/>
  <c r="D6020" i="18"/>
  <c r="K6017" i="18"/>
  <c r="D6017" i="18"/>
  <c r="G6017" i="18" s="1"/>
  <c r="C6016" i="18"/>
  <c r="G6016" i="18" s="1"/>
  <c r="I6014" i="18"/>
  <c r="K6006" i="18" s="1"/>
  <c r="D6014" i="18"/>
  <c r="D6013" i="18"/>
  <c r="D6012" i="18"/>
  <c r="D6011" i="18"/>
  <c r="D6010" i="18"/>
  <c r="D6009" i="18"/>
  <c r="D6006" i="18"/>
  <c r="G6006" i="18" s="1"/>
  <c r="C6005" i="18"/>
  <c r="G6005" i="18" s="1"/>
  <c r="I6003" i="18"/>
  <c r="K5985" i="18" s="1"/>
  <c r="D6003" i="18"/>
  <c r="D6002" i="18"/>
  <c r="D6001" i="18"/>
  <c r="D6000" i="18"/>
  <c r="D5999" i="18"/>
  <c r="D5998" i="18"/>
  <c r="D5997" i="18"/>
  <c r="D5996" i="18"/>
  <c r="D5995" i="18"/>
  <c r="D5994" i="18"/>
  <c r="D5993" i="18"/>
  <c r="D5992" i="18"/>
  <c r="D5991" i="18"/>
  <c r="D5990" i="18"/>
  <c r="D5989" i="18"/>
  <c r="D5988" i="18"/>
  <c r="D5985" i="18"/>
  <c r="G5985" i="18" s="1"/>
  <c r="C5984" i="18"/>
  <c r="G5984" i="18" s="1"/>
  <c r="I5982" i="18"/>
  <c r="K5966" i="18" s="1"/>
  <c r="D5982" i="18"/>
  <c r="D5981" i="18"/>
  <c r="D5980" i="18"/>
  <c r="D5979" i="18"/>
  <c r="D5978" i="18"/>
  <c r="D5977" i="18"/>
  <c r="D5976" i="18"/>
  <c r="D5975" i="18"/>
  <c r="D5974" i="18"/>
  <c r="D5973" i="18"/>
  <c r="D5972" i="18"/>
  <c r="D5971" i="18"/>
  <c r="D5970" i="18"/>
  <c r="D5969" i="18"/>
  <c r="D5966" i="18"/>
  <c r="G5966" i="18" s="1"/>
  <c r="C5965" i="18"/>
  <c r="G5965" i="18" s="1"/>
  <c r="I5963" i="18"/>
  <c r="K5955" i="18" s="1"/>
  <c r="D5963" i="18"/>
  <c r="D5962" i="18"/>
  <c r="D5961" i="18"/>
  <c r="D5960" i="18"/>
  <c r="D5959" i="18"/>
  <c r="D5958" i="18"/>
  <c r="D5955" i="18"/>
  <c r="G5955" i="18" s="1"/>
  <c r="C5954" i="18"/>
  <c r="G5954" i="18" s="1"/>
  <c r="I5952" i="18"/>
  <c r="K5944" i="18" s="1"/>
  <c r="D5952" i="18"/>
  <c r="D5951" i="18"/>
  <c r="D5950" i="18"/>
  <c r="D5949" i="18"/>
  <c r="D5948" i="18"/>
  <c r="D5947" i="18"/>
  <c r="D5944" i="18"/>
  <c r="G5944" i="18" s="1"/>
  <c r="C5943" i="18"/>
  <c r="G5943" i="18" s="1"/>
  <c r="I5941" i="18"/>
  <c r="K5933" i="18" s="1"/>
  <c r="D5941" i="18"/>
  <c r="D5940" i="18"/>
  <c r="D5939" i="18"/>
  <c r="D5938" i="18"/>
  <c r="D5937" i="18"/>
  <c r="D5936" i="18"/>
  <c r="D5933" i="18"/>
  <c r="G5933" i="18" s="1"/>
  <c r="C5932" i="18"/>
  <c r="G5932" i="18" s="1"/>
  <c r="I5930" i="18"/>
  <c r="K5922" i="18" s="1"/>
  <c r="D5930" i="18"/>
  <c r="D5929" i="18"/>
  <c r="D5928" i="18"/>
  <c r="D5927" i="18"/>
  <c r="D5926" i="18"/>
  <c r="D5925" i="18"/>
  <c r="D5922" i="18"/>
  <c r="G5922" i="18" s="1"/>
  <c r="C5921" i="18"/>
  <c r="G5921" i="18" s="1"/>
  <c r="I5919" i="18"/>
  <c r="K5911" i="18" s="1"/>
  <c r="D5919" i="18"/>
  <c r="D5918" i="18"/>
  <c r="D5917" i="18"/>
  <c r="D5916" i="18"/>
  <c r="D5915" i="18"/>
  <c r="D5914" i="18"/>
  <c r="D5911" i="18"/>
  <c r="G5911" i="18" s="1"/>
  <c r="C5910" i="18"/>
  <c r="G5910" i="18" s="1"/>
  <c r="I5908" i="18"/>
  <c r="K5900" i="18" s="1"/>
  <c r="D5908" i="18"/>
  <c r="D5907" i="18"/>
  <c r="D5906" i="18"/>
  <c r="D5905" i="18"/>
  <c r="D5904" i="18"/>
  <c r="D5903" i="18"/>
  <c r="D5900" i="18"/>
  <c r="G5900" i="18" s="1"/>
  <c r="C5899" i="18"/>
  <c r="G5899" i="18" s="1"/>
  <c r="I5897" i="18"/>
  <c r="K5889" i="18" s="1"/>
  <c r="D5897" i="18"/>
  <c r="D5896" i="18"/>
  <c r="D5895" i="18"/>
  <c r="D5894" i="18"/>
  <c r="D5893" i="18"/>
  <c r="D5892" i="18"/>
  <c r="D5889" i="18"/>
  <c r="G5889" i="18" s="1"/>
  <c r="C5888" i="18"/>
  <c r="G5888" i="18" s="1"/>
  <c r="I5886" i="18"/>
  <c r="K5878" i="18" s="1"/>
  <c r="D5886" i="18"/>
  <c r="D5885" i="18"/>
  <c r="D5884" i="18"/>
  <c r="D5883" i="18"/>
  <c r="D5882" i="18"/>
  <c r="D5881" i="18"/>
  <c r="D5878" i="18"/>
  <c r="G5878" i="18" s="1"/>
  <c r="C5877" i="18"/>
  <c r="G5877" i="18" s="1"/>
  <c r="H5874" i="18"/>
  <c r="D5874" i="18"/>
  <c r="D5873" i="18"/>
  <c r="D5872" i="18"/>
  <c r="D5871" i="18"/>
  <c r="D5870" i="18"/>
  <c r="D5869" i="18"/>
  <c r="D5866" i="18"/>
  <c r="G5866" i="18" s="1"/>
  <c r="H5864" i="18"/>
  <c r="D5864" i="18"/>
  <c r="D5863" i="18"/>
  <c r="D5862" i="18"/>
  <c r="D5861" i="18"/>
  <c r="D5860" i="18"/>
  <c r="D5859" i="18"/>
  <c r="D5856" i="18"/>
  <c r="G5856" i="18" s="1"/>
  <c r="H5854" i="18"/>
  <c r="D5854" i="18"/>
  <c r="D5853" i="18"/>
  <c r="D5852" i="18"/>
  <c r="D5851" i="18"/>
  <c r="D5850" i="18"/>
  <c r="D5849" i="18"/>
  <c r="D5846" i="18"/>
  <c r="G5846" i="18" s="1"/>
  <c r="I5844" i="18"/>
  <c r="N5814" i="18" s="1"/>
  <c r="D5844" i="18"/>
  <c r="D5843" i="18"/>
  <c r="D5842" i="18"/>
  <c r="D5841" i="18"/>
  <c r="H5840" i="18"/>
  <c r="D5840" i="18"/>
  <c r="D5839" i="18"/>
  <c r="D5838" i="18"/>
  <c r="D5837" i="18"/>
  <c r="D5836" i="18"/>
  <c r="D5835" i="18"/>
  <c r="D5834" i="18"/>
  <c r="D5833" i="18"/>
  <c r="D5832" i="18"/>
  <c r="D5831" i="18"/>
  <c r="D5830" i="18"/>
  <c r="D5829" i="18"/>
  <c r="D5828" i="18"/>
  <c r="D5827" i="18"/>
  <c r="D5826" i="18"/>
  <c r="D5825" i="18"/>
  <c r="D5824" i="18"/>
  <c r="D5823" i="18"/>
  <c r="D5822" i="18"/>
  <c r="D5821" i="18"/>
  <c r="D5820" i="18"/>
  <c r="D5819" i="18"/>
  <c r="D5818" i="18"/>
  <c r="D5817" i="18"/>
  <c r="D5814" i="18"/>
  <c r="G5814" i="18" s="1"/>
  <c r="C5813" i="18"/>
  <c r="G5813" i="18" s="1"/>
  <c r="D5803" i="18"/>
  <c r="D5802" i="18"/>
  <c r="D5801" i="18"/>
  <c r="D5800" i="18"/>
  <c r="D5799" i="18"/>
  <c r="D5798" i="18"/>
  <c r="D5797" i="18"/>
  <c r="D5796" i="18"/>
  <c r="I5795" i="18"/>
  <c r="H5795" i="18"/>
  <c r="D5795" i="18"/>
  <c r="D5794" i="18"/>
  <c r="D5793" i="18"/>
  <c r="D5792" i="18"/>
  <c r="I5791" i="18"/>
  <c r="H5791" i="18"/>
  <c r="D5791" i="18"/>
  <c r="D5790" i="18"/>
  <c r="D5789" i="18"/>
  <c r="D5788" i="18"/>
  <c r="D5787" i="18"/>
  <c r="D5784" i="18"/>
  <c r="G5784" i="18" s="1"/>
  <c r="C5783" i="18"/>
  <c r="G5783" i="18" s="1"/>
  <c r="I5326" i="18"/>
  <c r="N5315" i="18" s="1"/>
  <c r="H5326" i="18"/>
  <c r="K5315" i="18" s="1"/>
  <c r="D5326" i="18"/>
  <c r="D5325" i="18"/>
  <c r="D5324" i="18"/>
  <c r="D5323" i="18"/>
  <c r="D5322" i="18"/>
  <c r="D5321" i="18"/>
  <c r="D5320" i="18"/>
  <c r="D5319" i="18"/>
  <c r="D5318" i="18"/>
  <c r="D5315" i="18"/>
  <c r="G5315" i="18" s="1"/>
  <c r="K5313" i="18"/>
  <c r="N5300" i="18" s="1"/>
  <c r="J5313" i="18"/>
  <c r="K5300" i="18" s="1"/>
  <c r="I5313" i="18"/>
  <c r="H5313" i="18"/>
  <c r="D5313" i="18"/>
  <c r="D5312" i="18"/>
  <c r="D5311" i="18"/>
  <c r="D5310" i="18"/>
  <c r="D5309" i="18"/>
  <c r="D5308" i="18"/>
  <c r="D5307" i="18"/>
  <c r="D5306" i="18"/>
  <c r="D5305" i="18"/>
  <c r="D5300" i="18"/>
  <c r="G5300" i="18" s="1"/>
  <c r="K5298" i="18"/>
  <c r="N5285" i="18" s="1"/>
  <c r="J5298" i="18"/>
  <c r="K5285" i="18" s="1"/>
  <c r="I5298" i="18"/>
  <c r="H5298" i="18"/>
  <c r="D5298" i="18"/>
  <c r="D5297" i="18"/>
  <c r="D5296" i="18"/>
  <c r="D5295" i="18"/>
  <c r="D5294" i="18"/>
  <c r="D5293" i="18"/>
  <c r="D5292" i="18"/>
  <c r="D5291" i="18"/>
  <c r="D5290" i="18"/>
  <c r="D5285" i="18"/>
  <c r="G5285" i="18" s="1"/>
  <c r="C5284" i="18"/>
  <c r="G5284" i="18" s="1"/>
  <c r="P5609" i="18"/>
  <c r="O5609" i="18"/>
  <c r="N5609" i="18"/>
  <c r="M5609" i="18"/>
  <c r="L5609" i="18"/>
  <c r="K5609" i="18"/>
  <c r="J5609" i="18"/>
  <c r="I5609" i="18"/>
  <c r="H5609" i="18"/>
  <c r="D5609" i="18"/>
  <c r="D5608" i="18"/>
  <c r="D5607" i="18"/>
  <c r="D5606" i="18"/>
  <c r="D5605" i="18"/>
  <c r="D5604" i="18"/>
  <c r="R5603" i="18"/>
  <c r="Q5603" i="18"/>
  <c r="D5603" i="18"/>
  <c r="D5602" i="18"/>
  <c r="D5601" i="18"/>
  <c r="D5600" i="18"/>
  <c r="D5599" i="18"/>
  <c r="R5598" i="18"/>
  <c r="Q5598" i="18"/>
  <c r="D5598" i="18"/>
  <c r="D5597" i="18"/>
  <c r="D5596" i="18"/>
  <c r="D5595" i="18"/>
  <c r="D5594" i="18"/>
  <c r="D5593" i="18"/>
  <c r="D5592" i="18"/>
  <c r="D5591" i="18"/>
  <c r="D5590" i="18"/>
  <c r="D5585" i="18"/>
  <c r="G5585" i="18" s="1"/>
  <c r="D5628" i="18"/>
  <c r="K5627" i="18"/>
  <c r="J5627" i="18"/>
  <c r="I5627" i="18"/>
  <c r="H5627" i="18"/>
  <c r="D5627" i="18"/>
  <c r="D5626" i="18"/>
  <c r="D5625" i="18"/>
  <c r="D5624" i="18"/>
  <c r="D5623" i="18"/>
  <c r="D5622" i="18"/>
  <c r="D5621" i="18"/>
  <c r="K5620" i="18"/>
  <c r="J5620" i="18"/>
  <c r="I5620" i="18"/>
  <c r="H5620" i="18"/>
  <c r="D5620" i="18"/>
  <c r="D5619" i="18"/>
  <c r="D5618" i="18"/>
  <c r="D5617" i="18"/>
  <c r="D5616" i="18"/>
  <c r="D5615" i="18"/>
  <c r="D5614" i="18"/>
  <c r="D5611" i="18"/>
  <c r="G5611" i="18" s="1"/>
  <c r="D5583" i="18"/>
  <c r="D5582" i="18"/>
  <c r="D5581" i="18"/>
  <c r="D5580" i="18"/>
  <c r="D5579" i="18"/>
  <c r="D5578" i="18"/>
  <c r="D5577" i="18"/>
  <c r="D5576" i="18"/>
  <c r="D5575" i="18"/>
  <c r="D5574" i="18"/>
  <c r="D5573" i="18"/>
  <c r="D5572" i="18"/>
  <c r="D5571" i="18"/>
  <c r="D5570" i="18"/>
  <c r="K5567" i="18"/>
  <c r="D5567" i="18"/>
  <c r="G5567" i="18" s="1"/>
  <c r="K5558" i="18"/>
  <c r="D5565" i="18"/>
  <c r="D5564" i="18"/>
  <c r="D5563" i="18"/>
  <c r="D5562" i="18"/>
  <c r="D5561" i="18"/>
  <c r="J5507" i="18"/>
  <c r="I5507" i="18"/>
  <c r="H5507" i="18"/>
  <c r="K5506" i="18"/>
  <c r="K5505" i="18"/>
  <c r="J5504" i="18"/>
  <c r="I5504" i="18"/>
  <c r="H5504" i="18"/>
  <c r="K5503" i="18"/>
  <c r="K5502" i="18"/>
  <c r="K5499" i="18"/>
  <c r="K5498" i="18"/>
  <c r="K5497" i="18"/>
  <c r="K5495" i="18"/>
  <c r="K5494" i="18"/>
  <c r="J5493" i="18"/>
  <c r="J5500" i="18" s="1"/>
  <c r="I5493" i="18"/>
  <c r="I5500" i="18" s="1"/>
  <c r="H5493" i="18"/>
  <c r="H5500" i="18" s="1"/>
  <c r="K5491" i="18"/>
  <c r="K5490" i="18"/>
  <c r="K5489" i="18"/>
  <c r="J5488" i="18"/>
  <c r="I5488" i="18"/>
  <c r="H5488" i="18"/>
  <c r="K5487" i="18"/>
  <c r="K5485" i="18"/>
  <c r="K5484" i="18"/>
  <c r="J5483" i="18"/>
  <c r="I5483" i="18"/>
  <c r="H5483" i="18"/>
  <c r="K5482" i="18"/>
  <c r="K5481" i="18"/>
  <c r="K5480" i="18"/>
  <c r="K5479" i="18"/>
  <c r="K5477" i="18"/>
  <c r="J5476" i="18"/>
  <c r="I5476" i="18"/>
  <c r="H5476" i="18"/>
  <c r="K5475" i="18"/>
  <c r="K5473" i="18"/>
  <c r="K5472" i="18"/>
  <c r="J5471" i="18"/>
  <c r="I5471" i="18"/>
  <c r="H5471" i="18"/>
  <c r="D5464" i="18"/>
  <c r="G5464" i="18" s="1"/>
  <c r="C5463" i="18"/>
  <c r="G5463" i="18" s="1"/>
  <c r="K5429" i="18"/>
  <c r="D5429" i="18"/>
  <c r="G5429" i="18" s="1"/>
  <c r="D5395" i="18"/>
  <c r="G5395" i="18" s="1"/>
  <c r="M5393" i="18"/>
  <c r="L5393" i="18"/>
  <c r="K5393" i="18"/>
  <c r="J5393" i="18"/>
  <c r="I5393" i="18"/>
  <c r="H5393" i="18"/>
  <c r="D5393" i="18"/>
  <c r="D5392" i="18"/>
  <c r="D5391" i="18"/>
  <c r="D5390" i="18"/>
  <c r="D5389" i="18"/>
  <c r="D5388" i="18"/>
  <c r="D5387" i="18"/>
  <c r="D5386" i="18"/>
  <c r="D5385" i="18"/>
  <c r="D5384" i="18"/>
  <c r="N5379" i="18"/>
  <c r="K5379" i="18"/>
  <c r="D5379" i="18"/>
  <c r="G5379" i="18" s="1"/>
  <c r="M5377" i="18"/>
  <c r="L5377" i="18"/>
  <c r="K5377" i="18"/>
  <c r="J5377" i="18"/>
  <c r="I5377" i="18"/>
  <c r="H5377" i="18"/>
  <c r="D5377" i="18"/>
  <c r="D5376" i="18"/>
  <c r="D5375" i="18"/>
  <c r="D5374" i="18"/>
  <c r="D5373" i="18"/>
  <c r="D5372" i="18"/>
  <c r="D5371" i="18"/>
  <c r="D5370" i="18"/>
  <c r="D5369" i="18"/>
  <c r="D5368" i="18"/>
  <c r="N5363" i="18"/>
  <c r="K5363" i="18"/>
  <c r="D5363" i="18"/>
  <c r="G5363" i="18" s="1"/>
  <c r="L5361" i="18"/>
  <c r="K5361" i="18"/>
  <c r="J5361" i="18"/>
  <c r="I5361" i="18"/>
  <c r="N5346" i="18" s="1"/>
  <c r="H5361" i="18"/>
  <c r="K5346" i="18" s="1"/>
  <c r="D5361" i="18"/>
  <c r="D5360" i="18"/>
  <c r="D5359" i="18"/>
  <c r="D5358" i="18"/>
  <c r="D5357" i="18"/>
  <c r="D5356" i="18"/>
  <c r="D5355" i="18"/>
  <c r="D5354" i="18"/>
  <c r="D5353" i="18"/>
  <c r="D5352" i="18"/>
  <c r="D5351" i="18"/>
  <c r="D5346" i="18"/>
  <c r="G5346" i="18" s="1"/>
  <c r="D5329" i="18"/>
  <c r="G5329" i="18" s="1"/>
  <c r="C5328" i="18"/>
  <c r="G5328" i="18" s="1"/>
  <c r="I5781" i="18"/>
  <c r="K5770" i="18" s="1"/>
  <c r="H5781" i="18"/>
  <c r="D5781" i="18"/>
  <c r="D5780" i="18"/>
  <c r="D5779" i="18"/>
  <c r="D5778" i="18"/>
  <c r="D5777" i="18"/>
  <c r="D5776" i="18"/>
  <c r="D5775" i="18"/>
  <c r="D5774" i="18"/>
  <c r="D5773" i="18"/>
  <c r="D5770" i="18"/>
  <c r="G5770" i="18" s="1"/>
  <c r="J5768" i="18"/>
  <c r="I5768" i="18"/>
  <c r="N5755" i="18" s="1"/>
  <c r="H5768" i="18"/>
  <c r="K5755" i="18" s="1"/>
  <c r="D5768" i="18"/>
  <c r="D5767" i="18"/>
  <c r="D5766" i="18"/>
  <c r="D5765" i="18"/>
  <c r="D5764" i="18"/>
  <c r="D5763" i="18"/>
  <c r="D5762" i="18"/>
  <c r="D5761" i="18"/>
  <c r="D5760" i="18"/>
  <c r="D5755" i="18"/>
  <c r="G5755" i="18" s="1"/>
  <c r="I5752" i="18"/>
  <c r="H5752" i="18"/>
  <c r="D5752" i="18"/>
  <c r="D5751" i="18"/>
  <c r="D5750" i="18"/>
  <c r="D5747" i="18"/>
  <c r="G5747" i="18" s="1"/>
  <c r="J5745" i="18"/>
  <c r="I5745" i="18"/>
  <c r="D5745" i="18"/>
  <c r="D5744" i="18"/>
  <c r="D5743" i="18"/>
  <c r="D5742" i="18"/>
  <c r="D5741" i="18"/>
  <c r="D5740" i="18"/>
  <c r="D5737" i="18"/>
  <c r="G5737" i="18" s="1"/>
  <c r="H5735" i="18"/>
  <c r="D5735" i="18"/>
  <c r="D5734" i="18"/>
  <c r="D5733" i="18"/>
  <c r="D5732" i="18"/>
  <c r="D5731" i="18"/>
  <c r="D5730" i="18"/>
  <c r="D5727" i="18"/>
  <c r="G5727" i="18" s="1"/>
  <c r="H5725" i="18"/>
  <c r="D5725" i="18"/>
  <c r="D5724" i="18"/>
  <c r="D5723" i="18"/>
  <c r="D5722" i="18"/>
  <c r="D5721" i="18"/>
  <c r="D5720" i="18"/>
  <c r="D5717" i="18"/>
  <c r="G5717" i="18" s="1"/>
  <c r="H5715" i="18"/>
  <c r="D5715" i="18"/>
  <c r="D5714" i="18"/>
  <c r="D5713" i="18"/>
  <c r="D5712" i="18"/>
  <c r="D5711" i="18"/>
  <c r="D5710" i="18"/>
  <c r="D5707" i="18"/>
  <c r="G5707" i="18" s="1"/>
  <c r="H5705" i="18"/>
  <c r="D5705" i="18"/>
  <c r="D5704" i="18"/>
  <c r="D5703" i="18"/>
  <c r="D5702" i="18"/>
  <c r="D5701" i="18"/>
  <c r="D5700" i="18"/>
  <c r="D5697" i="18"/>
  <c r="G5697" i="18" s="1"/>
  <c r="J5695" i="18"/>
  <c r="I5695" i="18"/>
  <c r="D5695" i="18"/>
  <c r="D5694" i="18"/>
  <c r="D5693" i="18"/>
  <c r="D5692" i="18"/>
  <c r="D5691" i="18"/>
  <c r="D5690" i="18"/>
  <c r="D5687" i="18"/>
  <c r="G5687" i="18" s="1"/>
  <c r="J5685" i="18"/>
  <c r="I5685" i="18"/>
  <c r="D5685" i="18"/>
  <c r="D5684" i="18"/>
  <c r="D5683" i="18"/>
  <c r="D5682" i="18"/>
  <c r="D5681" i="18"/>
  <c r="D5680" i="18"/>
  <c r="D5677" i="18"/>
  <c r="G5677" i="18" s="1"/>
  <c r="M5675" i="18"/>
  <c r="D5675" i="18"/>
  <c r="D5674" i="18"/>
  <c r="D5673" i="18"/>
  <c r="D5672" i="18"/>
  <c r="D5671" i="18"/>
  <c r="D5670" i="18"/>
  <c r="D5667" i="18"/>
  <c r="G5667" i="18" s="1"/>
  <c r="M5665" i="18"/>
  <c r="D5665" i="18"/>
  <c r="D5664" i="18"/>
  <c r="D5663" i="18"/>
  <c r="D5662" i="18"/>
  <c r="D5661" i="18"/>
  <c r="D5660" i="18"/>
  <c r="D5657" i="18"/>
  <c r="G5657" i="18" s="1"/>
  <c r="J5655" i="18"/>
  <c r="N5644" i="18" s="1"/>
  <c r="I5655" i="18"/>
  <c r="K5644" i="18" s="1"/>
  <c r="D5655" i="18"/>
  <c r="D5654" i="18"/>
  <c r="D5653" i="18"/>
  <c r="D5652" i="18"/>
  <c r="D5651" i="18"/>
  <c r="D5650" i="18"/>
  <c r="D5649" i="18"/>
  <c r="D5648" i="18"/>
  <c r="D5647" i="18"/>
  <c r="D5644" i="18"/>
  <c r="G5644" i="18" s="1"/>
  <c r="J5642" i="18"/>
  <c r="I5642" i="18"/>
  <c r="N5631" i="18" s="1"/>
  <c r="D5642" i="18"/>
  <c r="D5641" i="18"/>
  <c r="D5640" i="18"/>
  <c r="D5639" i="18"/>
  <c r="D5638" i="18"/>
  <c r="D5637" i="18"/>
  <c r="D5636" i="18"/>
  <c r="D5635" i="18"/>
  <c r="D5634" i="18"/>
  <c r="K5631" i="18"/>
  <c r="D5631" i="18"/>
  <c r="G5631" i="18" s="1"/>
  <c r="C5630" i="18"/>
  <c r="G5630" i="18" s="1"/>
  <c r="D5218" i="18"/>
  <c r="G5218" i="18" s="1"/>
  <c r="C5217" i="18"/>
  <c r="G5217" i="18" s="1"/>
  <c r="H5215" i="18"/>
  <c r="D5215" i="18"/>
  <c r="D5214" i="18"/>
  <c r="D5213" i="18"/>
  <c r="D5212" i="18"/>
  <c r="D5211" i="18"/>
  <c r="D5210" i="18"/>
  <c r="D5209" i="18"/>
  <c r="D5208" i="18"/>
  <c r="D5207" i="18"/>
  <c r="D5204" i="18"/>
  <c r="G5204" i="18" s="1"/>
  <c r="C5203" i="18"/>
  <c r="G5203" i="18" s="1"/>
  <c r="H5201" i="18"/>
  <c r="D5201" i="18"/>
  <c r="D5200" i="18"/>
  <c r="D5199" i="18"/>
  <c r="D5198" i="18"/>
  <c r="D5197" i="18"/>
  <c r="D5196" i="18"/>
  <c r="D5193" i="18"/>
  <c r="G5193" i="18" s="1"/>
  <c r="C5192" i="18"/>
  <c r="G5192" i="18" s="1"/>
  <c r="H5190" i="18"/>
  <c r="D5190" i="18"/>
  <c r="D5189" i="18"/>
  <c r="D5188" i="18"/>
  <c r="D5187" i="18"/>
  <c r="D5186" i="18"/>
  <c r="D5185" i="18"/>
  <c r="D5182" i="18"/>
  <c r="G5182" i="18" s="1"/>
  <c r="D5180" i="18"/>
  <c r="D5179" i="18"/>
  <c r="D5178" i="18"/>
  <c r="D5177" i="18"/>
  <c r="D5176" i="18"/>
  <c r="D5175" i="18"/>
  <c r="D5174" i="18"/>
  <c r="D5173" i="18"/>
  <c r="D5172" i="18"/>
  <c r="D5171" i="18"/>
  <c r="D5170" i="18"/>
  <c r="I5169" i="18"/>
  <c r="I5178" i="18" s="1"/>
  <c r="H5169" i="18"/>
  <c r="D5169" i="18"/>
  <c r="D5166" i="18"/>
  <c r="G5166" i="18" s="1"/>
  <c r="H5164" i="18"/>
  <c r="D5164" i="18"/>
  <c r="D5163" i="18"/>
  <c r="D5162" i="18"/>
  <c r="D5161" i="18"/>
  <c r="D5160" i="18"/>
  <c r="D5159" i="18"/>
  <c r="D5156" i="18"/>
  <c r="G5156" i="18" s="1"/>
  <c r="H5154" i="18"/>
  <c r="D5154" i="18"/>
  <c r="D5153" i="18"/>
  <c r="D5152" i="18"/>
  <c r="D5151" i="18"/>
  <c r="D5150" i="18"/>
  <c r="D5149" i="18"/>
  <c r="D5146" i="18"/>
  <c r="G5146" i="18" s="1"/>
  <c r="G5143" i="18"/>
  <c r="G5142" i="18"/>
  <c r="G5141" i="18"/>
  <c r="G5140" i="18"/>
  <c r="D5137" i="18"/>
  <c r="G5137" i="18" s="1"/>
  <c r="G5134" i="18"/>
  <c r="G5133" i="18"/>
  <c r="G5132" i="18"/>
  <c r="D5129" i="18"/>
  <c r="G5129" i="18" s="1"/>
  <c r="G5125" i="18"/>
  <c r="G5124" i="18"/>
  <c r="G5123" i="18"/>
  <c r="G5122" i="18"/>
  <c r="G5121" i="18"/>
  <c r="G5120" i="18"/>
  <c r="G5119" i="18"/>
  <c r="G5118" i="18"/>
  <c r="G5117" i="18"/>
  <c r="G5116" i="18"/>
  <c r="G5115" i="18"/>
  <c r="G5114" i="18"/>
  <c r="G5113" i="18"/>
  <c r="G5112" i="18"/>
  <c r="G5109" i="18"/>
  <c r="D5106" i="18"/>
  <c r="G5106" i="18" s="1"/>
  <c r="C5105" i="18"/>
  <c r="G5105" i="18" s="1"/>
  <c r="I5103" i="18"/>
  <c r="N5095" i="18" s="1"/>
  <c r="H5103" i="18"/>
  <c r="K5095" i="18" s="1"/>
  <c r="D5103" i="18"/>
  <c r="D5102" i="18"/>
  <c r="D5101" i="18"/>
  <c r="D5100" i="18"/>
  <c r="D5099" i="18"/>
  <c r="D5098" i="18"/>
  <c r="D5095" i="18"/>
  <c r="G5095" i="18" s="1"/>
  <c r="C5094" i="18"/>
  <c r="G5094" i="18" s="1"/>
  <c r="I5092" i="18"/>
  <c r="N5084" i="18" s="1"/>
  <c r="H5092" i="18"/>
  <c r="K5084" i="18" s="1"/>
  <c r="D5092" i="18"/>
  <c r="D5091" i="18"/>
  <c r="D5090" i="18"/>
  <c r="D5089" i="18"/>
  <c r="D5088" i="18"/>
  <c r="D5087" i="18"/>
  <c r="D5084" i="18"/>
  <c r="G5084" i="18" s="1"/>
  <c r="C5083" i="18"/>
  <c r="G5083" i="18" s="1"/>
  <c r="I5081" i="18"/>
  <c r="N5073" i="18" s="1"/>
  <c r="H5081" i="18"/>
  <c r="D5081" i="18"/>
  <c r="D5080" i="18"/>
  <c r="D5079" i="18"/>
  <c r="D5078" i="18"/>
  <c r="D5077" i="18"/>
  <c r="D5076" i="18"/>
  <c r="D5073" i="18"/>
  <c r="G5073" i="18" s="1"/>
  <c r="C5072" i="18"/>
  <c r="G5072" i="18" s="1"/>
  <c r="I5070" i="18"/>
  <c r="N5062" i="18" s="1"/>
  <c r="H5070" i="18"/>
  <c r="K5062" i="18" s="1"/>
  <c r="D5070" i="18"/>
  <c r="D5069" i="18"/>
  <c r="D5068" i="18"/>
  <c r="D5067" i="18"/>
  <c r="D5066" i="18"/>
  <c r="D5065" i="18"/>
  <c r="D5062" i="18"/>
  <c r="G5062" i="18" s="1"/>
  <c r="C5061" i="18"/>
  <c r="G5061" i="18" s="1"/>
  <c r="I5059" i="18"/>
  <c r="N5046" i="18" s="1"/>
  <c r="H5059" i="18"/>
  <c r="K5046" i="18" s="1"/>
  <c r="D5059" i="18"/>
  <c r="D5058" i="18"/>
  <c r="D5057" i="18"/>
  <c r="D5056" i="18"/>
  <c r="D5055" i="18"/>
  <c r="D5054" i="18"/>
  <c r="D5053" i="18"/>
  <c r="D5052" i="18"/>
  <c r="D5051" i="18"/>
  <c r="D5050" i="18"/>
  <c r="D5049" i="18"/>
  <c r="D5046" i="18"/>
  <c r="G5046" i="18" s="1"/>
  <c r="C5045" i="18"/>
  <c r="G5045" i="18" s="1"/>
  <c r="I5043" i="18"/>
  <c r="N5030" i="18" s="1"/>
  <c r="H5043" i="18"/>
  <c r="K5030" i="18" s="1"/>
  <c r="D5043" i="18"/>
  <c r="D5042" i="18"/>
  <c r="D5041" i="18"/>
  <c r="D5040" i="18"/>
  <c r="D5039" i="18"/>
  <c r="D5038" i="18"/>
  <c r="D5037" i="18"/>
  <c r="D5036" i="18"/>
  <c r="D5035" i="18"/>
  <c r="D5034" i="18"/>
  <c r="D5033" i="18"/>
  <c r="D5030" i="18"/>
  <c r="G5030" i="18" s="1"/>
  <c r="C5029" i="18"/>
  <c r="G5029" i="18" s="1"/>
  <c r="C5028" i="18"/>
  <c r="G5028" i="18" s="1"/>
  <c r="L5026" i="18"/>
  <c r="K5026" i="18"/>
  <c r="J5026" i="18"/>
  <c r="I5026" i="18"/>
  <c r="H5026" i="18"/>
  <c r="D5026" i="18"/>
  <c r="D5025" i="18"/>
  <c r="D5024" i="18"/>
  <c r="D5023" i="18"/>
  <c r="D5022" i="18"/>
  <c r="D5021" i="18"/>
  <c r="D5018" i="18"/>
  <c r="G5018" i="18" s="1"/>
  <c r="N5016" i="18"/>
  <c r="M5016" i="18"/>
  <c r="L5016" i="18"/>
  <c r="J5016" i="18"/>
  <c r="I5016" i="18"/>
  <c r="H5016" i="18"/>
  <c r="D5016" i="18"/>
  <c r="K5015" i="18"/>
  <c r="D5015" i="18"/>
  <c r="K5014" i="18"/>
  <c r="D5014" i="18"/>
  <c r="K5013" i="18"/>
  <c r="D5013" i="18"/>
  <c r="K5012" i="18"/>
  <c r="D5012" i="18"/>
  <c r="K5011" i="18"/>
  <c r="D5011" i="18"/>
  <c r="D5008" i="18"/>
  <c r="G5008" i="18" s="1"/>
  <c r="I5006" i="18"/>
  <c r="H5006" i="18"/>
  <c r="D5006" i="18"/>
  <c r="D5005" i="18"/>
  <c r="D5004" i="18"/>
  <c r="D5003" i="18"/>
  <c r="D5002" i="18"/>
  <c r="D5001" i="18"/>
  <c r="D5000" i="18"/>
  <c r="D4999" i="18"/>
  <c r="D4998" i="18"/>
  <c r="D4997" i="18"/>
  <c r="N4994" i="18"/>
  <c r="K4994" i="18"/>
  <c r="D4994" i="18"/>
  <c r="G4994" i="18" s="1"/>
  <c r="C4993" i="18"/>
  <c r="G4993" i="18" s="1"/>
  <c r="N4975" i="18"/>
  <c r="D4975" i="18"/>
  <c r="G4975" i="18" s="1"/>
  <c r="I4973" i="18"/>
  <c r="N4967" i="18" s="1"/>
  <c r="D4973" i="18"/>
  <c r="D4972" i="18"/>
  <c r="D4971" i="18"/>
  <c r="D4970" i="18"/>
  <c r="D4967" i="18"/>
  <c r="G4967" i="18" s="1"/>
  <c r="C4966" i="18"/>
  <c r="G4966" i="18" s="1"/>
  <c r="J4964" i="18"/>
  <c r="I4964" i="18"/>
  <c r="H4964" i="18"/>
  <c r="K4954" i="18" s="1"/>
  <c r="D4964" i="18"/>
  <c r="D4963" i="18"/>
  <c r="D4962" i="18"/>
  <c r="D4961" i="18"/>
  <c r="D4960" i="18"/>
  <c r="D4959" i="18"/>
  <c r="D4958" i="18"/>
  <c r="D4957" i="18"/>
  <c r="D4954" i="18"/>
  <c r="G4954" i="18" s="1"/>
  <c r="C4953" i="18"/>
  <c r="G4953" i="18" s="1"/>
  <c r="G4947" i="18"/>
  <c r="I4944" i="18"/>
  <c r="I4948" i="18" s="1"/>
  <c r="H4944" i="18"/>
  <c r="K4936" i="18" s="1"/>
  <c r="D4944" i="18"/>
  <c r="D4943" i="18"/>
  <c r="D4942" i="18"/>
  <c r="D4941" i="18"/>
  <c r="D4940" i="18"/>
  <c r="D4939" i="18"/>
  <c r="D4936" i="18"/>
  <c r="G4936" i="18" s="1"/>
  <c r="J4934" i="18"/>
  <c r="I4934" i="18"/>
  <c r="N4923" i="18" s="1"/>
  <c r="H4934" i="18"/>
  <c r="K4923" i="18" s="1"/>
  <c r="D4934" i="18"/>
  <c r="D4933" i="18"/>
  <c r="D4932" i="18"/>
  <c r="D4931" i="18"/>
  <c r="D4930" i="18"/>
  <c r="D4929" i="18"/>
  <c r="D4928" i="18"/>
  <c r="D4927" i="18"/>
  <c r="D4926" i="18"/>
  <c r="D4923" i="18"/>
  <c r="G4923" i="18" s="1"/>
  <c r="H4946" i="18" s="1"/>
  <c r="C4922" i="18"/>
  <c r="G4922" i="18" s="1"/>
  <c r="I4920" i="18"/>
  <c r="N4908" i="18" s="1"/>
  <c r="H4920" i="18"/>
  <c r="K4908" i="18" s="1"/>
  <c r="D4920" i="18"/>
  <c r="D4919" i="18"/>
  <c r="D4918" i="18"/>
  <c r="D4917" i="18"/>
  <c r="D4916" i="18"/>
  <c r="D4915" i="18"/>
  <c r="D4914" i="18"/>
  <c r="D4913" i="18"/>
  <c r="D4912" i="18"/>
  <c r="D4911" i="18"/>
  <c r="D4908" i="18"/>
  <c r="G4908" i="18" s="1"/>
  <c r="C4907" i="18"/>
  <c r="G4907" i="18" s="1"/>
  <c r="I4905" i="18"/>
  <c r="N4886" i="18" s="1"/>
  <c r="H4905" i="18"/>
  <c r="D4905" i="18"/>
  <c r="D4904" i="18"/>
  <c r="D4903" i="18"/>
  <c r="D4902" i="18"/>
  <c r="D4901" i="18"/>
  <c r="D4900" i="18"/>
  <c r="D4899" i="18"/>
  <c r="D4898" i="18"/>
  <c r="D4897" i="18"/>
  <c r="D4896" i="18"/>
  <c r="D4895" i="18"/>
  <c r="D4894" i="18"/>
  <c r="D4893" i="18"/>
  <c r="D4892" i="18"/>
  <c r="D4891" i="18"/>
  <c r="D4890" i="18"/>
  <c r="D4889" i="18"/>
  <c r="D4886" i="18"/>
  <c r="G4886" i="18" s="1"/>
  <c r="C4885" i="18"/>
  <c r="G4885" i="18" s="1"/>
  <c r="I4883" i="18"/>
  <c r="N4872" i="18" s="1"/>
  <c r="H4883" i="18"/>
  <c r="K4872" i="18" s="1"/>
  <c r="D4883" i="18"/>
  <c r="D4882" i="18"/>
  <c r="D4881" i="18"/>
  <c r="D4880" i="18"/>
  <c r="D4879" i="18"/>
  <c r="D4878" i="18"/>
  <c r="D4877" i="18"/>
  <c r="D4876" i="18"/>
  <c r="D4875" i="18"/>
  <c r="D4872" i="18"/>
  <c r="G4872" i="18" s="1"/>
  <c r="C4871" i="18"/>
  <c r="G4871" i="18" s="1"/>
  <c r="N4858" i="18"/>
  <c r="K4858" i="18"/>
  <c r="D4858" i="18"/>
  <c r="G4858" i="18" s="1"/>
  <c r="C4844" i="18"/>
  <c r="G4844" i="18" s="1"/>
  <c r="I4842" i="18"/>
  <c r="N4831" i="18" s="1"/>
  <c r="H4842" i="18"/>
  <c r="K4831" i="18" s="1"/>
  <c r="D4842" i="18"/>
  <c r="D4841" i="18"/>
  <c r="D4840" i="18"/>
  <c r="D4839" i="18"/>
  <c r="D4838" i="18"/>
  <c r="D4837" i="18"/>
  <c r="D4836" i="18"/>
  <c r="D4835" i="18"/>
  <c r="D4834" i="18"/>
  <c r="D4831" i="18"/>
  <c r="G4831" i="18" s="1"/>
  <c r="C4830" i="18"/>
  <c r="G4830" i="18" s="1"/>
  <c r="I4828" i="18"/>
  <c r="N4809" i="18" s="1"/>
  <c r="H4828" i="18"/>
  <c r="K4809" i="18" s="1"/>
  <c r="D4828" i="18"/>
  <c r="D4827" i="18"/>
  <c r="D4826" i="18"/>
  <c r="D4825" i="18"/>
  <c r="D4824" i="18"/>
  <c r="D4823" i="18"/>
  <c r="D4822" i="18"/>
  <c r="D4821" i="18"/>
  <c r="D4820" i="18"/>
  <c r="D4819" i="18"/>
  <c r="D4818" i="18"/>
  <c r="D4817" i="18"/>
  <c r="D4816" i="18"/>
  <c r="D4815" i="18"/>
  <c r="D4814" i="18"/>
  <c r="D4813" i="18"/>
  <c r="D4812" i="18"/>
  <c r="D4809" i="18"/>
  <c r="G4809" i="18" s="1"/>
  <c r="C4808" i="18"/>
  <c r="G4808" i="18" s="1"/>
  <c r="D4780" i="18"/>
  <c r="G4780" i="18" s="1"/>
  <c r="C4779" i="18"/>
  <c r="G4779" i="18" s="1"/>
  <c r="I4777" i="18"/>
  <c r="N4769" i="18" s="1"/>
  <c r="H4777" i="18"/>
  <c r="K4769" i="18" s="1"/>
  <c r="D4777" i="18"/>
  <c r="D4776" i="18"/>
  <c r="D4775" i="18"/>
  <c r="D4774" i="18"/>
  <c r="D4773" i="18"/>
  <c r="D4772" i="18"/>
  <c r="D4769" i="18"/>
  <c r="G4769" i="18" s="1"/>
  <c r="D4754" i="18"/>
  <c r="G4754" i="18" s="1"/>
  <c r="C4753" i="18"/>
  <c r="G4753" i="18" s="1"/>
  <c r="N4729" i="18"/>
  <c r="K4729" i="18"/>
  <c r="D4738" i="18"/>
  <c r="D4737" i="18"/>
  <c r="D4736" i="18"/>
  <c r="D4735" i="18"/>
  <c r="D4734" i="18"/>
  <c r="D4733" i="18"/>
  <c r="D4732" i="18"/>
  <c r="D4729" i="18"/>
  <c r="G4729" i="18" s="1"/>
  <c r="C4728" i="18"/>
  <c r="G4728" i="18" s="1"/>
  <c r="I4726" i="18"/>
  <c r="N4718" i="18" s="1"/>
  <c r="H4726" i="18"/>
  <c r="K4718" i="18" s="1"/>
  <c r="D4726" i="18"/>
  <c r="D4725" i="18"/>
  <c r="D4724" i="18"/>
  <c r="D4723" i="18"/>
  <c r="D4722" i="18"/>
  <c r="D4721" i="18"/>
  <c r="D4718" i="18"/>
  <c r="G4718" i="18" s="1"/>
  <c r="I4716" i="18"/>
  <c r="N4698" i="18" s="1"/>
  <c r="H4716" i="18"/>
  <c r="K4698" i="18" s="1"/>
  <c r="D4716" i="18"/>
  <c r="D4715" i="18"/>
  <c r="D4714" i="18"/>
  <c r="D4713" i="18"/>
  <c r="D4712" i="18"/>
  <c r="D4711" i="18"/>
  <c r="D4710" i="18"/>
  <c r="D4709" i="18"/>
  <c r="D4708" i="18"/>
  <c r="D4707" i="18"/>
  <c r="D4706" i="18"/>
  <c r="D4705" i="18"/>
  <c r="D4704" i="18"/>
  <c r="D4703" i="18"/>
  <c r="D4702" i="18"/>
  <c r="D4701" i="18"/>
  <c r="D4698" i="18"/>
  <c r="G4698" i="18" s="1"/>
  <c r="C4697" i="18"/>
  <c r="G4697" i="18" s="1"/>
  <c r="I4695" i="18"/>
  <c r="H4695" i="18"/>
  <c r="D4695" i="18"/>
  <c r="D4694" i="18"/>
  <c r="D4693" i="18"/>
  <c r="D4692" i="18"/>
  <c r="D4691" i="18"/>
  <c r="D4690" i="18"/>
  <c r="N4687" i="18"/>
  <c r="K4687" i="18"/>
  <c r="D4687" i="18"/>
  <c r="G4687" i="18" s="1"/>
  <c r="I4685" i="18"/>
  <c r="N4667" i="18" s="1"/>
  <c r="H4685" i="18"/>
  <c r="K4667" i="18" s="1"/>
  <c r="D4685" i="18"/>
  <c r="D4684" i="18"/>
  <c r="D4683" i="18"/>
  <c r="D4682" i="18"/>
  <c r="D4681" i="18"/>
  <c r="D4680" i="18"/>
  <c r="D4679" i="18"/>
  <c r="D4678" i="18"/>
  <c r="D4677" i="18"/>
  <c r="D4676" i="18"/>
  <c r="D4675" i="18"/>
  <c r="D4674" i="18"/>
  <c r="D4673" i="18"/>
  <c r="D4672" i="18"/>
  <c r="D4671" i="18"/>
  <c r="D4670" i="18"/>
  <c r="D4667" i="18"/>
  <c r="G4667" i="18" s="1"/>
  <c r="C4666" i="18"/>
  <c r="G4666" i="18" s="1"/>
  <c r="I4664" i="18"/>
  <c r="N4656" i="18" s="1"/>
  <c r="H4664" i="18"/>
  <c r="K4656" i="18" s="1"/>
  <c r="D4664" i="18"/>
  <c r="D4663" i="18"/>
  <c r="D4662" i="18"/>
  <c r="D4661" i="18"/>
  <c r="D4660" i="18"/>
  <c r="D4659" i="18"/>
  <c r="D4656" i="18"/>
  <c r="G4656" i="18" s="1"/>
  <c r="I4654" i="18"/>
  <c r="H4654" i="18"/>
  <c r="K4637" i="18" s="1"/>
  <c r="D4654" i="18"/>
  <c r="D4653" i="18"/>
  <c r="D4652" i="18"/>
  <c r="D4651" i="18"/>
  <c r="D4650" i="18"/>
  <c r="D4649" i="18"/>
  <c r="D4648" i="18"/>
  <c r="D4647" i="18"/>
  <c r="D4646" i="18"/>
  <c r="D4645" i="18"/>
  <c r="D4644" i="18"/>
  <c r="D4643" i="18"/>
  <c r="D4642" i="18"/>
  <c r="D4641" i="18"/>
  <c r="D4640" i="18"/>
  <c r="D4637" i="18"/>
  <c r="C4636" i="18"/>
  <c r="G4636" i="18" s="1"/>
  <c r="I4634" i="18"/>
  <c r="N4626" i="18" s="1"/>
  <c r="H4634" i="18"/>
  <c r="K4626" i="18" s="1"/>
  <c r="D4634" i="18"/>
  <c r="D4633" i="18"/>
  <c r="D4632" i="18"/>
  <c r="D4631" i="18"/>
  <c r="D4630" i="18"/>
  <c r="D4629" i="18"/>
  <c r="D4626" i="18"/>
  <c r="G4626" i="18" s="1"/>
  <c r="I4624" i="18"/>
  <c r="N4616" i="18" s="1"/>
  <c r="H4624" i="18"/>
  <c r="K4616" i="18" s="1"/>
  <c r="D4624" i="18"/>
  <c r="D4623" i="18"/>
  <c r="D4622" i="18"/>
  <c r="D4621" i="18"/>
  <c r="D4620" i="18"/>
  <c r="D4619" i="18"/>
  <c r="D4616" i="18"/>
  <c r="G4616" i="18" s="1"/>
  <c r="H4614" i="18"/>
  <c r="D4614" i="18"/>
  <c r="D4613" i="18"/>
  <c r="D4612" i="18"/>
  <c r="D4611" i="18"/>
  <c r="D4610" i="18"/>
  <c r="D4609" i="18"/>
  <c r="D4608" i="18"/>
  <c r="D4607" i="18"/>
  <c r="D4606" i="18"/>
  <c r="D4605" i="18"/>
  <c r="D4604" i="18"/>
  <c r="D4601" i="18"/>
  <c r="G4601" i="18" s="1"/>
  <c r="H4599" i="18"/>
  <c r="D4599" i="18"/>
  <c r="D4598" i="18"/>
  <c r="D4597" i="18"/>
  <c r="D4596" i="18"/>
  <c r="D4595" i="18"/>
  <c r="D4594" i="18"/>
  <c r="D4593" i="18"/>
  <c r="D4592" i="18"/>
  <c r="D4591" i="18"/>
  <c r="D4590" i="18"/>
  <c r="D4589" i="18"/>
  <c r="D4586" i="18"/>
  <c r="G4586" i="18" s="1"/>
  <c r="G4580" i="18"/>
  <c r="K4577" i="18"/>
  <c r="K4581" i="18" s="1"/>
  <c r="J4577" i="18"/>
  <c r="I4577" i="18"/>
  <c r="H4577" i="18"/>
  <c r="H4581" i="18" s="1"/>
  <c r="D4577" i="18"/>
  <c r="D4576" i="18"/>
  <c r="D4575" i="18"/>
  <c r="D4574" i="18"/>
  <c r="D4573" i="18"/>
  <c r="D4572" i="18"/>
  <c r="D4567" i="18"/>
  <c r="G4567" i="18" s="1"/>
  <c r="G4561" i="18"/>
  <c r="K4558" i="18"/>
  <c r="K4562" i="18" s="1"/>
  <c r="J4558" i="18"/>
  <c r="J4562" i="18" s="1"/>
  <c r="I4558" i="18"/>
  <c r="I4562" i="18" s="1"/>
  <c r="H4558" i="18"/>
  <c r="H4562" i="18" s="1"/>
  <c r="D4558" i="18"/>
  <c r="D4557" i="18"/>
  <c r="D4556" i="18"/>
  <c r="D4555" i="18"/>
  <c r="D4554" i="18"/>
  <c r="D4553" i="18"/>
  <c r="D4552" i="18"/>
  <c r="D4551" i="18"/>
  <c r="D4550" i="18"/>
  <c r="D4549" i="18"/>
  <c r="D4544" i="18"/>
  <c r="G4544" i="18" s="1"/>
  <c r="G4538" i="18"/>
  <c r="K4535" i="18"/>
  <c r="J4535" i="18"/>
  <c r="I4535" i="18"/>
  <c r="H4535" i="18"/>
  <c r="D4535" i="18"/>
  <c r="D4534" i="18"/>
  <c r="D4533" i="18"/>
  <c r="D4532" i="18"/>
  <c r="D4531" i="18"/>
  <c r="D4530" i="18"/>
  <c r="D4529" i="18"/>
  <c r="D4528" i="18"/>
  <c r="D4527" i="18"/>
  <c r="D4526" i="18"/>
  <c r="D4525" i="18"/>
  <c r="D4520" i="18"/>
  <c r="G4520" i="18" s="1"/>
  <c r="D4518" i="18"/>
  <c r="D4517" i="18"/>
  <c r="D4516" i="18"/>
  <c r="D4515" i="18"/>
  <c r="I4514" i="18"/>
  <c r="I4518" i="18" s="1"/>
  <c r="N4511" i="18" s="1"/>
  <c r="H4514" i="18"/>
  <c r="D4514" i="18"/>
  <c r="D4511" i="18"/>
  <c r="G4511" i="18" s="1"/>
  <c r="J4560" i="18" s="1"/>
  <c r="D4509" i="18"/>
  <c r="D4508" i="18"/>
  <c r="D4507" i="18"/>
  <c r="D4506" i="18"/>
  <c r="I4505" i="18"/>
  <c r="H4505" i="18"/>
  <c r="H4509" i="18" s="1"/>
  <c r="K4502" i="18" s="1"/>
  <c r="D4505" i="18"/>
  <c r="D4502" i="18"/>
  <c r="G4502" i="18" s="1"/>
  <c r="D4500" i="18"/>
  <c r="D4499" i="18"/>
  <c r="D4498" i="18"/>
  <c r="D4497" i="18"/>
  <c r="D4492" i="18"/>
  <c r="G4492" i="18" s="1"/>
  <c r="C4491" i="18"/>
  <c r="G4491" i="18" s="1"/>
  <c r="C4490" i="18"/>
  <c r="G4490" i="18" s="1"/>
  <c r="C4489" i="18"/>
  <c r="G4489" i="18" s="1"/>
  <c r="H4487" i="18"/>
  <c r="D4487" i="18"/>
  <c r="D4486" i="18"/>
  <c r="D4485" i="18"/>
  <c r="D4484" i="18"/>
  <c r="D4483" i="18"/>
  <c r="D4482" i="18"/>
  <c r="D4481" i="18"/>
  <c r="D4478" i="18"/>
  <c r="G4478" i="18" s="1"/>
  <c r="D4476" i="18"/>
  <c r="D4475" i="18"/>
  <c r="D4474" i="18"/>
  <c r="D4473" i="18"/>
  <c r="D4472" i="18"/>
  <c r="D4471" i="18"/>
  <c r="D4470" i="18"/>
  <c r="D4469" i="18"/>
  <c r="D4468" i="18"/>
  <c r="D4467" i="18"/>
  <c r="I4466" i="18"/>
  <c r="D4466" i="18"/>
  <c r="D4465" i="18"/>
  <c r="D4464" i="18"/>
  <c r="D4461" i="18"/>
  <c r="G4461" i="18" s="1"/>
  <c r="C4460" i="18"/>
  <c r="G4460" i="18" s="1"/>
  <c r="J4458" i="18"/>
  <c r="I4458" i="18"/>
  <c r="H4458" i="18"/>
  <c r="N4453" i="18" s="1"/>
  <c r="D4458" i="18"/>
  <c r="K4457" i="18"/>
  <c r="D4457" i="18"/>
  <c r="K4456" i="18"/>
  <c r="D4456" i="18"/>
  <c r="D4453" i="18"/>
  <c r="G4453" i="18" s="1"/>
  <c r="C4452" i="18"/>
  <c r="G4452" i="18" s="1"/>
  <c r="J4450" i="18"/>
  <c r="I4450" i="18"/>
  <c r="H4450" i="18"/>
  <c r="N4441" i="18" s="1"/>
  <c r="K4449" i="18"/>
  <c r="K4448" i="18"/>
  <c r="K4447" i="18"/>
  <c r="K4446" i="18"/>
  <c r="K4445" i="18"/>
  <c r="K4444" i="18"/>
  <c r="D4441" i="18"/>
  <c r="G4441" i="18" s="1"/>
  <c r="L4439" i="18"/>
  <c r="K4439" i="18"/>
  <c r="I4439" i="18"/>
  <c r="D4439" i="18"/>
  <c r="D4438" i="18"/>
  <c r="D4437" i="18"/>
  <c r="D4436" i="18"/>
  <c r="D4435" i="18"/>
  <c r="D4434" i="18"/>
  <c r="D4433" i="18"/>
  <c r="D4432" i="18"/>
  <c r="D4431" i="18"/>
  <c r="D4428" i="18"/>
  <c r="G4428" i="18" s="1"/>
  <c r="C4427" i="18"/>
  <c r="G4427" i="18" s="1"/>
  <c r="J4425" i="18"/>
  <c r="I4425" i="18"/>
  <c r="D4425" i="18"/>
  <c r="K4424" i="18"/>
  <c r="D4424" i="18"/>
  <c r="K4423" i="18"/>
  <c r="D4423" i="18"/>
  <c r="K4422" i="18"/>
  <c r="D4422" i="18"/>
  <c r="K4421" i="18"/>
  <c r="D4421" i="18"/>
  <c r="K4420" i="18"/>
  <c r="D4420" i="18"/>
  <c r="D4417" i="18"/>
  <c r="G4417" i="18" s="1"/>
  <c r="C4416" i="18"/>
  <c r="G4416" i="18" s="1"/>
  <c r="D4414" i="18"/>
  <c r="O4413" i="18"/>
  <c r="N4413" i="18"/>
  <c r="D4413" i="18"/>
  <c r="O4412" i="18"/>
  <c r="N4412" i="18"/>
  <c r="D4412" i="18"/>
  <c r="O4411" i="18"/>
  <c r="N4411" i="18"/>
  <c r="D4411" i="18"/>
  <c r="O4410" i="18"/>
  <c r="N4410" i="18"/>
  <c r="D4410" i="18"/>
  <c r="O4409" i="18"/>
  <c r="N4409" i="18"/>
  <c r="D4409" i="18"/>
  <c r="O4408" i="18"/>
  <c r="N4408" i="18"/>
  <c r="D4408" i="18"/>
  <c r="O4407" i="18"/>
  <c r="N4407" i="18"/>
  <c r="D4407" i="18"/>
  <c r="M4406" i="18"/>
  <c r="L4406" i="18"/>
  <c r="K4406" i="18"/>
  <c r="J4406" i="18"/>
  <c r="I4406" i="18"/>
  <c r="H4406" i="18"/>
  <c r="D4406" i="18"/>
  <c r="O4405" i="18"/>
  <c r="N4405" i="18"/>
  <c r="D4405" i="18"/>
  <c r="O4404" i="18"/>
  <c r="N4404" i="18"/>
  <c r="D4404" i="18"/>
  <c r="O4403" i="18"/>
  <c r="N4403" i="18"/>
  <c r="D4403" i="18"/>
  <c r="O4402" i="18"/>
  <c r="N4402" i="18"/>
  <c r="D4402" i="18"/>
  <c r="M4401" i="18"/>
  <c r="L4401" i="18"/>
  <c r="K4401" i="18"/>
  <c r="J4401" i="18"/>
  <c r="I4401" i="18"/>
  <c r="H4401" i="18"/>
  <c r="D4401" i="18"/>
  <c r="D4396" i="18"/>
  <c r="G4396" i="18" s="1"/>
  <c r="D4371" i="18"/>
  <c r="G4371" i="18" s="1"/>
  <c r="C4370" i="18"/>
  <c r="G4370" i="18" s="1"/>
  <c r="J4368" i="18"/>
  <c r="I4368" i="18"/>
  <c r="D4368" i="18"/>
  <c r="K4367" i="18"/>
  <c r="K4368" i="18" s="1"/>
  <c r="K4364" i="18" s="1"/>
  <c r="D4367" i="18"/>
  <c r="D4364" i="18"/>
  <c r="G4364" i="18" s="1"/>
  <c r="C4363" i="18"/>
  <c r="G4363" i="18" s="1"/>
  <c r="J4361" i="18"/>
  <c r="I4361" i="18"/>
  <c r="D4361" i="18"/>
  <c r="K4360" i="18"/>
  <c r="D4360" i="18"/>
  <c r="K4359" i="18"/>
  <c r="D4359" i="18"/>
  <c r="K4358" i="18"/>
  <c r="D4358" i="18"/>
  <c r="D4355" i="18"/>
  <c r="G4355" i="18" s="1"/>
  <c r="C4354" i="18"/>
  <c r="G4354" i="18" s="1"/>
  <c r="M4352" i="18"/>
  <c r="L4352" i="18"/>
  <c r="K4352" i="18"/>
  <c r="J4352" i="18"/>
  <c r="I4352" i="18"/>
  <c r="N4344" i="18" s="1"/>
  <c r="H4352" i="18"/>
  <c r="D4352" i="18"/>
  <c r="O4351" i="18"/>
  <c r="N4351" i="18"/>
  <c r="D4351" i="18"/>
  <c r="O4350" i="18"/>
  <c r="N4350" i="18"/>
  <c r="D4350" i="18"/>
  <c r="O4349" i="18"/>
  <c r="N4349" i="18"/>
  <c r="D4349" i="18"/>
  <c r="D4344" i="18"/>
  <c r="G4344" i="18" s="1"/>
  <c r="M4342" i="18"/>
  <c r="D4342" i="18"/>
  <c r="L4341" i="18"/>
  <c r="D4341" i="18"/>
  <c r="L4340" i="18"/>
  <c r="D4340" i="18"/>
  <c r="L4339" i="18"/>
  <c r="D4339" i="18"/>
  <c r="L4338" i="18"/>
  <c r="D4338" i="18"/>
  <c r="L4337" i="18"/>
  <c r="D4337" i="18"/>
  <c r="K4334" i="18"/>
  <c r="D4334" i="18"/>
  <c r="G4334" i="18" s="1"/>
  <c r="C4333" i="18"/>
  <c r="G4333" i="18" s="1"/>
  <c r="H4331" i="18"/>
  <c r="J4331" i="18"/>
  <c r="N4321" i="18"/>
  <c r="D4321" i="18"/>
  <c r="G4321" i="18" s="1"/>
  <c r="D4319" i="18"/>
  <c r="D4318" i="18"/>
  <c r="M4317" i="18"/>
  <c r="D4317" i="18"/>
  <c r="D4312" i="18"/>
  <c r="G4312" i="18" s="1"/>
  <c r="C4311" i="18"/>
  <c r="G4311" i="18" s="1"/>
  <c r="N4309" i="18"/>
  <c r="M4309" i="18"/>
  <c r="L4309" i="18"/>
  <c r="J4309" i="18"/>
  <c r="I4309" i="18"/>
  <c r="H4309" i="18"/>
  <c r="N4301" i="18" s="1"/>
  <c r="D4309" i="18"/>
  <c r="K4308" i="18"/>
  <c r="D4308" i="18"/>
  <c r="K4307" i="18"/>
  <c r="D4307" i="18"/>
  <c r="K4306" i="18"/>
  <c r="D4306" i="18"/>
  <c r="K4305" i="18"/>
  <c r="D4305" i="18"/>
  <c r="K4304" i="18"/>
  <c r="D4304" i="18"/>
  <c r="D4301" i="18"/>
  <c r="G4301" i="18" s="1"/>
  <c r="H4299" i="18"/>
  <c r="D4299" i="18"/>
  <c r="D4298" i="18"/>
  <c r="D4297" i="18"/>
  <c r="D4296" i="18"/>
  <c r="D4295" i="18"/>
  <c r="D4294" i="18"/>
  <c r="D4291" i="18"/>
  <c r="G4291" i="18" s="1"/>
  <c r="C4290" i="18"/>
  <c r="G4290" i="18" s="1"/>
  <c r="D4281" i="18"/>
  <c r="D4280" i="18"/>
  <c r="D4279" i="18"/>
  <c r="D4278" i="18"/>
  <c r="D4277" i="18"/>
  <c r="D4276" i="18"/>
  <c r="D4273" i="18"/>
  <c r="G4273" i="18" s="1"/>
  <c r="H4800" i="18" s="1"/>
  <c r="J4271" i="18"/>
  <c r="I4271" i="18"/>
  <c r="D4271" i="18"/>
  <c r="K4270" i="18"/>
  <c r="D4270" i="18"/>
  <c r="K4269" i="18"/>
  <c r="D4269" i="18"/>
  <c r="K4268" i="18"/>
  <c r="D4268" i="18"/>
  <c r="D4265" i="18"/>
  <c r="G4265" i="18" s="1"/>
  <c r="H4283" i="18" s="1"/>
  <c r="C4264" i="18"/>
  <c r="G4264" i="18" s="1"/>
  <c r="H4262" i="18"/>
  <c r="K4251" i="18" s="1"/>
  <c r="D4262" i="18"/>
  <c r="D4261" i="18"/>
  <c r="D4260" i="18"/>
  <c r="D4259" i="18"/>
  <c r="D4258" i="18"/>
  <c r="D4257" i="18"/>
  <c r="D4256" i="18"/>
  <c r="D4255" i="18"/>
  <c r="D4254" i="18"/>
  <c r="D4251" i="18"/>
  <c r="G4251" i="18" s="1"/>
  <c r="C4250" i="18"/>
  <c r="G4250" i="18" s="1"/>
  <c r="D4248" i="18"/>
  <c r="D4247" i="18"/>
  <c r="D4246" i="18"/>
  <c r="D4245" i="18"/>
  <c r="D4244" i="18"/>
  <c r="D4243" i="18"/>
  <c r="D4242" i="18"/>
  <c r="D4237" i="18"/>
  <c r="G4237" i="18" s="1"/>
  <c r="D4235" i="18"/>
  <c r="D4234" i="18"/>
  <c r="D4233" i="18"/>
  <c r="D4232" i="18"/>
  <c r="D4231" i="18"/>
  <c r="D4230" i="18"/>
  <c r="D4229" i="18"/>
  <c r="D4226" i="18"/>
  <c r="G4226" i="18" s="1"/>
  <c r="D4224" i="18"/>
  <c r="D4223" i="18"/>
  <c r="D4222" i="18"/>
  <c r="D4221" i="18"/>
  <c r="D4220" i="18"/>
  <c r="D4217" i="18"/>
  <c r="G4217" i="18" s="1"/>
  <c r="D4202" i="18"/>
  <c r="G4202" i="18" s="1"/>
  <c r="D4182" i="18"/>
  <c r="G4182" i="18" s="1"/>
  <c r="H4180" i="18"/>
  <c r="K4172" i="18" s="1"/>
  <c r="D4180" i="18"/>
  <c r="D4179" i="18"/>
  <c r="D4178" i="18"/>
  <c r="D4177" i="18"/>
  <c r="D4176" i="18"/>
  <c r="D4175" i="18"/>
  <c r="D4172" i="18"/>
  <c r="G4172" i="18" s="1"/>
  <c r="C4171" i="18"/>
  <c r="G4171" i="18" s="1"/>
  <c r="J4169" i="18"/>
  <c r="K4161" i="18" s="1"/>
  <c r="D4169" i="18"/>
  <c r="D4168" i="18"/>
  <c r="D4167" i="18"/>
  <c r="D4166" i="18"/>
  <c r="D4165" i="18"/>
  <c r="D4164" i="18"/>
  <c r="D4161" i="18"/>
  <c r="G4161" i="18" s="1"/>
  <c r="J4159" i="18"/>
  <c r="I4159" i="18"/>
  <c r="D4159" i="18"/>
  <c r="K4158" i="18"/>
  <c r="D4158" i="18"/>
  <c r="K4157" i="18"/>
  <c r="D4157" i="18"/>
  <c r="K4156" i="18"/>
  <c r="D4156" i="18"/>
  <c r="K4155" i="18"/>
  <c r="D4155" i="18"/>
  <c r="K4154" i="18"/>
  <c r="D4154" i="18"/>
  <c r="D4151" i="18"/>
  <c r="G4151" i="18" s="1"/>
  <c r="C4150" i="18"/>
  <c r="G4150" i="18" s="1"/>
  <c r="J4148" i="18"/>
  <c r="K4140" i="18" s="1"/>
  <c r="D4148" i="18"/>
  <c r="D4147" i="18"/>
  <c r="D4146" i="18"/>
  <c r="D4145" i="18"/>
  <c r="D4144" i="18"/>
  <c r="D4143" i="18"/>
  <c r="D4140" i="18"/>
  <c r="G4140" i="18" s="1"/>
  <c r="D4131" i="18"/>
  <c r="D4130" i="18"/>
  <c r="I4129" i="18"/>
  <c r="H4129" i="18"/>
  <c r="D4129" i="18"/>
  <c r="D4128" i="18"/>
  <c r="D4127" i="18"/>
  <c r="D4126" i="18"/>
  <c r="D4125" i="18"/>
  <c r="D4122" i="18"/>
  <c r="G4122" i="18" s="1"/>
  <c r="C4121" i="18"/>
  <c r="G4121" i="18" s="1"/>
  <c r="D4111" i="18"/>
  <c r="G4111" i="18" s="1"/>
  <c r="H4133" i="18" s="1"/>
  <c r="C4110" i="18"/>
  <c r="G4110" i="18" s="1"/>
  <c r="M4098" i="18"/>
  <c r="K4098" i="18"/>
  <c r="I4098" i="18"/>
  <c r="N4088" i="18" s="1"/>
  <c r="D4098" i="18"/>
  <c r="O4097" i="18"/>
  <c r="N4097" i="18"/>
  <c r="D4097" i="18"/>
  <c r="O4096" i="18"/>
  <c r="N4096" i="18"/>
  <c r="D4096" i="18"/>
  <c r="O4095" i="18"/>
  <c r="N4095" i="18"/>
  <c r="D4095" i="18"/>
  <c r="O4094" i="18"/>
  <c r="N4094" i="18"/>
  <c r="D4094" i="18"/>
  <c r="O4093" i="18"/>
  <c r="N4093" i="18"/>
  <c r="D4093" i="18"/>
  <c r="D4088" i="18"/>
  <c r="G4088" i="18" s="1"/>
  <c r="D4086" i="18"/>
  <c r="L4085" i="18"/>
  <c r="D4085" i="18"/>
  <c r="L4084" i="18"/>
  <c r="D4084" i="18"/>
  <c r="L4083" i="18"/>
  <c r="D4083" i="18"/>
  <c r="L4082" i="18"/>
  <c r="D4082" i="18"/>
  <c r="L4081" i="18"/>
  <c r="D4081" i="18"/>
  <c r="K4078" i="18"/>
  <c r="D4078" i="18"/>
  <c r="G4078" i="18" s="1"/>
  <c r="D4076" i="18"/>
  <c r="Q4075" i="18"/>
  <c r="D4075" i="18"/>
  <c r="P4074" i="18"/>
  <c r="P4076" i="18" s="1"/>
  <c r="O4074" i="18"/>
  <c r="O4076" i="18" s="1"/>
  <c r="N4074" i="18"/>
  <c r="N4076" i="18" s="1"/>
  <c r="M4074" i="18"/>
  <c r="M4076" i="18" s="1"/>
  <c r="L4074" i="18"/>
  <c r="K4074" i="18"/>
  <c r="K4076" i="18" s="1"/>
  <c r="H4074" i="18"/>
  <c r="H4076" i="18" s="1"/>
  <c r="D4074" i="18"/>
  <c r="Q4073" i="18"/>
  <c r="D4073" i="18"/>
  <c r="Q4072" i="18"/>
  <c r="D4072" i="18"/>
  <c r="Q4071" i="18"/>
  <c r="D4071" i="18"/>
  <c r="Q4070" i="18"/>
  <c r="D4070" i="18"/>
  <c r="Q4069" i="18"/>
  <c r="D4069" i="18"/>
  <c r="D4068" i="18"/>
  <c r="D4065" i="18"/>
  <c r="G4065" i="18" s="1"/>
  <c r="D4055" i="18"/>
  <c r="G4055" i="18" s="1"/>
  <c r="C4054" i="18"/>
  <c r="G4054" i="18" s="1"/>
  <c r="K4042" i="18"/>
  <c r="H4042" i="18"/>
  <c r="K4034" i="18" s="1"/>
  <c r="D4042" i="18"/>
  <c r="D4041" i="18"/>
  <c r="D4040" i="18"/>
  <c r="D4039" i="18"/>
  <c r="D4038" i="18"/>
  <c r="D4037" i="18"/>
  <c r="D4034" i="18"/>
  <c r="G4034" i="18" s="1"/>
  <c r="K4032" i="18"/>
  <c r="H4032" i="18"/>
  <c r="K4024" i="18" s="1"/>
  <c r="D4032" i="18"/>
  <c r="D4031" i="18"/>
  <c r="D4030" i="18"/>
  <c r="D4029" i="18"/>
  <c r="D4028" i="18"/>
  <c r="D4027" i="18"/>
  <c r="D4024" i="18"/>
  <c r="G4024" i="18" s="1"/>
  <c r="K4022" i="18"/>
  <c r="H4022" i="18"/>
  <c r="K4014" i="18" s="1"/>
  <c r="D4022" i="18"/>
  <c r="D4021" i="18"/>
  <c r="D4020" i="18"/>
  <c r="D4019" i="18"/>
  <c r="D4018" i="18"/>
  <c r="D4017" i="18"/>
  <c r="D4014" i="18"/>
  <c r="G4014" i="18" s="1"/>
  <c r="J4052" i="18"/>
  <c r="K4044" i="18" s="1"/>
  <c r="D4052" i="18"/>
  <c r="D4051" i="18"/>
  <c r="D4050" i="18"/>
  <c r="D4049" i="18"/>
  <c r="D4048" i="18"/>
  <c r="D4047" i="18"/>
  <c r="N4044" i="18"/>
  <c r="D4044" i="18"/>
  <c r="G4044" i="18" s="1"/>
  <c r="D4001" i="18"/>
  <c r="G4001" i="18" s="1"/>
  <c r="C4000" i="18"/>
  <c r="G4000" i="18" s="1"/>
  <c r="G3994" i="18"/>
  <c r="P3991" i="18"/>
  <c r="O3991" i="18"/>
  <c r="N3991" i="18"/>
  <c r="M3991" i="18"/>
  <c r="K3991" i="18"/>
  <c r="H3991" i="18"/>
  <c r="D3991" i="18"/>
  <c r="Q3990" i="18"/>
  <c r="D3990" i="18"/>
  <c r="Q3989" i="18"/>
  <c r="D3989" i="18"/>
  <c r="Q3988" i="18"/>
  <c r="D3988" i="18"/>
  <c r="Q3987" i="18"/>
  <c r="D3987" i="18"/>
  <c r="Q3986" i="18"/>
  <c r="D3986" i="18"/>
  <c r="D3983" i="18"/>
  <c r="G3983" i="18" s="1"/>
  <c r="H3981" i="18"/>
  <c r="K3972" i="18" s="1"/>
  <c r="D3981" i="18"/>
  <c r="D3980" i="18"/>
  <c r="D3979" i="18"/>
  <c r="D3978" i="18"/>
  <c r="D3977" i="18"/>
  <c r="D3976" i="18"/>
  <c r="D3975" i="18"/>
  <c r="D3972" i="18"/>
  <c r="G3972" i="18" s="1"/>
  <c r="H3993" i="18" s="1"/>
  <c r="C3971" i="18"/>
  <c r="G3971" i="18" s="1"/>
  <c r="I3969" i="18"/>
  <c r="N3961" i="18" s="1"/>
  <c r="H3969" i="18"/>
  <c r="K3961" i="18" s="1"/>
  <c r="D3969" i="18"/>
  <c r="D3968" i="18"/>
  <c r="D3967" i="18"/>
  <c r="D3966" i="18"/>
  <c r="D3965" i="18"/>
  <c r="D3964" i="18"/>
  <c r="D3961" i="18"/>
  <c r="G3961" i="18" s="1"/>
  <c r="P3959" i="18"/>
  <c r="O3959" i="18"/>
  <c r="N3959" i="18"/>
  <c r="M3959" i="18"/>
  <c r="L3959" i="18"/>
  <c r="N3951" i="18" s="1"/>
  <c r="K3959" i="18"/>
  <c r="H3959" i="18"/>
  <c r="D3959" i="18"/>
  <c r="Q3958" i="18"/>
  <c r="D3958" i="18"/>
  <c r="Q3957" i="18"/>
  <c r="D3957" i="18"/>
  <c r="Q3956" i="18"/>
  <c r="D3956" i="18"/>
  <c r="Q3955" i="18"/>
  <c r="D3955" i="18"/>
  <c r="Q3954" i="18"/>
  <c r="D3954" i="18"/>
  <c r="D3951" i="18"/>
  <c r="G3951" i="18" s="1"/>
  <c r="I3949" i="18"/>
  <c r="N3941" i="18" s="1"/>
  <c r="H3949" i="18"/>
  <c r="K3941" i="18" s="1"/>
  <c r="D3949" i="18"/>
  <c r="D3948" i="18"/>
  <c r="D3947" i="18"/>
  <c r="D3946" i="18"/>
  <c r="D3945" i="18"/>
  <c r="D3944" i="18"/>
  <c r="D3941" i="18"/>
  <c r="G3941" i="18" s="1"/>
  <c r="H3939" i="18"/>
  <c r="K3931" i="18" s="1"/>
  <c r="D3939" i="18"/>
  <c r="D3938" i="18"/>
  <c r="D3937" i="18"/>
  <c r="D3936" i="18"/>
  <c r="D3935" i="18"/>
  <c r="D3934" i="18"/>
  <c r="D3931" i="18"/>
  <c r="G3931" i="18" s="1"/>
  <c r="C3930" i="18"/>
  <c r="G3930" i="18" s="1"/>
  <c r="H3928" i="18"/>
  <c r="D3928" i="18"/>
  <c r="D3927" i="18"/>
  <c r="D3926" i="18"/>
  <c r="D3925" i="18"/>
  <c r="D3924" i="18"/>
  <c r="D3923" i="18"/>
  <c r="D3920" i="18"/>
  <c r="G3920" i="18" s="1"/>
  <c r="C3919" i="18"/>
  <c r="G3919" i="18" s="1"/>
  <c r="D3917" i="18"/>
  <c r="H3916" i="18"/>
  <c r="D3916" i="18"/>
  <c r="D3915" i="18"/>
  <c r="D3914" i="18"/>
  <c r="D3913" i="18"/>
  <c r="D3912" i="18"/>
  <c r="D3911" i="18"/>
  <c r="D3910" i="18"/>
  <c r="H3909" i="18"/>
  <c r="D3909" i="18"/>
  <c r="D3908" i="18"/>
  <c r="D3907" i="18"/>
  <c r="D3906" i="18"/>
  <c r="D3905" i="18"/>
  <c r="D3904" i="18"/>
  <c r="D3903" i="18"/>
  <c r="D3900" i="18"/>
  <c r="G3900" i="18" s="1"/>
  <c r="I3898" i="18"/>
  <c r="H3898" i="18"/>
  <c r="D3898" i="18"/>
  <c r="D3897" i="18"/>
  <c r="D3896" i="18"/>
  <c r="D3895" i="18"/>
  <c r="D3894" i="18"/>
  <c r="D3893" i="18"/>
  <c r="D3890" i="18"/>
  <c r="G3890" i="18" s="1"/>
  <c r="J3888" i="18"/>
  <c r="Q3880" i="18" s="1"/>
  <c r="D3888" i="18"/>
  <c r="D3887" i="18"/>
  <c r="D3886" i="18"/>
  <c r="D3885" i="18"/>
  <c r="D3884" i="18"/>
  <c r="D3883" i="18"/>
  <c r="D3880" i="18"/>
  <c r="G3880" i="18" s="1"/>
  <c r="H3878" i="18"/>
  <c r="K3870" i="18" s="1"/>
  <c r="D3878" i="18"/>
  <c r="D3877" i="18"/>
  <c r="D3876" i="18"/>
  <c r="D3875" i="18"/>
  <c r="D3874" i="18"/>
  <c r="D3873" i="18"/>
  <c r="D3870" i="18"/>
  <c r="G3870" i="18" s="1"/>
  <c r="H3868" i="18"/>
  <c r="Q3860" i="18" s="1"/>
  <c r="D3868" i="18"/>
  <c r="D3867" i="18"/>
  <c r="D3866" i="18"/>
  <c r="D3865" i="18"/>
  <c r="D3864" i="18"/>
  <c r="D3863" i="18"/>
  <c r="D3860" i="18"/>
  <c r="G3860" i="18" s="1"/>
  <c r="I3851" i="18"/>
  <c r="N3843" i="18" s="1"/>
  <c r="H3851" i="18"/>
  <c r="K3843" i="18" s="1"/>
  <c r="D3851" i="18"/>
  <c r="D3850" i="18"/>
  <c r="D3849" i="18"/>
  <c r="D3848" i="18"/>
  <c r="D3847" i="18"/>
  <c r="D3846" i="18"/>
  <c r="D3843" i="18"/>
  <c r="G3843" i="18" s="1"/>
  <c r="H3841" i="18"/>
  <c r="H3769" i="18" s="1"/>
  <c r="H3771" i="18" s="1"/>
  <c r="K3764" i="18" s="1"/>
  <c r="D3841" i="18"/>
  <c r="D3840" i="18"/>
  <c r="D3839" i="18"/>
  <c r="D3838" i="18"/>
  <c r="D3837" i="18"/>
  <c r="D3836" i="18"/>
  <c r="D3833" i="18"/>
  <c r="G3833" i="18" s="1"/>
  <c r="H3853" i="18" s="1"/>
  <c r="C3832" i="18"/>
  <c r="G3832" i="18" s="1"/>
  <c r="H3830" i="18"/>
  <c r="Q3822" i="18" s="1"/>
  <c r="D3830" i="18"/>
  <c r="D3829" i="18"/>
  <c r="D3828" i="18"/>
  <c r="D3827" i="18"/>
  <c r="D3826" i="18"/>
  <c r="D3825" i="18"/>
  <c r="D3822" i="18"/>
  <c r="G3822" i="18" s="1"/>
  <c r="D3805" i="18"/>
  <c r="G3805" i="18" s="1"/>
  <c r="C3804" i="18"/>
  <c r="G3804" i="18" s="1"/>
  <c r="H3802" i="18"/>
  <c r="Q3794" i="18" s="1"/>
  <c r="D3802" i="18"/>
  <c r="D3801" i="18"/>
  <c r="D3800" i="18"/>
  <c r="D3799" i="18"/>
  <c r="D3798" i="18"/>
  <c r="D3797" i="18"/>
  <c r="D3794" i="18"/>
  <c r="G3794" i="18" s="1"/>
  <c r="D3774" i="18"/>
  <c r="G3774" i="18" s="1"/>
  <c r="C3773" i="18"/>
  <c r="G3773" i="18" s="1"/>
  <c r="D3764" i="18"/>
  <c r="G3764" i="18" s="1"/>
  <c r="C3763" i="18"/>
  <c r="G3763" i="18" s="1"/>
  <c r="K3761" i="18"/>
  <c r="K3750" i="18" s="1"/>
  <c r="J3761" i="18"/>
  <c r="I3761" i="18"/>
  <c r="H3761" i="18"/>
  <c r="N3750" i="18" s="1"/>
  <c r="D3761" i="18"/>
  <c r="D3760" i="18"/>
  <c r="D3759" i="18"/>
  <c r="D3758" i="18"/>
  <c r="D3757" i="18"/>
  <c r="D3756" i="18"/>
  <c r="D3755" i="18"/>
  <c r="D3754" i="18"/>
  <c r="D3753" i="18"/>
  <c r="D3750" i="18"/>
  <c r="G3750" i="18" s="1"/>
  <c r="K3731" i="18"/>
  <c r="D3731" i="18"/>
  <c r="G3731" i="18" s="1"/>
  <c r="C3730" i="18"/>
  <c r="G3730" i="18" s="1"/>
  <c r="H3728" i="18"/>
  <c r="D3728" i="18"/>
  <c r="D3727" i="18"/>
  <c r="D3726" i="18"/>
  <c r="D3725" i="18"/>
  <c r="D3724" i="18"/>
  <c r="D3723" i="18"/>
  <c r="D3722" i="18"/>
  <c r="D3721" i="18"/>
  <c r="D3720" i="18"/>
  <c r="N3717" i="18"/>
  <c r="K3717" i="18"/>
  <c r="D3717" i="18"/>
  <c r="G3717" i="18" s="1"/>
  <c r="D3715" i="18"/>
  <c r="K3714" i="18"/>
  <c r="D3714" i="18"/>
  <c r="J3713" i="18"/>
  <c r="I3713" i="18"/>
  <c r="H3713" i="18"/>
  <c r="D3713" i="18"/>
  <c r="K3712" i="18"/>
  <c r="D3712" i="18"/>
  <c r="K3711" i="18"/>
  <c r="D3711" i="18"/>
  <c r="K3710" i="18"/>
  <c r="D3710" i="18"/>
  <c r="K3709" i="18"/>
  <c r="D3709" i="18"/>
  <c r="J3708" i="18"/>
  <c r="I3708" i="18"/>
  <c r="H3708" i="18"/>
  <c r="D3708" i="18"/>
  <c r="K3707" i="18"/>
  <c r="D3707" i="18"/>
  <c r="K3706" i="18"/>
  <c r="D3706" i="18"/>
  <c r="K3705" i="18"/>
  <c r="D3705" i="18"/>
  <c r="K3704" i="18"/>
  <c r="D3704" i="18"/>
  <c r="K3703" i="18"/>
  <c r="D3703" i="18"/>
  <c r="K3702" i="18"/>
  <c r="D3702" i="18"/>
  <c r="J3701" i="18"/>
  <c r="I3701" i="18"/>
  <c r="I3715" i="18" s="1"/>
  <c r="H3701" i="18"/>
  <c r="D3701" i="18"/>
  <c r="K3700" i="18"/>
  <c r="D3700" i="18"/>
  <c r="K3699" i="18"/>
  <c r="D3699" i="18"/>
  <c r="K3698" i="18"/>
  <c r="D3698" i="18"/>
  <c r="K3697" i="18"/>
  <c r="D3697" i="18"/>
  <c r="K3696" i="18"/>
  <c r="D3696" i="18"/>
  <c r="K3695" i="18"/>
  <c r="D3695" i="18"/>
  <c r="K3694" i="18"/>
  <c r="D3694" i="18"/>
  <c r="K3693" i="18"/>
  <c r="D3693" i="18"/>
  <c r="K3692" i="18"/>
  <c r="D3692" i="18"/>
  <c r="D3691" i="18"/>
  <c r="K3690" i="18"/>
  <c r="D3690" i="18"/>
  <c r="K3689" i="18"/>
  <c r="D3689" i="18"/>
  <c r="K3688" i="18"/>
  <c r="D3688" i="18"/>
  <c r="D3685" i="18"/>
  <c r="G3685" i="18" s="1"/>
  <c r="K3675" i="18"/>
  <c r="K3673" i="18"/>
  <c r="K3672" i="18"/>
  <c r="K3669" i="18"/>
  <c r="K3668" i="18"/>
  <c r="K3667" i="18"/>
  <c r="K3666" i="18"/>
  <c r="K3665" i="18"/>
  <c r="D3661" i="18"/>
  <c r="G3661" i="18" s="1"/>
  <c r="D3652" i="18"/>
  <c r="K3651" i="18"/>
  <c r="D3651" i="18"/>
  <c r="K3650" i="18"/>
  <c r="D3650" i="18"/>
  <c r="K3649" i="18"/>
  <c r="D3649" i="18"/>
  <c r="K3648" i="18"/>
  <c r="D3648" i="18"/>
  <c r="K3647" i="18"/>
  <c r="D3647" i="18"/>
  <c r="K3646" i="18"/>
  <c r="D3646" i="18"/>
  <c r="K3645" i="18"/>
  <c r="D3645" i="18"/>
  <c r="J3644" i="18"/>
  <c r="J3652" i="18" s="1"/>
  <c r="I3644" i="18"/>
  <c r="I3652" i="18" s="1"/>
  <c r="H3644" i="18"/>
  <c r="D3644" i="18"/>
  <c r="K3643" i="18"/>
  <c r="D3643" i="18"/>
  <c r="K3642" i="18"/>
  <c r="D3642" i="18"/>
  <c r="K3641" i="18"/>
  <c r="D3641" i="18"/>
  <c r="K3640" i="18"/>
  <c r="D3640" i="18"/>
  <c r="K3639" i="18"/>
  <c r="D3639" i="18"/>
  <c r="K3638" i="18"/>
  <c r="D3638" i="18"/>
  <c r="D3637" i="18"/>
  <c r="K3636" i="18"/>
  <c r="D3636" i="18"/>
  <c r="K3635" i="18"/>
  <c r="D3635" i="18"/>
  <c r="D3632" i="18"/>
  <c r="G3632" i="18" s="1"/>
  <c r="D3630" i="18"/>
  <c r="K3629" i="18"/>
  <c r="D3629" i="18"/>
  <c r="K3628" i="18"/>
  <c r="D3628" i="18"/>
  <c r="K3627" i="18"/>
  <c r="D3627" i="18"/>
  <c r="K3626" i="18"/>
  <c r="D3626" i="18"/>
  <c r="D3625" i="18"/>
  <c r="D3622" i="18"/>
  <c r="G3622" i="18" s="1"/>
  <c r="C3621" i="18"/>
  <c r="G3621" i="18" s="1"/>
  <c r="D3619" i="18"/>
  <c r="H3618" i="18"/>
  <c r="D3618" i="18"/>
  <c r="D3617" i="18"/>
  <c r="D3616" i="18"/>
  <c r="D3615" i="18"/>
  <c r="D3614" i="18"/>
  <c r="D3613" i="18"/>
  <c r="D3612" i="18"/>
  <c r="H3611" i="18"/>
  <c r="D3611" i="18"/>
  <c r="D3610" i="18"/>
  <c r="D3609" i="18"/>
  <c r="D3608" i="18"/>
  <c r="D3607" i="18"/>
  <c r="D3606" i="18"/>
  <c r="D3605" i="18"/>
  <c r="D3602" i="18"/>
  <c r="G3602" i="18" s="1"/>
  <c r="I3600" i="18"/>
  <c r="H3600" i="18"/>
  <c r="D3600" i="18"/>
  <c r="D3599" i="18"/>
  <c r="D3598" i="18"/>
  <c r="D3597" i="18"/>
  <c r="D3596" i="18"/>
  <c r="D3595" i="18"/>
  <c r="D3592" i="18"/>
  <c r="G3592" i="18" s="1"/>
  <c r="I3590" i="18"/>
  <c r="N3582" i="18" s="1"/>
  <c r="H3590" i="18"/>
  <c r="K3582" i="18" s="1"/>
  <c r="D3590" i="18"/>
  <c r="D3589" i="18"/>
  <c r="D3588" i="18"/>
  <c r="D3587" i="18"/>
  <c r="D3586" i="18"/>
  <c r="D3585" i="18"/>
  <c r="D3582" i="18"/>
  <c r="G3582" i="18" s="1"/>
  <c r="H3580" i="18"/>
  <c r="Q3572" i="18" s="1"/>
  <c r="D3580" i="18"/>
  <c r="D3579" i="18"/>
  <c r="D3578" i="18"/>
  <c r="D3577" i="18"/>
  <c r="D3576" i="18"/>
  <c r="D3575" i="18"/>
  <c r="D3572" i="18"/>
  <c r="G3572" i="18" s="1"/>
  <c r="H3570" i="18"/>
  <c r="Q3562" i="18" s="1"/>
  <c r="D3570" i="18"/>
  <c r="D3569" i="18"/>
  <c r="D3568" i="18"/>
  <c r="D3567" i="18"/>
  <c r="D3566" i="18"/>
  <c r="D3565" i="18"/>
  <c r="D3562" i="18"/>
  <c r="G3562" i="18" s="1"/>
  <c r="I3553" i="18"/>
  <c r="H3553" i="18"/>
  <c r="D3553" i="18"/>
  <c r="D3552" i="18"/>
  <c r="D3551" i="18"/>
  <c r="D3550" i="18"/>
  <c r="D3549" i="18"/>
  <c r="D3548" i="18"/>
  <c r="D3545" i="18"/>
  <c r="G3545" i="18" s="1"/>
  <c r="H3543" i="18"/>
  <c r="D3543" i="18"/>
  <c r="D3542" i="18"/>
  <c r="D3541" i="18"/>
  <c r="D3540" i="18"/>
  <c r="D3539" i="18"/>
  <c r="D3538" i="18"/>
  <c r="D3535" i="18"/>
  <c r="G3535" i="18" s="1"/>
  <c r="H3555" i="18" s="1"/>
  <c r="C3534" i="18"/>
  <c r="G3534" i="18" s="1"/>
  <c r="D3532" i="18"/>
  <c r="H3531" i="18"/>
  <c r="D3531" i="18"/>
  <c r="D3530" i="18"/>
  <c r="D3529" i="18"/>
  <c r="D3528" i="18"/>
  <c r="D3527" i="18"/>
  <c r="D3526" i="18"/>
  <c r="D3525" i="18"/>
  <c r="H3524" i="18"/>
  <c r="D3524" i="18"/>
  <c r="D3523" i="18"/>
  <c r="D3522" i="18"/>
  <c r="D3521" i="18"/>
  <c r="D3520" i="18"/>
  <c r="D3519" i="18"/>
  <c r="D3518" i="18"/>
  <c r="D3515" i="18"/>
  <c r="G3515" i="18" s="1"/>
  <c r="H3513" i="18"/>
  <c r="K3505" i="18" s="1"/>
  <c r="D3513" i="18"/>
  <c r="D3512" i="18"/>
  <c r="D3511" i="18"/>
  <c r="D3510" i="18"/>
  <c r="D3509" i="18"/>
  <c r="D3508" i="18"/>
  <c r="D3505" i="18"/>
  <c r="G3505" i="18" s="1"/>
  <c r="I3503" i="18"/>
  <c r="H3503" i="18"/>
  <c r="D3503" i="18"/>
  <c r="D3502" i="18"/>
  <c r="D3501" i="18"/>
  <c r="D3500" i="18"/>
  <c r="D3499" i="18"/>
  <c r="D3498" i="18"/>
  <c r="D3495" i="18"/>
  <c r="G3495" i="18" s="1"/>
  <c r="J3493" i="18"/>
  <c r="K3485" i="18" s="1"/>
  <c r="D3493" i="18"/>
  <c r="D3492" i="18"/>
  <c r="D3491" i="18"/>
  <c r="D3490" i="18"/>
  <c r="D3489" i="18"/>
  <c r="D3488" i="18"/>
  <c r="D3485" i="18"/>
  <c r="G3485" i="18" s="1"/>
  <c r="H3483" i="18"/>
  <c r="Q3475" i="18" s="1"/>
  <c r="D3483" i="18"/>
  <c r="D3482" i="18"/>
  <c r="D3481" i="18"/>
  <c r="D3480" i="18"/>
  <c r="D3479" i="18"/>
  <c r="D3478" i="18"/>
  <c r="D3475" i="18"/>
  <c r="G3475" i="18" s="1"/>
  <c r="I3466" i="18"/>
  <c r="H3466" i="18"/>
  <c r="D3466" i="18"/>
  <c r="D3465" i="18"/>
  <c r="D3464" i="18"/>
  <c r="D3463" i="18"/>
  <c r="D3462" i="18"/>
  <c r="D3461" i="18"/>
  <c r="D3458" i="18"/>
  <c r="G3458" i="18" s="1"/>
  <c r="H3456" i="18"/>
  <c r="K3447" i="18" s="1"/>
  <c r="D3456" i="18"/>
  <c r="D3455" i="18"/>
  <c r="D3454" i="18"/>
  <c r="D3453" i="18"/>
  <c r="D3452" i="18"/>
  <c r="D3451" i="18"/>
  <c r="D3450" i="18"/>
  <c r="D3447" i="18"/>
  <c r="G3447" i="18" s="1"/>
  <c r="H3468" i="18" s="1"/>
  <c r="C3446" i="18"/>
  <c r="G3446" i="18" s="1"/>
  <c r="H3443" i="18"/>
  <c r="K3436" i="18" s="1"/>
  <c r="D3443" i="18"/>
  <c r="D3442" i="18"/>
  <c r="D3441" i="18"/>
  <c r="D3440" i="18"/>
  <c r="D3439" i="18"/>
  <c r="D3436" i="18"/>
  <c r="G3436" i="18" s="1"/>
  <c r="C3435" i="18"/>
  <c r="G3435" i="18" s="1"/>
  <c r="H3433" i="18"/>
  <c r="K3425" i="18" s="1"/>
  <c r="D3433" i="18"/>
  <c r="D3432" i="18"/>
  <c r="D3431" i="18"/>
  <c r="D3430" i="18"/>
  <c r="D3429" i="18"/>
  <c r="D3428" i="18"/>
  <c r="D3425" i="18"/>
  <c r="G3425" i="18" s="1"/>
  <c r="C3424" i="18"/>
  <c r="G3424" i="18" s="1"/>
  <c r="D3422" i="18"/>
  <c r="D3421" i="18"/>
  <c r="D3420" i="18"/>
  <c r="D3419" i="18"/>
  <c r="D3418" i="18"/>
  <c r="D3417" i="18"/>
  <c r="D3416" i="18"/>
  <c r="K3413" i="18"/>
  <c r="D3413" i="18"/>
  <c r="G3413" i="18" s="1"/>
  <c r="C3412" i="18"/>
  <c r="G3412" i="18" s="1"/>
  <c r="J3409" i="18"/>
  <c r="I3409" i="18"/>
  <c r="N3398" i="18" s="1"/>
  <c r="H3409" i="18"/>
  <c r="K3398" i="18" s="1"/>
  <c r="D3409" i="18"/>
  <c r="D3408" i="18"/>
  <c r="D3407" i="18"/>
  <c r="D3406" i="18"/>
  <c r="D3405" i="18"/>
  <c r="D3404" i="18"/>
  <c r="D3403" i="18"/>
  <c r="D3402" i="18"/>
  <c r="D3401" i="18"/>
  <c r="D3398" i="18"/>
  <c r="G3398" i="18" s="1"/>
  <c r="J3396" i="18"/>
  <c r="I3396" i="18"/>
  <c r="N3385" i="18"/>
  <c r="D3396" i="18"/>
  <c r="D3395" i="18"/>
  <c r="D3394" i="18"/>
  <c r="D3393" i="18"/>
  <c r="D3392" i="18"/>
  <c r="D3391" i="18"/>
  <c r="D3390" i="18"/>
  <c r="D3389" i="18"/>
  <c r="D3388" i="18"/>
  <c r="D3385" i="18"/>
  <c r="G3385" i="18" s="1"/>
  <c r="C3384" i="18"/>
  <c r="G3384" i="18" s="1"/>
  <c r="J3382" i="18"/>
  <c r="K3374" i="18" s="1"/>
  <c r="D3382" i="18"/>
  <c r="D3381" i="18"/>
  <c r="D3380" i="18"/>
  <c r="D3379" i="18"/>
  <c r="D3378" i="18"/>
  <c r="D3377" i="18"/>
  <c r="N3374" i="18"/>
  <c r="D3374" i="18"/>
  <c r="G3374" i="18" s="1"/>
  <c r="H3371" i="18"/>
  <c r="Q3363" i="18" s="1"/>
  <c r="D3371" i="18"/>
  <c r="D3370" i="18"/>
  <c r="D3369" i="18"/>
  <c r="D3368" i="18"/>
  <c r="D3367" i="18"/>
  <c r="D3366" i="18"/>
  <c r="D3363" i="18"/>
  <c r="G3363" i="18" s="1"/>
  <c r="H3361" i="18"/>
  <c r="K3353" i="18" s="1"/>
  <c r="D3361" i="18"/>
  <c r="D3360" i="18"/>
  <c r="D3359" i="18"/>
  <c r="D3358" i="18"/>
  <c r="D3357" i="18"/>
  <c r="D3356" i="18"/>
  <c r="D3353" i="18"/>
  <c r="G3353" i="18" s="1"/>
  <c r="H3351" i="18"/>
  <c r="K3343" i="18" s="1"/>
  <c r="D3351" i="18"/>
  <c r="D3350" i="18"/>
  <c r="D3349" i="18"/>
  <c r="D3348" i="18"/>
  <c r="D3347" i="18"/>
  <c r="D3346" i="18"/>
  <c r="D3343" i="18"/>
  <c r="G3343" i="18" s="1"/>
  <c r="H3341" i="18"/>
  <c r="K3333" i="18" s="1"/>
  <c r="D3341" i="18"/>
  <c r="D3340" i="18"/>
  <c r="D3339" i="18"/>
  <c r="D3338" i="18"/>
  <c r="D3337" i="18"/>
  <c r="D3336" i="18"/>
  <c r="D3333" i="18"/>
  <c r="G3333" i="18" s="1"/>
  <c r="H3331" i="18"/>
  <c r="K3323" i="18" s="1"/>
  <c r="D3331" i="18"/>
  <c r="D3330" i="18"/>
  <c r="D3329" i="18"/>
  <c r="D3328" i="18"/>
  <c r="D3327" i="18"/>
  <c r="D3326" i="18"/>
  <c r="D3323" i="18"/>
  <c r="G3323" i="18" s="1"/>
  <c r="C3322" i="18"/>
  <c r="G3322" i="18" s="1"/>
  <c r="H3320" i="18"/>
  <c r="D3320" i="18"/>
  <c r="D3319" i="18"/>
  <c r="D3318" i="18"/>
  <c r="D3317" i="18"/>
  <c r="D3316" i="18"/>
  <c r="D3315" i="18"/>
  <c r="D3314" i="18"/>
  <c r="D3313" i="18"/>
  <c r="D3310" i="18"/>
  <c r="G3310" i="18" s="1"/>
  <c r="C3309" i="18"/>
  <c r="G3309" i="18" s="1"/>
  <c r="G3303" i="18"/>
  <c r="H3300" i="18"/>
  <c r="D3300" i="18"/>
  <c r="D3299" i="18"/>
  <c r="D3298" i="18"/>
  <c r="D3297" i="18"/>
  <c r="D3296" i="18"/>
  <c r="D3295" i="18"/>
  <c r="D3294" i="18"/>
  <c r="D3293" i="18"/>
  <c r="D3290" i="18"/>
  <c r="G3290" i="18" s="1"/>
  <c r="H3288" i="18"/>
  <c r="D3288" i="18"/>
  <c r="D3287" i="18"/>
  <c r="D3286" i="18"/>
  <c r="D3285" i="18"/>
  <c r="D3284" i="18"/>
  <c r="D3283" i="18"/>
  <c r="D3280" i="18"/>
  <c r="G3280" i="18" s="1"/>
  <c r="H3302" i="18" s="1"/>
  <c r="D3278" i="18"/>
  <c r="D3277" i="18"/>
  <c r="D3276" i="18"/>
  <c r="Q3273" i="18"/>
  <c r="D3273" i="18"/>
  <c r="G3273" i="18" s="1"/>
  <c r="K3271" i="18"/>
  <c r="J3271" i="18"/>
  <c r="I3271" i="18"/>
  <c r="K3260" i="18" s="1"/>
  <c r="H3271" i="18"/>
  <c r="D3271" i="18"/>
  <c r="D3270" i="18"/>
  <c r="D3269" i="18"/>
  <c r="D3268" i="18"/>
  <c r="D3267" i="18"/>
  <c r="D3266" i="18"/>
  <c r="D3265" i="18"/>
  <c r="D3260" i="18"/>
  <c r="G3260" i="18" s="1"/>
  <c r="K3258" i="18"/>
  <c r="N3244" i="18" s="1"/>
  <c r="J3258" i="18"/>
  <c r="D3258" i="18"/>
  <c r="D3257" i="18"/>
  <c r="D3256" i="18"/>
  <c r="D3255" i="18"/>
  <c r="D3254" i="18"/>
  <c r="D3253" i="18"/>
  <c r="D3252" i="18"/>
  <c r="D3251" i="18"/>
  <c r="D3250" i="18"/>
  <c r="D3249" i="18"/>
  <c r="D3244" i="18"/>
  <c r="G3244" i="18" s="1"/>
  <c r="C3243" i="18"/>
  <c r="G3243" i="18" s="1"/>
  <c r="C3242" i="18"/>
  <c r="G3242" i="18" s="1"/>
  <c r="C3241" i="18"/>
  <c r="G3241" i="18" s="1"/>
  <c r="H3239" i="18"/>
  <c r="D3239" i="18"/>
  <c r="D3238" i="18"/>
  <c r="D3237" i="18"/>
  <c r="D3236" i="18"/>
  <c r="D3235" i="18"/>
  <c r="D3234" i="18"/>
  <c r="D3233" i="18"/>
  <c r="D3232" i="18"/>
  <c r="D3229" i="18"/>
  <c r="G3229" i="18" s="1"/>
  <c r="K3227" i="18"/>
  <c r="J3227" i="18"/>
  <c r="I3227" i="18"/>
  <c r="H3227" i="18"/>
  <c r="N3217" i="18" s="1"/>
  <c r="D3227" i="18"/>
  <c r="L3226" i="18"/>
  <c r="D3226" i="18"/>
  <c r="L3225" i="18"/>
  <c r="D3225" i="18"/>
  <c r="L3224" i="18"/>
  <c r="D3224" i="18"/>
  <c r="L3223" i="18"/>
  <c r="D3223" i="18"/>
  <c r="L3222" i="18"/>
  <c r="D3222" i="18"/>
  <c r="D3217" i="18"/>
  <c r="G3217" i="18" s="1"/>
  <c r="C3216" i="18"/>
  <c r="G3216" i="18" s="1"/>
  <c r="L3214" i="18"/>
  <c r="K3214" i="18"/>
  <c r="J3214" i="18"/>
  <c r="I3214" i="18"/>
  <c r="H3214" i="18"/>
  <c r="N3204" i="18" s="1"/>
  <c r="D3214" i="18"/>
  <c r="M3213" i="18"/>
  <c r="D3213" i="18"/>
  <c r="M3212" i="18"/>
  <c r="D3212" i="18"/>
  <c r="M3211" i="18"/>
  <c r="D3211" i="18"/>
  <c r="M3210" i="18"/>
  <c r="D3210" i="18"/>
  <c r="M3209" i="18"/>
  <c r="D3209" i="18"/>
  <c r="D3204" i="18"/>
  <c r="G3204" i="18" s="1"/>
  <c r="L3202" i="18"/>
  <c r="K3202" i="18"/>
  <c r="J3202" i="18"/>
  <c r="I3202" i="18"/>
  <c r="H3202" i="18"/>
  <c r="D3202" i="18"/>
  <c r="M3201" i="18"/>
  <c r="D3201" i="18"/>
  <c r="M3200" i="18"/>
  <c r="D3200" i="18"/>
  <c r="M3199" i="18"/>
  <c r="D3199" i="18"/>
  <c r="M3198" i="18"/>
  <c r="D3198" i="18"/>
  <c r="M3197" i="18"/>
  <c r="D3197" i="18"/>
  <c r="D3192" i="18"/>
  <c r="G3192" i="18" s="1"/>
  <c r="C3191" i="18"/>
  <c r="G3191" i="18" s="1"/>
  <c r="N3175" i="18"/>
  <c r="M3188" i="18"/>
  <c r="M3183" i="18"/>
  <c r="M3182" i="18"/>
  <c r="M3181" i="18"/>
  <c r="M3180" i="18"/>
  <c r="D3175" i="18"/>
  <c r="G3175" i="18" s="1"/>
  <c r="C3174" i="18"/>
  <c r="G3174" i="18" s="1"/>
  <c r="H3172" i="18"/>
  <c r="D3172" i="18"/>
  <c r="D3171" i="18"/>
  <c r="D3170" i="18"/>
  <c r="D3169" i="18"/>
  <c r="D3168" i="18"/>
  <c r="D3167" i="18"/>
  <c r="D3166" i="18"/>
  <c r="D3165" i="18"/>
  <c r="D3162" i="18"/>
  <c r="G3162" i="18" s="1"/>
  <c r="D3134" i="18"/>
  <c r="D3133" i="18"/>
  <c r="D3132" i="18"/>
  <c r="D3131" i="18"/>
  <c r="D3130" i="18"/>
  <c r="D3129" i="18"/>
  <c r="Q3126" i="18"/>
  <c r="D3126" i="18"/>
  <c r="G3126" i="18" s="1"/>
  <c r="H3124" i="18"/>
  <c r="K3113" i="18" s="1"/>
  <c r="D3124" i="18"/>
  <c r="D3123" i="18"/>
  <c r="D3122" i="18"/>
  <c r="D3121" i="18"/>
  <c r="D3120" i="18"/>
  <c r="D3119" i="18"/>
  <c r="D3118" i="18"/>
  <c r="D3117" i="18"/>
  <c r="D3116" i="18"/>
  <c r="D3113" i="18"/>
  <c r="G3113" i="18" s="1"/>
  <c r="P3063" i="18"/>
  <c r="P3060" i="18"/>
  <c r="P3059" i="18"/>
  <c r="P3058" i="18"/>
  <c r="P3057" i="18"/>
  <c r="P3056" i="18"/>
  <c r="P3055" i="18"/>
  <c r="P3054" i="18"/>
  <c r="P3053" i="18"/>
  <c r="P3052" i="18"/>
  <c r="P3051" i="18"/>
  <c r="P3050" i="18"/>
  <c r="P3049" i="18"/>
  <c r="D3043" i="18"/>
  <c r="G3043" i="18" s="1"/>
  <c r="C3042" i="18"/>
  <c r="G3042" i="18" s="1"/>
  <c r="N3006" i="18"/>
  <c r="K3006" i="18"/>
  <c r="D3040" i="18"/>
  <c r="D3035" i="18"/>
  <c r="D3032" i="18"/>
  <c r="D3026" i="18"/>
  <c r="D3023" i="18"/>
  <c r="D3017" i="18"/>
  <c r="D3014" i="18"/>
  <c r="D3006" i="18"/>
  <c r="G3006" i="18" s="1"/>
  <c r="C3005" i="18"/>
  <c r="G3005" i="18" s="1"/>
  <c r="D3003" i="18"/>
  <c r="O3002" i="18"/>
  <c r="N3002" i="18"/>
  <c r="M3002" i="18"/>
  <c r="L3002" i="18"/>
  <c r="K3002" i="18"/>
  <c r="J3002" i="18"/>
  <c r="I3002" i="18"/>
  <c r="H3002" i="18"/>
  <c r="D3002" i="18"/>
  <c r="P3001" i="18"/>
  <c r="D3001" i="18"/>
  <c r="P3000" i="18"/>
  <c r="D3000" i="18"/>
  <c r="D2999" i="18"/>
  <c r="O2998" i="18"/>
  <c r="N2998" i="18"/>
  <c r="M2998" i="18"/>
  <c r="L2998" i="18"/>
  <c r="K2998" i="18"/>
  <c r="J2998" i="18"/>
  <c r="I2998" i="18"/>
  <c r="H2998" i="18"/>
  <c r="D2998" i="18"/>
  <c r="P2997" i="18"/>
  <c r="D2997" i="18"/>
  <c r="P2996" i="18"/>
  <c r="D2996" i="18"/>
  <c r="D2995" i="18"/>
  <c r="O2994" i="18"/>
  <c r="N2994" i="18"/>
  <c r="M2994" i="18"/>
  <c r="L2994" i="18"/>
  <c r="K2994" i="18"/>
  <c r="J2994" i="18"/>
  <c r="I2994" i="18"/>
  <c r="H2994" i="18"/>
  <c r="D2994" i="18"/>
  <c r="P2993" i="18"/>
  <c r="D2993" i="18"/>
  <c r="P2992" i="18"/>
  <c r="D2992" i="18"/>
  <c r="D2991" i="18"/>
  <c r="O2990" i="18"/>
  <c r="N2990" i="18"/>
  <c r="M2990" i="18"/>
  <c r="L2990" i="18"/>
  <c r="K2990" i="18"/>
  <c r="J2990" i="18"/>
  <c r="I2990" i="18"/>
  <c r="H2990" i="18"/>
  <c r="D2990" i="18"/>
  <c r="P2989" i="18"/>
  <c r="D2989" i="18"/>
  <c r="P2988" i="18"/>
  <c r="D2988" i="18"/>
  <c r="D2987" i="18"/>
  <c r="D2982" i="18"/>
  <c r="G2982" i="18" s="1"/>
  <c r="O2937" i="18"/>
  <c r="O2936" i="18"/>
  <c r="O2934" i="18"/>
  <c r="O2933" i="18"/>
  <c r="O2931" i="18"/>
  <c r="O2930" i="18"/>
  <c r="O2928" i="18"/>
  <c r="O2927" i="18"/>
  <c r="D2920" i="18"/>
  <c r="G2920" i="18" s="1"/>
  <c r="C2919" i="18"/>
  <c r="G2919" i="18" s="1"/>
  <c r="L2917" i="18"/>
  <c r="K2917" i="18"/>
  <c r="I2917" i="18"/>
  <c r="H2917" i="18"/>
  <c r="D2917" i="18"/>
  <c r="D2916" i="18"/>
  <c r="D2915" i="18"/>
  <c r="D2914" i="18"/>
  <c r="D2913" i="18"/>
  <c r="D2908" i="18"/>
  <c r="G2908" i="18" s="1"/>
  <c r="C2907" i="18"/>
  <c r="G2907" i="18" s="1"/>
  <c r="H2905" i="18"/>
  <c r="K2897" i="18" s="1"/>
  <c r="D2905" i="18"/>
  <c r="D2904" i="18"/>
  <c r="D2903" i="18"/>
  <c r="D2902" i="18"/>
  <c r="D2901" i="18"/>
  <c r="D2900" i="18"/>
  <c r="D2897" i="18"/>
  <c r="G2897" i="18" s="1"/>
  <c r="J2888" i="18"/>
  <c r="H2888" i="18"/>
  <c r="D2888" i="18"/>
  <c r="D2887" i="18"/>
  <c r="D2886" i="18"/>
  <c r="D2885" i="18"/>
  <c r="D2884" i="18"/>
  <c r="D2883" i="18"/>
  <c r="D2882" i="18"/>
  <c r="D2881" i="18"/>
  <c r="D2880" i="18"/>
  <c r="D2877" i="18"/>
  <c r="G2877" i="18" s="1"/>
  <c r="Q2862" i="18"/>
  <c r="G2874" i="18"/>
  <c r="D2874" i="18" s="1"/>
  <c r="G2873" i="18"/>
  <c r="D2873" i="18" s="1"/>
  <c r="G2872" i="18"/>
  <c r="D2872" i="18" s="1"/>
  <c r="G2871" i="18"/>
  <c r="D2871" i="18" s="1"/>
  <c r="G2870" i="18"/>
  <c r="D2870" i="18" s="1"/>
  <c r="G2869" i="18"/>
  <c r="D2869" i="18" s="1"/>
  <c r="G2868" i="18"/>
  <c r="D2868" i="18" s="1"/>
  <c r="G2867" i="18"/>
  <c r="D2867" i="18" s="1"/>
  <c r="G2866" i="18"/>
  <c r="D2866" i="18" s="1"/>
  <c r="G2865" i="18"/>
  <c r="D2862" i="18"/>
  <c r="G2862" i="18" s="1"/>
  <c r="D2847" i="18"/>
  <c r="G2847" i="18" s="1"/>
  <c r="L2845" i="18"/>
  <c r="I2891" i="18" s="1"/>
  <c r="K2845" i="18"/>
  <c r="I2845" i="18"/>
  <c r="H2891" i="18" s="1"/>
  <c r="H2845" i="18"/>
  <c r="L2862" i="18" s="1"/>
  <c r="D2845" i="18"/>
  <c r="M2844" i="18"/>
  <c r="J2844" i="18"/>
  <c r="D2844" i="18"/>
  <c r="M2843" i="18"/>
  <c r="J2843" i="18"/>
  <c r="D2843" i="18"/>
  <c r="M2842" i="18"/>
  <c r="J2842" i="18"/>
  <c r="D2842" i="18"/>
  <c r="M2841" i="18"/>
  <c r="J2841" i="18"/>
  <c r="D2841" i="18"/>
  <c r="M2840" i="18"/>
  <c r="J2840" i="18"/>
  <c r="D2840" i="18"/>
  <c r="M2839" i="18"/>
  <c r="J2839" i="18"/>
  <c r="D2839" i="18"/>
  <c r="M2838" i="18"/>
  <c r="J2838" i="18"/>
  <c r="D2838" i="18"/>
  <c r="M2837" i="18"/>
  <c r="J2837" i="18"/>
  <c r="D2837" i="18"/>
  <c r="M2836" i="18"/>
  <c r="J2836" i="18"/>
  <c r="D2836" i="18"/>
  <c r="M2835" i="18"/>
  <c r="J2835" i="18"/>
  <c r="D2835" i="18"/>
  <c r="D2830" i="18"/>
  <c r="G2830" i="18" s="1"/>
  <c r="H2890" i="18" s="1"/>
  <c r="C2829" i="18"/>
  <c r="G2829" i="18" s="1"/>
  <c r="D2821" i="18"/>
  <c r="G2821" i="18" s="1"/>
  <c r="C2820" i="18"/>
  <c r="G2820" i="18" s="1"/>
  <c r="I2818" i="18"/>
  <c r="N2810" i="18" s="1"/>
  <c r="H2818" i="18"/>
  <c r="K2810" i="18" s="1"/>
  <c r="D2818" i="18"/>
  <c r="D2817" i="18"/>
  <c r="D2816" i="18"/>
  <c r="D2815" i="18"/>
  <c r="D2814" i="18"/>
  <c r="D2813" i="18"/>
  <c r="D2810" i="18"/>
  <c r="G2810" i="18" s="1"/>
  <c r="H2808" i="18"/>
  <c r="K2797" i="18" s="1"/>
  <c r="D2808" i="18"/>
  <c r="D2807" i="18"/>
  <c r="D2806" i="18"/>
  <c r="D2805" i="18"/>
  <c r="D2804" i="18"/>
  <c r="D2803" i="18"/>
  <c r="D2802" i="18"/>
  <c r="D2801" i="18"/>
  <c r="D2800" i="18"/>
  <c r="D2797" i="18"/>
  <c r="G2797" i="18" s="1"/>
  <c r="C2796" i="18"/>
  <c r="G2796" i="18" s="1"/>
  <c r="H2759" i="18"/>
  <c r="K2748" i="18" s="1"/>
  <c r="D2759" i="18"/>
  <c r="D2758" i="18"/>
  <c r="D2757" i="18"/>
  <c r="D2756" i="18"/>
  <c r="D2755" i="18"/>
  <c r="D2754" i="18"/>
  <c r="D2753" i="18"/>
  <c r="D2752" i="18"/>
  <c r="D2751" i="18"/>
  <c r="N2748" i="18"/>
  <c r="D2748" i="18"/>
  <c r="G2748" i="18" s="1"/>
  <c r="H2746" i="18"/>
  <c r="K2733" i="18" s="1"/>
  <c r="D2746" i="18"/>
  <c r="D2745" i="18"/>
  <c r="D2744" i="18"/>
  <c r="D2743" i="18"/>
  <c r="D2742" i="18"/>
  <c r="D2741" i="18"/>
  <c r="D2740" i="18"/>
  <c r="D2739" i="18"/>
  <c r="D2738" i="18"/>
  <c r="D2737" i="18"/>
  <c r="D2736" i="18"/>
  <c r="D2733" i="18"/>
  <c r="G2733" i="18" s="1"/>
  <c r="J2731" i="18"/>
  <c r="I2731" i="18"/>
  <c r="H2731" i="18"/>
  <c r="K2730" i="18"/>
  <c r="D2730" i="18"/>
  <c r="K2729" i="18"/>
  <c r="D2729" i="18"/>
  <c r="K2728" i="18"/>
  <c r="D2728" i="18"/>
  <c r="K2727" i="18"/>
  <c r="K2726" i="18"/>
  <c r="K2725" i="18"/>
  <c r="K2724" i="18"/>
  <c r="K2723" i="18"/>
  <c r="K2722" i="18"/>
  <c r="D2719" i="18"/>
  <c r="G2719" i="18" s="1"/>
  <c r="J2717" i="18"/>
  <c r="I2717" i="18"/>
  <c r="H2717" i="18"/>
  <c r="K2716" i="18"/>
  <c r="D2716" i="18"/>
  <c r="K2715" i="18"/>
  <c r="D2715" i="18"/>
  <c r="K2714" i="18"/>
  <c r="D2714" i="18"/>
  <c r="K2713" i="18"/>
  <c r="K2712" i="18"/>
  <c r="K2711" i="18"/>
  <c r="K2710" i="18"/>
  <c r="K2709" i="18"/>
  <c r="K2708" i="18"/>
  <c r="D2705" i="18"/>
  <c r="G2705" i="18" s="1"/>
  <c r="H2794" i="18"/>
  <c r="K2781" i="18" s="1"/>
  <c r="D2794" i="18"/>
  <c r="D2793" i="18"/>
  <c r="D2792" i="18"/>
  <c r="D2791" i="18"/>
  <c r="D2790" i="18"/>
  <c r="D2789" i="18"/>
  <c r="D2788" i="18"/>
  <c r="D2787" i="18"/>
  <c r="D2786" i="18"/>
  <c r="D2785" i="18"/>
  <c r="D2784" i="18"/>
  <c r="D2781" i="18"/>
  <c r="G2781" i="18" s="1"/>
  <c r="D2779" i="18"/>
  <c r="D2778" i="18"/>
  <c r="D2777" i="18"/>
  <c r="D2776" i="18"/>
  <c r="D2775" i="18"/>
  <c r="D2774" i="18"/>
  <c r="D2771" i="18"/>
  <c r="G2771" i="18" s="1"/>
  <c r="D2769" i="18"/>
  <c r="D2768" i="18"/>
  <c r="D2767" i="18"/>
  <c r="D2766" i="18"/>
  <c r="D2765" i="18"/>
  <c r="D2764" i="18"/>
  <c r="Q2761" i="18"/>
  <c r="D2761" i="18"/>
  <c r="G2761" i="18" s="1"/>
  <c r="D2648" i="18"/>
  <c r="G2648" i="18" s="1"/>
  <c r="C2647" i="18"/>
  <c r="G2647" i="18" s="1"/>
  <c r="D2639" i="18"/>
  <c r="G2639" i="18" s="1"/>
  <c r="C2638" i="18"/>
  <c r="G2638" i="18" s="1"/>
  <c r="D2636" i="18"/>
  <c r="D2635" i="18"/>
  <c r="D2634" i="18"/>
  <c r="D2633" i="18"/>
  <c r="D2632" i="18"/>
  <c r="D2631" i="18"/>
  <c r="D2628" i="18"/>
  <c r="G2628" i="18" s="1"/>
  <c r="H2626" i="18"/>
  <c r="Q2618" i="18" s="1"/>
  <c r="D2626" i="18"/>
  <c r="D2625" i="18"/>
  <c r="D2624" i="18"/>
  <c r="D2623" i="18"/>
  <c r="D2622" i="18"/>
  <c r="D2621" i="18"/>
  <c r="D2618" i="18"/>
  <c r="G2618" i="18" s="1"/>
  <c r="D2599" i="18"/>
  <c r="G2599" i="18" s="1"/>
  <c r="N2557" i="18"/>
  <c r="D2557" i="18"/>
  <c r="G2557" i="18" s="1"/>
  <c r="C2556" i="18"/>
  <c r="G2556" i="18" s="1"/>
  <c r="H2528" i="18"/>
  <c r="K2520" i="18" s="1"/>
  <c r="D2528" i="18"/>
  <c r="D2527" i="18"/>
  <c r="D2526" i="18"/>
  <c r="D2525" i="18"/>
  <c r="D2524" i="18"/>
  <c r="D2523" i="18"/>
  <c r="D2520" i="18"/>
  <c r="G2520" i="18" s="1"/>
  <c r="C2519" i="18"/>
  <c r="G2519" i="18" s="1"/>
  <c r="K2517" i="18"/>
  <c r="J2517" i="18"/>
  <c r="I2517" i="18"/>
  <c r="H2517" i="18"/>
  <c r="K2506" i="18" s="1"/>
  <c r="D2517" i="18"/>
  <c r="D2516" i="18"/>
  <c r="D2515" i="18"/>
  <c r="D2514" i="18"/>
  <c r="D2513" i="18"/>
  <c r="D2512" i="18"/>
  <c r="D2511" i="18"/>
  <c r="D2510" i="18"/>
  <c r="D2509" i="18"/>
  <c r="D2506" i="18"/>
  <c r="G2506" i="18" s="1"/>
  <c r="H2504" i="18"/>
  <c r="K2497" i="18" s="1"/>
  <c r="D2504" i="18"/>
  <c r="D2503" i="18"/>
  <c r="D2502" i="18"/>
  <c r="D2501" i="18"/>
  <c r="D2500" i="18"/>
  <c r="D2497" i="18"/>
  <c r="G2497" i="18" s="1"/>
  <c r="C2496" i="18"/>
  <c r="G2496" i="18" s="1"/>
  <c r="D2463" i="18"/>
  <c r="G2463" i="18" s="1"/>
  <c r="H2424" i="18" s="1"/>
  <c r="C2411" i="18"/>
  <c r="G2411" i="18" s="1"/>
  <c r="J2409" i="18"/>
  <c r="Q2401" i="18" s="1"/>
  <c r="D2409" i="18"/>
  <c r="D2408" i="18"/>
  <c r="D2407" i="18"/>
  <c r="D2406" i="18"/>
  <c r="D2405" i="18"/>
  <c r="D2404" i="18"/>
  <c r="D2401" i="18"/>
  <c r="G2401" i="18" s="1"/>
  <c r="J2376" i="18"/>
  <c r="I2376" i="18"/>
  <c r="K2368" i="18" s="1"/>
  <c r="D2376" i="18"/>
  <c r="D2375" i="18"/>
  <c r="D2374" i="18"/>
  <c r="D2373" i="18"/>
  <c r="D2372" i="18"/>
  <c r="D2371" i="18"/>
  <c r="D2368" i="18"/>
  <c r="G2368" i="18" s="1"/>
  <c r="I2399" i="18"/>
  <c r="N2391" i="18" s="1"/>
  <c r="H2399" i="18"/>
  <c r="K2391" i="18" s="1"/>
  <c r="D2399" i="18"/>
  <c r="D2398" i="18"/>
  <c r="D2397" i="18"/>
  <c r="D2396" i="18"/>
  <c r="D2395" i="18"/>
  <c r="D2394" i="18"/>
  <c r="D2391" i="18"/>
  <c r="G2391" i="18" s="1"/>
  <c r="J2389" i="18"/>
  <c r="I2389" i="18"/>
  <c r="D2389" i="18"/>
  <c r="D2388" i="18"/>
  <c r="D2387" i="18"/>
  <c r="D2386" i="18"/>
  <c r="D2385" i="18"/>
  <c r="D2384" i="18"/>
  <c r="D2383" i="18"/>
  <c r="D2382" i="18"/>
  <c r="D2381" i="18"/>
  <c r="K2378" i="18"/>
  <c r="D2378" i="18"/>
  <c r="G2378" i="18" s="1"/>
  <c r="M2340" i="18"/>
  <c r="L2340" i="18"/>
  <c r="K2340" i="18"/>
  <c r="I2340" i="18"/>
  <c r="H2340" i="18"/>
  <c r="D2340" i="18"/>
  <c r="D2339" i="18"/>
  <c r="D2338" i="18"/>
  <c r="D2337" i="18"/>
  <c r="D2336" i="18"/>
  <c r="D2335" i="18"/>
  <c r="D2330" i="18"/>
  <c r="G2330" i="18" s="1"/>
  <c r="J2366" i="18"/>
  <c r="I2366" i="18"/>
  <c r="H2366" i="18"/>
  <c r="D2365" i="18"/>
  <c r="D2349" i="18"/>
  <c r="G2349" i="18" s="1"/>
  <c r="I2306" i="18"/>
  <c r="I2310" i="18" s="1"/>
  <c r="H2306" i="18"/>
  <c r="H2310" i="18" s="1"/>
  <c r="D2306" i="18"/>
  <c r="D2305" i="18"/>
  <c r="D2304" i="18"/>
  <c r="D2303" i="18"/>
  <c r="D2302" i="18"/>
  <c r="D2301" i="18"/>
  <c r="D2300" i="18"/>
  <c r="D2299" i="18"/>
  <c r="D2298" i="18"/>
  <c r="D2293" i="18"/>
  <c r="G2293" i="18" s="1"/>
  <c r="J2284" i="18"/>
  <c r="J2288" i="18" s="1"/>
  <c r="I2284" i="18"/>
  <c r="H2284" i="18"/>
  <c r="D2284" i="18"/>
  <c r="D2283" i="18"/>
  <c r="D2282" i="18"/>
  <c r="D2281" i="18"/>
  <c r="D2280" i="18"/>
  <c r="D2279" i="18"/>
  <c r="D2278" i="18"/>
  <c r="D2273" i="18"/>
  <c r="G2273" i="18" s="1"/>
  <c r="H2308" i="18" s="1"/>
  <c r="I2328" i="18"/>
  <c r="H2328" i="18"/>
  <c r="K2315" i="18" s="1"/>
  <c r="D2315" i="18"/>
  <c r="G2315" i="18" s="1"/>
  <c r="J2271" i="18"/>
  <c r="H2271" i="18"/>
  <c r="D2271" i="18"/>
  <c r="D2270" i="18"/>
  <c r="D2269" i="18"/>
  <c r="D2268" i="18"/>
  <c r="D2267" i="18"/>
  <c r="D2266" i="18"/>
  <c r="D2265" i="18"/>
  <c r="D2264" i="18"/>
  <c r="D2263" i="18"/>
  <c r="D2260" i="18"/>
  <c r="G2260" i="18" s="1"/>
  <c r="J2258" i="18"/>
  <c r="H2258" i="18"/>
  <c r="D2258" i="18"/>
  <c r="D2257" i="18"/>
  <c r="D2256" i="18"/>
  <c r="D2255" i="18"/>
  <c r="D2254" i="18"/>
  <c r="D2253" i="18"/>
  <c r="D2252" i="18"/>
  <c r="D2251" i="18"/>
  <c r="D2250" i="18"/>
  <c r="D2247" i="18"/>
  <c r="G2247" i="18" s="1"/>
  <c r="J2245" i="18"/>
  <c r="H2245" i="18"/>
  <c r="D2245" i="18"/>
  <c r="D2244" i="18"/>
  <c r="D2243" i="18"/>
  <c r="D2242" i="18"/>
  <c r="D2241" i="18"/>
  <c r="D2240" i="18"/>
  <c r="D2239" i="18"/>
  <c r="D2238" i="18"/>
  <c r="D2237" i="18"/>
  <c r="D2234" i="18"/>
  <c r="G2234" i="18" s="1"/>
  <c r="L2216" i="18"/>
  <c r="K2216" i="18"/>
  <c r="I2216" i="18"/>
  <c r="H2216" i="18"/>
  <c r="D2216" i="18"/>
  <c r="D2215" i="18"/>
  <c r="M2214" i="18"/>
  <c r="J2214" i="18"/>
  <c r="D2214" i="18"/>
  <c r="M2213" i="18"/>
  <c r="J2213" i="18"/>
  <c r="D2213" i="18"/>
  <c r="M2212" i="18"/>
  <c r="J2212" i="18"/>
  <c r="D2212" i="18"/>
  <c r="M2211" i="18"/>
  <c r="J2211" i="18"/>
  <c r="D2211" i="18"/>
  <c r="M2210" i="18"/>
  <c r="J2210" i="18"/>
  <c r="D2210" i="18"/>
  <c r="M2209" i="18"/>
  <c r="J2209" i="18"/>
  <c r="D2209" i="18"/>
  <c r="M2208" i="18"/>
  <c r="J2208" i="18"/>
  <c r="D2208" i="18"/>
  <c r="J2207" i="18"/>
  <c r="D2207" i="18"/>
  <c r="D2202" i="18"/>
  <c r="G2202" i="18" s="1"/>
  <c r="H2342" i="18" s="1"/>
  <c r="C2201" i="18"/>
  <c r="G2201" i="18" s="1"/>
  <c r="H2189" i="18"/>
  <c r="Q2181" i="18" s="1"/>
  <c r="D2189" i="18"/>
  <c r="D2188" i="18"/>
  <c r="D2187" i="18"/>
  <c r="D2186" i="18"/>
  <c r="D2185" i="18"/>
  <c r="D2184" i="18"/>
  <c r="D2181" i="18"/>
  <c r="G2181" i="18" s="1"/>
  <c r="H2179" i="18"/>
  <c r="Q2171" i="18" s="1"/>
  <c r="D2179" i="18"/>
  <c r="D2178" i="18"/>
  <c r="D2177" i="18"/>
  <c r="D2176" i="18"/>
  <c r="D2175" i="18"/>
  <c r="D2174" i="18"/>
  <c r="D2171" i="18"/>
  <c r="G2171" i="18" s="1"/>
  <c r="L2169" i="18"/>
  <c r="K2169" i="18"/>
  <c r="I2169" i="18"/>
  <c r="H2169" i="18"/>
  <c r="D2169" i="18"/>
  <c r="M2168" i="18"/>
  <c r="D2168" i="18"/>
  <c r="M2167" i="18"/>
  <c r="D2167" i="18"/>
  <c r="M2166" i="18"/>
  <c r="D2166" i="18"/>
  <c r="M2165" i="18"/>
  <c r="D2165" i="18"/>
  <c r="M2164" i="18"/>
  <c r="D2164" i="18"/>
  <c r="M2163" i="18"/>
  <c r="D2163" i="18"/>
  <c r="M2162" i="18"/>
  <c r="D2162" i="18"/>
  <c r="D2157" i="18"/>
  <c r="G2157" i="18" s="1"/>
  <c r="C2156" i="18"/>
  <c r="G2156" i="18" s="1"/>
  <c r="D2118" i="18"/>
  <c r="G2118" i="18" s="1"/>
  <c r="D2116" i="18"/>
  <c r="D2115" i="18"/>
  <c r="D2114" i="18"/>
  <c r="D2113" i="18"/>
  <c r="D2112" i="18"/>
  <c r="D2111" i="18"/>
  <c r="D2110" i="18"/>
  <c r="D2109" i="18"/>
  <c r="D2108" i="18"/>
  <c r="D2105" i="18"/>
  <c r="G2105" i="18" s="1"/>
  <c r="D2103" i="18"/>
  <c r="D2102" i="18"/>
  <c r="D2101" i="18"/>
  <c r="D2100" i="18"/>
  <c r="D2099" i="18"/>
  <c r="D2098" i="18"/>
  <c r="D2097" i="18"/>
  <c r="D2096" i="18"/>
  <c r="D2095" i="18"/>
  <c r="D2092" i="18"/>
  <c r="G2092" i="18" s="1"/>
  <c r="D2090" i="18"/>
  <c r="D2089" i="18"/>
  <c r="D2088" i="18"/>
  <c r="D2087" i="18"/>
  <c r="D2086" i="18"/>
  <c r="D2085" i="18"/>
  <c r="D2084" i="18"/>
  <c r="D2083" i="18"/>
  <c r="D2082" i="18"/>
  <c r="D2079" i="18"/>
  <c r="G2079" i="18" s="1"/>
  <c r="J2154" i="18"/>
  <c r="I2154" i="18"/>
  <c r="H2154" i="18"/>
  <c r="K2137" i="18" s="1"/>
  <c r="D2153" i="18"/>
  <c r="D2137" i="18"/>
  <c r="G2137" i="18" s="1"/>
  <c r="D2063" i="18"/>
  <c r="G2063" i="18" s="1"/>
  <c r="H2130" i="18" s="1"/>
  <c r="H2061" i="18"/>
  <c r="K2048" i="18" s="1"/>
  <c r="D2061" i="18"/>
  <c r="D2060" i="18"/>
  <c r="D2059" i="18"/>
  <c r="D2058" i="18"/>
  <c r="D2057" i="18"/>
  <c r="D2056" i="18"/>
  <c r="D2055" i="18"/>
  <c r="D2054" i="18"/>
  <c r="D2053" i="18"/>
  <c r="N2048" i="18"/>
  <c r="D2048" i="18"/>
  <c r="G2048" i="18" s="1"/>
  <c r="D2046" i="18"/>
  <c r="D2045" i="18"/>
  <c r="P2044" i="18"/>
  <c r="P2046" i="18" s="1"/>
  <c r="O2044" i="18"/>
  <c r="O2046" i="18" s="1"/>
  <c r="N2044" i="18"/>
  <c r="N2046" i="18" s="1"/>
  <c r="M2044" i="18"/>
  <c r="M2046" i="18" s="1"/>
  <c r="K2032" i="18" s="1"/>
  <c r="L2044" i="18"/>
  <c r="L2046" i="18" s="1"/>
  <c r="K2044" i="18"/>
  <c r="K2046" i="18" s="1"/>
  <c r="J2044" i="18"/>
  <c r="J2046" i="18" s="1"/>
  <c r="I2044" i="18"/>
  <c r="I2046" i="18" s="1"/>
  <c r="N2032" i="18"/>
  <c r="D2044" i="18"/>
  <c r="D2043" i="18"/>
  <c r="D2042" i="18"/>
  <c r="D2041" i="18"/>
  <c r="D2040" i="18"/>
  <c r="D2039" i="18"/>
  <c r="D2038" i="18"/>
  <c r="D2037" i="18"/>
  <c r="D2036" i="18"/>
  <c r="D2035" i="18"/>
  <c r="D2032" i="18"/>
  <c r="G2032" i="18" s="1"/>
  <c r="H2072" i="18" s="1"/>
  <c r="C2031" i="18"/>
  <c r="G2031" i="18" s="1"/>
  <c r="M2029" i="18"/>
  <c r="L2029" i="18"/>
  <c r="H2029" i="18"/>
  <c r="D2029" i="18"/>
  <c r="D2028" i="18"/>
  <c r="D2027" i="18"/>
  <c r="D2026" i="18"/>
  <c r="D2025" i="18"/>
  <c r="D2024" i="18"/>
  <c r="D2021" i="18"/>
  <c r="G2021" i="18" s="1"/>
  <c r="L2019" i="18"/>
  <c r="K2019" i="18"/>
  <c r="J2019" i="18"/>
  <c r="I2019" i="18"/>
  <c r="H2019" i="18"/>
  <c r="D2019" i="18"/>
  <c r="M2018" i="18"/>
  <c r="D2018" i="18"/>
  <c r="M2017" i="18"/>
  <c r="D2017" i="18"/>
  <c r="M2016" i="18"/>
  <c r="D2016" i="18"/>
  <c r="D2013" i="18"/>
  <c r="G2013" i="18" s="1"/>
  <c r="D2001" i="18"/>
  <c r="G2001" i="18" s="1"/>
  <c r="M1999" i="18"/>
  <c r="J1999" i="18"/>
  <c r="I1999" i="18"/>
  <c r="H1999" i="18"/>
  <c r="D1999" i="18"/>
  <c r="D1998" i="18"/>
  <c r="D1997" i="18"/>
  <c r="D1996" i="18"/>
  <c r="D1995" i="18"/>
  <c r="D1994" i="18"/>
  <c r="D1993" i="18"/>
  <c r="D1992" i="18"/>
  <c r="D1991" i="18"/>
  <c r="D1986" i="18"/>
  <c r="G1986" i="18" s="1"/>
  <c r="D1984" i="18"/>
  <c r="D1983" i="18"/>
  <c r="D1982" i="18"/>
  <c r="D1981" i="18"/>
  <c r="D1980" i="18"/>
  <c r="D1979" i="18"/>
  <c r="D1978" i="18"/>
  <c r="D1977" i="18"/>
  <c r="D1976" i="18"/>
  <c r="D1971" i="18"/>
  <c r="G1971" i="18" s="1"/>
  <c r="K1969" i="18"/>
  <c r="J1969" i="18"/>
  <c r="I1969" i="18"/>
  <c r="H1969" i="18"/>
  <c r="D1969" i="18"/>
  <c r="L1968" i="18"/>
  <c r="D1968" i="18"/>
  <c r="L1967" i="18"/>
  <c r="D1967" i="18"/>
  <c r="L1966" i="18"/>
  <c r="D1966" i="18"/>
  <c r="D1961" i="18"/>
  <c r="G1961" i="18" s="1"/>
  <c r="L1959" i="18"/>
  <c r="K1959" i="18"/>
  <c r="I1959" i="18"/>
  <c r="H1959" i="18"/>
  <c r="D1959" i="18"/>
  <c r="D1958" i="18"/>
  <c r="D1957" i="18"/>
  <c r="D1956" i="18"/>
  <c r="D1955" i="18"/>
  <c r="D1954" i="18"/>
  <c r="D1953" i="18"/>
  <c r="M1952" i="18"/>
  <c r="D1952" i="18"/>
  <c r="D1947" i="18"/>
  <c r="G1947" i="18" s="1"/>
  <c r="C1946" i="18"/>
  <c r="G1946" i="18" s="1"/>
  <c r="N1908" i="18"/>
  <c r="D1908" i="18"/>
  <c r="G1908" i="18" s="1"/>
  <c r="J1906" i="18"/>
  <c r="H1906" i="18"/>
  <c r="D1906" i="18"/>
  <c r="D1905" i="18"/>
  <c r="D1904" i="18"/>
  <c r="D1903" i="18"/>
  <c r="D1902" i="18"/>
  <c r="D1901" i="18"/>
  <c r="D1900" i="18"/>
  <c r="D1899" i="18"/>
  <c r="D1898" i="18"/>
  <c r="D1895" i="18"/>
  <c r="G1895" i="18" s="1"/>
  <c r="J1893" i="18"/>
  <c r="H1893" i="18"/>
  <c r="D1893" i="18"/>
  <c r="D1892" i="18"/>
  <c r="D1891" i="18"/>
  <c r="D1890" i="18"/>
  <c r="D1889" i="18"/>
  <c r="D1888" i="18"/>
  <c r="D1887" i="18"/>
  <c r="D1886" i="18"/>
  <c r="D1885" i="18"/>
  <c r="D1882" i="18"/>
  <c r="G1882" i="18" s="1"/>
  <c r="J1880" i="18"/>
  <c r="H1880" i="18"/>
  <c r="D1880" i="18"/>
  <c r="D1879" i="18"/>
  <c r="D1878" i="18"/>
  <c r="D1877" i="18"/>
  <c r="D1876" i="18"/>
  <c r="D1875" i="18"/>
  <c r="D1874" i="18"/>
  <c r="D1873" i="18"/>
  <c r="D1872" i="18"/>
  <c r="D1869" i="18"/>
  <c r="G1869" i="18" s="1"/>
  <c r="J1944" i="18"/>
  <c r="I1944" i="18"/>
  <c r="H1944" i="18"/>
  <c r="K1927" i="18" s="1"/>
  <c r="D1927" i="18"/>
  <c r="G1927" i="18" s="1"/>
  <c r="N1853" i="18"/>
  <c r="D1853" i="18"/>
  <c r="G1853" i="18" s="1"/>
  <c r="N1838" i="18"/>
  <c r="H1851" i="18"/>
  <c r="K1838" i="18" s="1"/>
  <c r="D1851" i="18"/>
  <c r="D1850" i="18"/>
  <c r="D1849" i="18"/>
  <c r="D1848" i="18"/>
  <c r="D1847" i="18"/>
  <c r="D1846" i="18"/>
  <c r="D1845" i="18"/>
  <c r="D1844" i="18"/>
  <c r="D1843" i="18"/>
  <c r="D1838" i="18"/>
  <c r="G1838" i="18" s="1"/>
  <c r="D1836" i="18"/>
  <c r="D1835" i="18"/>
  <c r="I1834" i="18"/>
  <c r="I1836" i="18" s="1"/>
  <c r="H1834" i="18"/>
  <c r="H1836" i="18" s="1"/>
  <c r="D1834" i="18"/>
  <c r="D1833" i="18"/>
  <c r="D1832" i="18"/>
  <c r="D1831" i="18"/>
  <c r="D1830" i="18"/>
  <c r="D1829" i="18"/>
  <c r="D1828" i="18"/>
  <c r="D1823" i="18"/>
  <c r="G1823" i="18" s="1"/>
  <c r="C1822" i="18"/>
  <c r="G1822" i="18" s="1"/>
  <c r="H1820" i="18"/>
  <c r="K1812" i="18" s="1"/>
  <c r="D1820" i="18"/>
  <c r="D1819" i="18"/>
  <c r="D1818" i="18"/>
  <c r="D1817" i="18"/>
  <c r="D1816" i="18"/>
  <c r="D1815" i="18"/>
  <c r="D1812" i="18"/>
  <c r="G1812" i="18" s="1"/>
  <c r="C1811" i="18"/>
  <c r="G1811" i="18" s="1"/>
  <c r="D1809" i="18"/>
  <c r="D1808" i="18"/>
  <c r="D1807" i="18"/>
  <c r="D1806" i="18"/>
  <c r="D1805" i="18"/>
  <c r="D1804" i="18"/>
  <c r="D1799" i="18"/>
  <c r="G1799" i="18" s="1"/>
  <c r="H1797" i="18"/>
  <c r="K1790" i="18" s="1"/>
  <c r="D1797" i="18"/>
  <c r="D1796" i="18"/>
  <c r="D1795" i="18"/>
  <c r="D1794" i="18"/>
  <c r="D1793" i="18"/>
  <c r="D1790" i="18"/>
  <c r="G1790" i="18" s="1"/>
  <c r="C1789" i="18"/>
  <c r="G1789" i="18" s="1"/>
  <c r="K1787" i="18"/>
  <c r="J1787" i="18"/>
  <c r="I1787" i="18"/>
  <c r="H1787" i="18"/>
  <c r="N1774" i="18" s="1"/>
  <c r="D1787" i="18"/>
  <c r="L1786" i="18"/>
  <c r="D1786" i="18"/>
  <c r="L1785" i="18"/>
  <c r="D1785" i="18"/>
  <c r="L1784" i="18"/>
  <c r="D1784" i="18"/>
  <c r="L1783" i="18"/>
  <c r="D1783" i="18"/>
  <c r="L1782" i="18"/>
  <c r="D1782" i="18"/>
  <c r="L1781" i="18"/>
  <c r="D1781" i="18"/>
  <c r="L1780" i="18"/>
  <c r="D1780" i="18"/>
  <c r="L1779" i="18"/>
  <c r="D1779" i="18"/>
  <c r="D1774" i="18"/>
  <c r="G1774" i="18" s="1"/>
  <c r="J1772" i="18"/>
  <c r="I1772" i="18"/>
  <c r="H1772" i="18"/>
  <c r="K1764" i="18" s="1"/>
  <c r="D1772" i="18"/>
  <c r="D1771" i="18"/>
  <c r="D1770" i="18"/>
  <c r="D1769" i="18"/>
  <c r="D1768" i="18"/>
  <c r="D1767" i="18"/>
  <c r="D1764" i="18"/>
  <c r="G1764" i="18" s="1"/>
  <c r="C1763" i="18"/>
  <c r="G1763" i="18" s="1"/>
  <c r="N1761" i="18"/>
  <c r="M1761" i="18"/>
  <c r="L1761" i="18"/>
  <c r="K1761" i="18"/>
  <c r="J1761" i="18"/>
  <c r="I1761" i="18"/>
  <c r="H1761" i="18"/>
  <c r="D1761" i="18"/>
  <c r="D1760" i="18"/>
  <c r="D1759" i="18"/>
  <c r="D1758" i="18"/>
  <c r="D1757" i="18"/>
  <c r="D1756" i="18"/>
  <c r="D1753" i="18"/>
  <c r="G1753" i="18" s="1"/>
  <c r="I1734" i="18"/>
  <c r="H1734" i="18"/>
  <c r="D1734" i="18"/>
  <c r="D1733" i="18"/>
  <c r="D1732" i="18"/>
  <c r="D1731" i="18"/>
  <c r="D1730" i="18"/>
  <c r="D1729" i="18"/>
  <c r="D1726" i="18"/>
  <c r="G1726" i="18" s="1"/>
  <c r="H1673" i="18"/>
  <c r="D1673" i="18"/>
  <c r="D1672" i="18"/>
  <c r="D1671" i="18"/>
  <c r="D1670" i="18"/>
  <c r="D1669" i="18"/>
  <c r="D1668" i="18"/>
  <c r="D1665" i="18"/>
  <c r="G1665" i="18" s="1"/>
  <c r="J1724" i="18"/>
  <c r="I1724" i="18"/>
  <c r="H1724" i="18"/>
  <c r="D1724" i="18"/>
  <c r="K1723" i="18"/>
  <c r="D1723" i="18"/>
  <c r="K1722" i="18"/>
  <c r="D1722" i="18"/>
  <c r="K1721" i="18"/>
  <c r="D1721" i="18"/>
  <c r="K1720" i="18"/>
  <c r="D1720" i="18"/>
  <c r="K1719" i="18"/>
  <c r="D1719" i="18"/>
  <c r="D1716" i="18"/>
  <c r="G1716" i="18" s="1"/>
  <c r="M1707" i="18"/>
  <c r="M1711" i="18" s="1"/>
  <c r="K1707" i="18"/>
  <c r="J1707" i="18"/>
  <c r="I1707" i="18"/>
  <c r="I1711" i="18" s="1"/>
  <c r="D1707" i="18"/>
  <c r="L1706" i="18"/>
  <c r="D1706" i="18"/>
  <c r="L1705" i="18"/>
  <c r="D1705" i="18"/>
  <c r="L1704" i="18"/>
  <c r="D1704" i="18"/>
  <c r="L1703" i="18"/>
  <c r="D1703" i="18"/>
  <c r="L1702" i="18"/>
  <c r="D1702" i="18"/>
  <c r="D1699" i="18"/>
  <c r="G1699" i="18" s="1"/>
  <c r="M1690" i="18"/>
  <c r="M1694" i="18" s="1"/>
  <c r="L1690" i="18"/>
  <c r="L1694" i="18" s="1"/>
  <c r="K1690" i="18"/>
  <c r="K1694" i="18" s="1"/>
  <c r="J1690" i="18"/>
  <c r="D1690" i="18"/>
  <c r="D1689" i="18"/>
  <c r="D1688" i="18"/>
  <c r="D1687" i="18"/>
  <c r="D1686" i="18"/>
  <c r="D1685" i="18"/>
  <c r="D1682" i="18"/>
  <c r="G1682" i="18" s="1"/>
  <c r="H1663" i="18"/>
  <c r="Q1655" i="18" s="1"/>
  <c r="D1663" i="18"/>
  <c r="D1662" i="18"/>
  <c r="D1661" i="18"/>
  <c r="D1660" i="18"/>
  <c r="D1659" i="18"/>
  <c r="D1658" i="18"/>
  <c r="D1655" i="18"/>
  <c r="G1655" i="18" s="1"/>
  <c r="K1751" i="18"/>
  <c r="J1751" i="18"/>
  <c r="D1751" i="18"/>
  <c r="D1750" i="18"/>
  <c r="D1749" i="18"/>
  <c r="D1748" i="18"/>
  <c r="D1747" i="18"/>
  <c r="D1746" i="18"/>
  <c r="D1745" i="18"/>
  <c r="D1744" i="18"/>
  <c r="D1743" i="18"/>
  <c r="D1742" i="18"/>
  <c r="D1741" i="18"/>
  <c r="D1740" i="18"/>
  <c r="D1739" i="18"/>
  <c r="Q1736" i="18"/>
  <c r="D1736" i="18"/>
  <c r="G1736" i="18" s="1"/>
  <c r="L1653" i="18"/>
  <c r="K1653" i="18"/>
  <c r="J1653" i="18"/>
  <c r="I1653" i="18"/>
  <c r="H1653" i="18"/>
  <c r="D1653" i="18"/>
  <c r="M1652" i="18"/>
  <c r="D1652" i="18"/>
  <c r="M1651" i="18"/>
  <c r="D1651" i="18"/>
  <c r="M1650" i="18"/>
  <c r="D1650" i="18"/>
  <c r="M1649" i="18"/>
  <c r="D1649" i="18"/>
  <c r="M1648" i="18"/>
  <c r="D1648" i="18"/>
  <c r="M1647" i="18"/>
  <c r="D1647" i="18"/>
  <c r="M1646" i="18"/>
  <c r="D1646" i="18"/>
  <c r="M1645" i="18"/>
  <c r="D1645" i="18"/>
  <c r="M1644" i="18"/>
  <c r="D1644" i="18"/>
  <c r="M1643" i="18"/>
  <c r="D1643" i="18"/>
  <c r="M1642" i="18"/>
  <c r="D1642" i="18"/>
  <c r="M1641" i="18"/>
  <c r="D1641" i="18"/>
  <c r="D1636" i="18"/>
  <c r="G1636" i="18" s="1"/>
  <c r="L1634" i="18"/>
  <c r="K1634" i="18"/>
  <c r="I1634" i="18"/>
  <c r="H1634" i="18"/>
  <c r="E15" i="96" s="1"/>
  <c r="D1634" i="18"/>
  <c r="M1633" i="18"/>
  <c r="J1633" i="18"/>
  <c r="D1633" i="18"/>
  <c r="M1632" i="18"/>
  <c r="J1632" i="18"/>
  <c r="D1632" i="18"/>
  <c r="M1631" i="18"/>
  <c r="J1631" i="18"/>
  <c r="D1631" i="18"/>
  <c r="M1630" i="18"/>
  <c r="J1630" i="18"/>
  <c r="D1630" i="18"/>
  <c r="M1629" i="18"/>
  <c r="J1629" i="18"/>
  <c r="D1629" i="18"/>
  <c r="M1628" i="18"/>
  <c r="J1628" i="18"/>
  <c r="D1628" i="18"/>
  <c r="M1627" i="18"/>
  <c r="J1627" i="18"/>
  <c r="D1627" i="18"/>
  <c r="M1626" i="18"/>
  <c r="J1626" i="18"/>
  <c r="D1626" i="18"/>
  <c r="M1625" i="18"/>
  <c r="J1625" i="18"/>
  <c r="D1625" i="18"/>
  <c r="M1624" i="18"/>
  <c r="J1624" i="18"/>
  <c r="D1624" i="18"/>
  <c r="M1623" i="18"/>
  <c r="J1623" i="18"/>
  <c r="D1623" i="18"/>
  <c r="M1622" i="18"/>
  <c r="J1622" i="18"/>
  <c r="D1622" i="18"/>
  <c r="D1617" i="18"/>
  <c r="G1617" i="18" s="1"/>
  <c r="H1709" i="18" s="1"/>
  <c r="C1616" i="18"/>
  <c r="G1616" i="18" s="1"/>
  <c r="K1605" i="18"/>
  <c r="J1605" i="18"/>
  <c r="I1605" i="18"/>
  <c r="H1605" i="18"/>
  <c r="D1605" i="18"/>
  <c r="D1604" i="18"/>
  <c r="D1603" i="18"/>
  <c r="D1602" i="18"/>
  <c r="D1601" i="18"/>
  <c r="D1600" i="18"/>
  <c r="D1597" i="18"/>
  <c r="G1597" i="18" s="1"/>
  <c r="J1595" i="18"/>
  <c r="K1587" i="18" s="1"/>
  <c r="D1595" i="18"/>
  <c r="D1594" i="18"/>
  <c r="D1593" i="18"/>
  <c r="D1592" i="18"/>
  <c r="D1591" i="18"/>
  <c r="D1590" i="18"/>
  <c r="D1587" i="18"/>
  <c r="G1587" i="18" s="1"/>
  <c r="J1585" i="18"/>
  <c r="I1585" i="18"/>
  <c r="Q1577" i="18" s="1"/>
  <c r="D1585" i="18"/>
  <c r="D1584" i="18"/>
  <c r="D1583" i="18"/>
  <c r="D1582" i="18"/>
  <c r="D1581" i="18"/>
  <c r="D1580" i="18"/>
  <c r="K1577" i="18"/>
  <c r="D1577" i="18"/>
  <c r="G1577" i="18" s="1"/>
  <c r="J1575" i="18"/>
  <c r="I1575" i="18"/>
  <c r="K1567" i="18" s="1"/>
  <c r="D1575" i="18"/>
  <c r="D1574" i="18"/>
  <c r="D1573" i="18"/>
  <c r="D1572" i="18"/>
  <c r="D1571" i="18"/>
  <c r="D1570" i="18"/>
  <c r="O1567" i="18"/>
  <c r="D1567" i="18"/>
  <c r="G1567" i="18" s="1"/>
  <c r="I1565" i="18"/>
  <c r="K1557" i="18" s="1"/>
  <c r="D1565" i="18"/>
  <c r="D1564" i="18"/>
  <c r="D1563" i="18"/>
  <c r="D1562" i="18"/>
  <c r="D1561" i="18"/>
  <c r="D1560" i="18"/>
  <c r="O1557" i="18"/>
  <c r="D1557" i="18"/>
  <c r="G1557" i="18" s="1"/>
  <c r="D1555" i="18"/>
  <c r="L1554" i="18"/>
  <c r="I1554" i="18"/>
  <c r="D1554" i="18"/>
  <c r="D1553" i="18"/>
  <c r="D1552" i="18"/>
  <c r="D1551" i="18"/>
  <c r="D1550" i="18"/>
  <c r="D1549" i="18"/>
  <c r="D1548" i="18"/>
  <c r="L1547" i="18"/>
  <c r="I1547" i="18"/>
  <c r="D1547" i="18"/>
  <c r="D1546" i="18"/>
  <c r="D1545" i="18"/>
  <c r="D1544" i="18"/>
  <c r="D1543" i="18"/>
  <c r="D1542" i="18"/>
  <c r="D1541" i="18"/>
  <c r="O1538" i="18"/>
  <c r="D1538" i="18"/>
  <c r="G1538" i="18" s="1"/>
  <c r="I1535" i="18"/>
  <c r="Q1527" i="18" s="1"/>
  <c r="D1535" i="18"/>
  <c r="D1534" i="18"/>
  <c r="D1533" i="18"/>
  <c r="D1532" i="18"/>
  <c r="D1531" i="18"/>
  <c r="D1530" i="18"/>
  <c r="O1527" i="18"/>
  <c r="D1527" i="18"/>
  <c r="G1527" i="18" s="1"/>
  <c r="H1525" i="18"/>
  <c r="K1520" i="18" s="1"/>
  <c r="D1525" i="18"/>
  <c r="D1524" i="18"/>
  <c r="D1523" i="18"/>
  <c r="N1520" i="18"/>
  <c r="D1520" i="18"/>
  <c r="G1520" i="18" s="1"/>
  <c r="H1518" i="18"/>
  <c r="Q1510" i="18" s="1"/>
  <c r="D1518" i="18"/>
  <c r="D1517" i="18"/>
  <c r="D1516" i="18"/>
  <c r="D1515" i="18"/>
  <c r="D1514" i="18"/>
  <c r="D1513" i="18"/>
  <c r="D1510" i="18"/>
  <c r="G1510" i="18" s="1"/>
  <c r="M1614" i="18"/>
  <c r="K1607" i="18" s="1"/>
  <c r="L1614" i="18"/>
  <c r="K1614" i="18"/>
  <c r="J1614" i="18"/>
  <c r="I1614" i="18"/>
  <c r="H1614" i="18"/>
  <c r="N1607" i="18" s="1"/>
  <c r="D1614" i="18"/>
  <c r="N1613" i="18"/>
  <c r="D1613" i="18"/>
  <c r="N1612" i="18"/>
  <c r="D1612" i="18"/>
  <c r="D1607" i="18"/>
  <c r="G1607" i="18" s="1"/>
  <c r="I1467" i="18"/>
  <c r="H1467" i="18"/>
  <c r="D1467" i="18"/>
  <c r="K1466" i="18"/>
  <c r="J1466" i="18"/>
  <c r="D1466" i="18"/>
  <c r="K1465" i="18"/>
  <c r="J1465" i="18"/>
  <c r="D1465" i="18"/>
  <c r="K1464" i="18"/>
  <c r="J1464" i="18"/>
  <c r="D1464" i="18"/>
  <c r="K1463" i="18"/>
  <c r="J1463" i="18"/>
  <c r="D1463" i="18"/>
  <c r="K1462" i="18"/>
  <c r="J1462" i="18"/>
  <c r="D1462" i="18"/>
  <c r="D1459" i="18"/>
  <c r="G1459" i="18" s="1"/>
  <c r="I1457" i="18"/>
  <c r="H1457" i="18"/>
  <c r="D1457" i="18"/>
  <c r="K1456" i="18"/>
  <c r="J1456" i="18"/>
  <c r="D1456" i="18"/>
  <c r="K1455" i="18"/>
  <c r="J1455" i="18"/>
  <c r="D1455" i="18"/>
  <c r="K1454" i="18"/>
  <c r="J1454" i="18"/>
  <c r="D1454" i="18"/>
  <c r="K1453" i="18"/>
  <c r="J1453" i="18"/>
  <c r="D1453" i="18"/>
  <c r="K1452" i="18"/>
  <c r="J1452" i="18"/>
  <c r="D1452" i="18"/>
  <c r="O1449" i="18"/>
  <c r="D1449" i="18"/>
  <c r="G1449" i="18" s="1"/>
  <c r="J1440" i="18"/>
  <c r="J1444" i="18" s="1"/>
  <c r="H1440" i="18"/>
  <c r="L1439" i="18"/>
  <c r="K1439" i="18"/>
  <c r="L1438" i="18"/>
  <c r="K1438" i="18"/>
  <c r="L1437" i="18"/>
  <c r="K1437" i="18"/>
  <c r="L1436" i="18"/>
  <c r="K1436" i="18"/>
  <c r="L1435" i="18"/>
  <c r="K1435" i="18"/>
  <c r="L1434" i="18"/>
  <c r="K1434" i="18"/>
  <c r="L1433" i="18"/>
  <c r="K1433" i="18"/>
  <c r="D1428" i="18"/>
  <c r="G1428" i="18" s="1"/>
  <c r="N1469" i="18"/>
  <c r="D1482" i="18"/>
  <c r="D1481" i="18"/>
  <c r="D1480" i="18"/>
  <c r="D1479" i="18"/>
  <c r="D1478" i="18"/>
  <c r="D1477" i="18"/>
  <c r="D1476" i="18"/>
  <c r="D1475" i="18"/>
  <c r="D1474" i="18"/>
  <c r="D1469" i="18"/>
  <c r="G1469" i="18" s="1"/>
  <c r="I1356" i="18"/>
  <c r="I1363" i="18" s="1"/>
  <c r="H1356" i="18"/>
  <c r="H1363" i="18" s="1"/>
  <c r="D1348" i="18"/>
  <c r="G1348" i="18" s="1"/>
  <c r="I1339" i="18"/>
  <c r="I1343" i="18" s="1"/>
  <c r="H1339" i="18"/>
  <c r="H1343" i="18" s="1"/>
  <c r="D1339" i="18"/>
  <c r="D1338" i="18"/>
  <c r="D1337" i="18"/>
  <c r="D1336" i="18"/>
  <c r="D1335" i="18"/>
  <c r="D1334" i="18"/>
  <c r="D1333" i="18"/>
  <c r="D1332" i="18"/>
  <c r="D1331" i="18"/>
  <c r="D1326" i="18"/>
  <c r="G1326" i="18" s="1"/>
  <c r="K1116" i="18"/>
  <c r="D1116" i="18"/>
  <c r="G1116" i="18" s="1"/>
  <c r="I1419" i="18"/>
  <c r="I1423" i="18" s="1"/>
  <c r="H1419" i="18"/>
  <c r="H1423" i="18" s="1"/>
  <c r="D1419" i="18"/>
  <c r="J1418" i="18"/>
  <c r="D1418" i="18"/>
  <c r="J1417" i="18"/>
  <c r="D1417" i="18"/>
  <c r="J1416" i="18"/>
  <c r="D1416" i="18"/>
  <c r="J1415" i="18"/>
  <c r="D1415" i="18"/>
  <c r="J1414" i="18"/>
  <c r="D1414" i="18"/>
  <c r="D1409" i="18"/>
  <c r="G1409" i="18" s="1"/>
  <c r="J1317" i="18"/>
  <c r="J1321" i="18" s="1"/>
  <c r="I1317" i="18"/>
  <c r="H1317" i="18"/>
  <c r="H1321" i="18" s="1"/>
  <c r="D1317" i="18"/>
  <c r="D1316" i="18"/>
  <c r="D1315" i="18"/>
  <c r="D1314" i="18"/>
  <c r="D1313" i="18"/>
  <c r="D1312" i="18"/>
  <c r="D1307" i="18"/>
  <c r="G1307" i="18" s="1"/>
  <c r="H1341" i="18" s="1"/>
  <c r="I1231" i="18"/>
  <c r="D1219" i="18"/>
  <c r="G1219" i="18" s="1"/>
  <c r="D1043" i="18"/>
  <c r="G1043" i="18" s="1"/>
  <c r="D1400" i="18"/>
  <c r="L1399" i="18"/>
  <c r="K1399" i="18"/>
  <c r="D1399" i="18"/>
  <c r="L1398" i="18"/>
  <c r="K1398" i="18"/>
  <c r="D1398" i="18"/>
  <c r="J1397" i="18"/>
  <c r="J1400" i="18" s="1"/>
  <c r="J1404" i="18" s="1"/>
  <c r="H1397" i="18"/>
  <c r="H1400" i="18" s="1"/>
  <c r="H1404" i="18" s="1"/>
  <c r="D1397" i="18"/>
  <c r="L1396" i="18"/>
  <c r="K1396" i="18"/>
  <c r="D1396" i="18"/>
  <c r="L1395" i="18"/>
  <c r="K1395" i="18"/>
  <c r="D1395" i="18"/>
  <c r="L1394" i="18"/>
  <c r="K1394" i="18"/>
  <c r="D1394" i="18"/>
  <c r="D1393" i="18"/>
  <c r="L1392" i="18"/>
  <c r="K1392" i="18"/>
  <c r="D1392" i="18"/>
  <c r="D1387" i="18"/>
  <c r="G1387" i="18" s="1"/>
  <c r="D1378" i="18"/>
  <c r="L1377" i="18"/>
  <c r="K1377" i="18"/>
  <c r="D1377" i="18"/>
  <c r="L1376" i="18"/>
  <c r="K1376" i="18"/>
  <c r="D1376" i="18"/>
  <c r="J1375" i="18"/>
  <c r="J1378" i="18" s="1"/>
  <c r="J1382" i="18" s="1"/>
  <c r="H1375" i="18"/>
  <c r="H1378" i="18" s="1"/>
  <c r="H1382" i="18" s="1"/>
  <c r="D1375" i="18"/>
  <c r="L1374" i="18"/>
  <c r="K1374" i="18"/>
  <c r="D1374" i="18"/>
  <c r="L1373" i="18"/>
  <c r="K1373" i="18"/>
  <c r="D1373" i="18"/>
  <c r="L1372" i="18"/>
  <c r="K1372" i="18"/>
  <c r="D1372" i="18"/>
  <c r="D1371" i="18"/>
  <c r="L1370" i="18"/>
  <c r="K1370" i="18"/>
  <c r="D1370" i="18"/>
  <c r="D1365" i="18"/>
  <c r="G1365" i="18" s="1"/>
  <c r="I1023" i="18"/>
  <c r="H1023" i="18"/>
  <c r="D1013" i="18"/>
  <c r="G1013" i="18" s="1"/>
  <c r="H1006" i="18" s="1"/>
  <c r="I995" i="18"/>
  <c r="H995" i="18"/>
  <c r="D988" i="18"/>
  <c r="G988" i="18" s="1"/>
  <c r="H1484" i="18" s="1"/>
  <c r="C987" i="18"/>
  <c r="G987" i="18" s="1"/>
  <c r="H985" i="18"/>
  <c r="K977" i="18" s="1"/>
  <c r="D977" i="18"/>
  <c r="G977" i="18" s="1"/>
  <c r="D975" i="18"/>
  <c r="D974" i="18"/>
  <c r="I973" i="18"/>
  <c r="H973" i="18"/>
  <c r="H975" i="18" s="1"/>
  <c r="D973" i="18"/>
  <c r="D972" i="18"/>
  <c r="D971" i="18"/>
  <c r="D970" i="18"/>
  <c r="D967" i="18"/>
  <c r="G967" i="18" s="1"/>
  <c r="C966" i="18"/>
  <c r="G966" i="18" s="1"/>
  <c r="H964" i="18"/>
  <c r="K956" i="18" s="1"/>
  <c r="D964" i="18"/>
  <c r="D963" i="18"/>
  <c r="D962" i="18"/>
  <c r="D961" i="18"/>
  <c r="D960" i="18"/>
  <c r="D959" i="18"/>
  <c r="D956" i="18"/>
  <c r="G956" i="18" s="1"/>
  <c r="D954" i="18"/>
  <c r="D953" i="18"/>
  <c r="I952" i="18"/>
  <c r="H952" i="18"/>
  <c r="H954" i="18" s="1"/>
  <c r="D952" i="18"/>
  <c r="D951" i="18"/>
  <c r="D950" i="18"/>
  <c r="D949" i="18"/>
  <c r="D948" i="18"/>
  <c r="D947" i="18"/>
  <c r="D944" i="18"/>
  <c r="G944" i="18" s="1"/>
  <c r="C943" i="18"/>
  <c r="G943" i="18" s="1"/>
  <c r="D934" i="18"/>
  <c r="G934" i="18" s="1"/>
  <c r="C933" i="18"/>
  <c r="G933" i="18" s="1"/>
  <c r="I908" i="18"/>
  <c r="N900" i="18" s="1"/>
  <c r="H908" i="18"/>
  <c r="K900" i="18" s="1"/>
  <c r="D908" i="18"/>
  <c r="D907" i="18"/>
  <c r="D906" i="18"/>
  <c r="D905" i="18"/>
  <c r="D904" i="18"/>
  <c r="D903" i="18"/>
  <c r="D900" i="18"/>
  <c r="G900" i="18" s="1"/>
  <c r="I918" i="18"/>
  <c r="N910" i="18" s="1"/>
  <c r="H918" i="18"/>
  <c r="K910" i="18" s="1"/>
  <c r="D918" i="18"/>
  <c r="D917" i="18"/>
  <c r="D916" i="18"/>
  <c r="D915" i="18"/>
  <c r="D914" i="18"/>
  <c r="D913" i="18"/>
  <c r="D910" i="18"/>
  <c r="G910" i="18" s="1"/>
  <c r="D888" i="18"/>
  <c r="H887" i="18"/>
  <c r="D887" i="18"/>
  <c r="D886" i="18"/>
  <c r="D885" i="18"/>
  <c r="D884" i="18"/>
  <c r="D883" i="18"/>
  <c r="D882" i="18"/>
  <c r="D881" i="18"/>
  <c r="H880" i="18"/>
  <c r="D880" i="18"/>
  <c r="D879" i="18"/>
  <c r="D878" i="18"/>
  <c r="D877" i="18"/>
  <c r="D876" i="18"/>
  <c r="D875" i="18"/>
  <c r="D874" i="18"/>
  <c r="D871" i="18"/>
  <c r="G871" i="18" s="1"/>
  <c r="H898" i="18"/>
  <c r="K890" i="18" s="1"/>
  <c r="D898" i="18"/>
  <c r="D897" i="18"/>
  <c r="D896" i="18"/>
  <c r="D895" i="18"/>
  <c r="D894" i="18"/>
  <c r="D893" i="18"/>
  <c r="D890" i="18"/>
  <c r="G890" i="18" s="1"/>
  <c r="J869" i="18"/>
  <c r="K866" i="18" s="1"/>
  <c r="H869" i="18"/>
  <c r="I867" i="18" s="1"/>
  <c r="D869" i="18"/>
  <c r="D868" i="18"/>
  <c r="D867" i="18"/>
  <c r="D866" i="18"/>
  <c r="D865" i="18"/>
  <c r="D864" i="18"/>
  <c r="D859" i="18"/>
  <c r="G859" i="18" s="1"/>
  <c r="C858" i="18"/>
  <c r="G858" i="18" s="1"/>
  <c r="M856" i="18"/>
  <c r="L856" i="18"/>
  <c r="K856" i="18"/>
  <c r="I856" i="18"/>
  <c r="D856" i="18"/>
  <c r="D855" i="18"/>
  <c r="D854" i="18"/>
  <c r="D853" i="18"/>
  <c r="D848" i="18"/>
  <c r="G848" i="18" s="1"/>
  <c r="D753" i="18"/>
  <c r="D752" i="18"/>
  <c r="D751" i="18"/>
  <c r="D750" i="18"/>
  <c r="D749" i="18"/>
  <c r="D748" i="18"/>
  <c r="D747" i="18"/>
  <c r="D746" i="18"/>
  <c r="D745" i="18"/>
  <c r="D740" i="18"/>
  <c r="G740" i="18" s="1"/>
  <c r="D731" i="18"/>
  <c r="D730" i="18"/>
  <c r="D729" i="18"/>
  <c r="D728" i="18"/>
  <c r="D727" i="18"/>
  <c r="D726" i="18"/>
  <c r="D721" i="18"/>
  <c r="G721" i="18" s="1"/>
  <c r="D719" i="18"/>
  <c r="D718" i="18"/>
  <c r="D717" i="18"/>
  <c r="D716" i="18"/>
  <c r="D715" i="18"/>
  <c r="D714" i="18"/>
  <c r="D713" i="18"/>
  <c r="D712" i="18"/>
  <c r="D711" i="18"/>
  <c r="D706" i="18"/>
  <c r="G706" i="18" s="1"/>
  <c r="H704" i="18"/>
  <c r="K698" i="18" s="1"/>
  <c r="D704" i="18"/>
  <c r="D703" i="18"/>
  <c r="D702" i="18"/>
  <c r="D701" i="18"/>
  <c r="D698" i="18"/>
  <c r="G698" i="18" s="1"/>
  <c r="C697" i="18"/>
  <c r="G697" i="18" s="1"/>
  <c r="K686" i="18"/>
  <c r="J686" i="18"/>
  <c r="I686" i="18"/>
  <c r="H686" i="18"/>
  <c r="D686" i="18"/>
  <c r="D685" i="18"/>
  <c r="D684" i="18"/>
  <c r="D683" i="18"/>
  <c r="D682" i="18"/>
  <c r="D681" i="18"/>
  <c r="D678" i="18"/>
  <c r="G678" i="18" s="1"/>
  <c r="J676" i="18"/>
  <c r="K668" i="18" s="1"/>
  <c r="D676" i="18"/>
  <c r="D675" i="18"/>
  <c r="D674" i="18"/>
  <c r="D673" i="18"/>
  <c r="D672" i="18"/>
  <c r="D671" i="18"/>
  <c r="D668" i="18"/>
  <c r="G668" i="18" s="1"/>
  <c r="D666" i="18"/>
  <c r="D665" i="18"/>
  <c r="D664" i="18"/>
  <c r="D663" i="18"/>
  <c r="D662" i="18"/>
  <c r="D661" i="18"/>
  <c r="D658" i="18"/>
  <c r="G658" i="18" s="1"/>
  <c r="J656" i="18"/>
  <c r="I656" i="18"/>
  <c r="K648" i="18" s="1"/>
  <c r="D656" i="18"/>
  <c r="D655" i="18"/>
  <c r="D654" i="18"/>
  <c r="D653" i="18"/>
  <c r="D652" i="18"/>
  <c r="D651" i="18"/>
  <c r="O648" i="18"/>
  <c r="D648" i="18"/>
  <c r="G648" i="18" s="1"/>
  <c r="J645" i="18"/>
  <c r="H645" i="18"/>
  <c r="J638" i="18"/>
  <c r="H638" i="18"/>
  <c r="O629" i="18"/>
  <c r="D629" i="18"/>
  <c r="G629" i="18" s="1"/>
  <c r="I626" i="18"/>
  <c r="K618" i="18" s="1"/>
  <c r="D626" i="18"/>
  <c r="D625" i="18"/>
  <c r="D624" i="18"/>
  <c r="D623" i="18"/>
  <c r="D622" i="18"/>
  <c r="D621" i="18"/>
  <c r="O618" i="18"/>
  <c r="D618" i="18"/>
  <c r="G618" i="18" s="1"/>
  <c r="D611" i="18"/>
  <c r="G611" i="18" s="1"/>
  <c r="H609" i="18"/>
  <c r="Q601" i="18" s="1"/>
  <c r="D609" i="18"/>
  <c r="D608" i="18"/>
  <c r="D607" i="18"/>
  <c r="D606" i="18"/>
  <c r="D605" i="18"/>
  <c r="D604" i="18"/>
  <c r="D601" i="18"/>
  <c r="G601" i="18" s="1"/>
  <c r="M592" i="18"/>
  <c r="L592" i="18"/>
  <c r="K592" i="18"/>
  <c r="I592" i="18"/>
  <c r="H592" i="18"/>
  <c r="D592" i="18"/>
  <c r="D591" i="18"/>
  <c r="D590" i="18"/>
  <c r="D589" i="18"/>
  <c r="D588" i="18"/>
  <c r="D587" i="18"/>
  <c r="D586" i="18"/>
  <c r="D585" i="18"/>
  <c r="D584" i="18"/>
  <c r="D579" i="18"/>
  <c r="G579" i="18" s="1"/>
  <c r="M695" i="18"/>
  <c r="L695" i="18"/>
  <c r="K695" i="18"/>
  <c r="J695" i="18"/>
  <c r="I695" i="18"/>
  <c r="H695" i="18"/>
  <c r="N688" i="18" s="1"/>
  <c r="D695" i="18"/>
  <c r="N694" i="18"/>
  <c r="D694" i="18"/>
  <c r="N693" i="18"/>
  <c r="D693" i="18"/>
  <c r="D688" i="18"/>
  <c r="G688" i="18" s="1"/>
  <c r="I577" i="18"/>
  <c r="H577" i="18"/>
  <c r="D577" i="18"/>
  <c r="K576" i="18"/>
  <c r="J576" i="18"/>
  <c r="D576" i="18"/>
  <c r="K575" i="18"/>
  <c r="J575" i="18"/>
  <c r="D575" i="18"/>
  <c r="K574" i="18"/>
  <c r="J574" i="18"/>
  <c r="D574" i="18"/>
  <c r="K573" i="18"/>
  <c r="J573" i="18"/>
  <c r="D573" i="18"/>
  <c r="K572" i="18"/>
  <c r="J572" i="18"/>
  <c r="D572" i="18"/>
  <c r="D569" i="18"/>
  <c r="G569" i="18" s="1"/>
  <c r="I567" i="18"/>
  <c r="H567" i="18"/>
  <c r="D567" i="18"/>
  <c r="K566" i="18"/>
  <c r="J566" i="18"/>
  <c r="D566" i="18"/>
  <c r="K565" i="18"/>
  <c r="J565" i="18"/>
  <c r="D565" i="18"/>
  <c r="K564" i="18"/>
  <c r="J564" i="18"/>
  <c r="D564" i="18"/>
  <c r="K563" i="18"/>
  <c r="J563" i="18"/>
  <c r="D563" i="18"/>
  <c r="K562" i="18"/>
  <c r="J562" i="18"/>
  <c r="D562" i="18"/>
  <c r="O559" i="18"/>
  <c r="D559" i="18"/>
  <c r="G559" i="18" s="1"/>
  <c r="I543" i="18"/>
  <c r="I550" i="18" s="1"/>
  <c r="I554" i="18" s="1"/>
  <c r="H543" i="18"/>
  <c r="H550" i="18" s="1"/>
  <c r="H554" i="18" s="1"/>
  <c r="N535" i="18"/>
  <c r="D535" i="18"/>
  <c r="G535" i="18" s="1"/>
  <c r="I526" i="18"/>
  <c r="I530" i="18" s="1"/>
  <c r="H526" i="18"/>
  <c r="D526" i="18"/>
  <c r="J525" i="18"/>
  <c r="D525" i="18"/>
  <c r="J524" i="18"/>
  <c r="D524" i="18"/>
  <c r="J523" i="18"/>
  <c r="D523" i="18"/>
  <c r="J522" i="18"/>
  <c r="D522" i="18"/>
  <c r="J521" i="18"/>
  <c r="D521" i="18"/>
  <c r="J520" i="18"/>
  <c r="D520" i="18"/>
  <c r="D515" i="18"/>
  <c r="G515" i="18" s="1"/>
  <c r="D513" i="18"/>
  <c r="L512" i="18"/>
  <c r="K512" i="18"/>
  <c r="D512" i="18"/>
  <c r="L511" i="18"/>
  <c r="K511" i="18"/>
  <c r="D511" i="18"/>
  <c r="J510" i="18"/>
  <c r="J513" i="18" s="1"/>
  <c r="H510" i="18"/>
  <c r="H513" i="18" s="1"/>
  <c r="D510" i="18"/>
  <c r="L509" i="18"/>
  <c r="K509" i="18"/>
  <c r="D509" i="18"/>
  <c r="L508" i="18"/>
  <c r="K508" i="18"/>
  <c r="D508" i="18"/>
  <c r="L507" i="18"/>
  <c r="K507" i="18"/>
  <c r="D507" i="18"/>
  <c r="D506" i="18"/>
  <c r="L505" i="18"/>
  <c r="K505" i="18"/>
  <c r="D505" i="18"/>
  <c r="D500" i="18"/>
  <c r="G500" i="18" s="1"/>
  <c r="D498" i="18"/>
  <c r="L497" i="18"/>
  <c r="K497" i="18"/>
  <c r="D497" i="18"/>
  <c r="L496" i="18"/>
  <c r="K496" i="18"/>
  <c r="D496" i="18"/>
  <c r="J495" i="18"/>
  <c r="J498" i="18" s="1"/>
  <c r="H495" i="18"/>
  <c r="H498" i="18" s="1"/>
  <c r="D495" i="18"/>
  <c r="L494" i="18"/>
  <c r="K494" i="18"/>
  <c r="D494" i="18"/>
  <c r="L493" i="18"/>
  <c r="K493" i="18"/>
  <c r="D493" i="18"/>
  <c r="L492" i="18"/>
  <c r="D492" i="18"/>
  <c r="D491" i="18"/>
  <c r="L490" i="18"/>
  <c r="K490" i="18"/>
  <c r="D490" i="18"/>
  <c r="D485" i="18"/>
  <c r="G485" i="18" s="1"/>
  <c r="I413" i="18"/>
  <c r="H413" i="18"/>
  <c r="K400" i="18" s="1"/>
  <c r="D413" i="18"/>
  <c r="D412" i="18"/>
  <c r="D411" i="18"/>
  <c r="D410" i="18"/>
  <c r="D409" i="18"/>
  <c r="D408" i="18"/>
  <c r="D407" i="18"/>
  <c r="D406" i="18"/>
  <c r="D405" i="18"/>
  <c r="D400" i="18"/>
  <c r="G400" i="18" s="1"/>
  <c r="I391" i="18"/>
  <c r="I395" i="18" s="1"/>
  <c r="H391" i="18"/>
  <c r="D391" i="18"/>
  <c r="D390" i="18"/>
  <c r="D389" i="18"/>
  <c r="D388" i="18"/>
  <c r="D387" i="18"/>
  <c r="D386" i="18"/>
  <c r="D385" i="18"/>
  <c r="D384" i="18"/>
  <c r="D383" i="18"/>
  <c r="D378" i="18"/>
  <c r="G378" i="18" s="1"/>
  <c r="I369" i="18"/>
  <c r="I373" i="18" s="1"/>
  <c r="H369" i="18"/>
  <c r="D369" i="18"/>
  <c r="D368" i="18"/>
  <c r="D367" i="18"/>
  <c r="D366" i="18"/>
  <c r="D365" i="18"/>
  <c r="D364" i="18"/>
  <c r="D363" i="18"/>
  <c r="D362" i="18"/>
  <c r="D361" i="18"/>
  <c r="D356" i="18"/>
  <c r="G356" i="18" s="1"/>
  <c r="J439" i="18"/>
  <c r="J443" i="18" s="1"/>
  <c r="H439" i="18"/>
  <c r="H443" i="18" s="1"/>
  <c r="D439" i="18"/>
  <c r="D438" i="18"/>
  <c r="D437" i="18"/>
  <c r="D436" i="18"/>
  <c r="D435" i="18"/>
  <c r="D430" i="18"/>
  <c r="G430" i="18" s="1"/>
  <c r="H461" i="18" s="1"/>
  <c r="J347" i="18"/>
  <c r="J351" i="18" s="1"/>
  <c r="D347" i="18"/>
  <c r="D346" i="18"/>
  <c r="D345" i="18"/>
  <c r="D344" i="18"/>
  <c r="D343" i="18"/>
  <c r="D342" i="18"/>
  <c r="D341" i="18"/>
  <c r="D340" i="18"/>
  <c r="D339" i="18"/>
  <c r="D334" i="18"/>
  <c r="G334" i="18" s="1"/>
  <c r="I323" i="18"/>
  <c r="H323" i="18"/>
  <c r="D317" i="18"/>
  <c r="G317" i="18" s="1"/>
  <c r="H594" i="18" s="1"/>
  <c r="C316" i="18"/>
  <c r="G316" i="18" s="1"/>
  <c r="I304" i="18"/>
  <c r="K293" i="18" s="1"/>
  <c r="D304" i="18"/>
  <c r="D303" i="18"/>
  <c r="D302" i="18"/>
  <c r="D301" i="18"/>
  <c r="D300" i="18"/>
  <c r="D299" i="18"/>
  <c r="D298" i="18"/>
  <c r="D297" i="18"/>
  <c r="D296" i="18"/>
  <c r="D293" i="18"/>
  <c r="G293" i="18" s="1"/>
  <c r="H291" i="18"/>
  <c r="K286" i="18" s="1"/>
  <c r="D291" i="18"/>
  <c r="D290" i="18"/>
  <c r="D289" i="18"/>
  <c r="D286" i="18"/>
  <c r="G286" i="18" s="1"/>
  <c r="H284" i="18"/>
  <c r="K273" i="18" s="1"/>
  <c r="D284" i="18"/>
  <c r="D283" i="18"/>
  <c r="D282" i="18"/>
  <c r="D281" i="18"/>
  <c r="D280" i="18"/>
  <c r="D279" i="18"/>
  <c r="D278" i="18"/>
  <c r="D277" i="18"/>
  <c r="D276" i="18"/>
  <c r="D273" i="18"/>
  <c r="G273" i="18" s="1"/>
  <c r="M264" i="18"/>
  <c r="L264" i="18"/>
  <c r="K251" i="18" s="1"/>
  <c r="K264" i="18"/>
  <c r="I264" i="18"/>
  <c r="H264" i="18"/>
  <c r="D264" i="18"/>
  <c r="D263" i="18"/>
  <c r="D262" i="18"/>
  <c r="D261" i="18"/>
  <c r="D260" i="18"/>
  <c r="D259" i="18"/>
  <c r="D258" i="18"/>
  <c r="D257" i="18"/>
  <c r="D256" i="18"/>
  <c r="D251" i="18"/>
  <c r="G251" i="18" s="1"/>
  <c r="I227" i="18"/>
  <c r="I231" i="18" s="1"/>
  <c r="H227" i="18"/>
  <c r="D227" i="18"/>
  <c r="D226" i="18"/>
  <c r="D225" i="18"/>
  <c r="D224" i="18"/>
  <c r="D223" i="18"/>
  <c r="D222" i="18"/>
  <c r="D221" i="18"/>
  <c r="D220" i="18"/>
  <c r="D219" i="18"/>
  <c r="D214" i="18"/>
  <c r="G214" i="18" s="1"/>
  <c r="I205" i="18"/>
  <c r="I209" i="18" s="1"/>
  <c r="H205" i="18"/>
  <c r="D205" i="18"/>
  <c r="D204" i="18"/>
  <c r="D203" i="18"/>
  <c r="D202" i="18"/>
  <c r="D201" i="18"/>
  <c r="D200" i="18"/>
  <c r="D199" i="18"/>
  <c r="D198" i="18"/>
  <c r="D197" i="18"/>
  <c r="D192" i="18"/>
  <c r="G192" i="18" s="1"/>
  <c r="I183" i="18"/>
  <c r="D170" i="18"/>
  <c r="G170" i="18" s="1"/>
  <c r="H168" i="18"/>
  <c r="Q160" i="18" s="1"/>
  <c r="D168" i="18"/>
  <c r="D167" i="18"/>
  <c r="D166" i="18"/>
  <c r="D165" i="18"/>
  <c r="D164" i="18"/>
  <c r="D163" i="18"/>
  <c r="D160" i="18"/>
  <c r="G160" i="18" s="1"/>
  <c r="I157" i="18"/>
  <c r="I158" i="18" s="1"/>
  <c r="H157" i="18"/>
  <c r="H158" i="18" s="1"/>
  <c r="D146" i="18"/>
  <c r="G146" i="18" s="1"/>
  <c r="H144" i="18"/>
  <c r="K138" i="18" s="1"/>
  <c r="D144" i="18"/>
  <c r="D143" i="18"/>
  <c r="D142" i="18"/>
  <c r="D141" i="18"/>
  <c r="D138" i="18"/>
  <c r="G138" i="18" s="1"/>
  <c r="H136" i="18"/>
  <c r="K130" i="18" s="1"/>
  <c r="D136" i="18"/>
  <c r="D135" i="18"/>
  <c r="D134" i="18"/>
  <c r="D133" i="18"/>
  <c r="D130" i="18"/>
  <c r="G130" i="18" s="1"/>
  <c r="D120" i="18"/>
  <c r="G120" i="18" s="1"/>
  <c r="C119" i="18"/>
  <c r="G119" i="18" s="1"/>
  <c r="H117" i="18"/>
  <c r="K109" i="18" s="1"/>
  <c r="D117" i="18"/>
  <c r="D116" i="18"/>
  <c r="D115" i="18"/>
  <c r="D114" i="18"/>
  <c r="D113" i="18"/>
  <c r="D112" i="18"/>
  <c r="D109" i="18"/>
  <c r="G109" i="18" s="1"/>
  <c r="C108" i="18"/>
  <c r="G108" i="18" s="1"/>
  <c r="I105" i="18"/>
  <c r="I99" i="18"/>
  <c r="D90" i="18"/>
  <c r="G90" i="18" s="1"/>
  <c r="G89" i="18"/>
  <c r="D71" i="18"/>
  <c r="G71" i="18" s="1"/>
  <c r="C70" i="18"/>
  <c r="G70" i="18" s="1"/>
  <c r="D67" i="18"/>
  <c r="D66" i="18"/>
  <c r="D65" i="18"/>
  <c r="D64" i="18"/>
  <c r="D63" i="18"/>
  <c r="D62" i="18"/>
  <c r="D59" i="18"/>
  <c r="G59" i="18" s="1"/>
  <c r="D57" i="18"/>
  <c r="M56" i="18"/>
  <c r="J56" i="18"/>
  <c r="D56" i="18"/>
  <c r="D55" i="18"/>
  <c r="D54" i="18"/>
  <c r="D53" i="18"/>
  <c r="D52" i="18"/>
  <c r="D51" i="18"/>
  <c r="D50" i="18"/>
  <c r="D49" i="18"/>
  <c r="D48" i="18"/>
  <c r="M47" i="18"/>
  <c r="J47" i="18"/>
  <c r="D47" i="18"/>
  <c r="D46" i="18"/>
  <c r="D45" i="18"/>
  <c r="D44" i="18"/>
  <c r="D43" i="18"/>
  <c r="M42" i="18"/>
  <c r="J42" i="18"/>
  <c r="D42" i="18"/>
  <c r="D41" i="18"/>
  <c r="D40" i="18"/>
  <c r="D39" i="18"/>
  <c r="D38" i="18"/>
  <c r="D37" i="18"/>
  <c r="D36" i="18"/>
  <c r="D35" i="18"/>
  <c r="D34" i="18"/>
  <c r="M33" i="18"/>
  <c r="J33" i="18"/>
  <c r="D33" i="18"/>
  <c r="D32" i="18"/>
  <c r="D31" i="18"/>
  <c r="D30" i="18"/>
  <c r="D29" i="18"/>
  <c r="D28" i="18"/>
  <c r="D27" i="18"/>
  <c r="D26" i="18"/>
  <c r="D25" i="18"/>
  <c r="D20" i="18"/>
  <c r="G20" i="18" s="1"/>
  <c r="D10" i="18"/>
  <c r="G10" i="18" s="1"/>
  <c r="C9" i="18"/>
  <c r="G9" i="18" s="1"/>
  <c r="N4" i="18"/>
  <c r="L4" i="18"/>
  <c r="H4" i="18"/>
  <c r="N3" i="18"/>
  <c r="L3" i="18"/>
  <c r="H2" i="18"/>
  <c r="P40" i="12"/>
  <c r="O40" i="12"/>
  <c r="AD38" i="12"/>
  <c r="AC38" i="12"/>
  <c r="J38" i="12"/>
  <c r="G38" i="12" s="1"/>
  <c r="E38" i="12"/>
  <c r="D38" i="12"/>
  <c r="C38" i="12"/>
  <c r="AD37" i="12"/>
  <c r="AC37" i="12"/>
  <c r="J37" i="12"/>
  <c r="E37" i="12"/>
  <c r="C37" i="12"/>
  <c r="AD36" i="12"/>
  <c r="AC36" i="12"/>
  <c r="J36" i="12"/>
  <c r="G36" i="12" s="1"/>
  <c r="E36" i="12"/>
  <c r="D36" i="12"/>
  <c r="C36" i="12"/>
  <c r="Q36" i="12" s="1"/>
  <c r="AE36" i="12" s="1"/>
  <c r="AD35" i="12"/>
  <c r="AC35" i="12"/>
  <c r="J35" i="12"/>
  <c r="E35" i="12"/>
  <c r="C35" i="12"/>
  <c r="R35" i="12" s="1"/>
  <c r="AD34" i="12"/>
  <c r="AC34" i="12"/>
  <c r="J34" i="12"/>
  <c r="G34" i="12" s="1"/>
  <c r="E34" i="12"/>
  <c r="F34" i="12" s="1"/>
  <c r="D34" i="12"/>
  <c r="C34" i="12"/>
  <c r="Q34" i="12" s="1"/>
  <c r="AE34" i="12" s="1"/>
  <c r="AD33" i="12"/>
  <c r="AC33" i="12"/>
  <c r="J33" i="12"/>
  <c r="G33" i="12" s="1"/>
  <c r="E33" i="12"/>
  <c r="C33" i="12"/>
  <c r="AD32" i="12"/>
  <c r="AC32" i="12"/>
  <c r="J32" i="12"/>
  <c r="D32" i="12" s="1"/>
  <c r="E32" i="12"/>
  <c r="C32" i="12"/>
  <c r="R32" i="12" s="1"/>
  <c r="AD31" i="12"/>
  <c r="AC31" i="12"/>
  <c r="J31" i="12"/>
  <c r="G31" i="12" s="1"/>
  <c r="E31" i="12"/>
  <c r="C31" i="12"/>
  <c r="R31" i="12" s="1"/>
  <c r="AD30" i="12"/>
  <c r="AC30" i="12"/>
  <c r="J30" i="12"/>
  <c r="D30" i="12" s="1"/>
  <c r="E30" i="12"/>
  <c r="C30" i="12"/>
  <c r="Q30" i="12" s="1"/>
  <c r="AD29" i="12"/>
  <c r="AC29" i="12"/>
  <c r="J29" i="12"/>
  <c r="G29" i="12" s="1"/>
  <c r="E29" i="12"/>
  <c r="C29" i="12"/>
  <c r="AD28" i="12"/>
  <c r="AC28" i="12"/>
  <c r="J28" i="12"/>
  <c r="D28" i="12" s="1"/>
  <c r="E28" i="12"/>
  <c r="C28" i="12"/>
  <c r="Q28" i="12" s="1"/>
  <c r="AE28" i="12" s="1"/>
  <c r="AD27" i="12"/>
  <c r="AC27" i="12"/>
  <c r="J27" i="12"/>
  <c r="G27" i="12" s="1"/>
  <c r="E27" i="12"/>
  <c r="C27" i="12"/>
  <c r="R27" i="12" s="1"/>
  <c r="AD26" i="12"/>
  <c r="AC26" i="12"/>
  <c r="J26" i="12"/>
  <c r="E26" i="12"/>
  <c r="C26" i="12"/>
  <c r="Q26" i="12" s="1"/>
  <c r="AD25" i="12"/>
  <c r="AC25" i="12"/>
  <c r="J25" i="12"/>
  <c r="G25" i="12" s="1"/>
  <c r="E25" i="12"/>
  <c r="D25" i="12"/>
  <c r="C25" i="12"/>
  <c r="AD24" i="12"/>
  <c r="AC24" i="12"/>
  <c r="J24" i="12"/>
  <c r="E24" i="12"/>
  <c r="C24" i="12"/>
  <c r="R24" i="12" s="1"/>
  <c r="AD23" i="12"/>
  <c r="AC23" i="12"/>
  <c r="J23" i="12"/>
  <c r="G23" i="12" s="1"/>
  <c r="E23" i="12"/>
  <c r="C23" i="12"/>
  <c r="R23" i="12" s="1"/>
  <c r="AD22" i="12"/>
  <c r="AC22" i="12"/>
  <c r="J22" i="12"/>
  <c r="G22" i="12" s="1"/>
  <c r="E22" i="12"/>
  <c r="D22" i="12"/>
  <c r="C22" i="12"/>
  <c r="Q22" i="12" s="1"/>
  <c r="AE22" i="12" s="1"/>
  <c r="AD21" i="12"/>
  <c r="AC21" i="12"/>
  <c r="J21" i="12"/>
  <c r="E21" i="12"/>
  <c r="C21" i="12"/>
  <c r="AD20" i="12"/>
  <c r="AC20" i="12"/>
  <c r="J20" i="12"/>
  <c r="G20" i="12" s="1"/>
  <c r="E20" i="12"/>
  <c r="D20" i="12"/>
  <c r="C20" i="12"/>
  <c r="Q20" i="12" s="1"/>
  <c r="AE20" i="12" s="1"/>
  <c r="AD19" i="12"/>
  <c r="AC19" i="12"/>
  <c r="J19" i="12"/>
  <c r="E19" i="12"/>
  <c r="C19" i="12"/>
  <c r="R19" i="12" s="1"/>
  <c r="AD18" i="12"/>
  <c r="AC18" i="12"/>
  <c r="J18" i="12"/>
  <c r="G18" i="12" s="1"/>
  <c r="E18" i="12"/>
  <c r="D18" i="12"/>
  <c r="C18" i="12"/>
  <c r="Q18" i="12" s="1"/>
  <c r="AE18" i="12" s="1"/>
  <c r="AD17" i="12"/>
  <c r="AC17" i="12"/>
  <c r="J17" i="12"/>
  <c r="G17" i="12" s="1"/>
  <c r="E17" i="12"/>
  <c r="C17" i="12"/>
  <c r="AD16" i="12"/>
  <c r="AC16" i="12"/>
  <c r="J16" i="12"/>
  <c r="D16" i="12" s="1"/>
  <c r="E16" i="12"/>
  <c r="C16" i="12"/>
  <c r="R16" i="12" s="1"/>
  <c r="AD15" i="12"/>
  <c r="AC15" i="12"/>
  <c r="J15" i="12"/>
  <c r="G15" i="12" s="1"/>
  <c r="E15" i="12"/>
  <c r="C15" i="12"/>
  <c r="R15" i="12" s="1"/>
  <c r="AD14" i="12"/>
  <c r="AC14" i="12"/>
  <c r="J14" i="12"/>
  <c r="D14" i="12" s="1"/>
  <c r="E14" i="12"/>
  <c r="C14" i="12"/>
  <c r="Q14" i="12" s="1"/>
  <c r="AD13" i="12"/>
  <c r="AC13" i="12"/>
  <c r="J13" i="12"/>
  <c r="G13" i="12" s="1"/>
  <c r="E13" i="12"/>
  <c r="C13" i="12"/>
  <c r="AD12" i="12"/>
  <c r="AC12" i="12"/>
  <c r="J12" i="12"/>
  <c r="D12" i="12" s="1"/>
  <c r="E12" i="12"/>
  <c r="C12" i="12"/>
  <c r="Q12" i="12" s="1"/>
  <c r="AE12" i="12" s="1"/>
  <c r="AD11" i="12"/>
  <c r="AC11" i="12"/>
  <c r="J11" i="12"/>
  <c r="G11" i="12" s="1"/>
  <c r="E11" i="12"/>
  <c r="C11" i="12"/>
  <c r="R11" i="12" s="1"/>
  <c r="AD10" i="12"/>
  <c r="AC10" i="12"/>
  <c r="J10" i="12"/>
  <c r="E10" i="12"/>
  <c r="C10" i="12"/>
  <c r="AD9" i="12"/>
  <c r="AC9" i="12"/>
  <c r="G9" i="12"/>
  <c r="E9" i="12"/>
  <c r="F9" i="12" s="1"/>
  <c r="D9" i="12"/>
  <c r="C9" i="12"/>
  <c r="R9" i="12" s="1"/>
  <c r="O6" i="12"/>
  <c r="M6" i="12"/>
  <c r="J6" i="12"/>
  <c r="O5" i="12"/>
  <c r="M5" i="12"/>
  <c r="J4" i="12"/>
  <c r="F4" i="12"/>
  <c r="AD3" i="12"/>
  <c r="AC3" i="12"/>
  <c r="J3" i="12"/>
  <c r="G3" i="12" s="1"/>
  <c r="E3" i="12"/>
  <c r="F3" i="12" s="1"/>
  <c r="C3" i="12"/>
  <c r="B3" i="12"/>
  <c r="P40" i="11"/>
  <c r="O40" i="11"/>
  <c r="AD38" i="11"/>
  <c r="AC38" i="11"/>
  <c r="J38" i="11"/>
  <c r="G38" i="11" s="1"/>
  <c r="E38" i="11"/>
  <c r="C38" i="11"/>
  <c r="B38" i="11" s="1"/>
  <c r="AD37" i="11"/>
  <c r="AC37" i="11"/>
  <c r="J37" i="11"/>
  <c r="D37" i="11" s="1"/>
  <c r="E37" i="11"/>
  <c r="C37" i="11"/>
  <c r="Q37" i="11" s="1"/>
  <c r="AE37" i="11" s="1"/>
  <c r="AD36" i="11"/>
  <c r="AC36" i="11"/>
  <c r="J36" i="11"/>
  <c r="G36" i="11" s="1"/>
  <c r="E36" i="11"/>
  <c r="C36" i="11"/>
  <c r="R36" i="11" s="1"/>
  <c r="AD35" i="11"/>
  <c r="AC35" i="11"/>
  <c r="J35" i="11"/>
  <c r="G35" i="11" s="1"/>
  <c r="E35" i="11"/>
  <c r="D35" i="11"/>
  <c r="C35" i="11"/>
  <c r="Q35" i="11" s="1"/>
  <c r="AE35" i="11" s="1"/>
  <c r="AD34" i="11"/>
  <c r="AC34" i="11"/>
  <c r="J34" i="11"/>
  <c r="E34" i="11"/>
  <c r="C34" i="11"/>
  <c r="AD33" i="11"/>
  <c r="AC33" i="11"/>
  <c r="J33" i="11"/>
  <c r="G33" i="11"/>
  <c r="E33" i="11"/>
  <c r="D33" i="11"/>
  <c r="C33" i="11"/>
  <c r="R33" i="11" s="1"/>
  <c r="AD32" i="11"/>
  <c r="AC32" i="11"/>
  <c r="J32" i="11"/>
  <c r="G32" i="11" s="1"/>
  <c r="E32" i="11"/>
  <c r="D32" i="11"/>
  <c r="C32" i="11"/>
  <c r="R32" i="11" s="1"/>
  <c r="AD31" i="11"/>
  <c r="AC31" i="11"/>
  <c r="J31" i="11"/>
  <c r="G31" i="11" s="1"/>
  <c r="E31" i="11"/>
  <c r="C31" i="11"/>
  <c r="Q31" i="11" s="1"/>
  <c r="AD30" i="11"/>
  <c r="AC30" i="11"/>
  <c r="J30" i="11"/>
  <c r="G30" i="11" s="1"/>
  <c r="E30" i="11"/>
  <c r="D30" i="11"/>
  <c r="C30" i="11"/>
  <c r="AD29" i="11"/>
  <c r="AC29" i="11"/>
  <c r="J29" i="11"/>
  <c r="G29" i="11" s="1"/>
  <c r="E29" i="11"/>
  <c r="C29" i="11"/>
  <c r="R29" i="11" s="1"/>
  <c r="AD28" i="11"/>
  <c r="AC28" i="11"/>
  <c r="J28" i="11"/>
  <c r="G28" i="11" s="1"/>
  <c r="E28" i="11"/>
  <c r="C28" i="11"/>
  <c r="R28" i="11" s="1"/>
  <c r="AD27" i="11"/>
  <c r="AC27" i="11"/>
  <c r="J27" i="11"/>
  <c r="D27" i="11" s="1"/>
  <c r="E27" i="11"/>
  <c r="C27" i="11"/>
  <c r="Q27" i="11" s="1"/>
  <c r="AE27" i="11" s="1"/>
  <c r="AD26" i="11"/>
  <c r="AC26" i="11"/>
  <c r="J26" i="11"/>
  <c r="G26" i="11" s="1"/>
  <c r="E26" i="11"/>
  <c r="C26" i="11"/>
  <c r="AD25" i="11"/>
  <c r="AC25" i="11"/>
  <c r="J25" i="11"/>
  <c r="D25" i="11" s="1"/>
  <c r="E25" i="11"/>
  <c r="C25" i="11"/>
  <c r="Q25" i="11" s="1"/>
  <c r="AD24" i="11"/>
  <c r="AC24" i="11"/>
  <c r="J24" i="11"/>
  <c r="G24" i="11" s="1"/>
  <c r="E24" i="11"/>
  <c r="C24" i="11"/>
  <c r="R24" i="11" s="1"/>
  <c r="AD23" i="11"/>
  <c r="AC23" i="11"/>
  <c r="J23" i="11"/>
  <c r="D23" i="11" s="1"/>
  <c r="G23" i="11"/>
  <c r="E23" i="11"/>
  <c r="C23" i="11"/>
  <c r="Q23" i="11" s="1"/>
  <c r="AE23" i="11" s="1"/>
  <c r="AD22" i="11"/>
  <c r="AC22" i="11"/>
  <c r="J22" i="11"/>
  <c r="G22" i="11" s="1"/>
  <c r="E22" i="11"/>
  <c r="C22" i="11"/>
  <c r="AD21" i="11"/>
  <c r="AC21" i="11"/>
  <c r="J21" i="11"/>
  <c r="D21" i="11" s="1"/>
  <c r="E21" i="11"/>
  <c r="C21" i="11"/>
  <c r="R21" i="11" s="1"/>
  <c r="AD20" i="11"/>
  <c r="AC20" i="11"/>
  <c r="J20" i="11"/>
  <c r="G20" i="11" s="1"/>
  <c r="E20" i="11"/>
  <c r="C20" i="11"/>
  <c r="R20" i="11" s="1"/>
  <c r="AD19" i="11"/>
  <c r="AC19" i="11"/>
  <c r="J19" i="11"/>
  <c r="G19" i="11" s="1"/>
  <c r="E19" i="11"/>
  <c r="D19" i="11"/>
  <c r="C19" i="11"/>
  <c r="Q19" i="11" s="1"/>
  <c r="AE19" i="11" s="1"/>
  <c r="AD18" i="11"/>
  <c r="AC18" i="11"/>
  <c r="J18" i="11"/>
  <c r="E18" i="11"/>
  <c r="C18" i="11"/>
  <c r="AD17" i="11"/>
  <c r="AC17" i="11"/>
  <c r="J17" i="11"/>
  <c r="G17" i="11"/>
  <c r="E17" i="11"/>
  <c r="D17" i="11"/>
  <c r="C17" i="11"/>
  <c r="Q17" i="11" s="1"/>
  <c r="AE17" i="11" s="1"/>
  <c r="AD16" i="11"/>
  <c r="AC16" i="11"/>
  <c r="J16" i="11"/>
  <c r="G16" i="11" s="1"/>
  <c r="E16" i="11"/>
  <c r="D16" i="11"/>
  <c r="C16" i="11"/>
  <c r="R16" i="11" s="1"/>
  <c r="AD15" i="11"/>
  <c r="AC15" i="11"/>
  <c r="J15" i="11"/>
  <c r="G15" i="11" s="1"/>
  <c r="E15" i="11"/>
  <c r="C15" i="11"/>
  <c r="Q15" i="11" s="1"/>
  <c r="AD14" i="11"/>
  <c r="AC14" i="11"/>
  <c r="J14" i="11"/>
  <c r="G14" i="11" s="1"/>
  <c r="E14" i="11"/>
  <c r="D14" i="11"/>
  <c r="C14" i="11"/>
  <c r="AD13" i="11"/>
  <c r="AC13" i="11"/>
  <c r="J13" i="11"/>
  <c r="G13" i="11" s="1"/>
  <c r="E13" i="11"/>
  <c r="C13" i="11"/>
  <c r="R13" i="11" s="1"/>
  <c r="AD12" i="11"/>
  <c r="AC12" i="11"/>
  <c r="J12" i="11"/>
  <c r="G12" i="11" s="1"/>
  <c r="E12" i="11"/>
  <c r="C12" i="11"/>
  <c r="R12" i="11" s="1"/>
  <c r="AD11" i="11"/>
  <c r="AC11" i="11"/>
  <c r="J11" i="11"/>
  <c r="D11" i="11" s="1"/>
  <c r="E11" i="11"/>
  <c r="C11" i="11"/>
  <c r="Q11" i="11" s="1"/>
  <c r="AE11" i="11" s="1"/>
  <c r="AD10" i="11"/>
  <c r="AC10" i="11"/>
  <c r="J10" i="11"/>
  <c r="G10" i="11" s="1"/>
  <c r="E10" i="11"/>
  <c r="C10" i="11"/>
  <c r="B10" i="11" s="1"/>
  <c r="AD9" i="11"/>
  <c r="AC9" i="11"/>
  <c r="G9" i="11"/>
  <c r="E9" i="11"/>
  <c r="F9" i="11" s="1"/>
  <c r="D9" i="11"/>
  <c r="C9" i="11"/>
  <c r="Q9" i="11" s="1"/>
  <c r="AE9" i="11" s="1"/>
  <c r="B9" i="11"/>
  <c r="O6" i="11"/>
  <c r="M6" i="11"/>
  <c r="J6" i="11"/>
  <c r="O5" i="11"/>
  <c r="M5" i="11"/>
  <c r="J4" i="11"/>
  <c r="F4" i="11"/>
  <c r="AD3" i="11"/>
  <c r="AC3" i="11"/>
  <c r="J3" i="11"/>
  <c r="G3" i="11" s="1"/>
  <c r="E3" i="11"/>
  <c r="F3" i="11" s="1"/>
  <c r="C3" i="11"/>
  <c r="B3" i="11"/>
  <c r="Q38" i="13"/>
  <c r="J38" i="13"/>
  <c r="D38" i="13" s="1"/>
  <c r="G38" i="13"/>
  <c r="E38" i="13"/>
  <c r="C38" i="13"/>
  <c r="B38" i="13" s="1"/>
  <c r="Q37" i="13"/>
  <c r="N37" i="13"/>
  <c r="J37" i="13"/>
  <c r="G37" i="13" s="1"/>
  <c r="E37" i="13"/>
  <c r="D37" i="13"/>
  <c r="C37" i="13"/>
  <c r="Q36" i="13"/>
  <c r="N36" i="13"/>
  <c r="T36" i="13" s="1"/>
  <c r="J36" i="13"/>
  <c r="D36" i="13" s="1"/>
  <c r="G36" i="13"/>
  <c r="E36" i="13"/>
  <c r="C36" i="13"/>
  <c r="Q35" i="13"/>
  <c r="N35" i="13"/>
  <c r="J35" i="13"/>
  <c r="G35" i="13" s="1"/>
  <c r="E35" i="13"/>
  <c r="D35" i="13"/>
  <c r="C35" i="13"/>
  <c r="Q34" i="13"/>
  <c r="N34" i="13"/>
  <c r="T34" i="13" s="1"/>
  <c r="J34" i="13"/>
  <c r="E34" i="13"/>
  <c r="C34" i="13"/>
  <c r="Q33" i="13"/>
  <c r="N33" i="13"/>
  <c r="J33" i="13"/>
  <c r="G33" i="13" s="1"/>
  <c r="E33" i="13"/>
  <c r="C33" i="13"/>
  <c r="Q32" i="13"/>
  <c r="N32" i="13"/>
  <c r="T32" i="13" s="1"/>
  <c r="J32" i="13"/>
  <c r="G32" i="13" s="1"/>
  <c r="E32" i="13"/>
  <c r="D32" i="13"/>
  <c r="C32" i="13"/>
  <c r="Q31" i="13"/>
  <c r="N31" i="13"/>
  <c r="J31" i="13"/>
  <c r="G31" i="13" s="1"/>
  <c r="E31" i="13"/>
  <c r="C31" i="13"/>
  <c r="Q30" i="13"/>
  <c r="N30" i="13"/>
  <c r="T30" i="13" s="1"/>
  <c r="J30" i="13"/>
  <c r="G30" i="13" s="1"/>
  <c r="E30" i="13"/>
  <c r="D30" i="13"/>
  <c r="C30" i="13"/>
  <c r="Q29" i="13"/>
  <c r="N29" i="13"/>
  <c r="J29" i="13"/>
  <c r="G29" i="13" s="1"/>
  <c r="E29" i="13"/>
  <c r="C29" i="13"/>
  <c r="Q28" i="13"/>
  <c r="N28" i="13"/>
  <c r="T28" i="13" s="1"/>
  <c r="J28" i="13"/>
  <c r="D28" i="13" s="1"/>
  <c r="E28" i="13"/>
  <c r="C28" i="13"/>
  <c r="Q27" i="13"/>
  <c r="N27" i="13"/>
  <c r="J27" i="13"/>
  <c r="G27" i="13" s="1"/>
  <c r="E27" i="13"/>
  <c r="C27" i="13"/>
  <c r="Q26" i="13"/>
  <c r="N26" i="13"/>
  <c r="T26" i="13" s="1"/>
  <c r="J26" i="13"/>
  <c r="D26" i="13" s="1"/>
  <c r="E26" i="13"/>
  <c r="C26" i="13"/>
  <c r="Q25" i="13"/>
  <c r="N25" i="13"/>
  <c r="J25" i="13"/>
  <c r="G25" i="13" s="1"/>
  <c r="E25" i="13"/>
  <c r="C25" i="13"/>
  <c r="Q24" i="13"/>
  <c r="N24" i="13"/>
  <c r="T24" i="13" s="1"/>
  <c r="J24" i="13"/>
  <c r="E24" i="13"/>
  <c r="C24" i="13"/>
  <c r="Q23" i="13"/>
  <c r="N23" i="13"/>
  <c r="J23" i="13"/>
  <c r="G23" i="13" s="1"/>
  <c r="E23" i="13"/>
  <c r="C23" i="13"/>
  <c r="Q22" i="13"/>
  <c r="N22" i="13"/>
  <c r="T22" i="13" s="1"/>
  <c r="J22" i="13"/>
  <c r="D22" i="13" s="1"/>
  <c r="G22" i="13"/>
  <c r="E22" i="13"/>
  <c r="C22" i="13"/>
  <c r="Q21" i="13"/>
  <c r="N21" i="13"/>
  <c r="J21" i="13"/>
  <c r="G21" i="13" s="1"/>
  <c r="E21" i="13"/>
  <c r="D21" i="13"/>
  <c r="C21" i="13"/>
  <c r="Q20" i="13"/>
  <c r="N20" i="13"/>
  <c r="T20" i="13" s="1"/>
  <c r="J20" i="13"/>
  <c r="D20" i="13" s="1"/>
  <c r="G20" i="13"/>
  <c r="E20" i="13"/>
  <c r="C20" i="13"/>
  <c r="Q19" i="13"/>
  <c r="N19" i="13"/>
  <c r="J19" i="13"/>
  <c r="G19" i="13" s="1"/>
  <c r="E19" i="13"/>
  <c r="D19" i="13"/>
  <c r="C19" i="13"/>
  <c r="Q18" i="13"/>
  <c r="N18" i="13"/>
  <c r="T18" i="13" s="1"/>
  <c r="J18" i="13"/>
  <c r="E18" i="13"/>
  <c r="C18" i="13"/>
  <c r="Q17" i="13"/>
  <c r="N17" i="13"/>
  <c r="J17" i="13"/>
  <c r="G17" i="13" s="1"/>
  <c r="E17" i="13"/>
  <c r="C17" i="13"/>
  <c r="Q16" i="13"/>
  <c r="N16" i="13"/>
  <c r="T16" i="13" s="1"/>
  <c r="J16" i="13"/>
  <c r="G16" i="13" s="1"/>
  <c r="E16" i="13"/>
  <c r="D16" i="13"/>
  <c r="C16" i="13"/>
  <c r="Q15" i="13"/>
  <c r="N15" i="13"/>
  <c r="J15" i="13"/>
  <c r="G15" i="13" s="1"/>
  <c r="E15" i="13"/>
  <c r="C15" i="13"/>
  <c r="Q14" i="13"/>
  <c r="N14" i="13"/>
  <c r="T14" i="13" s="1"/>
  <c r="J14" i="13"/>
  <c r="G14" i="13" s="1"/>
  <c r="E14" i="13"/>
  <c r="D14" i="13"/>
  <c r="C14" i="13"/>
  <c r="Q13" i="13"/>
  <c r="N13" i="13"/>
  <c r="J13" i="13"/>
  <c r="G13" i="13" s="1"/>
  <c r="E13" i="13"/>
  <c r="C13" i="13"/>
  <c r="Q12" i="13"/>
  <c r="J12" i="13"/>
  <c r="D12" i="13" s="1"/>
  <c r="E12" i="13"/>
  <c r="C12" i="13"/>
  <c r="N12" i="13" s="1"/>
  <c r="T12" i="13" s="1"/>
  <c r="Q11" i="13"/>
  <c r="N11" i="13"/>
  <c r="J11" i="13"/>
  <c r="G11" i="13" s="1"/>
  <c r="E11" i="13"/>
  <c r="C11" i="13"/>
  <c r="Q10" i="13"/>
  <c r="J10" i="13"/>
  <c r="D10" i="13" s="1"/>
  <c r="E10" i="13"/>
  <c r="C10" i="13"/>
  <c r="B10" i="13" s="1"/>
  <c r="Q9" i="13"/>
  <c r="G9" i="13"/>
  <c r="E9" i="13"/>
  <c r="F9" i="13" s="1"/>
  <c r="D9" i="13"/>
  <c r="C9" i="13"/>
  <c r="N9" i="13" s="1"/>
  <c r="O6" i="13"/>
  <c r="M6" i="13"/>
  <c r="J6" i="13"/>
  <c r="O5" i="13"/>
  <c r="M5" i="13"/>
  <c r="J4" i="13"/>
  <c r="F4" i="13"/>
  <c r="Q3" i="13"/>
  <c r="N3" i="13"/>
  <c r="T3" i="13" s="1"/>
  <c r="J3" i="13"/>
  <c r="G3" i="13" s="1"/>
  <c r="E3" i="13"/>
  <c r="F3" i="13" s="1"/>
  <c r="D3" i="13"/>
  <c r="C3" i="13"/>
  <c r="B3" i="13"/>
  <c r="AD39" i="6"/>
  <c r="AC39" i="6"/>
  <c r="J39" i="6"/>
  <c r="G39" i="6" s="1"/>
  <c r="E39" i="6"/>
  <c r="F40" i="6" s="1"/>
  <c r="C39" i="6"/>
  <c r="R39" i="6" s="1"/>
  <c r="AD38" i="6"/>
  <c r="AC38" i="6"/>
  <c r="J38" i="6"/>
  <c r="G38" i="6" s="1"/>
  <c r="C38" i="6"/>
  <c r="AD37" i="6"/>
  <c r="AC37" i="6"/>
  <c r="J37" i="6"/>
  <c r="G37" i="6" s="1"/>
  <c r="C37" i="6"/>
  <c r="E37" i="6"/>
  <c r="E38" i="6" s="1"/>
  <c r="AD34" i="6"/>
  <c r="AC34" i="6"/>
  <c r="J34" i="6"/>
  <c r="G34" i="6" s="1"/>
  <c r="C34" i="6"/>
  <c r="AD33" i="6"/>
  <c r="AC33" i="6"/>
  <c r="J33" i="6"/>
  <c r="G33" i="6" s="1"/>
  <c r="C33" i="6"/>
  <c r="AD32" i="6"/>
  <c r="AC32" i="6"/>
  <c r="E32" i="6"/>
  <c r="E33" i="6" s="1"/>
  <c r="E34" i="6" s="1"/>
  <c r="F35" i="6" s="1"/>
  <c r="C32" i="6"/>
  <c r="Q32" i="6" s="1"/>
  <c r="AD31" i="6"/>
  <c r="AC31" i="6"/>
  <c r="J31" i="6"/>
  <c r="D31" i="6" s="1"/>
  <c r="E31" i="6"/>
  <c r="C31" i="6"/>
  <c r="AD30" i="6"/>
  <c r="AC30" i="6"/>
  <c r="J30" i="6"/>
  <c r="G30" i="6" s="1"/>
  <c r="C30" i="6"/>
  <c r="AD29" i="6"/>
  <c r="AC29" i="6"/>
  <c r="J29" i="6"/>
  <c r="G29" i="6" s="1"/>
  <c r="C29" i="6"/>
  <c r="E29" i="6"/>
  <c r="E30" i="6" s="1"/>
  <c r="AD26" i="6"/>
  <c r="AC26" i="6"/>
  <c r="J26" i="6"/>
  <c r="G26" i="6" s="1"/>
  <c r="C26" i="6"/>
  <c r="B26" i="6" s="1"/>
  <c r="AD25" i="6"/>
  <c r="AC25" i="6"/>
  <c r="G25" i="6"/>
  <c r="C25" i="6"/>
  <c r="AD24" i="6"/>
  <c r="AC24" i="6"/>
  <c r="C24" i="6"/>
  <c r="E24" i="6"/>
  <c r="E25" i="6" s="1"/>
  <c r="E26" i="6" s="1"/>
  <c r="F27" i="6" s="1"/>
  <c r="AD21" i="6"/>
  <c r="AC21" i="6"/>
  <c r="J21" i="6"/>
  <c r="C21" i="6"/>
  <c r="B21" i="6" s="1"/>
  <c r="AD20" i="6"/>
  <c r="AC20" i="6"/>
  <c r="G20" i="6"/>
  <c r="C20" i="6"/>
  <c r="AD19" i="6"/>
  <c r="AC19" i="6"/>
  <c r="G19" i="6"/>
  <c r="C19" i="6"/>
  <c r="AD18" i="6"/>
  <c r="AC18" i="6"/>
  <c r="G18" i="6"/>
  <c r="E18" i="6"/>
  <c r="E19" i="6" s="1"/>
  <c r="E20" i="6" s="1"/>
  <c r="E21" i="6" s="1"/>
  <c r="F22" i="6" s="1"/>
  <c r="C18" i="6"/>
  <c r="AD17" i="6"/>
  <c r="AC17" i="6"/>
  <c r="J17" i="6"/>
  <c r="D17" i="6" s="1"/>
  <c r="E17" i="6"/>
  <c r="C17" i="6"/>
  <c r="AD16" i="6"/>
  <c r="AC16" i="6"/>
  <c r="J16" i="6"/>
  <c r="G16" i="6" s="1"/>
  <c r="C16" i="6"/>
  <c r="AD15" i="6"/>
  <c r="AC15" i="6"/>
  <c r="J15" i="6"/>
  <c r="G15" i="6" s="1"/>
  <c r="C15" i="6"/>
  <c r="AD14" i="6"/>
  <c r="AC14" i="6"/>
  <c r="G14" i="6"/>
  <c r="E14" i="6"/>
  <c r="E15" i="6" s="1"/>
  <c r="E16" i="6" s="1"/>
  <c r="C14" i="6"/>
  <c r="Q14" i="6" s="1"/>
  <c r="AD13" i="6"/>
  <c r="AC13" i="6"/>
  <c r="J13" i="6"/>
  <c r="G13" i="6" s="1"/>
  <c r="E13" i="6"/>
  <c r="C13" i="6"/>
  <c r="AD12" i="6"/>
  <c r="AC12" i="6"/>
  <c r="J12" i="6"/>
  <c r="C12" i="6"/>
  <c r="AD11" i="6"/>
  <c r="AC11" i="6"/>
  <c r="J11" i="6"/>
  <c r="G11" i="6" s="1"/>
  <c r="C11" i="6"/>
  <c r="AD10" i="6"/>
  <c r="AC10" i="6"/>
  <c r="E10" i="6"/>
  <c r="E11" i="6" s="1"/>
  <c r="E12" i="6" s="1"/>
  <c r="C10" i="6"/>
  <c r="AD9" i="6"/>
  <c r="AC9" i="6"/>
  <c r="G9" i="6"/>
  <c r="E9" i="6"/>
  <c r="F9" i="6" s="1"/>
  <c r="D9" i="6"/>
  <c r="C9" i="6"/>
  <c r="R9" i="6" s="1"/>
  <c r="B9" i="6"/>
  <c r="O6" i="6"/>
  <c r="M6" i="6"/>
  <c r="J6" i="6"/>
  <c r="O5" i="6"/>
  <c r="M5" i="6"/>
  <c r="J4" i="6"/>
  <c r="F4" i="6"/>
  <c r="AD3" i="6"/>
  <c r="AC3" i="6"/>
  <c r="J3" i="6"/>
  <c r="G3" i="6" s="1"/>
  <c r="E3" i="6"/>
  <c r="F3" i="6" s="1"/>
  <c r="C3" i="6"/>
  <c r="B3" i="6"/>
  <c r="M785" i="5"/>
  <c r="J785" i="5"/>
  <c r="I785" i="5"/>
  <c r="F785" i="5"/>
  <c r="M784" i="5"/>
  <c r="J784" i="5"/>
  <c r="I784" i="5"/>
  <c r="F784" i="5"/>
  <c r="E781" i="5"/>
  <c r="C781" i="5"/>
  <c r="B781" i="5"/>
  <c r="A781" i="5"/>
  <c r="E780" i="5"/>
  <c r="C780" i="5"/>
  <c r="B780" i="5"/>
  <c r="A780" i="5"/>
  <c r="E779" i="5"/>
  <c r="C779" i="5"/>
  <c r="B779" i="5"/>
  <c r="A779" i="5"/>
  <c r="E778" i="5"/>
  <c r="C778" i="5"/>
  <c r="B778" i="5"/>
  <c r="A778" i="5"/>
  <c r="E777" i="5"/>
  <c r="C777" i="5"/>
  <c r="B777" i="5"/>
  <c r="A777" i="5"/>
  <c r="E776" i="5"/>
  <c r="C776" i="5"/>
  <c r="B776" i="5"/>
  <c r="A776" i="5"/>
  <c r="E775" i="5"/>
  <c r="C775" i="5"/>
  <c r="B775" i="5"/>
  <c r="A775" i="5"/>
  <c r="E774" i="5"/>
  <c r="C774" i="5"/>
  <c r="B774" i="5"/>
  <c r="A774" i="5"/>
  <c r="E773" i="5"/>
  <c r="C773" i="5"/>
  <c r="B773" i="5"/>
  <c r="A773" i="5"/>
  <c r="E772" i="5"/>
  <c r="C772" i="5"/>
  <c r="B772" i="5"/>
  <c r="A772" i="5"/>
  <c r="E771" i="5"/>
  <c r="C771" i="5"/>
  <c r="B771" i="5"/>
  <c r="A771" i="5"/>
  <c r="E770" i="5"/>
  <c r="C770" i="5"/>
  <c r="B770" i="5"/>
  <c r="A770" i="5"/>
  <c r="E769" i="5"/>
  <c r="C769" i="5"/>
  <c r="B769" i="5"/>
  <c r="A769" i="5"/>
  <c r="E768" i="5"/>
  <c r="C768" i="5"/>
  <c r="B768" i="5"/>
  <c r="A768" i="5"/>
  <c r="E767" i="5"/>
  <c r="C767" i="5"/>
  <c r="B767" i="5"/>
  <c r="A767" i="5"/>
  <c r="E766" i="5"/>
  <c r="C766" i="5"/>
  <c r="B766" i="5"/>
  <c r="A766" i="5"/>
  <c r="E765" i="5"/>
  <c r="C765" i="5"/>
  <c r="B765" i="5"/>
  <c r="A765" i="5"/>
  <c r="L764" i="5"/>
  <c r="K764" i="5"/>
  <c r="H764" i="5"/>
  <c r="G764" i="5"/>
  <c r="E764" i="5"/>
  <c r="E830" i="5" s="1"/>
  <c r="C764" i="5"/>
  <c r="B764" i="5"/>
  <c r="A764" i="5"/>
  <c r="J763" i="5"/>
  <c r="F763" i="5"/>
  <c r="E763" i="5"/>
  <c r="C763" i="5"/>
  <c r="B763" i="5"/>
  <c r="A763" i="5"/>
  <c r="J762" i="5"/>
  <c r="F762" i="5"/>
  <c r="E762" i="5"/>
  <c r="C762" i="5"/>
  <c r="B762" i="5"/>
  <c r="A762" i="5"/>
  <c r="J761" i="5"/>
  <c r="E761" i="5"/>
  <c r="C761" i="5"/>
  <c r="B761" i="5"/>
  <c r="A761" i="5"/>
  <c r="E760" i="5"/>
  <c r="C760" i="5"/>
  <c r="B760" i="5"/>
  <c r="A760" i="5"/>
  <c r="E759" i="5"/>
  <c r="C759" i="5"/>
  <c r="B759" i="5"/>
  <c r="A759" i="5"/>
  <c r="J758" i="5"/>
  <c r="F758" i="5"/>
  <c r="E758" i="5"/>
  <c r="C758" i="5"/>
  <c r="B758" i="5"/>
  <c r="A758" i="5"/>
  <c r="J757" i="5"/>
  <c r="F757" i="5"/>
  <c r="E757" i="5"/>
  <c r="C757" i="5"/>
  <c r="B757" i="5"/>
  <c r="A757" i="5"/>
  <c r="J756" i="5"/>
  <c r="F756" i="5"/>
  <c r="E756" i="5"/>
  <c r="C756" i="5"/>
  <c r="B756" i="5"/>
  <c r="A756" i="5"/>
  <c r="E755" i="5"/>
  <c r="C755" i="5"/>
  <c r="B755" i="5"/>
  <c r="A755" i="5"/>
  <c r="L754" i="5"/>
  <c r="K754" i="5"/>
  <c r="H754" i="5"/>
  <c r="G754" i="5"/>
  <c r="E754" i="5"/>
  <c r="E826" i="5" s="1"/>
  <c r="C754" i="5"/>
  <c r="B754" i="5"/>
  <c r="A754" i="5"/>
  <c r="J753" i="5"/>
  <c r="F753" i="5"/>
  <c r="E753" i="5"/>
  <c r="C753" i="5"/>
  <c r="B753" i="5"/>
  <c r="A753" i="5"/>
  <c r="J752" i="5"/>
  <c r="E752" i="5"/>
  <c r="C752" i="5"/>
  <c r="B752" i="5"/>
  <c r="A752" i="5"/>
  <c r="J751" i="5"/>
  <c r="E751" i="5"/>
  <c r="C751" i="5"/>
  <c r="B751" i="5"/>
  <c r="A751" i="5"/>
  <c r="J750" i="5"/>
  <c r="E750" i="5"/>
  <c r="C750" i="5"/>
  <c r="B750" i="5"/>
  <c r="A750" i="5"/>
  <c r="J749" i="5"/>
  <c r="F749" i="5"/>
  <c r="E749" i="5"/>
  <c r="C749" i="5"/>
  <c r="B749" i="5"/>
  <c r="A749" i="5"/>
  <c r="J748" i="5"/>
  <c r="E748" i="5"/>
  <c r="C748" i="5"/>
  <c r="B748" i="5"/>
  <c r="A748" i="5"/>
  <c r="J747" i="5"/>
  <c r="E747" i="5"/>
  <c r="C747" i="5"/>
  <c r="B747" i="5"/>
  <c r="A747" i="5"/>
  <c r="J746" i="5"/>
  <c r="F746" i="5"/>
  <c r="E746" i="5"/>
  <c r="C746" i="5"/>
  <c r="B746" i="5"/>
  <c r="A746" i="5"/>
  <c r="J745" i="5"/>
  <c r="F745" i="5"/>
  <c r="E745" i="5"/>
  <c r="C745" i="5"/>
  <c r="B745" i="5"/>
  <c r="A745" i="5"/>
  <c r="J744" i="5"/>
  <c r="F744" i="5"/>
  <c r="E744" i="5"/>
  <c r="C744" i="5"/>
  <c r="B744" i="5"/>
  <c r="A744" i="5"/>
  <c r="J743" i="5"/>
  <c r="F743" i="5"/>
  <c r="E743" i="5"/>
  <c r="C743" i="5"/>
  <c r="B743" i="5"/>
  <c r="A743" i="5"/>
  <c r="J742" i="5"/>
  <c r="F742" i="5"/>
  <c r="E742" i="5"/>
  <c r="C742" i="5"/>
  <c r="B742" i="5"/>
  <c r="A742" i="5"/>
  <c r="J741" i="5"/>
  <c r="F741" i="5"/>
  <c r="E741" i="5"/>
  <c r="C741" i="5"/>
  <c r="B741" i="5"/>
  <c r="A741" i="5"/>
  <c r="J740" i="5"/>
  <c r="F740" i="5"/>
  <c r="E740" i="5"/>
  <c r="C740" i="5"/>
  <c r="B740" i="5"/>
  <c r="A740" i="5"/>
  <c r="J739" i="5"/>
  <c r="E739" i="5"/>
  <c r="C739" i="5"/>
  <c r="B739" i="5"/>
  <c r="A739" i="5"/>
  <c r="J738" i="5"/>
  <c r="E738" i="5"/>
  <c r="C738" i="5"/>
  <c r="B738" i="5"/>
  <c r="A738" i="5"/>
  <c r="E737" i="5"/>
  <c r="E822" i="5" s="1"/>
  <c r="C737" i="5"/>
  <c r="B737" i="5"/>
  <c r="A737" i="5"/>
  <c r="E736" i="5"/>
  <c r="C736" i="5"/>
  <c r="B736" i="5"/>
  <c r="A736" i="5"/>
  <c r="E735" i="5"/>
  <c r="C735" i="5"/>
  <c r="B735" i="5"/>
  <c r="A735" i="5"/>
  <c r="E734" i="5"/>
  <c r="C734" i="5"/>
  <c r="B734" i="5"/>
  <c r="A734" i="5"/>
  <c r="J733" i="5"/>
  <c r="F733" i="5"/>
  <c r="E733" i="5"/>
  <c r="C733" i="5"/>
  <c r="B733" i="5"/>
  <c r="A733" i="5"/>
  <c r="J732" i="5"/>
  <c r="F732" i="5"/>
  <c r="E732" i="5"/>
  <c r="C732" i="5"/>
  <c r="B732" i="5"/>
  <c r="A732" i="5"/>
  <c r="J731" i="5"/>
  <c r="F731" i="5"/>
  <c r="E731" i="5"/>
  <c r="C731" i="5"/>
  <c r="B731" i="5"/>
  <c r="A731" i="5"/>
  <c r="J730" i="5"/>
  <c r="F730" i="5"/>
  <c r="E730" i="5"/>
  <c r="C730" i="5"/>
  <c r="B730" i="5"/>
  <c r="A730" i="5"/>
  <c r="J729" i="5"/>
  <c r="F729" i="5"/>
  <c r="E729" i="5"/>
  <c r="C729" i="5"/>
  <c r="B729" i="5"/>
  <c r="A729" i="5"/>
  <c r="J728" i="5"/>
  <c r="F728" i="5"/>
  <c r="E728" i="5"/>
  <c r="C728" i="5"/>
  <c r="B728" i="5"/>
  <c r="A728" i="5"/>
  <c r="J727" i="5"/>
  <c r="F727" i="5"/>
  <c r="E727" i="5"/>
  <c r="C727" i="5"/>
  <c r="B727" i="5"/>
  <c r="A727" i="5"/>
  <c r="J726" i="5"/>
  <c r="F726" i="5"/>
  <c r="E726" i="5"/>
  <c r="C726" i="5"/>
  <c r="B726" i="5"/>
  <c r="A726" i="5"/>
  <c r="J725" i="5"/>
  <c r="F725" i="5"/>
  <c r="E725" i="5"/>
  <c r="C725" i="5"/>
  <c r="B725" i="5"/>
  <c r="A725" i="5"/>
  <c r="J724" i="5"/>
  <c r="F724" i="5"/>
  <c r="E724" i="5"/>
  <c r="C724" i="5"/>
  <c r="B724" i="5"/>
  <c r="A724" i="5"/>
  <c r="J723" i="5"/>
  <c r="F723" i="5"/>
  <c r="E723" i="5"/>
  <c r="C723" i="5"/>
  <c r="B723" i="5"/>
  <c r="A723" i="5"/>
  <c r="J722" i="5"/>
  <c r="F722" i="5"/>
  <c r="E722" i="5"/>
  <c r="C722" i="5"/>
  <c r="B722" i="5"/>
  <c r="A722" i="5"/>
  <c r="J721" i="5"/>
  <c r="F721" i="5"/>
  <c r="F50" i="52" s="1"/>
  <c r="E721" i="5"/>
  <c r="C721" i="5"/>
  <c r="B721" i="5"/>
  <c r="A721" i="5"/>
  <c r="J720" i="5"/>
  <c r="F720" i="5"/>
  <c r="E720" i="5"/>
  <c r="C720" i="5"/>
  <c r="B720" i="5"/>
  <c r="A720" i="5"/>
  <c r="J719" i="5"/>
  <c r="F719" i="5"/>
  <c r="E719" i="5"/>
  <c r="C719" i="5"/>
  <c r="B719" i="5"/>
  <c r="A719" i="5"/>
  <c r="J718" i="5"/>
  <c r="F718" i="5"/>
  <c r="F45" i="52" s="1"/>
  <c r="E718" i="5"/>
  <c r="C718" i="5"/>
  <c r="B718" i="5"/>
  <c r="A718" i="5"/>
  <c r="E717" i="5"/>
  <c r="C717" i="5"/>
  <c r="B717" i="5"/>
  <c r="A717" i="5"/>
  <c r="E713" i="5"/>
  <c r="C713" i="5"/>
  <c r="B713" i="5"/>
  <c r="A713" i="5"/>
  <c r="J712" i="5"/>
  <c r="F712" i="5"/>
  <c r="E712" i="5"/>
  <c r="C712" i="5"/>
  <c r="B712" i="5"/>
  <c r="A712" i="5"/>
  <c r="E711" i="5"/>
  <c r="E829" i="5" s="1"/>
  <c r="C711" i="5"/>
  <c r="B711" i="5"/>
  <c r="A711" i="5"/>
  <c r="J710" i="5"/>
  <c r="F710" i="5"/>
  <c r="E710" i="5"/>
  <c r="C710" i="5"/>
  <c r="B710" i="5"/>
  <c r="A710" i="5"/>
  <c r="E709" i="5"/>
  <c r="C709" i="5"/>
  <c r="B709" i="5"/>
  <c r="A709" i="5"/>
  <c r="L708" i="5"/>
  <c r="K708" i="5"/>
  <c r="E708" i="5"/>
  <c r="C708" i="5"/>
  <c r="B708" i="5"/>
  <c r="A708" i="5"/>
  <c r="E716" i="5"/>
  <c r="C716" i="5"/>
  <c r="B716" i="5"/>
  <c r="A716" i="5"/>
  <c r="J707" i="5"/>
  <c r="F707" i="5"/>
  <c r="E707" i="5"/>
  <c r="C707" i="5"/>
  <c r="B707" i="5"/>
  <c r="A707" i="5"/>
  <c r="J706" i="5"/>
  <c r="F706" i="5"/>
  <c r="E706" i="5"/>
  <c r="C706" i="5"/>
  <c r="B706" i="5"/>
  <c r="A706" i="5"/>
  <c r="J705" i="5"/>
  <c r="E705" i="5"/>
  <c r="C705" i="5"/>
  <c r="B705" i="5"/>
  <c r="A705" i="5"/>
  <c r="J704" i="5"/>
  <c r="F704" i="5"/>
  <c r="E704" i="5"/>
  <c r="C704" i="5"/>
  <c r="B704" i="5"/>
  <c r="A704" i="5"/>
  <c r="L703" i="5"/>
  <c r="K703" i="5"/>
  <c r="E703" i="5"/>
  <c r="C703" i="5"/>
  <c r="B703" i="5"/>
  <c r="A703" i="5"/>
  <c r="J702" i="5"/>
  <c r="E702" i="5"/>
  <c r="C702" i="5"/>
  <c r="B702" i="5"/>
  <c r="A702" i="5"/>
  <c r="E715" i="5"/>
  <c r="C715" i="5"/>
  <c r="B715" i="5"/>
  <c r="A715" i="5"/>
  <c r="J701" i="5"/>
  <c r="E701" i="5"/>
  <c r="C701" i="5"/>
  <c r="B701" i="5"/>
  <c r="A701" i="5"/>
  <c r="J700" i="5"/>
  <c r="F700" i="5"/>
  <c r="E700" i="5"/>
  <c r="C700" i="5"/>
  <c r="B700" i="5"/>
  <c r="A700" i="5"/>
  <c r="J699" i="5"/>
  <c r="E699" i="5"/>
  <c r="C699" i="5"/>
  <c r="B699" i="5"/>
  <c r="A699" i="5"/>
  <c r="E698" i="5"/>
  <c r="C698" i="5"/>
  <c r="B698" i="5"/>
  <c r="A698" i="5"/>
  <c r="E697" i="5"/>
  <c r="C697" i="5"/>
  <c r="B697" i="5"/>
  <c r="A697" i="5"/>
  <c r="L696" i="5"/>
  <c r="K696" i="5"/>
  <c r="E696" i="5"/>
  <c r="C696" i="5"/>
  <c r="B696" i="5"/>
  <c r="A696" i="5"/>
  <c r="J695" i="5"/>
  <c r="F695" i="5"/>
  <c r="E695" i="5"/>
  <c r="C695" i="5"/>
  <c r="B695" i="5"/>
  <c r="A695" i="5"/>
  <c r="J694" i="5"/>
  <c r="F694" i="5"/>
  <c r="E694" i="5"/>
  <c r="C694" i="5"/>
  <c r="B694" i="5"/>
  <c r="A694" i="5"/>
  <c r="J693" i="5"/>
  <c r="F693" i="5"/>
  <c r="E693" i="5"/>
  <c r="C693" i="5"/>
  <c r="B693" i="5"/>
  <c r="A693" i="5"/>
  <c r="J692" i="5"/>
  <c r="F692" i="5"/>
  <c r="E692" i="5"/>
  <c r="C692" i="5"/>
  <c r="B692" i="5"/>
  <c r="A692" i="5"/>
  <c r="J691" i="5"/>
  <c r="E691" i="5"/>
  <c r="C691" i="5"/>
  <c r="B691" i="5"/>
  <c r="A691" i="5"/>
  <c r="L690" i="5"/>
  <c r="L697" i="5" s="1"/>
  <c r="K690" i="5"/>
  <c r="K697" i="5" s="1"/>
  <c r="E690" i="5"/>
  <c r="C690" i="5"/>
  <c r="B690" i="5"/>
  <c r="A690" i="5"/>
  <c r="J689" i="5"/>
  <c r="E689" i="5"/>
  <c r="C689" i="5"/>
  <c r="B689" i="5"/>
  <c r="A689" i="5"/>
  <c r="J688" i="5"/>
  <c r="F688" i="5"/>
  <c r="E688" i="5"/>
  <c r="C688" i="5"/>
  <c r="B688" i="5"/>
  <c r="A688" i="5"/>
  <c r="J687" i="5"/>
  <c r="F687" i="5"/>
  <c r="E687" i="5"/>
  <c r="C687" i="5"/>
  <c r="B687" i="5"/>
  <c r="A687" i="5"/>
  <c r="J686" i="5"/>
  <c r="E686" i="5"/>
  <c r="C686" i="5"/>
  <c r="B686" i="5"/>
  <c r="A686" i="5"/>
  <c r="J685" i="5"/>
  <c r="F685" i="5"/>
  <c r="E685" i="5"/>
  <c r="C685" i="5"/>
  <c r="B685" i="5"/>
  <c r="A685" i="5"/>
  <c r="E684" i="5"/>
  <c r="C684" i="5"/>
  <c r="B684" i="5"/>
  <c r="A684" i="5"/>
  <c r="E683" i="5"/>
  <c r="E825" i="5" s="1"/>
  <c r="C683" i="5"/>
  <c r="B683" i="5"/>
  <c r="A683" i="5"/>
  <c r="L682" i="5"/>
  <c r="K682" i="5"/>
  <c r="E682" i="5"/>
  <c r="C682" i="5"/>
  <c r="B682" i="5"/>
  <c r="A682" i="5"/>
  <c r="J681" i="5"/>
  <c r="E681" i="5"/>
  <c r="C681" i="5"/>
  <c r="B681" i="5"/>
  <c r="A681" i="5"/>
  <c r="J680" i="5"/>
  <c r="E680" i="5"/>
  <c r="C680" i="5"/>
  <c r="B680" i="5"/>
  <c r="A680" i="5"/>
  <c r="J679" i="5"/>
  <c r="E679" i="5"/>
  <c r="C679" i="5"/>
  <c r="B679" i="5"/>
  <c r="A679" i="5"/>
  <c r="J678" i="5"/>
  <c r="F678" i="5"/>
  <c r="E678" i="5"/>
  <c r="C678" i="5"/>
  <c r="B678" i="5"/>
  <c r="A678" i="5"/>
  <c r="J677" i="5"/>
  <c r="F677" i="5"/>
  <c r="E677" i="5"/>
  <c r="C677" i="5"/>
  <c r="B677" i="5"/>
  <c r="A677" i="5"/>
  <c r="J675" i="5"/>
  <c r="F675" i="5"/>
  <c r="E675" i="5"/>
  <c r="C675" i="5"/>
  <c r="B675" i="5"/>
  <c r="A675" i="5"/>
  <c r="J674" i="5"/>
  <c r="F674" i="5"/>
  <c r="E674" i="5"/>
  <c r="C674" i="5"/>
  <c r="B674" i="5"/>
  <c r="A674" i="5"/>
  <c r="J673" i="5"/>
  <c r="F673" i="5"/>
  <c r="E673" i="5"/>
  <c r="C673" i="5"/>
  <c r="B673" i="5"/>
  <c r="A673" i="5"/>
  <c r="J672" i="5"/>
  <c r="E672" i="5"/>
  <c r="C672" i="5"/>
  <c r="B672" i="5"/>
  <c r="A672" i="5"/>
  <c r="L671" i="5"/>
  <c r="L683" i="5" s="1"/>
  <c r="K671" i="5"/>
  <c r="K683" i="5" s="1"/>
  <c r="E671" i="5"/>
  <c r="C671" i="5"/>
  <c r="B671" i="5"/>
  <c r="A671" i="5"/>
  <c r="J670" i="5"/>
  <c r="E670" i="5"/>
  <c r="C670" i="5"/>
  <c r="B670" i="5"/>
  <c r="A670" i="5"/>
  <c r="J669" i="5"/>
  <c r="F669" i="5"/>
  <c r="E669" i="5"/>
  <c r="C669" i="5"/>
  <c r="B669" i="5"/>
  <c r="A669" i="5"/>
  <c r="J667" i="5"/>
  <c r="F667" i="5"/>
  <c r="E667" i="5"/>
  <c r="C667" i="5"/>
  <c r="B667" i="5"/>
  <c r="A667" i="5"/>
  <c r="J666" i="5"/>
  <c r="F666" i="5"/>
  <c r="E666" i="5"/>
  <c r="C666" i="5"/>
  <c r="B666" i="5"/>
  <c r="A666" i="5"/>
  <c r="J665" i="5"/>
  <c r="F665" i="5"/>
  <c r="E665" i="5"/>
  <c r="C665" i="5"/>
  <c r="B665" i="5"/>
  <c r="A665" i="5"/>
  <c r="E714" i="5"/>
  <c r="C714" i="5"/>
  <c r="B714" i="5"/>
  <c r="A714" i="5"/>
  <c r="J664" i="5"/>
  <c r="F664" i="5"/>
  <c r="E664" i="5"/>
  <c r="C664" i="5"/>
  <c r="B664" i="5"/>
  <c r="A664" i="5"/>
  <c r="J663" i="5"/>
  <c r="F663" i="5"/>
  <c r="E663" i="5"/>
  <c r="C663" i="5"/>
  <c r="B663" i="5"/>
  <c r="A663" i="5"/>
  <c r="J662" i="5"/>
  <c r="F662" i="5"/>
  <c r="E662" i="5"/>
  <c r="C662" i="5"/>
  <c r="B662" i="5"/>
  <c r="A662" i="5"/>
  <c r="J661" i="5"/>
  <c r="F661" i="5"/>
  <c r="E661" i="5"/>
  <c r="C661" i="5"/>
  <c r="B661" i="5"/>
  <c r="A661" i="5"/>
  <c r="J660" i="5"/>
  <c r="F660" i="5"/>
  <c r="E660" i="5"/>
  <c r="C660" i="5"/>
  <c r="B660" i="5"/>
  <c r="A660" i="5"/>
  <c r="J659" i="5"/>
  <c r="F659" i="5"/>
  <c r="E659" i="5"/>
  <c r="C659" i="5"/>
  <c r="B659" i="5"/>
  <c r="A659" i="5"/>
  <c r="J658" i="5"/>
  <c r="E658" i="5"/>
  <c r="C658" i="5"/>
  <c r="B658" i="5"/>
  <c r="A658" i="5"/>
  <c r="E657" i="5"/>
  <c r="C657" i="5"/>
  <c r="B657" i="5"/>
  <c r="A657" i="5"/>
  <c r="E656" i="5"/>
  <c r="C656" i="5"/>
  <c r="B656" i="5"/>
  <c r="A656" i="5"/>
  <c r="E655" i="5"/>
  <c r="E874" i="5" s="1"/>
  <c r="C655" i="5"/>
  <c r="B655" i="5"/>
  <c r="A655" i="5"/>
  <c r="J654" i="5"/>
  <c r="F654" i="5"/>
  <c r="E654" i="5"/>
  <c r="C654" i="5"/>
  <c r="B654" i="5"/>
  <c r="A654" i="5"/>
  <c r="J653" i="5"/>
  <c r="F653" i="5"/>
  <c r="E653" i="5"/>
  <c r="C653" i="5"/>
  <c r="B653" i="5"/>
  <c r="A653" i="5"/>
  <c r="J652" i="5"/>
  <c r="F652" i="5"/>
  <c r="E652" i="5"/>
  <c r="C652" i="5"/>
  <c r="B652" i="5"/>
  <c r="A652" i="5"/>
  <c r="E651" i="5"/>
  <c r="C651" i="5"/>
  <c r="B651" i="5"/>
  <c r="A651" i="5"/>
  <c r="J650" i="5"/>
  <c r="F650" i="5"/>
  <c r="E650" i="5"/>
  <c r="C650" i="5"/>
  <c r="B650" i="5"/>
  <c r="A650" i="5"/>
  <c r="J649" i="5"/>
  <c r="F649" i="5"/>
  <c r="E649" i="5"/>
  <c r="C649" i="5"/>
  <c r="B649" i="5"/>
  <c r="A649" i="5"/>
  <c r="J648" i="5"/>
  <c r="F648" i="5"/>
  <c r="E648" i="5"/>
  <c r="C648" i="5"/>
  <c r="B648" i="5"/>
  <c r="A648" i="5"/>
  <c r="J647" i="5"/>
  <c r="F647" i="5"/>
  <c r="E647" i="5"/>
  <c r="C647" i="5"/>
  <c r="B647" i="5"/>
  <c r="A647" i="5"/>
  <c r="J646" i="5"/>
  <c r="F646" i="5"/>
  <c r="E646" i="5"/>
  <c r="C646" i="5"/>
  <c r="B646" i="5"/>
  <c r="A646" i="5"/>
  <c r="J645" i="5"/>
  <c r="F645" i="5"/>
  <c r="E645" i="5"/>
  <c r="C645" i="5"/>
  <c r="B645" i="5"/>
  <c r="A645" i="5"/>
  <c r="E644" i="5"/>
  <c r="C644" i="5"/>
  <c r="B644" i="5"/>
  <c r="A644" i="5"/>
  <c r="J643" i="5"/>
  <c r="F643" i="5"/>
  <c r="E643" i="5"/>
  <c r="C643" i="5"/>
  <c r="B643" i="5"/>
  <c r="A643" i="5"/>
  <c r="J642" i="5"/>
  <c r="F642" i="5"/>
  <c r="E642" i="5"/>
  <c r="C642" i="5"/>
  <c r="B642" i="5"/>
  <c r="A642" i="5"/>
  <c r="J641" i="5"/>
  <c r="F641" i="5"/>
  <c r="E641" i="5"/>
  <c r="C641" i="5"/>
  <c r="B641" i="5"/>
  <c r="A641" i="5"/>
  <c r="J640" i="5"/>
  <c r="F640" i="5"/>
  <c r="E640" i="5"/>
  <c r="C640" i="5"/>
  <c r="B640" i="5"/>
  <c r="A640" i="5"/>
  <c r="E639" i="5"/>
  <c r="C639" i="5"/>
  <c r="B639" i="5"/>
  <c r="A639" i="5"/>
  <c r="J638" i="5"/>
  <c r="F638" i="5"/>
  <c r="E638" i="5"/>
  <c r="C638" i="5"/>
  <c r="B638" i="5"/>
  <c r="A638" i="5"/>
  <c r="J637" i="5"/>
  <c r="F637" i="5"/>
  <c r="E637" i="5"/>
  <c r="C637" i="5"/>
  <c r="B637" i="5"/>
  <c r="A637" i="5"/>
  <c r="J636" i="5"/>
  <c r="F636" i="5"/>
  <c r="E636" i="5"/>
  <c r="C636" i="5"/>
  <c r="B636" i="5"/>
  <c r="A636" i="5"/>
  <c r="J635" i="5"/>
  <c r="F635" i="5"/>
  <c r="E635" i="5"/>
  <c r="C635" i="5"/>
  <c r="B635" i="5"/>
  <c r="A635" i="5"/>
  <c r="E634" i="5"/>
  <c r="C634" i="5"/>
  <c r="B634" i="5"/>
  <c r="A634" i="5"/>
  <c r="J633" i="5"/>
  <c r="J818" i="5" s="1"/>
  <c r="F633" i="5"/>
  <c r="F818" i="5" s="1"/>
  <c r="E633" i="5"/>
  <c r="E818" i="5" s="1"/>
  <c r="C633" i="5"/>
  <c r="B633" i="5"/>
  <c r="A633" i="5"/>
  <c r="J632" i="5"/>
  <c r="F632" i="5"/>
  <c r="E632" i="5"/>
  <c r="C632" i="5"/>
  <c r="B632" i="5"/>
  <c r="A632" i="5"/>
  <c r="J631" i="5"/>
  <c r="F631" i="5"/>
  <c r="E631" i="5"/>
  <c r="C631" i="5"/>
  <c r="B631" i="5"/>
  <c r="A631" i="5"/>
  <c r="E630" i="5"/>
  <c r="C630" i="5"/>
  <c r="B630" i="5"/>
  <c r="A630" i="5"/>
  <c r="E629" i="5"/>
  <c r="C629" i="5"/>
  <c r="B629" i="5"/>
  <c r="A629" i="5"/>
  <c r="J628" i="5"/>
  <c r="F628" i="5"/>
  <c r="E628" i="5"/>
  <c r="C628" i="5"/>
  <c r="B628" i="5"/>
  <c r="A628" i="5"/>
  <c r="J627" i="5"/>
  <c r="F627" i="5"/>
  <c r="E627" i="5"/>
  <c r="C627" i="5"/>
  <c r="B627" i="5"/>
  <c r="A627" i="5"/>
  <c r="J626" i="5"/>
  <c r="F626" i="5"/>
  <c r="E626" i="5"/>
  <c r="C626" i="5"/>
  <c r="B626" i="5"/>
  <c r="A626" i="5"/>
  <c r="J625" i="5"/>
  <c r="F625" i="5"/>
  <c r="E625" i="5"/>
  <c r="C625" i="5"/>
  <c r="B625" i="5"/>
  <c r="A625" i="5"/>
  <c r="J624" i="5"/>
  <c r="F624" i="5"/>
  <c r="E624" i="5"/>
  <c r="C624" i="5"/>
  <c r="B624" i="5"/>
  <c r="A624" i="5"/>
  <c r="E623" i="5"/>
  <c r="C623" i="5"/>
  <c r="B623" i="5"/>
  <c r="A623" i="5"/>
  <c r="E622" i="5"/>
  <c r="C622" i="5"/>
  <c r="B622" i="5"/>
  <c r="A622" i="5"/>
  <c r="J621" i="5"/>
  <c r="F621" i="5"/>
  <c r="E621" i="5"/>
  <c r="C621" i="5"/>
  <c r="B621" i="5"/>
  <c r="A621" i="5"/>
  <c r="J620" i="5"/>
  <c r="F620" i="5"/>
  <c r="E620" i="5"/>
  <c r="C620" i="5"/>
  <c r="B620" i="5"/>
  <c r="A620" i="5"/>
  <c r="J619" i="5"/>
  <c r="F619" i="5"/>
  <c r="E619" i="5"/>
  <c r="C619" i="5"/>
  <c r="B619" i="5"/>
  <c r="A619" i="5"/>
  <c r="E618" i="5"/>
  <c r="C618" i="5"/>
  <c r="B618" i="5"/>
  <c r="A618" i="5"/>
  <c r="J617" i="5"/>
  <c r="F617" i="5"/>
  <c r="E617" i="5"/>
  <c r="C617" i="5"/>
  <c r="B617" i="5"/>
  <c r="A617" i="5"/>
  <c r="J616" i="5"/>
  <c r="F616" i="5"/>
  <c r="E616" i="5"/>
  <c r="C616" i="5"/>
  <c r="B616" i="5"/>
  <c r="A616" i="5"/>
  <c r="J615" i="5"/>
  <c r="F615" i="5"/>
  <c r="E615" i="5"/>
  <c r="C615" i="5"/>
  <c r="B615" i="5"/>
  <c r="A615" i="5"/>
  <c r="J614" i="5"/>
  <c r="F614" i="5"/>
  <c r="E614" i="5"/>
  <c r="C614" i="5"/>
  <c r="B614" i="5"/>
  <c r="A614" i="5"/>
  <c r="J613" i="5"/>
  <c r="F613" i="5"/>
  <c r="E613" i="5"/>
  <c r="C613" i="5"/>
  <c r="B613" i="5"/>
  <c r="A613" i="5"/>
  <c r="J612" i="5"/>
  <c r="F612" i="5"/>
  <c r="E612" i="5"/>
  <c r="C612" i="5"/>
  <c r="B612" i="5"/>
  <c r="A612" i="5"/>
  <c r="E611" i="5"/>
  <c r="C611" i="5"/>
  <c r="B611" i="5"/>
  <c r="A611" i="5"/>
  <c r="J610" i="5"/>
  <c r="F610" i="5"/>
  <c r="E610" i="5"/>
  <c r="C610" i="5"/>
  <c r="B610" i="5"/>
  <c r="A610" i="5"/>
  <c r="J609" i="5"/>
  <c r="F609" i="5"/>
  <c r="E609" i="5"/>
  <c r="C609" i="5"/>
  <c r="B609" i="5"/>
  <c r="A609" i="5"/>
  <c r="J608" i="5"/>
  <c r="F608" i="5"/>
  <c r="E608" i="5"/>
  <c r="C608" i="5"/>
  <c r="B608" i="5"/>
  <c r="A608" i="5"/>
  <c r="J607" i="5"/>
  <c r="F607" i="5"/>
  <c r="E607" i="5"/>
  <c r="C607" i="5"/>
  <c r="B607" i="5"/>
  <c r="A607" i="5"/>
  <c r="E606" i="5"/>
  <c r="C606" i="5"/>
  <c r="B606" i="5"/>
  <c r="A606" i="5"/>
  <c r="J605" i="5"/>
  <c r="F605" i="5"/>
  <c r="E605" i="5"/>
  <c r="C605" i="5"/>
  <c r="B605" i="5"/>
  <c r="A605" i="5"/>
  <c r="J604" i="5"/>
  <c r="F604" i="5"/>
  <c r="E604" i="5"/>
  <c r="C604" i="5"/>
  <c r="B604" i="5"/>
  <c r="A604" i="5"/>
  <c r="J603" i="5"/>
  <c r="F603" i="5"/>
  <c r="E603" i="5"/>
  <c r="C603" i="5"/>
  <c r="B603" i="5"/>
  <c r="A603" i="5"/>
  <c r="J602" i="5"/>
  <c r="F602" i="5"/>
  <c r="E602" i="5"/>
  <c r="C602" i="5"/>
  <c r="B602" i="5"/>
  <c r="A602" i="5"/>
  <c r="E601" i="5"/>
  <c r="C601" i="5"/>
  <c r="B601" i="5"/>
  <c r="A601" i="5"/>
  <c r="J600" i="5"/>
  <c r="F600" i="5"/>
  <c r="E600" i="5"/>
  <c r="C600" i="5"/>
  <c r="B600" i="5"/>
  <c r="A600" i="5"/>
  <c r="J599" i="5"/>
  <c r="F599" i="5"/>
  <c r="E599" i="5"/>
  <c r="C599" i="5"/>
  <c r="B599" i="5"/>
  <c r="A599" i="5"/>
  <c r="J598" i="5"/>
  <c r="F598" i="5"/>
  <c r="E598" i="5"/>
  <c r="C598" i="5"/>
  <c r="B598" i="5"/>
  <c r="A598" i="5"/>
  <c r="E597" i="5"/>
  <c r="C597" i="5"/>
  <c r="B597" i="5"/>
  <c r="A597" i="5"/>
  <c r="E596" i="5"/>
  <c r="C596" i="5"/>
  <c r="B596" i="5"/>
  <c r="A596" i="5"/>
  <c r="J595" i="5"/>
  <c r="F595" i="5"/>
  <c r="E595" i="5"/>
  <c r="C595" i="5"/>
  <c r="B595" i="5"/>
  <c r="A595" i="5"/>
  <c r="J594" i="5"/>
  <c r="F594" i="5"/>
  <c r="E594" i="5"/>
  <c r="C594" i="5"/>
  <c r="B594" i="5"/>
  <c r="A594" i="5"/>
  <c r="J593" i="5"/>
  <c r="F593" i="5"/>
  <c r="E593" i="5"/>
  <c r="C593" i="5"/>
  <c r="B593" i="5"/>
  <c r="A593" i="5"/>
  <c r="J592" i="5"/>
  <c r="F592" i="5"/>
  <c r="E592" i="5"/>
  <c r="C592" i="5"/>
  <c r="B592" i="5"/>
  <c r="A592" i="5"/>
  <c r="J591" i="5"/>
  <c r="F591" i="5"/>
  <c r="E591" i="5"/>
  <c r="C591" i="5"/>
  <c r="B591" i="5"/>
  <c r="A591" i="5"/>
  <c r="E590" i="5"/>
  <c r="C590" i="5"/>
  <c r="B590" i="5"/>
  <c r="A590" i="5"/>
  <c r="E589" i="5"/>
  <c r="E870" i="5" s="1"/>
  <c r="C589" i="5"/>
  <c r="B589" i="5"/>
  <c r="A589" i="5"/>
  <c r="J588" i="5"/>
  <c r="F588" i="5"/>
  <c r="E588" i="5"/>
  <c r="C588" i="5"/>
  <c r="B588" i="5"/>
  <c r="A588" i="5"/>
  <c r="J587" i="5"/>
  <c r="F587" i="5"/>
  <c r="E587" i="5"/>
  <c r="C587" i="5"/>
  <c r="B587" i="5"/>
  <c r="A587" i="5"/>
  <c r="J586" i="5"/>
  <c r="F586" i="5"/>
  <c r="E586" i="5"/>
  <c r="C586" i="5"/>
  <c r="B586" i="5"/>
  <c r="A586" i="5"/>
  <c r="E585" i="5"/>
  <c r="C585" i="5"/>
  <c r="B585" i="5"/>
  <c r="A585" i="5"/>
  <c r="J584" i="5"/>
  <c r="F584" i="5"/>
  <c r="E584" i="5"/>
  <c r="C584" i="5"/>
  <c r="B584" i="5"/>
  <c r="A584" i="5"/>
  <c r="J583" i="5"/>
  <c r="F583" i="5"/>
  <c r="E583" i="5"/>
  <c r="C583" i="5"/>
  <c r="B583" i="5"/>
  <c r="A583" i="5"/>
  <c r="J582" i="5"/>
  <c r="F582" i="5"/>
  <c r="E582" i="5"/>
  <c r="C582" i="5"/>
  <c r="B582" i="5"/>
  <c r="A582" i="5"/>
  <c r="J581" i="5"/>
  <c r="F581" i="5"/>
  <c r="E581" i="5"/>
  <c r="C581" i="5"/>
  <c r="B581" i="5"/>
  <c r="A581" i="5"/>
  <c r="J580" i="5"/>
  <c r="F580" i="5"/>
  <c r="E580" i="5"/>
  <c r="C580" i="5"/>
  <c r="B580" i="5"/>
  <c r="A580" i="5"/>
  <c r="J579" i="5"/>
  <c r="F579" i="5"/>
  <c r="E579" i="5"/>
  <c r="C579" i="5"/>
  <c r="B579" i="5"/>
  <c r="A579" i="5"/>
  <c r="E578" i="5"/>
  <c r="C578" i="5"/>
  <c r="B578" i="5"/>
  <c r="A578" i="5"/>
  <c r="J577" i="5"/>
  <c r="F577" i="5"/>
  <c r="E577" i="5"/>
  <c r="C577" i="5"/>
  <c r="B577" i="5"/>
  <c r="A577" i="5"/>
  <c r="J576" i="5"/>
  <c r="F576" i="5"/>
  <c r="E576" i="5"/>
  <c r="C576" i="5"/>
  <c r="B576" i="5"/>
  <c r="A576" i="5"/>
  <c r="J575" i="5"/>
  <c r="F575" i="5"/>
  <c r="E575" i="5"/>
  <c r="C575" i="5"/>
  <c r="B575" i="5"/>
  <c r="A575" i="5"/>
  <c r="J574" i="5"/>
  <c r="F574" i="5"/>
  <c r="E574" i="5"/>
  <c r="C574" i="5"/>
  <c r="B574" i="5"/>
  <c r="A574" i="5"/>
  <c r="E573" i="5"/>
  <c r="C573" i="5"/>
  <c r="B573" i="5"/>
  <c r="A573" i="5"/>
  <c r="J572" i="5"/>
  <c r="F572" i="5"/>
  <c r="E572" i="5"/>
  <c r="C572" i="5"/>
  <c r="B572" i="5"/>
  <c r="A572" i="5"/>
  <c r="J571" i="5"/>
  <c r="F571" i="5"/>
  <c r="E571" i="5"/>
  <c r="C571" i="5"/>
  <c r="B571" i="5"/>
  <c r="A571" i="5"/>
  <c r="J570" i="5"/>
  <c r="F570" i="5"/>
  <c r="E570" i="5"/>
  <c r="C570" i="5"/>
  <c r="B570" i="5"/>
  <c r="A570" i="5"/>
  <c r="J569" i="5"/>
  <c r="F569" i="5"/>
  <c r="E569" i="5"/>
  <c r="C569" i="5"/>
  <c r="B569" i="5"/>
  <c r="A569" i="5"/>
  <c r="E568" i="5"/>
  <c r="C568" i="5"/>
  <c r="B568" i="5"/>
  <c r="A568" i="5"/>
  <c r="E567" i="5"/>
  <c r="E806" i="5" s="1"/>
  <c r="C567" i="5"/>
  <c r="B567" i="5"/>
  <c r="A567" i="5"/>
  <c r="E566" i="5"/>
  <c r="C566" i="5"/>
  <c r="B566" i="5"/>
  <c r="A566" i="5"/>
  <c r="E565" i="5"/>
  <c r="C565" i="5"/>
  <c r="B565" i="5"/>
  <c r="A565" i="5"/>
  <c r="E564" i="5"/>
  <c r="C564" i="5"/>
  <c r="B564" i="5"/>
  <c r="A564" i="5"/>
  <c r="E563" i="5"/>
  <c r="C563" i="5"/>
  <c r="B563" i="5"/>
  <c r="A563" i="5"/>
  <c r="J562" i="5"/>
  <c r="F562" i="5"/>
  <c r="E562" i="5"/>
  <c r="C562" i="5"/>
  <c r="B562" i="5"/>
  <c r="A562" i="5"/>
  <c r="J561" i="5"/>
  <c r="F561" i="5"/>
  <c r="E561" i="5"/>
  <c r="C561" i="5"/>
  <c r="B561" i="5"/>
  <c r="A561" i="5"/>
  <c r="J560" i="5"/>
  <c r="F560" i="5"/>
  <c r="E560" i="5"/>
  <c r="C560" i="5"/>
  <c r="B560" i="5"/>
  <c r="A560" i="5"/>
  <c r="J559" i="5"/>
  <c r="F559" i="5"/>
  <c r="E559" i="5"/>
  <c r="C559" i="5"/>
  <c r="B559" i="5"/>
  <c r="A559" i="5"/>
  <c r="J558" i="5"/>
  <c r="E558" i="5"/>
  <c r="C558" i="5"/>
  <c r="B558" i="5"/>
  <c r="A558" i="5"/>
  <c r="E557" i="5"/>
  <c r="C557" i="5"/>
  <c r="B557" i="5"/>
  <c r="A557" i="5"/>
  <c r="E556" i="5"/>
  <c r="E866" i="5" s="1"/>
  <c r="C556" i="5"/>
  <c r="B556" i="5"/>
  <c r="A556" i="5"/>
  <c r="J555" i="5"/>
  <c r="F555" i="5"/>
  <c r="E555" i="5"/>
  <c r="C555" i="5"/>
  <c r="B555" i="5"/>
  <c r="A555" i="5"/>
  <c r="J554" i="5"/>
  <c r="F554" i="5"/>
  <c r="E554" i="5"/>
  <c r="C554" i="5"/>
  <c r="B554" i="5"/>
  <c r="A554" i="5"/>
  <c r="J553" i="5"/>
  <c r="F553" i="5"/>
  <c r="E553" i="5"/>
  <c r="C553" i="5"/>
  <c r="B553" i="5"/>
  <c r="A553" i="5"/>
  <c r="E552" i="5"/>
  <c r="C552" i="5"/>
  <c r="B552" i="5"/>
  <c r="A552" i="5"/>
  <c r="J551" i="5"/>
  <c r="F551" i="5"/>
  <c r="E551" i="5"/>
  <c r="C551" i="5"/>
  <c r="B551" i="5"/>
  <c r="A551" i="5"/>
  <c r="J550" i="5"/>
  <c r="F550" i="5"/>
  <c r="E550" i="5"/>
  <c r="C550" i="5"/>
  <c r="B550" i="5"/>
  <c r="A550" i="5"/>
  <c r="J549" i="5"/>
  <c r="F549" i="5"/>
  <c r="E549" i="5"/>
  <c r="C549" i="5"/>
  <c r="B549" i="5"/>
  <c r="A549" i="5"/>
  <c r="J548" i="5"/>
  <c r="F548" i="5"/>
  <c r="E548" i="5"/>
  <c r="C548" i="5"/>
  <c r="B548" i="5"/>
  <c r="A548" i="5"/>
  <c r="J547" i="5"/>
  <c r="F547" i="5"/>
  <c r="E547" i="5"/>
  <c r="C547" i="5"/>
  <c r="B547" i="5"/>
  <c r="A547" i="5"/>
  <c r="J546" i="5"/>
  <c r="F546" i="5"/>
  <c r="E546" i="5"/>
  <c r="C546" i="5"/>
  <c r="B546" i="5"/>
  <c r="A546" i="5"/>
  <c r="E545" i="5"/>
  <c r="C545" i="5"/>
  <c r="B545" i="5"/>
  <c r="A545" i="5"/>
  <c r="J544" i="5"/>
  <c r="F544" i="5"/>
  <c r="E544" i="5"/>
  <c r="C544" i="5"/>
  <c r="B544" i="5"/>
  <c r="A544" i="5"/>
  <c r="J543" i="5"/>
  <c r="F543" i="5"/>
  <c r="E543" i="5"/>
  <c r="C543" i="5"/>
  <c r="B543" i="5"/>
  <c r="A543" i="5"/>
  <c r="J542" i="5"/>
  <c r="F542" i="5"/>
  <c r="E542" i="5"/>
  <c r="C542" i="5"/>
  <c r="B542" i="5"/>
  <c r="A542" i="5"/>
  <c r="J541" i="5"/>
  <c r="F541" i="5"/>
  <c r="E541" i="5"/>
  <c r="C541" i="5"/>
  <c r="B541" i="5"/>
  <c r="A541" i="5"/>
  <c r="E540" i="5"/>
  <c r="C540" i="5"/>
  <c r="B540" i="5"/>
  <c r="A540" i="5"/>
  <c r="J539" i="5"/>
  <c r="F539" i="5"/>
  <c r="E539" i="5"/>
  <c r="C539" i="5"/>
  <c r="B539" i="5"/>
  <c r="A539" i="5"/>
  <c r="J538" i="5"/>
  <c r="F538" i="5"/>
  <c r="E538" i="5"/>
  <c r="C538" i="5"/>
  <c r="B538" i="5"/>
  <c r="A538" i="5"/>
  <c r="J537" i="5"/>
  <c r="F537" i="5"/>
  <c r="E537" i="5"/>
  <c r="C537" i="5"/>
  <c r="B537" i="5"/>
  <c r="A537" i="5"/>
  <c r="J536" i="5"/>
  <c r="F536" i="5"/>
  <c r="E536" i="5"/>
  <c r="C536" i="5"/>
  <c r="B536" i="5"/>
  <c r="A536" i="5"/>
  <c r="E535" i="5"/>
  <c r="C535" i="5"/>
  <c r="B535" i="5"/>
  <c r="A535" i="5"/>
  <c r="J534" i="5"/>
  <c r="F534" i="5"/>
  <c r="E534" i="5"/>
  <c r="C534" i="5"/>
  <c r="B534" i="5"/>
  <c r="A534" i="5"/>
  <c r="J533" i="5"/>
  <c r="F533" i="5"/>
  <c r="E533" i="5"/>
  <c r="C533" i="5"/>
  <c r="B533" i="5"/>
  <c r="A533" i="5"/>
  <c r="J532" i="5"/>
  <c r="F532" i="5"/>
  <c r="E532" i="5"/>
  <c r="C532" i="5"/>
  <c r="B532" i="5"/>
  <c r="A532" i="5"/>
  <c r="E531" i="5"/>
  <c r="C531" i="5"/>
  <c r="B531" i="5"/>
  <c r="A531" i="5"/>
  <c r="E530" i="5"/>
  <c r="C530" i="5"/>
  <c r="B530" i="5"/>
  <c r="A530" i="5"/>
  <c r="J529" i="5"/>
  <c r="F529" i="5"/>
  <c r="E529" i="5"/>
  <c r="C529" i="5"/>
  <c r="B529" i="5"/>
  <c r="A529" i="5"/>
  <c r="J528" i="5"/>
  <c r="F528" i="5"/>
  <c r="E528" i="5"/>
  <c r="C528" i="5"/>
  <c r="B528" i="5"/>
  <c r="A528" i="5"/>
  <c r="J527" i="5"/>
  <c r="F527" i="5"/>
  <c r="E527" i="5"/>
  <c r="C527" i="5"/>
  <c r="B527" i="5"/>
  <c r="A527" i="5"/>
  <c r="J526" i="5"/>
  <c r="F526" i="5"/>
  <c r="E526" i="5"/>
  <c r="C526" i="5"/>
  <c r="B526" i="5"/>
  <c r="A526" i="5"/>
  <c r="J525" i="5"/>
  <c r="F525" i="5"/>
  <c r="E525" i="5"/>
  <c r="C525" i="5"/>
  <c r="B525" i="5"/>
  <c r="A525" i="5"/>
  <c r="E524" i="5"/>
  <c r="C524" i="5"/>
  <c r="B524" i="5"/>
  <c r="A524" i="5"/>
  <c r="E523" i="5"/>
  <c r="E862" i="5" s="1"/>
  <c r="C523" i="5"/>
  <c r="B523" i="5"/>
  <c r="A523" i="5"/>
  <c r="J522" i="5"/>
  <c r="F522" i="5"/>
  <c r="E522" i="5"/>
  <c r="C522" i="5"/>
  <c r="B522" i="5"/>
  <c r="A522" i="5"/>
  <c r="J521" i="5"/>
  <c r="F521" i="5"/>
  <c r="E521" i="5"/>
  <c r="C521" i="5"/>
  <c r="B521" i="5"/>
  <c r="A521" i="5"/>
  <c r="J520" i="5"/>
  <c r="F520" i="5"/>
  <c r="E520" i="5"/>
  <c r="C520" i="5"/>
  <c r="B520" i="5"/>
  <c r="A520" i="5"/>
  <c r="E519" i="5"/>
  <c r="C519" i="5"/>
  <c r="B519" i="5"/>
  <c r="A519" i="5"/>
  <c r="J518" i="5"/>
  <c r="F518" i="5"/>
  <c r="E518" i="5"/>
  <c r="C518" i="5"/>
  <c r="B518" i="5"/>
  <c r="A518" i="5"/>
  <c r="J517" i="5"/>
  <c r="F517" i="5"/>
  <c r="E517" i="5"/>
  <c r="C517" i="5"/>
  <c r="B517" i="5"/>
  <c r="A517" i="5"/>
  <c r="J516" i="5"/>
  <c r="F516" i="5"/>
  <c r="E516" i="5"/>
  <c r="C516" i="5"/>
  <c r="B516" i="5"/>
  <c r="A516" i="5"/>
  <c r="J515" i="5"/>
  <c r="F515" i="5"/>
  <c r="E515" i="5"/>
  <c r="C515" i="5"/>
  <c r="B515" i="5"/>
  <c r="A515" i="5"/>
  <c r="J514" i="5"/>
  <c r="F514" i="5"/>
  <c r="E514" i="5"/>
  <c r="C514" i="5"/>
  <c r="B514" i="5"/>
  <c r="A514" i="5"/>
  <c r="J513" i="5"/>
  <c r="F513" i="5"/>
  <c r="E513" i="5"/>
  <c r="C513" i="5"/>
  <c r="B513" i="5"/>
  <c r="A513" i="5"/>
  <c r="E512" i="5"/>
  <c r="C512" i="5"/>
  <c r="B512" i="5"/>
  <c r="A512" i="5"/>
  <c r="J511" i="5"/>
  <c r="F511" i="5"/>
  <c r="E511" i="5"/>
  <c r="C511" i="5"/>
  <c r="B511" i="5"/>
  <c r="A511" i="5"/>
  <c r="J510" i="5"/>
  <c r="F510" i="5"/>
  <c r="E510" i="5"/>
  <c r="C510" i="5"/>
  <c r="B510" i="5"/>
  <c r="A510" i="5"/>
  <c r="J509" i="5"/>
  <c r="F509" i="5"/>
  <c r="E509" i="5"/>
  <c r="C509" i="5"/>
  <c r="B509" i="5"/>
  <c r="A509" i="5"/>
  <c r="J508" i="5"/>
  <c r="F508" i="5"/>
  <c r="E508" i="5"/>
  <c r="C508" i="5"/>
  <c r="B508" i="5"/>
  <c r="A508" i="5"/>
  <c r="E507" i="5"/>
  <c r="C507" i="5"/>
  <c r="B507" i="5"/>
  <c r="A507" i="5"/>
  <c r="J506" i="5"/>
  <c r="F506" i="5"/>
  <c r="E506" i="5"/>
  <c r="C506" i="5"/>
  <c r="B506" i="5"/>
  <c r="A506" i="5"/>
  <c r="J505" i="5"/>
  <c r="F505" i="5"/>
  <c r="E505" i="5"/>
  <c r="C505" i="5"/>
  <c r="B505" i="5"/>
  <c r="A505" i="5"/>
  <c r="J504" i="5"/>
  <c r="F504" i="5"/>
  <c r="E504" i="5"/>
  <c r="C504" i="5"/>
  <c r="B504" i="5"/>
  <c r="A504" i="5"/>
  <c r="J503" i="5"/>
  <c r="F503" i="5"/>
  <c r="E503" i="5"/>
  <c r="C503" i="5"/>
  <c r="B503" i="5"/>
  <c r="A503" i="5"/>
  <c r="E502" i="5"/>
  <c r="C502" i="5"/>
  <c r="B502" i="5"/>
  <c r="A502" i="5"/>
  <c r="J501" i="5"/>
  <c r="F501" i="5"/>
  <c r="E501" i="5"/>
  <c r="C501" i="5"/>
  <c r="B501" i="5"/>
  <c r="A501" i="5"/>
  <c r="J500" i="5"/>
  <c r="F500" i="5"/>
  <c r="E500" i="5"/>
  <c r="C500" i="5"/>
  <c r="B500" i="5"/>
  <c r="A500" i="5"/>
  <c r="J499" i="5"/>
  <c r="F499" i="5"/>
  <c r="E499" i="5"/>
  <c r="C499" i="5"/>
  <c r="B499" i="5"/>
  <c r="A499" i="5"/>
  <c r="E498" i="5"/>
  <c r="C498" i="5"/>
  <c r="B498" i="5"/>
  <c r="A498" i="5"/>
  <c r="E497" i="5"/>
  <c r="C497" i="5"/>
  <c r="B497" i="5"/>
  <c r="A497" i="5"/>
  <c r="J496" i="5"/>
  <c r="F496" i="5"/>
  <c r="E496" i="5"/>
  <c r="C496" i="5"/>
  <c r="B496" i="5"/>
  <c r="A496" i="5"/>
  <c r="J495" i="5"/>
  <c r="F495" i="5"/>
  <c r="E495" i="5"/>
  <c r="C495" i="5"/>
  <c r="B495" i="5"/>
  <c r="A495" i="5"/>
  <c r="J494" i="5"/>
  <c r="F494" i="5"/>
  <c r="E494" i="5"/>
  <c r="C494" i="5"/>
  <c r="B494" i="5"/>
  <c r="A494" i="5"/>
  <c r="J493" i="5"/>
  <c r="F493" i="5"/>
  <c r="E493" i="5"/>
  <c r="C493" i="5"/>
  <c r="B493" i="5"/>
  <c r="A493" i="5"/>
  <c r="J492" i="5"/>
  <c r="F492" i="5"/>
  <c r="E492" i="5"/>
  <c r="C492" i="5"/>
  <c r="B492" i="5"/>
  <c r="A492" i="5"/>
  <c r="E491" i="5"/>
  <c r="C491" i="5"/>
  <c r="B491" i="5"/>
  <c r="A491" i="5"/>
  <c r="E490" i="5"/>
  <c r="E858" i="5" s="1"/>
  <c r="C490" i="5"/>
  <c r="B490" i="5"/>
  <c r="A490" i="5"/>
  <c r="J489" i="5"/>
  <c r="F489" i="5"/>
  <c r="E489" i="5"/>
  <c r="C489" i="5"/>
  <c r="B489" i="5"/>
  <c r="A489" i="5"/>
  <c r="J488" i="5"/>
  <c r="F488" i="5"/>
  <c r="E488" i="5"/>
  <c r="C488" i="5"/>
  <c r="B488" i="5"/>
  <c r="A488" i="5"/>
  <c r="J487" i="5"/>
  <c r="F487" i="5"/>
  <c r="E487" i="5"/>
  <c r="C487" i="5"/>
  <c r="B487" i="5"/>
  <c r="A487" i="5"/>
  <c r="E486" i="5"/>
  <c r="C486" i="5"/>
  <c r="B486" i="5"/>
  <c r="A486" i="5"/>
  <c r="J485" i="5"/>
  <c r="F485" i="5"/>
  <c r="E485" i="5"/>
  <c r="C485" i="5"/>
  <c r="B485" i="5"/>
  <c r="A485" i="5"/>
  <c r="J484" i="5"/>
  <c r="F484" i="5"/>
  <c r="E484" i="5"/>
  <c r="C484" i="5"/>
  <c r="B484" i="5"/>
  <c r="A484" i="5"/>
  <c r="J483" i="5"/>
  <c r="F483" i="5"/>
  <c r="E483" i="5"/>
  <c r="C483" i="5"/>
  <c r="B483" i="5"/>
  <c r="A483" i="5"/>
  <c r="J482" i="5"/>
  <c r="F482" i="5"/>
  <c r="E482" i="5"/>
  <c r="C482" i="5"/>
  <c r="B482" i="5"/>
  <c r="A482" i="5"/>
  <c r="J481" i="5"/>
  <c r="F481" i="5"/>
  <c r="E481" i="5"/>
  <c r="C481" i="5"/>
  <c r="B481" i="5"/>
  <c r="A481" i="5"/>
  <c r="J480" i="5"/>
  <c r="F480" i="5"/>
  <c r="E480" i="5"/>
  <c r="C480" i="5"/>
  <c r="B480" i="5"/>
  <c r="A480" i="5"/>
  <c r="E479" i="5"/>
  <c r="C479" i="5"/>
  <c r="B479" i="5"/>
  <c r="A479" i="5"/>
  <c r="J478" i="5"/>
  <c r="F478" i="5"/>
  <c r="E478" i="5"/>
  <c r="C478" i="5"/>
  <c r="B478" i="5"/>
  <c r="A478" i="5"/>
  <c r="J477" i="5"/>
  <c r="F477" i="5"/>
  <c r="E477" i="5"/>
  <c r="C477" i="5"/>
  <c r="B477" i="5"/>
  <c r="A477" i="5"/>
  <c r="J476" i="5"/>
  <c r="F476" i="5"/>
  <c r="E476" i="5"/>
  <c r="C476" i="5"/>
  <c r="B476" i="5"/>
  <c r="A476" i="5"/>
  <c r="J475" i="5"/>
  <c r="F475" i="5"/>
  <c r="E475" i="5"/>
  <c r="C475" i="5"/>
  <c r="B475" i="5"/>
  <c r="A475" i="5"/>
  <c r="E474" i="5"/>
  <c r="C474" i="5"/>
  <c r="B474" i="5"/>
  <c r="A474" i="5"/>
  <c r="J473" i="5"/>
  <c r="F473" i="5"/>
  <c r="E473" i="5"/>
  <c r="C473" i="5"/>
  <c r="B473" i="5"/>
  <c r="A473" i="5"/>
  <c r="J472" i="5"/>
  <c r="F472" i="5"/>
  <c r="E472" i="5"/>
  <c r="C472" i="5"/>
  <c r="B472" i="5"/>
  <c r="A472" i="5"/>
  <c r="J471" i="5"/>
  <c r="F471" i="5"/>
  <c r="E471" i="5"/>
  <c r="C471" i="5"/>
  <c r="B471" i="5"/>
  <c r="A471" i="5"/>
  <c r="J470" i="5"/>
  <c r="F470" i="5"/>
  <c r="E470" i="5"/>
  <c r="C470" i="5"/>
  <c r="B470" i="5"/>
  <c r="A470" i="5"/>
  <c r="E469" i="5"/>
  <c r="C469" i="5"/>
  <c r="B469" i="5"/>
  <c r="A469" i="5"/>
  <c r="J468" i="5"/>
  <c r="F468" i="5"/>
  <c r="E468" i="5"/>
  <c r="C468" i="5"/>
  <c r="B468" i="5"/>
  <c r="A468" i="5"/>
  <c r="J467" i="5"/>
  <c r="F467" i="5"/>
  <c r="E467" i="5"/>
  <c r="C467" i="5"/>
  <c r="B467" i="5"/>
  <c r="A467" i="5"/>
  <c r="J466" i="5"/>
  <c r="F466" i="5"/>
  <c r="E466" i="5"/>
  <c r="C466" i="5"/>
  <c r="B466" i="5"/>
  <c r="A466" i="5"/>
  <c r="E465" i="5"/>
  <c r="C465" i="5"/>
  <c r="B465" i="5"/>
  <c r="A465" i="5"/>
  <c r="E464" i="5"/>
  <c r="C464" i="5"/>
  <c r="B464" i="5"/>
  <c r="A464" i="5"/>
  <c r="J463" i="5"/>
  <c r="F463" i="5"/>
  <c r="E463" i="5"/>
  <c r="C463" i="5"/>
  <c r="B463" i="5"/>
  <c r="A463" i="5"/>
  <c r="J462" i="5"/>
  <c r="F462" i="5"/>
  <c r="E462" i="5"/>
  <c r="C462" i="5"/>
  <c r="B462" i="5"/>
  <c r="A462" i="5"/>
  <c r="J461" i="5"/>
  <c r="F461" i="5"/>
  <c r="E461" i="5"/>
  <c r="C461" i="5"/>
  <c r="B461" i="5"/>
  <c r="A461" i="5"/>
  <c r="J460" i="5"/>
  <c r="F460" i="5"/>
  <c r="E460" i="5"/>
  <c r="C460" i="5"/>
  <c r="B460" i="5"/>
  <c r="A460" i="5"/>
  <c r="J459" i="5"/>
  <c r="F459" i="5"/>
  <c r="E459" i="5"/>
  <c r="C459" i="5"/>
  <c r="B459" i="5"/>
  <c r="A459" i="5"/>
  <c r="E458" i="5"/>
  <c r="C458" i="5"/>
  <c r="B458" i="5"/>
  <c r="A458" i="5"/>
  <c r="E457" i="5"/>
  <c r="E854" i="5" s="1"/>
  <c r="C457" i="5"/>
  <c r="B457" i="5"/>
  <c r="A457" i="5"/>
  <c r="J456" i="5"/>
  <c r="F456" i="5"/>
  <c r="E456" i="5"/>
  <c r="C456" i="5"/>
  <c r="B456" i="5"/>
  <c r="A456" i="5"/>
  <c r="J455" i="5"/>
  <c r="F455" i="5"/>
  <c r="E455" i="5"/>
  <c r="C455" i="5"/>
  <c r="B455" i="5"/>
  <c r="A455" i="5"/>
  <c r="J454" i="5"/>
  <c r="F454" i="5"/>
  <c r="E454" i="5"/>
  <c r="C454" i="5"/>
  <c r="B454" i="5"/>
  <c r="A454" i="5"/>
  <c r="E453" i="5"/>
  <c r="C453" i="5"/>
  <c r="B453" i="5"/>
  <c r="A453" i="5"/>
  <c r="J452" i="5"/>
  <c r="F452" i="5"/>
  <c r="E452" i="5"/>
  <c r="C452" i="5"/>
  <c r="B452" i="5"/>
  <c r="A452" i="5"/>
  <c r="J451" i="5"/>
  <c r="F451" i="5"/>
  <c r="E451" i="5"/>
  <c r="C451" i="5"/>
  <c r="B451" i="5"/>
  <c r="A451" i="5"/>
  <c r="J450" i="5"/>
  <c r="F450" i="5"/>
  <c r="E450" i="5"/>
  <c r="C450" i="5"/>
  <c r="B450" i="5"/>
  <c r="A450" i="5"/>
  <c r="J449" i="5"/>
  <c r="F449" i="5"/>
  <c r="E449" i="5"/>
  <c r="C449" i="5"/>
  <c r="B449" i="5"/>
  <c r="A449" i="5"/>
  <c r="J448" i="5"/>
  <c r="F448" i="5"/>
  <c r="E448" i="5"/>
  <c r="C448" i="5"/>
  <c r="B448" i="5"/>
  <c r="A448" i="5"/>
  <c r="J447" i="5"/>
  <c r="F447" i="5"/>
  <c r="E447" i="5"/>
  <c r="C447" i="5"/>
  <c r="B447" i="5"/>
  <c r="A447" i="5"/>
  <c r="E446" i="5"/>
  <c r="C446" i="5"/>
  <c r="B446" i="5"/>
  <c r="A446" i="5"/>
  <c r="J445" i="5"/>
  <c r="F445" i="5"/>
  <c r="E445" i="5"/>
  <c r="C445" i="5"/>
  <c r="B445" i="5"/>
  <c r="A445" i="5"/>
  <c r="J444" i="5"/>
  <c r="F444" i="5"/>
  <c r="E444" i="5"/>
  <c r="C444" i="5"/>
  <c r="B444" i="5"/>
  <c r="A444" i="5"/>
  <c r="J443" i="5"/>
  <c r="F443" i="5"/>
  <c r="E443" i="5"/>
  <c r="C443" i="5"/>
  <c r="B443" i="5"/>
  <c r="A443" i="5"/>
  <c r="J442" i="5"/>
  <c r="F442" i="5"/>
  <c r="E442" i="5"/>
  <c r="C442" i="5"/>
  <c r="B442" i="5"/>
  <c r="A442" i="5"/>
  <c r="E441" i="5"/>
  <c r="C441" i="5"/>
  <c r="B441" i="5"/>
  <c r="A441" i="5"/>
  <c r="J440" i="5"/>
  <c r="F440" i="5"/>
  <c r="E440" i="5"/>
  <c r="C440" i="5"/>
  <c r="B440" i="5"/>
  <c r="A440" i="5"/>
  <c r="J439" i="5"/>
  <c r="F439" i="5"/>
  <c r="E439" i="5"/>
  <c r="C439" i="5"/>
  <c r="B439" i="5"/>
  <c r="A439" i="5"/>
  <c r="J438" i="5"/>
  <c r="F438" i="5"/>
  <c r="E438" i="5"/>
  <c r="C438" i="5"/>
  <c r="B438" i="5"/>
  <c r="A438" i="5"/>
  <c r="J437" i="5"/>
  <c r="F437" i="5"/>
  <c r="E437" i="5"/>
  <c r="C437" i="5"/>
  <c r="B437" i="5"/>
  <c r="A437" i="5"/>
  <c r="E436" i="5"/>
  <c r="C436" i="5"/>
  <c r="B436" i="5"/>
  <c r="A436" i="5"/>
  <c r="E435" i="5"/>
  <c r="E810" i="5" s="1"/>
  <c r="C435" i="5"/>
  <c r="B435" i="5"/>
  <c r="A435" i="5"/>
  <c r="E434" i="5"/>
  <c r="C434" i="5"/>
  <c r="B434" i="5"/>
  <c r="A434" i="5"/>
  <c r="E433" i="5"/>
  <c r="C433" i="5"/>
  <c r="B433" i="5"/>
  <c r="A433" i="5"/>
  <c r="J432" i="5"/>
  <c r="F432" i="5"/>
  <c r="E432" i="5"/>
  <c r="C432" i="5"/>
  <c r="B432" i="5"/>
  <c r="A432" i="5"/>
  <c r="J431" i="5"/>
  <c r="F431" i="5"/>
  <c r="E431" i="5"/>
  <c r="C431" i="5"/>
  <c r="B431" i="5"/>
  <c r="A431" i="5"/>
  <c r="J430" i="5"/>
  <c r="F430" i="5"/>
  <c r="E430" i="5"/>
  <c r="C430" i="5"/>
  <c r="B430" i="5"/>
  <c r="A430" i="5"/>
  <c r="J429" i="5"/>
  <c r="F429" i="5"/>
  <c r="E429" i="5"/>
  <c r="C429" i="5"/>
  <c r="B429" i="5"/>
  <c r="A429" i="5"/>
  <c r="J428" i="5"/>
  <c r="F428" i="5"/>
  <c r="E428" i="5"/>
  <c r="C428" i="5"/>
  <c r="B428" i="5"/>
  <c r="A428" i="5"/>
  <c r="E427" i="5"/>
  <c r="C427" i="5"/>
  <c r="B427" i="5"/>
  <c r="A427" i="5"/>
  <c r="E426" i="5"/>
  <c r="E850" i="5" s="1"/>
  <c r="C426" i="5"/>
  <c r="B426" i="5"/>
  <c r="A426" i="5"/>
  <c r="J425" i="5"/>
  <c r="F425" i="5"/>
  <c r="E425" i="5"/>
  <c r="C425" i="5"/>
  <c r="B425" i="5"/>
  <c r="A425" i="5"/>
  <c r="J424" i="5"/>
  <c r="F424" i="5"/>
  <c r="E424" i="5"/>
  <c r="C424" i="5"/>
  <c r="B424" i="5"/>
  <c r="A424" i="5"/>
  <c r="J423" i="5"/>
  <c r="F423" i="5"/>
  <c r="E423" i="5"/>
  <c r="C423" i="5"/>
  <c r="B423" i="5"/>
  <c r="A423" i="5"/>
  <c r="E422" i="5"/>
  <c r="C422" i="5"/>
  <c r="B422" i="5"/>
  <c r="A422" i="5"/>
  <c r="J421" i="5"/>
  <c r="F421" i="5"/>
  <c r="E421" i="5"/>
  <c r="C421" i="5"/>
  <c r="B421" i="5"/>
  <c r="A421" i="5"/>
  <c r="J420" i="5"/>
  <c r="F420" i="5"/>
  <c r="E420" i="5"/>
  <c r="C420" i="5"/>
  <c r="B420" i="5"/>
  <c r="A420" i="5"/>
  <c r="J419" i="5"/>
  <c r="F419" i="5"/>
  <c r="E419" i="5"/>
  <c r="C419" i="5"/>
  <c r="B419" i="5"/>
  <c r="A419" i="5"/>
  <c r="J418" i="5"/>
  <c r="F418" i="5"/>
  <c r="E418" i="5"/>
  <c r="C418" i="5"/>
  <c r="B418" i="5"/>
  <c r="A418" i="5"/>
  <c r="J417" i="5"/>
  <c r="F417" i="5"/>
  <c r="E417" i="5"/>
  <c r="C417" i="5"/>
  <c r="B417" i="5"/>
  <c r="A417" i="5"/>
  <c r="J416" i="5"/>
  <c r="F416" i="5"/>
  <c r="E416" i="5"/>
  <c r="C416" i="5"/>
  <c r="B416" i="5"/>
  <c r="A416" i="5"/>
  <c r="E415" i="5"/>
  <c r="C415" i="5"/>
  <c r="B415" i="5"/>
  <c r="A415" i="5"/>
  <c r="J414" i="5"/>
  <c r="F414" i="5"/>
  <c r="E414" i="5"/>
  <c r="C414" i="5"/>
  <c r="B414" i="5"/>
  <c r="A414" i="5"/>
  <c r="J413" i="5"/>
  <c r="F413" i="5"/>
  <c r="E413" i="5"/>
  <c r="C413" i="5"/>
  <c r="B413" i="5"/>
  <c r="A413" i="5"/>
  <c r="J412" i="5"/>
  <c r="F412" i="5"/>
  <c r="E412" i="5"/>
  <c r="C412" i="5"/>
  <c r="B412" i="5"/>
  <c r="A412" i="5"/>
  <c r="J411" i="5"/>
  <c r="F411" i="5"/>
  <c r="E411" i="5"/>
  <c r="C411" i="5"/>
  <c r="B411" i="5"/>
  <c r="A411" i="5"/>
  <c r="E410" i="5"/>
  <c r="C410" i="5"/>
  <c r="B410" i="5"/>
  <c r="A410" i="5"/>
  <c r="J409" i="5"/>
  <c r="F409" i="5"/>
  <c r="E409" i="5"/>
  <c r="C409" i="5"/>
  <c r="B409" i="5"/>
  <c r="A409" i="5"/>
  <c r="J408" i="5"/>
  <c r="F408" i="5"/>
  <c r="E408" i="5"/>
  <c r="C408" i="5"/>
  <c r="B408" i="5"/>
  <c r="A408" i="5"/>
  <c r="J407" i="5"/>
  <c r="F407" i="5"/>
  <c r="E407" i="5"/>
  <c r="C407" i="5"/>
  <c r="B407" i="5"/>
  <c r="A407" i="5"/>
  <c r="J406" i="5"/>
  <c r="F406" i="5"/>
  <c r="E406" i="5"/>
  <c r="C406" i="5"/>
  <c r="B406" i="5"/>
  <c r="A406" i="5"/>
  <c r="E405" i="5"/>
  <c r="C405" i="5"/>
  <c r="B405" i="5"/>
  <c r="A405" i="5"/>
  <c r="J404" i="5"/>
  <c r="F404" i="5"/>
  <c r="E404" i="5"/>
  <c r="C404" i="5"/>
  <c r="B404" i="5"/>
  <c r="A404" i="5"/>
  <c r="J403" i="5"/>
  <c r="F403" i="5"/>
  <c r="E403" i="5"/>
  <c r="C403" i="5"/>
  <c r="B403" i="5"/>
  <c r="A403" i="5"/>
  <c r="J402" i="5"/>
  <c r="F402" i="5"/>
  <c r="E402" i="5"/>
  <c r="C402" i="5"/>
  <c r="B402" i="5"/>
  <c r="A402" i="5"/>
  <c r="E401" i="5"/>
  <c r="C401" i="5"/>
  <c r="B401" i="5"/>
  <c r="A401" i="5"/>
  <c r="E400" i="5"/>
  <c r="C400" i="5"/>
  <c r="B400" i="5"/>
  <c r="A400" i="5"/>
  <c r="J399" i="5"/>
  <c r="F399" i="5"/>
  <c r="E399" i="5"/>
  <c r="C399" i="5"/>
  <c r="B399" i="5"/>
  <c r="A399" i="5"/>
  <c r="J398" i="5"/>
  <c r="F398" i="5"/>
  <c r="E398" i="5"/>
  <c r="C398" i="5"/>
  <c r="B398" i="5"/>
  <c r="A398" i="5"/>
  <c r="J397" i="5"/>
  <c r="F397" i="5"/>
  <c r="E397" i="5"/>
  <c r="C397" i="5"/>
  <c r="B397" i="5"/>
  <c r="A397" i="5"/>
  <c r="J396" i="5"/>
  <c r="F396" i="5"/>
  <c r="E396" i="5"/>
  <c r="C396" i="5"/>
  <c r="B396" i="5"/>
  <c r="A396" i="5"/>
  <c r="J395" i="5"/>
  <c r="F395" i="5"/>
  <c r="E395" i="5"/>
  <c r="C395" i="5"/>
  <c r="B395" i="5"/>
  <c r="A395" i="5"/>
  <c r="E394" i="5"/>
  <c r="C394" i="5"/>
  <c r="B394" i="5"/>
  <c r="A394" i="5"/>
  <c r="E393" i="5"/>
  <c r="E846" i="5" s="1"/>
  <c r="C393" i="5"/>
  <c r="B393" i="5"/>
  <c r="A393" i="5"/>
  <c r="J392" i="5"/>
  <c r="F392" i="5"/>
  <c r="E392" i="5"/>
  <c r="C392" i="5"/>
  <c r="B392" i="5"/>
  <c r="A392" i="5"/>
  <c r="J391" i="5"/>
  <c r="F391" i="5"/>
  <c r="E391" i="5"/>
  <c r="C391" i="5"/>
  <c r="B391" i="5"/>
  <c r="A391" i="5"/>
  <c r="J390" i="5"/>
  <c r="F390" i="5"/>
  <c r="E390" i="5"/>
  <c r="C390" i="5"/>
  <c r="B390" i="5"/>
  <c r="A390" i="5"/>
  <c r="E389" i="5"/>
  <c r="C389" i="5"/>
  <c r="B389" i="5"/>
  <c r="A389" i="5"/>
  <c r="J388" i="5"/>
  <c r="F388" i="5"/>
  <c r="E388" i="5"/>
  <c r="C388" i="5"/>
  <c r="B388" i="5"/>
  <c r="A388" i="5"/>
  <c r="J387" i="5"/>
  <c r="F387" i="5"/>
  <c r="E387" i="5"/>
  <c r="C387" i="5"/>
  <c r="B387" i="5"/>
  <c r="A387" i="5"/>
  <c r="J386" i="5"/>
  <c r="F386" i="5"/>
  <c r="E386" i="5"/>
  <c r="C386" i="5"/>
  <c r="B386" i="5"/>
  <c r="A386" i="5"/>
  <c r="J385" i="5"/>
  <c r="F385" i="5"/>
  <c r="E385" i="5"/>
  <c r="C385" i="5"/>
  <c r="B385" i="5"/>
  <c r="A385" i="5"/>
  <c r="J384" i="5"/>
  <c r="F384" i="5"/>
  <c r="E384" i="5"/>
  <c r="C384" i="5"/>
  <c r="B384" i="5"/>
  <c r="A384" i="5"/>
  <c r="J383" i="5"/>
  <c r="F383" i="5"/>
  <c r="E383" i="5"/>
  <c r="C383" i="5"/>
  <c r="B383" i="5"/>
  <c r="A383" i="5"/>
  <c r="E382" i="5"/>
  <c r="C382" i="5"/>
  <c r="B382" i="5"/>
  <c r="A382" i="5"/>
  <c r="J381" i="5"/>
  <c r="F381" i="5"/>
  <c r="E381" i="5"/>
  <c r="C381" i="5"/>
  <c r="B381" i="5"/>
  <c r="A381" i="5"/>
  <c r="J380" i="5"/>
  <c r="F380" i="5"/>
  <c r="E380" i="5"/>
  <c r="C380" i="5"/>
  <c r="B380" i="5"/>
  <c r="A380" i="5"/>
  <c r="J379" i="5"/>
  <c r="F379" i="5"/>
  <c r="E379" i="5"/>
  <c r="C379" i="5"/>
  <c r="B379" i="5"/>
  <c r="A379" i="5"/>
  <c r="J378" i="5"/>
  <c r="F378" i="5"/>
  <c r="E378" i="5"/>
  <c r="C378" i="5"/>
  <c r="B378" i="5"/>
  <c r="A378" i="5"/>
  <c r="E377" i="5"/>
  <c r="C377" i="5"/>
  <c r="B377" i="5"/>
  <c r="A377" i="5"/>
  <c r="J376" i="5"/>
  <c r="F376" i="5"/>
  <c r="E376" i="5"/>
  <c r="C376" i="5"/>
  <c r="B376" i="5"/>
  <c r="A376" i="5"/>
  <c r="J375" i="5"/>
  <c r="F375" i="5"/>
  <c r="E375" i="5"/>
  <c r="C375" i="5"/>
  <c r="B375" i="5"/>
  <c r="A375" i="5"/>
  <c r="J374" i="5"/>
  <c r="F374" i="5"/>
  <c r="E374" i="5"/>
  <c r="C374" i="5"/>
  <c r="B374" i="5"/>
  <c r="A374" i="5"/>
  <c r="J373" i="5"/>
  <c r="F373" i="5"/>
  <c r="E373" i="5"/>
  <c r="C373" i="5"/>
  <c r="B373" i="5"/>
  <c r="A373" i="5"/>
  <c r="E372" i="5"/>
  <c r="C372" i="5"/>
  <c r="B372" i="5"/>
  <c r="A372" i="5"/>
  <c r="J371" i="5"/>
  <c r="F371" i="5"/>
  <c r="E371" i="5"/>
  <c r="C371" i="5"/>
  <c r="B371" i="5"/>
  <c r="A371" i="5"/>
  <c r="J370" i="5"/>
  <c r="F370" i="5"/>
  <c r="E370" i="5"/>
  <c r="C370" i="5"/>
  <c r="B370" i="5"/>
  <c r="A370" i="5"/>
  <c r="J369" i="5"/>
  <c r="F369" i="5"/>
  <c r="E369" i="5"/>
  <c r="C369" i="5"/>
  <c r="B369" i="5"/>
  <c r="A369" i="5"/>
  <c r="E368" i="5"/>
  <c r="C368" i="5"/>
  <c r="B368" i="5"/>
  <c r="A368" i="5"/>
  <c r="E367" i="5"/>
  <c r="C367" i="5"/>
  <c r="B367" i="5"/>
  <c r="A367" i="5"/>
  <c r="J366" i="5"/>
  <c r="F366" i="5"/>
  <c r="E366" i="5"/>
  <c r="C366" i="5"/>
  <c r="B366" i="5"/>
  <c r="A366" i="5"/>
  <c r="J365" i="5"/>
  <c r="F365" i="5"/>
  <c r="E365" i="5"/>
  <c r="C365" i="5"/>
  <c r="B365" i="5"/>
  <c r="A365" i="5"/>
  <c r="J364" i="5"/>
  <c r="F364" i="5"/>
  <c r="E364" i="5"/>
  <c r="C364" i="5"/>
  <c r="B364" i="5"/>
  <c r="A364" i="5"/>
  <c r="J363" i="5"/>
  <c r="F363" i="5"/>
  <c r="E363" i="5"/>
  <c r="C363" i="5"/>
  <c r="B363" i="5"/>
  <c r="A363" i="5"/>
  <c r="J362" i="5"/>
  <c r="F362" i="5"/>
  <c r="E362" i="5"/>
  <c r="C362" i="5"/>
  <c r="B362" i="5"/>
  <c r="A362" i="5"/>
  <c r="E361" i="5"/>
  <c r="C361" i="5"/>
  <c r="B361" i="5"/>
  <c r="A361" i="5"/>
  <c r="E360" i="5"/>
  <c r="C360" i="5"/>
  <c r="B360" i="5"/>
  <c r="A360" i="5"/>
  <c r="J359" i="5"/>
  <c r="F359" i="5"/>
  <c r="E359" i="5"/>
  <c r="C359" i="5"/>
  <c r="B359" i="5"/>
  <c r="A359" i="5"/>
  <c r="J358" i="5"/>
  <c r="F358" i="5"/>
  <c r="E358" i="5"/>
  <c r="C358" i="5"/>
  <c r="B358" i="5"/>
  <c r="A358" i="5"/>
  <c r="J357" i="5"/>
  <c r="F357" i="5"/>
  <c r="E357" i="5"/>
  <c r="C357" i="5"/>
  <c r="B357" i="5"/>
  <c r="A357" i="5"/>
  <c r="E356" i="5"/>
  <c r="C356" i="5"/>
  <c r="B356" i="5"/>
  <c r="A356" i="5"/>
  <c r="J355" i="5"/>
  <c r="F355" i="5"/>
  <c r="E355" i="5"/>
  <c r="C355" i="5"/>
  <c r="B355" i="5"/>
  <c r="A355" i="5"/>
  <c r="J354" i="5"/>
  <c r="F354" i="5"/>
  <c r="E354" i="5"/>
  <c r="C354" i="5"/>
  <c r="B354" i="5"/>
  <c r="A354" i="5"/>
  <c r="J353" i="5"/>
  <c r="F353" i="5"/>
  <c r="E353" i="5"/>
  <c r="C353" i="5"/>
  <c r="B353" i="5"/>
  <c r="A353" i="5"/>
  <c r="J352" i="5"/>
  <c r="F352" i="5"/>
  <c r="E352" i="5"/>
  <c r="C352" i="5"/>
  <c r="B352" i="5"/>
  <c r="A352" i="5"/>
  <c r="J351" i="5"/>
  <c r="F351" i="5"/>
  <c r="E351" i="5"/>
  <c r="C351" i="5"/>
  <c r="B351" i="5"/>
  <c r="A351" i="5"/>
  <c r="J350" i="5"/>
  <c r="F350" i="5"/>
  <c r="E350" i="5"/>
  <c r="C350" i="5"/>
  <c r="B350" i="5"/>
  <c r="A350" i="5"/>
  <c r="E349" i="5"/>
  <c r="C349" i="5"/>
  <c r="B349" i="5"/>
  <c r="A349" i="5"/>
  <c r="J348" i="5"/>
  <c r="F348" i="5"/>
  <c r="E348" i="5"/>
  <c r="C348" i="5"/>
  <c r="B348" i="5"/>
  <c r="A348" i="5"/>
  <c r="J347" i="5"/>
  <c r="F347" i="5"/>
  <c r="E347" i="5"/>
  <c r="C347" i="5"/>
  <c r="B347" i="5"/>
  <c r="A347" i="5"/>
  <c r="J346" i="5"/>
  <c r="F346" i="5"/>
  <c r="E346" i="5"/>
  <c r="C346" i="5"/>
  <c r="B346" i="5"/>
  <c r="A346" i="5"/>
  <c r="J345" i="5"/>
  <c r="F345" i="5"/>
  <c r="E345" i="5"/>
  <c r="C345" i="5"/>
  <c r="B345" i="5"/>
  <c r="A345" i="5"/>
  <c r="E344" i="5"/>
  <c r="C344" i="5"/>
  <c r="B344" i="5"/>
  <c r="A344" i="5"/>
  <c r="J343" i="5"/>
  <c r="F343" i="5"/>
  <c r="E343" i="5"/>
  <c r="C343" i="5"/>
  <c r="B343" i="5"/>
  <c r="A343" i="5"/>
  <c r="J342" i="5"/>
  <c r="F342" i="5"/>
  <c r="E342" i="5"/>
  <c r="C342" i="5"/>
  <c r="B342" i="5"/>
  <c r="A342" i="5"/>
  <c r="J341" i="5"/>
  <c r="F341" i="5"/>
  <c r="E341" i="5"/>
  <c r="C341" i="5"/>
  <c r="B341" i="5"/>
  <c r="A341" i="5"/>
  <c r="J340" i="5"/>
  <c r="F340" i="5"/>
  <c r="E340" i="5"/>
  <c r="C340" i="5"/>
  <c r="B340" i="5"/>
  <c r="A340" i="5"/>
  <c r="E339" i="5"/>
  <c r="C339" i="5"/>
  <c r="B339" i="5"/>
  <c r="A339" i="5"/>
  <c r="J338" i="5"/>
  <c r="F338" i="5"/>
  <c r="E338" i="5"/>
  <c r="C338" i="5"/>
  <c r="B338" i="5"/>
  <c r="A338" i="5"/>
  <c r="E337" i="5"/>
  <c r="C337" i="5"/>
  <c r="B337" i="5"/>
  <c r="A337" i="5"/>
  <c r="E336" i="5"/>
  <c r="C336" i="5"/>
  <c r="B336" i="5"/>
  <c r="A336" i="5"/>
  <c r="J335" i="5"/>
  <c r="F335" i="5"/>
  <c r="E335" i="5"/>
  <c r="C335" i="5"/>
  <c r="B335" i="5"/>
  <c r="A335" i="5"/>
  <c r="J334" i="5"/>
  <c r="F334" i="5"/>
  <c r="E334" i="5"/>
  <c r="C334" i="5"/>
  <c r="B334" i="5"/>
  <c r="A334" i="5"/>
  <c r="J333" i="5"/>
  <c r="F333" i="5"/>
  <c r="E333" i="5"/>
  <c r="C333" i="5"/>
  <c r="B333" i="5"/>
  <c r="A333" i="5"/>
  <c r="J332" i="5"/>
  <c r="F332" i="5"/>
  <c r="E332" i="5"/>
  <c r="C332" i="5"/>
  <c r="B332" i="5"/>
  <c r="A332" i="5"/>
  <c r="J331" i="5"/>
  <c r="F331" i="5"/>
  <c r="E331" i="5"/>
  <c r="C331" i="5"/>
  <c r="B331" i="5"/>
  <c r="A331" i="5"/>
  <c r="E330" i="5"/>
  <c r="C330" i="5"/>
  <c r="B330" i="5"/>
  <c r="A330" i="5"/>
  <c r="E329" i="5"/>
  <c r="E842" i="5" s="1"/>
  <c r="C329" i="5"/>
  <c r="B329" i="5"/>
  <c r="A329" i="5"/>
  <c r="J328" i="5"/>
  <c r="F328" i="5"/>
  <c r="E328" i="5"/>
  <c r="C328" i="5"/>
  <c r="B328" i="5"/>
  <c r="A328" i="5"/>
  <c r="J327" i="5"/>
  <c r="F327" i="5"/>
  <c r="E327" i="5"/>
  <c r="C327" i="5"/>
  <c r="B327" i="5"/>
  <c r="A327" i="5"/>
  <c r="J326" i="5"/>
  <c r="F326" i="5"/>
  <c r="E326" i="5"/>
  <c r="C326" i="5"/>
  <c r="B326" i="5"/>
  <c r="A326" i="5"/>
  <c r="E325" i="5"/>
  <c r="C325" i="5"/>
  <c r="B325" i="5"/>
  <c r="A325" i="5"/>
  <c r="J324" i="5"/>
  <c r="F324" i="5"/>
  <c r="E324" i="5"/>
  <c r="C324" i="5"/>
  <c r="B324" i="5"/>
  <c r="A324" i="5"/>
  <c r="J323" i="5"/>
  <c r="F323" i="5"/>
  <c r="E323" i="5"/>
  <c r="C323" i="5"/>
  <c r="B323" i="5"/>
  <c r="A323" i="5"/>
  <c r="J322" i="5"/>
  <c r="F322" i="5"/>
  <c r="E322" i="5"/>
  <c r="C322" i="5"/>
  <c r="B322" i="5"/>
  <c r="A322" i="5"/>
  <c r="J321" i="5"/>
  <c r="F321" i="5"/>
  <c r="E321" i="5"/>
  <c r="C321" i="5"/>
  <c r="B321" i="5"/>
  <c r="A321" i="5"/>
  <c r="J320" i="5"/>
  <c r="F320" i="5"/>
  <c r="E320" i="5"/>
  <c r="C320" i="5"/>
  <c r="B320" i="5"/>
  <c r="A320" i="5"/>
  <c r="J319" i="5"/>
  <c r="F319" i="5"/>
  <c r="E319" i="5"/>
  <c r="C319" i="5"/>
  <c r="B319" i="5"/>
  <c r="A319" i="5"/>
  <c r="E318" i="5"/>
  <c r="C318" i="5"/>
  <c r="B318" i="5"/>
  <c r="A318" i="5"/>
  <c r="J317" i="5"/>
  <c r="F317" i="5"/>
  <c r="E317" i="5"/>
  <c r="C317" i="5"/>
  <c r="B317" i="5"/>
  <c r="A317" i="5"/>
  <c r="J316" i="5"/>
  <c r="F316" i="5"/>
  <c r="E316" i="5"/>
  <c r="C316" i="5"/>
  <c r="B316" i="5"/>
  <c r="A316" i="5"/>
  <c r="J315" i="5"/>
  <c r="F315" i="5"/>
  <c r="E315" i="5"/>
  <c r="C315" i="5"/>
  <c r="B315" i="5"/>
  <c r="A315" i="5"/>
  <c r="J314" i="5"/>
  <c r="F314" i="5"/>
  <c r="E314" i="5"/>
  <c r="C314" i="5"/>
  <c r="B314" i="5"/>
  <c r="A314" i="5"/>
  <c r="E313" i="5"/>
  <c r="C313" i="5"/>
  <c r="B313" i="5"/>
  <c r="A313" i="5"/>
  <c r="J312" i="5"/>
  <c r="F312" i="5"/>
  <c r="E312" i="5"/>
  <c r="C312" i="5"/>
  <c r="B312" i="5"/>
  <c r="A312" i="5"/>
  <c r="J311" i="5"/>
  <c r="F311" i="5"/>
  <c r="E311" i="5"/>
  <c r="C311" i="5"/>
  <c r="B311" i="5"/>
  <c r="A311" i="5"/>
  <c r="J310" i="5"/>
  <c r="F310" i="5"/>
  <c r="E310" i="5"/>
  <c r="C310" i="5"/>
  <c r="B310" i="5"/>
  <c r="A310" i="5"/>
  <c r="J309" i="5"/>
  <c r="F309" i="5"/>
  <c r="E309" i="5"/>
  <c r="C309" i="5"/>
  <c r="B309" i="5"/>
  <c r="A309" i="5"/>
  <c r="E308" i="5"/>
  <c r="C308" i="5"/>
  <c r="B308" i="5"/>
  <c r="A308" i="5"/>
  <c r="J307" i="5"/>
  <c r="F307" i="5"/>
  <c r="E307" i="5"/>
  <c r="C307" i="5"/>
  <c r="B307" i="5"/>
  <c r="A307" i="5"/>
  <c r="E306" i="5"/>
  <c r="C306" i="5"/>
  <c r="B306" i="5"/>
  <c r="A306" i="5"/>
  <c r="E305" i="5"/>
  <c r="C305" i="5"/>
  <c r="B305" i="5"/>
  <c r="A305" i="5"/>
  <c r="J304" i="5"/>
  <c r="F304" i="5"/>
  <c r="E304" i="5"/>
  <c r="C304" i="5"/>
  <c r="B304" i="5"/>
  <c r="A304" i="5"/>
  <c r="J303" i="5"/>
  <c r="F303" i="5"/>
  <c r="E303" i="5"/>
  <c r="C303" i="5"/>
  <c r="B303" i="5"/>
  <c r="A303" i="5"/>
  <c r="J302" i="5"/>
  <c r="F302" i="5"/>
  <c r="E302" i="5"/>
  <c r="C302" i="5"/>
  <c r="B302" i="5"/>
  <c r="A302" i="5"/>
  <c r="J301" i="5"/>
  <c r="F301" i="5"/>
  <c r="E301" i="5"/>
  <c r="C301" i="5"/>
  <c r="B301" i="5"/>
  <c r="A301" i="5"/>
  <c r="J300" i="5"/>
  <c r="F300" i="5"/>
  <c r="E300" i="5"/>
  <c r="C300" i="5"/>
  <c r="B300" i="5"/>
  <c r="A300" i="5"/>
  <c r="E299" i="5"/>
  <c r="C299" i="5"/>
  <c r="B299" i="5"/>
  <c r="A299" i="5"/>
  <c r="E298" i="5"/>
  <c r="E838" i="5" s="1"/>
  <c r="C298" i="5"/>
  <c r="B298" i="5"/>
  <c r="A298" i="5"/>
  <c r="J297" i="5"/>
  <c r="F297" i="5"/>
  <c r="E297" i="5"/>
  <c r="C297" i="5"/>
  <c r="B297" i="5"/>
  <c r="A297" i="5"/>
  <c r="J296" i="5"/>
  <c r="F296" i="5"/>
  <c r="E296" i="5"/>
  <c r="C296" i="5"/>
  <c r="B296" i="5"/>
  <c r="A296" i="5"/>
  <c r="J295" i="5"/>
  <c r="F295" i="5"/>
  <c r="E295" i="5"/>
  <c r="C295" i="5"/>
  <c r="B295" i="5"/>
  <c r="A295" i="5"/>
  <c r="E294" i="5"/>
  <c r="C294" i="5"/>
  <c r="B294" i="5"/>
  <c r="A294" i="5"/>
  <c r="J293" i="5"/>
  <c r="F293" i="5"/>
  <c r="E293" i="5"/>
  <c r="C293" i="5"/>
  <c r="B293" i="5"/>
  <c r="A293" i="5"/>
  <c r="J292" i="5"/>
  <c r="F292" i="5"/>
  <c r="E292" i="5"/>
  <c r="C292" i="5"/>
  <c r="B292" i="5"/>
  <c r="A292" i="5"/>
  <c r="J291" i="5"/>
  <c r="F291" i="5"/>
  <c r="E291" i="5"/>
  <c r="C291" i="5"/>
  <c r="B291" i="5"/>
  <c r="A291" i="5"/>
  <c r="J290" i="5"/>
  <c r="F290" i="5"/>
  <c r="E290" i="5"/>
  <c r="C290" i="5"/>
  <c r="B290" i="5"/>
  <c r="A290" i="5"/>
  <c r="J289" i="5"/>
  <c r="F289" i="5"/>
  <c r="E289" i="5"/>
  <c r="C289" i="5"/>
  <c r="B289" i="5"/>
  <c r="A289" i="5"/>
  <c r="J288" i="5"/>
  <c r="F288" i="5"/>
  <c r="E288" i="5"/>
  <c r="C288" i="5"/>
  <c r="B288" i="5"/>
  <c r="A288" i="5"/>
  <c r="E287" i="5"/>
  <c r="C287" i="5"/>
  <c r="B287" i="5"/>
  <c r="A287" i="5"/>
  <c r="J286" i="5"/>
  <c r="F286" i="5"/>
  <c r="E286" i="5"/>
  <c r="C286" i="5"/>
  <c r="B286" i="5"/>
  <c r="A286" i="5"/>
  <c r="J285" i="5"/>
  <c r="F285" i="5"/>
  <c r="E285" i="5"/>
  <c r="C285" i="5"/>
  <c r="B285" i="5"/>
  <c r="A285" i="5"/>
  <c r="J284" i="5"/>
  <c r="F284" i="5"/>
  <c r="E284" i="5"/>
  <c r="C284" i="5"/>
  <c r="B284" i="5"/>
  <c r="A284" i="5"/>
  <c r="J283" i="5"/>
  <c r="F283" i="5"/>
  <c r="E283" i="5"/>
  <c r="C283" i="5"/>
  <c r="B283" i="5"/>
  <c r="A283" i="5"/>
  <c r="E282" i="5"/>
  <c r="C282" i="5"/>
  <c r="B282" i="5"/>
  <c r="A282" i="5"/>
  <c r="J281" i="5"/>
  <c r="F281" i="5"/>
  <c r="E281" i="5"/>
  <c r="C281" i="5"/>
  <c r="B281" i="5"/>
  <c r="A281" i="5"/>
  <c r="J280" i="5"/>
  <c r="F280" i="5"/>
  <c r="E280" i="5"/>
  <c r="C280" i="5"/>
  <c r="B280" i="5"/>
  <c r="A280" i="5"/>
  <c r="J279" i="5"/>
  <c r="F279" i="5"/>
  <c r="E279" i="5"/>
  <c r="C279" i="5"/>
  <c r="B279" i="5"/>
  <c r="A279" i="5"/>
  <c r="J278" i="5"/>
  <c r="F278" i="5"/>
  <c r="E278" i="5"/>
  <c r="C278" i="5"/>
  <c r="B278" i="5"/>
  <c r="A278" i="5"/>
  <c r="E277" i="5"/>
  <c r="C277" i="5"/>
  <c r="B277" i="5"/>
  <c r="A277" i="5"/>
  <c r="J276" i="5"/>
  <c r="F276" i="5"/>
  <c r="E276" i="5"/>
  <c r="C276" i="5"/>
  <c r="B276" i="5"/>
  <c r="A276" i="5"/>
  <c r="E275" i="5"/>
  <c r="C275" i="5"/>
  <c r="B275" i="5"/>
  <c r="A275" i="5"/>
  <c r="E274" i="5"/>
  <c r="C274" i="5"/>
  <c r="B274" i="5"/>
  <c r="A274" i="5"/>
  <c r="J273" i="5"/>
  <c r="F273" i="5"/>
  <c r="E273" i="5"/>
  <c r="C273" i="5"/>
  <c r="B273" i="5"/>
  <c r="A273" i="5"/>
  <c r="J272" i="5"/>
  <c r="F272" i="5"/>
  <c r="E272" i="5"/>
  <c r="C272" i="5"/>
  <c r="B272" i="5"/>
  <c r="A272" i="5"/>
  <c r="J271" i="5"/>
  <c r="F271" i="5"/>
  <c r="E271" i="5"/>
  <c r="C271" i="5"/>
  <c r="B271" i="5"/>
  <c r="A271" i="5"/>
  <c r="J270" i="5"/>
  <c r="F270" i="5"/>
  <c r="E270" i="5"/>
  <c r="C270" i="5"/>
  <c r="B270" i="5"/>
  <c r="A270" i="5"/>
  <c r="J269" i="5"/>
  <c r="F269" i="5"/>
  <c r="E269" i="5"/>
  <c r="C269" i="5"/>
  <c r="B269" i="5"/>
  <c r="A269" i="5"/>
  <c r="E268" i="5"/>
  <c r="C268" i="5"/>
  <c r="B268" i="5"/>
  <c r="A268" i="5"/>
  <c r="E267" i="5"/>
  <c r="E834" i="5" s="1"/>
  <c r="C267" i="5"/>
  <c r="B267" i="5"/>
  <c r="A267" i="5"/>
  <c r="J266" i="5"/>
  <c r="F266" i="5"/>
  <c r="E266" i="5"/>
  <c r="C266" i="5"/>
  <c r="B266" i="5"/>
  <c r="A266" i="5"/>
  <c r="J265" i="5"/>
  <c r="F265" i="5"/>
  <c r="E265" i="5"/>
  <c r="C265" i="5"/>
  <c r="B265" i="5"/>
  <c r="A265" i="5"/>
  <c r="J264" i="5"/>
  <c r="F264" i="5"/>
  <c r="E264" i="5"/>
  <c r="C264" i="5"/>
  <c r="B264" i="5"/>
  <c r="A264" i="5"/>
  <c r="E263" i="5"/>
  <c r="C263" i="5"/>
  <c r="B263" i="5"/>
  <c r="A263" i="5"/>
  <c r="J262" i="5"/>
  <c r="F262" i="5"/>
  <c r="E262" i="5"/>
  <c r="C262" i="5"/>
  <c r="B262" i="5"/>
  <c r="A262" i="5"/>
  <c r="J261" i="5"/>
  <c r="F261" i="5"/>
  <c r="E261" i="5"/>
  <c r="C261" i="5"/>
  <c r="B261" i="5"/>
  <c r="A261" i="5"/>
  <c r="J260" i="5"/>
  <c r="F260" i="5"/>
  <c r="E260" i="5"/>
  <c r="C260" i="5"/>
  <c r="B260" i="5"/>
  <c r="A260" i="5"/>
  <c r="J259" i="5"/>
  <c r="F259" i="5"/>
  <c r="E259" i="5"/>
  <c r="C259" i="5"/>
  <c r="B259" i="5"/>
  <c r="A259" i="5"/>
  <c r="J258" i="5"/>
  <c r="F258" i="5"/>
  <c r="E258" i="5"/>
  <c r="C258" i="5"/>
  <c r="B258" i="5"/>
  <c r="A258" i="5"/>
  <c r="J257" i="5"/>
  <c r="F257" i="5"/>
  <c r="E257" i="5"/>
  <c r="C257" i="5"/>
  <c r="B257" i="5"/>
  <c r="A257" i="5"/>
  <c r="E256" i="5"/>
  <c r="C256" i="5"/>
  <c r="B256" i="5"/>
  <c r="A256" i="5"/>
  <c r="J255" i="5"/>
  <c r="F255" i="5"/>
  <c r="E255" i="5"/>
  <c r="C255" i="5"/>
  <c r="B255" i="5"/>
  <c r="A255" i="5"/>
  <c r="J254" i="5"/>
  <c r="F254" i="5"/>
  <c r="E254" i="5"/>
  <c r="C254" i="5"/>
  <c r="B254" i="5"/>
  <c r="A254" i="5"/>
  <c r="J253" i="5"/>
  <c r="F253" i="5"/>
  <c r="E253" i="5"/>
  <c r="C253" i="5"/>
  <c r="B253" i="5"/>
  <c r="A253" i="5"/>
  <c r="J252" i="5"/>
  <c r="F252" i="5"/>
  <c r="E252" i="5"/>
  <c r="C252" i="5"/>
  <c r="B252" i="5"/>
  <c r="A252" i="5"/>
  <c r="E251" i="5"/>
  <c r="C251" i="5"/>
  <c r="B251" i="5"/>
  <c r="A251" i="5"/>
  <c r="J250" i="5"/>
  <c r="F250" i="5"/>
  <c r="E250" i="5"/>
  <c r="C250" i="5"/>
  <c r="B250" i="5"/>
  <c r="A250" i="5"/>
  <c r="J249" i="5"/>
  <c r="F249" i="5"/>
  <c r="E249" i="5"/>
  <c r="C249" i="5"/>
  <c r="B249" i="5"/>
  <c r="A249" i="5"/>
  <c r="J248" i="5"/>
  <c r="F248" i="5"/>
  <c r="E248" i="5"/>
  <c r="C248" i="5"/>
  <c r="B248" i="5"/>
  <c r="A248" i="5"/>
  <c r="J247" i="5"/>
  <c r="F247" i="5"/>
  <c r="E247" i="5"/>
  <c r="C247" i="5"/>
  <c r="B247" i="5"/>
  <c r="A247" i="5"/>
  <c r="E246" i="5"/>
  <c r="C246" i="5"/>
  <c r="B246" i="5"/>
  <c r="A246" i="5"/>
  <c r="J245" i="5"/>
  <c r="F245" i="5"/>
  <c r="E245" i="5"/>
  <c r="C245" i="5"/>
  <c r="B245" i="5"/>
  <c r="A245" i="5"/>
  <c r="J244" i="5"/>
  <c r="F244" i="5"/>
  <c r="E244" i="5"/>
  <c r="C244" i="5"/>
  <c r="B244" i="5"/>
  <c r="A244" i="5"/>
  <c r="J243" i="5"/>
  <c r="F243" i="5"/>
  <c r="E243" i="5"/>
  <c r="C243" i="5"/>
  <c r="B243" i="5"/>
  <c r="A243" i="5"/>
  <c r="E242" i="5"/>
  <c r="C242" i="5"/>
  <c r="B242" i="5"/>
  <c r="A242" i="5"/>
  <c r="E241" i="5"/>
  <c r="C241" i="5"/>
  <c r="B241" i="5"/>
  <c r="A241" i="5"/>
  <c r="J240" i="5"/>
  <c r="F240" i="5"/>
  <c r="E240" i="5"/>
  <c r="C240" i="5"/>
  <c r="B240" i="5"/>
  <c r="A240" i="5"/>
  <c r="J239" i="5"/>
  <c r="F239" i="5"/>
  <c r="E239" i="5"/>
  <c r="C239" i="5"/>
  <c r="B239" i="5"/>
  <c r="A239" i="5"/>
  <c r="J238" i="5"/>
  <c r="F238" i="5"/>
  <c r="E238" i="5"/>
  <c r="C238" i="5"/>
  <c r="B238" i="5"/>
  <c r="A238" i="5"/>
  <c r="J237" i="5"/>
  <c r="F237" i="5"/>
  <c r="E237" i="5"/>
  <c r="C237" i="5"/>
  <c r="B237" i="5"/>
  <c r="A237" i="5"/>
  <c r="J236" i="5"/>
  <c r="F236" i="5"/>
  <c r="E236" i="5"/>
  <c r="C236" i="5"/>
  <c r="B236" i="5"/>
  <c r="A236" i="5"/>
  <c r="E235" i="5"/>
  <c r="C235" i="5"/>
  <c r="B235" i="5"/>
  <c r="A235" i="5"/>
  <c r="E234" i="5"/>
  <c r="C234" i="5"/>
  <c r="B234" i="5"/>
  <c r="A234" i="5"/>
  <c r="E233" i="5"/>
  <c r="C233" i="5"/>
  <c r="B233" i="5"/>
  <c r="A233" i="5"/>
  <c r="E232" i="5"/>
  <c r="C232" i="5"/>
  <c r="B232" i="5"/>
  <c r="A232" i="5"/>
  <c r="E231" i="5"/>
  <c r="C231" i="5"/>
  <c r="B231" i="5"/>
  <c r="A231" i="5"/>
  <c r="E230" i="5"/>
  <c r="C230" i="5"/>
  <c r="B230" i="5"/>
  <c r="A230" i="5"/>
  <c r="E229" i="5"/>
  <c r="C229" i="5"/>
  <c r="B229" i="5"/>
  <c r="A229" i="5"/>
  <c r="E228" i="5"/>
  <c r="C228" i="5"/>
  <c r="B228" i="5"/>
  <c r="A228" i="5"/>
  <c r="E227" i="5"/>
  <c r="C227" i="5"/>
  <c r="B227" i="5"/>
  <c r="A227" i="5"/>
  <c r="E226" i="5"/>
  <c r="C226" i="5"/>
  <c r="B226" i="5"/>
  <c r="A226" i="5"/>
  <c r="E225" i="5"/>
  <c r="C225" i="5"/>
  <c r="B225" i="5"/>
  <c r="A225" i="5"/>
  <c r="E224" i="5"/>
  <c r="C224" i="5"/>
  <c r="B224" i="5"/>
  <c r="A224" i="5"/>
  <c r="E223" i="5"/>
  <c r="C223" i="5"/>
  <c r="B223" i="5"/>
  <c r="A223" i="5"/>
  <c r="E222" i="5"/>
  <c r="C222" i="5"/>
  <c r="B222" i="5"/>
  <c r="A222" i="5"/>
  <c r="E221" i="5"/>
  <c r="C221" i="5"/>
  <c r="B221" i="5"/>
  <c r="A221" i="5"/>
  <c r="E220" i="5"/>
  <c r="C220" i="5"/>
  <c r="B220" i="5"/>
  <c r="A220" i="5"/>
  <c r="E219" i="5"/>
  <c r="C219" i="5"/>
  <c r="B219" i="5"/>
  <c r="A219" i="5"/>
  <c r="E218" i="5"/>
  <c r="C218" i="5"/>
  <c r="B218" i="5"/>
  <c r="A218" i="5"/>
  <c r="E217" i="5"/>
  <c r="C217" i="5"/>
  <c r="B217" i="5"/>
  <c r="A217" i="5"/>
  <c r="E216" i="5"/>
  <c r="C216" i="5"/>
  <c r="B216" i="5"/>
  <c r="A216" i="5"/>
  <c r="E215" i="5"/>
  <c r="C215" i="5"/>
  <c r="B215" i="5"/>
  <c r="A215" i="5"/>
  <c r="E214" i="5"/>
  <c r="C214" i="5"/>
  <c r="B214" i="5"/>
  <c r="A214" i="5"/>
  <c r="E213" i="5"/>
  <c r="C213" i="5"/>
  <c r="B213" i="5"/>
  <c r="A213" i="5"/>
  <c r="E212" i="5"/>
  <c r="E814" i="5" s="1"/>
  <c r="C212" i="5"/>
  <c r="B212" i="5"/>
  <c r="A212" i="5"/>
  <c r="E211" i="5"/>
  <c r="C211" i="5"/>
  <c r="B211" i="5"/>
  <c r="A211" i="5"/>
  <c r="E210" i="5"/>
  <c r="C210" i="5"/>
  <c r="B210" i="5"/>
  <c r="A210" i="5"/>
  <c r="E209" i="5"/>
  <c r="C209" i="5"/>
  <c r="B209" i="5"/>
  <c r="A209" i="5"/>
  <c r="E208" i="5"/>
  <c r="C208" i="5"/>
  <c r="B208" i="5"/>
  <c r="A208" i="5"/>
  <c r="E207" i="5"/>
  <c r="C207" i="5"/>
  <c r="B207" i="5"/>
  <c r="A207" i="5"/>
  <c r="E206" i="5"/>
  <c r="C206" i="5"/>
  <c r="B206" i="5"/>
  <c r="A206" i="5"/>
  <c r="E205" i="5"/>
  <c r="C205" i="5"/>
  <c r="B205" i="5"/>
  <c r="A205" i="5"/>
  <c r="E204" i="5"/>
  <c r="C204" i="5"/>
  <c r="B204" i="5"/>
  <c r="A204" i="5"/>
  <c r="E203" i="5"/>
  <c r="C203" i="5"/>
  <c r="B203" i="5"/>
  <c r="A203" i="5"/>
  <c r="E202" i="5"/>
  <c r="C202" i="5"/>
  <c r="B202" i="5"/>
  <c r="A202" i="5"/>
  <c r="E201" i="5"/>
  <c r="C201" i="5"/>
  <c r="B201" i="5"/>
  <c r="A201" i="5"/>
  <c r="E200" i="5"/>
  <c r="C200" i="5"/>
  <c r="B200" i="5"/>
  <c r="A200" i="5"/>
  <c r="E199" i="5"/>
  <c r="C199" i="5"/>
  <c r="B199" i="5"/>
  <c r="A199" i="5"/>
  <c r="E198" i="5"/>
  <c r="C198" i="5"/>
  <c r="B198" i="5"/>
  <c r="A198" i="5"/>
  <c r="E197" i="5"/>
  <c r="C197" i="5"/>
  <c r="B197" i="5"/>
  <c r="A197" i="5"/>
  <c r="E196" i="5"/>
  <c r="C196" i="5"/>
  <c r="B196" i="5"/>
  <c r="A196" i="5"/>
  <c r="E195" i="5"/>
  <c r="C195" i="5"/>
  <c r="B195" i="5"/>
  <c r="A195" i="5"/>
  <c r="E194" i="5"/>
  <c r="C194" i="5"/>
  <c r="B194" i="5"/>
  <c r="A194" i="5"/>
  <c r="E193" i="5"/>
  <c r="E801" i="5" s="1"/>
  <c r="C193" i="5"/>
  <c r="B193" i="5"/>
  <c r="A193" i="5"/>
  <c r="E192" i="5"/>
  <c r="C192" i="5"/>
  <c r="B192" i="5"/>
  <c r="A192" i="5"/>
  <c r="J191" i="5"/>
  <c r="F191" i="5"/>
  <c r="E191" i="5"/>
  <c r="C191" i="5"/>
  <c r="B191" i="5"/>
  <c r="A191" i="5"/>
  <c r="J190" i="5"/>
  <c r="F190" i="5"/>
  <c r="E190" i="5"/>
  <c r="C190" i="5"/>
  <c r="B190" i="5"/>
  <c r="A190" i="5"/>
  <c r="J189" i="5"/>
  <c r="F189" i="5"/>
  <c r="E189" i="5"/>
  <c r="C189" i="5"/>
  <c r="B189" i="5"/>
  <c r="A189" i="5"/>
  <c r="J188" i="5"/>
  <c r="F188" i="5"/>
  <c r="E188" i="5"/>
  <c r="C188" i="5"/>
  <c r="B188" i="5"/>
  <c r="A188" i="5"/>
  <c r="J187" i="5"/>
  <c r="F187" i="5"/>
  <c r="E187" i="5"/>
  <c r="C187" i="5"/>
  <c r="B187" i="5"/>
  <c r="A187" i="5"/>
  <c r="J186" i="5"/>
  <c r="F186" i="5"/>
  <c r="E186" i="5"/>
  <c r="C186" i="5"/>
  <c r="B186" i="5"/>
  <c r="A186" i="5"/>
  <c r="J185" i="5"/>
  <c r="F185" i="5"/>
  <c r="E185" i="5"/>
  <c r="C185" i="5"/>
  <c r="B185" i="5"/>
  <c r="A185" i="5"/>
  <c r="J184" i="5"/>
  <c r="F184" i="5"/>
  <c r="E184" i="5"/>
  <c r="C184" i="5"/>
  <c r="B184" i="5"/>
  <c r="A184" i="5"/>
  <c r="J183" i="5"/>
  <c r="F183" i="5"/>
  <c r="E183" i="5"/>
  <c r="C183" i="5"/>
  <c r="B183" i="5"/>
  <c r="A183" i="5"/>
  <c r="J182" i="5"/>
  <c r="F182" i="5"/>
  <c r="E182" i="5"/>
  <c r="C182" i="5"/>
  <c r="B182" i="5"/>
  <c r="A182" i="5"/>
  <c r="J181" i="5"/>
  <c r="F181" i="5"/>
  <c r="E181" i="5"/>
  <c r="C181" i="5"/>
  <c r="B181" i="5"/>
  <c r="A181" i="5"/>
  <c r="J180" i="5"/>
  <c r="F180" i="5"/>
  <c r="E180" i="5"/>
  <c r="C180" i="5"/>
  <c r="B180" i="5"/>
  <c r="A180" i="5"/>
  <c r="J179" i="5"/>
  <c r="F179" i="5"/>
  <c r="E179" i="5"/>
  <c r="C179" i="5"/>
  <c r="B179" i="5"/>
  <c r="A179" i="5"/>
  <c r="E178" i="5"/>
  <c r="C178" i="5"/>
  <c r="B178" i="5"/>
  <c r="A178" i="5"/>
  <c r="J177" i="5"/>
  <c r="F177" i="5"/>
  <c r="E177" i="5"/>
  <c r="C177" i="5"/>
  <c r="B177" i="5"/>
  <c r="A177" i="5"/>
  <c r="J176" i="5"/>
  <c r="F176" i="5"/>
  <c r="E176" i="5"/>
  <c r="C176" i="5"/>
  <c r="B176" i="5"/>
  <c r="A176" i="5"/>
  <c r="J175" i="5"/>
  <c r="F175" i="5"/>
  <c r="E175" i="5"/>
  <c r="C175" i="5"/>
  <c r="B175" i="5"/>
  <c r="A175" i="5"/>
  <c r="J174" i="5"/>
  <c r="F174" i="5"/>
  <c r="E174" i="5"/>
  <c r="C174" i="5"/>
  <c r="B174" i="5"/>
  <c r="A174" i="5"/>
  <c r="J173" i="5"/>
  <c r="F173" i="5"/>
  <c r="E173" i="5"/>
  <c r="C173" i="5"/>
  <c r="B173" i="5"/>
  <c r="A173" i="5"/>
  <c r="E172" i="5"/>
  <c r="C172" i="5"/>
  <c r="B172" i="5"/>
  <c r="A172" i="5"/>
  <c r="E171" i="5"/>
  <c r="E809" i="5" s="1"/>
  <c r="C171" i="5"/>
  <c r="B171" i="5"/>
  <c r="A171" i="5"/>
  <c r="E170" i="5"/>
  <c r="C170" i="5"/>
  <c r="B170" i="5"/>
  <c r="A170" i="5"/>
  <c r="E169" i="5"/>
  <c r="C169" i="5"/>
  <c r="B169" i="5"/>
  <c r="A169" i="5"/>
  <c r="J168" i="5"/>
  <c r="J792" i="5" s="1"/>
  <c r="F168" i="5"/>
  <c r="F792" i="5" s="1"/>
  <c r="E168" i="5"/>
  <c r="E792" i="5" s="1"/>
  <c r="C168" i="5"/>
  <c r="B168" i="5"/>
  <c r="A168" i="5"/>
  <c r="E167" i="5"/>
  <c r="C167" i="5"/>
  <c r="B167" i="5"/>
  <c r="A167" i="5"/>
  <c r="E166" i="5"/>
  <c r="E797" i="5" s="1"/>
  <c r="C166" i="5"/>
  <c r="B166" i="5"/>
  <c r="A166" i="5"/>
  <c r="E165" i="5"/>
  <c r="E796" i="5" s="1"/>
  <c r="C165" i="5"/>
  <c r="B165" i="5"/>
  <c r="A165" i="5"/>
  <c r="E164" i="5"/>
  <c r="C164" i="5"/>
  <c r="B164" i="5"/>
  <c r="A164" i="5"/>
  <c r="E163" i="5"/>
  <c r="E795" i="5" s="1"/>
  <c r="C163" i="5"/>
  <c r="B163" i="5"/>
  <c r="A163" i="5"/>
  <c r="J162" i="5"/>
  <c r="F162" i="5"/>
  <c r="F119" i="51" s="1"/>
  <c r="E162" i="5"/>
  <c r="C162" i="5"/>
  <c r="B162" i="5"/>
  <c r="A162" i="5"/>
  <c r="E161" i="5"/>
  <c r="C161" i="5"/>
  <c r="B161" i="5"/>
  <c r="A161" i="5"/>
  <c r="J160" i="5"/>
  <c r="F160" i="5"/>
  <c r="F117" i="51" s="1"/>
  <c r="E160" i="5"/>
  <c r="C160" i="5"/>
  <c r="B160" i="5"/>
  <c r="A160" i="5"/>
  <c r="J159" i="5"/>
  <c r="F159" i="5"/>
  <c r="F116" i="51" s="1"/>
  <c r="E159" i="5"/>
  <c r="C159" i="5"/>
  <c r="B159" i="5"/>
  <c r="A159" i="5"/>
  <c r="E158" i="5"/>
  <c r="C158" i="5"/>
  <c r="B158" i="5"/>
  <c r="A158" i="5"/>
  <c r="J157" i="5"/>
  <c r="F157" i="5"/>
  <c r="F114" i="51" s="1"/>
  <c r="E157" i="5"/>
  <c r="C157" i="5"/>
  <c r="B157" i="5"/>
  <c r="A157" i="5"/>
  <c r="J156" i="5"/>
  <c r="F156" i="5"/>
  <c r="F113" i="51" s="1"/>
  <c r="E156" i="5"/>
  <c r="C156" i="5"/>
  <c r="B156" i="5"/>
  <c r="A156" i="5"/>
  <c r="J155" i="5"/>
  <c r="F155" i="5"/>
  <c r="F112" i="51" s="1"/>
  <c r="E155" i="5"/>
  <c r="C155" i="5"/>
  <c r="B155" i="5"/>
  <c r="A155" i="5"/>
  <c r="J154" i="5"/>
  <c r="F154" i="5"/>
  <c r="F111" i="51" s="1"/>
  <c r="E154" i="5"/>
  <c r="C154" i="5"/>
  <c r="B154" i="5"/>
  <c r="A154" i="5"/>
  <c r="J153" i="5"/>
  <c r="F153" i="5"/>
  <c r="F110" i="51" s="1"/>
  <c r="E153" i="5"/>
  <c r="C153" i="5"/>
  <c r="B153" i="5"/>
  <c r="A153" i="5"/>
  <c r="J152" i="5"/>
  <c r="F152" i="5"/>
  <c r="E152" i="5"/>
  <c r="C152" i="5"/>
  <c r="B152" i="5"/>
  <c r="A152" i="5"/>
  <c r="J151" i="5"/>
  <c r="F151" i="5"/>
  <c r="E151" i="5"/>
  <c r="C151" i="5"/>
  <c r="B151" i="5"/>
  <c r="A151" i="5"/>
  <c r="J150" i="5"/>
  <c r="F150" i="5"/>
  <c r="E150" i="5"/>
  <c r="C150" i="5"/>
  <c r="B150" i="5"/>
  <c r="A150" i="5"/>
  <c r="J149" i="5"/>
  <c r="F149" i="5"/>
  <c r="E149" i="5"/>
  <c r="C149" i="5"/>
  <c r="B149" i="5"/>
  <c r="A149" i="5"/>
  <c r="J148" i="5"/>
  <c r="F148" i="5"/>
  <c r="F108" i="51" s="1"/>
  <c r="E148" i="5"/>
  <c r="C148" i="5"/>
  <c r="B148" i="5"/>
  <c r="A148" i="5"/>
  <c r="J147" i="5"/>
  <c r="F147" i="5"/>
  <c r="E147" i="5"/>
  <c r="C147" i="5"/>
  <c r="B147" i="5"/>
  <c r="A147" i="5"/>
  <c r="J146" i="5"/>
  <c r="F146" i="5"/>
  <c r="E146" i="5"/>
  <c r="C146" i="5"/>
  <c r="B146" i="5"/>
  <c r="A146" i="5"/>
  <c r="J145" i="5"/>
  <c r="F145" i="5"/>
  <c r="F107" i="51" s="1"/>
  <c r="E145" i="5"/>
  <c r="C145" i="5"/>
  <c r="B145" i="5"/>
  <c r="A145" i="5"/>
  <c r="J144" i="5"/>
  <c r="F144" i="5"/>
  <c r="E144" i="5"/>
  <c r="C144" i="5"/>
  <c r="B144" i="5"/>
  <c r="A144" i="5"/>
  <c r="J143" i="5"/>
  <c r="F143" i="5"/>
  <c r="E143" i="5"/>
  <c r="C143" i="5"/>
  <c r="B143" i="5"/>
  <c r="A143" i="5"/>
  <c r="J142" i="5"/>
  <c r="F142" i="5"/>
  <c r="E142" i="5"/>
  <c r="C142" i="5"/>
  <c r="B142" i="5"/>
  <c r="A142" i="5"/>
  <c r="J141" i="5"/>
  <c r="F141" i="5"/>
  <c r="F103" i="51" s="1"/>
  <c r="E141" i="5"/>
  <c r="C141" i="5"/>
  <c r="B141" i="5"/>
  <c r="A141" i="5"/>
  <c r="J140" i="5"/>
  <c r="F140" i="5"/>
  <c r="E140" i="5"/>
  <c r="C140" i="5"/>
  <c r="B140" i="5"/>
  <c r="A140" i="5"/>
  <c r="J139" i="5"/>
  <c r="F139" i="5"/>
  <c r="E139" i="5"/>
  <c r="C139" i="5"/>
  <c r="B139" i="5"/>
  <c r="A139" i="5"/>
  <c r="J138" i="5"/>
  <c r="F138" i="5"/>
  <c r="E138" i="5"/>
  <c r="C138" i="5"/>
  <c r="B138" i="5"/>
  <c r="A138" i="5"/>
  <c r="J137" i="5"/>
  <c r="F137" i="5"/>
  <c r="E137" i="5"/>
  <c r="C137" i="5"/>
  <c r="B137" i="5"/>
  <c r="A137" i="5"/>
  <c r="J136" i="5"/>
  <c r="F136" i="5"/>
  <c r="E136" i="5"/>
  <c r="C136" i="5"/>
  <c r="B136" i="5"/>
  <c r="A136" i="5"/>
  <c r="J135" i="5"/>
  <c r="F135" i="5"/>
  <c r="E135" i="5"/>
  <c r="C135" i="5"/>
  <c r="B135" i="5"/>
  <c r="A135" i="5"/>
  <c r="J134" i="5"/>
  <c r="F134" i="5"/>
  <c r="E134" i="5"/>
  <c r="C134" i="5"/>
  <c r="B134" i="5"/>
  <c r="A134" i="5"/>
  <c r="J133" i="5"/>
  <c r="F133" i="5"/>
  <c r="E133" i="5"/>
  <c r="C133" i="5"/>
  <c r="B133" i="5"/>
  <c r="A133" i="5"/>
  <c r="E132" i="5"/>
  <c r="C132" i="5"/>
  <c r="B132" i="5"/>
  <c r="A132" i="5"/>
  <c r="J131" i="5"/>
  <c r="F131" i="5"/>
  <c r="E131" i="5"/>
  <c r="C131" i="5"/>
  <c r="B131" i="5"/>
  <c r="A131" i="5"/>
  <c r="J130" i="5"/>
  <c r="F130" i="5"/>
  <c r="E130" i="5"/>
  <c r="C130" i="5"/>
  <c r="B130" i="5"/>
  <c r="A130" i="5"/>
  <c r="J129" i="5"/>
  <c r="F129" i="5"/>
  <c r="E129" i="5"/>
  <c r="C129" i="5"/>
  <c r="B129" i="5"/>
  <c r="A129" i="5"/>
  <c r="J128" i="5"/>
  <c r="F128" i="5"/>
  <c r="E128" i="5"/>
  <c r="C128" i="5"/>
  <c r="B128" i="5"/>
  <c r="A128" i="5"/>
  <c r="E127" i="5"/>
  <c r="C127" i="5"/>
  <c r="B127" i="5"/>
  <c r="A127" i="5"/>
  <c r="E126" i="5"/>
  <c r="C126" i="5"/>
  <c r="B126" i="5"/>
  <c r="A126" i="5"/>
  <c r="E125" i="5"/>
  <c r="E787" i="5" s="1"/>
  <c r="C125" i="5"/>
  <c r="B125" i="5"/>
  <c r="A125" i="5"/>
  <c r="E124" i="5"/>
  <c r="C124" i="5"/>
  <c r="B124" i="5"/>
  <c r="A124" i="5"/>
  <c r="J123" i="5"/>
  <c r="J873" i="5" s="1"/>
  <c r="F123" i="5"/>
  <c r="F873" i="5" s="1"/>
  <c r="E123" i="5"/>
  <c r="E873" i="5" s="1"/>
  <c r="C123" i="5"/>
  <c r="B123" i="5"/>
  <c r="A123" i="5"/>
  <c r="E122" i="5"/>
  <c r="C122" i="5"/>
  <c r="B122" i="5"/>
  <c r="A122" i="5"/>
  <c r="J121" i="5"/>
  <c r="J869" i="5" s="1"/>
  <c r="F121" i="5"/>
  <c r="F869" i="5" s="1"/>
  <c r="E121" i="5"/>
  <c r="E869" i="5" s="1"/>
  <c r="C121" i="5"/>
  <c r="B121" i="5"/>
  <c r="A121" i="5"/>
  <c r="J120" i="5"/>
  <c r="J865" i="5" s="1"/>
  <c r="F120" i="5"/>
  <c r="F865" i="5" s="1"/>
  <c r="E120" i="5"/>
  <c r="E865" i="5" s="1"/>
  <c r="C120" i="5"/>
  <c r="B120" i="5"/>
  <c r="A120" i="5"/>
  <c r="J119" i="5"/>
  <c r="J861" i="5" s="1"/>
  <c r="F119" i="5"/>
  <c r="F861" i="5" s="1"/>
  <c r="E119" i="5"/>
  <c r="E861" i="5" s="1"/>
  <c r="C119" i="5"/>
  <c r="B119" i="5"/>
  <c r="A119" i="5"/>
  <c r="J118" i="5"/>
  <c r="J857" i="5" s="1"/>
  <c r="F118" i="5"/>
  <c r="F857" i="5" s="1"/>
  <c r="E118" i="5"/>
  <c r="E857" i="5" s="1"/>
  <c r="C118" i="5"/>
  <c r="B118" i="5"/>
  <c r="A118" i="5"/>
  <c r="J117" i="5"/>
  <c r="J853" i="5" s="1"/>
  <c r="F117" i="5"/>
  <c r="F853" i="5" s="1"/>
  <c r="E117" i="5"/>
  <c r="E853" i="5" s="1"/>
  <c r="C117" i="5"/>
  <c r="B117" i="5"/>
  <c r="A117" i="5"/>
  <c r="J116" i="5"/>
  <c r="J849" i="5" s="1"/>
  <c r="F116" i="5"/>
  <c r="E116" i="5"/>
  <c r="E849" i="5" s="1"/>
  <c r="C116" i="5"/>
  <c r="B116" i="5"/>
  <c r="A116" i="5"/>
  <c r="J115" i="5"/>
  <c r="J845" i="5" s="1"/>
  <c r="F115" i="5"/>
  <c r="F845" i="5" s="1"/>
  <c r="E115" i="5"/>
  <c r="E845" i="5" s="1"/>
  <c r="C115" i="5"/>
  <c r="B115" i="5"/>
  <c r="A115" i="5"/>
  <c r="J114" i="5"/>
  <c r="J841" i="5" s="1"/>
  <c r="F114" i="5"/>
  <c r="F841" i="5" s="1"/>
  <c r="E114" i="5"/>
  <c r="E841" i="5" s="1"/>
  <c r="C114" i="5"/>
  <c r="B114" i="5"/>
  <c r="A114" i="5"/>
  <c r="J113" i="5"/>
  <c r="J837" i="5" s="1"/>
  <c r="F113" i="5"/>
  <c r="F837" i="5" s="1"/>
  <c r="E113" i="5"/>
  <c r="E837" i="5" s="1"/>
  <c r="C113" i="5"/>
  <c r="B113" i="5"/>
  <c r="A113" i="5"/>
  <c r="J112" i="5"/>
  <c r="F112" i="5"/>
  <c r="F88" i="51" s="1"/>
  <c r="E112" i="5"/>
  <c r="C112" i="5"/>
  <c r="B112" i="5"/>
  <c r="A112" i="5"/>
  <c r="J111" i="5"/>
  <c r="J833" i="5" s="1"/>
  <c r="F111" i="5"/>
  <c r="F833" i="5" s="1"/>
  <c r="E111" i="5"/>
  <c r="E833" i="5" s="1"/>
  <c r="C111" i="5"/>
  <c r="B111" i="5"/>
  <c r="A111" i="5"/>
  <c r="E110" i="5"/>
  <c r="C110" i="5"/>
  <c r="B110" i="5"/>
  <c r="A110" i="5"/>
  <c r="E109" i="5"/>
  <c r="C109" i="5"/>
  <c r="B109" i="5"/>
  <c r="A109" i="5"/>
  <c r="E108" i="5"/>
  <c r="C108" i="5"/>
  <c r="B108" i="5"/>
  <c r="A108" i="5"/>
  <c r="J107" i="5"/>
  <c r="F107" i="5"/>
  <c r="F83" i="51" s="1"/>
  <c r="E107" i="5"/>
  <c r="C107" i="5"/>
  <c r="B107" i="5"/>
  <c r="A107" i="5"/>
  <c r="J106" i="5"/>
  <c r="F106" i="5"/>
  <c r="F82" i="51" s="1"/>
  <c r="E106" i="5"/>
  <c r="C106" i="5"/>
  <c r="B106" i="5"/>
  <c r="A106" i="5"/>
  <c r="J105" i="5"/>
  <c r="F105" i="5"/>
  <c r="F81" i="51" s="1"/>
  <c r="E105" i="5"/>
  <c r="C105" i="5"/>
  <c r="B105" i="5"/>
  <c r="A105" i="5"/>
  <c r="J104" i="5"/>
  <c r="F104" i="5"/>
  <c r="F80" i="51" s="1"/>
  <c r="E104" i="5"/>
  <c r="C104" i="5"/>
  <c r="B104" i="5"/>
  <c r="A104" i="5"/>
  <c r="J103" i="5"/>
  <c r="F103" i="5"/>
  <c r="F79" i="51" s="1"/>
  <c r="E103" i="5"/>
  <c r="C103" i="5"/>
  <c r="B103" i="5"/>
  <c r="A103" i="5"/>
  <c r="J102" i="5"/>
  <c r="F102" i="5"/>
  <c r="F78" i="51" s="1"/>
  <c r="E102" i="5"/>
  <c r="C102" i="5"/>
  <c r="B102" i="5"/>
  <c r="A102" i="5"/>
  <c r="J101" i="5"/>
  <c r="F101" i="5"/>
  <c r="F77" i="51" s="1"/>
  <c r="E101" i="5"/>
  <c r="C101" i="5"/>
  <c r="B101" i="5"/>
  <c r="A101" i="5"/>
  <c r="E100" i="5"/>
  <c r="C100" i="5"/>
  <c r="B100" i="5"/>
  <c r="A100" i="5"/>
  <c r="J99" i="5"/>
  <c r="F99" i="5"/>
  <c r="E99" i="5"/>
  <c r="C99" i="5"/>
  <c r="B99" i="5"/>
  <c r="A99" i="5"/>
  <c r="J98" i="5"/>
  <c r="F98" i="5"/>
  <c r="E98" i="5"/>
  <c r="C98" i="5"/>
  <c r="B98" i="5"/>
  <c r="A98" i="5"/>
  <c r="J97" i="5"/>
  <c r="F97" i="5"/>
  <c r="E97" i="5"/>
  <c r="C97" i="5"/>
  <c r="B97" i="5"/>
  <c r="A97" i="5"/>
  <c r="J96" i="5"/>
  <c r="F96" i="5"/>
  <c r="F75" i="51" s="1"/>
  <c r="E96" i="5"/>
  <c r="C96" i="5"/>
  <c r="B96" i="5"/>
  <c r="A96" i="5"/>
  <c r="J95" i="5"/>
  <c r="F95" i="5"/>
  <c r="E95" i="5"/>
  <c r="C95" i="5"/>
  <c r="B95" i="5"/>
  <c r="A95" i="5"/>
  <c r="E93" i="5"/>
  <c r="C93" i="5"/>
  <c r="B93" i="5"/>
  <c r="A93" i="5"/>
  <c r="E92" i="5"/>
  <c r="C92" i="5"/>
  <c r="B92" i="5"/>
  <c r="A92" i="5"/>
  <c r="J91" i="5"/>
  <c r="F91" i="5"/>
  <c r="F71" i="51" s="1"/>
  <c r="E91" i="5"/>
  <c r="C91" i="5"/>
  <c r="B91" i="5"/>
  <c r="A91" i="5"/>
  <c r="J90" i="5"/>
  <c r="F90" i="5"/>
  <c r="F70" i="51" s="1"/>
  <c r="E90" i="5"/>
  <c r="C90" i="5"/>
  <c r="B90" i="5"/>
  <c r="A90" i="5"/>
  <c r="J89" i="5"/>
  <c r="F89" i="5"/>
  <c r="F69" i="51" s="1"/>
  <c r="E89" i="5"/>
  <c r="C89" i="5"/>
  <c r="B89" i="5"/>
  <c r="A89" i="5"/>
  <c r="J80" i="5"/>
  <c r="F80" i="5"/>
  <c r="E80" i="5"/>
  <c r="C80" i="5"/>
  <c r="B80" i="5"/>
  <c r="A80" i="5"/>
  <c r="J79" i="5"/>
  <c r="F79" i="5"/>
  <c r="E79" i="5"/>
  <c r="C79" i="5"/>
  <c r="B79" i="5"/>
  <c r="A79" i="5"/>
  <c r="J94" i="5"/>
  <c r="F94" i="5"/>
  <c r="E94" i="5"/>
  <c r="C94" i="5"/>
  <c r="B94" i="5"/>
  <c r="A94" i="5"/>
  <c r="J88" i="5"/>
  <c r="F88" i="5"/>
  <c r="E88" i="5"/>
  <c r="C88" i="5"/>
  <c r="B88" i="5"/>
  <c r="A88" i="5"/>
  <c r="J86" i="5"/>
  <c r="F86" i="5"/>
  <c r="E86" i="5"/>
  <c r="C86" i="5"/>
  <c r="B86" i="5"/>
  <c r="A86" i="5"/>
  <c r="J85" i="5"/>
  <c r="F85" i="5"/>
  <c r="F68" i="51" s="1"/>
  <c r="E85" i="5"/>
  <c r="C85" i="5"/>
  <c r="B85" i="5"/>
  <c r="A85" i="5"/>
  <c r="J84" i="5"/>
  <c r="F84" i="5"/>
  <c r="F67" i="51" s="1"/>
  <c r="E84" i="5"/>
  <c r="C84" i="5"/>
  <c r="B84" i="5"/>
  <c r="A84" i="5"/>
  <c r="E83" i="5"/>
  <c r="C83" i="5"/>
  <c r="B83" i="5"/>
  <c r="A83" i="5"/>
  <c r="J82" i="5"/>
  <c r="F82" i="5"/>
  <c r="F65" i="51" s="1"/>
  <c r="E82" i="5"/>
  <c r="C82" i="5"/>
  <c r="B82" i="5"/>
  <c r="A82" i="5"/>
  <c r="J81" i="5"/>
  <c r="F81" i="5"/>
  <c r="F64" i="51" s="1"/>
  <c r="E81" i="5"/>
  <c r="C81" i="5"/>
  <c r="B81" i="5"/>
  <c r="A81" i="5"/>
  <c r="J87" i="5"/>
  <c r="F87" i="5"/>
  <c r="E87" i="5"/>
  <c r="C87" i="5"/>
  <c r="B87" i="5"/>
  <c r="A87" i="5"/>
  <c r="J77" i="5"/>
  <c r="F77" i="5"/>
  <c r="E77" i="5"/>
  <c r="C77" i="5"/>
  <c r="B77" i="5"/>
  <c r="A77" i="5"/>
  <c r="J76" i="5"/>
  <c r="F76" i="5"/>
  <c r="E76" i="5"/>
  <c r="C76" i="5"/>
  <c r="B76" i="5"/>
  <c r="A76" i="5"/>
  <c r="J75" i="5"/>
  <c r="F75" i="5"/>
  <c r="F63" i="51" s="1"/>
  <c r="E75" i="5"/>
  <c r="C75" i="5"/>
  <c r="B75" i="5"/>
  <c r="A75" i="5"/>
  <c r="J74" i="5"/>
  <c r="F74" i="5"/>
  <c r="F62" i="51" s="1"/>
  <c r="E74" i="5"/>
  <c r="C74" i="5"/>
  <c r="B74" i="5"/>
  <c r="A74" i="5"/>
  <c r="J73" i="5"/>
  <c r="F73" i="5"/>
  <c r="E73" i="5"/>
  <c r="C73" i="5"/>
  <c r="B73" i="5"/>
  <c r="A73" i="5"/>
  <c r="E72" i="5"/>
  <c r="C72" i="5"/>
  <c r="B72" i="5"/>
  <c r="A72" i="5"/>
  <c r="J71" i="5"/>
  <c r="F71" i="5"/>
  <c r="F60" i="51" s="1"/>
  <c r="E71" i="5"/>
  <c r="C71" i="5"/>
  <c r="B71" i="5"/>
  <c r="A71" i="5"/>
  <c r="J70" i="5"/>
  <c r="F70" i="5"/>
  <c r="F59" i="51" s="1"/>
  <c r="E70" i="5"/>
  <c r="C70" i="5"/>
  <c r="B70" i="5"/>
  <c r="A70" i="5"/>
  <c r="J69" i="5"/>
  <c r="F69" i="5"/>
  <c r="F58" i="51" s="1"/>
  <c r="E69" i="5"/>
  <c r="C69" i="5"/>
  <c r="B69" i="5"/>
  <c r="A69" i="5"/>
  <c r="J68" i="5"/>
  <c r="F68" i="5"/>
  <c r="E68" i="5"/>
  <c r="C68" i="5"/>
  <c r="B68" i="5"/>
  <c r="A68" i="5"/>
  <c r="J78" i="5"/>
  <c r="F78" i="5"/>
  <c r="E78" i="5"/>
  <c r="C78" i="5"/>
  <c r="B78" i="5"/>
  <c r="A78" i="5"/>
  <c r="J67" i="5"/>
  <c r="F67" i="5"/>
  <c r="E67" i="5"/>
  <c r="C67" i="5"/>
  <c r="B67" i="5"/>
  <c r="A67" i="5"/>
  <c r="J66" i="5"/>
  <c r="F66" i="5"/>
  <c r="E66" i="5"/>
  <c r="C66" i="5"/>
  <c r="B66" i="5"/>
  <c r="A66" i="5"/>
  <c r="E65" i="5"/>
  <c r="C65" i="5"/>
  <c r="B65" i="5"/>
  <c r="A65" i="5"/>
  <c r="E64" i="5"/>
  <c r="E786" i="5" s="1"/>
  <c r="C64" i="5"/>
  <c r="B64" i="5"/>
  <c r="A64" i="5"/>
  <c r="E63" i="5"/>
  <c r="C63" i="5"/>
  <c r="B63" i="5"/>
  <c r="A63" i="5"/>
  <c r="J62" i="5"/>
  <c r="F62" i="5"/>
  <c r="F53" i="51" s="1"/>
  <c r="E62" i="5"/>
  <c r="C62" i="5"/>
  <c r="B62" i="5"/>
  <c r="A62" i="5"/>
  <c r="J61" i="5"/>
  <c r="F61" i="5"/>
  <c r="F52" i="51" s="1"/>
  <c r="E61" i="5"/>
  <c r="C61" i="5"/>
  <c r="B61" i="5"/>
  <c r="A61" i="5"/>
  <c r="J60" i="5"/>
  <c r="F60" i="5"/>
  <c r="F51" i="51" s="1"/>
  <c r="E60" i="5"/>
  <c r="C60" i="5"/>
  <c r="B60" i="5"/>
  <c r="A60" i="5"/>
  <c r="J59" i="5"/>
  <c r="F59" i="5"/>
  <c r="F50" i="51" s="1"/>
  <c r="E59" i="5"/>
  <c r="C59" i="5"/>
  <c r="B59" i="5"/>
  <c r="A59" i="5"/>
  <c r="J58" i="5"/>
  <c r="F58" i="5"/>
  <c r="F49" i="51" s="1"/>
  <c r="E58" i="5"/>
  <c r="C58" i="5"/>
  <c r="B58" i="5"/>
  <c r="A58" i="5"/>
  <c r="J57" i="5"/>
  <c r="F57" i="5"/>
  <c r="F48" i="51" s="1"/>
  <c r="E57" i="5"/>
  <c r="C57" i="5"/>
  <c r="B57" i="5"/>
  <c r="A57" i="5"/>
  <c r="J56" i="5"/>
  <c r="F56" i="5"/>
  <c r="E56" i="5"/>
  <c r="C56" i="5"/>
  <c r="B56" i="5"/>
  <c r="A56" i="5"/>
  <c r="J55" i="5"/>
  <c r="F55" i="5"/>
  <c r="F47" i="51" s="1"/>
  <c r="E55" i="5"/>
  <c r="C55" i="5"/>
  <c r="B55" i="5"/>
  <c r="A55" i="5"/>
  <c r="J54" i="5"/>
  <c r="F54" i="5"/>
  <c r="F46" i="51" s="1"/>
  <c r="E54" i="5"/>
  <c r="C54" i="5"/>
  <c r="B54" i="5"/>
  <c r="A54" i="5"/>
  <c r="J53" i="5"/>
  <c r="F53" i="5"/>
  <c r="F45" i="51" s="1"/>
  <c r="E53" i="5"/>
  <c r="C53" i="5"/>
  <c r="B53" i="5"/>
  <c r="A53" i="5"/>
  <c r="J52" i="5"/>
  <c r="F52" i="5"/>
  <c r="F44" i="51" s="1"/>
  <c r="E52" i="5"/>
  <c r="C52" i="5"/>
  <c r="B52" i="5"/>
  <c r="A52" i="5"/>
  <c r="E51" i="5"/>
  <c r="C51" i="5"/>
  <c r="B51" i="5"/>
  <c r="A51" i="5"/>
  <c r="J50" i="5"/>
  <c r="F50" i="5"/>
  <c r="F42" i="51" s="1"/>
  <c r="E50" i="5"/>
  <c r="C50" i="5"/>
  <c r="B50" i="5"/>
  <c r="A50" i="5"/>
  <c r="J49" i="5"/>
  <c r="F49" i="5"/>
  <c r="F41" i="51" s="1"/>
  <c r="E49" i="5"/>
  <c r="C49" i="5"/>
  <c r="B49" i="5"/>
  <c r="A49" i="5"/>
  <c r="E48" i="5"/>
  <c r="C48" i="5"/>
  <c r="B48" i="5"/>
  <c r="A48" i="5"/>
  <c r="J47" i="5"/>
  <c r="F47" i="5"/>
  <c r="F39" i="51" s="1"/>
  <c r="E47" i="5"/>
  <c r="C47" i="5"/>
  <c r="B47" i="5"/>
  <c r="A47" i="5"/>
  <c r="J46" i="5"/>
  <c r="F46" i="5"/>
  <c r="F38" i="51" s="1"/>
  <c r="E46" i="5"/>
  <c r="C46" i="5"/>
  <c r="B46" i="5"/>
  <c r="A46" i="5"/>
  <c r="J45" i="5"/>
  <c r="F45" i="5"/>
  <c r="F37" i="51" s="1"/>
  <c r="E45" i="5"/>
  <c r="C45" i="5"/>
  <c r="B45" i="5"/>
  <c r="A45" i="5"/>
  <c r="J44" i="5"/>
  <c r="F44" i="5"/>
  <c r="F36" i="51" s="1"/>
  <c r="E44" i="5"/>
  <c r="C44" i="5"/>
  <c r="B44" i="5"/>
  <c r="A44" i="5"/>
  <c r="J43" i="5"/>
  <c r="F43" i="5"/>
  <c r="F35" i="51" s="1"/>
  <c r="E43" i="5"/>
  <c r="C43" i="5"/>
  <c r="B43" i="5"/>
  <c r="A43" i="5"/>
  <c r="J42" i="5"/>
  <c r="F42" i="5"/>
  <c r="F34" i="51" s="1"/>
  <c r="E42" i="5"/>
  <c r="C42" i="5"/>
  <c r="B42" i="5"/>
  <c r="A42" i="5"/>
  <c r="J41" i="5"/>
  <c r="F41" i="5"/>
  <c r="F33" i="51" s="1"/>
  <c r="E41" i="5"/>
  <c r="C41" i="5"/>
  <c r="B41" i="5"/>
  <c r="A41" i="5"/>
  <c r="J40" i="5"/>
  <c r="F40" i="5"/>
  <c r="F32" i="51" s="1"/>
  <c r="E40" i="5"/>
  <c r="C40" i="5"/>
  <c r="B40" i="5"/>
  <c r="A40" i="5"/>
  <c r="J39" i="5"/>
  <c r="F39" i="5"/>
  <c r="F31" i="51" s="1"/>
  <c r="E39" i="5"/>
  <c r="C39" i="5"/>
  <c r="B39" i="5"/>
  <c r="A39" i="5"/>
  <c r="J38" i="5"/>
  <c r="F38" i="5"/>
  <c r="F30" i="51" s="1"/>
  <c r="E38" i="5"/>
  <c r="C38" i="5"/>
  <c r="B38" i="5"/>
  <c r="A38" i="5"/>
  <c r="J37" i="5"/>
  <c r="F37" i="5"/>
  <c r="E37" i="5"/>
  <c r="C37" i="5"/>
  <c r="B37" i="5"/>
  <c r="A37" i="5"/>
  <c r="E36" i="5"/>
  <c r="C36" i="5"/>
  <c r="B36" i="5"/>
  <c r="A36" i="5"/>
  <c r="E35" i="5"/>
  <c r="C35" i="5"/>
  <c r="B35" i="5"/>
  <c r="A35" i="5"/>
  <c r="J34" i="5"/>
  <c r="F34" i="5"/>
  <c r="F27" i="51" s="1"/>
  <c r="E34" i="5"/>
  <c r="C34" i="5"/>
  <c r="B34" i="5"/>
  <c r="A34" i="5"/>
  <c r="J33" i="5"/>
  <c r="F33" i="5"/>
  <c r="F26" i="51" s="1"/>
  <c r="E33" i="5"/>
  <c r="C33" i="5"/>
  <c r="B33" i="5"/>
  <c r="A33" i="5"/>
  <c r="J32" i="5"/>
  <c r="F32" i="5"/>
  <c r="F25" i="51" s="1"/>
  <c r="E32" i="5"/>
  <c r="C32" i="5"/>
  <c r="B32" i="5"/>
  <c r="A32" i="5"/>
  <c r="J31" i="5"/>
  <c r="F31" i="5"/>
  <c r="E31" i="5"/>
  <c r="C31" i="5"/>
  <c r="B31" i="5"/>
  <c r="A31" i="5"/>
  <c r="J30" i="5"/>
  <c r="F30" i="5"/>
  <c r="E30" i="5"/>
  <c r="C30" i="5"/>
  <c r="B30" i="5"/>
  <c r="A30" i="5"/>
  <c r="J29" i="5"/>
  <c r="F29" i="5"/>
  <c r="E29" i="5"/>
  <c r="C29" i="5"/>
  <c r="B29" i="5"/>
  <c r="A29" i="5"/>
  <c r="J28" i="5"/>
  <c r="F28" i="5"/>
  <c r="E28" i="5"/>
  <c r="C28" i="5"/>
  <c r="B28" i="5"/>
  <c r="A28" i="5"/>
  <c r="J27" i="5"/>
  <c r="F27" i="5"/>
  <c r="F23" i="51" s="1"/>
  <c r="E27" i="5"/>
  <c r="C27" i="5"/>
  <c r="B27" i="5"/>
  <c r="A27" i="5"/>
  <c r="J26" i="5"/>
  <c r="F26" i="5"/>
  <c r="F22" i="51" s="1"/>
  <c r="E26" i="5"/>
  <c r="C26" i="5"/>
  <c r="B26" i="5"/>
  <c r="A26" i="5"/>
  <c r="E25" i="5"/>
  <c r="C25" i="5"/>
  <c r="B25" i="5"/>
  <c r="A25" i="5"/>
  <c r="J24" i="5"/>
  <c r="F24" i="5"/>
  <c r="E24" i="5"/>
  <c r="C24" i="5"/>
  <c r="B24" i="5"/>
  <c r="A24" i="5"/>
  <c r="J23" i="5"/>
  <c r="F23" i="5"/>
  <c r="E23" i="5"/>
  <c r="C23" i="5"/>
  <c r="B23" i="5"/>
  <c r="A23" i="5"/>
  <c r="J22" i="5"/>
  <c r="F22" i="5"/>
  <c r="E22" i="5"/>
  <c r="C22" i="5"/>
  <c r="B22" i="5"/>
  <c r="A22" i="5"/>
  <c r="J21" i="5"/>
  <c r="F21" i="5"/>
  <c r="E21" i="5"/>
  <c r="C21" i="5"/>
  <c r="B21" i="5"/>
  <c r="A21" i="5"/>
  <c r="J20" i="5"/>
  <c r="F20" i="5"/>
  <c r="F19" i="51" s="1"/>
  <c r="E20" i="5"/>
  <c r="C20" i="5"/>
  <c r="B20" i="5"/>
  <c r="A20" i="5"/>
  <c r="J19" i="5"/>
  <c r="F19" i="5"/>
  <c r="E19" i="5"/>
  <c r="C19" i="5"/>
  <c r="B19" i="5"/>
  <c r="A19" i="5"/>
  <c r="J18" i="5"/>
  <c r="F18" i="5"/>
  <c r="E18" i="5"/>
  <c r="C18" i="5"/>
  <c r="B18" i="5"/>
  <c r="A18" i="5"/>
  <c r="E17" i="5"/>
  <c r="C17" i="5"/>
  <c r="B17" i="5"/>
  <c r="A17" i="5"/>
  <c r="J16" i="5"/>
  <c r="F16" i="5"/>
  <c r="F16" i="51" s="1"/>
  <c r="E16" i="5"/>
  <c r="C16" i="5"/>
  <c r="B16" i="5"/>
  <c r="A16" i="5"/>
  <c r="J15" i="5"/>
  <c r="F15" i="5"/>
  <c r="F15" i="51" s="1"/>
  <c r="E15" i="5"/>
  <c r="C15" i="5"/>
  <c r="B15" i="5"/>
  <c r="A15" i="5"/>
  <c r="J14" i="5"/>
  <c r="F14" i="5"/>
  <c r="F14" i="51" s="1"/>
  <c r="E14" i="5"/>
  <c r="C14" i="5"/>
  <c r="B14" i="5"/>
  <c r="A14" i="5"/>
  <c r="J13" i="5"/>
  <c r="F13" i="5"/>
  <c r="E13" i="5"/>
  <c r="C13" i="5"/>
  <c r="B13" i="5"/>
  <c r="A13" i="5"/>
  <c r="J12" i="5"/>
  <c r="F12" i="5"/>
  <c r="E12" i="5"/>
  <c r="C12" i="5"/>
  <c r="B12" i="5"/>
  <c r="A12" i="5"/>
  <c r="J11" i="5"/>
  <c r="F94" i="8" s="1"/>
  <c r="F98" i="8" s="1"/>
  <c r="F11" i="5"/>
  <c r="E11" i="5"/>
  <c r="C11" i="5"/>
  <c r="B11" i="5"/>
  <c r="A11" i="5"/>
  <c r="E10" i="5"/>
  <c r="C10" i="5"/>
  <c r="B10" i="5"/>
  <c r="A10" i="5"/>
  <c r="E9" i="5"/>
  <c r="C9" i="5"/>
  <c r="B9" i="5"/>
  <c r="A9" i="5"/>
  <c r="K4" i="5"/>
  <c r="J4" i="5"/>
  <c r="F4" i="5"/>
  <c r="K3" i="5"/>
  <c r="J3" i="5"/>
  <c r="F2" i="5"/>
  <c r="AD55" i="2"/>
  <c r="AB55" i="2"/>
  <c r="AA55" i="2"/>
  <c r="Z55" i="2"/>
  <c r="Y55" i="2"/>
  <c r="X55" i="2"/>
  <c r="W55" i="2"/>
  <c r="V55" i="2"/>
  <c r="U55" i="2"/>
  <c r="T55" i="2"/>
  <c r="S55" i="2"/>
  <c r="R55" i="2"/>
  <c r="P55" i="2"/>
  <c r="N55" i="2"/>
  <c r="M55" i="2"/>
  <c r="L55" i="2"/>
  <c r="K55" i="2"/>
  <c r="J55" i="2"/>
  <c r="I55" i="2"/>
  <c r="H55" i="2"/>
  <c r="G55" i="2"/>
  <c r="F55" i="2"/>
  <c r="E55" i="2"/>
  <c r="D55" i="2"/>
  <c r="Y47" i="2"/>
  <c r="AA41" i="2"/>
  <c r="N41" i="2"/>
  <c r="C41" i="2"/>
  <c r="C40" i="2"/>
  <c r="M48" i="2" s="1"/>
  <c r="AE39" i="2"/>
  <c r="Q39" i="2"/>
  <c r="C39" i="2"/>
  <c r="AE38" i="2"/>
  <c r="Q38" i="2"/>
  <c r="AE37" i="2"/>
  <c r="Q37" i="2"/>
  <c r="P36" i="2"/>
  <c r="O36" i="2"/>
  <c r="N36" i="2"/>
  <c r="M36" i="2"/>
  <c r="L36" i="2"/>
  <c r="K36" i="2"/>
  <c r="J36" i="2"/>
  <c r="I36" i="2"/>
  <c r="H36" i="2"/>
  <c r="G36" i="2"/>
  <c r="F36" i="2"/>
  <c r="E36" i="2"/>
  <c r="D36" i="2"/>
  <c r="C36" i="2"/>
  <c r="AE35" i="2"/>
  <c r="Q35" i="2"/>
  <c r="C35" i="2"/>
  <c r="AE34" i="2"/>
  <c r="Q34" i="2"/>
  <c r="C34" i="2"/>
  <c r="AE33" i="2"/>
  <c r="Q33" i="2"/>
  <c r="C33" i="2"/>
  <c r="AE32" i="2"/>
  <c r="Q32" i="2"/>
  <c r="C32" i="2"/>
  <c r="AE31" i="2"/>
  <c r="Q31" i="2"/>
  <c r="AE30" i="2"/>
  <c r="Q30" i="2"/>
  <c r="P29" i="2"/>
  <c r="O29" i="2"/>
  <c r="N29" i="2"/>
  <c r="M29" i="2"/>
  <c r="L29" i="2"/>
  <c r="K29" i="2"/>
  <c r="J29" i="2"/>
  <c r="I29" i="2"/>
  <c r="H29" i="2"/>
  <c r="G29" i="2"/>
  <c r="F29" i="2"/>
  <c r="E29" i="2"/>
  <c r="D29" i="2"/>
  <c r="AE28" i="2"/>
  <c r="Q28" i="2"/>
  <c r="C28" i="2"/>
  <c r="AE27" i="2"/>
  <c r="Q27" i="2"/>
  <c r="AE26" i="2"/>
  <c r="Q26" i="2"/>
  <c r="C26" i="2"/>
  <c r="AE25" i="2"/>
  <c r="Q25" i="2"/>
  <c r="C25" i="2"/>
  <c r="P24" i="2"/>
  <c r="O24" i="2"/>
  <c r="N24" i="2"/>
  <c r="M24" i="2"/>
  <c r="L24" i="2"/>
  <c r="K24" i="2"/>
  <c r="J24" i="2"/>
  <c r="I24" i="2"/>
  <c r="H24" i="2"/>
  <c r="G24" i="2"/>
  <c r="F24" i="2"/>
  <c r="E24" i="2"/>
  <c r="D24" i="2"/>
  <c r="C24" i="2"/>
  <c r="AE23" i="2"/>
  <c r="Q23" i="2"/>
  <c r="C23" i="2"/>
  <c r="AE22" i="2"/>
  <c r="Q22" i="2"/>
  <c r="AE21" i="2"/>
  <c r="Q21" i="2"/>
  <c r="C21" i="2"/>
  <c r="AE20" i="2"/>
  <c r="Q20" i="2"/>
  <c r="C20" i="2"/>
  <c r="P19" i="2"/>
  <c r="P15" i="2" s="1"/>
  <c r="O19" i="2"/>
  <c r="N19" i="2"/>
  <c r="M19" i="2"/>
  <c r="L19" i="2"/>
  <c r="K19" i="2"/>
  <c r="J19" i="2"/>
  <c r="I19" i="2"/>
  <c r="H19" i="2"/>
  <c r="G19" i="2"/>
  <c r="F19" i="2"/>
  <c r="E19" i="2"/>
  <c r="D19" i="2"/>
  <c r="C19" i="2"/>
  <c r="C18" i="2"/>
  <c r="AE17" i="2"/>
  <c r="Q17" i="2"/>
  <c r="C17" i="2"/>
  <c r="C16" i="2"/>
  <c r="C15" i="2"/>
  <c r="P14" i="2"/>
  <c r="AD47" i="2" s="1"/>
  <c r="O14" i="2"/>
  <c r="AC47" i="2" s="1"/>
  <c r="M14" i="2"/>
  <c r="AA47" i="2" s="1"/>
  <c r="L14" i="2"/>
  <c r="K14" i="2"/>
  <c r="J14" i="2"/>
  <c r="X47" i="2" s="1"/>
  <c r="I14" i="2"/>
  <c r="H14" i="2"/>
  <c r="G14" i="2"/>
  <c r="U47" i="2" s="1"/>
  <c r="F14" i="2"/>
  <c r="T47" i="2" s="1"/>
  <c r="E14" i="2"/>
  <c r="S47" i="2" s="1"/>
  <c r="D14" i="2"/>
  <c r="C14" i="2"/>
  <c r="AE13" i="2"/>
  <c r="Q13" i="2"/>
  <c r="C13" i="2"/>
  <c r="AE12" i="2"/>
  <c r="Q12" i="2"/>
  <c r="C12" i="2"/>
  <c r="AE11" i="2"/>
  <c r="Q11" i="2"/>
  <c r="C11" i="2"/>
  <c r="AE10" i="2"/>
  <c r="Q10" i="2"/>
  <c r="C10" i="2"/>
  <c r="AE9" i="2"/>
  <c r="C9" i="2"/>
  <c r="M47" i="2" s="1"/>
  <c r="C5" i="2"/>
  <c r="C4" i="2"/>
  <c r="F122" i="8"/>
  <c r="E122" i="8"/>
  <c r="F121" i="8"/>
  <c r="C109" i="8"/>
  <c r="E103" i="8"/>
  <c r="C98" i="8"/>
  <c r="C125" i="8" s="1"/>
  <c r="A98" i="8"/>
  <c r="C97" i="8"/>
  <c r="A97" i="8"/>
  <c r="C96" i="8"/>
  <c r="A96" i="8"/>
  <c r="C95" i="8"/>
  <c r="A95" i="8"/>
  <c r="C94" i="8"/>
  <c r="A94" i="8"/>
  <c r="C93" i="8"/>
  <c r="A93" i="8"/>
  <c r="C92" i="8"/>
  <c r="A92" i="8"/>
  <c r="C91" i="8"/>
  <c r="A91" i="8"/>
  <c r="C90" i="8"/>
  <c r="A90" i="8"/>
  <c r="C89" i="8"/>
  <c r="A89" i="8"/>
  <c r="C88" i="8"/>
  <c r="C113" i="8" s="1"/>
  <c r="A88" i="8"/>
  <c r="C87" i="8"/>
  <c r="A87" i="8"/>
  <c r="C86" i="8"/>
  <c r="A86" i="8"/>
  <c r="C85" i="8"/>
  <c r="A85" i="8"/>
  <c r="C84" i="8"/>
  <c r="A84" i="8"/>
  <c r="C83" i="8"/>
  <c r="A83" i="8"/>
  <c r="C82" i="8"/>
  <c r="A82" i="8"/>
  <c r="C81" i="8"/>
  <c r="A81" i="8"/>
  <c r="C80" i="8"/>
  <c r="A80" i="8"/>
  <c r="C79" i="8"/>
  <c r="A79" i="8"/>
  <c r="C78" i="8"/>
  <c r="A78" i="8"/>
  <c r="C77" i="8"/>
  <c r="A77" i="8"/>
  <c r="C76" i="8"/>
  <c r="A76" i="8"/>
  <c r="C75" i="8"/>
  <c r="A75" i="8"/>
  <c r="C74" i="8"/>
  <c r="A74" i="8"/>
  <c r="C73" i="8"/>
  <c r="A73" i="8"/>
  <c r="A72" i="8"/>
  <c r="C71" i="8"/>
  <c r="C108" i="8" s="1"/>
  <c r="A71" i="8"/>
  <c r="C70" i="8"/>
  <c r="A70" i="8"/>
  <c r="C66" i="8"/>
  <c r="C65" i="8"/>
  <c r="C118" i="8" s="1"/>
  <c r="A65" i="8"/>
  <c r="C64" i="8"/>
  <c r="C103" i="8" s="1"/>
  <c r="A64" i="8"/>
  <c r="C63" i="8"/>
  <c r="C126" i="8" s="1"/>
  <c r="A63" i="8"/>
  <c r="C62" i="8"/>
  <c r="A62" i="8"/>
  <c r="C61" i="8"/>
  <c r="A61" i="8"/>
  <c r="C60" i="8"/>
  <c r="A60" i="8"/>
  <c r="C59" i="8"/>
  <c r="A59" i="8"/>
  <c r="C58" i="8"/>
  <c r="A58" i="8"/>
  <c r="C57" i="8"/>
  <c r="A57" i="8"/>
  <c r="C56" i="8"/>
  <c r="A56" i="8"/>
  <c r="C55" i="8"/>
  <c r="A55" i="8"/>
  <c r="C54" i="8"/>
  <c r="A54" i="8"/>
  <c r="C53" i="8"/>
  <c r="A53" i="8"/>
  <c r="C52" i="8"/>
  <c r="A52" i="8"/>
  <c r="C51" i="8"/>
  <c r="A51" i="8"/>
  <c r="C50" i="8"/>
  <c r="A50" i="8"/>
  <c r="C49" i="8"/>
  <c r="A49" i="8"/>
  <c r="C48" i="8"/>
  <c r="A48" i="8"/>
  <c r="C47" i="8"/>
  <c r="A47" i="8"/>
  <c r="C46" i="8"/>
  <c r="A46" i="8"/>
  <c r="C45" i="8"/>
  <c r="A45" i="8"/>
  <c r="C44" i="8"/>
  <c r="A44" i="8"/>
  <c r="C43" i="8"/>
  <c r="A43" i="8"/>
  <c r="C42" i="8"/>
  <c r="A42" i="8"/>
  <c r="C41" i="8"/>
  <c r="A41" i="8"/>
  <c r="C40" i="8"/>
  <c r="A40" i="8"/>
  <c r="C39" i="8"/>
  <c r="A39" i="8"/>
  <c r="C38" i="8"/>
  <c r="A38" i="8"/>
  <c r="C37" i="8"/>
  <c r="A37" i="8"/>
  <c r="C36" i="8"/>
  <c r="A36" i="8"/>
  <c r="C35" i="8"/>
  <c r="C114" i="8" s="1"/>
  <c r="A35" i="8"/>
  <c r="C34" i="8"/>
  <c r="A34" i="8"/>
  <c r="C33" i="8"/>
  <c r="A33" i="8"/>
  <c r="C32" i="8"/>
  <c r="A32" i="8"/>
  <c r="C31" i="8"/>
  <c r="C30" i="8"/>
  <c r="C29" i="8"/>
  <c r="C27" i="8"/>
  <c r="A27" i="8"/>
  <c r="C26" i="8"/>
  <c r="A26" i="8"/>
  <c r="C25" i="8"/>
  <c r="A25" i="8"/>
  <c r="C24" i="8"/>
  <c r="A24" i="8"/>
  <c r="C23" i="8"/>
  <c r="A23" i="8"/>
  <c r="C22" i="8"/>
  <c r="C21" i="8"/>
  <c r="C19" i="8"/>
  <c r="A19" i="8"/>
  <c r="C18" i="8"/>
  <c r="A18" i="8"/>
  <c r="C17" i="8"/>
  <c r="A17" i="8"/>
  <c r="C16" i="8"/>
  <c r="A16" i="8"/>
  <c r="C15" i="8"/>
  <c r="A15" i="8"/>
  <c r="C14" i="8"/>
  <c r="A14" i="8"/>
  <c r="C13" i="8"/>
  <c r="A13" i="8"/>
  <c r="C12" i="8"/>
  <c r="A12" i="8"/>
  <c r="C11" i="8"/>
  <c r="A11" i="8"/>
  <c r="C10" i="8"/>
  <c r="A10" i="8"/>
  <c r="C9" i="8"/>
  <c r="A9" i="8"/>
  <c r="C5" i="8"/>
  <c r="C3" i="8"/>
  <c r="H2" i="8"/>
  <c r="F126" i="21"/>
  <c r="E126" i="21"/>
  <c r="C81" i="21"/>
  <c r="C79" i="21"/>
  <c r="A79" i="21"/>
  <c r="C78" i="21"/>
  <c r="A78" i="21"/>
  <c r="A77" i="21"/>
  <c r="F125" i="21"/>
  <c r="E76" i="21"/>
  <c r="E125" i="21" s="1"/>
  <c r="C76" i="21"/>
  <c r="C125" i="21" s="1"/>
  <c r="A76" i="21"/>
  <c r="C121" i="21"/>
  <c r="A75" i="21"/>
  <c r="C117" i="21"/>
  <c r="A74" i="21"/>
  <c r="A73" i="21"/>
  <c r="A72" i="21"/>
  <c r="A69" i="21"/>
  <c r="A67" i="21"/>
  <c r="A66" i="21"/>
  <c r="A64" i="21"/>
  <c r="A62" i="21"/>
  <c r="A65" i="21"/>
  <c r="A63" i="21"/>
  <c r="A61" i="21"/>
  <c r="E60" i="21"/>
  <c r="A60" i="21"/>
  <c r="A59" i="21"/>
  <c r="A58" i="21"/>
  <c r="A57" i="21"/>
  <c r="A56" i="21"/>
  <c r="A55" i="21"/>
  <c r="E54" i="21"/>
  <c r="A54" i="21"/>
  <c r="C113" i="21"/>
  <c r="A53" i="21"/>
  <c r="A52" i="21"/>
  <c r="C105" i="21"/>
  <c r="A50" i="21"/>
  <c r="C51" i="21"/>
  <c r="C89" i="21" s="1"/>
  <c r="A51" i="21"/>
  <c r="C49" i="21"/>
  <c r="A49" i="21"/>
  <c r="C48" i="21"/>
  <c r="A48" i="21"/>
  <c r="C47" i="21"/>
  <c r="A47" i="21"/>
  <c r="C46" i="21"/>
  <c r="A46" i="21"/>
  <c r="C101" i="21"/>
  <c r="A45" i="21"/>
  <c r="C44" i="21"/>
  <c r="A44" i="21"/>
  <c r="A43" i="21"/>
  <c r="C42" i="21"/>
  <c r="A42" i="21"/>
  <c r="C41" i="21"/>
  <c r="A41" i="21"/>
  <c r="F92" i="21"/>
  <c r="F94" i="21" s="1"/>
  <c r="F95" i="21" s="1"/>
  <c r="E40" i="21"/>
  <c r="E43" i="21" s="1"/>
  <c r="E45" i="21" s="1"/>
  <c r="E92" i="21" s="1"/>
  <c r="E94" i="21" s="1"/>
  <c r="E95" i="21" s="1"/>
  <c r="A40" i="21"/>
  <c r="C39" i="21"/>
  <c r="A39" i="21"/>
  <c r="C38" i="21"/>
  <c r="A38" i="21"/>
  <c r="C37" i="21"/>
  <c r="A37" i="21"/>
  <c r="C36" i="21"/>
  <c r="A36" i="21"/>
  <c r="C35" i="21"/>
  <c r="A35" i="21"/>
  <c r="C34" i="21"/>
  <c r="A34" i="21"/>
  <c r="A33" i="21"/>
  <c r="C32" i="21"/>
  <c r="A32" i="21"/>
  <c r="C31" i="21"/>
  <c r="A31" i="21"/>
  <c r="C30" i="21"/>
  <c r="A30" i="21"/>
  <c r="C29" i="21"/>
  <c r="A29" i="21"/>
  <c r="C28" i="21"/>
  <c r="A28" i="21"/>
  <c r="C27" i="21"/>
  <c r="A27" i="21"/>
  <c r="C26" i="21"/>
  <c r="A26" i="21"/>
  <c r="C25" i="21"/>
  <c r="A25" i="21"/>
  <c r="C24" i="21"/>
  <c r="A24" i="21"/>
  <c r="C23" i="21"/>
  <c r="A23" i="21"/>
  <c r="C22" i="21"/>
  <c r="A22" i="21"/>
  <c r="C21" i="21"/>
  <c r="A21" i="21"/>
  <c r="C20" i="21"/>
  <c r="A20" i="21"/>
  <c r="C19" i="21"/>
  <c r="A19" i="21"/>
  <c r="C18" i="21"/>
  <c r="A18" i="21"/>
  <c r="C17" i="21"/>
  <c r="A17" i="21"/>
  <c r="C16" i="21"/>
  <c r="A16" i="21"/>
  <c r="C15" i="21"/>
  <c r="A15" i="21"/>
  <c r="C14" i="21"/>
  <c r="A14" i="21"/>
  <c r="C13" i="21"/>
  <c r="A13" i="21"/>
  <c r="C12" i="21"/>
  <c r="A12" i="21"/>
  <c r="C11" i="21"/>
  <c r="A11" i="21"/>
  <c r="A10" i="21"/>
  <c r="E9" i="21"/>
  <c r="C9" i="21"/>
  <c r="A9" i="21"/>
  <c r="C5" i="21"/>
  <c r="C3" i="21"/>
  <c r="D95" i="7"/>
  <c r="D93" i="7"/>
  <c r="G88" i="7"/>
  <c r="F88" i="7"/>
  <c r="D88" i="7"/>
  <c r="D87" i="7"/>
  <c r="D86" i="7"/>
  <c r="D85" i="7"/>
  <c r="D84" i="7"/>
  <c r="D83" i="7"/>
  <c r="D82" i="7"/>
  <c r="D81" i="7"/>
  <c r="D80" i="7"/>
  <c r="D79" i="7"/>
  <c r="D78" i="7"/>
  <c r="D77" i="7"/>
  <c r="D76" i="7"/>
  <c r="D75" i="7"/>
  <c r="D74" i="7"/>
  <c r="D73" i="7"/>
  <c r="D72" i="7"/>
  <c r="K69" i="7"/>
  <c r="G69" i="7"/>
  <c r="D69" i="7"/>
  <c r="I68" i="7"/>
  <c r="I94" i="7" s="1"/>
  <c r="D68" i="7"/>
  <c r="D96" i="7" s="1"/>
  <c r="I67" i="7"/>
  <c r="D67" i="7"/>
  <c r="I66" i="7"/>
  <c r="AE55" i="2"/>
  <c r="K65" i="7"/>
  <c r="K67" i="7" s="1"/>
  <c r="Q55" i="2" s="1"/>
  <c r="I65" i="7"/>
  <c r="I64" i="7"/>
  <c r="I63" i="7"/>
  <c r="I62" i="7"/>
  <c r="D62" i="7"/>
  <c r="I61" i="7"/>
  <c r="D61" i="7"/>
  <c r="I60" i="7"/>
  <c r="I59" i="7"/>
  <c r="D55" i="7"/>
  <c r="I58" i="7"/>
  <c r="D54" i="7"/>
  <c r="I57" i="7"/>
  <c r="D53" i="7"/>
  <c r="I56" i="7"/>
  <c r="I55" i="7"/>
  <c r="I54" i="7"/>
  <c r="I53" i="7"/>
  <c r="I52" i="7"/>
  <c r="I51" i="7"/>
  <c r="I50" i="7"/>
  <c r="D52" i="7"/>
  <c r="I49" i="7"/>
  <c r="D51" i="7"/>
  <c r="I48" i="7"/>
  <c r="J51" i="5"/>
  <c r="F50" i="7"/>
  <c r="F51" i="5" s="1"/>
  <c r="F43" i="51" s="1"/>
  <c r="D50" i="7"/>
  <c r="D49" i="7"/>
  <c r="D48" i="7"/>
  <c r="I45" i="7"/>
  <c r="F47" i="7"/>
  <c r="D47" i="7"/>
  <c r="I44" i="7"/>
  <c r="D46" i="7"/>
  <c r="D45" i="7"/>
  <c r="D44" i="7"/>
  <c r="K43" i="7"/>
  <c r="I43" i="7"/>
  <c r="D43" i="7"/>
  <c r="I42" i="7"/>
  <c r="I41" i="7"/>
  <c r="D41" i="7"/>
  <c r="I40" i="7"/>
  <c r="D40" i="7"/>
  <c r="I39" i="7"/>
  <c r="D39" i="7"/>
  <c r="D38" i="7"/>
  <c r="I37" i="7"/>
  <c r="I36" i="7"/>
  <c r="D36" i="7"/>
  <c r="I35" i="7"/>
  <c r="D35" i="7"/>
  <c r="I34" i="7"/>
  <c r="I33" i="7"/>
  <c r="I32" i="7"/>
  <c r="D32" i="7"/>
  <c r="I31" i="7"/>
  <c r="D31" i="7"/>
  <c r="I30" i="7"/>
  <c r="D30" i="7"/>
  <c r="I29" i="7"/>
  <c r="D29" i="7"/>
  <c r="I28" i="7"/>
  <c r="D28" i="7"/>
  <c r="I27" i="7"/>
  <c r="D27" i="7"/>
  <c r="I26" i="7"/>
  <c r="D26" i="7"/>
  <c r="I24" i="7"/>
  <c r="D24" i="7"/>
  <c r="I23" i="7"/>
  <c r="J25" i="5"/>
  <c r="D23" i="7"/>
  <c r="I22" i="7"/>
  <c r="D22" i="7"/>
  <c r="I21" i="7"/>
  <c r="I20" i="7"/>
  <c r="D20" i="7"/>
  <c r="D19" i="7"/>
  <c r="I18" i="7"/>
  <c r="D18" i="7"/>
  <c r="I17" i="7"/>
  <c r="D17" i="7"/>
  <c r="I16" i="7"/>
  <c r="D16" i="7"/>
  <c r="I13" i="7"/>
  <c r="I12" i="7"/>
  <c r="D12" i="7"/>
  <c r="I11" i="7"/>
  <c r="D11" i="7"/>
  <c r="I10" i="7"/>
  <c r="D10" i="7"/>
  <c r="I9" i="7"/>
  <c r="D9" i="7"/>
  <c r="B9" i="7"/>
  <c r="A9" i="7"/>
  <c r="D5" i="7"/>
  <c r="D3" i="7"/>
  <c r="L4" i="46"/>
  <c r="J4" i="46"/>
  <c r="C4" i="46"/>
  <c r="L3" i="46"/>
  <c r="J3" i="46"/>
  <c r="C2" i="46"/>
  <c r="K4" i="50"/>
  <c r="I4" i="50"/>
  <c r="E4" i="50"/>
  <c r="K3" i="50"/>
  <c r="I3" i="50"/>
  <c r="E2" i="50"/>
  <c r="H6" i="4"/>
  <c r="H8" i="4" s="1"/>
  <c r="F6" i="4"/>
  <c r="H5" i="4"/>
  <c r="H7" i="4" s="1"/>
  <c r="G21" i="46"/>
  <c r="H333" i="50"/>
  <c r="L200" i="50"/>
  <c r="L312" i="50"/>
  <c r="L332" i="50"/>
  <c r="L334" i="50"/>
  <c r="L402" i="50"/>
  <c r="L314" i="50"/>
  <c r="H113" i="50"/>
  <c r="H11" i="50"/>
  <c r="L326" i="50"/>
  <c r="H307" i="50"/>
  <c r="L373" i="50"/>
  <c r="H288" i="50"/>
  <c r="L317" i="50"/>
  <c r="H75" i="50"/>
  <c r="H406" i="50"/>
  <c r="L307" i="50"/>
  <c r="H251" i="50"/>
  <c r="H314" i="50"/>
  <c r="L387" i="50"/>
  <c r="H207" i="50"/>
  <c r="L321" i="50"/>
  <c r="L309" i="50"/>
  <c r="H262" i="50"/>
  <c r="H296" i="50"/>
  <c r="L320" i="50"/>
  <c r="L319" i="50"/>
  <c r="H216" i="50"/>
  <c r="H67" i="50"/>
  <c r="H323" i="50"/>
  <c r="L316" i="50"/>
  <c r="G18" i="46"/>
  <c r="H130" i="50"/>
  <c r="L333" i="50"/>
  <c r="H373" i="50"/>
  <c r="H115" i="50"/>
  <c r="H206" i="50"/>
  <c r="H321" i="50"/>
  <c r="H331" i="50"/>
  <c r="L195" i="50"/>
  <c r="H95" i="50"/>
  <c r="H161" i="50"/>
  <c r="H255" i="50"/>
  <c r="H74" i="50"/>
  <c r="H217" i="50"/>
  <c r="H278" i="50"/>
  <c r="H334" i="50"/>
  <c r="L313" i="50"/>
  <c r="H317" i="50"/>
  <c r="H12" i="50"/>
  <c r="H177" i="50"/>
  <c r="H372" i="50"/>
  <c r="H236" i="50"/>
  <c r="H215" i="50"/>
  <c r="H159" i="50"/>
  <c r="L308" i="50"/>
  <c r="L327" i="50"/>
  <c r="H399" i="50"/>
  <c r="H214" i="50"/>
  <c r="H309" i="50"/>
  <c r="H272" i="50"/>
  <c r="L406" i="50"/>
  <c r="H387" i="50"/>
  <c r="L331" i="50"/>
  <c r="H305" i="50"/>
  <c r="H319" i="50"/>
  <c r="L322" i="50"/>
  <c r="H47" i="50"/>
  <c r="L198" i="50"/>
  <c r="G17" i="46"/>
  <c r="G48" i="46"/>
  <c r="H111" i="50"/>
  <c r="H313" i="50"/>
  <c r="H329" i="50"/>
  <c r="L235" i="50"/>
  <c r="L372" i="50"/>
  <c r="L89" i="50"/>
  <c r="H322" i="50"/>
  <c r="L329" i="50"/>
  <c r="L36" i="50"/>
  <c r="H9" i="50"/>
  <c r="H65" i="50"/>
  <c r="H324" i="50"/>
  <c r="L297" i="50"/>
  <c r="L325" i="50"/>
  <c r="H14" i="50"/>
  <c r="H13" i="50"/>
  <c r="H308" i="50"/>
  <c r="H327" i="50"/>
  <c r="H316" i="50"/>
  <c r="L386" i="50"/>
  <c r="H312" i="50"/>
  <c r="L46" i="50"/>
  <c r="H238" i="50"/>
  <c r="G31" i="6" l="1"/>
  <c r="D13" i="6"/>
  <c r="E163" i="98"/>
  <c r="E252" i="98"/>
  <c r="E84" i="8"/>
  <c r="H15" i="96"/>
  <c r="H17" i="96" s="1"/>
  <c r="E17" i="96"/>
  <c r="J3656" i="18"/>
  <c r="J3625" i="18"/>
  <c r="J3630" i="18" s="1"/>
  <c r="I3656" i="18"/>
  <c r="I3625" i="18"/>
  <c r="I3630" i="18" s="1"/>
  <c r="K4478" i="18"/>
  <c r="H4465" i="18"/>
  <c r="M17" i="46"/>
  <c r="N17" i="46" s="1"/>
  <c r="M18" i="46"/>
  <c r="N18" i="46" s="1"/>
  <c r="M21" i="46"/>
  <c r="N21" i="46" s="1"/>
  <c r="R47" i="2"/>
  <c r="V47" i="2"/>
  <c r="Z47" i="2"/>
  <c r="H1025" i="18"/>
  <c r="H1030" i="18"/>
  <c r="R38" i="6"/>
  <c r="B38" i="6"/>
  <c r="Q37" i="6"/>
  <c r="AE37" i="6" s="1"/>
  <c r="B37" i="6"/>
  <c r="M3189" i="18"/>
  <c r="Q34" i="6"/>
  <c r="AE34" i="6" s="1"/>
  <c r="B34" i="6"/>
  <c r="R33" i="6"/>
  <c r="B33" i="6"/>
  <c r="R29" i="6"/>
  <c r="B29" i="6"/>
  <c r="R30" i="6"/>
  <c r="B30" i="6"/>
  <c r="L4687" i="18"/>
  <c r="O4687" i="18"/>
  <c r="R24" i="6"/>
  <c r="B24" i="6"/>
  <c r="Q25" i="6"/>
  <c r="AE25" i="6" s="1"/>
  <c r="B25" i="6"/>
  <c r="Q20" i="6"/>
  <c r="AE20" i="6" s="1"/>
  <c r="B20" i="6"/>
  <c r="R19" i="6"/>
  <c r="B19" i="6"/>
  <c r="Q18" i="6"/>
  <c r="AE18" i="6" s="1"/>
  <c r="B18" i="6"/>
  <c r="R16" i="6"/>
  <c r="B16" i="6"/>
  <c r="R15" i="6"/>
  <c r="B15" i="6"/>
  <c r="R11" i="6"/>
  <c r="B11" i="6"/>
  <c r="R12" i="6"/>
  <c r="B12" i="6"/>
  <c r="M48" i="46"/>
  <c r="N48" i="46" s="1"/>
  <c r="M679" i="5"/>
  <c r="F13" i="74" s="1"/>
  <c r="M665" i="5"/>
  <c r="F15" i="70" s="1"/>
  <c r="M699" i="5"/>
  <c r="F49" i="70" s="1"/>
  <c r="F11" i="12"/>
  <c r="F38" i="12"/>
  <c r="U3" i="18"/>
  <c r="L6" i="72"/>
  <c r="H6" i="68"/>
  <c r="E69" i="68" s="1"/>
  <c r="H6" i="72"/>
  <c r="E60" i="72" s="1"/>
  <c r="L6" i="68"/>
  <c r="D24" i="13"/>
  <c r="G24" i="13"/>
  <c r="G34" i="13"/>
  <c r="D34" i="13"/>
  <c r="G18" i="11"/>
  <c r="D18" i="11"/>
  <c r="G19" i="12"/>
  <c r="D19" i="12"/>
  <c r="G35" i="12"/>
  <c r="D35" i="12"/>
  <c r="G12" i="6"/>
  <c r="D14" i="6"/>
  <c r="D15" i="6" s="1"/>
  <c r="D16" i="6" s="1"/>
  <c r="D10" i="12"/>
  <c r="G10" i="12"/>
  <c r="D26" i="12"/>
  <c r="G26" i="12"/>
  <c r="G10" i="6"/>
  <c r="D10" i="6"/>
  <c r="D11" i="6" s="1"/>
  <c r="D12" i="6" s="1"/>
  <c r="G32" i="6"/>
  <c r="D32" i="6"/>
  <c r="D33" i="6" s="1"/>
  <c r="D34" i="6" s="1"/>
  <c r="G18" i="13"/>
  <c r="D18" i="13"/>
  <c r="G34" i="11"/>
  <c r="D34" i="11"/>
  <c r="G21" i="12"/>
  <c r="D21" i="12"/>
  <c r="G24" i="12"/>
  <c r="D24" i="12"/>
  <c r="G37" i="12"/>
  <c r="D37" i="12"/>
  <c r="AE26" i="12"/>
  <c r="G17" i="6"/>
  <c r="AE15" i="11"/>
  <c r="G21" i="11"/>
  <c r="AE25" i="11"/>
  <c r="AE31" i="11"/>
  <c r="G37" i="11"/>
  <c r="G12" i="12"/>
  <c r="G28" i="12"/>
  <c r="D29" i="6"/>
  <c r="D30" i="6" s="1"/>
  <c r="D15" i="13"/>
  <c r="D17" i="13"/>
  <c r="D31" i="13"/>
  <c r="D33" i="13"/>
  <c r="D13" i="11"/>
  <c r="D15" i="11"/>
  <c r="D20" i="11"/>
  <c r="D29" i="11"/>
  <c r="D31" i="11"/>
  <c r="D36" i="11"/>
  <c r="D3" i="12"/>
  <c r="AE14" i="12"/>
  <c r="D23" i="12"/>
  <c r="AE30" i="12"/>
  <c r="H115" i="51"/>
  <c r="C93" i="21"/>
  <c r="Q38" i="12"/>
  <c r="AE38" i="12" s="1"/>
  <c r="B38" i="12"/>
  <c r="Q10" i="12"/>
  <c r="AE10" i="12" s="1"/>
  <c r="B10" i="12"/>
  <c r="B9" i="12"/>
  <c r="N38" i="13"/>
  <c r="T38" i="13" s="1"/>
  <c r="N10" i="13"/>
  <c r="T10" i="13" s="1"/>
  <c r="B9" i="13"/>
  <c r="H677" i="5" s="1"/>
  <c r="Q10" i="6"/>
  <c r="AE10" i="6" s="1"/>
  <c r="B10" i="6"/>
  <c r="Q2" i="18"/>
  <c r="Q3" i="18"/>
  <c r="L734" i="18"/>
  <c r="R853" i="18"/>
  <c r="L756" i="18"/>
  <c r="M1794" i="18"/>
  <c r="J2073" i="18"/>
  <c r="R2046" i="18"/>
  <c r="I2073" i="18"/>
  <c r="I2075" i="18" s="1"/>
  <c r="I2076" i="18" s="1"/>
  <c r="K2077" i="18" s="1"/>
  <c r="L2077" i="18" s="1"/>
  <c r="J2070" i="18"/>
  <c r="N2131" i="18"/>
  <c r="N2133" i="18" s="1"/>
  <c r="N2134" i="18" s="1"/>
  <c r="K2135" i="18" s="1"/>
  <c r="L2135" i="18" s="1"/>
  <c r="L2103" i="18"/>
  <c r="L2116" i="18"/>
  <c r="N1835" i="18"/>
  <c r="L2090" i="18"/>
  <c r="K1794" i="18"/>
  <c r="L1794" i="18"/>
  <c r="K1793" i="18"/>
  <c r="L1793" i="18"/>
  <c r="L1795" i="18"/>
  <c r="R2045" i="18"/>
  <c r="O2215" i="18"/>
  <c r="K1795" i="18"/>
  <c r="P853" i="18"/>
  <c r="P854" i="18"/>
  <c r="L719" i="18"/>
  <c r="L790" i="18"/>
  <c r="L787" i="18"/>
  <c r="J827" i="18"/>
  <c r="J829" i="18" s="1"/>
  <c r="J830" i="18" s="1"/>
  <c r="K831" i="18" s="1"/>
  <c r="L831" i="18" s="1"/>
  <c r="L782" i="18"/>
  <c r="J805" i="18"/>
  <c r="J807" i="18" s="1"/>
  <c r="J808" i="18" s="1"/>
  <c r="K809" i="18" s="1"/>
  <c r="L809" i="18" s="1"/>
  <c r="H733" i="18"/>
  <c r="H755" i="18"/>
  <c r="L716" i="18"/>
  <c r="J756" i="18"/>
  <c r="J758" i="18" s="1"/>
  <c r="J759" i="18" s="1"/>
  <c r="K760" i="18" s="1"/>
  <c r="L760" i="18" s="1"/>
  <c r="M2645" i="18"/>
  <c r="L711" i="18"/>
  <c r="J734" i="18"/>
  <c r="J736" i="18" s="1"/>
  <c r="J737" i="18" s="1"/>
  <c r="K738" i="18" s="1"/>
  <c r="L738" i="18" s="1"/>
  <c r="K4970" i="18"/>
  <c r="K4973" i="18" s="1"/>
  <c r="I4947" i="18"/>
  <c r="I4949" i="18" s="1"/>
  <c r="I4950" i="18" s="1"/>
  <c r="L3736" i="18"/>
  <c r="K4928" i="18"/>
  <c r="H4947" i="18"/>
  <c r="L4879" i="18"/>
  <c r="M4879" i="18" s="1"/>
  <c r="L4880" i="18"/>
  <c r="M4880" i="18" s="1"/>
  <c r="H4803" i="18"/>
  <c r="L4878" i="18"/>
  <c r="M4878" i="18" s="1"/>
  <c r="H4801" i="18"/>
  <c r="H4802" i="18"/>
  <c r="K4784" i="18"/>
  <c r="K4785" i="18"/>
  <c r="K4646" i="18"/>
  <c r="O4281" i="18"/>
  <c r="K4644" i="18"/>
  <c r="K4645" i="18"/>
  <c r="K4642" i="18"/>
  <c r="K4643" i="18"/>
  <c r="K4640" i="18"/>
  <c r="K4641" i="18"/>
  <c r="L3742" i="18"/>
  <c r="L3743" i="18"/>
  <c r="L3740" i="18"/>
  <c r="L3741" i="18"/>
  <c r="L3738" i="18"/>
  <c r="L3739" i="18"/>
  <c r="K4580" i="18"/>
  <c r="K4582" i="18" s="1"/>
  <c r="K4583" i="18" s="1"/>
  <c r="L3735" i="18"/>
  <c r="O1860" i="18"/>
  <c r="M3936" i="18"/>
  <c r="J4134" i="18"/>
  <c r="I4580" i="18"/>
  <c r="J4580" i="18"/>
  <c r="K4561" i="18"/>
  <c r="K4563" i="18" s="1"/>
  <c r="K4564" i="18" s="1"/>
  <c r="H4580" i="18"/>
  <c r="H4582" i="18" s="1"/>
  <c r="H4583" i="18" s="1"/>
  <c r="I4561" i="18"/>
  <c r="I4563" i="18" s="1"/>
  <c r="I4564" i="18" s="1"/>
  <c r="J4561" i="18"/>
  <c r="J4563" i="18" s="1"/>
  <c r="J4564" i="18" s="1"/>
  <c r="J4515" i="18"/>
  <c r="H4561" i="18"/>
  <c r="H4563" i="18" s="1"/>
  <c r="H4564" i="18" s="1"/>
  <c r="K4539" i="18"/>
  <c r="J4506" i="18"/>
  <c r="I4539" i="18"/>
  <c r="J4539" i="18"/>
  <c r="K4538" i="18"/>
  <c r="H4539" i="18"/>
  <c r="I4538" i="18"/>
  <c r="J4538" i="18"/>
  <c r="M4284" i="18"/>
  <c r="H4538" i="18"/>
  <c r="M4268" i="18"/>
  <c r="H4284" i="18"/>
  <c r="H4135" i="18"/>
  <c r="I4135" i="18"/>
  <c r="H4134" i="18"/>
  <c r="I4134" i="18"/>
  <c r="J4114" i="18"/>
  <c r="J4129" i="18"/>
  <c r="N2330" i="18"/>
  <c r="H2344" i="18"/>
  <c r="N3545" i="18"/>
  <c r="I3557" i="18"/>
  <c r="I1438" i="18"/>
  <c r="H1444" i="18"/>
  <c r="K2273" i="18"/>
  <c r="H2288" i="18"/>
  <c r="K3545" i="18"/>
  <c r="H3557" i="18"/>
  <c r="K3833" i="18"/>
  <c r="H3855" i="18"/>
  <c r="J1007" i="18"/>
  <c r="M1403" i="18"/>
  <c r="M1381" i="18"/>
  <c r="O1639" i="18"/>
  <c r="N1710" i="18"/>
  <c r="I1676" i="18"/>
  <c r="N1693" i="18"/>
  <c r="M2070" i="18"/>
  <c r="O2225" i="18"/>
  <c r="N3458" i="18"/>
  <c r="I3470" i="18"/>
  <c r="O1485" i="18"/>
  <c r="M1320" i="18"/>
  <c r="K1037" i="18"/>
  <c r="O1921" i="18"/>
  <c r="M1793" i="18"/>
  <c r="M1797" i="18" s="1"/>
  <c r="K1863" i="18"/>
  <c r="M2824" i="18"/>
  <c r="K2891" i="18"/>
  <c r="N1057" i="18"/>
  <c r="I1074" i="18"/>
  <c r="K3458" i="18"/>
  <c r="H3470" i="18"/>
  <c r="K1271" i="18"/>
  <c r="L1249" i="18"/>
  <c r="O1032" i="18"/>
  <c r="K2228" i="18"/>
  <c r="M2287" i="18"/>
  <c r="O2343" i="18"/>
  <c r="K1057" i="18"/>
  <c r="H1074" i="18"/>
  <c r="K1095" i="18"/>
  <c r="L1073" i="18"/>
  <c r="O1030" i="18"/>
  <c r="L3679" i="18"/>
  <c r="L3655" i="18"/>
  <c r="J3854" i="18"/>
  <c r="M3769" i="18"/>
  <c r="K1079" i="18"/>
  <c r="H1096" i="18"/>
  <c r="Q3994" i="18"/>
  <c r="J3975" i="18"/>
  <c r="L3936" i="18"/>
  <c r="L3994" i="18"/>
  <c r="L3935" i="18"/>
  <c r="K3936" i="18"/>
  <c r="L3934" i="18"/>
  <c r="K3935" i="18"/>
  <c r="J4118" i="18"/>
  <c r="K3934" i="18"/>
  <c r="K4011" i="18"/>
  <c r="J4062" i="18"/>
  <c r="H3854" i="18"/>
  <c r="H3654" i="18"/>
  <c r="H3678" i="18"/>
  <c r="K3769" i="18"/>
  <c r="J3820" i="18"/>
  <c r="J3841" i="18"/>
  <c r="J3792" i="18"/>
  <c r="I3680" i="18"/>
  <c r="J3680" i="18"/>
  <c r="K3679" i="18"/>
  <c r="H3680" i="18"/>
  <c r="I3679" i="18"/>
  <c r="J3679" i="18"/>
  <c r="L3670" i="18"/>
  <c r="H3679" i="18"/>
  <c r="L3626" i="18"/>
  <c r="J3655" i="18"/>
  <c r="J3657" i="18" s="1"/>
  <c r="J3658" i="18" s="1"/>
  <c r="L3625" i="18"/>
  <c r="J3543" i="18"/>
  <c r="H3556" i="18"/>
  <c r="J3456" i="18"/>
  <c r="H3469" i="18"/>
  <c r="H3471" i="18" s="1"/>
  <c r="H3472" i="18" s="1"/>
  <c r="K2877" i="18"/>
  <c r="H2892" i="18"/>
  <c r="H2893" i="18" s="1"/>
  <c r="H2894" i="18" s="1"/>
  <c r="H3303" i="18"/>
  <c r="I3303" i="18"/>
  <c r="J3284" i="18"/>
  <c r="N2845" i="18"/>
  <c r="K2643" i="18"/>
  <c r="Q2696" i="18"/>
  <c r="J2808" i="18"/>
  <c r="M2457" i="18"/>
  <c r="M2459" i="18" s="1"/>
  <c r="M2460" i="18" s="1"/>
  <c r="H2457" i="18"/>
  <c r="K2457" i="18"/>
  <c r="K2459" i="18" s="1"/>
  <c r="K2460" i="18" s="1"/>
  <c r="N2343" i="18"/>
  <c r="N2422" i="18"/>
  <c r="I2309" i="18"/>
  <c r="I2311" i="18" s="1"/>
  <c r="I2312" i="18" s="1"/>
  <c r="H2343" i="18"/>
  <c r="M2278" i="18"/>
  <c r="H2309" i="18"/>
  <c r="H2311" i="18" s="1"/>
  <c r="H2312" i="18" s="1"/>
  <c r="H2227" i="18"/>
  <c r="H2286" i="18"/>
  <c r="J2287" i="18"/>
  <c r="J2289" i="18" s="1"/>
  <c r="J2290" i="18" s="1"/>
  <c r="H2287" i="18"/>
  <c r="L2223" i="18"/>
  <c r="M2223" i="18"/>
  <c r="M2222" i="18"/>
  <c r="L2222" i="18"/>
  <c r="L2221" i="18"/>
  <c r="M2221" i="18"/>
  <c r="M2258" i="18"/>
  <c r="M2271" i="18"/>
  <c r="M2245" i="18"/>
  <c r="H2228" i="18"/>
  <c r="H2230" i="18" s="1"/>
  <c r="H2231" i="18" s="1"/>
  <c r="I2228" i="18"/>
  <c r="I2230" i="18" s="1"/>
  <c r="I2231" i="18" s="1"/>
  <c r="O2216" i="18"/>
  <c r="H1862" i="18"/>
  <c r="H1920" i="18"/>
  <c r="L2068" i="18"/>
  <c r="L2067" i="18"/>
  <c r="L2066" i="18"/>
  <c r="L1858" i="18"/>
  <c r="M1858" i="18"/>
  <c r="M1857" i="18"/>
  <c r="L1857" i="18"/>
  <c r="L1856" i="18"/>
  <c r="M1856" i="18"/>
  <c r="M1893" i="18"/>
  <c r="M1906" i="18"/>
  <c r="N1921" i="18"/>
  <c r="N1923" i="18" s="1"/>
  <c r="N1924" i="18" s="1"/>
  <c r="M1880" i="18"/>
  <c r="H1921" i="18"/>
  <c r="H1923" i="18" s="1"/>
  <c r="H1924" i="18" s="1"/>
  <c r="H1863" i="18"/>
  <c r="H1865" i="18" s="1"/>
  <c r="H1866" i="18" s="1"/>
  <c r="I1863" i="18"/>
  <c r="I1865" i="18" s="1"/>
  <c r="I1866" i="18" s="1"/>
  <c r="M1710" i="18"/>
  <c r="M1712" i="18" s="1"/>
  <c r="M1713" i="18" s="1"/>
  <c r="N1836" i="18"/>
  <c r="I1710" i="18"/>
  <c r="I1712" i="18" s="1"/>
  <c r="I1713" i="18" s="1"/>
  <c r="L1710" i="18"/>
  <c r="H1675" i="18"/>
  <c r="H1692" i="18"/>
  <c r="L1693" i="18"/>
  <c r="L1695" i="18" s="1"/>
  <c r="L1696" i="18" s="1"/>
  <c r="M1693" i="18"/>
  <c r="M1695" i="18" s="1"/>
  <c r="M1696" i="18" s="1"/>
  <c r="H1676" i="18"/>
  <c r="K1693" i="18"/>
  <c r="K1695" i="18" s="1"/>
  <c r="K1696" i="18" s="1"/>
  <c r="Q1665" i="18"/>
  <c r="H1677" i="18"/>
  <c r="H1007" i="18"/>
  <c r="H1421" i="18"/>
  <c r="H1442" i="18"/>
  <c r="H1443" i="18"/>
  <c r="J1443" i="18"/>
  <c r="J1445" i="18" s="1"/>
  <c r="J1446" i="18" s="1"/>
  <c r="I1422" i="18"/>
  <c r="I1424" i="18" s="1"/>
  <c r="I1425" i="18" s="1"/>
  <c r="M1372" i="18"/>
  <c r="M1370" i="18"/>
  <c r="H1422" i="18"/>
  <c r="H1424" i="18" s="1"/>
  <c r="H1425" i="18" s="1"/>
  <c r="H1380" i="18"/>
  <c r="H1402" i="18"/>
  <c r="H1403" i="18"/>
  <c r="H1405" i="18" s="1"/>
  <c r="H1406" i="18" s="1"/>
  <c r="J1403" i="18"/>
  <c r="J1405" i="18" s="1"/>
  <c r="J1406" i="18" s="1"/>
  <c r="L1381" i="18"/>
  <c r="H1381" i="18"/>
  <c r="H1383" i="18" s="1"/>
  <c r="H1384" i="18" s="1"/>
  <c r="J1381" i="18"/>
  <c r="J1383" i="18" s="1"/>
  <c r="J1384" i="18" s="1"/>
  <c r="J975" i="18"/>
  <c r="J1025" i="18"/>
  <c r="I1342" i="18"/>
  <c r="I1344" i="18" s="1"/>
  <c r="I1345" i="18" s="1"/>
  <c r="J954" i="18"/>
  <c r="M1312" i="18"/>
  <c r="H1342" i="18"/>
  <c r="H1344" i="18" s="1"/>
  <c r="H1345" i="18" s="1"/>
  <c r="H1248" i="18"/>
  <c r="H1270" i="18"/>
  <c r="H1271" i="18"/>
  <c r="H1273" i="18" s="1"/>
  <c r="H1274" i="18" s="1"/>
  <c r="I1271" i="18"/>
  <c r="I1273" i="18" s="1"/>
  <c r="I1274" i="18" s="1"/>
  <c r="I1249" i="18"/>
  <c r="I1251" i="18" s="1"/>
  <c r="I1252" i="18" s="1"/>
  <c r="M1227" i="18"/>
  <c r="M1222" i="18"/>
  <c r="H1249" i="18"/>
  <c r="H1251" i="18" s="1"/>
  <c r="H1252" i="18" s="1"/>
  <c r="H1183" i="18"/>
  <c r="H1185" i="18" s="1"/>
  <c r="H1186" i="18" s="1"/>
  <c r="I1183" i="18"/>
  <c r="I1185" i="18" s="1"/>
  <c r="I1186" i="18" s="1"/>
  <c r="I1161" i="18"/>
  <c r="I1163" i="18" s="1"/>
  <c r="I1164" i="18" s="1"/>
  <c r="M1139" i="18"/>
  <c r="M1134" i="18"/>
  <c r="H1161" i="18"/>
  <c r="H1163" i="18" s="1"/>
  <c r="H1164" i="18" s="1"/>
  <c r="H1072" i="18"/>
  <c r="H1094" i="18"/>
  <c r="H1095" i="18"/>
  <c r="I1095" i="18"/>
  <c r="I1097" i="18" s="1"/>
  <c r="I1098" i="18" s="1"/>
  <c r="I1073" i="18"/>
  <c r="I1075" i="18" s="1"/>
  <c r="I1076" i="18" s="1"/>
  <c r="M1051" i="18"/>
  <c r="M1046" i="18"/>
  <c r="H1073" i="18"/>
  <c r="M1032" i="18"/>
  <c r="N1031" i="18"/>
  <c r="L1032" i="18"/>
  <c r="L1031" i="18"/>
  <c r="M1031" i="18"/>
  <c r="M1030" i="18"/>
  <c r="M1231" i="18"/>
  <c r="L1030" i="18"/>
  <c r="M1055" i="18"/>
  <c r="M1143" i="18"/>
  <c r="N1478" i="18"/>
  <c r="J1482" i="18"/>
  <c r="H1485" i="18"/>
  <c r="H1487" i="18" s="1"/>
  <c r="H1488" i="18" s="1"/>
  <c r="N1485" i="18"/>
  <c r="H1036" i="18"/>
  <c r="H1319" i="18"/>
  <c r="J1320" i="18"/>
  <c r="J1322" i="18" s="1"/>
  <c r="J1323" i="18" s="1"/>
  <c r="I1037" i="18"/>
  <c r="I1039" i="18" s="1"/>
  <c r="I1040" i="18" s="1"/>
  <c r="J1004" i="18"/>
  <c r="J1002" i="18"/>
  <c r="J1003" i="18"/>
  <c r="K938" i="18"/>
  <c r="K937" i="18"/>
  <c r="I553" i="18"/>
  <c r="I555" i="18" s="1"/>
  <c r="I556" i="18" s="1"/>
  <c r="M442" i="18"/>
  <c r="M350" i="18"/>
  <c r="O595" i="18"/>
  <c r="N579" i="18"/>
  <c r="H596" i="18"/>
  <c r="N448" i="18"/>
  <c r="H463" i="18"/>
  <c r="D5232" i="18"/>
  <c r="K515" i="18"/>
  <c r="H530" i="18"/>
  <c r="H528" i="18"/>
  <c r="H552" i="18"/>
  <c r="K356" i="18"/>
  <c r="H373" i="18"/>
  <c r="K378" i="18"/>
  <c r="H395" i="18"/>
  <c r="L372" i="18"/>
  <c r="K394" i="18"/>
  <c r="M492" i="18"/>
  <c r="H553" i="18"/>
  <c r="H555" i="18" s="1"/>
  <c r="H556" i="18" s="1"/>
  <c r="H529" i="18"/>
  <c r="I529" i="18"/>
  <c r="I531" i="18" s="1"/>
  <c r="I532" i="18" s="1"/>
  <c r="I462" i="18"/>
  <c r="I464" i="18" s="1"/>
  <c r="I465" i="18" s="1"/>
  <c r="M490" i="18"/>
  <c r="M435" i="18"/>
  <c r="H462" i="18"/>
  <c r="H595" i="18"/>
  <c r="N595" i="18"/>
  <c r="H349" i="18"/>
  <c r="H441" i="18"/>
  <c r="J442" i="18"/>
  <c r="J444" i="18" s="1"/>
  <c r="J445" i="18" s="1"/>
  <c r="H371" i="18"/>
  <c r="H393" i="18"/>
  <c r="I394" i="18"/>
  <c r="I396" i="18" s="1"/>
  <c r="I397" i="18" s="1"/>
  <c r="I372" i="18"/>
  <c r="I374" i="18" s="1"/>
  <c r="I375" i="18" s="1"/>
  <c r="M344" i="18"/>
  <c r="M339" i="18"/>
  <c r="H372" i="18"/>
  <c r="J350" i="18"/>
  <c r="J352" i="18" s="1"/>
  <c r="J353" i="18" s="1"/>
  <c r="J332" i="18"/>
  <c r="J330" i="18"/>
  <c r="J331" i="18"/>
  <c r="D5244" i="18"/>
  <c r="D5257" i="18"/>
  <c r="D5269" i="18"/>
  <c r="D5224" i="18"/>
  <c r="D5237" i="18"/>
  <c r="D5243" i="18"/>
  <c r="D5254" i="18"/>
  <c r="D5262" i="18"/>
  <c r="D5268" i="18"/>
  <c r="D5274" i="18"/>
  <c r="D5229" i="18"/>
  <c r="D5223" i="18"/>
  <c r="D5234" i="18"/>
  <c r="D5242" i="18"/>
  <c r="D5253" i="18"/>
  <c r="D5259" i="18"/>
  <c r="D5267" i="18"/>
  <c r="D5273" i="18"/>
  <c r="D5279" i="18"/>
  <c r="D5228" i="18"/>
  <c r="D5261" i="18"/>
  <c r="D5222" i="18"/>
  <c r="D5221" i="18"/>
  <c r="D5247" i="18"/>
  <c r="D5236" i="18"/>
  <c r="D5226" i="18"/>
  <c r="D5276" i="18"/>
  <c r="D5248" i="18"/>
  <c r="D5241" i="18"/>
  <c r="D5231" i="18"/>
  <c r="D5271" i="18"/>
  <c r="D5249" i="18"/>
  <c r="D5246" i="18"/>
  <c r="D5251" i="18"/>
  <c r="D5256" i="18"/>
  <c r="D5266" i="18"/>
  <c r="D5238" i="18"/>
  <c r="D5263" i="18"/>
  <c r="D5277" i="18"/>
  <c r="D5233" i="18"/>
  <c r="D5239" i="18"/>
  <c r="D5252" i="18"/>
  <c r="D5258" i="18"/>
  <c r="D5264" i="18"/>
  <c r="D5272" i="18"/>
  <c r="D5278" i="18"/>
  <c r="D5227" i="18"/>
  <c r="K3671" i="18"/>
  <c r="Q4376" i="18"/>
  <c r="K3670" i="18"/>
  <c r="K3680" i="18" s="1"/>
  <c r="Q4383" i="18"/>
  <c r="M4281" i="18"/>
  <c r="M1953" i="18"/>
  <c r="M1959" i="18" s="1"/>
  <c r="N1947" i="18" s="1"/>
  <c r="O4401" i="18"/>
  <c r="K4414" i="18"/>
  <c r="H4119" i="18"/>
  <c r="K4111" i="18" s="1"/>
  <c r="Q3961" i="18"/>
  <c r="Q1753" i="18"/>
  <c r="N267" i="18"/>
  <c r="Q1961" i="18"/>
  <c r="Q2391" i="18"/>
  <c r="H185" i="18"/>
  <c r="H266" i="18"/>
  <c r="N251" i="18"/>
  <c r="H268" i="18"/>
  <c r="Q1764" i="18"/>
  <c r="O267" i="18"/>
  <c r="M186" i="18"/>
  <c r="K230" i="18"/>
  <c r="L208" i="18"/>
  <c r="Q1682" i="18"/>
  <c r="Q2368" i="18"/>
  <c r="I230" i="18"/>
  <c r="I232" i="18" s="1"/>
  <c r="I233" i="18" s="1"/>
  <c r="H267" i="18"/>
  <c r="H207" i="18"/>
  <c r="H229" i="18"/>
  <c r="M180" i="18"/>
  <c r="H230" i="18"/>
  <c r="K214" i="18"/>
  <c r="H231" i="18"/>
  <c r="H208" i="18"/>
  <c r="I208" i="18"/>
  <c r="I210" i="18" s="1"/>
  <c r="I211" i="18" s="1"/>
  <c r="M175" i="18"/>
  <c r="K192" i="18"/>
  <c r="H209" i="18"/>
  <c r="J186" i="18"/>
  <c r="J188" i="18" s="1"/>
  <c r="J189" i="18" s="1"/>
  <c r="N128" i="18"/>
  <c r="H186" i="18"/>
  <c r="H188" i="18" s="1"/>
  <c r="H189" i="18" s="1"/>
  <c r="Q3582" i="18"/>
  <c r="Q3941" i="18"/>
  <c r="Q130" i="18"/>
  <c r="Q2810" i="18"/>
  <c r="Q2897" i="18"/>
  <c r="K2696" i="18"/>
  <c r="O2696" i="18"/>
  <c r="K1055" i="18"/>
  <c r="K1043" i="18" s="1"/>
  <c r="K1231" i="18"/>
  <c r="K1219" i="18" s="1"/>
  <c r="H2494" i="18"/>
  <c r="N2463" i="18" s="1"/>
  <c r="L2494" i="18"/>
  <c r="P2494" i="18"/>
  <c r="K2494" i="18"/>
  <c r="O2494" i="18"/>
  <c r="L4893" i="18" s="1"/>
  <c r="M4893" i="18" s="1"/>
  <c r="E95" i="8"/>
  <c r="F761" i="5" s="1"/>
  <c r="I761" i="5" s="1"/>
  <c r="F57" i="51"/>
  <c r="C117" i="8"/>
  <c r="F13" i="51"/>
  <c r="F90" i="51"/>
  <c r="F849" i="5"/>
  <c r="J2494" i="18"/>
  <c r="N2494" i="18"/>
  <c r="I2494" i="18"/>
  <c r="M2494" i="18"/>
  <c r="R2494" i="18"/>
  <c r="I2425" i="18" s="1"/>
  <c r="I2427" i="18" s="1"/>
  <c r="I2428" i="18" s="1"/>
  <c r="Q3495" i="18"/>
  <c r="F27" i="13"/>
  <c r="F26" i="11"/>
  <c r="F11" i="13"/>
  <c r="F15" i="13"/>
  <c r="F14" i="11"/>
  <c r="F15" i="12"/>
  <c r="F37" i="6"/>
  <c r="F23" i="13"/>
  <c r="F22" i="11"/>
  <c r="F13" i="6"/>
  <c r="F18" i="6"/>
  <c r="F10" i="11"/>
  <c r="F38" i="11"/>
  <c r="F27" i="12"/>
  <c r="F31" i="12"/>
  <c r="F10" i="6"/>
  <c r="F30" i="13"/>
  <c r="F34" i="13"/>
  <c r="F35" i="13"/>
  <c r="F29" i="11"/>
  <c r="F33" i="11"/>
  <c r="F34" i="11"/>
  <c r="F35" i="12"/>
  <c r="F26" i="6"/>
  <c r="F31" i="6"/>
  <c r="F32" i="6"/>
  <c r="F31" i="13"/>
  <c r="F30" i="11"/>
  <c r="F18" i="12"/>
  <c r="F22" i="12"/>
  <c r="F23" i="12"/>
  <c r="F14" i="6"/>
  <c r="F14" i="13"/>
  <c r="F18" i="13"/>
  <c r="F19" i="13"/>
  <c r="F13" i="11"/>
  <c r="F17" i="11"/>
  <c r="F18" i="11"/>
  <c r="F19" i="12"/>
  <c r="L709" i="5"/>
  <c r="L711" i="5" s="1"/>
  <c r="L713" i="5" s="1"/>
  <c r="K709" i="5"/>
  <c r="K711" i="5" s="1"/>
  <c r="K713" i="5" s="1"/>
  <c r="J132" i="5"/>
  <c r="F106" i="51"/>
  <c r="F132" i="5"/>
  <c r="G10" i="13"/>
  <c r="G26" i="13"/>
  <c r="F38" i="13"/>
  <c r="G27" i="11"/>
  <c r="F12" i="12"/>
  <c r="G14" i="12"/>
  <c r="G16" i="12"/>
  <c r="G32" i="12"/>
  <c r="F17" i="6"/>
  <c r="F19" i="6"/>
  <c r="G21" i="6"/>
  <c r="G24" i="6"/>
  <c r="F38" i="6"/>
  <c r="G12" i="13"/>
  <c r="F22" i="13"/>
  <c r="F24" i="13"/>
  <c r="G28" i="13"/>
  <c r="G11" i="11"/>
  <c r="F21" i="11"/>
  <c r="F23" i="11"/>
  <c r="G25" i="11"/>
  <c r="F37" i="11"/>
  <c r="F10" i="12"/>
  <c r="F26" i="12"/>
  <c r="F28" i="12"/>
  <c r="G30" i="12"/>
  <c r="S48" i="2"/>
  <c r="S49" i="2" s="1"/>
  <c r="S50" i="2" s="1"/>
  <c r="D15" i="2"/>
  <c r="H15" i="2"/>
  <c r="H40" i="2" s="1"/>
  <c r="L15" i="2"/>
  <c r="D18" i="6"/>
  <c r="D19" i="6" s="1"/>
  <c r="D20" i="6" s="1"/>
  <c r="D21" i="6" s="1"/>
  <c r="F21" i="6"/>
  <c r="F24" i="6"/>
  <c r="D37" i="6"/>
  <c r="D38" i="6" s="1"/>
  <c r="D39" i="6"/>
  <c r="F10" i="13"/>
  <c r="F12" i="13"/>
  <c r="D23" i="13"/>
  <c r="D25" i="13"/>
  <c r="F26" i="13"/>
  <c r="F28" i="13"/>
  <c r="D3" i="11"/>
  <c r="F11" i="11"/>
  <c r="D22" i="11"/>
  <c r="D24" i="11"/>
  <c r="F25" i="11"/>
  <c r="F27" i="11"/>
  <c r="D38" i="11"/>
  <c r="D11" i="12"/>
  <c r="D13" i="12"/>
  <c r="F14" i="12"/>
  <c r="F16" i="12"/>
  <c r="D27" i="12"/>
  <c r="D29" i="12"/>
  <c r="F30" i="12"/>
  <c r="F32" i="12"/>
  <c r="M15" i="2"/>
  <c r="M40" i="2" s="1"/>
  <c r="M54" i="2" s="1"/>
  <c r="M56" i="2" s="1"/>
  <c r="M57" i="2" s="1"/>
  <c r="V48" i="2"/>
  <c r="V49" i="2" s="1"/>
  <c r="V50" i="2" s="1"/>
  <c r="G15" i="2"/>
  <c r="D3" i="6"/>
  <c r="F11" i="6"/>
  <c r="D24" i="6"/>
  <c r="D25" i="6" s="1"/>
  <c r="D26" i="6" s="1"/>
  <c r="F29" i="6"/>
  <c r="D11" i="13"/>
  <c r="D13" i="13"/>
  <c r="F16" i="13"/>
  <c r="D27" i="13"/>
  <c r="D29" i="13"/>
  <c r="F32" i="13"/>
  <c r="D10" i="11"/>
  <c r="D12" i="11"/>
  <c r="F15" i="11"/>
  <c r="D26" i="11"/>
  <c r="D28" i="11"/>
  <c r="F31" i="11"/>
  <c r="D15" i="12"/>
  <c r="D17" i="12"/>
  <c r="F20" i="12"/>
  <c r="D31" i="12"/>
  <c r="D33" i="12"/>
  <c r="F36" i="12"/>
  <c r="F15" i="6"/>
  <c r="F33" i="6"/>
  <c r="F20" i="13"/>
  <c r="F36" i="13"/>
  <c r="F19" i="11"/>
  <c r="F35" i="11"/>
  <c r="F24" i="12"/>
  <c r="Q1597" i="18"/>
  <c r="Q19" i="2"/>
  <c r="AE29" i="2"/>
  <c r="Q29" i="2"/>
  <c r="F12" i="6"/>
  <c r="F16" i="6"/>
  <c r="F20" i="6"/>
  <c r="F25" i="6"/>
  <c r="F30" i="6"/>
  <c r="F34" i="6"/>
  <c r="F39" i="6"/>
  <c r="F13" i="13"/>
  <c r="F17" i="13"/>
  <c r="F21" i="13"/>
  <c r="F25" i="13"/>
  <c r="F29" i="13"/>
  <c r="F33" i="13"/>
  <c r="F37" i="13"/>
  <c r="F12" i="11"/>
  <c r="F16" i="11"/>
  <c r="F20" i="11"/>
  <c r="F24" i="11"/>
  <c r="F28" i="11"/>
  <c r="F32" i="11"/>
  <c r="F36" i="11"/>
  <c r="F13" i="12"/>
  <c r="F17" i="12"/>
  <c r="F21" i="12"/>
  <c r="F25" i="12"/>
  <c r="F29" i="12"/>
  <c r="F33" i="12"/>
  <c r="F37" i="12"/>
  <c r="J83" i="5"/>
  <c r="J100" i="5"/>
  <c r="J108" i="5" s="1"/>
  <c r="F100" i="5"/>
  <c r="F76" i="51" s="1"/>
  <c r="K51" i="7"/>
  <c r="J48" i="5"/>
  <c r="J63" i="5" s="1"/>
  <c r="F48" i="5"/>
  <c r="F40" i="51" s="1"/>
  <c r="F54" i="51" s="1"/>
  <c r="F67" i="7"/>
  <c r="F123" i="8"/>
  <c r="F124" i="8" s="1"/>
  <c r="G40" i="2"/>
  <c r="G54" i="2" s="1"/>
  <c r="G56" i="2" s="1"/>
  <c r="G57" i="2" s="1"/>
  <c r="AC48" i="2"/>
  <c r="AC49" i="2" s="1"/>
  <c r="AC50" i="2" s="1"/>
  <c r="F15" i="2"/>
  <c r="F40" i="2" s="1"/>
  <c r="F54" i="2" s="1"/>
  <c r="F56" i="2" s="1"/>
  <c r="F57" i="2" s="1"/>
  <c r="AE24" i="2"/>
  <c r="AE36" i="2"/>
  <c r="AE14" i="2"/>
  <c r="AA54" i="2"/>
  <c r="AA56" i="2" s="1"/>
  <c r="AA57" i="2" s="1"/>
  <c r="K15" i="2"/>
  <c r="K40" i="2" s="1"/>
  <c r="K54" i="2" s="1"/>
  <c r="K56" i="2" s="1"/>
  <c r="K57" i="2" s="1"/>
  <c r="O15" i="2"/>
  <c r="O40" i="2" s="1"/>
  <c r="O54" i="2" s="1"/>
  <c r="O56" i="2" s="1"/>
  <c r="O57" i="2" s="1"/>
  <c r="E15" i="2"/>
  <c r="E40" i="2" s="1"/>
  <c r="E54" i="2" s="1"/>
  <c r="E56" i="2" s="1"/>
  <c r="E57" i="2" s="1"/>
  <c r="I15" i="2"/>
  <c r="I40" i="2" s="1"/>
  <c r="I54" i="2" s="1"/>
  <c r="I56" i="2" s="1"/>
  <c r="I57" i="2" s="1"/>
  <c r="U48" i="2"/>
  <c r="U49" i="2" s="1"/>
  <c r="U50" i="2" s="1"/>
  <c r="Q36" i="2"/>
  <c r="W47" i="2"/>
  <c r="AE14" i="6"/>
  <c r="AE32" i="6"/>
  <c r="C109" i="21"/>
  <c r="AA48" i="2"/>
  <c r="AA49" i="2" s="1"/>
  <c r="AA50" i="2" s="1"/>
  <c r="S54" i="2"/>
  <c r="S56" i="2" s="1"/>
  <c r="S57" i="2" s="1"/>
  <c r="R54" i="2"/>
  <c r="R56" i="2" s="1"/>
  <c r="R57" i="2" s="1"/>
  <c r="R48" i="2"/>
  <c r="R49" i="2" s="1"/>
  <c r="R50" i="2" s="1"/>
  <c r="W54" i="2"/>
  <c r="W56" i="2" s="1"/>
  <c r="W57" i="2" s="1"/>
  <c r="W48" i="2"/>
  <c r="V54" i="2"/>
  <c r="V56" i="2" s="1"/>
  <c r="V57" i="2" s="1"/>
  <c r="AE19" i="2"/>
  <c r="Q24" i="2"/>
  <c r="D40" i="2"/>
  <c r="L40" i="2"/>
  <c r="P40" i="2"/>
  <c r="P54" i="2" s="1"/>
  <c r="P56" i="2" s="1"/>
  <c r="P57" i="2" s="1"/>
  <c r="M695" i="5"/>
  <c r="R9" i="11"/>
  <c r="Q9" i="12"/>
  <c r="AE9" i="12" s="1"/>
  <c r="R36" i="12"/>
  <c r="J72" i="5"/>
  <c r="J17" i="5"/>
  <c r="J35" i="5" s="1"/>
  <c r="F17" i="51"/>
  <c r="F17" i="5"/>
  <c r="F61" i="51"/>
  <c r="F72" i="5"/>
  <c r="Q12" i="11"/>
  <c r="AE12" i="11" s="1"/>
  <c r="Q9" i="6"/>
  <c r="AE9" i="6" s="1"/>
  <c r="Q39" i="6"/>
  <c r="AE39" i="6" s="1"/>
  <c r="Q33" i="11"/>
  <c r="AE33" i="11" s="1"/>
  <c r="Q24" i="12"/>
  <c r="AE24" i="12" s="1"/>
  <c r="Q29" i="6"/>
  <c r="AE29" i="6" s="1"/>
  <c r="Q21" i="11"/>
  <c r="AE21" i="11" s="1"/>
  <c r="Q15" i="12"/>
  <c r="AE15" i="12" s="1"/>
  <c r="Q16" i="6"/>
  <c r="AE16" i="6" s="1"/>
  <c r="Q24" i="6"/>
  <c r="AE24" i="6" s="1"/>
  <c r="Q27" i="12"/>
  <c r="AE27" i="12" s="1"/>
  <c r="R20" i="6"/>
  <c r="R34" i="6"/>
  <c r="R17" i="11"/>
  <c r="R37" i="11"/>
  <c r="Q11" i="6"/>
  <c r="AE11" i="6" s="1"/>
  <c r="Q28" i="11"/>
  <c r="AE28" i="11" s="1"/>
  <c r="Q11" i="12"/>
  <c r="AE11" i="12" s="1"/>
  <c r="R20" i="12"/>
  <c r="R3" i="13"/>
  <c r="Q24" i="11"/>
  <c r="AE24" i="11" s="1"/>
  <c r="Q31" i="12"/>
  <c r="AE31" i="12" s="1"/>
  <c r="Q12" i="6"/>
  <c r="AE12" i="6" s="1"/>
  <c r="Q19" i="6"/>
  <c r="AE19" i="6" s="1"/>
  <c r="Q30" i="6"/>
  <c r="AE30" i="6" s="1"/>
  <c r="Q38" i="6"/>
  <c r="AE38" i="6" s="1"/>
  <c r="Q13" i="11"/>
  <c r="AE13" i="11" s="1"/>
  <c r="Q20" i="11"/>
  <c r="AE20" i="11" s="1"/>
  <c r="Q29" i="11"/>
  <c r="AE29" i="11" s="1"/>
  <c r="Q36" i="11"/>
  <c r="AE36" i="11" s="1"/>
  <c r="Q16" i="12"/>
  <c r="AE16" i="12" s="1"/>
  <c r="Q23" i="12"/>
  <c r="AE23" i="12" s="1"/>
  <c r="Q32" i="12"/>
  <c r="AE32" i="12" s="1"/>
  <c r="R25" i="6"/>
  <c r="R25" i="11"/>
  <c r="R12" i="12"/>
  <c r="R28" i="12"/>
  <c r="Q15" i="6"/>
  <c r="AE15" i="6" s="1"/>
  <c r="Q33" i="6"/>
  <c r="AE33" i="6" s="1"/>
  <c r="Q16" i="11"/>
  <c r="AE16" i="11" s="1"/>
  <c r="Q32" i="11"/>
  <c r="AE32" i="11" s="1"/>
  <c r="Q19" i="12"/>
  <c r="AE19" i="12" s="1"/>
  <c r="Q35" i="12"/>
  <c r="AE35" i="12" s="1"/>
  <c r="C106" i="21"/>
  <c r="C122" i="21"/>
  <c r="C126" i="21"/>
  <c r="R34" i="11"/>
  <c r="Q34" i="11"/>
  <c r="AE34" i="11" s="1"/>
  <c r="Q21" i="12"/>
  <c r="AE21" i="12" s="1"/>
  <c r="R21" i="12"/>
  <c r="Q37" i="12"/>
  <c r="AE37" i="12" s="1"/>
  <c r="R37" i="12"/>
  <c r="Q22" i="11"/>
  <c r="AE22" i="11" s="1"/>
  <c r="R22" i="11"/>
  <c r="R25" i="12"/>
  <c r="Q25" i="12"/>
  <c r="AE25" i="12" s="1"/>
  <c r="R26" i="6"/>
  <c r="Q26" i="6"/>
  <c r="AE26" i="6" s="1"/>
  <c r="R10" i="11"/>
  <c r="Q10" i="11"/>
  <c r="AE10" i="11" s="1"/>
  <c r="R26" i="11"/>
  <c r="Q26" i="11"/>
  <c r="AE26" i="11" s="1"/>
  <c r="Q13" i="12"/>
  <c r="AE13" i="12" s="1"/>
  <c r="R13" i="12"/>
  <c r="Q29" i="12"/>
  <c r="AE29" i="12" s="1"/>
  <c r="R29" i="12"/>
  <c r="M689" i="5"/>
  <c r="K331" i="50" s="1"/>
  <c r="M331" i="50" s="1"/>
  <c r="N331" i="50" s="1"/>
  <c r="C118" i="21"/>
  <c r="M666" i="5"/>
  <c r="F16" i="70" s="1"/>
  <c r="M700" i="5"/>
  <c r="C114" i="21"/>
  <c r="C102" i="21"/>
  <c r="C110" i="21"/>
  <c r="R17" i="6"/>
  <c r="Q17" i="6"/>
  <c r="AE17" i="6" s="1"/>
  <c r="R18" i="11"/>
  <c r="Q18" i="11"/>
  <c r="AE18" i="11" s="1"/>
  <c r="Q21" i="6"/>
  <c r="AE21" i="6" s="1"/>
  <c r="R21" i="6"/>
  <c r="R38" i="11"/>
  <c r="Q38" i="11"/>
  <c r="AE38" i="11" s="1"/>
  <c r="Q13" i="6"/>
  <c r="AE13" i="6" s="1"/>
  <c r="R13" i="6"/>
  <c r="Q31" i="6"/>
  <c r="AE31" i="6" s="1"/>
  <c r="R31" i="6"/>
  <c r="Q14" i="11"/>
  <c r="AE14" i="11" s="1"/>
  <c r="R14" i="11"/>
  <c r="Q30" i="11"/>
  <c r="AE30" i="11" s="1"/>
  <c r="R30" i="11"/>
  <c r="R17" i="12"/>
  <c r="Q17" i="12"/>
  <c r="AE17" i="12" s="1"/>
  <c r="R33" i="12"/>
  <c r="Q33" i="12"/>
  <c r="AE33" i="12" s="1"/>
  <c r="M660" i="5"/>
  <c r="F10" i="70" s="1"/>
  <c r="M680" i="5"/>
  <c r="K338" i="50" s="1"/>
  <c r="L24" i="72"/>
  <c r="M672" i="5"/>
  <c r="K336" i="50" s="1"/>
  <c r="I762" i="5"/>
  <c r="R10" i="6"/>
  <c r="R14" i="6"/>
  <c r="R18" i="6"/>
  <c r="R32" i="6"/>
  <c r="R37" i="6"/>
  <c r="R11" i="11"/>
  <c r="R15" i="11"/>
  <c r="R19" i="11"/>
  <c r="R23" i="11"/>
  <c r="R27" i="11"/>
  <c r="R31" i="11"/>
  <c r="R35" i="11"/>
  <c r="R10" i="12"/>
  <c r="R14" i="12"/>
  <c r="R18" i="12"/>
  <c r="R22" i="12"/>
  <c r="R26" i="12"/>
  <c r="R30" i="12"/>
  <c r="R34" i="12"/>
  <c r="R38" i="12"/>
  <c r="M659" i="5"/>
  <c r="F9" i="70" s="1"/>
  <c r="M664" i="5"/>
  <c r="F14" i="70" s="1"/>
  <c r="M667" i="5"/>
  <c r="F18" i="70" s="1"/>
  <c r="M677" i="5"/>
  <c r="F26" i="70" s="1"/>
  <c r="M681" i="5"/>
  <c r="M685" i="5"/>
  <c r="K339" i="50" s="1"/>
  <c r="I741" i="5"/>
  <c r="E55" i="74" s="1"/>
  <c r="H5113" i="18" s="1"/>
  <c r="I743" i="5"/>
  <c r="I745" i="5"/>
  <c r="E59" i="74" s="1"/>
  <c r="H5117" i="18" s="1"/>
  <c r="I749" i="5"/>
  <c r="E63" i="74" s="1"/>
  <c r="H5121" i="18" s="1"/>
  <c r="I753" i="5"/>
  <c r="I757" i="5"/>
  <c r="M761" i="5"/>
  <c r="S3" i="13"/>
  <c r="F114" i="8"/>
  <c r="M669" i="5"/>
  <c r="M661" i="5"/>
  <c r="F11" i="70" s="1"/>
  <c r="M673" i="5"/>
  <c r="F23" i="70" s="1"/>
  <c r="M658" i="5"/>
  <c r="M706" i="5"/>
  <c r="M702" i="5"/>
  <c r="K333" i="50" s="1"/>
  <c r="M333" i="50" s="1"/>
  <c r="N333" i="50" s="1"/>
  <c r="J703" i="5"/>
  <c r="M674" i="5"/>
  <c r="F24" i="70" s="1"/>
  <c r="M688" i="5"/>
  <c r="M691" i="5"/>
  <c r="K342" i="50" s="1"/>
  <c r="M710" i="5"/>
  <c r="C122" i="8"/>
  <c r="M663" i="5"/>
  <c r="F13" i="70" s="1"/>
  <c r="M692" i="5"/>
  <c r="K343" i="50" s="1"/>
  <c r="J708" i="5"/>
  <c r="C104" i="8"/>
  <c r="C121" i="8"/>
  <c r="M675" i="5"/>
  <c r="F25" i="70" s="1"/>
  <c r="M686" i="5"/>
  <c r="K340" i="50" s="1"/>
  <c r="M707" i="5"/>
  <c r="K334" i="50" s="1"/>
  <c r="M334" i="50" s="1"/>
  <c r="N334" i="50" s="1"/>
  <c r="M701" i="5"/>
  <c r="K344" i="50" s="1"/>
  <c r="M662" i="5"/>
  <c r="F12" i="70" s="1"/>
  <c r="M670" i="5"/>
  <c r="M687" i="5"/>
  <c r="K341" i="50" s="1"/>
  <c r="M705" i="5"/>
  <c r="E53" i="21"/>
  <c r="E52" i="21" s="1"/>
  <c r="E74" i="21" s="1"/>
  <c r="E127" i="21"/>
  <c r="E128" i="21" s="1"/>
  <c r="F113" i="21"/>
  <c r="F127" i="21"/>
  <c r="F128" i="21" s="1"/>
  <c r="F178" i="5"/>
  <c r="F109" i="8"/>
  <c r="F88" i="21"/>
  <c r="E88" i="21"/>
  <c r="E50" i="21"/>
  <c r="E109" i="8"/>
  <c r="F127" i="5"/>
  <c r="J178" i="5"/>
  <c r="J127" i="5"/>
  <c r="F172" i="5"/>
  <c r="K52" i="7"/>
  <c r="K68" i="7" s="1"/>
  <c r="K94" i="7" s="1"/>
  <c r="F25" i="5"/>
  <c r="F21" i="51" s="1"/>
  <c r="G96" i="7"/>
  <c r="D94" i="7"/>
  <c r="F83" i="5"/>
  <c r="F66" i="51" s="1"/>
  <c r="J760" i="5"/>
  <c r="M760" i="5" s="1"/>
  <c r="J734" i="5"/>
  <c r="I96" i="7"/>
  <c r="N1628" i="18"/>
  <c r="N1629" i="18"/>
  <c r="P1648" i="18"/>
  <c r="P1647" i="18"/>
  <c r="N33" i="18"/>
  <c r="O1647" i="18"/>
  <c r="O1648" i="18"/>
  <c r="Q678" i="18"/>
  <c r="Q910" i="18"/>
  <c r="Q3890" i="18"/>
  <c r="Q3592" i="18"/>
  <c r="Q1587" i="18"/>
  <c r="K2401" i="18"/>
  <c r="K3880" i="18"/>
  <c r="Q4161" i="18"/>
  <c r="Q4044" i="18"/>
  <c r="Q3374" i="18"/>
  <c r="Q4140" i="18"/>
  <c r="Q3485" i="18"/>
  <c r="Q668" i="18"/>
  <c r="Q890" i="18"/>
  <c r="M4394" i="18"/>
  <c r="Q2479" i="18"/>
  <c r="Q2491" i="18"/>
  <c r="O5374" i="18"/>
  <c r="P5374" i="18" s="1"/>
  <c r="O5375" i="18"/>
  <c r="P5375" i="18" s="1"/>
  <c r="O5373" i="18"/>
  <c r="P5373" i="18" s="1"/>
  <c r="O5368" i="18"/>
  <c r="P5368" i="18" s="1"/>
  <c r="N5341" i="18"/>
  <c r="O5341" i="18" s="1"/>
  <c r="N5340" i="18"/>
  <c r="O5340" i="18" s="1"/>
  <c r="N5339" i="18"/>
  <c r="O5339" i="18" s="1"/>
  <c r="N5337" i="18"/>
  <c r="O5337" i="18" s="1"/>
  <c r="N5336" i="18"/>
  <c r="O5336" i="18" s="1"/>
  <c r="N5334" i="18"/>
  <c r="O5334" i="18" s="1"/>
  <c r="H4394" i="18"/>
  <c r="N4371" i="18" s="1"/>
  <c r="L4394" i="18"/>
  <c r="P4394" i="18"/>
  <c r="K4371" i="18" s="1"/>
  <c r="J4394" i="18"/>
  <c r="N4394" i="18"/>
  <c r="I4394" i="18"/>
  <c r="L4902" i="18"/>
  <c r="M4902" i="18" s="1"/>
  <c r="L4901" i="18"/>
  <c r="M4901" i="18" s="1"/>
  <c r="L4900" i="18"/>
  <c r="M4900" i="18" s="1"/>
  <c r="L4898" i="18"/>
  <c r="M4898" i="18" s="1"/>
  <c r="L4899" i="18"/>
  <c r="M4899" i="18" s="1"/>
  <c r="L4896" i="18"/>
  <c r="M4896" i="18" s="1"/>
  <c r="L4895" i="18"/>
  <c r="M4895" i="18" s="1"/>
  <c r="L4894" i="18"/>
  <c r="M4894" i="18" s="1"/>
  <c r="L4890" i="18"/>
  <c r="M4890" i="18" s="1"/>
  <c r="M1787" i="18"/>
  <c r="N3214" i="18"/>
  <c r="Q3089" i="18"/>
  <c r="M3031" i="18"/>
  <c r="P2966" i="18"/>
  <c r="K2888" i="18"/>
  <c r="N2917" i="18"/>
  <c r="Q2685" i="18"/>
  <c r="L2587" i="18"/>
  <c r="S2494" i="18"/>
  <c r="N1653" i="18"/>
  <c r="L4881" i="18"/>
  <c r="M4881" i="18" s="1"/>
  <c r="L4877" i="18"/>
  <c r="M4877" i="18" s="1"/>
  <c r="L4876" i="18"/>
  <c r="L4875" i="18"/>
  <c r="M4875" i="18" s="1"/>
  <c r="F93" i="51"/>
  <c r="F18" i="51"/>
  <c r="F44" i="52"/>
  <c r="F46" i="52" s="1"/>
  <c r="F20" i="51"/>
  <c r="F48" i="52"/>
  <c r="F87" i="51"/>
  <c r="F89" i="51"/>
  <c r="F68" i="52"/>
  <c r="F104" i="51"/>
  <c r="F105" i="51"/>
  <c r="F69" i="52"/>
  <c r="J194" i="5"/>
  <c r="E813" i="5"/>
  <c r="E800" i="5"/>
  <c r="C97" i="21"/>
  <c r="J158" i="5"/>
  <c r="J161" i="5" s="1"/>
  <c r="J163" i="5" s="1"/>
  <c r="F158" i="5"/>
  <c r="F64" i="52" s="1"/>
  <c r="J172" i="5"/>
  <c r="F74" i="51"/>
  <c r="F95" i="51"/>
  <c r="C96" i="21"/>
  <c r="C54" i="2"/>
  <c r="C88" i="21"/>
  <c r="E94" i="8"/>
  <c r="F760" i="5" s="1"/>
  <c r="I760" i="5" s="1"/>
  <c r="J122" i="5"/>
  <c r="J124" i="5" s="1"/>
  <c r="F24" i="51"/>
  <c r="F49" i="52"/>
  <c r="F51" i="52" s="1"/>
  <c r="F91" i="51"/>
  <c r="F67" i="52"/>
  <c r="F102" i="51"/>
  <c r="F122" i="51"/>
  <c r="F122" i="5"/>
  <c r="F124" i="5" s="1"/>
  <c r="F60" i="52" s="1"/>
  <c r="F194" i="5"/>
  <c r="F734" i="5"/>
  <c r="F92" i="51"/>
  <c r="F94" i="51"/>
  <c r="F97" i="51"/>
  <c r="F101" i="51"/>
  <c r="F61" i="52"/>
  <c r="F63" i="52"/>
  <c r="F109" i="51"/>
  <c r="S11" i="13"/>
  <c r="R11" i="13"/>
  <c r="T11" i="13"/>
  <c r="S19" i="13"/>
  <c r="R19" i="13"/>
  <c r="T19" i="13"/>
  <c r="S27" i="13"/>
  <c r="R27" i="13"/>
  <c r="T27" i="13"/>
  <c r="S35" i="13"/>
  <c r="R35" i="13"/>
  <c r="T35" i="13"/>
  <c r="E802" i="5"/>
  <c r="E817" i="5"/>
  <c r="R3" i="6"/>
  <c r="Q3" i="6"/>
  <c r="AE3" i="6" s="1"/>
  <c r="S13" i="13"/>
  <c r="R13" i="13"/>
  <c r="T13" i="13"/>
  <c r="S21" i="13"/>
  <c r="R21" i="13"/>
  <c r="T21" i="13"/>
  <c r="S29" i="13"/>
  <c r="R29" i="13"/>
  <c r="T29" i="13"/>
  <c r="S37" i="13"/>
  <c r="R37" i="13"/>
  <c r="T37" i="13"/>
  <c r="M763" i="5"/>
  <c r="S15" i="13"/>
  <c r="R15" i="13"/>
  <c r="T15" i="13"/>
  <c r="S23" i="13"/>
  <c r="R23" i="13"/>
  <c r="T23" i="13"/>
  <c r="S31" i="13"/>
  <c r="R31" i="13"/>
  <c r="T31" i="13"/>
  <c r="E790" i="5"/>
  <c r="E821" i="5"/>
  <c r="E791" i="5"/>
  <c r="E805" i="5"/>
  <c r="M693" i="5"/>
  <c r="J696" i="5"/>
  <c r="S9" i="13"/>
  <c r="R9" i="13"/>
  <c r="T9" i="13"/>
  <c r="S17" i="13"/>
  <c r="R17" i="13"/>
  <c r="T17" i="13"/>
  <c r="S25" i="13"/>
  <c r="R25" i="13"/>
  <c r="T25" i="13"/>
  <c r="S33" i="13"/>
  <c r="R33" i="13"/>
  <c r="T33" i="13"/>
  <c r="J671" i="5"/>
  <c r="M694" i="5"/>
  <c r="M712" i="5"/>
  <c r="S12" i="13"/>
  <c r="R12" i="13"/>
  <c r="S14" i="13"/>
  <c r="R14" i="13"/>
  <c r="S16" i="13"/>
  <c r="R16" i="13"/>
  <c r="S18" i="13"/>
  <c r="R18" i="13"/>
  <c r="S20" i="13"/>
  <c r="R20" i="13"/>
  <c r="S22" i="13"/>
  <c r="R22" i="13"/>
  <c r="S24" i="13"/>
  <c r="R24" i="13"/>
  <c r="S26" i="13"/>
  <c r="R26" i="13"/>
  <c r="S28" i="13"/>
  <c r="R28" i="13"/>
  <c r="S30" i="13"/>
  <c r="R30" i="13"/>
  <c r="S32" i="13"/>
  <c r="R32" i="13"/>
  <c r="S34" i="13"/>
  <c r="R34" i="13"/>
  <c r="S36" i="13"/>
  <c r="R36" i="13"/>
  <c r="R3" i="12"/>
  <c r="Q3" i="12"/>
  <c r="AE3" i="12" s="1"/>
  <c r="M678" i="5"/>
  <c r="M704" i="5"/>
  <c r="K345" i="50" s="1"/>
  <c r="R3" i="11"/>
  <c r="Q3" i="11"/>
  <c r="AE3" i="11" s="1"/>
  <c r="J682" i="5"/>
  <c r="J690" i="5"/>
  <c r="M739" i="5"/>
  <c r="M741" i="5"/>
  <c r="M743" i="5"/>
  <c r="M745" i="5"/>
  <c r="M747" i="5"/>
  <c r="M749" i="5"/>
  <c r="M751" i="5"/>
  <c r="M753" i="5"/>
  <c r="M757" i="5"/>
  <c r="I740" i="5"/>
  <c r="I742" i="5"/>
  <c r="I744" i="5"/>
  <c r="I746" i="5"/>
  <c r="I756" i="5"/>
  <c r="I758" i="5"/>
  <c r="M762" i="5"/>
  <c r="M738" i="5"/>
  <c r="M740" i="5"/>
  <c r="M742" i="5"/>
  <c r="M744" i="5"/>
  <c r="M746" i="5"/>
  <c r="M748" i="5"/>
  <c r="M750" i="5"/>
  <c r="M752" i="5"/>
  <c r="M756" i="5"/>
  <c r="M758" i="5"/>
  <c r="I763" i="5"/>
  <c r="K4394" i="18"/>
  <c r="O4394" i="18"/>
  <c r="H3107" i="18"/>
  <c r="H2699" i="18"/>
  <c r="N1627" i="18"/>
  <c r="N1626" i="18"/>
  <c r="N1625" i="18"/>
  <c r="N1624" i="18"/>
  <c r="N1623" i="18"/>
  <c r="N1622" i="18"/>
  <c r="P1646" i="18"/>
  <c r="O1646" i="18"/>
  <c r="P1645" i="18"/>
  <c r="O1645" i="18"/>
  <c r="O1644" i="18"/>
  <c r="P1644" i="18"/>
  <c r="P1643" i="18"/>
  <c r="P1642" i="18"/>
  <c r="O1643" i="18"/>
  <c r="O1642" i="18"/>
  <c r="P1641" i="18"/>
  <c r="O1641" i="18"/>
  <c r="L15" i="18"/>
  <c r="K15" i="18"/>
  <c r="L14" i="18"/>
  <c r="K14" i="18"/>
  <c r="L13" i="18"/>
  <c r="K13" i="18"/>
  <c r="N56" i="18"/>
  <c r="N42" i="18"/>
  <c r="L2696" i="18"/>
  <c r="D5435" i="18"/>
  <c r="P2674" i="18"/>
  <c r="H2696" i="18"/>
  <c r="P2685" i="18"/>
  <c r="J2696" i="18"/>
  <c r="D5407" i="18"/>
  <c r="D5445" i="18"/>
  <c r="D5451" i="18"/>
  <c r="D5457" i="18"/>
  <c r="D5454" i="18"/>
  <c r="D5442" i="18"/>
  <c r="D5450" i="18"/>
  <c r="D5456" i="18"/>
  <c r="P2687" i="18"/>
  <c r="P2691" i="18"/>
  <c r="P2695" i="18"/>
  <c r="P2663" i="18"/>
  <c r="D5434" i="18"/>
  <c r="D5441" i="18"/>
  <c r="P2690" i="18"/>
  <c r="P2694" i="18"/>
  <c r="D5446" i="18"/>
  <c r="P2689" i="18"/>
  <c r="P2693" i="18"/>
  <c r="P2688" i="18"/>
  <c r="P2692" i="18"/>
  <c r="N2696" i="18"/>
  <c r="D2661" i="18"/>
  <c r="D2677" i="18"/>
  <c r="D2693" i="18"/>
  <c r="D2657" i="18"/>
  <c r="D2665" i="18"/>
  <c r="D2685" i="18"/>
  <c r="D2669" i="18"/>
  <c r="D2653" i="18"/>
  <c r="D2656" i="18"/>
  <c r="D2681" i="18"/>
  <c r="D2689" i="18"/>
  <c r="D2673" i="18"/>
  <c r="D2694" i="18"/>
  <c r="D2690" i="18"/>
  <c r="D2686" i="18"/>
  <c r="D2682" i="18"/>
  <c r="D2678" i="18"/>
  <c r="D2674" i="18"/>
  <c r="D2670" i="18"/>
  <c r="D2666" i="18"/>
  <c r="D2662" i="18"/>
  <c r="D2658" i="18"/>
  <c r="D2654" i="18"/>
  <c r="D2695" i="18"/>
  <c r="D2691" i="18"/>
  <c r="D2687" i="18"/>
  <c r="D2683" i="18"/>
  <c r="D2679" i="18"/>
  <c r="D2675" i="18"/>
  <c r="D2671" i="18"/>
  <c r="D2667" i="18"/>
  <c r="D2663" i="18"/>
  <c r="D2659" i="18"/>
  <c r="D2655" i="18"/>
  <c r="D2696" i="18"/>
  <c r="D2692" i="18"/>
  <c r="D2688" i="18"/>
  <c r="D2684" i="18"/>
  <c r="D2680" i="18"/>
  <c r="D2676" i="18"/>
  <c r="D2672" i="18"/>
  <c r="D2668" i="18"/>
  <c r="D2664" i="18"/>
  <c r="D2660" i="18"/>
  <c r="D5455" i="18"/>
  <c r="D5439" i="18"/>
  <c r="D5406" i="18"/>
  <c r="D5418" i="18"/>
  <c r="D5444" i="18"/>
  <c r="D5411" i="18"/>
  <c r="D5417" i="18"/>
  <c r="D5423" i="18"/>
  <c r="D5461" i="18"/>
  <c r="D5449" i="18"/>
  <c r="D5437" i="18"/>
  <c r="D5447" i="18"/>
  <c r="D5412" i="18"/>
  <c r="D5452" i="18"/>
  <c r="D5440" i="18"/>
  <c r="D5436" i="18"/>
  <c r="D5402" i="18"/>
  <c r="D5408" i="18"/>
  <c r="D5422" i="18"/>
  <c r="D5427" i="18"/>
  <c r="D5415" i="18"/>
  <c r="D5403" i="18"/>
  <c r="D5420" i="18"/>
  <c r="D5416" i="18"/>
  <c r="D5400" i="18"/>
  <c r="D5421" i="18"/>
  <c r="D5413" i="18"/>
  <c r="D5405" i="18"/>
  <c r="D5401" i="18"/>
  <c r="D5410" i="18"/>
  <c r="D5134" i="18"/>
  <c r="D5132" i="18"/>
  <c r="D5133" i="18"/>
  <c r="H3917" i="18"/>
  <c r="K3900" i="18" s="1"/>
  <c r="P3097" i="18"/>
  <c r="P3101" i="18"/>
  <c r="K4500" i="18"/>
  <c r="H3820" i="18"/>
  <c r="K3768" i="18" s="1"/>
  <c r="I4500" i="18"/>
  <c r="N4492" i="18" s="1"/>
  <c r="N4780" i="18"/>
  <c r="P3094" i="18"/>
  <c r="P3098" i="18"/>
  <c r="P3102" i="18"/>
  <c r="H3792" i="18"/>
  <c r="K3774" i="18" s="1"/>
  <c r="K4780" i="18"/>
  <c r="K3396" i="18"/>
  <c r="K3385" i="18" s="1"/>
  <c r="D5111" i="18"/>
  <c r="I2616" i="18"/>
  <c r="H4500" i="18"/>
  <c r="K4492" i="18" s="1"/>
  <c r="J4500" i="18"/>
  <c r="J2616" i="18"/>
  <c r="D3051" i="18"/>
  <c r="D3067" i="18"/>
  <c r="O2975" i="18"/>
  <c r="P3092" i="18"/>
  <c r="P3096" i="18"/>
  <c r="P3100" i="18"/>
  <c r="D3071" i="18"/>
  <c r="H2616" i="18"/>
  <c r="D3066" i="18"/>
  <c r="D3074" i="18"/>
  <c r="D3084" i="18"/>
  <c r="D3094" i="18"/>
  <c r="D3102" i="18"/>
  <c r="K2366" i="18"/>
  <c r="K2349" i="18" s="1"/>
  <c r="D3065" i="18"/>
  <c r="D3069" i="18"/>
  <c r="D3073" i="18"/>
  <c r="D3079" i="18"/>
  <c r="D3083" i="18"/>
  <c r="D3087" i="18"/>
  <c r="D3093" i="18"/>
  <c r="D3097" i="18"/>
  <c r="D3101" i="18"/>
  <c r="D3091" i="18"/>
  <c r="D3095" i="18"/>
  <c r="D3099" i="18"/>
  <c r="D3070" i="18"/>
  <c r="D3080" i="18"/>
  <c r="D3088" i="18"/>
  <c r="D3098" i="18"/>
  <c r="P3061" i="18"/>
  <c r="P3095" i="18"/>
  <c r="P3099" i="18"/>
  <c r="P3075" i="18"/>
  <c r="D3050" i="18"/>
  <c r="D3078" i="18"/>
  <c r="D3082" i="18"/>
  <c r="D3086" i="18"/>
  <c r="N264" i="18"/>
  <c r="N268" i="18" s="1"/>
  <c r="D3100" i="18"/>
  <c r="D3096" i="18"/>
  <c r="D3092" i="18"/>
  <c r="D3076" i="18"/>
  <c r="D3072" i="18"/>
  <c r="D3068" i="18"/>
  <c r="D3064" i="18"/>
  <c r="D3060" i="18"/>
  <c r="D3056" i="18"/>
  <c r="D3052" i="18"/>
  <c r="D3048" i="18"/>
  <c r="D3089" i="18"/>
  <c r="D3085" i="18"/>
  <c r="D3081" i="18"/>
  <c r="D3077" i="18"/>
  <c r="D3061" i="18"/>
  <c r="D3057" i="18"/>
  <c r="D3053" i="18"/>
  <c r="D3049" i="18"/>
  <c r="K2154" i="18"/>
  <c r="J592" i="18"/>
  <c r="K2258" i="18"/>
  <c r="K2247" i="18" s="1"/>
  <c r="J2917" i="18"/>
  <c r="K2908" i="18" s="1"/>
  <c r="D3090" i="18"/>
  <c r="D3062" i="18"/>
  <c r="D3058" i="18"/>
  <c r="D3054" i="18"/>
  <c r="D3103" i="18"/>
  <c r="D3075" i="18"/>
  <c r="D3063" i="18"/>
  <c r="D3059" i="18"/>
  <c r="D3055" i="18"/>
  <c r="M2917" i="18"/>
  <c r="N2908" i="18" s="1"/>
  <c r="K2271" i="18"/>
  <c r="K2260" i="18" s="1"/>
  <c r="K1906" i="18"/>
  <c r="K1895" i="18" s="1"/>
  <c r="M4439" i="18"/>
  <c r="K4428" i="18" s="1"/>
  <c r="N2340" i="18"/>
  <c r="J2340" i="18"/>
  <c r="N1474" i="18"/>
  <c r="N856" i="18"/>
  <c r="J856" i="18"/>
  <c r="N585" i="18"/>
  <c r="N592" i="18" s="1"/>
  <c r="J264" i="18"/>
  <c r="K1944" i="18"/>
  <c r="H3103" i="18"/>
  <c r="P3089" i="18"/>
  <c r="P3093" i="18"/>
  <c r="P3091" i="18"/>
  <c r="D2977" i="18"/>
  <c r="D2927" i="18"/>
  <c r="D2945" i="18"/>
  <c r="D2948" i="18"/>
  <c r="D2954" i="18"/>
  <c r="D2958" i="18"/>
  <c r="D2962" i="18"/>
  <c r="D2968" i="18"/>
  <c r="D2972" i="18"/>
  <c r="D2976" i="18"/>
  <c r="D2947" i="18"/>
  <c r="D2951" i="18"/>
  <c r="D2957" i="18"/>
  <c r="D2961" i="18"/>
  <c r="D2965" i="18"/>
  <c r="D2971" i="18"/>
  <c r="D2975" i="18"/>
  <c r="D2979" i="18"/>
  <c r="D2942" i="18"/>
  <c r="D2946" i="18"/>
  <c r="D2950" i="18"/>
  <c r="D2956" i="18"/>
  <c r="D2960" i="18"/>
  <c r="D2964" i="18"/>
  <c r="D2970" i="18"/>
  <c r="D2974" i="18"/>
  <c r="D2978" i="18"/>
  <c r="O2973" i="18"/>
  <c r="D2941" i="18"/>
  <c r="D2943" i="18"/>
  <c r="D2949" i="18"/>
  <c r="D2955" i="18"/>
  <c r="D2959" i="18"/>
  <c r="D2963" i="18"/>
  <c r="D2980" i="18"/>
  <c r="D2952" i="18"/>
  <c r="D2944" i="18"/>
  <c r="D2940" i="18"/>
  <c r="D2936" i="18"/>
  <c r="D2932" i="18"/>
  <c r="D2928" i="18"/>
  <c r="D2973" i="18"/>
  <c r="D2969" i="18"/>
  <c r="D2953" i="18"/>
  <c r="D2937" i="18"/>
  <c r="D2933" i="18"/>
  <c r="D2929" i="18"/>
  <c r="D2925" i="18"/>
  <c r="O2979" i="18"/>
  <c r="D2966" i="18"/>
  <c r="D2938" i="18"/>
  <c r="D2934" i="18"/>
  <c r="D2930" i="18"/>
  <c r="D2926" i="18"/>
  <c r="O2972" i="18"/>
  <c r="O2978" i="18"/>
  <c r="D2967" i="18"/>
  <c r="D2939" i="18"/>
  <c r="D2935" i="18"/>
  <c r="D2931" i="18"/>
  <c r="O2970" i="18"/>
  <c r="O2976" i="18"/>
  <c r="O2938" i="18"/>
  <c r="O2969" i="18"/>
  <c r="O2966" i="18"/>
  <c r="O2952" i="18"/>
  <c r="H2980" i="18"/>
  <c r="L3015" i="18"/>
  <c r="L3024" i="18"/>
  <c r="L3030" i="18"/>
  <c r="L3033" i="18"/>
  <c r="H3619" i="18"/>
  <c r="K3602" i="18" s="1"/>
  <c r="H3027" i="18"/>
  <c r="H3018" i="18"/>
  <c r="K3018" i="18"/>
  <c r="I3027" i="18"/>
  <c r="K3036" i="18"/>
  <c r="F372" i="5"/>
  <c r="F382" i="5"/>
  <c r="F422" i="5"/>
  <c r="F415" i="5" s="1"/>
  <c r="J552" i="5"/>
  <c r="J585" i="5"/>
  <c r="J596" i="5"/>
  <c r="F634" i="5"/>
  <c r="F639" i="5"/>
  <c r="J3018" i="18"/>
  <c r="J3036" i="18"/>
  <c r="J3027" i="18"/>
  <c r="Q2733" i="18"/>
  <c r="H2583" i="18"/>
  <c r="I2573" i="18"/>
  <c r="J2573" i="18"/>
  <c r="H3036" i="18"/>
  <c r="L3011" i="18"/>
  <c r="L3039" i="18"/>
  <c r="I3018" i="18"/>
  <c r="K3027" i="18"/>
  <c r="I3036" i="18"/>
  <c r="I2583" i="18"/>
  <c r="K2603" i="18"/>
  <c r="L3021" i="18"/>
  <c r="J2583" i="18"/>
  <c r="K2611" i="18"/>
  <c r="I2593" i="18"/>
  <c r="J2593" i="18"/>
  <c r="K2569" i="18"/>
  <c r="D2711" i="18"/>
  <c r="D2725" i="18"/>
  <c r="D2713" i="18"/>
  <c r="D2727" i="18"/>
  <c r="D2726" i="18"/>
  <c r="K3822" i="18"/>
  <c r="K2562" i="18"/>
  <c r="K2579" i="18"/>
  <c r="K2586" i="18"/>
  <c r="K2589" i="18"/>
  <c r="K2576" i="18"/>
  <c r="K2596" i="18"/>
  <c r="H2593" i="18"/>
  <c r="H2573" i="18"/>
  <c r="L2284" i="18"/>
  <c r="K2245" i="18"/>
  <c r="K2234" i="18" s="1"/>
  <c r="F344" i="5"/>
  <c r="J382" i="5"/>
  <c r="J507" i="5"/>
  <c r="F229" i="5"/>
  <c r="J512" i="5"/>
  <c r="J545" i="5"/>
  <c r="J573" i="5"/>
  <c r="J211" i="5"/>
  <c r="J422" i="5"/>
  <c r="J415" i="5" s="1"/>
  <c r="J606" i="5"/>
  <c r="J644" i="5"/>
  <c r="J651" i="5"/>
  <c r="F469" i="5"/>
  <c r="J568" i="5"/>
  <c r="F606" i="5"/>
  <c r="F618" i="5"/>
  <c r="F629" i="5"/>
  <c r="F644" i="5"/>
  <c r="F231" i="5"/>
  <c r="F211" i="5"/>
  <c r="F225" i="5"/>
  <c r="F227" i="5"/>
  <c r="F282" i="5"/>
  <c r="F325" i="5"/>
  <c r="F410" i="5"/>
  <c r="J464" i="5"/>
  <c r="J639" i="5"/>
  <c r="AE40" i="12"/>
  <c r="P4" i="12" s="1"/>
  <c r="J2011" i="18"/>
  <c r="K2001" i="18" s="1"/>
  <c r="K1893" i="18"/>
  <c r="K1882" i="18" s="1"/>
  <c r="K1665" i="18"/>
  <c r="N3192" i="18"/>
  <c r="K1880" i="18"/>
  <c r="K1869" i="18" s="1"/>
  <c r="J1834" i="18"/>
  <c r="J1836" i="18" s="1"/>
  <c r="K1823" i="18" s="1"/>
  <c r="H888" i="18"/>
  <c r="K871" i="18" s="1"/>
  <c r="N1823" i="18"/>
  <c r="J3715" i="18"/>
  <c r="H3532" i="18"/>
  <c r="K3515" i="18" s="1"/>
  <c r="Q648" i="18"/>
  <c r="Q956" i="18"/>
  <c r="L1317" i="18"/>
  <c r="N4936" i="18"/>
  <c r="K559" i="18"/>
  <c r="J567" i="18"/>
  <c r="I1434" i="18"/>
  <c r="K1510" i="18"/>
  <c r="Q658" i="18"/>
  <c r="H5470" i="18"/>
  <c r="H5492" i="18" s="1"/>
  <c r="L1707" i="18"/>
  <c r="K3475" i="18"/>
  <c r="K4458" i="18"/>
  <c r="K4453" i="18" s="1"/>
  <c r="J6246" i="18"/>
  <c r="L439" i="18"/>
  <c r="K4291" i="18"/>
  <c r="H646" i="18"/>
  <c r="K1397" i="18"/>
  <c r="I1433" i="18"/>
  <c r="K3713" i="18"/>
  <c r="O4098" i="18"/>
  <c r="K4088" i="18" s="1"/>
  <c r="Q4567" i="18"/>
  <c r="L183" i="18"/>
  <c r="Q4754" i="18"/>
  <c r="L1375" i="18"/>
  <c r="L1378" i="18" s="1"/>
  <c r="K601" i="18"/>
  <c r="Q618" i="18"/>
  <c r="I865" i="18"/>
  <c r="I868" i="18"/>
  <c r="Q977" i="18"/>
  <c r="I1437" i="18"/>
  <c r="I1439" i="18"/>
  <c r="K1440" i="18"/>
  <c r="J1634" i="18"/>
  <c r="K1617" i="18" s="1"/>
  <c r="P2990" i="18"/>
  <c r="L3003" i="18"/>
  <c r="P2998" i="18"/>
  <c r="K3920" i="18"/>
  <c r="Q5084" i="18"/>
  <c r="F294" i="5"/>
  <c r="F651" i="5"/>
  <c r="F356" i="5"/>
  <c r="F233" i="5"/>
  <c r="J634" i="5"/>
  <c r="F221" i="5"/>
  <c r="F251" i="5"/>
  <c r="F313" i="5"/>
  <c r="F215" i="5"/>
  <c r="F217" i="5"/>
  <c r="J469" i="5"/>
  <c r="J486" i="5"/>
  <c r="J519" i="5"/>
  <c r="J530" i="5"/>
  <c r="J535" i="5"/>
  <c r="F232" i="5"/>
  <c r="J263" i="5"/>
  <c r="J372" i="5"/>
  <c r="J479" i="5"/>
  <c r="F205" i="5"/>
  <c r="F207" i="5"/>
  <c r="J502" i="5"/>
  <c r="F519" i="5"/>
  <c r="F535" i="5"/>
  <c r="J578" i="5"/>
  <c r="J618" i="5"/>
  <c r="J629" i="5"/>
  <c r="F578" i="5"/>
  <c r="F219" i="5"/>
  <c r="J474" i="5"/>
  <c r="F507" i="5"/>
  <c r="J251" i="5"/>
  <c r="J410" i="5"/>
  <c r="F441" i="5"/>
  <c r="F545" i="5"/>
  <c r="F568" i="5"/>
  <c r="F263" i="5"/>
  <c r="J219" i="5"/>
  <c r="AE40" i="11"/>
  <c r="P4" i="11" s="1"/>
  <c r="J540" i="5"/>
  <c r="J601" i="5"/>
  <c r="J611" i="5"/>
  <c r="O4352" i="18"/>
  <c r="K4344" i="18" s="1"/>
  <c r="J2216" i="18"/>
  <c r="K2202" i="18" s="1"/>
  <c r="Q4936" i="18"/>
  <c r="Q5073" i="18"/>
  <c r="D5140" i="18"/>
  <c r="K5500" i="18"/>
  <c r="I6060" i="18"/>
  <c r="K6041" i="18" s="1"/>
  <c r="M128" i="18"/>
  <c r="N120" i="18" s="1"/>
  <c r="L495" i="18"/>
  <c r="L498" i="18" s="1"/>
  <c r="K485" i="18" s="1"/>
  <c r="J3003" i="18"/>
  <c r="Q3260" i="18"/>
  <c r="Q3959" i="18"/>
  <c r="Q4074" i="18"/>
  <c r="Q4076" i="18" s="1"/>
  <c r="H5796" i="18"/>
  <c r="K658" i="18"/>
  <c r="K510" i="18"/>
  <c r="L1440" i="18"/>
  <c r="K1428" i="18" s="1"/>
  <c r="M57" i="18"/>
  <c r="N20" i="18" s="1"/>
  <c r="K569" i="18"/>
  <c r="N678" i="18"/>
  <c r="I1435" i="18"/>
  <c r="L1787" i="18"/>
  <c r="K1774" i="18" s="1"/>
  <c r="J1959" i="18"/>
  <c r="K1947" i="18" s="1"/>
  <c r="M2019" i="18"/>
  <c r="Q2013" i="18" s="1"/>
  <c r="I3003" i="18"/>
  <c r="M3003" i="18"/>
  <c r="K3363" i="18"/>
  <c r="K3562" i="18"/>
  <c r="K3860" i="18"/>
  <c r="K4321" i="18"/>
  <c r="Q4637" i="18"/>
  <c r="Q4809" i="18"/>
  <c r="Q5062" i="18"/>
  <c r="Q5095" i="18"/>
  <c r="I5470" i="18"/>
  <c r="I5492" i="18" s="1"/>
  <c r="I5796" i="18"/>
  <c r="J221" i="5"/>
  <c r="K160" i="18"/>
  <c r="J128" i="18"/>
  <c r="K120" i="18" s="1"/>
  <c r="I1396" i="18"/>
  <c r="I1399" i="18"/>
  <c r="I1398" i="18"/>
  <c r="I1392" i="18"/>
  <c r="N859" i="18"/>
  <c r="K1400" i="18"/>
  <c r="J1419" i="18"/>
  <c r="Q1409" i="18" s="1"/>
  <c r="K1597" i="18"/>
  <c r="M1634" i="18"/>
  <c r="N1617" i="18" s="1"/>
  <c r="J2169" i="18"/>
  <c r="K2157" i="18" s="1"/>
  <c r="K2717" i="18"/>
  <c r="K2705" i="18" s="1"/>
  <c r="D5142" i="18"/>
  <c r="H6192" i="18"/>
  <c r="K6173" i="18" s="1"/>
  <c r="Q138" i="18"/>
  <c r="J526" i="18"/>
  <c r="Q515" i="18" s="1"/>
  <c r="K567" i="18"/>
  <c r="K678" i="18"/>
  <c r="K859" i="18"/>
  <c r="K864" i="18"/>
  <c r="K867" i="18"/>
  <c r="K1375" i="18"/>
  <c r="L1397" i="18"/>
  <c r="L1400" i="18" s="1"/>
  <c r="K1724" i="18"/>
  <c r="Q1716" i="18" s="1"/>
  <c r="M2169" i="18"/>
  <c r="N2157" i="18" s="1"/>
  <c r="N2293" i="18"/>
  <c r="K3003" i="18"/>
  <c r="O3003" i="18"/>
  <c r="K3708" i="18"/>
  <c r="K4159" i="18"/>
  <c r="K4151" i="18" s="1"/>
  <c r="N4401" i="18"/>
  <c r="N4406" i="18"/>
  <c r="N4637" i="18"/>
  <c r="H4948" i="18"/>
  <c r="K5016" i="18"/>
  <c r="Q5046" i="18"/>
  <c r="J5470" i="18"/>
  <c r="J5492" i="18" s="1"/>
  <c r="Q5609" i="18"/>
  <c r="H5842" i="18"/>
  <c r="H5844" i="18" s="1"/>
  <c r="K5814" i="18" s="1"/>
  <c r="Q5030" i="18"/>
  <c r="J57" i="18"/>
  <c r="J577" i="18"/>
  <c r="I866" i="18"/>
  <c r="K1409" i="18"/>
  <c r="M4414" i="18"/>
  <c r="N4567" i="18"/>
  <c r="O4567" i="18" s="1"/>
  <c r="Q4698" i="18"/>
  <c r="K5073" i="18"/>
  <c r="K5471" i="18"/>
  <c r="K5476" i="18"/>
  <c r="N695" i="18"/>
  <c r="K688" i="18" s="1"/>
  <c r="J646" i="18"/>
  <c r="I864" i="18"/>
  <c r="K865" i="18"/>
  <c r="K868" i="18"/>
  <c r="I1436" i="18"/>
  <c r="K1457" i="18"/>
  <c r="J1457" i="18"/>
  <c r="J1467" i="18"/>
  <c r="K1459" i="18" s="1"/>
  <c r="K1467" i="18"/>
  <c r="N1614" i="18"/>
  <c r="Q1607" i="18" s="1"/>
  <c r="I1555" i="18"/>
  <c r="N1597" i="18"/>
  <c r="N3003" i="18"/>
  <c r="P2994" i="18"/>
  <c r="H3003" i="18"/>
  <c r="N2982" i="18" s="1"/>
  <c r="P3002" i="18"/>
  <c r="L3227" i="18"/>
  <c r="K3217" i="18" s="1"/>
  <c r="K3644" i="18"/>
  <c r="K3652" i="18" s="1"/>
  <c r="K4450" i="18"/>
  <c r="K4441" i="18" s="1"/>
  <c r="N4520" i="18"/>
  <c r="Q4667" i="18"/>
  <c r="Q4858" i="18"/>
  <c r="Q4886" i="18"/>
  <c r="K5483" i="18"/>
  <c r="R5609" i="18"/>
  <c r="J6217" i="18"/>
  <c r="J4579" i="18"/>
  <c r="J4537" i="18"/>
  <c r="D5143" i="18"/>
  <c r="Q146" i="18"/>
  <c r="I505" i="18"/>
  <c r="K513" i="18"/>
  <c r="I509" i="18"/>
  <c r="I508" i="18"/>
  <c r="I507" i="18"/>
  <c r="I512" i="18"/>
  <c r="I511" i="18"/>
  <c r="K967" i="18"/>
  <c r="K498" i="18"/>
  <c r="I497" i="18"/>
  <c r="I496" i="18"/>
  <c r="I494" i="18"/>
  <c r="I493" i="18"/>
  <c r="I490" i="18"/>
  <c r="I492" i="18"/>
  <c r="N1348" i="18"/>
  <c r="N944" i="18"/>
  <c r="K944" i="18"/>
  <c r="K1013" i="18"/>
  <c r="I1374" i="18"/>
  <c r="I1373" i="18"/>
  <c r="I1372" i="18"/>
  <c r="K1378" i="18"/>
  <c r="I1377" i="18"/>
  <c r="I1376" i="18"/>
  <c r="I1370" i="18"/>
  <c r="D2712" i="18"/>
  <c r="D2710" i="18"/>
  <c r="D2731" i="18"/>
  <c r="D2724" i="18"/>
  <c r="D2723" i="18"/>
  <c r="I4509" i="18"/>
  <c r="N4502" i="18" s="1"/>
  <c r="D5110" i="18"/>
  <c r="D5126" i="18"/>
  <c r="D5118" i="18"/>
  <c r="D5109" i="18"/>
  <c r="D5124" i="18"/>
  <c r="D5116" i="18"/>
  <c r="D5112" i="18"/>
  <c r="D5122" i="18"/>
  <c r="D5120" i="18"/>
  <c r="K3310" i="18"/>
  <c r="K4001" i="18"/>
  <c r="Q535" i="18"/>
  <c r="I1394" i="18"/>
  <c r="I1395" i="18"/>
  <c r="K1449" i="18"/>
  <c r="K1527" i="18"/>
  <c r="Q1557" i="18"/>
  <c r="Q1567" i="18"/>
  <c r="M1653" i="18"/>
  <c r="D2717" i="18"/>
  <c r="K2731" i="18"/>
  <c r="K2719" i="18" s="1"/>
  <c r="D5114" i="18"/>
  <c r="D5117" i="18"/>
  <c r="I330" i="18"/>
  <c r="H442" i="18" s="1"/>
  <c r="H444" i="18" s="1"/>
  <c r="H445" i="18" s="1"/>
  <c r="K577" i="18"/>
  <c r="I1002" i="18"/>
  <c r="N1326" i="18"/>
  <c r="L1555" i="18"/>
  <c r="J2845" i="18"/>
  <c r="N3260" i="18"/>
  <c r="K3535" i="18"/>
  <c r="H4579" i="18"/>
  <c r="H4537" i="18"/>
  <c r="H4560" i="18"/>
  <c r="H330" i="18"/>
  <c r="L510" i="18"/>
  <c r="L513" i="18" s="1"/>
  <c r="N500" i="18" s="1"/>
  <c r="N485" i="18" s="1"/>
  <c r="H1002" i="18"/>
  <c r="M2216" i="18"/>
  <c r="N2202" i="18" s="1"/>
  <c r="D2722" i="18"/>
  <c r="M3202" i="18"/>
  <c r="Q3192" i="18" s="1"/>
  <c r="H3304" i="18"/>
  <c r="K3290" i="18"/>
  <c r="L4342" i="18"/>
  <c r="Q4334" i="18" s="1"/>
  <c r="Q4520" i="18"/>
  <c r="K4520" i="18"/>
  <c r="D2709" i="18"/>
  <c r="M2845" i="18"/>
  <c r="K3572" i="18"/>
  <c r="K3701" i="18"/>
  <c r="H4131" i="18"/>
  <c r="K4122" i="18" s="1"/>
  <c r="D2875" i="18"/>
  <c r="D2865" i="18"/>
  <c r="K4361" i="18"/>
  <c r="K4355" i="18" s="1"/>
  <c r="J4414" i="18"/>
  <c r="I4581" i="18"/>
  <c r="K4567" i="18"/>
  <c r="L4567" i="18" s="1"/>
  <c r="D5119" i="18"/>
  <c r="D5125" i="18"/>
  <c r="L4086" i="18"/>
  <c r="Q4078" i="18" s="1"/>
  <c r="I4414" i="18"/>
  <c r="O4406" i="18"/>
  <c r="Q4954" i="18"/>
  <c r="N4954" i="18"/>
  <c r="D2708" i="18"/>
  <c r="M3214" i="18"/>
  <c r="K3204" i="18" s="1"/>
  <c r="H4518" i="18"/>
  <c r="K4511" i="18" s="1"/>
  <c r="Q4544" i="18"/>
  <c r="K4544" i="18"/>
  <c r="L4544" i="18" s="1"/>
  <c r="K3175" i="18"/>
  <c r="H4414" i="18"/>
  <c r="N4396" i="18" s="1"/>
  <c r="L4414" i="18"/>
  <c r="K4425" i="18"/>
  <c r="K4417" i="18" s="1"/>
  <c r="N4544" i="18"/>
  <c r="O4544" i="18" s="1"/>
  <c r="J4581" i="18"/>
  <c r="K4886" i="18"/>
  <c r="Q4923" i="18"/>
  <c r="D5113" i="18"/>
  <c r="D5121" i="18"/>
  <c r="D5141" i="18"/>
  <c r="D5144" i="18"/>
  <c r="K5493" i="18"/>
  <c r="K5504" i="18"/>
  <c r="K5507" i="18"/>
  <c r="K4271" i="18"/>
  <c r="K4265" i="18" s="1"/>
  <c r="N4317" i="18"/>
  <c r="Q3991" i="18"/>
  <c r="K4309" i="18"/>
  <c r="K4301" i="18" s="1"/>
  <c r="N4352" i="18"/>
  <c r="D5115" i="18"/>
  <c r="D5123" i="18"/>
  <c r="K5488" i="18"/>
  <c r="J203" i="5"/>
  <c r="J205" i="5"/>
  <c r="J207" i="5"/>
  <c r="J232" i="5"/>
  <c r="J344" i="5"/>
  <c r="J215" i="5"/>
  <c r="J217" i="5"/>
  <c r="J294" i="5"/>
  <c r="J325" i="5"/>
  <c r="J233" i="5"/>
  <c r="J231" i="5"/>
  <c r="J225" i="5"/>
  <c r="J227" i="5"/>
  <c r="J229" i="5"/>
  <c r="J313" i="5"/>
  <c r="J356" i="5"/>
  <c r="J282" i="5"/>
  <c r="F464" i="5"/>
  <c r="F486" i="5"/>
  <c r="F502" i="5"/>
  <c r="F241" i="5"/>
  <c r="F274" i="5"/>
  <c r="F305" i="5"/>
  <c r="F336" i="5"/>
  <c r="F400" i="5"/>
  <c r="F433" i="5"/>
  <c r="J441" i="5"/>
  <c r="J241" i="5"/>
  <c r="J274" i="5"/>
  <c r="J305" i="5"/>
  <c r="J336" i="5"/>
  <c r="J400" i="5"/>
  <c r="J433" i="5"/>
  <c r="F497" i="5"/>
  <c r="F446" i="5"/>
  <c r="F474" i="5"/>
  <c r="F246" i="5"/>
  <c r="F256" i="5"/>
  <c r="F277" i="5"/>
  <c r="F287" i="5"/>
  <c r="F308" i="5"/>
  <c r="F318" i="5"/>
  <c r="F339" i="5"/>
  <c r="F349" i="5"/>
  <c r="F367" i="5"/>
  <c r="F377" i="5"/>
  <c r="F389" i="5"/>
  <c r="F405" i="5"/>
  <c r="F436" i="5"/>
  <c r="F453" i="5"/>
  <c r="F479" i="5"/>
  <c r="F204" i="5"/>
  <c r="J204" i="5"/>
  <c r="F206" i="5"/>
  <c r="J206" i="5"/>
  <c r="F214" i="5"/>
  <c r="J214" i="5"/>
  <c r="F216" i="5"/>
  <c r="J216" i="5"/>
  <c r="F220" i="5"/>
  <c r="J220" i="5"/>
  <c r="F222" i="5"/>
  <c r="J222" i="5"/>
  <c r="F224" i="5"/>
  <c r="J224" i="5"/>
  <c r="F226" i="5"/>
  <c r="J226" i="5"/>
  <c r="F228" i="5"/>
  <c r="J228" i="5"/>
  <c r="J246" i="5"/>
  <c r="J256" i="5"/>
  <c r="J277" i="5"/>
  <c r="J287" i="5"/>
  <c r="J308" i="5"/>
  <c r="J318" i="5"/>
  <c r="J339" i="5"/>
  <c r="J349" i="5"/>
  <c r="J367" i="5"/>
  <c r="J377" i="5"/>
  <c r="J389" i="5"/>
  <c r="J405" i="5"/>
  <c r="J436" i="5"/>
  <c r="J446" i="5"/>
  <c r="J453" i="5"/>
  <c r="J497" i="5"/>
  <c r="J563" i="5"/>
  <c r="F512" i="5"/>
  <c r="F530" i="5"/>
  <c r="F540" i="5"/>
  <c r="F552" i="5"/>
  <c r="F573" i="5"/>
  <c r="F585" i="5"/>
  <c r="F596" i="5"/>
  <c r="F601" i="5"/>
  <c r="F611" i="5"/>
  <c r="H5178" i="18"/>
  <c r="Q5166" i="18" s="1"/>
  <c r="H265" i="50"/>
  <c r="H226" i="50"/>
  <c r="H57" i="50"/>
  <c r="H198" i="50"/>
  <c r="H212" i="50"/>
  <c r="H268" i="50"/>
  <c r="H257" i="50"/>
  <c r="L296" i="50"/>
  <c r="H15" i="50"/>
  <c r="H239" i="50"/>
  <c r="L295" i="50"/>
  <c r="L37" i="50"/>
  <c r="H144" i="50"/>
  <c r="L142" i="50"/>
  <c r="H224" i="50"/>
  <c r="H332" i="50"/>
  <c r="H242" i="50"/>
  <c r="H281" i="50"/>
  <c r="H320" i="50"/>
  <c r="L124" i="50"/>
  <c r="H250" i="50"/>
  <c r="H294" i="50"/>
  <c r="L315" i="50"/>
  <c r="H297" i="50"/>
  <c r="H119" i="50"/>
  <c r="L101" i="50"/>
  <c r="H116" i="50"/>
  <c r="H81" i="50"/>
  <c r="H112" i="50"/>
  <c r="H205" i="50"/>
  <c r="H142" i="50"/>
  <c r="H185" i="50"/>
  <c r="L218" i="50"/>
  <c r="H279" i="50"/>
  <c r="H270" i="50"/>
  <c r="H289" i="50"/>
  <c r="H146" i="50"/>
  <c r="H171" i="50"/>
  <c r="H218" i="50"/>
  <c r="H287" i="50"/>
  <c r="H245" i="50"/>
  <c r="H295" i="50"/>
  <c r="L324" i="50"/>
  <c r="H145" i="50"/>
  <c r="H66" i="50"/>
  <c r="H31" i="50"/>
  <c r="L323" i="50"/>
  <c r="L15" i="50"/>
  <c r="H267" i="50"/>
  <c r="H286" i="50"/>
  <c r="H121" i="50"/>
  <c r="G34" i="46"/>
  <c r="H298" i="50"/>
  <c r="H291" i="50"/>
  <c r="H58" i="50"/>
  <c r="H219" i="50"/>
  <c r="L10" i="50"/>
  <c r="H151" i="50"/>
  <c r="H243" i="50"/>
  <c r="L305" i="50"/>
  <c r="L138" i="50"/>
  <c r="H104" i="50"/>
  <c r="H183" i="50"/>
  <c r="H128" i="50"/>
  <c r="L298" i="50"/>
  <c r="H402" i="50"/>
  <c r="H210" i="50"/>
  <c r="H64" i="50"/>
  <c r="H73" i="50"/>
  <c r="H227" i="50"/>
  <c r="H69" i="50"/>
  <c r="G28" i="46"/>
  <c r="H71" i="50"/>
  <c r="L64" i="50"/>
  <c r="H120" i="50"/>
  <c r="H290" i="50"/>
  <c r="H204" i="50"/>
  <c r="H195" i="50"/>
  <c r="L57" i="50"/>
  <c r="H170" i="50"/>
  <c r="H46" i="50"/>
  <c r="H101" i="50"/>
  <c r="L185" i="50"/>
  <c r="G26" i="46"/>
  <c r="H315" i="50"/>
  <c r="M4876" i="18" l="1"/>
  <c r="N4876" i="18"/>
  <c r="O4520" i="18"/>
  <c r="L4520" i="18"/>
  <c r="H1037" i="18"/>
  <c r="E9" i="96"/>
  <c r="H350" i="18"/>
  <c r="E6" i="96"/>
  <c r="H344" i="18"/>
  <c r="I3655" i="18"/>
  <c r="I3657" i="18" s="1"/>
  <c r="I3658" i="18" s="1"/>
  <c r="M28" i="46"/>
  <c r="N28" i="46" s="1"/>
  <c r="M34" i="46"/>
  <c r="N34" i="46" s="1"/>
  <c r="M26" i="46"/>
  <c r="N26" i="46" s="1"/>
  <c r="K327" i="50"/>
  <c r="M327" i="50" s="1"/>
  <c r="N327" i="50" s="1"/>
  <c r="K328" i="50"/>
  <c r="F8" i="74"/>
  <c r="K335" i="50"/>
  <c r="F15" i="74"/>
  <c r="K329" i="50"/>
  <c r="M329" i="50" s="1"/>
  <c r="N329" i="50" s="1"/>
  <c r="K330" i="50"/>
  <c r="K11" i="80"/>
  <c r="G11" i="80"/>
  <c r="J11" i="80"/>
  <c r="F11" i="80"/>
  <c r="I11" i="80"/>
  <c r="E11" i="80"/>
  <c r="H11" i="80"/>
  <c r="D11" i="80"/>
  <c r="H54" i="2"/>
  <c r="H56" i="2" s="1"/>
  <c r="H57" i="2" s="1"/>
  <c r="L54" i="2"/>
  <c r="L56" i="2" s="1"/>
  <c r="L57" i="2" s="1"/>
  <c r="F37" i="74"/>
  <c r="K346" i="50"/>
  <c r="F28" i="74"/>
  <c r="K332" i="50"/>
  <c r="M332" i="50" s="1"/>
  <c r="N332" i="50" s="1"/>
  <c r="D54" i="2"/>
  <c r="D56" i="2" s="1"/>
  <c r="D57" i="2" s="1"/>
  <c r="F29" i="70"/>
  <c r="K337" i="50"/>
  <c r="J1030" i="18"/>
  <c r="J1034" i="18" s="1"/>
  <c r="H1034" i="18"/>
  <c r="H1038" i="18" s="1"/>
  <c r="L1013" i="18"/>
  <c r="N2830" i="18"/>
  <c r="I2824" i="18"/>
  <c r="L2824" i="18" s="1"/>
  <c r="H2824" i="18"/>
  <c r="H2827" i="18" s="1"/>
  <c r="K2821" i="18" s="1"/>
  <c r="L3475" i="18"/>
  <c r="I2642" i="18"/>
  <c r="L2642" i="18" s="1"/>
  <c r="L4492" i="18"/>
  <c r="O4492" i="18"/>
  <c r="K12" i="80"/>
  <c r="K13" i="80" s="1"/>
  <c r="G12" i="80"/>
  <c r="F12" i="80"/>
  <c r="F13" i="80" s="1"/>
  <c r="I12" i="80"/>
  <c r="I13" i="80" s="1"/>
  <c r="H12" i="80"/>
  <c r="H13" i="80" s="1"/>
  <c r="D12" i="80"/>
  <c r="J795" i="5"/>
  <c r="J798" i="5" s="1"/>
  <c r="J799" i="5" s="1"/>
  <c r="F71" i="8"/>
  <c r="F32" i="74"/>
  <c r="T48" i="2"/>
  <c r="T49" i="2" s="1"/>
  <c r="T50" i="2" s="1"/>
  <c r="T54" i="2"/>
  <c r="T56" i="2" s="1"/>
  <c r="T57" i="2" s="1"/>
  <c r="X3" i="18"/>
  <c r="W3" i="18"/>
  <c r="V3" i="18"/>
  <c r="L102" i="5"/>
  <c r="L338" i="5"/>
  <c r="K483" i="5"/>
  <c r="L718" i="5"/>
  <c r="L85" i="5"/>
  <c r="K24" i="5"/>
  <c r="L765" i="5"/>
  <c r="L262" i="5"/>
  <c r="L244" i="5"/>
  <c r="L162" i="5"/>
  <c r="K25" i="5"/>
  <c r="K631" i="5"/>
  <c r="K569" i="5"/>
  <c r="L428" i="5"/>
  <c r="K492" i="5"/>
  <c r="L350" i="5"/>
  <c r="L141" i="5"/>
  <c r="L570" i="5"/>
  <c r="L650" i="5"/>
  <c r="L448" i="5"/>
  <c r="K472" i="5"/>
  <c r="L380" i="5"/>
  <c r="L374" i="5"/>
  <c r="L140" i="5"/>
  <c r="K647" i="5"/>
  <c r="L612" i="5"/>
  <c r="K638" i="5"/>
  <c r="K547" i="5"/>
  <c r="L482" i="5"/>
  <c r="K533" i="5"/>
  <c r="L402" i="5"/>
  <c r="L138" i="5"/>
  <c r="L340" i="5"/>
  <c r="K248" i="5"/>
  <c r="L33" i="5"/>
  <c r="L326" i="5"/>
  <c r="K26" i="5"/>
  <c r="K184" i="5"/>
  <c r="K68" i="5"/>
  <c r="L115" i="5"/>
  <c r="K423" i="5"/>
  <c r="K177" i="5"/>
  <c r="K238" i="5"/>
  <c r="K770" i="5"/>
  <c r="K495" i="5"/>
  <c r="L456" i="5"/>
  <c r="K718" i="5"/>
  <c r="L295" i="5"/>
  <c r="L284" i="5"/>
  <c r="K134" i="5"/>
  <c r="K82" i="5"/>
  <c r="L84" i="5"/>
  <c r="K779" i="5"/>
  <c r="L729" i="5"/>
  <c r="L460" i="5"/>
  <c r="L527" i="5"/>
  <c r="K553" i="5"/>
  <c r="K189" i="5"/>
  <c r="L390" i="5"/>
  <c r="L307" i="5"/>
  <c r="K160" i="5"/>
  <c r="L384" i="5"/>
  <c r="L293" i="5"/>
  <c r="L431" i="5"/>
  <c r="K91" i="5"/>
  <c r="L131" i="5"/>
  <c r="L67" i="5"/>
  <c r="L619" i="5"/>
  <c r="L547" i="5"/>
  <c r="L593" i="5"/>
  <c r="L594" i="5"/>
  <c r="L437" i="5"/>
  <c r="K461" i="5"/>
  <c r="L613" i="5"/>
  <c r="L724" i="5"/>
  <c r="K614" i="5"/>
  <c r="K518" i="5"/>
  <c r="L413" i="5"/>
  <c r="L359" i="5"/>
  <c r="L317" i="5"/>
  <c r="L273" i="5"/>
  <c r="L69" i="5"/>
  <c r="K13" i="5"/>
  <c r="L409" i="5"/>
  <c r="L348" i="5"/>
  <c r="L304" i="5"/>
  <c r="L260" i="5"/>
  <c r="L174" i="5"/>
  <c r="K59" i="5"/>
  <c r="L119" i="5"/>
  <c r="L40" i="5"/>
  <c r="K190" i="5"/>
  <c r="K249" i="5"/>
  <c r="L640" i="5"/>
  <c r="L574" i="5"/>
  <c r="L721" i="5"/>
  <c r="K473" i="5"/>
  <c r="L438" i="5"/>
  <c r="K442" i="5"/>
  <c r="L572" i="5"/>
  <c r="L513" i="5"/>
  <c r="K577" i="5"/>
  <c r="L781" i="5"/>
  <c r="L186" i="5"/>
  <c r="K506" i="5"/>
  <c r="L370" i="5"/>
  <c r="L327" i="5"/>
  <c r="L285" i="5"/>
  <c r="L236" i="5"/>
  <c r="K39" i="5"/>
  <c r="L419" i="5"/>
  <c r="L358" i="5"/>
  <c r="L316" i="5"/>
  <c r="L272" i="5"/>
  <c r="L27" i="5"/>
  <c r="K236" i="5"/>
  <c r="K80" i="5"/>
  <c r="L25" i="5"/>
  <c r="K136" i="5"/>
  <c r="K37" i="5"/>
  <c r="K119" i="5"/>
  <c r="L55" i="5"/>
  <c r="K173" i="5"/>
  <c r="L90" i="5"/>
  <c r="L56" i="5"/>
  <c r="L129" i="5"/>
  <c r="L179" i="5"/>
  <c r="L770" i="5"/>
  <c r="M770" i="5" s="1"/>
  <c r="L555" i="5"/>
  <c r="K45" i="5"/>
  <c r="L525" i="5"/>
  <c r="L46" i="5"/>
  <c r="K520" i="5"/>
  <c r="K16" i="5"/>
  <c r="K21" i="5"/>
  <c r="L52" i="5"/>
  <c r="L87" i="5"/>
  <c r="K102" i="5"/>
  <c r="K113" i="5"/>
  <c r="K180" i="5"/>
  <c r="K403" i="5"/>
  <c r="L550" i="5"/>
  <c r="L95" i="5"/>
  <c r="K140" i="5"/>
  <c r="M140" i="5" s="1"/>
  <c r="F20" i="69" s="1"/>
  <c r="L181" i="5"/>
  <c r="L615" i="5"/>
  <c r="K67" i="5"/>
  <c r="M67" i="5" s="1"/>
  <c r="L9" i="68" s="1"/>
  <c r="L94" i="5"/>
  <c r="K505" i="5"/>
  <c r="K145" i="5"/>
  <c r="K84" i="5"/>
  <c r="L135" i="5"/>
  <c r="K131" i="5"/>
  <c r="L147" i="5"/>
  <c r="L541" i="5"/>
  <c r="K175" i="5"/>
  <c r="L137" i="5"/>
  <c r="L128" i="5"/>
  <c r="L71" i="5"/>
  <c r="K58" i="5"/>
  <c r="K48" i="5"/>
  <c r="K101" i="5"/>
  <c r="K14" i="5"/>
  <c r="L51" i="5"/>
  <c r="L79" i="5"/>
  <c r="K106" i="5"/>
  <c r="K152" i="5"/>
  <c r="K513" i="5"/>
  <c r="K28" i="5"/>
  <c r="L58" i="5"/>
  <c r="L81" i="5"/>
  <c r="K142" i="5"/>
  <c r="L24" i="5"/>
  <c r="L54" i="5"/>
  <c r="K76" i="5"/>
  <c r="K96" i="5"/>
  <c r="L116" i="5"/>
  <c r="K143" i="5"/>
  <c r="K191" i="5"/>
  <c r="K508" i="5"/>
  <c r="K22" i="5"/>
  <c r="K34" i="5"/>
  <c r="L49" i="5"/>
  <c r="K69" i="5"/>
  <c r="K116" i="5"/>
  <c r="K391" i="5"/>
  <c r="L425" i="5"/>
  <c r="K23" i="5"/>
  <c r="L39" i="5"/>
  <c r="K85" i="5"/>
  <c r="K137" i="5"/>
  <c r="K261" i="5"/>
  <c r="K239" i="5"/>
  <c r="K250" i="5"/>
  <c r="L259" i="5"/>
  <c r="K264" i="5"/>
  <c r="K270" i="5"/>
  <c r="K276" i="5"/>
  <c r="K281" i="5"/>
  <c r="K286" i="5"/>
  <c r="K291" i="5"/>
  <c r="K296" i="5"/>
  <c r="K302" i="5"/>
  <c r="K309" i="5"/>
  <c r="K314" i="5"/>
  <c r="K319" i="5"/>
  <c r="K323" i="5"/>
  <c r="K328" i="5"/>
  <c r="K334" i="5"/>
  <c r="K341" i="5"/>
  <c r="K346" i="5"/>
  <c r="K351" i="5"/>
  <c r="K355" i="5"/>
  <c r="K363" i="5"/>
  <c r="K369" i="5"/>
  <c r="K376" i="5"/>
  <c r="K381" i="5"/>
  <c r="K386" i="5"/>
  <c r="K407" i="5"/>
  <c r="K412" i="5"/>
  <c r="K417" i="5"/>
  <c r="K421" i="5"/>
  <c r="L31" i="5"/>
  <c r="K17" i="5"/>
  <c r="K31" i="5"/>
  <c r="L88" i="5"/>
  <c r="L123" i="5"/>
  <c r="L159" i="5"/>
  <c r="L176" i="5"/>
  <c r="L29" i="5"/>
  <c r="L47" i="5"/>
  <c r="L66" i="5"/>
  <c r="L96" i="5"/>
  <c r="L134" i="5"/>
  <c r="K237" i="5"/>
  <c r="L247" i="5"/>
  <c r="L253" i="5"/>
  <c r="K258" i="5"/>
  <c r="L265" i="5"/>
  <c r="L271" i="5"/>
  <c r="L278" i="5"/>
  <c r="L283" i="5"/>
  <c r="L288" i="5"/>
  <c r="L292" i="5"/>
  <c r="L297" i="5"/>
  <c r="L303" i="5"/>
  <c r="L310" i="5"/>
  <c r="L315" i="5"/>
  <c r="L320" i="5"/>
  <c r="L324" i="5"/>
  <c r="L331" i="5"/>
  <c r="L335" i="5"/>
  <c r="L342" i="5"/>
  <c r="L347" i="5"/>
  <c r="L352" i="5"/>
  <c r="L357" i="5"/>
  <c r="L356" i="5" s="1"/>
  <c r="L362" i="5"/>
  <c r="L366" i="5"/>
  <c r="L373" i="5"/>
  <c r="L378" i="5"/>
  <c r="L383" i="5"/>
  <c r="L387" i="5"/>
  <c r="L406" i="5"/>
  <c r="L411" i="5"/>
  <c r="L416" i="5"/>
  <c r="L420" i="5"/>
  <c r="K511" i="5"/>
  <c r="K521" i="5"/>
  <c r="L146" i="5"/>
  <c r="L154" i="5"/>
  <c r="K424" i="5"/>
  <c r="K181" i="5"/>
  <c r="L392" i="5"/>
  <c r="L398" i="5"/>
  <c r="K504" i="5"/>
  <c r="K514" i="5"/>
  <c r="L608" i="5"/>
  <c r="L587" i="5"/>
  <c r="L777" i="5"/>
  <c r="L769" i="5"/>
  <c r="K730" i="5"/>
  <c r="K722" i="5"/>
  <c r="K628" i="5"/>
  <c r="K619" i="5"/>
  <c r="M619" i="5" s="1"/>
  <c r="K607" i="5"/>
  <c r="K586" i="5"/>
  <c r="K572" i="5"/>
  <c r="K558" i="5"/>
  <c r="K548" i="5"/>
  <c r="K538" i="5"/>
  <c r="K527" i="5"/>
  <c r="L732" i="5"/>
  <c r="K649" i="5"/>
  <c r="L517" i="5"/>
  <c r="L508" i="5"/>
  <c r="K496" i="5"/>
  <c r="K487" i="5"/>
  <c r="K477" i="5"/>
  <c r="L774" i="5"/>
  <c r="L627" i="5"/>
  <c r="K603" i="5"/>
  <c r="K582" i="5"/>
  <c r="L558" i="5"/>
  <c r="L538" i="5"/>
  <c r="L496" i="5"/>
  <c r="L487" i="5"/>
  <c r="L477" i="5"/>
  <c r="K467" i="5"/>
  <c r="K456" i="5"/>
  <c r="K447" i="5"/>
  <c r="K437" i="5"/>
  <c r="L726" i="5"/>
  <c r="K645" i="5"/>
  <c r="L461" i="5"/>
  <c r="L451" i="5"/>
  <c r="L442" i="5"/>
  <c r="L184" i="5"/>
  <c r="K428" i="5"/>
  <c r="M428" i="5" s="1"/>
  <c r="W9" i="75" s="1"/>
  <c r="K580" i="5"/>
  <c r="K594" i="5"/>
  <c r="K605" i="5"/>
  <c r="K537" i="5"/>
  <c r="K561" i="5"/>
  <c r="K438" i="5"/>
  <c r="K443" i="5"/>
  <c r="K448" i="5"/>
  <c r="K452" i="5"/>
  <c r="K460" i="5"/>
  <c r="K466" i="5"/>
  <c r="L471" i="5"/>
  <c r="L476" i="5"/>
  <c r="L481" i="5"/>
  <c r="L485" i="5"/>
  <c r="L493" i="5"/>
  <c r="L499" i="5"/>
  <c r="K588" i="5"/>
  <c r="K599" i="5"/>
  <c r="K609" i="5"/>
  <c r="K539" i="5"/>
  <c r="K559" i="5"/>
  <c r="L719" i="5"/>
  <c r="L723" i="5"/>
  <c r="L727" i="5"/>
  <c r="L731" i="5"/>
  <c r="L579" i="5"/>
  <c r="K643" i="5"/>
  <c r="K653" i="5"/>
  <c r="K767" i="5"/>
  <c r="K775" i="5"/>
  <c r="L581" i="5"/>
  <c r="L602" i="5"/>
  <c r="L528" i="5"/>
  <c r="L542" i="5"/>
  <c r="L551" i="5"/>
  <c r="L569" i="5"/>
  <c r="K613" i="5"/>
  <c r="K625" i="5"/>
  <c r="L636" i="5"/>
  <c r="L646" i="5"/>
  <c r="K768" i="5"/>
  <c r="K776" i="5"/>
  <c r="L616" i="5"/>
  <c r="L626" i="5"/>
  <c r="L637" i="5"/>
  <c r="L647" i="5"/>
  <c r="L635" i="5"/>
  <c r="L105" i="5"/>
  <c r="K254" i="5"/>
  <c r="L112" i="5"/>
  <c r="L620" i="5"/>
  <c r="L86" i="5"/>
  <c r="L120" i="5"/>
  <c r="K30" i="5"/>
  <c r="K90" i="5"/>
  <c r="K156" i="5"/>
  <c r="L113" i="5"/>
  <c r="K77" i="5"/>
  <c r="K259" i="5"/>
  <c r="L16" i="5"/>
  <c r="K44" i="5"/>
  <c r="K120" i="5"/>
  <c r="L151" i="5"/>
  <c r="K515" i="5"/>
  <c r="K510" i="5"/>
  <c r="K183" i="5"/>
  <c r="L19" i="5"/>
  <c r="K46" i="5"/>
  <c r="L68" i="5"/>
  <c r="L99" i="5"/>
  <c r="L107" i="5"/>
  <c r="K179" i="5"/>
  <c r="M179" i="5" s="1"/>
  <c r="K395" i="5"/>
  <c r="K503" i="5"/>
  <c r="K53" i="5"/>
  <c r="K118" i="5"/>
  <c r="L153" i="5"/>
  <c r="K252" i="5"/>
  <c r="L70" i="5"/>
  <c r="L187" i="5"/>
  <c r="L42" i="5"/>
  <c r="K81" i="5"/>
  <c r="K135" i="5"/>
  <c r="L82" i="5"/>
  <c r="M82" i="5" s="1"/>
  <c r="K147" i="5"/>
  <c r="L560" i="5"/>
  <c r="K188" i="5"/>
  <c r="K138" i="5"/>
  <c r="K129" i="5"/>
  <c r="K97" i="5"/>
  <c r="K62" i="5"/>
  <c r="K50" i="5"/>
  <c r="K94" i="5"/>
  <c r="M94" i="5" s="1"/>
  <c r="L33" i="68" s="1"/>
  <c r="L14" i="5"/>
  <c r="L48" i="5"/>
  <c r="K79" i="5"/>
  <c r="L98" i="5"/>
  <c r="K151" i="5"/>
  <c r="K399" i="5"/>
  <c r="L28" i="5"/>
  <c r="K52" i="5"/>
  <c r="M52" i="5" s="1"/>
  <c r="K87" i="5"/>
  <c r="M87" i="5" s="1"/>
  <c r="L26" i="68" s="1"/>
  <c r="K103" i="5"/>
  <c r="L11" i="5"/>
  <c r="L50" i="5"/>
  <c r="K72" i="5"/>
  <c r="K95" i="5"/>
  <c r="L111" i="5"/>
  <c r="L133" i="5"/>
  <c r="K186" i="5"/>
  <c r="K429" i="5"/>
  <c r="L575" i="5"/>
  <c r="L22" i="5"/>
  <c r="L34" i="5"/>
  <c r="K49" i="5"/>
  <c r="K66" i="5"/>
  <c r="K112" i="5"/>
  <c r="K247" i="5"/>
  <c r="K402" i="5"/>
  <c r="K431" i="5"/>
  <c r="K20" i="5"/>
  <c r="K32" i="5"/>
  <c r="L72" i="5"/>
  <c r="K128" i="5"/>
  <c r="K240" i="5"/>
  <c r="K168" i="5"/>
  <c r="K174" i="5"/>
  <c r="L239" i="5"/>
  <c r="L250" i="5"/>
  <c r="K255" i="5"/>
  <c r="L264" i="5"/>
  <c r="L270" i="5"/>
  <c r="L276" i="5"/>
  <c r="L281" i="5"/>
  <c r="L286" i="5"/>
  <c r="L291" i="5"/>
  <c r="L296" i="5"/>
  <c r="L294" i="5" s="1"/>
  <c r="L302" i="5"/>
  <c r="L309" i="5"/>
  <c r="L314" i="5"/>
  <c r="L319" i="5"/>
  <c r="L323" i="5"/>
  <c r="L328" i="5"/>
  <c r="L334" i="5"/>
  <c r="L341" i="5"/>
  <c r="L346" i="5"/>
  <c r="L351" i="5"/>
  <c r="L355" i="5"/>
  <c r="L363" i="5"/>
  <c r="L369" i="5"/>
  <c r="L376" i="5"/>
  <c r="L381" i="5"/>
  <c r="L386" i="5"/>
  <c r="L407" i="5"/>
  <c r="L412" i="5"/>
  <c r="L417" i="5"/>
  <c r="L421" i="5"/>
  <c r="L23" i="5"/>
  <c r="L41" i="5"/>
  <c r="K15" i="5"/>
  <c r="K29" i="5"/>
  <c r="K41" i="5"/>
  <c r="L118" i="5"/>
  <c r="K162" i="5"/>
  <c r="L156" i="5"/>
  <c r="L152" i="5"/>
  <c r="L175" i="5"/>
  <c r="L43" i="5"/>
  <c r="L61" i="5"/>
  <c r="L77" i="5"/>
  <c r="L130" i="5"/>
  <c r="L157" i="5"/>
  <c r="L237" i="5"/>
  <c r="K243" i="5"/>
  <c r="L252" i="5"/>
  <c r="L258" i="5"/>
  <c r="K262" i="5"/>
  <c r="K269" i="5"/>
  <c r="K273" i="5"/>
  <c r="K280" i="5"/>
  <c r="K285" i="5"/>
  <c r="M285" i="5" s="1"/>
  <c r="R23" i="75" s="1"/>
  <c r="K290" i="5"/>
  <c r="K295" i="5"/>
  <c r="K294" i="5" s="1"/>
  <c r="K301" i="5"/>
  <c r="K307" i="5"/>
  <c r="M307" i="5" s="1"/>
  <c r="S15" i="75" s="1"/>
  <c r="K312" i="5"/>
  <c r="K317" i="5"/>
  <c r="K322" i="5"/>
  <c r="K327" i="5"/>
  <c r="K333" i="5"/>
  <c r="K340" i="5"/>
  <c r="K345" i="5"/>
  <c r="K350" i="5"/>
  <c r="M350" i="5" s="1"/>
  <c r="T26" i="75" s="1"/>
  <c r="K354" i="5"/>
  <c r="K359" i="5"/>
  <c r="K364" i="5"/>
  <c r="K370" i="5"/>
  <c r="K375" i="5"/>
  <c r="K380" i="5"/>
  <c r="M380" i="5" s="1"/>
  <c r="K385" i="5"/>
  <c r="K390" i="5"/>
  <c r="K408" i="5"/>
  <c r="K413" i="5"/>
  <c r="K418" i="5"/>
  <c r="L506" i="5"/>
  <c r="L516" i="5"/>
  <c r="L142" i="5"/>
  <c r="L150" i="5"/>
  <c r="L190" i="5"/>
  <c r="L430" i="5"/>
  <c r="L391" i="5"/>
  <c r="L397" i="5"/>
  <c r="L403" i="5"/>
  <c r="L509" i="5"/>
  <c r="L518" i="5"/>
  <c r="L592" i="5"/>
  <c r="L779" i="5"/>
  <c r="L771" i="5"/>
  <c r="K732" i="5"/>
  <c r="K724" i="5"/>
  <c r="M724" i="5" s="1"/>
  <c r="K632" i="5"/>
  <c r="K621" i="5"/>
  <c r="K612" i="5"/>
  <c r="M612" i="5" s="1"/>
  <c r="K591" i="5"/>
  <c r="K575" i="5"/>
  <c r="K560" i="5"/>
  <c r="M560" i="5" s="1"/>
  <c r="Z11" i="75" s="1"/>
  <c r="K550" i="5"/>
  <c r="K541" i="5"/>
  <c r="M541" i="5" s="1"/>
  <c r="Z22" i="71" s="1"/>
  <c r="K529" i="5"/>
  <c r="L768" i="5"/>
  <c r="L720" i="5"/>
  <c r="L520" i="5"/>
  <c r="L510" i="5"/>
  <c r="K500" i="5"/>
  <c r="K489" i="5"/>
  <c r="K480" i="5"/>
  <c r="K470" i="5"/>
  <c r="K642" i="5"/>
  <c r="K608" i="5"/>
  <c r="K587" i="5"/>
  <c r="L562" i="5"/>
  <c r="L543" i="5"/>
  <c r="L500" i="5"/>
  <c r="L489" i="5"/>
  <c r="L480" i="5"/>
  <c r="L470" i="5"/>
  <c r="K459" i="5"/>
  <c r="K449" i="5"/>
  <c r="K439" i="5"/>
  <c r="L730" i="5"/>
  <c r="K654" i="5"/>
  <c r="L463" i="5"/>
  <c r="L454" i="5"/>
  <c r="L444" i="5"/>
  <c r="L180" i="5"/>
  <c r="K432" i="5"/>
  <c r="L584" i="5"/>
  <c r="L600" i="5"/>
  <c r="L610" i="5"/>
  <c r="K532" i="5"/>
  <c r="K551" i="5"/>
  <c r="L440" i="5"/>
  <c r="L445" i="5"/>
  <c r="L450" i="5"/>
  <c r="L455" i="5"/>
  <c r="L462" i="5"/>
  <c r="K471" i="5"/>
  <c r="M471" i="5" s="1"/>
  <c r="K476" i="5"/>
  <c r="M476" i="5" s="1"/>
  <c r="X23" i="71" s="1"/>
  <c r="K481" i="5"/>
  <c r="M481" i="5" s="1"/>
  <c r="K485" i="5"/>
  <c r="M485" i="5" s="1"/>
  <c r="K493" i="5"/>
  <c r="K499" i="5"/>
  <c r="M499" i="5" s="1"/>
  <c r="L588" i="5"/>
  <c r="L599" i="5"/>
  <c r="L609" i="5"/>
  <c r="K528" i="5"/>
  <c r="K554" i="5"/>
  <c r="K721" i="5"/>
  <c r="K725" i="5"/>
  <c r="K729" i="5"/>
  <c r="K733" i="5"/>
  <c r="K641" i="5"/>
  <c r="K650" i="5"/>
  <c r="K765" i="5"/>
  <c r="M765" i="5" s="1"/>
  <c r="K773" i="5"/>
  <c r="K781" i="5"/>
  <c r="L595" i="5"/>
  <c r="L526" i="5"/>
  <c r="L539" i="5"/>
  <c r="L549" i="5"/>
  <c r="L561" i="5"/>
  <c r="L576" i="5"/>
  <c r="K620" i="5"/>
  <c r="K579" i="5"/>
  <c r="M579" i="5" s="1"/>
  <c r="Z26" i="75" s="1"/>
  <c r="L643" i="5"/>
  <c r="L653" i="5"/>
  <c r="K766" i="5"/>
  <c r="K774" i="5"/>
  <c r="L614" i="5"/>
  <c r="L624" i="5"/>
  <c r="L645" i="5"/>
  <c r="L654" i="5"/>
  <c r="K73" i="5"/>
  <c r="L18" i="5"/>
  <c r="L97" i="5"/>
  <c r="L183" i="5"/>
  <c r="K153" i="5"/>
  <c r="L17" i="5"/>
  <c r="L62" i="5"/>
  <c r="K105" i="5"/>
  <c r="K392" i="5"/>
  <c r="L642" i="5"/>
  <c r="K772" i="5"/>
  <c r="K615" i="5"/>
  <c r="L532" i="5"/>
  <c r="K769" i="5"/>
  <c r="K731" i="5"/>
  <c r="M731" i="5" s="1"/>
  <c r="K574" i="5"/>
  <c r="K593" i="5"/>
  <c r="M593" i="5" s="1"/>
  <c r="L473" i="5"/>
  <c r="K450" i="5"/>
  <c r="K571" i="5"/>
  <c r="K600" i="5"/>
  <c r="L188" i="5"/>
  <c r="K635" i="5"/>
  <c r="K454" i="5"/>
  <c r="L494" i="5"/>
  <c r="L766" i="5"/>
  <c r="L505" i="5"/>
  <c r="K525" i="5"/>
  <c r="K570" i="5"/>
  <c r="M570" i="5" s="1"/>
  <c r="Z18" i="75" s="1"/>
  <c r="K602" i="5"/>
  <c r="M602" i="5" s="1"/>
  <c r="K728" i="5"/>
  <c r="L504" i="5"/>
  <c r="L395" i="5"/>
  <c r="L511" i="5"/>
  <c r="M511" i="5" s="1"/>
  <c r="K406" i="5"/>
  <c r="K373" i="5"/>
  <c r="K352" i="5"/>
  <c r="K331" i="5"/>
  <c r="M331" i="5" s="1"/>
  <c r="T9" i="75" s="1"/>
  <c r="K310" i="5"/>
  <c r="K288" i="5"/>
  <c r="K265" i="5"/>
  <c r="L240" i="5"/>
  <c r="L73" i="5"/>
  <c r="L136" i="5"/>
  <c r="K19" i="5"/>
  <c r="M19" i="5" s="1"/>
  <c r="K419" i="5"/>
  <c r="M419" i="5" s="1"/>
  <c r="K384" i="5"/>
  <c r="K358" i="5"/>
  <c r="K338" i="5"/>
  <c r="M338" i="5" s="1"/>
  <c r="T15" i="75" s="1"/>
  <c r="K316" i="5"/>
  <c r="K293" i="5"/>
  <c r="K272" i="5"/>
  <c r="L249" i="5"/>
  <c r="L177" i="5"/>
  <c r="L32" i="5"/>
  <c r="L38" i="5"/>
  <c r="L429" i="5"/>
  <c r="K123" i="5"/>
  <c r="M123" i="5" s="1"/>
  <c r="M873" i="5" s="1"/>
  <c r="L44" i="5"/>
  <c r="K40" i="5"/>
  <c r="L91" i="5"/>
  <c r="K18" i="5"/>
  <c r="M18" i="5" s="1"/>
  <c r="K133" i="5"/>
  <c r="M133" i="5" s="1"/>
  <c r="L143" i="5"/>
  <c r="K70" i="5"/>
  <c r="M70" i="5" s="1"/>
  <c r="K214" i="50" s="1"/>
  <c r="K146" i="5"/>
  <c r="L631" i="5"/>
  <c r="M631" i="5" s="1"/>
  <c r="K60" i="5"/>
  <c r="L649" i="5"/>
  <c r="L628" i="5"/>
  <c r="M628" i="5" s="1"/>
  <c r="K778" i="5"/>
  <c r="L641" i="5"/>
  <c r="K617" i="5"/>
  <c r="L559" i="5"/>
  <c r="L537" i="5"/>
  <c r="L591" i="5"/>
  <c r="K771" i="5"/>
  <c r="K648" i="5"/>
  <c r="L733" i="5"/>
  <c r="L725" i="5"/>
  <c r="K544" i="5"/>
  <c r="L604" i="5"/>
  <c r="L583" i="5"/>
  <c r="K488" i="5"/>
  <c r="K478" i="5"/>
  <c r="L466" i="5"/>
  <c r="L452" i="5"/>
  <c r="L443" i="5"/>
  <c r="K576" i="5"/>
  <c r="K526" i="5"/>
  <c r="L605" i="5"/>
  <c r="L580" i="5"/>
  <c r="L447" i="5"/>
  <c r="L467" i="5"/>
  <c r="L772" i="5"/>
  <c r="K451" i="5"/>
  <c r="L472" i="5"/>
  <c r="L492" i="5"/>
  <c r="M492" i="5" s="1"/>
  <c r="L548" i="5"/>
  <c r="K592" i="5"/>
  <c r="K652" i="5"/>
  <c r="K482" i="5"/>
  <c r="L503" i="5"/>
  <c r="L522" i="5"/>
  <c r="L776" i="5"/>
  <c r="K543" i="5"/>
  <c r="K562" i="5"/>
  <c r="M562" i="5" s="1"/>
  <c r="Z12" i="75" s="1"/>
  <c r="K595" i="5"/>
  <c r="K624" i="5"/>
  <c r="K726" i="5"/>
  <c r="L773" i="5"/>
  <c r="L598" i="5"/>
  <c r="K509" i="5"/>
  <c r="L396" i="5"/>
  <c r="K430" i="5"/>
  <c r="K516" i="5"/>
  <c r="M516" i="5" s="1"/>
  <c r="L418" i="5"/>
  <c r="L408" i="5"/>
  <c r="L385" i="5"/>
  <c r="L375" i="5"/>
  <c r="L364" i="5"/>
  <c r="L354" i="5"/>
  <c r="L345" i="5"/>
  <c r="L333" i="5"/>
  <c r="L322" i="5"/>
  <c r="L312" i="5"/>
  <c r="L301" i="5"/>
  <c r="L290" i="5"/>
  <c r="L280" i="5"/>
  <c r="L269" i="5"/>
  <c r="L257" i="5"/>
  <c r="L243" i="5"/>
  <c r="L245" i="5" s="1"/>
  <c r="L114" i="5"/>
  <c r="L53" i="5"/>
  <c r="L144" i="5"/>
  <c r="L104" i="5"/>
  <c r="K27" i="5"/>
  <c r="L15" i="5"/>
  <c r="L414" i="5"/>
  <c r="L388" i="5"/>
  <c r="L379" i="5"/>
  <c r="L365" i="5"/>
  <c r="L353" i="5"/>
  <c r="L343" i="5"/>
  <c r="L332" i="5"/>
  <c r="L321" i="5"/>
  <c r="L311" i="5"/>
  <c r="L300" i="5"/>
  <c r="L289" i="5"/>
  <c r="L279" i="5"/>
  <c r="L266" i="5"/>
  <c r="L254" i="5"/>
  <c r="K141" i="5"/>
  <c r="K78" i="5"/>
  <c r="L13" i="5"/>
  <c r="K398" i="5"/>
  <c r="K98" i="5"/>
  <c r="K38" i="5"/>
  <c r="K12" i="5"/>
  <c r="K517" i="5"/>
  <c r="K154" i="5"/>
  <c r="M154" i="5" s="1"/>
  <c r="K318" i="50" s="1"/>
  <c r="M318" i="50" s="1"/>
  <c r="N318" i="50" s="1"/>
  <c r="L100" i="5"/>
  <c r="L59" i="5"/>
  <c r="K157" i="5"/>
  <c r="K74" i="5"/>
  <c r="K522" i="5"/>
  <c r="L106" i="5"/>
  <c r="K56" i="5"/>
  <c r="M56" i="5" s="1"/>
  <c r="K155" i="5"/>
  <c r="K54" i="5"/>
  <c r="K115" i="5"/>
  <c r="M115" i="5" s="1"/>
  <c r="K287" i="50" s="1"/>
  <c r="K159" i="5"/>
  <c r="L83" i="5"/>
  <c r="L185" i="5"/>
  <c r="L145" i="5"/>
  <c r="L155" i="5"/>
  <c r="K149" i="5"/>
  <c r="K47" i="5"/>
  <c r="M47" i="5" s="1"/>
  <c r="K257" i="5"/>
  <c r="M257" i="5" s="1"/>
  <c r="K57" i="5"/>
  <c r="L45" i="5"/>
  <c r="L80" i="5"/>
  <c r="K150" i="5"/>
  <c r="L778" i="5"/>
  <c r="K144" i="5"/>
  <c r="L621" i="5"/>
  <c r="L638" i="5"/>
  <c r="L554" i="5"/>
  <c r="L586" i="5"/>
  <c r="K646" i="5"/>
  <c r="M646" i="5" s="1"/>
  <c r="K723" i="5"/>
  <c r="L495" i="5"/>
  <c r="L483" i="5"/>
  <c r="K462" i="5"/>
  <c r="K440" i="5"/>
  <c r="L432" i="5"/>
  <c r="L449" i="5"/>
  <c r="L780" i="5"/>
  <c r="L475" i="5"/>
  <c r="L553" i="5"/>
  <c r="K598" i="5"/>
  <c r="K484" i="5"/>
  <c r="K640" i="5"/>
  <c r="K546" i="5"/>
  <c r="K626" i="5"/>
  <c r="L775" i="5"/>
  <c r="L603" i="5"/>
  <c r="L424" i="5"/>
  <c r="K416" i="5"/>
  <c r="K383" i="5"/>
  <c r="K362" i="5"/>
  <c r="K342" i="5"/>
  <c r="M342" i="5" s="1"/>
  <c r="T19" i="75" s="1"/>
  <c r="K320" i="5"/>
  <c r="K297" i="5"/>
  <c r="K278" i="5"/>
  <c r="K253" i="5"/>
  <c r="M253" i="5" s="1"/>
  <c r="Q23" i="71" s="1"/>
  <c r="L149" i="5"/>
  <c r="K176" i="5"/>
  <c r="L89" i="5"/>
  <c r="L37" i="5"/>
  <c r="K409" i="5"/>
  <c r="K374" i="5"/>
  <c r="M374" i="5" s="1"/>
  <c r="K348" i="5"/>
  <c r="K326" i="5"/>
  <c r="K304" i="5"/>
  <c r="M304" i="5" s="1"/>
  <c r="S12" i="75" s="1"/>
  <c r="K284" i="5"/>
  <c r="K260" i="5"/>
  <c r="L168" i="5"/>
  <c r="M168" i="5" s="1"/>
  <c r="M792" i="5" s="1"/>
  <c r="K88" i="5"/>
  <c r="M88" i="5" s="1"/>
  <c r="L27" i="68" s="1"/>
  <c r="K396" i="5"/>
  <c r="M396" i="5" s="1"/>
  <c r="L12" i="5"/>
  <c r="K89" i="5"/>
  <c r="K99" i="5"/>
  <c r="K397" i="5"/>
  <c r="M397" i="5" s="1"/>
  <c r="K42" i="5"/>
  <c r="M42" i="5" s="1"/>
  <c r="L78" i="5"/>
  <c r="L189" i="5"/>
  <c r="M189" i="5" s="1"/>
  <c r="L103" i="5"/>
  <c r="K637" i="5"/>
  <c r="M637" i="5" s="1"/>
  <c r="K43" i="5"/>
  <c r="L139" i="5"/>
  <c r="L30" i="5"/>
  <c r="L652" i="5"/>
  <c r="L632" i="5"/>
  <c r="K780" i="5"/>
  <c r="L648" i="5"/>
  <c r="K627" i="5"/>
  <c r="M627" i="5" s="1"/>
  <c r="L571" i="5"/>
  <c r="L544" i="5"/>
  <c r="L607" i="5"/>
  <c r="K777" i="5"/>
  <c r="K636" i="5"/>
  <c r="K727" i="5"/>
  <c r="K719" i="5"/>
  <c r="K549" i="5"/>
  <c r="K604" i="5"/>
  <c r="K583" i="5"/>
  <c r="L488" i="5"/>
  <c r="L478" i="5"/>
  <c r="K455" i="5"/>
  <c r="K445" i="5"/>
  <c r="K542" i="5"/>
  <c r="K610" i="5"/>
  <c r="K584" i="5"/>
  <c r="L439" i="5"/>
  <c r="L459" i="5"/>
  <c r="L722" i="5"/>
  <c r="K444" i="5"/>
  <c r="M444" i="5" s="1"/>
  <c r="W23" i="75" s="1"/>
  <c r="K463" i="5"/>
  <c r="L484" i="5"/>
  <c r="L533" i="5"/>
  <c r="L577" i="5"/>
  <c r="L617" i="5"/>
  <c r="K475" i="5"/>
  <c r="K494" i="5"/>
  <c r="L515" i="5"/>
  <c r="L728" i="5"/>
  <c r="K536" i="5"/>
  <c r="K555" i="5"/>
  <c r="K581" i="5"/>
  <c r="K616" i="5"/>
  <c r="M616" i="5" s="1"/>
  <c r="K720" i="5"/>
  <c r="L767" i="5"/>
  <c r="L582" i="5"/>
  <c r="L514" i="5"/>
  <c r="L399" i="5"/>
  <c r="K185" i="5"/>
  <c r="L182" i="5"/>
  <c r="L521" i="5"/>
  <c r="K420" i="5"/>
  <c r="K411" i="5"/>
  <c r="M411" i="5" s="1"/>
  <c r="K387" i="5"/>
  <c r="K378" i="5"/>
  <c r="K366" i="5"/>
  <c r="K357" i="5"/>
  <c r="M357" i="5" s="1"/>
  <c r="T33" i="75" s="1"/>
  <c r="K347" i="5"/>
  <c r="K335" i="5"/>
  <c r="K324" i="5"/>
  <c r="K315" i="5"/>
  <c r="M315" i="5" s="1"/>
  <c r="K303" i="5"/>
  <c r="K292" i="5"/>
  <c r="K283" i="5"/>
  <c r="K271" i="5"/>
  <c r="M271" i="5" s="1"/>
  <c r="R11" i="75" s="1"/>
  <c r="L261" i="5"/>
  <c r="L248" i="5"/>
  <c r="L57" i="5"/>
  <c r="L160" i="5"/>
  <c r="L148" i="5"/>
  <c r="K33" i="5"/>
  <c r="K11" i="5"/>
  <c r="L21" i="5"/>
  <c r="K414" i="5"/>
  <c r="K388" i="5"/>
  <c r="K379" i="5"/>
  <c r="K365" i="5"/>
  <c r="K353" i="5"/>
  <c r="K343" i="5"/>
  <c r="K332" i="5"/>
  <c r="K321" i="5"/>
  <c r="K311" i="5"/>
  <c r="K300" i="5"/>
  <c r="K289" i="5"/>
  <c r="K279" i="5"/>
  <c r="K266" i="5"/>
  <c r="L255" i="5"/>
  <c r="L238" i="5"/>
  <c r="L173" i="5"/>
  <c r="K148" i="5"/>
  <c r="K71" i="5"/>
  <c r="L20" i="5"/>
  <c r="K425" i="5"/>
  <c r="K130" i="5"/>
  <c r="K55" i="5"/>
  <c r="M55" i="5" s="1"/>
  <c r="K188" i="50" s="1"/>
  <c r="M188" i="50" s="1"/>
  <c r="N188" i="50" s="1"/>
  <c r="L26" i="5"/>
  <c r="L529" i="5"/>
  <c r="K182" i="5"/>
  <c r="M182" i="5" s="1"/>
  <c r="K104" i="5"/>
  <c r="L60" i="5"/>
  <c r="L191" i="5"/>
  <c r="L75" i="5"/>
  <c r="L536" i="5"/>
  <c r="K114" i="5"/>
  <c r="L74" i="5"/>
  <c r="K51" i="5"/>
  <c r="K111" i="5"/>
  <c r="K139" i="5"/>
  <c r="L625" i="5"/>
  <c r="L76" i="5"/>
  <c r="K75" i="5"/>
  <c r="K187" i="5"/>
  <c r="M187" i="5" s="1"/>
  <c r="F61" i="69" s="1"/>
  <c r="K244" i="5"/>
  <c r="K107" i="5"/>
  <c r="L423" i="5"/>
  <c r="K83" i="5"/>
  <c r="L546" i="5"/>
  <c r="K86" i="5"/>
  <c r="L101" i="5"/>
  <c r="K61" i="5"/>
  <c r="K100" i="5"/>
  <c r="R38" i="13"/>
  <c r="S38" i="13"/>
  <c r="G658" i="5" s="1"/>
  <c r="S10" i="13"/>
  <c r="O40" i="13"/>
  <c r="R10" i="13"/>
  <c r="P40" i="13"/>
  <c r="O39" i="13"/>
  <c r="P39" i="13"/>
  <c r="G668" i="5"/>
  <c r="G664" i="5"/>
  <c r="G681" i="5"/>
  <c r="H681" i="5"/>
  <c r="H660" i="5"/>
  <c r="G701" i="5"/>
  <c r="H661" i="5"/>
  <c r="G659" i="5"/>
  <c r="H694" i="5"/>
  <c r="G665" i="5"/>
  <c r="H710" i="5"/>
  <c r="H666" i="5"/>
  <c r="G692" i="5"/>
  <c r="G705" i="5"/>
  <c r="H689" i="5"/>
  <c r="H701" i="5"/>
  <c r="H672" i="5"/>
  <c r="H676" i="5"/>
  <c r="G685" i="5"/>
  <c r="G686" i="5"/>
  <c r="H663" i="5"/>
  <c r="G661" i="5"/>
  <c r="H695" i="5"/>
  <c r="G712" i="5"/>
  <c r="H691" i="5"/>
  <c r="H679" i="5"/>
  <c r="H667" i="5"/>
  <c r="H662" i="5"/>
  <c r="G678" i="5"/>
  <c r="G710" i="5"/>
  <c r="H668" i="5"/>
  <c r="G672" i="5"/>
  <c r="H692" i="5"/>
  <c r="G679" i="5"/>
  <c r="H664" i="5"/>
  <c r="G700" i="5"/>
  <c r="H678" i="5"/>
  <c r="I678" i="5" s="1"/>
  <c r="G666" i="5"/>
  <c r="H699" i="5"/>
  <c r="H658" i="5"/>
  <c r="H712" i="5"/>
  <c r="H706" i="5"/>
  <c r="H700" i="5"/>
  <c r="H707" i="5"/>
  <c r="H688" i="5"/>
  <c r="H670" i="5"/>
  <c r="G674" i="5"/>
  <c r="G687" i="5"/>
  <c r="G702" i="5"/>
  <c r="H675" i="5"/>
  <c r="H686" i="5"/>
  <c r="G707" i="5"/>
  <c r="I707" i="5" s="1"/>
  <c r="G334" i="50" s="1"/>
  <c r="I334" i="50" s="1"/>
  <c r="J334" i="50" s="1"/>
  <c r="G662" i="5"/>
  <c r="G691" i="5"/>
  <c r="G676" i="5"/>
  <c r="G704" i="5"/>
  <c r="G667" i="5"/>
  <c r="G673" i="5"/>
  <c r="H685" i="5"/>
  <c r="G706" i="5"/>
  <c r="H702" i="5"/>
  <c r="H673" i="5"/>
  <c r="H705" i="5"/>
  <c r="G689" i="5"/>
  <c r="G693" i="5"/>
  <c r="G677" i="5"/>
  <c r="I677" i="5" s="1"/>
  <c r="G660" i="5"/>
  <c r="H693" i="5"/>
  <c r="G680" i="5"/>
  <c r="H669" i="5"/>
  <c r="H704" i="5"/>
  <c r="H680" i="5"/>
  <c r="G669" i="5"/>
  <c r="H665" i="5"/>
  <c r="G694" i="5"/>
  <c r="G688" i="5"/>
  <c r="G670" i="5"/>
  <c r="G695" i="5"/>
  <c r="H659" i="5"/>
  <c r="G699" i="5"/>
  <c r="H687" i="5"/>
  <c r="G675" i="5"/>
  <c r="G663" i="5"/>
  <c r="H674" i="5"/>
  <c r="H484" i="5"/>
  <c r="G322" i="5"/>
  <c r="H554" i="5"/>
  <c r="H727" i="5"/>
  <c r="H402" i="5"/>
  <c r="H189" i="5"/>
  <c r="H768" i="5"/>
  <c r="G650" i="5"/>
  <c r="H375" i="5"/>
  <c r="G625" i="5"/>
  <c r="G455" i="5"/>
  <c r="G647" i="5"/>
  <c r="G544" i="5"/>
  <c r="H636" i="5"/>
  <c r="G357" i="5"/>
  <c r="G257" i="5"/>
  <c r="H776" i="5"/>
  <c r="G526" i="5"/>
  <c r="H443" i="5"/>
  <c r="G443" i="5"/>
  <c r="G511" i="5"/>
  <c r="G350" i="5"/>
  <c r="G280" i="5"/>
  <c r="H58" i="5"/>
  <c r="H424" i="5"/>
  <c r="H582" i="5"/>
  <c r="H779" i="5"/>
  <c r="G559" i="5"/>
  <c r="G602" i="5"/>
  <c r="H528" i="5"/>
  <c r="G727" i="5"/>
  <c r="H452" i="5"/>
  <c r="G583" i="5"/>
  <c r="G495" i="5"/>
  <c r="G485" i="5"/>
  <c r="G473" i="5"/>
  <c r="G600" i="5"/>
  <c r="G432" i="5"/>
  <c r="G307" i="5"/>
  <c r="H40" i="5"/>
  <c r="H286" i="5"/>
  <c r="G459" i="5"/>
  <c r="H495" i="5"/>
  <c r="G653" i="5"/>
  <c r="H569" i="5"/>
  <c r="G599" i="5"/>
  <c r="G190" i="5"/>
  <c r="H385" i="5"/>
  <c r="G315" i="5"/>
  <c r="H25" i="5"/>
  <c r="G620" i="5"/>
  <c r="H184" i="5"/>
  <c r="H767" i="5"/>
  <c r="G616" i="5"/>
  <c r="H721" i="5"/>
  <c r="G591" i="5"/>
  <c r="H650" i="5"/>
  <c r="H532" i="5"/>
  <c r="G725" i="5"/>
  <c r="G493" i="5"/>
  <c r="G483" i="5"/>
  <c r="G580" i="5"/>
  <c r="H399" i="5"/>
  <c r="G138" i="5"/>
  <c r="G364" i="5"/>
  <c r="H328" i="5"/>
  <c r="K1797" i="18"/>
  <c r="L1797" i="18"/>
  <c r="P856" i="18"/>
  <c r="H1097" i="18"/>
  <c r="H1098" i="18" s="1"/>
  <c r="K1099" i="18" s="1"/>
  <c r="L1099" i="18" s="1"/>
  <c r="H464" i="18"/>
  <c r="H465" i="18" s="1"/>
  <c r="K466" i="18" s="1"/>
  <c r="L466" i="18" s="1"/>
  <c r="H1075" i="18"/>
  <c r="H1076" i="18" s="1"/>
  <c r="K1077" i="18" s="1"/>
  <c r="L1077" i="18" s="1"/>
  <c r="H2345" i="18"/>
  <c r="H2346" i="18" s="1"/>
  <c r="H2289" i="18"/>
  <c r="H2290" i="18" s="1"/>
  <c r="H4540" i="18"/>
  <c r="H4541" i="18" s="1"/>
  <c r="H4949" i="18"/>
  <c r="H4950" i="18" s="1"/>
  <c r="K4951" i="18" s="1"/>
  <c r="L4951" i="18" s="1"/>
  <c r="H4804" i="18"/>
  <c r="H4805" i="18" s="1"/>
  <c r="K4806" i="18" s="1"/>
  <c r="L4806" i="18" s="1"/>
  <c r="K4654" i="18"/>
  <c r="J4582" i="18"/>
  <c r="J4583" i="18" s="1"/>
  <c r="H1445" i="18"/>
  <c r="H1446" i="18" s="1"/>
  <c r="K1447" i="18" s="1"/>
  <c r="L1447" i="18" s="1"/>
  <c r="H3558" i="18"/>
  <c r="H3559" i="18" s="1"/>
  <c r="M2425" i="18"/>
  <c r="M2427" i="18" s="1"/>
  <c r="M2428" i="18" s="1"/>
  <c r="M4285" i="18"/>
  <c r="M4286" i="18" s="1"/>
  <c r="M4287" i="18" s="1"/>
  <c r="H374" i="18"/>
  <c r="H375" i="18" s="1"/>
  <c r="K376" i="18" s="1"/>
  <c r="L376" i="18" s="1"/>
  <c r="N2222" i="18"/>
  <c r="I4582" i="18"/>
  <c r="I4583" i="18" s="1"/>
  <c r="K4540" i="18"/>
  <c r="K4541" i="18" s="1"/>
  <c r="J4540" i="18"/>
  <c r="J4541" i="18" s="1"/>
  <c r="I4540" i="18"/>
  <c r="I4541" i="18" s="1"/>
  <c r="I4136" i="18"/>
  <c r="I4137" i="18" s="1"/>
  <c r="H4136" i="18"/>
  <c r="H4137" i="18" s="1"/>
  <c r="J3681" i="18"/>
  <c r="J3682" i="18" s="1"/>
  <c r="H3856" i="18"/>
  <c r="H3857" i="18" s="1"/>
  <c r="H3305" i="18"/>
  <c r="H3306" i="18" s="1"/>
  <c r="K1365" i="18"/>
  <c r="L1382" i="18"/>
  <c r="L1383" i="18" s="1"/>
  <c r="L1384" i="18" s="1"/>
  <c r="K1385" i="18" s="1"/>
  <c r="L1385" i="18" s="1"/>
  <c r="N1030" i="18"/>
  <c r="H531" i="18"/>
  <c r="H532" i="18" s="1"/>
  <c r="K533" i="18" s="1"/>
  <c r="L533" i="18" s="1"/>
  <c r="N1482" i="18"/>
  <c r="N1486" i="18" s="1"/>
  <c r="N1487" i="18" s="1"/>
  <c r="N1488" i="18" s="1"/>
  <c r="K1489" i="18" s="1"/>
  <c r="L1489" i="18" s="1"/>
  <c r="N1858" i="18"/>
  <c r="N2221" i="18"/>
  <c r="Q1699" i="18"/>
  <c r="L1711" i="18"/>
  <c r="L1712" i="18" s="1"/>
  <c r="L1713" i="18" s="1"/>
  <c r="K1714" i="18" s="1"/>
  <c r="L1714" i="18" s="1"/>
  <c r="N1032" i="18"/>
  <c r="N1857" i="18"/>
  <c r="L2287" i="18"/>
  <c r="K2825" i="18"/>
  <c r="K2330" i="18"/>
  <c r="N2344" i="18"/>
  <c r="N2345" i="18" s="1"/>
  <c r="N2346" i="18" s="1"/>
  <c r="N2273" i="18"/>
  <c r="L2288" i="18"/>
  <c r="K848" i="18"/>
  <c r="J1863" i="18"/>
  <c r="J1865" i="18" s="1"/>
  <c r="J1866" i="18" s="1"/>
  <c r="K1867" i="18" s="1"/>
  <c r="L1867" i="18" s="1"/>
  <c r="N1856" i="18"/>
  <c r="J2228" i="18"/>
  <c r="J2230" i="18" s="1"/>
  <c r="J2231" i="18" s="1"/>
  <c r="K2232" i="18" s="1"/>
  <c r="L2232" i="18" s="1"/>
  <c r="N2223" i="18"/>
  <c r="L2825" i="18"/>
  <c r="L3939" i="18"/>
  <c r="K3939" i="18"/>
  <c r="K3767" i="18"/>
  <c r="K3771" i="18" s="1"/>
  <c r="K3681" i="18"/>
  <c r="K3682" i="18" s="1"/>
  <c r="I3681" i="18"/>
  <c r="I3682" i="18" s="1"/>
  <c r="H3681" i="18"/>
  <c r="H3682" i="18" s="1"/>
  <c r="K3656" i="18"/>
  <c r="K2313" i="18"/>
  <c r="L2313" i="18" s="1"/>
  <c r="M2225" i="18"/>
  <c r="L2225" i="18"/>
  <c r="L2070" i="18"/>
  <c r="M1860" i="18"/>
  <c r="L1860" i="18"/>
  <c r="K1853" i="18" s="1"/>
  <c r="K1925" i="18"/>
  <c r="L1925" i="18" s="1"/>
  <c r="K1697" i="18"/>
  <c r="L1697" i="18" s="1"/>
  <c r="H1678" i="18"/>
  <c r="H1679" i="18" s="1"/>
  <c r="K1680" i="18" s="1"/>
  <c r="L1680" i="18" s="1"/>
  <c r="K1426" i="18"/>
  <c r="L1426" i="18" s="1"/>
  <c r="N1387" i="18"/>
  <c r="N1365" i="18" s="1"/>
  <c r="L1404" i="18"/>
  <c r="K1346" i="18"/>
  <c r="L1346" i="18" s="1"/>
  <c r="N1307" i="18"/>
  <c r="L1321" i="18"/>
  <c r="K1275" i="18"/>
  <c r="L1275" i="18" s="1"/>
  <c r="K1253" i="18"/>
  <c r="L1253" i="18" s="1"/>
  <c r="K1187" i="18"/>
  <c r="L1187" i="18" s="1"/>
  <c r="K1165" i="18"/>
  <c r="L1165" i="18" s="1"/>
  <c r="M1034" i="18"/>
  <c r="L1034" i="18"/>
  <c r="H1320" i="18"/>
  <c r="H1322" i="18" s="1"/>
  <c r="H1323" i="18" s="1"/>
  <c r="K557" i="18"/>
  <c r="L557" i="18" s="1"/>
  <c r="K579" i="18"/>
  <c r="N596" i="18"/>
  <c r="N597" i="18" s="1"/>
  <c r="N598" i="18" s="1"/>
  <c r="H597" i="18"/>
  <c r="H598" i="18" s="1"/>
  <c r="N430" i="18"/>
  <c r="L443" i="18"/>
  <c r="O4414" i="18"/>
  <c r="K3676" i="18"/>
  <c r="K3661" i="18" s="1"/>
  <c r="N269" i="18"/>
  <c r="N270" i="18" s="1"/>
  <c r="H269" i="18"/>
  <c r="H270" i="18" s="1"/>
  <c r="Q1449" i="18"/>
  <c r="L186" i="18"/>
  <c r="Q688" i="18"/>
  <c r="H232" i="18"/>
  <c r="H233" i="18" s="1"/>
  <c r="K234" i="18" s="1"/>
  <c r="L234" i="18" s="1"/>
  <c r="H210" i="18"/>
  <c r="H211" i="18" s="1"/>
  <c r="K212" i="18" s="1"/>
  <c r="L212" i="18" s="1"/>
  <c r="K170" i="18"/>
  <c r="L187" i="18"/>
  <c r="K3951" i="18"/>
  <c r="Q3951" i="18"/>
  <c r="Q485" i="18"/>
  <c r="Q1459" i="18"/>
  <c r="Q2494" i="18"/>
  <c r="H781" i="5"/>
  <c r="G554" i="5"/>
  <c r="H646" i="5"/>
  <c r="H544" i="5"/>
  <c r="H373" i="5"/>
  <c r="G354" i="5"/>
  <c r="G347" i="5"/>
  <c r="G340" i="5"/>
  <c r="G312" i="5"/>
  <c r="G303" i="5"/>
  <c r="G295" i="5"/>
  <c r="G271" i="5"/>
  <c r="H81" i="5"/>
  <c r="H21" i="5"/>
  <c r="H341" i="5"/>
  <c r="H296" i="5"/>
  <c r="G522" i="5"/>
  <c r="H513" i="5"/>
  <c r="H95" i="5"/>
  <c r="H41" i="5"/>
  <c r="H595" i="5"/>
  <c r="H771" i="5"/>
  <c r="G642" i="5"/>
  <c r="G626" i="5"/>
  <c r="H631" i="5"/>
  <c r="H620" i="5"/>
  <c r="G574" i="5"/>
  <c r="H576" i="5"/>
  <c r="G719" i="5"/>
  <c r="H455" i="5"/>
  <c r="G429" i="5"/>
  <c r="G609" i="5"/>
  <c r="H391" i="5"/>
  <c r="G188" i="5"/>
  <c r="G402" i="5"/>
  <c r="G521" i="5"/>
  <c r="G506" i="5"/>
  <c r="G420" i="5"/>
  <c r="G413" i="5"/>
  <c r="H383" i="5"/>
  <c r="H775" i="5"/>
  <c r="G637" i="5"/>
  <c r="G621" i="5"/>
  <c r="H719" i="5"/>
  <c r="G643" i="5"/>
  <c r="H615" i="5"/>
  <c r="G569" i="5"/>
  <c r="G549" i="5"/>
  <c r="G532" i="5"/>
  <c r="G612" i="5"/>
  <c r="H551" i="5"/>
  <c r="H462" i="5"/>
  <c r="G431" i="5"/>
  <c r="G604" i="5"/>
  <c r="G588" i="5"/>
  <c r="H423" i="5"/>
  <c r="G466" i="5"/>
  <c r="G445" i="5"/>
  <c r="G605" i="5"/>
  <c r="G584" i="5"/>
  <c r="H396" i="5"/>
  <c r="G398" i="5"/>
  <c r="G418" i="5"/>
  <c r="G411" i="5"/>
  <c r="H390" i="5"/>
  <c r="H389" i="5" s="1"/>
  <c r="H380" i="5"/>
  <c r="G370" i="5"/>
  <c r="G345" i="5"/>
  <c r="G335" i="5"/>
  <c r="G327" i="5"/>
  <c r="G301" i="5"/>
  <c r="G292" i="5"/>
  <c r="G285" i="5"/>
  <c r="G269" i="5"/>
  <c r="G17" i="5"/>
  <c r="G136" i="5"/>
  <c r="H106" i="5"/>
  <c r="G66" i="5"/>
  <c r="H26" i="5"/>
  <c r="H66" i="5"/>
  <c r="G15" i="5"/>
  <c r="H414" i="5"/>
  <c r="H351" i="5"/>
  <c r="H309" i="5"/>
  <c r="H264" i="5"/>
  <c r="G238" i="5"/>
  <c r="H560" i="5"/>
  <c r="H592" i="5"/>
  <c r="H730" i="5"/>
  <c r="H185" i="5"/>
  <c r="G492" i="5"/>
  <c r="G150" i="5"/>
  <c r="G146" i="5"/>
  <c r="H123" i="5"/>
  <c r="G408" i="5"/>
  <c r="H387" i="5"/>
  <c r="H378" i="5"/>
  <c r="G366" i="5"/>
  <c r="G359" i="5"/>
  <c r="G333" i="5"/>
  <c r="G324" i="5"/>
  <c r="G317" i="5"/>
  <c r="G290" i="5"/>
  <c r="G283" i="5"/>
  <c r="H258" i="5"/>
  <c r="H243" i="5"/>
  <c r="H174" i="5"/>
  <c r="H112" i="5"/>
  <c r="G26" i="5"/>
  <c r="H27" i="5"/>
  <c r="H134" i="5"/>
  <c r="H363" i="5"/>
  <c r="H319" i="5"/>
  <c r="H276" i="5"/>
  <c r="H255" i="5"/>
  <c r="H642" i="5"/>
  <c r="G442" i="5"/>
  <c r="G107" i="5"/>
  <c r="G730" i="5"/>
  <c r="H179" i="5"/>
  <c r="G480" i="5"/>
  <c r="H154" i="5"/>
  <c r="G529" i="5"/>
  <c r="H135" i="5"/>
  <c r="H187" i="5"/>
  <c r="G617" i="5"/>
  <c r="H580" i="5"/>
  <c r="G543" i="5"/>
  <c r="H525" i="5"/>
  <c r="G45" i="5"/>
  <c r="E121" i="8"/>
  <c r="E123" i="8" s="1"/>
  <c r="E124" i="8" s="1"/>
  <c r="F27" i="70"/>
  <c r="J92" i="5"/>
  <c r="J109" i="5" s="1"/>
  <c r="J125" i="5" s="1"/>
  <c r="J787" i="5" s="1"/>
  <c r="F35" i="5"/>
  <c r="F53" i="52" s="1"/>
  <c r="H510" i="5"/>
  <c r="F92" i="5"/>
  <c r="F57" i="52" s="1"/>
  <c r="H136" i="5"/>
  <c r="J790" i="5"/>
  <c r="J821" i="5"/>
  <c r="J817" i="5"/>
  <c r="J819" i="5" s="1"/>
  <c r="J820" i="5" s="1"/>
  <c r="J802" i="5"/>
  <c r="F55" i="70"/>
  <c r="F38" i="74"/>
  <c r="F42" i="70"/>
  <c r="F26" i="74"/>
  <c r="F41" i="70"/>
  <c r="F25" i="74"/>
  <c r="F19" i="70"/>
  <c r="F9" i="74"/>
  <c r="F35" i="70"/>
  <c r="F19" i="74"/>
  <c r="F22" i="70"/>
  <c r="F12" i="74"/>
  <c r="F30" i="70"/>
  <c r="F14" i="74"/>
  <c r="F53" i="70"/>
  <c r="F36" i="74"/>
  <c r="F37" i="70"/>
  <c r="F21" i="74"/>
  <c r="F33" i="74"/>
  <c r="F50" i="70"/>
  <c r="F58" i="70"/>
  <c r="F41" i="74"/>
  <c r="F38" i="70"/>
  <c r="F22" i="74"/>
  <c r="F51" i="70"/>
  <c r="F34" i="74"/>
  <c r="H780" i="5"/>
  <c r="H772" i="5"/>
  <c r="G652" i="5"/>
  <c r="G632" i="5"/>
  <c r="H729" i="5"/>
  <c r="G641" i="5"/>
  <c r="H625" i="5"/>
  <c r="G579" i="5"/>
  <c r="G539" i="5"/>
  <c r="G581" i="5"/>
  <c r="H641" i="5"/>
  <c r="H561" i="5"/>
  <c r="H542" i="5"/>
  <c r="G733" i="5"/>
  <c r="H466" i="5"/>
  <c r="H445" i="5"/>
  <c r="G593" i="5"/>
  <c r="G476" i="5"/>
  <c r="H425" i="5"/>
  <c r="G462" i="5"/>
  <c r="G452" i="5"/>
  <c r="H395" i="5"/>
  <c r="G180" i="5"/>
  <c r="G396" i="5"/>
  <c r="G391" i="5"/>
  <c r="G182" i="5"/>
  <c r="G516" i="5"/>
  <c r="G416" i="5"/>
  <c r="G406" i="5"/>
  <c r="G390" i="5"/>
  <c r="I390" i="5" s="1"/>
  <c r="G387" i="5"/>
  <c r="G385" i="5"/>
  <c r="G383" i="5"/>
  <c r="I383" i="5" s="1"/>
  <c r="G380" i="5"/>
  <c r="G378" i="5"/>
  <c r="G375" i="5"/>
  <c r="G373" i="5"/>
  <c r="G362" i="5"/>
  <c r="G352" i="5"/>
  <c r="G342" i="5"/>
  <c r="G331" i="5"/>
  <c r="G320" i="5"/>
  <c r="G310" i="5"/>
  <c r="G297" i="5"/>
  <c r="G288" i="5"/>
  <c r="G278" i="5"/>
  <c r="G265" i="5"/>
  <c r="G253" i="5"/>
  <c r="H249" i="5"/>
  <c r="H153" i="5"/>
  <c r="G91" i="5"/>
  <c r="H71" i="5"/>
  <c r="H59" i="5"/>
  <c r="G32" i="5"/>
  <c r="G16" i="5"/>
  <c r="H96" i="5"/>
  <c r="G29" i="5"/>
  <c r="G156" i="5"/>
  <c r="H140" i="5"/>
  <c r="G114" i="5"/>
  <c r="H91" i="5"/>
  <c r="G69" i="5"/>
  <c r="H18" i="5"/>
  <c r="H236" i="5"/>
  <c r="G88" i="5"/>
  <c r="G41" i="5"/>
  <c r="H39" i="5"/>
  <c r="H421" i="5"/>
  <c r="H412" i="5"/>
  <c r="H358" i="5"/>
  <c r="H348" i="5"/>
  <c r="H338" i="5"/>
  <c r="H326" i="5"/>
  <c r="H316" i="5"/>
  <c r="H304" i="5"/>
  <c r="H293" i="5"/>
  <c r="H284" i="5"/>
  <c r="H272" i="5"/>
  <c r="H718" i="5"/>
  <c r="G592" i="5"/>
  <c r="G536" i="5"/>
  <c r="H500" i="5"/>
  <c r="H459" i="5"/>
  <c r="H148" i="5"/>
  <c r="H129" i="5"/>
  <c r="H111" i="5"/>
  <c r="G59" i="5"/>
  <c r="H722" i="5"/>
  <c r="H621" i="5"/>
  <c r="H517" i="5"/>
  <c r="H119" i="5"/>
  <c r="H74" i="5"/>
  <c r="G765" i="5"/>
  <c r="G577" i="5"/>
  <c r="G489" i="5"/>
  <c r="G135" i="5"/>
  <c r="G62" i="5"/>
  <c r="G771" i="5"/>
  <c r="H432" i="5"/>
  <c r="G128" i="5"/>
  <c r="H724" i="5"/>
  <c r="H608" i="5"/>
  <c r="H444" i="5"/>
  <c r="H143" i="5"/>
  <c r="G82" i="5"/>
  <c r="G777" i="5"/>
  <c r="G94" i="5"/>
  <c r="H70" i="5"/>
  <c r="H619" i="5"/>
  <c r="H605" i="5"/>
  <c r="H483" i="5"/>
  <c r="G582" i="5"/>
  <c r="H261" i="5"/>
  <c r="G153" i="5"/>
  <c r="I153" i="5" s="1"/>
  <c r="H454" i="5"/>
  <c r="H453" i="5" s="1"/>
  <c r="G472" i="5"/>
  <c r="H101" i="5"/>
  <c r="G775" i="5"/>
  <c r="I775" i="5" s="1"/>
  <c r="G437" i="5"/>
  <c r="H150" i="5"/>
  <c r="H594" i="5"/>
  <c r="G115" i="5"/>
  <c r="H471" i="5"/>
  <c r="F60" i="70"/>
  <c r="F119" i="70" s="1"/>
  <c r="F43" i="74"/>
  <c r="F102" i="74" s="1"/>
  <c r="F36" i="70"/>
  <c r="F20" i="74"/>
  <c r="F39" i="70"/>
  <c r="F23" i="74"/>
  <c r="G273" i="5"/>
  <c r="G262" i="5"/>
  <c r="H248" i="5"/>
  <c r="G236" i="5"/>
  <c r="H254" i="5"/>
  <c r="H137" i="5"/>
  <c r="G120" i="5"/>
  <c r="G49" i="5"/>
  <c r="G34" i="5"/>
  <c r="G18" i="5"/>
  <c r="I18" i="5" s="1"/>
  <c r="G104" i="5"/>
  <c r="G176" i="5"/>
  <c r="G160" i="5"/>
  <c r="G141" i="5"/>
  <c r="G96" i="5"/>
  <c r="I96" i="5" s="1"/>
  <c r="H85" i="5"/>
  <c r="H49" i="5"/>
  <c r="H34" i="5"/>
  <c r="H14" i="5"/>
  <c r="H240" i="5"/>
  <c r="H114" i="5"/>
  <c r="G33" i="5"/>
  <c r="H88" i="5"/>
  <c r="H11" i="5"/>
  <c r="H419" i="5"/>
  <c r="H409" i="5"/>
  <c r="H369" i="5"/>
  <c r="H355" i="5"/>
  <c r="H346" i="5"/>
  <c r="H334" i="5"/>
  <c r="H323" i="5"/>
  <c r="H314" i="5"/>
  <c r="H302" i="5"/>
  <c r="H291" i="5"/>
  <c r="H281" i="5"/>
  <c r="H270" i="5"/>
  <c r="G249" i="5"/>
  <c r="G173" i="5"/>
  <c r="G168" i="5"/>
  <c r="G720" i="5"/>
  <c r="H598" i="5"/>
  <c r="H541" i="5"/>
  <c r="G503" i="5"/>
  <c r="G461" i="5"/>
  <c r="H133" i="5"/>
  <c r="H115" i="5"/>
  <c r="H97" i="5"/>
  <c r="G74" i="5"/>
  <c r="G52" i="5"/>
  <c r="H652" i="5"/>
  <c r="H536" i="5"/>
  <c r="H451" i="5"/>
  <c r="H107" i="5"/>
  <c r="H87" i="5"/>
  <c r="H60" i="5"/>
  <c r="G774" i="5"/>
  <c r="H600" i="5"/>
  <c r="G533" i="5"/>
  <c r="H447" i="5"/>
  <c r="G139" i="5"/>
  <c r="G84" i="5"/>
  <c r="G68" i="5"/>
  <c r="H160" i="5"/>
  <c r="G78" i="5"/>
  <c r="G48" i="5"/>
  <c r="G538" i="5"/>
  <c r="G187" i="5"/>
  <c r="G724" i="5"/>
  <c r="G608" i="5"/>
  <c r="G444" i="5"/>
  <c r="I444" i="5" s="1"/>
  <c r="H131" i="5"/>
  <c r="H103" i="5"/>
  <c r="G766" i="5"/>
  <c r="H191" i="5"/>
  <c r="H67" i="5"/>
  <c r="H635" i="5"/>
  <c r="G613" i="5"/>
  <c r="H493" i="5"/>
  <c r="G772" i="5"/>
  <c r="G525" i="5"/>
  <c r="H487" i="5"/>
  <c r="H80" i="5"/>
  <c r="G550" i="5"/>
  <c r="G46" i="5"/>
  <c r="G562" i="5"/>
  <c r="H482" i="5"/>
  <c r="H476" i="5"/>
  <c r="H581" i="5"/>
  <c r="H610" i="5"/>
  <c r="F44" i="70"/>
  <c r="F27" i="74"/>
  <c r="F817" i="5"/>
  <c r="F819" i="5" s="1"/>
  <c r="F820" i="5" s="1"/>
  <c r="F802" i="5"/>
  <c r="F20" i="70"/>
  <c r="F10" i="74"/>
  <c r="G247" i="5"/>
  <c r="G243" i="5"/>
  <c r="H173" i="5"/>
  <c r="G106" i="5"/>
  <c r="G42" i="5"/>
  <c r="G24" i="5"/>
  <c r="H47" i="5"/>
  <c r="G13" i="5"/>
  <c r="G152" i="5"/>
  <c r="G53" i="5"/>
  <c r="H30" i="5"/>
  <c r="H24" i="5"/>
  <c r="H130" i="5"/>
  <c r="H57" i="5"/>
  <c r="G23" i="5"/>
  <c r="H118" i="5"/>
  <c r="H19" i="5"/>
  <c r="H417" i="5"/>
  <c r="H407" i="5"/>
  <c r="H365" i="5"/>
  <c r="H353" i="5"/>
  <c r="H343" i="5"/>
  <c r="H332" i="5"/>
  <c r="H321" i="5"/>
  <c r="H311" i="5"/>
  <c r="H300" i="5"/>
  <c r="H289" i="5"/>
  <c r="H279" i="5"/>
  <c r="H266" i="5"/>
  <c r="G259" i="5"/>
  <c r="G255" i="5"/>
  <c r="H239" i="5"/>
  <c r="G140" i="5"/>
  <c r="H640" i="5"/>
  <c r="G555" i="5"/>
  <c r="G517" i="5"/>
  <c r="H480" i="5"/>
  <c r="H439" i="5"/>
  <c r="G179" i="5"/>
  <c r="G116" i="5"/>
  <c r="G98" i="5"/>
  <c r="H68" i="5"/>
  <c r="H54" i="5"/>
  <c r="H654" i="5"/>
  <c r="H548" i="5"/>
  <c r="H461" i="5"/>
  <c r="H52" i="5"/>
  <c r="H29" i="5"/>
  <c r="H616" i="5"/>
  <c r="G546" i="5"/>
  <c r="G510" i="5"/>
  <c r="G449" i="5"/>
  <c r="H428" i="5"/>
  <c r="G185" i="5"/>
  <c r="H175" i="5"/>
  <c r="H142" i="5"/>
  <c r="G71" i="5"/>
  <c r="G51" i="5"/>
  <c r="G553" i="5"/>
  <c r="G552" i="5" s="1"/>
  <c r="G515" i="5"/>
  <c r="H152" i="5"/>
  <c r="H529" i="5"/>
  <c r="G76" i="5"/>
  <c r="G181" i="5"/>
  <c r="G81" i="5"/>
  <c r="H100" i="5"/>
  <c r="G100" i="5"/>
  <c r="H492" i="5"/>
  <c r="I492" i="5" s="1"/>
  <c r="G155" i="5"/>
  <c r="G768" i="5"/>
  <c r="H637" i="5"/>
  <c r="I637" i="5" s="1"/>
  <c r="H591" i="5"/>
  <c r="G86" i="5"/>
  <c r="F17" i="70"/>
  <c r="H456" i="5"/>
  <c r="G133" i="5"/>
  <c r="H543" i="5"/>
  <c r="G487" i="5"/>
  <c r="I487" i="5" s="1"/>
  <c r="H587" i="5"/>
  <c r="H570" i="5"/>
  <c r="H183" i="5"/>
  <c r="H485" i="5"/>
  <c r="H430" i="5"/>
  <c r="H478" i="5"/>
  <c r="G58" i="5"/>
  <c r="H190" i="5"/>
  <c r="G541" i="5"/>
  <c r="G726" i="5"/>
  <c r="H186" i="5"/>
  <c r="G70" i="5"/>
  <c r="G131" i="5"/>
  <c r="G467" i="5"/>
  <c r="H612" i="5"/>
  <c r="H538" i="5"/>
  <c r="G778" i="5"/>
  <c r="H586" i="5"/>
  <c r="G101" i="5"/>
  <c r="H472" i="5"/>
  <c r="H515" i="5"/>
  <c r="H562" i="5"/>
  <c r="H46" i="5"/>
  <c r="H550" i="5"/>
  <c r="G80" i="5"/>
  <c r="G477" i="5"/>
  <c r="G496" i="5"/>
  <c r="G732" i="5"/>
  <c r="G111" i="5"/>
  <c r="H156" i="5"/>
  <c r="G439" i="5"/>
  <c r="G494" i="5"/>
  <c r="G570" i="5"/>
  <c r="G767" i="5"/>
  <c r="H33" i="5"/>
  <c r="H83" i="5"/>
  <c r="H473" i="5"/>
  <c r="G560" i="5"/>
  <c r="H603" i="5"/>
  <c r="H632" i="5"/>
  <c r="H94" i="5"/>
  <c r="H48" i="5"/>
  <c r="G770" i="5"/>
  <c r="G780" i="5"/>
  <c r="G75" i="5"/>
  <c r="G103" i="5"/>
  <c r="H181" i="5"/>
  <c r="H76" i="5"/>
  <c r="H147" i="5"/>
  <c r="G463" i="5"/>
  <c r="G575" i="5"/>
  <c r="H144" i="5"/>
  <c r="H159" i="5"/>
  <c r="G475" i="5"/>
  <c r="G627" i="5"/>
  <c r="G25" i="5"/>
  <c r="G97" i="5"/>
  <c r="H138" i="5"/>
  <c r="H146" i="5"/>
  <c r="G470" i="5"/>
  <c r="H607" i="5"/>
  <c r="G722" i="5"/>
  <c r="H15" i="5"/>
  <c r="H56" i="5"/>
  <c r="H105" i="5"/>
  <c r="H151" i="5"/>
  <c r="H442" i="5"/>
  <c r="H508" i="5"/>
  <c r="H527" i="5"/>
  <c r="H572" i="5"/>
  <c r="H649" i="5"/>
  <c r="H728" i="5"/>
  <c r="H50" i="5"/>
  <c r="G56" i="5"/>
  <c r="H62" i="5"/>
  <c r="H72" i="5"/>
  <c r="G95" i="5"/>
  <c r="G105" i="5"/>
  <c r="G113" i="5"/>
  <c r="H139" i="5"/>
  <c r="G151" i="5"/>
  <c r="G451" i="5"/>
  <c r="H475" i="5"/>
  <c r="H494" i="5"/>
  <c r="G513" i="5"/>
  <c r="H533" i="5"/>
  <c r="H553" i="5"/>
  <c r="H577" i="5"/>
  <c r="H626" i="5"/>
  <c r="H647" i="5"/>
  <c r="G728" i="5"/>
  <c r="G177" i="5"/>
  <c r="G174" i="5"/>
  <c r="H250" i="5"/>
  <c r="H260" i="5"/>
  <c r="H374" i="5"/>
  <c r="H376" i="5"/>
  <c r="H379" i="5"/>
  <c r="H381" i="5"/>
  <c r="H384" i="5"/>
  <c r="H386" i="5"/>
  <c r="H388" i="5"/>
  <c r="H17" i="5"/>
  <c r="H37" i="5"/>
  <c r="H104" i="5"/>
  <c r="G21" i="5"/>
  <c r="G31" i="5"/>
  <c r="G37" i="5"/>
  <c r="H53" i="5"/>
  <c r="H77" i="5"/>
  <c r="G123" i="5"/>
  <c r="H157" i="5"/>
  <c r="H252" i="5"/>
  <c r="H22" i="5"/>
  <c r="H28" i="5"/>
  <c r="H32" i="5"/>
  <c r="G47" i="5"/>
  <c r="G61" i="5"/>
  <c r="G77" i="5"/>
  <c r="H120" i="5"/>
  <c r="G134" i="5"/>
  <c r="G157" i="5"/>
  <c r="H177" i="5"/>
  <c r="G175" i="5"/>
  <c r="H176" i="5"/>
  <c r="G11" i="5"/>
  <c r="G27" i="5"/>
  <c r="H43" i="5"/>
  <c r="G89" i="5"/>
  <c r="H257" i="5"/>
  <c r="G14" i="5"/>
  <c r="G22" i="5"/>
  <c r="G30" i="5"/>
  <c r="G40" i="5"/>
  <c r="H78" i="5"/>
  <c r="H75" i="5"/>
  <c r="G79" i="5"/>
  <c r="G102" i="5"/>
  <c r="H116" i="5"/>
  <c r="H145" i="5"/>
  <c r="H168" i="5"/>
  <c r="H244" i="5"/>
  <c r="H237" i="5"/>
  <c r="G424" i="5"/>
  <c r="G392" i="5"/>
  <c r="G395" i="5"/>
  <c r="G397" i="5"/>
  <c r="G399" i="5"/>
  <c r="G403" i="5"/>
  <c r="H504" i="5"/>
  <c r="H509" i="5"/>
  <c r="H514" i="5"/>
  <c r="H518" i="5"/>
  <c r="G184" i="5"/>
  <c r="H398" i="5"/>
  <c r="G610" i="5"/>
  <c r="G438" i="5"/>
  <c r="G448" i="5"/>
  <c r="H431" i="5"/>
  <c r="G478" i="5"/>
  <c r="G488" i="5"/>
  <c r="G499" i="5"/>
  <c r="H583" i="5"/>
  <c r="H588" i="5"/>
  <c r="H593" i="5"/>
  <c r="H599" i="5"/>
  <c r="H604" i="5"/>
  <c r="H609" i="5"/>
  <c r="G425" i="5"/>
  <c r="H440" i="5"/>
  <c r="H450" i="5"/>
  <c r="H460" i="5"/>
  <c r="G721" i="5"/>
  <c r="G729" i="5"/>
  <c r="H526" i="5"/>
  <c r="H539" i="5"/>
  <c r="H549" i="5"/>
  <c r="H559" i="5"/>
  <c r="H574" i="5"/>
  <c r="G528" i="5"/>
  <c r="G537" i="5"/>
  <c r="G542" i="5"/>
  <c r="G547" i="5"/>
  <c r="G551" i="5"/>
  <c r="G561" i="5"/>
  <c r="G571" i="5"/>
  <c r="G576" i="5"/>
  <c r="H613" i="5"/>
  <c r="H617" i="5"/>
  <c r="H627" i="5"/>
  <c r="G638" i="5"/>
  <c r="G648" i="5"/>
  <c r="H725" i="5"/>
  <c r="H733" i="5"/>
  <c r="H766" i="5"/>
  <c r="H770" i="5"/>
  <c r="H774" i="5"/>
  <c r="H778" i="5"/>
  <c r="H327" i="5"/>
  <c r="H340" i="5"/>
  <c r="H347" i="5"/>
  <c r="H352" i="5"/>
  <c r="H357" i="5"/>
  <c r="H362" i="5"/>
  <c r="H366" i="5"/>
  <c r="H406" i="5"/>
  <c r="H411" i="5"/>
  <c r="H416" i="5"/>
  <c r="H420" i="5"/>
  <c r="H511" i="5"/>
  <c r="H521" i="5"/>
  <c r="G142" i="5"/>
  <c r="G154" i="5"/>
  <c r="G430" i="5"/>
  <c r="G504" i="5"/>
  <c r="G514" i="5"/>
  <c r="I514" i="5" s="1"/>
  <c r="G428" i="5"/>
  <c r="H397" i="5"/>
  <c r="G594" i="5"/>
  <c r="G450" i="5"/>
  <c r="H429" i="5"/>
  <c r="G481" i="5"/>
  <c r="G423" i="5"/>
  <c r="H448" i="5"/>
  <c r="G723" i="5"/>
  <c r="H537" i="5"/>
  <c r="H579" i="5"/>
  <c r="H643" i="5"/>
  <c r="H653" i="5"/>
  <c r="G595" i="5"/>
  <c r="G636" i="5"/>
  <c r="H723" i="5"/>
  <c r="G614" i="5"/>
  <c r="G624" i="5"/>
  <c r="G635" i="5"/>
  <c r="G645" i="5"/>
  <c r="G654" i="5"/>
  <c r="H769" i="5"/>
  <c r="H777" i="5"/>
  <c r="G72" i="5"/>
  <c r="H499" i="5"/>
  <c r="G147" i="5"/>
  <c r="H584" i="5"/>
  <c r="G67" i="5"/>
  <c r="G447" i="5"/>
  <c r="H481" i="5"/>
  <c r="G776" i="5"/>
  <c r="G505" i="5"/>
  <c r="H624" i="5"/>
  <c r="H488" i="5"/>
  <c r="G183" i="5"/>
  <c r="G482" i="5"/>
  <c r="H86" i="5"/>
  <c r="G454" i="5"/>
  <c r="G587" i="5"/>
  <c r="H477" i="5"/>
  <c r="H496" i="5"/>
  <c r="H520" i="5"/>
  <c r="H546" i="5"/>
  <c r="H732" i="5"/>
  <c r="G50" i="5"/>
  <c r="I50" i="5" s="1"/>
  <c r="H180" i="5"/>
  <c r="G484" i="5"/>
  <c r="G718" i="5"/>
  <c r="H31" i="5"/>
  <c r="G456" i="5"/>
  <c r="H558" i="5"/>
  <c r="H602" i="5"/>
  <c r="G615" i="5"/>
  <c r="G631" i="5"/>
  <c r="G769" i="5"/>
  <c r="H155" i="5"/>
  <c r="H505" i="5"/>
  <c r="H51" i="5"/>
  <c r="G773" i="5"/>
  <c r="G83" i="5"/>
  <c r="H42" i="5"/>
  <c r="H84" i="5"/>
  <c r="H82" i="5"/>
  <c r="G143" i="5"/>
  <c r="H463" i="5"/>
  <c r="H575" i="5"/>
  <c r="G54" i="5"/>
  <c r="G137" i="5"/>
  <c r="G191" i="5"/>
  <c r="H437" i="5"/>
  <c r="G598" i="5"/>
  <c r="G781" i="5"/>
  <c r="G129" i="5"/>
  <c r="G145" i="5"/>
  <c r="H188" i="5"/>
  <c r="H182" i="5"/>
  <c r="G189" i="5"/>
  <c r="H467" i="5"/>
  <c r="G500" i="5"/>
  <c r="G520" i="5"/>
  <c r="G558" i="5"/>
  <c r="G603" i="5"/>
  <c r="G779" i="5"/>
  <c r="H44" i="5"/>
  <c r="H90" i="5"/>
  <c r="H99" i="5"/>
  <c r="H113" i="5"/>
  <c r="H503" i="5"/>
  <c r="H522" i="5"/>
  <c r="H555" i="5"/>
  <c r="H628" i="5"/>
  <c r="H720" i="5"/>
  <c r="G44" i="5"/>
  <c r="G55" i="5"/>
  <c r="G60" i="5"/>
  <c r="G87" i="5"/>
  <c r="G90" i="5"/>
  <c r="G99" i="5"/>
  <c r="G112" i="5"/>
  <c r="G119" i="5"/>
  <c r="H449" i="5"/>
  <c r="H470" i="5"/>
  <c r="H489" i="5"/>
  <c r="G508" i="5"/>
  <c r="I508" i="5" s="1"/>
  <c r="G527" i="5"/>
  <c r="G548" i="5"/>
  <c r="G572" i="5"/>
  <c r="H614" i="5"/>
  <c r="H645" i="5"/>
  <c r="H726" i="5"/>
  <c r="H162" i="5"/>
  <c r="G239" i="5"/>
  <c r="G244" i="5"/>
  <c r="G250" i="5"/>
  <c r="I250" i="5" s="1"/>
  <c r="G254" i="5"/>
  <c r="G260" i="5"/>
  <c r="G264" i="5"/>
  <c r="G266" i="5"/>
  <c r="G270" i="5"/>
  <c r="G272" i="5"/>
  <c r="G276" i="5"/>
  <c r="G279" i="5"/>
  <c r="G281" i="5"/>
  <c r="G284" i="5"/>
  <c r="G286" i="5"/>
  <c r="G289" i="5"/>
  <c r="G291" i="5"/>
  <c r="G293" i="5"/>
  <c r="G296" i="5"/>
  <c r="G300" i="5"/>
  <c r="G302" i="5"/>
  <c r="G304" i="5"/>
  <c r="G309" i="5"/>
  <c r="G311" i="5"/>
  <c r="G314" i="5"/>
  <c r="G316" i="5"/>
  <c r="G319" i="5"/>
  <c r="G321" i="5"/>
  <c r="G323" i="5"/>
  <c r="G326" i="5"/>
  <c r="G328" i="5"/>
  <c r="G332" i="5"/>
  <c r="G334" i="5"/>
  <c r="G338" i="5"/>
  <c r="G341" i="5"/>
  <c r="G343" i="5"/>
  <c r="G346" i="5"/>
  <c r="G348" i="5"/>
  <c r="G351" i="5"/>
  <c r="G353" i="5"/>
  <c r="G355" i="5"/>
  <c r="G358" i="5"/>
  <c r="G363" i="5"/>
  <c r="G365" i="5"/>
  <c r="G369" i="5"/>
  <c r="G374" i="5"/>
  <c r="G376" i="5"/>
  <c r="G379" i="5"/>
  <c r="G381" i="5"/>
  <c r="G384" i="5"/>
  <c r="I384" i="5" s="1"/>
  <c r="G386" i="5"/>
  <c r="G388" i="5"/>
  <c r="G407" i="5"/>
  <c r="G409" i="5"/>
  <c r="G412" i="5"/>
  <c r="G414" i="5"/>
  <c r="G417" i="5"/>
  <c r="G419" i="5"/>
  <c r="G421" i="5"/>
  <c r="H13" i="5"/>
  <c r="H23" i="5"/>
  <c r="H89" i="5"/>
  <c r="H69" i="5"/>
  <c r="G118" i="5"/>
  <c r="H149" i="5"/>
  <c r="H247" i="5"/>
  <c r="H12" i="5"/>
  <c r="H16" i="5"/>
  <c r="H20" i="5"/>
  <c r="H38" i="5"/>
  <c r="G43" i="5"/>
  <c r="G57" i="5"/>
  <c r="G73" i="5"/>
  <c r="H79" i="5"/>
  <c r="H102" i="5"/>
  <c r="G130" i="5"/>
  <c r="G149" i="5"/>
  <c r="G148" i="5"/>
  <c r="G144" i="5"/>
  <c r="G159" i="5"/>
  <c r="G19" i="5"/>
  <c r="G39" i="5"/>
  <c r="H73" i="5"/>
  <c r="H141" i="5"/>
  <c r="G12" i="5"/>
  <c r="G20" i="5"/>
  <c r="G28" i="5"/>
  <c r="G38" i="5"/>
  <c r="H45" i="5"/>
  <c r="H55" i="5"/>
  <c r="G85" i="5"/>
  <c r="H98" i="5"/>
  <c r="H128" i="5"/>
  <c r="H238" i="5"/>
  <c r="H259" i="5"/>
  <c r="G237" i="5"/>
  <c r="G240" i="5"/>
  <c r="G248" i="5"/>
  <c r="G252" i="5"/>
  <c r="H253" i="5"/>
  <c r="G258" i="5"/>
  <c r="G261" i="5"/>
  <c r="H262" i="5"/>
  <c r="H265" i="5"/>
  <c r="H269" i="5"/>
  <c r="H271" i="5"/>
  <c r="H273" i="5"/>
  <c r="H278" i="5"/>
  <c r="H280" i="5"/>
  <c r="H283" i="5"/>
  <c r="H285" i="5"/>
  <c r="H288" i="5"/>
  <c r="H290" i="5"/>
  <c r="H292" i="5"/>
  <c r="H295" i="5"/>
  <c r="H297" i="5"/>
  <c r="H301" i="5"/>
  <c r="H303" i="5"/>
  <c r="H307" i="5"/>
  <c r="H310" i="5"/>
  <c r="H312" i="5"/>
  <c r="H315" i="5"/>
  <c r="H317" i="5"/>
  <c r="H320" i="5"/>
  <c r="H322" i="5"/>
  <c r="H324" i="5"/>
  <c r="H331" i="5"/>
  <c r="H333" i="5"/>
  <c r="H335" i="5"/>
  <c r="H342" i="5"/>
  <c r="H345" i="5"/>
  <c r="H350" i="5"/>
  <c r="H354" i="5"/>
  <c r="H359" i="5"/>
  <c r="H364" i="5"/>
  <c r="H370" i="5"/>
  <c r="H408" i="5"/>
  <c r="H413" i="5"/>
  <c r="H418" i="5"/>
  <c r="H506" i="5"/>
  <c r="H516" i="5"/>
  <c r="G186" i="5"/>
  <c r="G509" i="5"/>
  <c r="G518" i="5"/>
  <c r="H392" i="5"/>
  <c r="H403" i="5"/>
  <c r="G440" i="5"/>
  <c r="G460" i="5"/>
  <c r="G471" i="5"/>
  <c r="H438" i="5"/>
  <c r="G731" i="5"/>
  <c r="H547" i="5"/>
  <c r="H571" i="5"/>
  <c r="H638" i="5"/>
  <c r="H648" i="5"/>
  <c r="G586" i="5"/>
  <c r="G607" i="5"/>
  <c r="G646" i="5"/>
  <c r="H731" i="5"/>
  <c r="G619" i="5"/>
  <c r="G628" i="5"/>
  <c r="G640" i="5"/>
  <c r="G649" i="5"/>
  <c r="H765" i="5"/>
  <c r="H773" i="5"/>
  <c r="F53" i="74"/>
  <c r="I5111" i="18" s="1"/>
  <c r="F70" i="70"/>
  <c r="F76" i="70"/>
  <c r="F59" i="74"/>
  <c r="I5117" i="18" s="1"/>
  <c r="F91" i="70"/>
  <c r="F74" i="74"/>
  <c r="E88" i="70"/>
  <c r="E71" i="74"/>
  <c r="H5133" i="18" s="1"/>
  <c r="E94" i="70"/>
  <c r="E77" i="74"/>
  <c r="H5143" i="18" s="1"/>
  <c r="F81" i="70"/>
  <c r="F64" i="74"/>
  <c r="I5122" i="18" s="1"/>
  <c r="F73" i="70"/>
  <c r="F56" i="74"/>
  <c r="I5114" i="18" s="1"/>
  <c r="F93" i="70"/>
  <c r="F76" i="74"/>
  <c r="I5142" i="18" s="1"/>
  <c r="E73" i="70"/>
  <c r="E56" i="74"/>
  <c r="H5114" i="18" s="1"/>
  <c r="F88" i="70"/>
  <c r="F71" i="74"/>
  <c r="I5133" i="18" s="1"/>
  <c r="F78" i="70"/>
  <c r="F61" i="74"/>
  <c r="I5119" i="18" s="1"/>
  <c r="F92" i="70"/>
  <c r="F75" i="74"/>
  <c r="E93" i="70"/>
  <c r="E76" i="74"/>
  <c r="H5142" i="18" s="1"/>
  <c r="F71" i="70"/>
  <c r="F54" i="74"/>
  <c r="I5112" i="18" s="1"/>
  <c r="E89" i="70"/>
  <c r="E72" i="74"/>
  <c r="H5134" i="18" s="1"/>
  <c r="E71" i="70"/>
  <c r="E54" i="74"/>
  <c r="H5112" i="18" s="1"/>
  <c r="F84" i="70"/>
  <c r="F67" i="74"/>
  <c r="I5125" i="18" s="1"/>
  <c r="F94" i="70"/>
  <c r="F77" i="74"/>
  <c r="I5143" i="18" s="1"/>
  <c r="E92" i="70"/>
  <c r="E75" i="74"/>
  <c r="F83" i="70"/>
  <c r="F66" i="74"/>
  <c r="I5124" i="18" s="1"/>
  <c r="F75" i="70"/>
  <c r="F58" i="74"/>
  <c r="I5116" i="18" s="1"/>
  <c r="E75" i="70"/>
  <c r="E58" i="74"/>
  <c r="H5116" i="18" s="1"/>
  <c r="F80" i="70"/>
  <c r="F63" i="74"/>
  <c r="I5121" i="18" s="1"/>
  <c r="F72" i="70"/>
  <c r="F55" i="74"/>
  <c r="I5113" i="18" s="1"/>
  <c r="E91" i="70"/>
  <c r="E74" i="74"/>
  <c r="E74" i="70"/>
  <c r="E57" i="74"/>
  <c r="H5115" i="18" s="1"/>
  <c r="F89" i="70"/>
  <c r="F72" i="74"/>
  <c r="I5134" i="18" s="1"/>
  <c r="F79" i="70"/>
  <c r="F62" i="74"/>
  <c r="I5120" i="18" s="1"/>
  <c r="F87" i="70"/>
  <c r="F70" i="74"/>
  <c r="I5132" i="18" s="1"/>
  <c r="F77" i="70"/>
  <c r="F60" i="74"/>
  <c r="I5118" i="18" s="1"/>
  <c r="F69" i="70"/>
  <c r="F52" i="74"/>
  <c r="I5110" i="18" s="1"/>
  <c r="E87" i="70"/>
  <c r="E70" i="74"/>
  <c r="H5132" i="18" s="1"/>
  <c r="E77" i="70"/>
  <c r="E60" i="74"/>
  <c r="H5118" i="18" s="1"/>
  <c r="F82" i="70"/>
  <c r="F65" i="74"/>
  <c r="I5123" i="18" s="1"/>
  <c r="F74" i="70"/>
  <c r="F57" i="74"/>
  <c r="I5115" i="18" s="1"/>
  <c r="E84" i="70"/>
  <c r="E67" i="74"/>
  <c r="H5125" i="18" s="1"/>
  <c r="K6163" i="18"/>
  <c r="L6164" i="18" s="1"/>
  <c r="E80" i="70"/>
  <c r="K6083" i="18"/>
  <c r="L6084" i="18" s="1"/>
  <c r="E72" i="70"/>
  <c r="D44" i="48"/>
  <c r="F8" i="70"/>
  <c r="N5045" i="18"/>
  <c r="O5046" i="18" s="1"/>
  <c r="F31" i="70"/>
  <c r="K6125" i="18"/>
  <c r="L6126" i="18" s="1"/>
  <c r="E76" i="70"/>
  <c r="N5072" i="18"/>
  <c r="O5073" i="18" s="1"/>
  <c r="F45" i="70"/>
  <c r="F108" i="5"/>
  <c r="F84" i="51"/>
  <c r="AD48" i="2"/>
  <c r="AD49" i="2" s="1"/>
  <c r="AD50" i="2" s="1"/>
  <c r="AD54" i="2"/>
  <c r="AD56" i="2" s="1"/>
  <c r="AD57" i="2" s="1"/>
  <c r="Z48" i="2"/>
  <c r="Z49" i="2" s="1"/>
  <c r="Z50" i="2" s="1"/>
  <c r="Z54" i="2"/>
  <c r="Z56" i="2" s="1"/>
  <c r="Z57" i="2" s="1"/>
  <c r="W49" i="2"/>
  <c r="W50" i="2" s="1"/>
  <c r="U54" i="2"/>
  <c r="U56" i="2" s="1"/>
  <c r="U57" i="2" s="1"/>
  <c r="AC54" i="2"/>
  <c r="AC56" i="2" s="1"/>
  <c r="AC57" i="2" s="1"/>
  <c r="F63" i="5"/>
  <c r="K7" i="72"/>
  <c r="Y54" i="2"/>
  <c r="Y56" i="2" s="1"/>
  <c r="Y57" i="2" s="1"/>
  <c r="Y48" i="2"/>
  <c r="Y49" i="2" s="1"/>
  <c r="Y50" i="2" s="1"/>
  <c r="N5061" i="18"/>
  <c r="O5062" i="18" s="1"/>
  <c r="J171" i="5"/>
  <c r="K6101" i="18"/>
  <c r="L6102" i="18" s="1"/>
  <c r="F72" i="51"/>
  <c r="K6250" i="18"/>
  <c r="L6251" i="18" s="1"/>
  <c r="H24" i="72"/>
  <c r="T41" i="13"/>
  <c r="N5029" i="18"/>
  <c r="O5030" i="18" s="1"/>
  <c r="M671" i="5"/>
  <c r="J709" i="5"/>
  <c r="N5083" i="18"/>
  <c r="O5084" i="18" s="1"/>
  <c r="N5094" i="18"/>
  <c r="O5095" i="18" s="1"/>
  <c r="J683" i="5"/>
  <c r="J825" i="5" s="1"/>
  <c r="M703" i="5"/>
  <c r="M690" i="5"/>
  <c r="F126" i="8"/>
  <c r="M682" i="5"/>
  <c r="M696" i="5"/>
  <c r="E113" i="21"/>
  <c r="F171" i="5"/>
  <c r="F809" i="5" s="1"/>
  <c r="F117" i="21"/>
  <c r="F96" i="21"/>
  <c r="E75" i="21"/>
  <c r="F169" i="5"/>
  <c r="E105" i="21"/>
  <c r="E89" i="21"/>
  <c r="E90" i="21" s="1"/>
  <c r="E91" i="21" s="1"/>
  <c r="F89" i="21"/>
  <c r="F90" i="21" s="1"/>
  <c r="F91" i="21" s="1"/>
  <c r="F105" i="21"/>
  <c r="J169" i="5"/>
  <c r="E117" i="21"/>
  <c r="E96" i="21"/>
  <c r="F161" i="5"/>
  <c r="F163" i="5" s="1"/>
  <c r="F795" i="5" s="1"/>
  <c r="F798" i="5" s="1"/>
  <c r="F799" i="5" s="1"/>
  <c r="K96" i="7"/>
  <c r="L96" i="7" s="1"/>
  <c r="M96" i="7" s="1"/>
  <c r="J64" i="5"/>
  <c r="J786" i="5" s="1"/>
  <c r="F125" i="8"/>
  <c r="F117" i="8"/>
  <c r="J764" i="5"/>
  <c r="J830" i="5" s="1"/>
  <c r="F68" i="7"/>
  <c r="G94" i="7" s="1"/>
  <c r="L94" i="7" s="1"/>
  <c r="O5372" i="18"/>
  <c r="P5372" i="18" s="1"/>
  <c r="N5338" i="18"/>
  <c r="O5338" i="18" s="1"/>
  <c r="N5342" i="18"/>
  <c r="O5342" i="18" s="1"/>
  <c r="O5385" i="18"/>
  <c r="P5385" i="18" s="1"/>
  <c r="N5335" i="18"/>
  <c r="O5335" i="18" s="1"/>
  <c r="O5369" i="18"/>
  <c r="P5369" i="18" s="1"/>
  <c r="O5388" i="18"/>
  <c r="P5388" i="18" s="1"/>
  <c r="K6134" i="18"/>
  <c r="L6135" i="18" s="1"/>
  <c r="M4883" i="18"/>
  <c r="K6072" i="18"/>
  <c r="L6073" i="18" s="1"/>
  <c r="F115" i="51"/>
  <c r="F118" i="51" s="1"/>
  <c r="F120" i="51" s="1"/>
  <c r="F96" i="51"/>
  <c r="F98" i="51" s="1"/>
  <c r="G93" i="51" s="1"/>
  <c r="E117" i="8"/>
  <c r="F28" i="51"/>
  <c r="F55" i="51" s="1"/>
  <c r="F764" i="5"/>
  <c r="F830" i="5" s="1"/>
  <c r="E31" i="74"/>
  <c r="E98" i="8"/>
  <c r="K6092" i="18"/>
  <c r="L6093" i="18" s="1"/>
  <c r="E18" i="74"/>
  <c r="K6115" i="18"/>
  <c r="L6116" i="18" s="1"/>
  <c r="F11" i="52"/>
  <c r="F62" i="52"/>
  <c r="F10" i="52" s="1"/>
  <c r="J697" i="5"/>
  <c r="M708" i="5"/>
  <c r="P2699" i="18"/>
  <c r="K20" i="18"/>
  <c r="Q20" i="18"/>
  <c r="N2648" i="18"/>
  <c r="H2700" i="18"/>
  <c r="H2701" i="18" s="1"/>
  <c r="H2702" i="18" s="1"/>
  <c r="P3107" i="18"/>
  <c r="N3043" i="18"/>
  <c r="H3108" i="18"/>
  <c r="H3109" i="18" s="1"/>
  <c r="H3110" i="18" s="1"/>
  <c r="O1653" i="18"/>
  <c r="P1653" i="18"/>
  <c r="K17" i="18"/>
  <c r="L17" i="18"/>
  <c r="H1004" i="18"/>
  <c r="H332" i="18"/>
  <c r="L350" i="18" s="1"/>
  <c r="P2696" i="18"/>
  <c r="K2616" i="18"/>
  <c r="Q2599" i="18" s="1"/>
  <c r="M764" i="5"/>
  <c r="M830" i="5" s="1"/>
  <c r="K3805" i="18"/>
  <c r="P3103" i="18"/>
  <c r="O2980" i="18"/>
  <c r="L3018" i="18"/>
  <c r="L3036" i="18"/>
  <c r="L3027" i="18"/>
  <c r="I3038" i="18"/>
  <c r="J2595" i="18"/>
  <c r="J3038" i="18"/>
  <c r="H3038" i="18"/>
  <c r="K3038" i="18"/>
  <c r="F630" i="5"/>
  <c r="F655" i="5" s="1"/>
  <c r="K2573" i="18"/>
  <c r="I2595" i="18"/>
  <c r="K2593" i="18"/>
  <c r="H2595" i="18"/>
  <c r="K2583" i="18"/>
  <c r="K3715" i="18"/>
  <c r="K3685" i="18" s="1"/>
  <c r="J531" i="5"/>
  <c r="J556" i="5" s="1"/>
  <c r="J630" i="5"/>
  <c r="J655" i="5" s="1"/>
  <c r="J498" i="5"/>
  <c r="J523" i="5" s="1"/>
  <c r="J465" i="5"/>
  <c r="J490" i="5" s="1"/>
  <c r="F498" i="5"/>
  <c r="F523" i="5" s="1"/>
  <c r="J242" i="5"/>
  <c r="J267" i="5" s="1"/>
  <c r="J401" i="5"/>
  <c r="J426" i="5" s="1"/>
  <c r="J850" i="5" s="1"/>
  <c r="F275" i="5"/>
  <c r="F298" i="5" s="1"/>
  <c r="Q871" i="18"/>
  <c r="Q2719" i="18"/>
  <c r="Q4344" i="18"/>
  <c r="K4565" i="18"/>
  <c r="L4565" i="18" s="1"/>
  <c r="Q1947" i="18"/>
  <c r="Q629" i="18"/>
  <c r="K629" i="18"/>
  <c r="I869" i="18"/>
  <c r="P3003" i="18"/>
  <c r="K2982" i="18" s="1"/>
  <c r="K5470" i="18"/>
  <c r="Q4088" i="18"/>
  <c r="F531" i="5"/>
  <c r="F556" i="5" s="1"/>
  <c r="F306" i="5"/>
  <c r="F329" i="5" s="1"/>
  <c r="F368" i="5"/>
  <c r="F393" i="5" s="1"/>
  <c r="J597" i="5"/>
  <c r="J622" i="5" s="1"/>
  <c r="F337" i="5"/>
  <c r="F360" i="5" s="1"/>
  <c r="F230" i="5"/>
  <c r="F242" i="5"/>
  <c r="F267" i="5" s="1"/>
  <c r="F597" i="5"/>
  <c r="F622" i="5" s="1"/>
  <c r="F401" i="5"/>
  <c r="F426" i="5" s="1"/>
  <c r="F850" i="5" s="1"/>
  <c r="Q3217" i="18"/>
  <c r="Q1636" i="18"/>
  <c r="Q2705" i="18"/>
  <c r="I1440" i="18"/>
  <c r="Q2463" i="18"/>
  <c r="K5492" i="18"/>
  <c r="Q2157" i="18"/>
  <c r="Q4312" i="18"/>
  <c r="N4414" i="18"/>
  <c r="K4396" i="18" s="1"/>
  <c r="Q4441" i="18"/>
  <c r="Q1538" i="18"/>
  <c r="I1397" i="18"/>
  <c r="I1400" i="18" s="1"/>
  <c r="Q1617" i="18"/>
  <c r="K869" i="18"/>
  <c r="Q3204" i="18"/>
  <c r="K1538" i="18"/>
  <c r="K2830" i="18"/>
  <c r="Q2830" i="18"/>
  <c r="K3192" i="18"/>
  <c r="Q4502" i="18"/>
  <c r="Q2202" i="18"/>
  <c r="K3983" i="18"/>
  <c r="Q3995" i="18"/>
  <c r="Q3996" i="18" s="1"/>
  <c r="Q3997" i="18" s="1"/>
  <c r="N2920" i="18"/>
  <c r="Q3175" i="18"/>
  <c r="I513" i="18"/>
  <c r="Q500" i="18" s="1"/>
  <c r="K4065" i="18"/>
  <c r="K3632" i="18"/>
  <c r="Q4511" i="18"/>
  <c r="I1375" i="18"/>
  <c r="I1378" i="18" s="1"/>
  <c r="J306" i="5"/>
  <c r="J329" i="5" s="1"/>
  <c r="J337" i="5"/>
  <c r="J360" i="5" s="1"/>
  <c r="J275" i="5"/>
  <c r="J298" i="5" s="1"/>
  <c r="J230" i="5"/>
  <c r="F223" i="5"/>
  <c r="F465" i="5"/>
  <c r="F490" i="5" s="1"/>
  <c r="F218" i="5"/>
  <c r="I764" i="5"/>
  <c r="I830" i="5" s="1"/>
  <c r="J368" i="5"/>
  <c r="J393" i="5" s="1"/>
  <c r="J218" i="5"/>
  <c r="J208" i="5"/>
  <c r="J213" i="5"/>
  <c r="J223" i="5"/>
  <c r="F213" i="5"/>
  <c r="H263" i="50"/>
  <c r="H241" i="50"/>
  <c r="L186" i="50"/>
  <c r="L147" i="50"/>
  <c r="L169" i="50"/>
  <c r="H180" i="50"/>
  <c r="H232" i="50"/>
  <c r="H233" i="50"/>
  <c r="H118" i="50"/>
  <c r="G47" i="46"/>
  <c r="L86" i="50"/>
  <c r="H179" i="50"/>
  <c r="H37" i="50"/>
  <c r="H56" i="50"/>
  <c r="H150" i="50"/>
  <c r="H94" i="50"/>
  <c r="H10" i="50"/>
  <c r="H19" i="50"/>
  <c r="L189" i="50"/>
  <c r="H234" i="50"/>
  <c r="H187" i="50"/>
  <c r="L180" i="50"/>
  <c r="H256" i="50"/>
  <c r="L34" i="50"/>
  <c r="G44" i="46"/>
  <c r="I675" i="5" l="1"/>
  <c r="E25" i="70" s="1"/>
  <c r="M116" i="5"/>
  <c r="K288" i="50" s="1"/>
  <c r="H1039" i="18"/>
  <c r="H1040" i="18" s="1"/>
  <c r="H6202" i="18"/>
  <c r="J6202" i="18" s="1"/>
  <c r="H9" i="96"/>
  <c r="H11" i="96" s="1"/>
  <c r="E11" i="96"/>
  <c r="H343" i="18"/>
  <c r="L344" i="18"/>
  <c r="H394" i="18"/>
  <c r="H396" i="18" s="1"/>
  <c r="H397" i="18" s="1"/>
  <c r="K398" i="18" s="1"/>
  <c r="L398" i="18" s="1"/>
  <c r="H6200" i="18"/>
  <c r="J6200" i="18" s="1"/>
  <c r="H6" i="96"/>
  <c r="H8" i="96" s="1"/>
  <c r="E8" i="96"/>
  <c r="I99" i="5"/>
  <c r="I727" i="5"/>
  <c r="G13" i="80"/>
  <c r="L11" i="80"/>
  <c r="K1027" i="18"/>
  <c r="J1038" i="18"/>
  <c r="H941" i="18"/>
  <c r="K934" i="18" s="1"/>
  <c r="K939" i="18"/>
  <c r="K941" i="18" s="1"/>
  <c r="H2642" i="18"/>
  <c r="H2645" i="18" s="1"/>
  <c r="K2639" i="18" s="1"/>
  <c r="K2824" i="18"/>
  <c r="K2827" i="18" s="1"/>
  <c r="I72" i="5"/>
  <c r="I381" i="5"/>
  <c r="H25" i="71" s="1"/>
  <c r="I149" i="5"/>
  <c r="E29" i="69" s="1"/>
  <c r="I628" i="5"/>
  <c r="I386" i="5"/>
  <c r="H30" i="71" s="1"/>
  <c r="I527" i="5"/>
  <c r="M11" i="75" s="1"/>
  <c r="I90" i="5"/>
  <c r="G253" i="50" s="1"/>
  <c r="I692" i="5"/>
  <c r="G343" i="50" s="1"/>
  <c r="M148" i="5"/>
  <c r="K315" i="50" s="1"/>
  <c r="M315" i="50" s="1"/>
  <c r="N315" i="50" s="1"/>
  <c r="L552" i="5"/>
  <c r="M445" i="5"/>
  <c r="W24" i="75" s="1"/>
  <c r="L585" i="5"/>
  <c r="M550" i="5"/>
  <c r="Z31" i="71" s="1"/>
  <c r="D13" i="80"/>
  <c r="M44" i="46"/>
  <c r="N44" i="46" s="1"/>
  <c r="G264" i="50"/>
  <c r="G263" i="50"/>
  <c r="G262" i="50"/>
  <c r="I262" i="50" s="1"/>
  <c r="J262" i="50" s="1"/>
  <c r="G265" i="50"/>
  <c r="G266" i="50"/>
  <c r="H38" i="68"/>
  <c r="K143" i="50"/>
  <c r="K147" i="50"/>
  <c r="K151" i="50"/>
  <c r="K155" i="50"/>
  <c r="K146" i="50"/>
  <c r="K149" i="50"/>
  <c r="K154" i="50"/>
  <c r="K142" i="50"/>
  <c r="M142" i="50" s="1"/>
  <c r="N142" i="50" s="1"/>
  <c r="K144" i="50"/>
  <c r="K150" i="50"/>
  <c r="K152" i="50"/>
  <c r="K153" i="50"/>
  <c r="K145" i="50"/>
  <c r="K148" i="50"/>
  <c r="K297" i="50"/>
  <c r="M297" i="50" s="1"/>
  <c r="N297" i="50" s="1"/>
  <c r="K304" i="50"/>
  <c r="K302" i="50"/>
  <c r="K166" i="50"/>
  <c r="K167" i="50"/>
  <c r="K164" i="50"/>
  <c r="K165" i="50"/>
  <c r="K15" i="50"/>
  <c r="M15" i="50" s="1"/>
  <c r="N15" i="50" s="1"/>
  <c r="K19" i="50"/>
  <c r="K23" i="50"/>
  <c r="K27" i="50"/>
  <c r="K18" i="50"/>
  <c r="K21" i="50"/>
  <c r="K26" i="50"/>
  <c r="K16" i="50"/>
  <c r="K22" i="50"/>
  <c r="K24" i="50"/>
  <c r="K25" i="50"/>
  <c r="K17" i="50"/>
  <c r="K20" i="50"/>
  <c r="L22" i="68"/>
  <c r="K237" i="50"/>
  <c r="K236" i="50"/>
  <c r="D44" i="51"/>
  <c r="I44" i="51" s="1"/>
  <c r="J44" i="51" s="1"/>
  <c r="K181" i="50"/>
  <c r="K180" i="50"/>
  <c r="M180" i="50" s="1"/>
  <c r="N180" i="50" s="1"/>
  <c r="K183" i="50"/>
  <c r="K182" i="50"/>
  <c r="K184" i="50"/>
  <c r="K2796" i="18"/>
  <c r="L2797" i="18" s="1"/>
  <c r="G177" i="50"/>
  <c r="I177" i="50" s="1"/>
  <c r="J177" i="50" s="1"/>
  <c r="G178" i="50"/>
  <c r="G14" i="68"/>
  <c r="G18" i="50"/>
  <c r="G22" i="50"/>
  <c r="G26" i="50"/>
  <c r="G15" i="50"/>
  <c r="I15" i="50" s="1"/>
  <c r="J15" i="50" s="1"/>
  <c r="G20" i="50"/>
  <c r="G23" i="50"/>
  <c r="G17" i="50"/>
  <c r="G19" i="50"/>
  <c r="G21" i="50"/>
  <c r="G25" i="50"/>
  <c r="G27" i="50"/>
  <c r="G24" i="50"/>
  <c r="G16" i="50"/>
  <c r="E33" i="69"/>
  <c r="G317" i="50"/>
  <c r="I317" i="50" s="1"/>
  <c r="J317" i="50" s="1"/>
  <c r="H15" i="68"/>
  <c r="K31" i="50"/>
  <c r="K35" i="50"/>
  <c r="K39" i="50"/>
  <c r="K43" i="50"/>
  <c r="K29" i="50"/>
  <c r="K34" i="50"/>
  <c r="K37" i="50"/>
  <c r="K42" i="50"/>
  <c r="K45" i="50"/>
  <c r="K33" i="50"/>
  <c r="K36" i="50"/>
  <c r="K46" i="50"/>
  <c r="K41" i="50"/>
  <c r="K44" i="50"/>
  <c r="K28" i="50"/>
  <c r="K38" i="50"/>
  <c r="K40" i="50"/>
  <c r="K32" i="50"/>
  <c r="K30" i="50"/>
  <c r="F88" i="8"/>
  <c r="F113" i="8" s="1"/>
  <c r="F115" i="8" s="1"/>
  <c r="F116" i="8" s="1"/>
  <c r="E125" i="8"/>
  <c r="J809" i="5"/>
  <c r="X18" i="2"/>
  <c r="X15" i="2" s="1"/>
  <c r="X40" i="2" s="1"/>
  <c r="AB16" i="2"/>
  <c r="AB18" i="2"/>
  <c r="M262" i="5"/>
  <c r="Q31" i="75" s="1"/>
  <c r="J4430" i="18"/>
  <c r="J4439" i="18" s="1"/>
  <c r="G1933" i="18"/>
  <c r="G1496" i="18"/>
  <c r="G2143" i="18"/>
  <c r="J1911" i="18"/>
  <c r="J851" i="18"/>
  <c r="J254" i="18"/>
  <c r="G2354" i="18"/>
  <c r="G2142" i="18"/>
  <c r="J2333" i="18"/>
  <c r="G1497" i="18"/>
  <c r="D1497" i="18" s="1"/>
  <c r="G2355" i="18"/>
  <c r="D2355" i="18" s="1"/>
  <c r="J2121" i="18"/>
  <c r="J1472" i="18"/>
  <c r="J582" i="18"/>
  <c r="G1932" i="18"/>
  <c r="J4374" i="18"/>
  <c r="H2545" i="18"/>
  <c r="H2554" i="18" s="1"/>
  <c r="K2543" i="18" s="1"/>
  <c r="H2532" i="18"/>
  <c r="H2541" i="18" s="1"/>
  <c r="K2530" i="18" s="1"/>
  <c r="I4174" i="18"/>
  <c r="I4180" i="18" s="1"/>
  <c r="I2522" i="18"/>
  <c r="I2528" i="18" s="1"/>
  <c r="N2520" i="18" s="1"/>
  <c r="I2823" i="18"/>
  <c r="I2827" i="18" s="1"/>
  <c r="N2821" i="18" s="1"/>
  <c r="H851" i="18"/>
  <c r="H3663" i="18"/>
  <c r="H3676" i="18" s="1"/>
  <c r="N3661" i="18" s="1"/>
  <c r="H3178" i="18"/>
  <c r="I3776" i="18"/>
  <c r="I3792" i="18" s="1"/>
  <c r="H471" i="18"/>
  <c r="J3263" i="18"/>
  <c r="H2433" i="18"/>
  <c r="H2454" i="18" s="1"/>
  <c r="H2296" i="18"/>
  <c r="H503" i="18"/>
  <c r="H3387" i="18"/>
  <c r="I4113" i="18"/>
  <c r="I4119" i="18" s="1"/>
  <c r="N4111" i="18" s="1"/>
  <c r="I4124" i="18"/>
  <c r="I4131" i="18" s="1"/>
  <c r="H4153" i="18"/>
  <c r="H4159" i="18" s="1"/>
  <c r="H2121" i="18"/>
  <c r="J3247" i="18"/>
  <c r="I3922" i="18"/>
  <c r="I3928" i="18" s="1"/>
  <c r="H582" i="18"/>
  <c r="J862" i="18"/>
  <c r="H691" i="18"/>
  <c r="K2160" i="18"/>
  <c r="I3449" i="18"/>
  <c r="I3456" i="18" s="1"/>
  <c r="I319" i="18"/>
  <c r="I332" i="18" s="1"/>
  <c r="L442" i="18" s="1"/>
  <c r="L444" i="18" s="1"/>
  <c r="L445" i="18" s="1"/>
  <c r="K446" i="18" s="1"/>
  <c r="L446" i="18" s="1"/>
  <c r="H4347" i="18"/>
  <c r="I4293" i="18"/>
  <c r="I4299" i="18" s="1"/>
  <c r="H1964" i="18"/>
  <c r="I1015" i="18"/>
  <c r="I1025" i="18" s="1"/>
  <c r="I3766" i="18"/>
  <c r="I3771" i="18" s="1"/>
  <c r="N3764" i="18" s="1"/>
  <c r="I1814" i="18"/>
  <c r="I1820" i="18" s="1"/>
  <c r="I3974" i="18"/>
  <c r="I3981" i="18" s="1"/>
  <c r="I1792" i="18"/>
  <c r="I1797" i="18" s="1"/>
  <c r="H451" i="18"/>
  <c r="I3312" i="18"/>
  <c r="I3320" i="18" s="1"/>
  <c r="K1990" i="18"/>
  <c r="K1999" i="18" s="1"/>
  <c r="I5168" i="18"/>
  <c r="I936" i="18"/>
  <c r="H3634" i="18"/>
  <c r="H3652" i="18" s="1"/>
  <c r="H3625" i="18" s="1"/>
  <c r="H1351" i="18"/>
  <c r="I3415" i="18"/>
  <c r="I3422" i="18" s="1"/>
  <c r="I3427" i="18"/>
  <c r="I3433" i="18" s="1"/>
  <c r="I3438" i="18"/>
  <c r="I3443" i="18" s="1"/>
  <c r="H3207" i="18"/>
  <c r="H4267" i="18"/>
  <c r="H4271" i="18" s="1"/>
  <c r="H4091" i="18"/>
  <c r="H1472" i="18"/>
  <c r="H2318" i="18"/>
  <c r="I3325" i="18"/>
  <c r="I3331" i="18" s="1"/>
  <c r="I3933" i="18"/>
  <c r="I3939" i="18" s="1"/>
  <c r="I92" i="18"/>
  <c r="I106" i="18" s="1"/>
  <c r="K1620" i="18"/>
  <c r="I2879" i="18"/>
  <c r="I2888" i="18" s="1"/>
  <c r="K5758" i="18"/>
  <c r="H4430" i="18"/>
  <c r="H4439" i="18" s="1"/>
  <c r="N4428" i="18" s="1"/>
  <c r="H4374" i="18"/>
  <c r="K1826" i="18"/>
  <c r="K23" i="18"/>
  <c r="I3835" i="18"/>
  <c r="I3841" i="18" s="1"/>
  <c r="I3769" i="18" s="1"/>
  <c r="I2849" i="18"/>
  <c r="I2860" i="18" s="1"/>
  <c r="H4419" i="18"/>
  <c r="H4425" i="18" s="1"/>
  <c r="N4417" i="18" s="1"/>
  <c r="H3220" i="18"/>
  <c r="H3195" i="18"/>
  <c r="H5588" i="18"/>
  <c r="I3292" i="18"/>
  <c r="I3300" i="18" s="1"/>
  <c r="L1841" i="18"/>
  <c r="I73" i="18"/>
  <c r="I87" i="18" s="1"/>
  <c r="N71" i="18" s="1"/>
  <c r="H5349" i="18"/>
  <c r="H3624" i="18"/>
  <c r="H2333" i="18"/>
  <c r="H5382" i="18"/>
  <c r="K2415" i="18"/>
  <c r="H2466" i="18"/>
  <c r="I2499" i="18"/>
  <c r="I2504" i="18" s="1"/>
  <c r="N2497" i="18" s="1"/>
  <c r="H1639" i="18"/>
  <c r="I3537" i="18"/>
  <c r="I3543" i="18" s="1"/>
  <c r="I111" i="18"/>
  <c r="I117" i="18" s="1"/>
  <c r="H1310" i="18"/>
  <c r="I2641" i="18"/>
  <c r="I2645" i="18" s="1"/>
  <c r="N2639" i="18" s="1"/>
  <c r="I3282" i="18"/>
  <c r="I3288" i="18" s="1"/>
  <c r="Q3280" i="18" s="1"/>
  <c r="H4366" i="18"/>
  <c r="H4368" i="18" s="1"/>
  <c r="N4364" i="18" s="1"/>
  <c r="H433" i="18"/>
  <c r="L2051" i="18"/>
  <c r="I4057" i="18"/>
  <c r="I4063" i="18" s="1"/>
  <c r="I3807" i="18"/>
  <c r="I3820" i="18" s="1"/>
  <c r="K2833" i="18"/>
  <c r="I969" i="18"/>
  <c r="I975" i="18" s="1"/>
  <c r="I4003" i="18"/>
  <c r="I4012" i="18" s="1"/>
  <c r="L1802" i="18"/>
  <c r="K1950" i="18"/>
  <c r="I12" i="18"/>
  <c r="I17" i="18" s="1"/>
  <c r="I2799" i="18"/>
  <c r="I2808" i="18" s="1"/>
  <c r="H3687" i="18"/>
  <c r="H3715" i="18" s="1"/>
  <c r="N3685" i="18" s="1"/>
  <c r="K1975" i="18"/>
  <c r="K1984" i="18" s="1"/>
  <c r="I132" i="18"/>
  <c r="I136" i="18" s="1"/>
  <c r="N130" i="18" s="1"/>
  <c r="H4357" i="18"/>
  <c r="H4361" i="18" s="1"/>
  <c r="H1777" i="18"/>
  <c r="I946" i="18"/>
  <c r="I954" i="18" s="1"/>
  <c r="H1329" i="18"/>
  <c r="H254" i="18"/>
  <c r="H4315" i="18"/>
  <c r="K2911" i="18"/>
  <c r="I3733" i="18"/>
  <c r="I3748" i="18" s="1"/>
  <c r="K123" i="18"/>
  <c r="H1911" i="18"/>
  <c r="K2205" i="18"/>
  <c r="J5772" i="18"/>
  <c r="J5781" i="18" s="1"/>
  <c r="N5770" i="18" s="1"/>
  <c r="L4067" i="18"/>
  <c r="L4076" i="18" s="1"/>
  <c r="I990" i="18"/>
  <c r="I1004" i="18" s="1"/>
  <c r="I939" i="18" s="1"/>
  <c r="I4253" i="18"/>
  <c r="I4262" i="18" s="1"/>
  <c r="H4275" i="18"/>
  <c r="H4281" i="18" s="1"/>
  <c r="I2023" i="18"/>
  <c r="I2029" i="18" s="1"/>
  <c r="Q2021" i="18" s="1"/>
  <c r="H2034" i="18"/>
  <c r="J3275" i="18"/>
  <c r="H5432" i="18"/>
  <c r="G2011" i="18"/>
  <c r="H2276" i="18"/>
  <c r="I700" i="18"/>
  <c r="I704" i="18" s="1"/>
  <c r="N698" i="18" s="1"/>
  <c r="G2561" i="18"/>
  <c r="G2585" i="18"/>
  <c r="G3020" i="18"/>
  <c r="G2596" i="18"/>
  <c r="G2602" i="18"/>
  <c r="K3275" i="18"/>
  <c r="G3010" i="18"/>
  <c r="L2276" i="18"/>
  <c r="G3039" i="18"/>
  <c r="G3029" i="18"/>
  <c r="G2575" i="18"/>
  <c r="J2276" i="18"/>
  <c r="L3985" i="18"/>
  <c r="L3991" i="18" s="1"/>
  <c r="M290" i="5"/>
  <c r="R28" i="75" s="1"/>
  <c r="K453" i="5"/>
  <c r="M495" i="5"/>
  <c r="M102" i="5"/>
  <c r="M586" i="5"/>
  <c r="Z33" i="75" s="1"/>
  <c r="L611" i="5"/>
  <c r="L371" i="5"/>
  <c r="M131" i="5"/>
  <c r="F11" i="69" s="1"/>
  <c r="AB30" i="75"/>
  <c r="AB31" i="71"/>
  <c r="M375" i="5"/>
  <c r="U19" i="71" s="1"/>
  <c r="M248" i="5"/>
  <c r="Q18" i="75" s="1"/>
  <c r="M283" i="5"/>
  <c r="R22" i="75" s="1"/>
  <c r="M324" i="5"/>
  <c r="S31" i="75" s="1"/>
  <c r="M366" i="5"/>
  <c r="U12" i="75" s="1"/>
  <c r="M54" i="5"/>
  <c r="M177" i="5"/>
  <c r="F52" i="69" s="1"/>
  <c r="M729" i="5"/>
  <c r="K534" i="5"/>
  <c r="M162" i="5"/>
  <c r="M128" i="5"/>
  <c r="I591" i="5"/>
  <c r="O9" i="75" s="1"/>
  <c r="I385" i="5"/>
  <c r="H28" i="75" s="1"/>
  <c r="M533" i="5"/>
  <c r="M640" i="5"/>
  <c r="M384" i="5"/>
  <c r="U27" i="75" s="1"/>
  <c r="M386" i="5"/>
  <c r="U30" i="71" s="1"/>
  <c r="M613" i="5"/>
  <c r="AB27" i="75" s="1"/>
  <c r="M438" i="5"/>
  <c r="W18" i="75" s="1"/>
  <c r="M69" i="5"/>
  <c r="M58" i="5"/>
  <c r="M577" i="5"/>
  <c r="Z24" i="75" s="1"/>
  <c r="M272" i="5"/>
  <c r="K246" i="5"/>
  <c r="M184" i="5"/>
  <c r="F44" i="73" s="1"/>
  <c r="M456" i="5"/>
  <c r="W35" i="75" s="1"/>
  <c r="M39" i="5"/>
  <c r="M24" i="5"/>
  <c r="H20" i="68" s="1"/>
  <c r="M119" i="5"/>
  <c r="M546" i="5"/>
  <c r="Z27" i="71" s="1"/>
  <c r="M244" i="5"/>
  <c r="M625" i="5"/>
  <c r="M160" i="5"/>
  <c r="M555" i="5"/>
  <c r="Z36" i="71" s="1"/>
  <c r="K606" i="5"/>
  <c r="M549" i="5"/>
  <c r="Z30" i="71" s="1"/>
  <c r="M348" i="5"/>
  <c r="T24" i="75" s="1"/>
  <c r="M89" i="5"/>
  <c r="M362" i="5"/>
  <c r="U9" i="71" s="1"/>
  <c r="M440" i="5"/>
  <c r="W20" i="75" s="1"/>
  <c r="M59" i="5"/>
  <c r="M266" i="5"/>
  <c r="Q35" i="75" s="1"/>
  <c r="M311" i="5"/>
  <c r="S19" i="75" s="1"/>
  <c r="M353" i="5"/>
  <c r="T29" i="75" s="1"/>
  <c r="M414" i="5"/>
  <c r="V25" i="71" s="1"/>
  <c r="M430" i="5"/>
  <c r="W11" i="75" s="1"/>
  <c r="M503" i="5"/>
  <c r="Y17" i="71" s="1"/>
  <c r="M548" i="5"/>
  <c r="Z29" i="71" s="1"/>
  <c r="M605" i="5"/>
  <c r="AB20" i="71" s="1"/>
  <c r="L578" i="5"/>
  <c r="M778" i="5"/>
  <c r="M32" i="5"/>
  <c r="M505" i="5"/>
  <c r="Y19" i="75" s="1"/>
  <c r="M97" i="5"/>
  <c r="L27" i="72" s="1"/>
  <c r="M645" i="5"/>
  <c r="K552" i="5"/>
  <c r="M455" i="5"/>
  <c r="W34" i="75" s="1"/>
  <c r="M584" i="5"/>
  <c r="Z31" i="75" s="1"/>
  <c r="M632" i="5"/>
  <c r="M779" i="5"/>
  <c r="M506" i="5"/>
  <c r="Y20" i="71" s="1"/>
  <c r="L339" i="5"/>
  <c r="M112" i="5"/>
  <c r="M22" i="5"/>
  <c r="H18" i="68" s="1"/>
  <c r="M120" i="5"/>
  <c r="M254" i="5"/>
  <c r="Q24" i="71" s="1"/>
  <c r="M768" i="5"/>
  <c r="K468" i="5"/>
  <c r="M496" i="5"/>
  <c r="Y12" i="75" s="1"/>
  <c r="M181" i="5"/>
  <c r="F58" i="69" s="1"/>
  <c r="K519" i="5"/>
  <c r="M247" i="5"/>
  <c r="Q17" i="71" s="1"/>
  <c r="M261" i="5"/>
  <c r="M23" i="5"/>
  <c r="H19" i="68" s="1"/>
  <c r="M96" i="5"/>
  <c r="M513" i="5"/>
  <c r="Y27" i="71" s="1"/>
  <c r="M37" i="5"/>
  <c r="H33" i="68" s="1"/>
  <c r="M236" i="5"/>
  <c r="Q9" i="75" s="1"/>
  <c r="M186" i="5"/>
  <c r="F47" i="73" s="1"/>
  <c r="M721" i="5"/>
  <c r="D77" i="48" s="1"/>
  <c r="M547" i="5"/>
  <c r="Z28" i="71" s="1"/>
  <c r="M571" i="5"/>
  <c r="Z19" i="75" s="1"/>
  <c r="M641" i="5"/>
  <c r="M509" i="5"/>
  <c r="Y23" i="71" s="1"/>
  <c r="M333" i="5"/>
  <c r="T11" i="75" s="1"/>
  <c r="M243" i="5"/>
  <c r="M99" i="5"/>
  <c r="M183" i="5"/>
  <c r="F42" i="73" s="1"/>
  <c r="M77" i="5"/>
  <c r="L17" i="68" s="1"/>
  <c r="M599" i="5"/>
  <c r="M443" i="5"/>
  <c r="W23" i="71" s="1"/>
  <c r="K486" i="5"/>
  <c r="M730" i="5"/>
  <c r="M553" i="5"/>
  <c r="Z34" i="71" s="1"/>
  <c r="M647" i="5"/>
  <c r="I695" i="5"/>
  <c r="I620" i="5"/>
  <c r="O34" i="75" s="1"/>
  <c r="I659" i="5"/>
  <c r="E9" i="70" s="1"/>
  <c r="O41" i="13"/>
  <c r="M60" i="5"/>
  <c r="M26" i="5"/>
  <c r="M719" i="5"/>
  <c r="M30" i="5"/>
  <c r="M284" i="5"/>
  <c r="R23" i="71" s="1"/>
  <c r="M176" i="5"/>
  <c r="F51" i="69" s="1"/>
  <c r="M297" i="5"/>
  <c r="R35" i="75" s="1"/>
  <c r="M383" i="5"/>
  <c r="U26" i="75" s="1"/>
  <c r="M462" i="5"/>
  <c r="M80" i="5"/>
  <c r="L20" i="68" s="1"/>
  <c r="M354" i="5"/>
  <c r="M408" i="5"/>
  <c r="V19" i="75" s="1"/>
  <c r="M543" i="5"/>
  <c r="Z24" i="71" s="1"/>
  <c r="M482" i="5"/>
  <c r="X28" i="75" s="1"/>
  <c r="M432" i="5"/>
  <c r="W12" i="75" s="1"/>
  <c r="M520" i="5"/>
  <c r="Y33" i="75" s="1"/>
  <c r="M355" i="5"/>
  <c r="T31" i="75" s="1"/>
  <c r="M334" i="5"/>
  <c r="M314" i="5"/>
  <c r="S22" i="75" s="1"/>
  <c r="M291" i="5"/>
  <c r="R29" i="75" s="1"/>
  <c r="M79" i="5"/>
  <c r="L19" i="68" s="1"/>
  <c r="M569" i="5"/>
  <c r="Z17" i="75" s="1"/>
  <c r="M31" i="5"/>
  <c r="M407" i="5"/>
  <c r="V18" i="75" s="1"/>
  <c r="M369" i="5"/>
  <c r="M346" i="5"/>
  <c r="T23" i="71" s="1"/>
  <c r="M323" i="5"/>
  <c r="M302" i="5"/>
  <c r="S11" i="75" s="1"/>
  <c r="M281" i="5"/>
  <c r="R20" i="75" s="1"/>
  <c r="M137" i="5"/>
  <c r="F17" i="69" s="1"/>
  <c r="M81" i="5"/>
  <c r="M14" i="5"/>
  <c r="M25" i="5"/>
  <c r="I485" i="5"/>
  <c r="K31" i="75" s="1"/>
  <c r="I532" i="5"/>
  <c r="P41" i="13"/>
  <c r="M423" i="5"/>
  <c r="V33" i="75" s="1"/>
  <c r="M75" i="5"/>
  <c r="M416" i="5"/>
  <c r="V27" i="71" s="1"/>
  <c r="M141" i="5"/>
  <c r="M472" i="5"/>
  <c r="X19" i="75" s="1"/>
  <c r="M91" i="5"/>
  <c r="M249" i="5"/>
  <c r="Q19" i="75" s="1"/>
  <c r="M340" i="5"/>
  <c r="T17" i="75" s="1"/>
  <c r="M252" i="5"/>
  <c r="Q22" i="71" s="1"/>
  <c r="M85" i="5"/>
  <c r="M326" i="5"/>
  <c r="S33" i="75" s="1"/>
  <c r="M773" i="5"/>
  <c r="M483" i="5"/>
  <c r="X29" i="75" s="1"/>
  <c r="M582" i="5"/>
  <c r="Z29" i="75" s="1"/>
  <c r="M387" i="5"/>
  <c r="M83" i="5"/>
  <c r="M139" i="5"/>
  <c r="F19" i="69" s="1"/>
  <c r="M114" i="5"/>
  <c r="M841" i="5" s="1"/>
  <c r="M379" i="5"/>
  <c r="U23" i="71" s="1"/>
  <c r="M420" i="5"/>
  <c r="M720" i="5"/>
  <c r="M536" i="5"/>
  <c r="Z17" i="71" s="1"/>
  <c r="K474" i="5"/>
  <c r="L606" i="5"/>
  <c r="M103" i="5"/>
  <c r="M185" i="5"/>
  <c r="F46" i="73" s="1"/>
  <c r="L277" i="5"/>
  <c r="M188" i="5"/>
  <c r="F62" i="69" s="1"/>
  <c r="M449" i="5"/>
  <c r="W28" i="75" s="1"/>
  <c r="M587" i="5"/>
  <c r="Z34" i="75" s="1"/>
  <c r="M418" i="5"/>
  <c r="V29" i="71" s="1"/>
  <c r="K344" i="5"/>
  <c r="L225" i="5"/>
  <c r="M431" i="5"/>
  <c r="M138" i="5"/>
  <c r="F18" i="69" s="1"/>
  <c r="M118" i="5"/>
  <c r="M156" i="5"/>
  <c r="M626" i="5"/>
  <c r="M539" i="5"/>
  <c r="Z20" i="71" s="1"/>
  <c r="M452" i="5"/>
  <c r="W31" i="75" s="1"/>
  <c r="M580" i="5"/>
  <c r="Z27" i="75" s="1"/>
  <c r="M451" i="5"/>
  <c r="M437" i="5"/>
  <c r="W17" i="75" s="1"/>
  <c r="M527" i="5"/>
  <c r="Z11" i="71" s="1"/>
  <c r="M572" i="5"/>
  <c r="Z20" i="75" s="1"/>
  <c r="M504" i="5"/>
  <c r="Y18" i="71" s="1"/>
  <c r="M424" i="5"/>
  <c r="V34" i="75" s="1"/>
  <c r="M373" i="5"/>
  <c r="U17" i="75" s="1"/>
  <c r="M288" i="5"/>
  <c r="R26" i="75" s="1"/>
  <c r="M265" i="5"/>
  <c r="Q34" i="75" s="1"/>
  <c r="K194" i="5"/>
  <c r="M76" i="5"/>
  <c r="M152" i="5"/>
  <c r="F32" i="69" s="1"/>
  <c r="M84" i="5"/>
  <c r="M113" i="5"/>
  <c r="M837" i="5" s="1"/>
  <c r="M525" i="5"/>
  <c r="Z9" i="71" s="1"/>
  <c r="M136" i="5"/>
  <c r="F16" i="69" s="1"/>
  <c r="L325" i="5"/>
  <c r="M781" i="5"/>
  <c r="M574" i="5"/>
  <c r="M40" i="5"/>
  <c r="M260" i="5"/>
  <c r="Q29" i="75" s="1"/>
  <c r="M718" i="5"/>
  <c r="D72" i="48" s="1"/>
  <c r="M402" i="5"/>
  <c r="M638" i="5"/>
  <c r="M772" i="5"/>
  <c r="K469" i="5"/>
  <c r="M153" i="5"/>
  <c r="M732" i="5"/>
  <c r="M292" i="5"/>
  <c r="M412" i="5"/>
  <c r="V23" i="71" s="1"/>
  <c r="M376" i="5"/>
  <c r="U20" i="75" s="1"/>
  <c r="M142" i="5"/>
  <c r="M175" i="5"/>
  <c r="F37" i="73" s="1"/>
  <c r="M174" i="5"/>
  <c r="F49" i="69" s="1"/>
  <c r="M614" i="5"/>
  <c r="AB28" i="75" s="1"/>
  <c r="L618" i="5"/>
  <c r="M448" i="5"/>
  <c r="W27" i="75" s="1"/>
  <c r="M517" i="5"/>
  <c r="M767" i="5"/>
  <c r="L263" i="5"/>
  <c r="K127" i="5"/>
  <c r="M484" i="5"/>
  <c r="M594" i="5"/>
  <c r="M51" i="5"/>
  <c r="M15" i="5"/>
  <c r="L217" i="5"/>
  <c r="M20" i="5"/>
  <c r="K422" i="5"/>
  <c r="K415" i="5" s="1"/>
  <c r="L507" i="5"/>
  <c r="M450" i="5"/>
  <c r="W29" i="75" s="1"/>
  <c r="M529" i="5"/>
  <c r="Z12" i="71" s="1"/>
  <c r="L377" i="5"/>
  <c r="K618" i="5"/>
  <c r="L400" i="5"/>
  <c r="M648" i="5"/>
  <c r="K535" i="5"/>
  <c r="M425" i="5"/>
  <c r="V35" i="75" s="1"/>
  <c r="K206" i="5"/>
  <c r="K308" i="5"/>
  <c r="L502" i="5"/>
  <c r="K502" i="5"/>
  <c r="M191" i="5"/>
  <c r="M194" i="5" s="1"/>
  <c r="M173" i="5"/>
  <c r="F35" i="73" s="1"/>
  <c r="M321" i="5"/>
  <c r="S28" i="75" s="1"/>
  <c r="K277" i="5"/>
  <c r="K367" i="5"/>
  <c r="L601" i="5"/>
  <c r="L474" i="5"/>
  <c r="M150" i="5"/>
  <c r="F30" i="69" s="1"/>
  <c r="M12" i="5"/>
  <c r="H9" i="68" s="1"/>
  <c r="L256" i="5"/>
  <c r="M301" i="5"/>
  <c r="S10" i="75" s="1"/>
  <c r="L446" i="5"/>
  <c r="M310" i="5"/>
  <c r="S18" i="75" s="1"/>
  <c r="K634" i="5"/>
  <c r="L453" i="5"/>
  <c r="M480" i="5"/>
  <c r="X26" i="75" s="1"/>
  <c r="M575" i="5"/>
  <c r="AA23" i="71" s="1"/>
  <c r="L404" i="5"/>
  <c r="M327" i="5"/>
  <c r="S34" i="75" s="1"/>
  <c r="M237" i="5"/>
  <c r="Q10" i="71" s="1"/>
  <c r="L318" i="5"/>
  <c r="M240" i="5"/>
  <c r="Q12" i="75" s="1"/>
  <c r="M68" i="5"/>
  <c r="L10" i="68" s="1"/>
  <c r="M44" i="5"/>
  <c r="M442" i="5"/>
  <c r="W22" i="75" s="1"/>
  <c r="M726" i="5"/>
  <c r="M558" i="5"/>
  <c r="M769" i="5"/>
  <c r="K63" i="5"/>
  <c r="K318" i="5"/>
  <c r="K221" i="5"/>
  <c r="K229" i="5"/>
  <c r="K356" i="5"/>
  <c r="M345" i="5"/>
  <c r="T22" i="75" s="1"/>
  <c r="K222" i="5"/>
  <c r="K601" i="5"/>
  <c r="L568" i="5"/>
  <c r="K325" i="5"/>
  <c r="L433" i="5"/>
  <c r="L206" i="5"/>
  <c r="M159" i="5"/>
  <c r="L229" i="5"/>
  <c r="M358" i="5"/>
  <c r="T34" i="75" s="1"/>
  <c r="T32" i="75" s="1"/>
  <c r="K216" i="5"/>
  <c r="M105" i="5"/>
  <c r="M774" i="5"/>
  <c r="M600" i="5"/>
  <c r="AB15" i="75" s="1"/>
  <c r="K217" i="5"/>
  <c r="M100" i="5"/>
  <c r="M279" i="5"/>
  <c r="R18" i="75" s="1"/>
  <c r="M365" i="5"/>
  <c r="M21" i="5"/>
  <c r="M777" i="5"/>
  <c r="L231" i="5"/>
  <c r="M13" i="5"/>
  <c r="H10" i="68" s="1"/>
  <c r="M293" i="5"/>
  <c r="R31" i="75" s="1"/>
  <c r="K405" i="5"/>
  <c r="M766" i="5"/>
  <c r="M733" i="5"/>
  <c r="M390" i="5"/>
  <c r="K371" i="5"/>
  <c r="M510" i="5"/>
  <c r="Y23" i="75" s="1"/>
  <c r="L530" i="5"/>
  <c r="M588" i="5"/>
  <c r="Z35" i="75" s="1"/>
  <c r="M460" i="5"/>
  <c r="X10" i="71" s="1"/>
  <c r="L410" i="5"/>
  <c r="L313" i="5"/>
  <c r="M66" i="5"/>
  <c r="M508" i="5"/>
  <c r="M46" i="5"/>
  <c r="K241" i="5"/>
  <c r="L178" i="5"/>
  <c r="M190" i="5"/>
  <c r="F64" i="69" s="1"/>
  <c r="M554" i="5"/>
  <c r="Z35" i="71" s="1"/>
  <c r="L172" i="5"/>
  <c r="K211" i="5"/>
  <c r="K132" i="5"/>
  <c r="M111" i="5"/>
  <c r="M71" i="5"/>
  <c r="M33" i="5"/>
  <c r="M463" i="5"/>
  <c r="X12" i="75" s="1"/>
  <c r="M727" i="5"/>
  <c r="M27" i="5"/>
  <c r="M624" i="5"/>
  <c r="M576" i="5"/>
  <c r="Z23" i="75" s="1"/>
  <c r="M561" i="5"/>
  <c r="M650" i="5"/>
  <c r="M489" i="5"/>
  <c r="X35" i="75" s="1"/>
  <c r="M359" i="5"/>
  <c r="T35" i="75" s="1"/>
  <c r="M49" i="5"/>
  <c r="M95" i="5"/>
  <c r="L214" i="5"/>
  <c r="M406" i="5"/>
  <c r="V17" i="75" s="1"/>
  <c r="K215" i="5"/>
  <c r="L194" i="5"/>
  <c r="L629" i="5"/>
  <c r="K633" i="5"/>
  <c r="K274" i="5"/>
  <c r="M403" i="5"/>
  <c r="K436" i="5"/>
  <c r="K207" i="5"/>
  <c r="K611" i="5"/>
  <c r="K245" i="5"/>
  <c r="M245" i="5" s="1"/>
  <c r="M610" i="5"/>
  <c r="AB24" i="75" s="1"/>
  <c r="M528" i="5"/>
  <c r="K251" i="5"/>
  <c r="K389" i="5"/>
  <c r="M470" i="5"/>
  <c r="M278" i="5"/>
  <c r="R17" i="75" s="1"/>
  <c r="M370" i="5"/>
  <c r="M583" i="5"/>
  <c r="L633" i="5"/>
  <c r="M603" i="5"/>
  <c r="AB18" i="71" s="1"/>
  <c r="L535" i="5"/>
  <c r="M104" i="5"/>
  <c r="L222" i="5"/>
  <c r="K305" i="5"/>
  <c r="M343" i="5"/>
  <c r="T20" i="75" s="1"/>
  <c r="M388" i="5"/>
  <c r="U32" i="71" s="1"/>
  <c r="L246" i="5"/>
  <c r="K287" i="5"/>
  <c r="M335" i="5"/>
  <c r="T12" i="75" s="1"/>
  <c r="K377" i="5"/>
  <c r="M521" i="5"/>
  <c r="Y35" i="71" s="1"/>
  <c r="M514" i="5"/>
  <c r="Y27" i="75" s="1"/>
  <c r="M728" i="5"/>
  <c r="M439" i="5"/>
  <c r="W19" i="75" s="1"/>
  <c r="K441" i="5"/>
  <c r="L540" i="5"/>
  <c r="M780" i="5"/>
  <c r="M409" i="5"/>
  <c r="V20" i="71" s="1"/>
  <c r="M320" i="5"/>
  <c r="S27" i="75" s="1"/>
  <c r="M598" i="5"/>
  <c r="M144" i="5"/>
  <c r="M149" i="5"/>
  <c r="M155" i="5"/>
  <c r="M74" i="5"/>
  <c r="M98" i="5"/>
  <c r="L37" i="68" s="1"/>
  <c r="L287" i="5"/>
  <c r="L336" i="5"/>
  <c r="L367" i="5"/>
  <c r="L226" i="5"/>
  <c r="K507" i="5"/>
  <c r="M776" i="5"/>
  <c r="M652" i="5"/>
  <c r="L224" i="5"/>
  <c r="M478" i="5"/>
  <c r="X25" i="71" s="1"/>
  <c r="M544" i="5"/>
  <c r="Z25" i="71" s="1"/>
  <c r="M771" i="5"/>
  <c r="M617" i="5"/>
  <c r="AB31" i="75" s="1"/>
  <c r="M649" i="5"/>
  <c r="K263" i="5"/>
  <c r="K349" i="5"/>
  <c r="M395" i="5"/>
  <c r="V9" i="71" s="1"/>
  <c r="K568" i="5"/>
  <c r="M494" i="5"/>
  <c r="Y11" i="75" s="1"/>
  <c r="L534" i="5"/>
  <c r="M392" i="5"/>
  <c r="U36" i="71" s="1"/>
  <c r="M73" i="5"/>
  <c r="M595" i="5"/>
  <c r="AB12" i="75" s="1"/>
  <c r="M725" i="5"/>
  <c r="L221" i="5"/>
  <c r="K497" i="5"/>
  <c r="L441" i="5"/>
  <c r="M180" i="5"/>
  <c r="F56" i="69" s="1"/>
  <c r="M654" i="5"/>
  <c r="M459" i="5"/>
  <c r="X9" i="71" s="1"/>
  <c r="M500" i="5"/>
  <c r="M608" i="5"/>
  <c r="AB23" i="71" s="1"/>
  <c r="L734" i="5"/>
  <c r="M518" i="5"/>
  <c r="Y31" i="75" s="1"/>
  <c r="L232" i="5"/>
  <c r="K410" i="5"/>
  <c r="M317" i="5"/>
  <c r="S24" i="75" s="1"/>
  <c r="M273" i="5"/>
  <c r="R12" i="75" s="1"/>
  <c r="L219" i="5"/>
  <c r="M130" i="5"/>
  <c r="F10" i="69" s="1"/>
  <c r="M41" i="5"/>
  <c r="L372" i="5"/>
  <c r="M351" i="5"/>
  <c r="T27" i="75" s="1"/>
  <c r="M328" i="5"/>
  <c r="S35" i="75" s="1"/>
  <c r="L308" i="5"/>
  <c r="M286" i="5"/>
  <c r="R24" i="75" s="1"/>
  <c r="M264" i="5"/>
  <c r="Q33" i="75" s="1"/>
  <c r="K172" i="5"/>
  <c r="M72" i="5"/>
  <c r="K404" i="5"/>
  <c r="M429" i="5"/>
  <c r="W10" i="75" s="1"/>
  <c r="M399" i="5"/>
  <c r="V12" i="71" s="1"/>
  <c r="M48" i="5"/>
  <c r="M62" i="5"/>
  <c r="M135" i="5"/>
  <c r="F15" i="69" s="1"/>
  <c r="M53" i="5"/>
  <c r="M107" i="5"/>
  <c r="M151" i="5"/>
  <c r="F31" i="69" s="1"/>
  <c r="K226" i="5"/>
  <c r="M90" i="5"/>
  <c r="M620" i="5"/>
  <c r="AB35" i="71" s="1"/>
  <c r="M635" i="5"/>
  <c r="M636" i="5"/>
  <c r="M551" i="5"/>
  <c r="Z32" i="71" s="1"/>
  <c r="M581" i="5"/>
  <c r="Z28" i="75" s="1"/>
  <c r="M643" i="5"/>
  <c r="M723" i="5"/>
  <c r="M609" i="5"/>
  <c r="AB23" i="75" s="1"/>
  <c r="L204" i="5"/>
  <c r="L469" i="5"/>
  <c r="M537" i="5"/>
  <c r="Z18" i="71" s="1"/>
  <c r="K433" i="5"/>
  <c r="M461" i="5"/>
  <c r="X11" i="75" s="1"/>
  <c r="M447" i="5"/>
  <c r="W26" i="75" s="1"/>
  <c r="L486" i="5"/>
  <c r="K578" i="5"/>
  <c r="M477" i="5"/>
  <c r="X23" i="75" s="1"/>
  <c r="M538" i="5"/>
  <c r="Z19" i="71" s="1"/>
  <c r="K585" i="5"/>
  <c r="M722" i="5"/>
  <c r="M398" i="5"/>
  <c r="L228" i="5"/>
  <c r="L207" i="5"/>
  <c r="M347" i="5"/>
  <c r="T23" i="75" s="1"/>
  <c r="L305" i="5"/>
  <c r="L282" i="5"/>
  <c r="M258" i="5"/>
  <c r="Q27" i="75" s="1"/>
  <c r="L132" i="5"/>
  <c r="M29" i="5"/>
  <c r="H24" i="68" s="1"/>
  <c r="M421" i="5"/>
  <c r="V31" i="75" s="1"/>
  <c r="K227" i="5"/>
  <c r="K204" i="5"/>
  <c r="M341" i="5"/>
  <c r="T18" i="75" s="1"/>
  <c r="M319" i="5"/>
  <c r="S26" i="75" s="1"/>
  <c r="M296" i="5"/>
  <c r="R34" i="75" s="1"/>
  <c r="M276" i="5"/>
  <c r="R15" i="75" s="1"/>
  <c r="M250" i="5"/>
  <c r="Q20" i="75" s="1"/>
  <c r="M391" i="5"/>
  <c r="U34" i="75" s="1"/>
  <c r="M34" i="5"/>
  <c r="M143" i="5"/>
  <c r="M106" i="5"/>
  <c r="M101" i="5"/>
  <c r="L158" i="5"/>
  <c r="L161" i="5" s="1"/>
  <c r="L163" i="5" s="1"/>
  <c r="L169" i="5" s="1"/>
  <c r="M147" i="5"/>
  <c r="F27" i="69" s="1"/>
  <c r="M145" i="5"/>
  <c r="M615" i="5"/>
  <c r="AB30" i="71" s="1"/>
  <c r="L545" i="5"/>
  <c r="M16" i="5"/>
  <c r="M45" i="5"/>
  <c r="M129" i="5"/>
  <c r="F9" i="69" s="1"/>
  <c r="L220" i="5"/>
  <c r="K563" i="5"/>
  <c r="M454" i="5"/>
  <c r="W33" i="75" s="1"/>
  <c r="M61" i="5"/>
  <c r="L241" i="5"/>
  <c r="K35" i="5"/>
  <c r="K64" i="5" s="1"/>
  <c r="M57" i="5"/>
  <c r="M475" i="5"/>
  <c r="X22" i="75" s="1"/>
  <c r="L464" i="5"/>
  <c r="M542" i="5"/>
  <c r="Z23" i="71" s="1"/>
  <c r="M488" i="5"/>
  <c r="X34" i="75" s="1"/>
  <c r="L644" i="5"/>
  <c r="K400" i="5"/>
  <c r="K372" i="5"/>
  <c r="K224" i="5"/>
  <c r="M775" i="5"/>
  <c r="K644" i="5"/>
  <c r="M621" i="5"/>
  <c r="AB36" i="71" s="1"/>
  <c r="M522" i="5"/>
  <c r="Y35" i="75" s="1"/>
  <c r="L108" i="5"/>
  <c r="M38" i="5"/>
  <c r="M78" i="5"/>
  <c r="L18" i="68" s="1"/>
  <c r="L274" i="5"/>
  <c r="M312" i="5"/>
  <c r="S20" i="75" s="1"/>
  <c r="L405" i="5"/>
  <c r="M467" i="5"/>
  <c r="K530" i="5"/>
  <c r="L468" i="5"/>
  <c r="M468" i="5" s="1"/>
  <c r="M604" i="5"/>
  <c r="AB19" i="75" s="1"/>
  <c r="M559" i="5"/>
  <c r="Z10" i="75" s="1"/>
  <c r="M146" i="5"/>
  <c r="F26" i="69" s="1"/>
  <c r="M316" i="5"/>
  <c r="S23" i="75" s="1"/>
  <c r="K336" i="5"/>
  <c r="M473" i="5"/>
  <c r="X20" i="75" s="1"/>
  <c r="M642" i="5"/>
  <c r="M17" i="5"/>
  <c r="L651" i="5"/>
  <c r="K501" i="5"/>
  <c r="M532" i="5"/>
  <c r="L233" i="5"/>
  <c r="K479" i="5"/>
  <c r="L519" i="5"/>
  <c r="K596" i="5"/>
  <c r="L596" i="5"/>
  <c r="M385" i="5"/>
  <c r="U28" i="75" s="1"/>
  <c r="M322" i="5"/>
  <c r="S29" i="75" s="1"/>
  <c r="M280" i="5"/>
  <c r="R19" i="75" s="1"/>
  <c r="M157" i="5"/>
  <c r="M43" i="5"/>
  <c r="D35" i="47" s="1"/>
  <c r="M417" i="5"/>
  <c r="V27" i="75" s="1"/>
  <c r="M381" i="5"/>
  <c r="U25" i="71" s="1"/>
  <c r="M270" i="5"/>
  <c r="R10" i="75" s="1"/>
  <c r="M239" i="5"/>
  <c r="K92" i="5"/>
  <c r="L573" i="5"/>
  <c r="L35" i="5"/>
  <c r="M28" i="5"/>
  <c r="M50" i="5"/>
  <c r="M515" i="5"/>
  <c r="Y29" i="71" s="1"/>
  <c r="M86" i="5"/>
  <c r="K225" i="5"/>
  <c r="M487" i="5"/>
  <c r="X34" i="71" s="1"/>
  <c r="L512" i="5"/>
  <c r="K232" i="5"/>
  <c r="K231" i="5"/>
  <c r="K233" i="5"/>
  <c r="L63" i="5"/>
  <c r="K205" i="5"/>
  <c r="M255" i="5"/>
  <c r="M259" i="5"/>
  <c r="Q29" i="71" s="1"/>
  <c r="L497" i="5"/>
  <c r="L211" i="5"/>
  <c r="K639" i="5"/>
  <c r="K545" i="5"/>
  <c r="K256" i="5"/>
  <c r="M289" i="5"/>
  <c r="R27" i="75" s="1"/>
  <c r="M300" i="5"/>
  <c r="S9" i="75" s="1"/>
  <c r="M352" i="5"/>
  <c r="T28" i="75" s="1"/>
  <c r="M413" i="5"/>
  <c r="V23" i="75" s="1"/>
  <c r="K573" i="5"/>
  <c r="L389" i="5"/>
  <c r="L216" i="5"/>
  <c r="L422" i="5"/>
  <c r="L415" i="5" s="1"/>
  <c r="M238" i="5"/>
  <c r="Q11" i="75" s="1"/>
  <c r="K734" i="5"/>
  <c r="K219" i="5"/>
  <c r="M607" i="5"/>
  <c r="AB22" i="71" s="1"/>
  <c r="L203" i="5"/>
  <c r="K228" i="5"/>
  <c r="L436" i="5"/>
  <c r="L563" i="5"/>
  <c r="M653" i="5"/>
  <c r="K464" i="5"/>
  <c r="L215" i="5"/>
  <c r="L634" i="5"/>
  <c r="K446" i="5"/>
  <c r="K282" i="5"/>
  <c r="M526" i="5"/>
  <c r="Z10" i="71" s="1"/>
  <c r="M295" i="5"/>
  <c r="R33" i="75" s="1"/>
  <c r="M269" i="5"/>
  <c r="R9" i="75" s="1"/>
  <c r="M303" i="5"/>
  <c r="M466" i="5"/>
  <c r="K158" i="5"/>
  <c r="K161" i="5" s="1"/>
  <c r="K163" i="5" s="1"/>
  <c r="K567" i="5" s="1"/>
  <c r="L127" i="5"/>
  <c r="M11" i="5"/>
  <c r="K108" i="5"/>
  <c r="M592" i="5"/>
  <c r="AB10" i="71" s="1"/>
  <c r="L92" i="5"/>
  <c r="K339" i="5"/>
  <c r="K313" i="5"/>
  <c r="K203" i="5"/>
  <c r="L251" i="5"/>
  <c r="L205" i="5"/>
  <c r="L349" i="5"/>
  <c r="M364" i="5"/>
  <c r="U11" i="75" s="1"/>
  <c r="M332" i="5"/>
  <c r="T10" i="75" s="1"/>
  <c r="L344" i="5"/>
  <c r="L382" i="5"/>
  <c r="M134" i="5"/>
  <c r="F14" i="69" s="1"/>
  <c r="L501" i="5"/>
  <c r="K382" i="5"/>
  <c r="M493" i="5"/>
  <c r="Y10" i="75" s="1"/>
  <c r="M309" i="5"/>
  <c r="S17" i="75" s="1"/>
  <c r="M363" i="5"/>
  <c r="K512" i="5"/>
  <c r="L639" i="5"/>
  <c r="K629" i="5"/>
  <c r="K220" i="5"/>
  <c r="K540" i="5"/>
  <c r="M378" i="5"/>
  <c r="U22" i="71" s="1"/>
  <c r="L227" i="5"/>
  <c r="L479" i="5"/>
  <c r="K178" i="5"/>
  <c r="K214" i="5"/>
  <c r="M591" i="5"/>
  <c r="AB9" i="71" s="1"/>
  <c r="K651" i="5"/>
  <c r="I693" i="5"/>
  <c r="S41" i="13"/>
  <c r="G703" i="5"/>
  <c r="I688" i="5"/>
  <c r="E38" i="70" s="1"/>
  <c r="G708" i="5"/>
  <c r="R41" i="13"/>
  <c r="P4" i="13" s="1"/>
  <c r="I664" i="5"/>
  <c r="E14" i="70" s="1"/>
  <c r="I665" i="5"/>
  <c r="E15" i="70" s="1"/>
  <c r="I669" i="5"/>
  <c r="E19" i="70" s="1"/>
  <c r="I706" i="5"/>
  <c r="I668" i="5"/>
  <c r="E18" i="70" s="1"/>
  <c r="I667" i="5"/>
  <c r="E17" i="70" s="1"/>
  <c r="I710" i="5"/>
  <c r="E41" i="74" s="1"/>
  <c r="I661" i="5"/>
  <c r="E11" i="70" s="1"/>
  <c r="I676" i="5"/>
  <c r="E26" i="70" s="1"/>
  <c r="I712" i="5"/>
  <c r="E43" i="74" s="1"/>
  <c r="G671" i="5"/>
  <c r="I685" i="5"/>
  <c r="H671" i="5"/>
  <c r="H682" i="5"/>
  <c r="I673" i="5"/>
  <c r="E23" i="70" s="1"/>
  <c r="H696" i="5"/>
  <c r="I663" i="5"/>
  <c r="E13" i="70" s="1"/>
  <c r="I694" i="5"/>
  <c r="E44" i="70" s="1"/>
  <c r="H708" i="5"/>
  <c r="I660" i="5"/>
  <c r="E10" i="70" s="1"/>
  <c r="H690" i="5"/>
  <c r="I674" i="5"/>
  <c r="E24" i="70" s="1"/>
  <c r="H703" i="5"/>
  <c r="I662" i="5"/>
  <c r="E12" i="70" s="1"/>
  <c r="I666" i="5"/>
  <c r="E16" i="70" s="1"/>
  <c r="I704" i="5"/>
  <c r="I687" i="5"/>
  <c r="I700" i="5"/>
  <c r="G682" i="5"/>
  <c r="G690" i="5"/>
  <c r="G696" i="5"/>
  <c r="I320" i="5"/>
  <c r="F28" i="71" s="1"/>
  <c r="I278" i="5"/>
  <c r="E17" i="71" s="1"/>
  <c r="H263" i="5"/>
  <c r="I57" i="5"/>
  <c r="I343" i="5"/>
  <c r="G20" i="75" s="1"/>
  <c r="I300" i="5"/>
  <c r="F9" i="75" s="1"/>
  <c r="I84" i="5"/>
  <c r="I51" i="5"/>
  <c r="I631" i="5"/>
  <c r="H486" i="5"/>
  <c r="I595" i="5"/>
  <c r="O12" i="75" s="1"/>
  <c r="I733" i="5"/>
  <c r="I599" i="5"/>
  <c r="I395" i="5"/>
  <c r="I9" i="75" s="1"/>
  <c r="I257" i="5"/>
  <c r="D27" i="71" s="1"/>
  <c r="I647" i="5"/>
  <c r="I48" i="5"/>
  <c r="I156" i="5"/>
  <c r="I562" i="5"/>
  <c r="N12" i="75" s="1"/>
  <c r="G468" i="5"/>
  <c r="I650" i="5"/>
  <c r="I443" i="5"/>
  <c r="J23" i="71" s="1"/>
  <c r="I725" i="5"/>
  <c r="I721" i="5"/>
  <c r="F77" i="48" s="1"/>
  <c r="I58" i="5"/>
  <c r="I495" i="5"/>
  <c r="I473" i="5"/>
  <c r="K20" i="75" s="1"/>
  <c r="I471" i="5"/>
  <c r="K18" i="71" s="1"/>
  <c r="I516" i="5"/>
  <c r="L30" i="71" s="1"/>
  <c r="I354" i="5"/>
  <c r="I269" i="5"/>
  <c r="E9" i="75" s="1"/>
  <c r="I45" i="5"/>
  <c r="I23" i="5"/>
  <c r="G19" i="68" s="1"/>
  <c r="I407" i="5"/>
  <c r="I18" i="71" s="1"/>
  <c r="I291" i="5"/>
  <c r="E29" i="75" s="1"/>
  <c r="I188" i="5"/>
  <c r="E62" i="69" s="1"/>
  <c r="I54" i="5"/>
  <c r="I484" i="5"/>
  <c r="I776" i="5"/>
  <c r="I327" i="5"/>
  <c r="F35" i="71" s="1"/>
  <c r="I398" i="5"/>
  <c r="I27" i="5"/>
  <c r="I123" i="5"/>
  <c r="I873" i="5" s="1"/>
  <c r="I33" i="5"/>
  <c r="I612" i="5"/>
  <c r="O26" i="75" s="1"/>
  <c r="I364" i="5"/>
  <c r="H11" i="71" s="1"/>
  <c r="I345" i="5"/>
  <c r="G22" i="75" s="1"/>
  <c r="I307" i="5"/>
  <c r="F15" i="75" s="1"/>
  <c r="I363" i="5"/>
  <c r="H10" i="75" s="1"/>
  <c r="I328" i="5"/>
  <c r="F36" i="71" s="1"/>
  <c r="I86" i="5"/>
  <c r="I428" i="5"/>
  <c r="J9" i="75" s="1"/>
  <c r="I549" i="5"/>
  <c r="M29" i="75" s="1"/>
  <c r="I626" i="5"/>
  <c r="I582" i="5"/>
  <c r="N30" i="71" s="1"/>
  <c r="I322" i="5"/>
  <c r="F29" i="75" s="1"/>
  <c r="H552" i="5"/>
  <c r="I646" i="5"/>
  <c r="I413" i="5"/>
  <c r="I23" i="75" s="1"/>
  <c r="I359" i="5"/>
  <c r="G35" i="75" s="1"/>
  <c r="I148" i="5"/>
  <c r="I338" i="5"/>
  <c r="G15" i="71" s="1"/>
  <c r="I293" i="5"/>
  <c r="E31" i="75" s="1"/>
  <c r="I239" i="5"/>
  <c r="I503" i="5"/>
  <c r="L17" i="75" s="1"/>
  <c r="I143" i="5"/>
  <c r="I602" i="5"/>
  <c r="O17" i="75" s="1"/>
  <c r="I67" i="5"/>
  <c r="K9" i="68" s="1"/>
  <c r="I551" i="5"/>
  <c r="M31" i="75" s="1"/>
  <c r="I588" i="5"/>
  <c r="N36" i="71" s="1"/>
  <c r="I478" i="5"/>
  <c r="K24" i="75" s="1"/>
  <c r="I424" i="5"/>
  <c r="I34" i="75" s="1"/>
  <c r="I120" i="5"/>
  <c r="I550" i="5"/>
  <c r="I472" i="5"/>
  <c r="K19" i="71" s="1"/>
  <c r="I70" i="5"/>
  <c r="I554" i="5"/>
  <c r="M35" i="71" s="1"/>
  <c r="H404" i="5"/>
  <c r="I315" i="5"/>
  <c r="F23" i="71" s="1"/>
  <c r="G356" i="5"/>
  <c r="I528" i="5"/>
  <c r="I399" i="5"/>
  <c r="I12" i="71" s="1"/>
  <c r="I375" i="5"/>
  <c r="H19" i="71" s="1"/>
  <c r="I569" i="5"/>
  <c r="N17" i="71" s="1"/>
  <c r="I402" i="5"/>
  <c r="I452" i="5"/>
  <c r="J31" i="75" s="1"/>
  <c r="I544" i="5"/>
  <c r="M25" i="71" s="1"/>
  <c r="I511" i="5"/>
  <c r="L24" i="75" s="1"/>
  <c r="I559" i="5"/>
  <c r="N10" i="71" s="1"/>
  <c r="I40" i="5"/>
  <c r="I190" i="5"/>
  <c r="E51" i="73" s="1"/>
  <c r="I189" i="5"/>
  <c r="E50" i="73" s="1"/>
  <c r="G453" i="5"/>
  <c r="I184" i="5"/>
  <c r="E57" i="69" s="1"/>
  <c r="I138" i="5"/>
  <c r="E18" i="69" s="1"/>
  <c r="I767" i="5"/>
  <c r="I768" i="5"/>
  <c r="I600" i="5"/>
  <c r="O15" i="71" s="1"/>
  <c r="I286" i="5"/>
  <c r="E24" i="75" s="1"/>
  <c r="I280" i="5"/>
  <c r="E19" i="75" s="1"/>
  <c r="I636" i="5"/>
  <c r="I483" i="5"/>
  <c r="K30" i="71" s="1"/>
  <c r="I432" i="5"/>
  <c r="J12" i="75" s="1"/>
  <c r="I625" i="5"/>
  <c r="I455" i="5"/>
  <c r="J34" i="75" s="1"/>
  <c r="I779" i="5"/>
  <c r="I583" i="5"/>
  <c r="I493" i="5"/>
  <c r="L10" i="71" s="1"/>
  <c r="I459" i="5"/>
  <c r="K9" i="75" s="1"/>
  <c r="G651" i="5"/>
  <c r="I25" i="5"/>
  <c r="I580" i="5"/>
  <c r="N27" i="75" s="1"/>
  <c r="I653" i="5"/>
  <c r="I616" i="5"/>
  <c r="H422" i="5"/>
  <c r="H415" i="5" s="1"/>
  <c r="I37" i="5"/>
  <c r="G33" i="68" s="1"/>
  <c r="K2347" i="18"/>
  <c r="L2347" i="18" s="1"/>
  <c r="K1469" i="18"/>
  <c r="K4584" i="18"/>
  <c r="L4584" i="18" s="1"/>
  <c r="K4542" i="18"/>
  <c r="L4542" i="18" s="1"/>
  <c r="K4138" i="18"/>
  <c r="L4138" i="18" s="1"/>
  <c r="N1860" i="18"/>
  <c r="N1034" i="18"/>
  <c r="L2827" i="18"/>
  <c r="N2225" i="18"/>
  <c r="K2463" i="18"/>
  <c r="J2425" i="18"/>
  <c r="J2427" i="18" s="1"/>
  <c r="J2428" i="18" s="1"/>
  <c r="K2429" i="18" s="1"/>
  <c r="L2429" i="18" s="1"/>
  <c r="L2289" i="18"/>
  <c r="L2290" i="18" s="1"/>
  <c r="K2291" i="18" s="1"/>
  <c r="L2291" i="18" s="1"/>
  <c r="K3683" i="18"/>
  <c r="L3683" i="18" s="1"/>
  <c r="J1037" i="18"/>
  <c r="J1039" i="18" s="1"/>
  <c r="J1040" i="18" s="1"/>
  <c r="H1008" i="18"/>
  <c r="H1009" i="18" s="1"/>
  <c r="H1010" i="18" s="1"/>
  <c r="K599" i="18"/>
  <c r="L599" i="18" s="1"/>
  <c r="K271" i="18"/>
  <c r="L271" i="18" s="1"/>
  <c r="I529" i="5"/>
  <c r="M12" i="75" s="1"/>
  <c r="L188" i="18"/>
  <c r="L189" i="18" s="1"/>
  <c r="K190" i="18" s="1"/>
  <c r="L190" i="18" s="1"/>
  <c r="Q1428" i="18"/>
  <c r="Q1387" i="18"/>
  <c r="Q1365" i="18"/>
  <c r="I510" i="5"/>
  <c r="L23" i="75" s="1"/>
  <c r="I285" i="5"/>
  <c r="E23" i="75" s="1"/>
  <c r="I480" i="5"/>
  <c r="K27" i="71" s="1"/>
  <c r="D34" i="47"/>
  <c r="I317" i="5"/>
  <c r="F25" i="71" s="1"/>
  <c r="I276" i="5"/>
  <c r="E15" i="75" s="1"/>
  <c r="I615" i="5"/>
  <c r="O29" i="75" s="1"/>
  <c r="I154" i="5"/>
  <c r="I420" i="5"/>
  <c r="I617" i="5"/>
  <c r="O32" i="71" s="1"/>
  <c r="H618" i="5"/>
  <c r="I136" i="5"/>
  <c r="E16" i="69" s="1"/>
  <c r="I173" i="5"/>
  <c r="E48" i="69" s="1"/>
  <c r="H29" i="72"/>
  <c r="N2201" i="18"/>
  <c r="O2391" i="18" s="1"/>
  <c r="I303" i="5"/>
  <c r="I238" i="5"/>
  <c r="D11" i="71" s="1"/>
  <c r="G325" i="5"/>
  <c r="I445" i="5"/>
  <c r="J24" i="75" s="1"/>
  <c r="D34" i="51"/>
  <c r="I34" i="51" s="1"/>
  <c r="J34" i="51" s="1"/>
  <c r="I652" i="5"/>
  <c r="H245" i="5"/>
  <c r="I21" i="5"/>
  <c r="I185" i="5"/>
  <c r="E59" i="69" s="1"/>
  <c r="I24" i="5"/>
  <c r="G20" i="68" s="1"/>
  <c r="I243" i="5"/>
  <c r="I107" i="5"/>
  <c r="I771" i="5"/>
  <c r="I380" i="5"/>
  <c r="H24" i="71" s="1"/>
  <c r="I641" i="5"/>
  <c r="I378" i="5"/>
  <c r="H22" i="75" s="1"/>
  <c r="I466" i="5"/>
  <c r="I640" i="5"/>
  <c r="H339" i="5"/>
  <c r="I324" i="5"/>
  <c r="F31" i="75" s="1"/>
  <c r="I419" i="5"/>
  <c r="I30" i="71" s="1"/>
  <c r="I781" i="5"/>
  <c r="I643" i="5"/>
  <c r="I613" i="5"/>
  <c r="O27" i="75" s="1"/>
  <c r="I610" i="5"/>
  <c r="O24" i="75" s="1"/>
  <c r="H633" i="5"/>
  <c r="I133" i="5"/>
  <c r="I517" i="5"/>
  <c r="I106" i="5"/>
  <c r="F11" i="74"/>
  <c r="I476" i="5"/>
  <c r="K23" i="71" s="1"/>
  <c r="I772" i="5"/>
  <c r="I187" i="5"/>
  <c r="E61" i="69" s="1"/>
  <c r="I730" i="5"/>
  <c r="I335" i="5"/>
  <c r="G12" i="71" s="1"/>
  <c r="I312" i="5"/>
  <c r="F20" i="75" s="1"/>
  <c r="I258" i="5"/>
  <c r="D28" i="71" s="1"/>
  <c r="I417" i="5"/>
  <c r="I27" i="75" s="1"/>
  <c r="I302" i="5"/>
  <c r="F11" i="71" s="1"/>
  <c r="I598" i="5"/>
  <c r="I431" i="5"/>
  <c r="I442" i="5"/>
  <c r="J22" i="75" s="1"/>
  <c r="I15" i="5"/>
  <c r="I146" i="5"/>
  <c r="E26" i="69" s="1"/>
  <c r="I273" i="5"/>
  <c r="E12" i="75" s="1"/>
  <c r="I259" i="5"/>
  <c r="D29" i="71" s="1"/>
  <c r="I319" i="5"/>
  <c r="F27" i="71" s="1"/>
  <c r="I264" i="5"/>
  <c r="D34" i="71" s="1"/>
  <c r="I522" i="5"/>
  <c r="L36" i="71" s="1"/>
  <c r="I81" i="5"/>
  <c r="I525" i="5"/>
  <c r="M9" i="71" s="1"/>
  <c r="I373" i="5"/>
  <c r="H17" i="75" s="1"/>
  <c r="I391" i="5"/>
  <c r="H34" i="75" s="1"/>
  <c r="I719" i="5"/>
  <c r="I766" i="5"/>
  <c r="G534" i="5"/>
  <c r="I416" i="5"/>
  <c r="I27" i="71" s="1"/>
  <c r="I255" i="5"/>
  <c r="D24" i="75" s="1"/>
  <c r="I26" i="5"/>
  <c r="I49" i="5"/>
  <c r="I59" i="5"/>
  <c r="I249" i="5"/>
  <c r="D19" i="71" s="1"/>
  <c r="I66" i="5"/>
  <c r="I41" i="5"/>
  <c r="I418" i="5"/>
  <c r="I28" i="75" s="1"/>
  <c r="I295" i="5"/>
  <c r="E33" i="75" s="1"/>
  <c r="I351" i="5"/>
  <c r="G28" i="71" s="1"/>
  <c r="G294" i="5"/>
  <c r="I429" i="5"/>
  <c r="J10" i="75" s="1"/>
  <c r="I347" i="5"/>
  <c r="G24" i="71" s="1"/>
  <c r="I135" i="5"/>
  <c r="E15" i="69" s="1"/>
  <c r="G578" i="5"/>
  <c r="I462" i="5"/>
  <c r="I560" i="5"/>
  <c r="N11" i="71" s="1"/>
  <c r="I605" i="5"/>
  <c r="O20" i="71" s="1"/>
  <c r="G404" i="5"/>
  <c r="I134" i="5"/>
  <c r="E14" i="69" s="1"/>
  <c r="I174" i="5"/>
  <c r="E49" i="69" s="1"/>
  <c r="I95" i="5"/>
  <c r="I621" i="5"/>
  <c r="O35" i="75" s="1"/>
  <c r="I536" i="5"/>
  <c r="M17" i="75" s="1"/>
  <c r="I88" i="5"/>
  <c r="K27" i="68" s="1"/>
  <c r="I642" i="5"/>
  <c r="I408" i="5"/>
  <c r="I19" i="75" s="1"/>
  <c r="I301" i="5"/>
  <c r="F10" i="75" s="1"/>
  <c r="I290" i="5"/>
  <c r="E29" i="71" s="1"/>
  <c r="G371" i="5"/>
  <c r="I17" i="5"/>
  <c r="I396" i="5"/>
  <c r="I10" i="75" s="1"/>
  <c r="I152" i="5"/>
  <c r="E32" i="69" s="1"/>
  <c r="I543" i="5"/>
  <c r="M23" i="75" s="1"/>
  <c r="I333" i="5"/>
  <c r="G11" i="71" s="1"/>
  <c r="G389" i="5"/>
  <c r="I314" i="5"/>
  <c r="F22" i="75" s="1"/>
  <c r="I112" i="5"/>
  <c r="I584" i="5"/>
  <c r="N31" i="75" s="1"/>
  <c r="I423" i="5"/>
  <c r="I411" i="5"/>
  <c r="I22" i="75" s="1"/>
  <c r="I576" i="5"/>
  <c r="N24" i="71" s="1"/>
  <c r="I100" i="5"/>
  <c r="I52" i="5"/>
  <c r="I179" i="5"/>
  <c r="E41" i="73" s="1"/>
  <c r="I115" i="5"/>
  <c r="I34" i="5"/>
  <c r="I387" i="5"/>
  <c r="G519" i="5"/>
  <c r="I340" i="5"/>
  <c r="G17" i="75" s="1"/>
  <c r="I539" i="5"/>
  <c r="M20" i="71" s="1"/>
  <c r="I609" i="5"/>
  <c r="O23" i="75" s="1"/>
  <c r="I321" i="5"/>
  <c r="F29" i="71" s="1"/>
  <c r="I150" i="5"/>
  <c r="E30" i="69" s="1"/>
  <c r="I592" i="5"/>
  <c r="O10" i="75" s="1"/>
  <c r="I236" i="5"/>
  <c r="D9" i="71" s="1"/>
  <c r="I114" i="5"/>
  <c r="I841" i="5" s="1"/>
  <c r="H639" i="5"/>
  <c r="I421" i="5"/>
  <c r="I32" i="71" s="1"/>
  <c r="I561" i="5"/>
  <c r="I71" i="5"/>
  <c r="I74" i="5"/>
  <c r="I297" i="5"/>
  <c r="E35" i="75" s="1"/>
  <c r="I253" i="5"/>
  <c r="D23" i="71" s="1"/>
  <c r="I722" i="5"/>
  <c r="I579" i="5"/>
  <c r="N27" i="71" s="1"/>
  <c r="I68" i="5"/>
  <c r="K10" i="68" s="1"/>
  <c r="F35" i="74"/>
  <c r="F39" i="74"/>
  <c r="F46" i="70"/>
  <c r="I98" i="5"/>
  <c r="K37" i="68" s="1"/>
  <c r="I130" i="5"/>
  <c r="E10" i="69" s="1"/>
  <c r="I353" i="5"/>
  <c r="G29" i="75" s="1"/>
  <c r="I311" i="5"/>
  <c r="F19" i="71" s="1"/>
  <c r="I266" i="5"/>
  <c r="D36" i="71" s="1"/>
  <c r="I548" i="5"/>
  <c r="M28" i="75" s="1"/>
  <c r="I11" i="5"/>
  <c r="I451" i="5"/>
  <c r="I103" i="5"/>
  <c r="I240" i="5"/>
  <c r="D12" i="71" s="1"/>
  <c r="I183" i="5"/>
  <c r="E42" i="73" s="1"/>
  <c r="I348" i="5"/>
  <c r="G24" i="75" s="1"/>
  <c r="F40" i="70"/>
  <c r="F56" i="70"/>
  <c r="I261" i="5"/>
  <c r="I155" i="5"/>
  <c r="I780" i="5"/>
  <c r="I29" i="5"/>
  <c r="G24" i="68" s="1"/>
  <c r="G441" i="5"/>
  <c r="F32" i="70"/>
  <c r="I39" i="5"/>
  <c r="I409" i="5"/>
  <c r="I20" i="75" s="1"/>
  <c r="I304" i="5"/>
  <c r="F12" i="75" s="1"/>
  <c r="I119" i="5"/>
  <c r="I87" i="5"/>
  <c r="K26" i="68" s="1"/>
  <c r="I718" i="5"/>
  <c r="F72" i="48" s="1"/>
  <c r="I482" i="5"/>
  <c r="K28" i="75" s="1"/>
  <c r="I175" i="5"/>
  <c r="E37" i="73" s="1"/>
  <c r="I76" i="5"/>
  <c r="I160" i="5"/>
  <c r="I262" i="5"/>
  <c r="D32" i="71" s="1"/>
  <c r="I425" i="5"/>
  <c r="I35" i="75" s="1"/>
  <c r="I30" i="5"/>
  <c r="I94" i="5"/>
  <c r="K33" i="68" s="1"/>
  <c r="I541" i="5"/>
  <c r="M22" i="75" s="1"/>
  <c r="I140" i="5"/>
  <c r="E20" i="69" s="1"/>
  <c r="I91" i="5"/>
  <c r="H540" i="5"/>
  <c r="F21" i="70"/>
  <c r="I310" i="5"/>
  <c r="F18" i="71" s="1"/>
  <c r="I141" i="5"/>
  <c r="I16" i="5"/>
  <c r="G377" i="5"/>
  <c r="I332" i="5"/>
  <c r="G10" i="75" s="1"/>
  <c r="I289" i="5"/>
  <c r="E27" i="75" s="1"/>
  <c r="I555" i="5"/>
  <c r="M35" i="75" s="1"/>
  <c r="H468" i="5"/>
  <c r="I437" i="5"/>
  <c r="J17" i="71" s="1"/>
  <c r="I456" i="5"/>
  <c r="J35" i="75" s="1"/>
  <c r="H479" i="5"/>
  <c r="I430" i="5"/>
  <c r="J11" i="75" s="1"/>
  <c r="I352" i="5"/>
  <c r="G28" i="75" s="1"/>
  <c r="I533" i="5"/>
  <c r="H585" i="5"/>
  <c r="G639" i="5"/>
  <c r="I326" i="5"/>
  <c r="F33" i="75" s="1"/>
  <c r="I648" i="5"/>
  <c r="G507" i="5"/>
  <c r="I331" i="5"/>
  <c r="G9" i="75" s="1"/>
  <c r="I412" i="5"/>
  <c r="I23" i="71" s="1"/>
  <c r="I129" i="5"/>
  <c r="E9" i="69" s="1"/>
  <c r="G194" i="5"/>
  <c r="I447" i="5"/>
  <c r="J27" i="71" s="1"/>
  <c r="G535" i="5"/>
  <c r="I593" i="5"/>
  <c r="O11" i="71" s="1"/>
  <c r="I168" i="5"/>
  <c r="I792" i="5" s="1"/>
  <c r="I47" i="5"/>
  <c r="I53" i="5"/>
  <c r="I104" i="5"/>
  <c r="I97" i="5"/>
  <c r="K27" i="72" s="1"/>
  <c r="I80" i="5"/>
  <c r="K20" i="68" s="1"/>
  <c r="I131" i="5"/>
  <c r="E11" i="69" s="1"/>
  <c r="I724" i="5"/>
  <c r="I139" i="5"/>
  <c r="E19" i="69" s="1"/>
  <c r="I461" i="5"/>
  <c r="K11" i="75" s="1"/>
  <c r="I608" i="5"/>
  <c r="O23" i="71" s="1"/>
  <c r="I358" i="5"/>
  <c r="G34" i="75" s="1"/>
  <c r="I581" i="5"/>
  <c r="N29" i="71" s="1"/>
  <c r="F52" i="70"/>
  <c r="F16" i="74"/>
  <c r="I765" i="5"/>
  <c r="I619" i="5"/>
  <c r="O33" i="75" s="1"/>
  <c r="I460" i="5"/>
  <c r="K10" i="71" s="1"/>
  <c r="H371" i="5"/>
  <c r="I118" i="5"/>
  <c r="I13" i="5"/>
  <c r="G10" i="68" s="1"/>
  <c r="I279" i="5"/>
  <c r="E18" i="75" s="1"/>
  <c r="I470" i="5"/>
  <c r="I406" i="5"/>
  <c r="I17" i="75" s="1"/>
  <c r="I542" i="5"/>
  <c r="M23" i="71" s="1"/>
  <c r="I729" i="5"/>
  <c r="I448" i="5"/>
  <c r="J28" i="71" s="1"/>
  <c r="I157" i="5"/>
  <c r="I22" i="5"/>
  <c r="G18" i="68" s="1"/>
  <c r="I281" i="5"/>
  <c r="E20" i="71" s="1"/>
  <c r="I60" i="5"/>
  <c r="I82" i="5"/>
  <c r="I594" i="5"/>
  <c r="I14" i="5"/>
  <c r="I62" i="5"/>
  <c r="I101" i="5"/>
  <c r="F791" i="5"/>
  <c r="F805" i="5"/>
  <c r="F821" i="5"/>
  <c r="F790" i="5"/>
  <c r="G606" i="5"/>
  <c r="H127" i="5"/>
  <c r="I19" i="5"/>
  <c r="I270" i="5"/>
  <c r="E10" i="75" s="1"/>
  <c r="I587" i="5"/>
  <c r="N35" i="71" s="1"/>
  <c r="I777" i="5"/>
  <c r="I635" i="5"/>
  <c r="H356" i="5"/>
  <c r="I116" i="5"/>
  <c r="I78" i="5"/>
  <c r="K18" i="68" s="1"/>
  <c r="I181" i="5"/>
  <c r="E58" i="69" s="1"/>
  <c r="I439" i="5"/>
  <c r="J19" i="71" s="1"/>
  <c r="I46" i="5"/>
  <c r="F24" i="74"/>
  <c r="F29" i="74"/>
  <c r="J791" i="5"/>
  <c r="J793" i="5" s="1"/>
  <c r="J794" i="5" s="1"/>
  <c r="J805" i="5"/>
  <c r="I247" i="5"/>
  <c r="D17" i="71" s="1"/>
  <c r="I316" i="5"/>
  <c r="F23" i="75" s="1"/>
  <c r="I272" i="5"/>
  <c r="I720" i="5"/>
  <c r="I182" i="5"/>
  <c r="I142" i="5"/>
  <c r="I362" i="5"/>
  <c r="H9" i="75" s="1"/>
  <c r="I32" i="5"/>
  <c r="I577" i="5"/>
  <c r="N25" i="71" s="1"/>
  <c r="I85" i="5"/>
  <c r="I69" i="5"/>
  <c r="I42" i="5"/>
  <c r="H497" i="5"/>
  <c r="H501" i="5"/>
  <c r="I654" i="5"/>
  <c r="I774" i="5"/>
  <c r="I176" i="5"/>
  <c r="E51" i="69" s="1"/>
  <c r="I570" i="5"/>
  <c r="N18" i="71" s="1"/>
  <c r="I111" i="5"/>
  <c r="I515" i="5"/>
  <c r="L28" i="75" s="1"/>
  <c r="I778" i="5"/>
  <c r="I102" i="5"/>
  <c r="G313" i="5"/>
  <c r="G618" i="5"/>
  <c r="H534" i="5"/>
  <c r="H325" i="5"/>
  <c r="I73" i="5"/>
  <c r="G344" i="5"/>
  <c r="G274" i="5"/>
  <c r="G422" i="5"/>
  <c r="G415" i="5" s="1"/>
  <c r="I177" i="5"/>
  <c r="E52" i="69" s="1"/>
  <c r="I728" i="5"/>
  <c r="G339" i="5"/>
  <c r="G308" i="5"/>
  <c r="I244" i="5"/>
  <c r="G563" i="5"/>
  <c r="I614" i="5"/>
  <c r="O29" i="71" s="1"/>
  <c r="I438" i="5"/>
  <c r="J18" i="71" s="1"/>
  <c r="I151" i="5"/>
  <c r="E19" i="73" s="1"/>
  <c r="I75" i="5"/>
  <c r="F858" i="5"/>
  <c r="F859" i="5" s="1"/>
  <c r="F860" i="5" s="1"/>
  <c r="F866" i="5"/>
  <c r="F867" i="5" s="1"/>
  <c r="F868" i="5" s="1"/>
  <c r="J866" i="5"/>
  <c r="J867" i="5" s="1"/>
  <c r="J868" i="5" s="1"/>
  <c r="F842" i="5"/>
  <c r="F843" i="5" s="1"/>
  <c r="F844" i="5" s="1"/>
  <c r="F838" i="5"/>
  <c r="F839" i="5" s="1"/>
  <c r="F840" i="5" s="1"/>
  <c r="F862" i="5"/>
  <c r="F863" i="5" s="1"/>
  <c r="F864" i="5" s="1"/>
  <c r="J874" i="5"/>
  <c r="J875" i="5" s="1"/>
  <c r="J876" i="5" s="1"/>
  <c r="G158" i="5"/>
  <c r="G161" i="5" s="1"/>
  <c r="I509" i="5"/>
  <c r="L23" i="71" s="1"/>
  <c r="I370" i="5"/>
  <c r="G633" i="5"/>
  <c r="I454" i="5"/>
  <c r="J34" i="71" s="1"/>
  <c r="G568" i="5"/>
  <c r="I773" i="5"/>
  <c r="I504" i="5"/>
  <c r="L18" i="71" s="1"/>
  <c r="H519" i="5"/>
  <c r="I260" i="5"/>
  <c r="D29" i="75" s="1"/>
  <c r="I770" i="5"/>
  <c r="J846" i="5"/>
  <c r="J847" i="5" s="1"/>
  <c r="J848" i="5" s="1"/>
  <c r="J858" i="5"/>
  <c r="J859" i="5" s="1"/>
  <c r="J860" i="5" s="1"/>
  <c r="F834" i="5"/>
  <c r="F835" i="5" s="1"/>
  <c r="F836" i="5" s="1"/>
  <c r="F846" i="5"/>
  <c r="F847" i="5" s="1"/>
  <c r="F848" i="5" s="1"/>
  <c r="J834" i="5"/>
  <c r="J835" i="5" s="1"/>
  <c r="J836" i="5" s="1"/>
  <c r="J862" i="5"/>
  <c r="J863" i="5" s="1"/>
  <c r="J864" i="5" s="1"/>
  <c r="F874" i="5"/>
  <c r="F875" i="5" s="1"/>
  <c r="F876" i="5" s="1"/>
  <c r="L42" i="72"/>
  <c r="M845" i="5"/>
  <c r="L43" i="72"/>
  <c r="M849" i="5"/>
  <c r="H294" i="5"/>
  <c r="J842" i="5"/>
  <c r="J843" i="5" s="1"/>
  <c r="J844" i="5" s="1"/>
  <c r="J838" i="5"/>
  <c r="J839" i="5" s="1"/>
  <c r="J840" i="5" s="1"/>
  <c r="I369" i="5"/>
  <c r="I553" i="5"/>
  <c r="G178" i="5"/>
  <c r="H228" i="5"/>
  <c r="H282" i="5"/>
  <c r="H274" i="5"/>
  <c r="G246" i="5"/>
  <c r="G372" i="5"/>
  <c r="G644" i="5"/>
  <c r="I128" i="5"/>
  <c r="H35" i="5"/>
  <c r="I731" i="5"/>
  <c r="I12" i="5"/>
  <c r="G9" i="68" s="1"/>
  <c r="H446" i="5"/>
  <c r="I537" i="5"/>
  <c r="I518" i="5"/>
  <c r="L31" i="75" s="1"/>
  <c r="H349" i="5"/>
  <c r="H277" i="5"/>
  <c r="I603" i="5"/>
  <c r="O18" i="71" s="1"/>
  <c r="I481" i="5"/>
  <c r="H400" i="5"/>
  <c r="I477" i="5"/>
  <c r="K23" i="75" s="1"/>
  <c r="I726" i="5"/>
  <c r="I79" i="5"/>
  <c r="K19" i="68" s="1"/>
  <c r="G530" i="5"/>
  <c r="H596" i="5"/>
  <c r="G263" i="5"/>
  <c r="H241" i="5"/>
  <c r="G601" i="5"/>
  <c r="H172" i="5"/>
  <c r="G611" i="5"/>
  <c r="G232" i="5"/>
  <c r="I392" i="5"/>
  <c r="H35" i="75" s="1"/>
  <c r="I89" i="5"/>
  <c r="G224" i="5"/>
  <c r="I521" i="5"/>
  <c r="L34" i="75" s="1"/>
  <c r="H611" i="5"/>
  <c r="I296" i="5"/>
  <c r="E34" i="75" s="1"/>
  <c r="I191" i="5"/>
  <c r="Q4400" i="18" s="1"/>
  <c r="R4400" i="18" s="1"/>
  <c r="I586" i="5"/>
  <c r="H545" i="5"/>
  <c r="G219" i="5"/>
  <c r="I376" i="5"/>
  <c r="H20" i="75" s="1"/>
  <c r="G233" i="5"/>
  <c r="I55" i="5"/>
  <c r="H178" i="5"/>
  <c r="I520" i="5"/>
  <c r="L33" i="75" s="1"/>
  <c r="H232" i="5"/>
  <c r="G629" i="5"/>
  <c r="G596" i="5"/>
  <c r="I499" i="5"/>
  <c r="H220" i="5"/>
  <c r="I105" i="5"/>
  <c r="I463" i="5"/>
  <c r="K12" i="75" s="1"/>
  <c r="I496" i="5"/>
  <c r="L12" i="75" s="1"/>
  <c r="I292" i="5"/>
  <c r="I341" i="5"/>
  <c r="G18" i="75" s="1"/>
  <c r="I248" i="5"/>
  <c r="D18" i="75" s="1"/>
  <c r="I342" i="5"/>
  <c r="G19" i="75" s="1"/>
  <c r="H651" i="5"/>
  <c r="I449" i="5"/>
  <c r="J28" i="75" s="1"/>
  <c r="I374" i="5"/>
  <c r="H18" i="71" s="1"/>
  <c r="I283" i="5"/>
  <c r="E22" i="75" s="1"/>
  <c r="H313" i="5"/>
  <c r="I403" i="5"/>
  <c r="I309" i="5"/>
  <c r="I186" i="5"/>
  <c r="E60" i="69" s="1"/>
  <c r="I624" i="5"/>
  <c r="I488" i="5"/>
  <c r="K35" i="71" s="1"/>
  <c r="H246" i="5"/>
  <c r="I467" i="5"/>
  <c r="I180" i="5"/>
  <c r="E56" i="69" s="1"/>
  <c r="I513" i="5"/>
  <c r="L27" i="71" s="1"/>
  <c r="I607" i="5"/>
  <c r="O22" i="71" s="1"/>
  <c r="H568" i="5"/>
  <c r="H436" i="5"/>
  <c r="I440" i="5"/>
  <c r="J20" i="71" s="1"/>
  <c r="H217" i="5"/>
  <c r="H336" i="5"/>
  <c r="H318" i="5"/>
  <c r="H287" i="5"/>
  <c r="G204" i="5"/>
  <c r="I38" i="5"/>
  <c r="H132" i="5"/>
  <c r="I159" i="5"/>
  <c r="G127" i="5"/>
  <c r="G410" i="5"/>
  <c r="G382" i="5"/>
  <c r="G220" i="5"/>
  <c r="G367" i="5"/>
  <c r="G349" i="5"/>
  <c r="G336" i="5"/>
  <c r="G318" i="5"/>
  <c r="G305" i="5"/>
  <c r="G221" i="5"/>
  <c r="G217" i="5"/>
  <c r="H233" i="5"/>
  <c r="G211" i="5"/>
  <c r="I769" i="5"/>
  <c r="H563" i="5"/>
  <c r="H224" i="5"/>
  <c r="G634" i="5"/>
  <c r="G446" i="5"/>
  <c r="H207" i="5"/>
  <c r="H344" i="5"/>
  <c r="I571" i="5"/>
  <c r="N19" i="75" s="1"/>
  <c r="G225" i="5"/>
  <c r="H573" i="5"/>
  <c r="H530" i="5"/>
  <c r="H601" i="5"/>
  <c r="G400" i="5"/>
  <c r="H204" i="5"/>
  <c r="G35" i="5"/>
  <c r="I77" i="5"/>
  <c r="K17" i="68" s="1"/>
  <c r="I28" i="5"/>
  <c r="I31" i="5"/>
  <c r="H222" i="5"/>
  <c r="H227" i="5"/>
  <c r="H231" i="5"/>
  <c r="I475" i="5"/>
  <c r="K22" i="71" s="1"/>
  <c r="I113" i="5"/>
  <c r="I649" i="5"/>
  <c r="I627" i="5"/>
  <c r="I575" i="5"/>
  <c r="N23" i="71" s="1"/>
  <c r="I83" i="5"/>
  <c r="G497" i="5"/>
  <c r="I732" i="5"/>
  <c r="H535" i="5"/>
  <c r="G486" i="5"/>
  <c r="I357" i="5"/>
  <c r="G34" i="71" s="1"/>
  <c r="I271" i="5"/>
  <c r="E11" i="75" s="1"/>
  <c r="G245" i="5"/>
  <c r="H194" i="5"/>
  <c r="G108" i="5"/>
  <c r="H410" i="5"/>
  <c r="I252" i="5"/>
  <c r="D22" i="71" s="1"/>
  <c r="G277" i="5"/>
  <c r="H205" i="5"/>
  <c r="G207" i="5"/>
  <c r="G464" i="5"/>
  <c r="I638" i="5"/>
  <c r="G512" i="5"/>
  <c r="H216" i="5"/>
  <c r="G256" i="5"/>
  <c r="I20" i="5"/>
  <c r="G282" i="5"/>
  <c r="G227" i="5"/>
  <c r="G206" i="5"/>
  <c r="H502" i="5"/>
  <c r="I44" i="5"/>
  <c r="G132" i="5"/>
  <c r="H221" i="5"/>
  <c r="I505" i="5"/>
  <c r="L19" i="75" s="1"/>
  <c r="I645" i="5"/>
  <c r="I723" i="5"/>
  <c r="G203" i="5"/>
  <c r="H629" i="5"/>
  <c r="H464" i="5"/>
  <c r="H606" i="5"/>
  <c r="G474" i="5"/>
  <c r="G436" i="5"/>
  <c r="H512" i="5"/>
  <c r="I145" i="5"/>
  <c r="I43" i="5"/>
  <c r="F35" i="47" s="1"/>
  <c r="G172" i="5"/>
  <c r="H382" i="5"/>
  <c r="H372" i="5"/>
  <c r="H92" i="5"/>
  <c r="H507" i="5"/>
  <c r="I56" i="5"/>
  <c r="G214" i="5"/>
  <c r="I144" i="5"/>
  <c r="I147" i="5"/>
  <c r="E27" i="69" s="1"/>
  <c r="G241" i="5"/>
  <c r="H256" i="5"/>
  <c r="I323" i="5"/>
  <c r="I355" i="5"/>
  <c r="G32" i="71" s="1"/>
  <c r="H229" i="5"/>
  <c r="I506" i="5"/>
  <c r="L20" i="75" s="1"/>
  <c r="H441" i="5"/>
  <c r="G545" i="5"/>
  <c r="G229" i="5"/>
  <c r="G215" i="5"/>
  <c r="H215" i="5"/>
  <c r="H211" i="5"/>
  <c r="H433" i="5"/>
  <c r="H578" i="5"/>
  <c r="H214" i="5"/>
  <c r="G228" i="5"/>
  <c r="G216" i="5"/>
  <c r="H203" i="5"/>
  <c r="I265" i="5"/>
  <c r="H251" i="5"/>
  <c r="I547" i="5"/>
  <c r="I288" i="5"/>
  <c r="E27" i="71" s="1"/>
  <c r="I334" i="5"/>
  <c r="I346" i="5"/>
  <c r="G23" i="71" s="1"/>
  <c r="I414" i="5"/>
  <c r="I24" i="75" s="1"/>
  <c r="I397" i="5"/>
  <c r="I11" i="75" s="1"/>
  <c r="I526" i="5"/>
  <c r="I494" i="5"/>
  <c r="L11" i="75" s="1"/>
  <c r="G92" i="5"/>
  <c r="G222" i="5"/>
  <c r="H225" i="5"/>
  <c r="H405" i="5"/>
  <c r="G734" i="5"/>
  <c r="G433" i="5"/>
  <c r="G540" i="5"/>
  <c r="H734" i="5"/>
  <c r="H226" i="5"/>
  <c r="H305" i="5"/>
  <c r="H367" i="5"/>
  <c r="I237" i="5"/>
  <c r="D10" i="75" s="1"/>
  <c r="G502" i="5"/>
  <c r="I379" i="5"/>
  <c r="H23" i="71" s="1"/>
  <c r="H377" i="5"/>
  <c r="G573" i="5"/>
  <c r="G226" i="5"/>
  <c r="I604" i="5"/>
  <c r="O19" i="75" s="1"/>
  <c r="G469" i="5"/>
  <c r="G287" i="5"/>
  <c r="I284" i="5"/>
  <c r="E23" i="71" s="1"/>
  <c r="I365" i="5"/>
  <c r="G501" i="5"/>
  <c r="G405" i="5"/>
  <c r="G251" i="5"/>
  <c r="G205" i="5"/>
  <c r="I366" i="5"/>
  <c r="H12" i="75" s="1"/>
  <c r="G585" i="5"/>
  <c r="I489" i="5"/>
  <c r="K35" i="75" s="1"/>
  <c r="I574" i="5"/>
  <c r="N22" i="75" s="1"/>
  <c r="I632" i="5"/>
  <c r="I137" i="5"/>
  <c r="E17" i="69" s="1"/>
  <c r="H108" i="5"/>
  <c r="I572" i="5"/>
  <c r="N20" i="75" s="1"/>
  <c r="H206" i="5"/>
  <c r="H158" i="5"/>
  <c r="H161" i="5" s="1"/>
  <c r="H163" i="5" s="1"/>
  <c r="H219" i="5"/>
  <c r="I254" i="5"/>
  <c r="D23" i="75" s="1"/>
  <c r="I500" i="5"/>
  <c r="H474" i="5"/>
  <c r="H469" i="5"/>
  <c r="I538" i="5"/>
  <c r="I546" i="5"/>
  <c r="I350" i="5"/>
  <c r="G479" i="5"/>
  <c r="G63" i="5"/>
  <c r="I450" i="5"/>
  <c r="J29" i="75" s="1"/>
  <c r="G231" i="5"/>
  <c r="I388" i="5"/>
  <c r="H634" i="5"/>
  <c r="H308" i="5"/>
  <c r="H644" i="5"/>
  <c r="E27" i="70"/>
  <c r="H37" i="72"/>
  <c r="H46" i="68"/>
  <c r="K26" i="72"/>
  <c r="K35" i="68"/>
  <c r="F50" i="73"/>
  <c r="F63" i="69"/>
  <c r="H33" i="72"/>
  <c r="H42" i="68"/>
  <c r="L10" i="72"/>
  <c r="L12" i="68"/>
  <c r="F21" i="73"/>
  <c r="F34" i="69"/>
  <c r="H12" i="72"/>
  <c r="H14" i="68"/>
  <c r="E114" i="70"/>
  <c r="F95" i="70"/>
  <c r="F122" i="70" s="1"/>
  <c r="E95" i="70"/>
  <c r="E122" i="70" s="1"/>
  <c r="E118" i="70"/>
  <c r="F118" i="70"/>
  <c r="F120" i="70" s="1"/>
  <c r="F121" i="70" s="1"/>
  <c r="F114" i="70"/>
  <c r="V30" i="71"/>
  <c r="V29" i="75"/>
  <c r="H34" i="71"/>
  <c r="H33" i="75"/>
  <c r="Y9" i="71"/>
  <c r="Y9" i="75"/>
  <c r="L46" i="68"/>
  <c r="L37" i="72"/>
  <c r="V10" i="71"/>
  <c r="V10" i="75"/>
  <c r="V11" i="71"/>
  <c r="V11" i="75"/>
  <c r="AB11" i="71"/>
  <c r="AB11" i="75"/>
  <c r="Y30" i="71"/>
  <c r="Y29" i="75"/>
  <c r="U24" i="71"/>
  <c r="U23" i="75"/>
  <c r="AA12" i="71"/>
  <c r="AA12" i="75"/>
  <c r="D18" i="51"/>
  <c r="I18" i="51" s="1"/>
  <c r="J18" i="51" s="1"/>
  <c r="H13" i="72"/>
  <c r="E13" i="98" s="1"/>
  <c r="F110" i="47"/>
  <c r="E20" i="73"/>
  <c r="L16" i="72"/>
  <c r="L22" i="71"/>
  <c r="L22" i="75"/>
  <c r="E97" i="74"/>
  <c r="H5140" i="18"/>
  <c r="I5141" i="18"/>
  <c r="F101" i="74"/>
  <c r="F103" i="74" s="1"/>
  <c r="F104" i="74" s="1"/>
  <c r="F78" i="74"/>
  <c r="F97" i="74"/>
  <c r="I5140" i="18"/>
  <c r="L28" i="71"/>
  <c r="L27" i="75"/>
  <c r="AB34" i="71"/>
  <c r="AB33" i="75"/>
  <c r="AB27" i="71"/>
  <c r="AB26" i="75"/>
  <c r="AA27" i="71"/>
  <c r="AA26" i="75"/>
  <c r="H28" i="71"/>
  <c r="H27" i="75"/>
  <c r="V22" i="71"/>
  <c r="V22" i="75"/>
  <c r="X28" i="71"/>
  <c r="X27" i="75"/>
  <c r="Q27" i="71"/>
  <c r="Q26" i="75"/>
  <c r="L9" i="71"/>
  <c r="L9" i="75"/>
  <c r="J24" i="71"/>
  <c r="J23" i="75"/>
  <c r="F48" i="73"/>
  <c r="F13" i="69"/>
  <c r="F8" i="73"/>
  <c r="AB17" i="71"/>
  <c r="AB17" i="75"/>
  <c r="X32" i="71"/>
  <c r="X31" i="75"/>
  <c r="K119" i="18"/>
  <c r="L236" i="18" s="1"/>
  <c r="G12" i="72"/>
  <c r="H27" i="71"/>
  <c r="H26" i="75"/>
  <c r="Y25" i="71"/>
  <c r="Y24" i="75"/>
  <c r="D20" i="71"/>
  <c r="D20" i="75"/>
  <c r="U18" i="71"/>
  <c r="U18" i="75"/>
  <c r="X18" i="71"/>
  <c r="X18" i="75"/>
  <c r="AA11" i="71"/>
  <c r="AA11" i="75"/>
  <c r="E55" i="70"/>
  <c r="E38" i="74"/>
  <c r="F54" i="69"/>
  <c r="F41" i="73"/>
  <c r="K34" i="71"/>
  <c r="K33" i="75"/>
  <c r="AA18" i="71"/>
  <c r="AA18" i="75"/>
  <c r="H5141" i="18"/>
  <c r="E101" i="74"/>
  <c r="E78" i="74"/>
  <c r="S15" i="71"/>
  <c r="R11" i="71"/>
  <c r="T19" i="71"/>
  <c r="S12" i="71"/>
  <c r="T15" i="71"/>
  <c r="T34" i="71"/>
  <c r="W9" i="71"/>
  <c r="R24" i="71"/>
  <c r="T27" i="71"/>
  <c r="S23" i="71"/>
  <c r="T9" i="71"/>
  <c r="W24" i="71"/>
  <c r="F75" i="47"/>
  <c r="D39" i="47"/>
  <c r="D90" i="51"/>
  <c r="I90" i="51" s="1"/>
  <c r="J90" i="51" s="1"/>
  <c r="L52" i="68"/>
  <c r="N3412" i="18"/>
  <c r="N3005" i="18"/>
  <c r="D111" i="51"/>
  <c r="I111" i="51" s="1"/>
  <c r="J111" i="51" s="1"/>
  <c r="N4354" i="18"/>
  <c r="L51" i="68"/>
  <c r="U52" i="71" s="1"/>
  <c r="N3730" i="18"/>
  <c r="D67" i="52"/>
  <c r="F64" i="5"/>
  <c r="F786" i="5" s="1"/>
  <c r="D47" i="47"/>
  <c r="F85" i="51"/>
  <c r="G62" i="51" s="1"/>
  <c r="D108" i="51"/>
  <c r="I108" i="51" s="1"/>
  <c r="J108" i="51" s="1"/>
  <c r="D47" i="51"/>
  <c r="I47" i="51" s="1"/>
  <c r="J47" i="51" s="1"/>
  <c r="D59" i="47"/>
  <c r="D78" i="51"/>
  <c r="I78" i="51" s="1"/>
  <c r="J78" i="51" s="1"/>
  <c r="D65" i="47"/>
  <c r="J170" i="5"/>
  <c r="J192" i="5" s="1"/>
  <c r="D111" i="47"/>
  <c r="D106" i="48"/>
  <c r="K4830" i="18"/>
  <c r="L4831" i="18" s="1"/>
  <c r="N4491" i="18"/>
  <c r="O4511" i="18" s="1"/>
  <c r="F65" i="52"/>
  <c r="F13" i="52" s="1"/>
  <c r="D102" i="51"/>
  <c r="I102" i="51" s="1"/>
  <c r="J102" i="51" s="1"/>
  <c r="D102" i="47"/>
  <c r="F109" i="5"/>
  <c r="F125" i="5" s="1"/>
  <c r="F787" i="5" s="1"/>
  <c r="F20" i="52"/>
  <c r="D90" i="47"/>
  <c r="N119" i="18"/>
  <c r="O236" i="18" s="1"/>
  <c r="D44" i="47"/>
  <c r="N2556" i="18"/>
  <c r="D17" i="51"/>
  <c r="I17" i="51" s="1"/>
  <c r="J17" i="51" s="1"/>
  <c r="N316" i="18"/>
  <c r="O500" i="18" s="1"/>
  <c r="F42" i="47"/>
  <c r="D18" i="47"/>
  <c r="D89" i="47"/>
  <c r="N2829" i="18"/>
  <c r="O2830" i="18" s="1"/>
  <c r="D89" i="51"/>
  <c r="I89" i="51" s="1"/>
  <c r="J89" i="51" s="1"/>
  <c r="D17" i="47"/>
  <c r="D65" i="51"/>
  <c r="I65" i="51" s="1"/>
  <c r="J65" i="51" s="1"/>
  <c r="N4363" i="18"/>
  <c r="K5094" i="18"/>
  <c r="L5095" i="18" s="1"/>
  <c r="D59" i="51"/>
  <c r="I59" i="51" s="1"/>
  <c r="J59" i="51" s="1"/>
  <c r="D39" i="51"/>
  <c r="I39" i="51" s="1"/>
  <c r="J39" i="51" s="1"/>
  <c r="N4844" i="18"/>
  <c r="D97" i="47"/>
  <c r="D97" i="51"/>
  <c r="I97" i="51" s="1"/>
  <c r="J97" i="51" s="1"/>
  <c r="D71" i="48"/>
  <c r="D44" i="52"/>
  <c r="J711" i="5"/>
  <c r="M709" i="5"/>
  <c r="M683" i="5"/>
  <c r="F127" i="8"/>
  <c r="F128" i="8" s="1"/>
  <c r="F118" i="8"/>
  <c r="F119" i="8" s="1"/>
  <c r="F120" i="8" s="1"/>
  <c r="E104" i="8"/>
  <c r="E105" i="8" s="1"/>
  <c r="E106" i="8" s="1"/>
  <c r="M697" i="5"/>
  <c r="J18" i="2"/>
  <c r="F170" i="5"/>
  <c r="J193" i="5"/>
  <c r="J801" i="5" s="1"/>
  <c r="E121" i="21"/>
  <c r="E97" i="21"/>
  <c r="E98" i="21" s="1"/>
  <c r="E99" i="21" s="1"/>
  <c r="F97" i="21"/>
  <c r="F98" i="21" s="1"/>
  <c r="F99" i="21" s="1"/>
  <c r="F121" i="21"/>
  <c r="N18" i="2"/>
  <c r="N16" i="2"/>
  <c r="F121" i="51"/>
  <c r="F66" i="52"/>
  <c r="F193" i="5"/>
  <c r="F801" i="5" s="1"/>
  <c r="J788" i="5"/>
  <c r="J789" i="5" s="1"/>
  <c r="L97" i="7"/>
  <c r="M97" i="7" s="1"/>
  <c r="M94" i="7"/>
  <c r="D122" i="51"/>
  <c r="I122" i="51" s="1"/>
  <c r="J122" i="51" s="1"/>
  <c r="G97" i="51"/>
  <c r="F17" i="47"/>
  <c r="O5344" i="18"/>
  <c r="K317" i="18"/>
  <c r="O5370" i="18"/>
  <c r="P5370" i="18" s="1"/>
  <c r="K988" i="18"/>
  <c r="O5371" i="18"/>
  <c r="P5371" i="18" s="1"/>
  <c r="G94" i="51"/>
  <c r="D122" i="47"/>
  <c r="G90" i="51"/>
  <c r="G87" i="51"/>
  <c r="G88" i="51"/>
  <c r="G92" i="51"/>
  <c r="G91" i="51"/>
  <c r="G96" i="51"/>
  <c r="G89" i="51"/>
  <c r="G95" i="51"/>
  <c r="K4054" i="18"/>
  <c r="G50" i="51"/>
  <c r="G47" i="51"/>
  <c r="F58" i="52"/>
  <c r="F18" i="52" s="1"/>
  <c r="F54" i="52"/>
  <c r="F21" i="52" s="1"/>
  <c r="J737" i="5"/>
  <c r="J822" i="5" s="1"/>
  <c r="F108" i="8"/>
  <c r="F110" i="8" s="1"/>
  <c r="K3043" i="18"/>
  <c r="P3108" i="18"/>
  <c r="P3109" i="18" s="1"/>
  <c r="P3110" i="18" s="1"/>
  <c r="K3111" i="18" s="1"/>
  <c r="L3111" i="18" s="1"/>
  <c r="K2648" i="18"/>
  <c r="P2700" i="18"/>
  <c r="P2701" i="18" s="1"/>
  <c r="P2702" i="18" s="1"/>
  <c r="K2703" i="18" s="1"/>
  <c r="L2703" i="18" s="1"/>
  <c r="G13" i="51"/>
  <c r="G21" i="51"/>
  <c r="G39" i="51"/>
  <c r="G31" i="51"/>
  <c r="Q3043" i="18"/>
  <c r="L3038" i="18"/>
  <c r="K2599" i="18"/>
  <c r="G17" i="51"/>
  <c r="G35" i="51"/>
  <c r="G51" i="51"/>
  <c r="G25" i="51"/>
  <c r="G43" i="51"/>
  <c r="K2595" i="18"/>
  <c r="G19" i="51"/>
  <c r="G27" i="51"/>
  <c r="G37" i="51"/>
  <c r="G45" i="51"/>
  <c r="G53" i="51"/>
  <c r="G15" i="51"/>
  <c r="G23" i="51"/>
  <c r="G33" i="51"/>
  <c r="G41" i="51"/>
  <c r="G49" i="51"/>
  <c r="G14" i="51"/>
  <c r="G18" i="51"/>
  <c r="G22" i="51"/>
  <c r="G26" i="51"/>
  <c r="G32" i="51"/>
  <c r="G36" i="51"/>
  <c r="G40" i="51"/>
  <c r="G44" i="51"/>
  <c r="G48" i="51"/>
  <c r="G52" i="51"/>
  <c r="G16" i="51"/>
  <c r="G20" i="51"/>
  <c r="G24" i="51"/>
  <c r="G30" i="51"/>
  <c r="G34" i="51"/>
  <c r="G38" i="51"/>
  <c r="G42" i="51"/>
  <c r="G46" i="51"/>
  <c r="Q2982" i="18"/>
  <c r="Q859" i="18"/>
  <c r="K2920" i="18"/>
  <c r="Q2920" i="18"/>
  <c r="F851" i="5"/>
  <c r="F852" i="5" s="1"/>
  <c r="J851" i="5"/>
  <c r="J852" i="5" s="1"/>
  <c r="G84" i="46"/>
  <c r="L399" i="50"/>
  <c r="H28" i="50"/>
  <c r="H158" i="50"/>
  <c r="L65" i="46"/>
  <c r="L291" i="50"/>
  <c r="G78" i="46"/>
  <c r="H163" i="50"/>
  <c r="G83" i="46"/>
  <c r="L234" i="50"/>
  <c r="H162" i="50"/>
  <c r="H168" i="50"/>
  <c r="L179" i="50"/>
  <c r="H89" i="50"/>
  <c r="L47" i="50"/>
  <c r="L168" i="50"/>
  <c r="L288" i="50"/>
  <c r="L67" i="46"/>
  <c r="L267" i="50"/>
  <c r="H189" i="50"/>
  <c r="H169" i="50"/>
  <c r="L12" i="50"/>
  <c r="L238" i="50"/>
  <c r="H63" i="50"/>
  <c r="L161" i="50"/>
  <c r="H68" i="50"/>
  <c r="H70" i="50"/>
  <c r="G46" i="46"/>
  <c r="H186" i="50"/>
  <c r="H165" i="50"/>
  <c r="L12" i="46"/>
  <c r="L290" i="50"/>
  <c r="L233" i="50"/>
  <c r="L11" i="46"/>
  <c r="L159" i="50"/>
  <c r="K1041" i="18" l="1"/>
  <c r="L1041" i="18" s="1"/>
  <c r="E42" i="70"/>
  <c r="L343" i="18"/>
  <c r="L347" i="18" s="1"/>
  <c r="H347" i="18"/>
  <c r="H351" i="18" s="1"/>
  <c r="H352" i="18" s="1"/>
  <c r="H353" i="18" s="1"/>
  <c r="F28" i="69"/>
  <c r="N4779" i="18"/>
  <c r="O4780" i="18" s="1"/>
  <c r="F16" i="73"/>
  <c r="D108" i="47"/>
  <c r="I6230" i="18"/>
  <c r="E113" i="98"/>
  <c r="K3625" i="18"/>
  <c r="H3655" i="18"/>
  <c r="H3630" i="18"/>
  <c r="N3622" i="18" s="1"/>
  <c r="G252" i="50"/>
  <c r="K3930" i="18"/>
  <c r="L3931" i="18" s="1"/>
  <c r="K29" i="68"/>
  <c r="F12" i="48"/>
  <c r="K4808" i="18"/>
  <c r="L4809" i="18" s="1"/>
  <c r="F109" i="47"/>
  <c r="F70" i="47"/>
  <c r="G316" i="50"/>
  <c r="I316" i="50" s="1"/>
  <c r="J316" i="50" s="1"/>
  <c r="G254" i="50"/>
  <c r="E17" i="73"/>
  <c r="K21" i="72"/>
  <c r="I941" i="18"/>
  <c r="N934" i="18" s="1"/>
  <c r="W25" i="71"/>
  <c r="M11" i="71"/>
  <c r="H29" i="75"/>
  <c r="G251" i="50"/>
  <c r="I251" i="50" s="1"/>
  <c r="J251" i="50" s="1"/>
  <c r="K6005" i="18"/>
  <c r="L6006" i="18" s="1"/>
  <c r="E26" i="74"/>
  <c r="H24" i="75"/>
  <c r="N317" i="18"/>
  <c r="O317" i="18" s="1"/>
  <c r="O4364" i="18"/>
  <c r="K2642" i="18"/>
  <c r="K2645" i="18" s="1"/>
  <c r="M288" i="50"/>
  <c r="N288" i="50" s="1"/>
  <c r="Q3661" i="18"/>
  <c r="O5386" i="18"/>
  <c r="P5386" i="18" s="1"/>
  <c r="D3039" i="18"/>
  <c r="T16" i="75"/>
  <c r="W21" i="75"/>
  <c r="I5144" i="18"/>
  <c r="H709" i="5"/>
  <c r="M12" i="46"/>
  <c r="N12" i="46" s="1"/>
  <c r="M11" i="46"/>
  <c r="N11" i="46" s="1"/>
  <c r="M46" i="46"/>
  <c r="N46" i="46" s="1"/>
  <c r="F105" i="74"/>
  <c r="U51" i="75"/>
  <c r="G8" i="72"/>
  <c r="G10" i="50"/>
  <c r="I10" i="50" s="1"/>
  <c r="J10" i="50" s="1"/>
  <c r="G9" i="50"/>
  <c r="I9" i="50" s="1"/>
  <c r="J9" i="50" s="1"/>
  <c r="G11" i="50"/>
  <c r="K21" i="68"/>
  <c r="G232" i="50"/>
  <c r="G231" i="50"/>
  <c r="G233" i="50"/>
  <c r="G235" i="50"/>
  <c r="G234" i="50"/>
  <c r="K3832" i="18"/>
  <c r="L3833" i="18" s="1"/>
  <c r="G244" i="50"/>
  <c r="I244" i="50" s="1"/>
  <c r="J244" i="50" s="1"/>
  <c r="G248" i="50"/>
  <c r="G247" i="50"/>
  <c r="G246" i="50"/>
  <c r="G249" i="50"/>
  <c r="G243" i="50"/>
  <c r="I243" i="50" s="1"/>
  <c r="J243" i="50" s="1"/>
  <c r="G245" i="50"/>
  <c r="N9" i="18"/>
  <c r="O20" i="18" s="1"/>
  <c r="K11" i="50"/>
  <c r="K10" i="50"/>
  <c r="M10" i="50" s="1"/>
  <c r="N10" i="50" s="1"/>
  <c r="K9" i="50"/>
  <c r="H34" i="68"/>
  <c r="K119" i="50"/>
  <c r="K123" i="50"/>
  <c r="K117" i="50"/>
  <c r="K122" i="50"/>
  <c r="K118" i="50"/>
  <c r="K120" i="50"/>
  <c r="K116" i="50"/>
  <c r="M116" i="50" s="1"/>
  <c r="N116" i="50" s="1"/>
  <c r="K121" i="50"/>
  <c r="H28" i="68"/>
  <c r="K115" i="50"/>
  <c r="H27" i="68"/>
  <c r="K114" i="50"/>
  <c r="K113" i="50"/>
  <c r="D75" i="48"/>
  <c r="K59" i="50"/>
  <c r="K58" i="50"/>
  <c r="K61" i="50"/>
  <c r="K62" i="50"/>
  <c r="K57" i="50"/>
  <c r="M57" i="50" s="1"/>
  <c r="N57" i="50" s="1"/>
  <c r="K60" i="50"/>
  <c r="M60" i="50" s="1"/>
  <c r="N60" i="50" s="1"/>
  <c r="H30" i="72"/>
  <c r="K157" i="50"/>
  <c r="K156" i="50"/>
  <c r="M156" i="50" s="1"/>
  <c r="N156" i="50" s="1"/>
  <c r="L25" i="68"/>
  <c r="K241" i="50"/>
  <c r="K242" i="50"/>
  <c r="D71" i="51"/>
  <c r="I71" i="51" s="1"/>
  <c r="J71" i="51" s="1"/>
  <c r="K255" i="50"/>
  <c r="K256" i="50"/>
  <c r="L16" i="68"/>
  <c r="K225" i="50"/>
  <c r="M225" i="50" s="1"/>
  <c r="N225" i="50" s="1"/>
  <c r="K229" i="50"/>
  <c r="K226" i="50"/>
  <c r="K228" i="50"/>
  <c r="K230" i="50"/>
  <c r="K224" i="50"/>
  <c r="K227" i="50"/>
  <c r="H22" i="68"/>
  <c r="K65" i="50"/>
  <c r="K64" i="50"/>
  <c r="M64" i="50" s="1"/>
  <c r="N64" i="50" s="1"/>
  <c r="N4452" i="18"/>
  <c r="O4453" i="18" s="1"/>
  <c r="K292" i="50"/>
  <c r="M292" i="50" s="1"/>
  <c r="N292" i="50" s="1"/>
  <c r="K38" i="72"/>
  <c r="G284" i="50"/>
  <c r="I284" i="50" s="1"/>
  <c r="J284" i="50" s="1"/>
  <c r="G283" i="50"/>
  <c r="K11" i="68"/>
  <c r="G212" i="50"/>
  <c r="I212" i="50" s="1"/>
  <c r="J212" i="50" s="1"/>
  <c r="G213" i="50"/>
  <c r="G13" i="68"/>
  <c r="G14" i="50"/>
  <c r="I14" i="50" s="1"/>
  <c r="J14" i="50" s="1"/>
  <c r="E27" i="73"/>
  <c r="E131" i="98" s="1"/>
  <c r="G324" i="50"/>
  <c r="I324" i="50" s="1"/>
  <c r="J324" i="50" s="1"/>
  <c r="F44" i="47"/>
  <c r="I44" i="47" s="1"/>
  <c r="J44" i="47" s="1"/>
  <c r="G180" i="50"/>
  <c r="I180" i="50" s="1"/>
  <c r="J180" i="50" s="1"/>
  <c r="G184" i="50"/>
  <c r="G182" i="50"/>
  <c r="G183" i="50"/>
  <c r="G181" i="50"/>
  <c r="G40" i="72"/>
  <c r="G196" i="50"/>
  <c r="I196" i="50" s="1"/>
  <c r="J196" i="50" s="1"/>
  <c r="G197" i="50"/>
  <c r="K42" i="68"/>
  <c r="G201" i="50"/>
  <c r="I201" i="50" s="1"/>
  <c r="J201" i="50" s="1"/>
  <c r="E34" i="69"/>
  <c r="G318" i="50"/>
  <c r="I318" i="50" s="1"/>
  <c r="J318" i="50" s="1"/>
  <c r="L2810" i="18"/>
  <c r="G36" i="68"/>
  <c r="G130" i="50"/>
  <c r="I130" i="50" s="1"/>
  <c r="J130" i="50" s="1"/>
  <c r="G134" i="50"/>
  <c r="G132" i="50"/>
  <c r="G135" i="50"/>
  <c r="G131" i="50"/>
  <c r="G133" i="50"/>
  <c r="G137" i="50"/>
  <c r="G136" i="50"/>
  <c r="K4697" i="18"/>
  <c r="L4698" i="18" s="1"/>
  <c r="G309" i="50"/>
  <c r="I309" i="50" s="1"/>
  <c r="J309" i="50" s="1"/>
  <c r="G310" i="50"/>
  <c r="F23" i="47"/>
  <c r="G66" i="50"/>
  <c r="I66" i="50" s="1"/>
  <c r="J66" i="50" s="1"/>
  <c r="G67" i="50"/>
  <c r="E36" i="69"/>
  <c r="G320" i="50"/>
  <c r="I320" i="50" s="1"/>
  <c r="J320" i="50" s="1"/>
  <c r="K24" i="68"/>
  <c r="G240" i="50"/>
  <c r="G239" i="50"/>
  <c r="I239" i="50" s="1"/>
  <c r="J239" i="50" s="1"/>
  <c r="E53" i="70"/>
  <c r="E56" i="70" s="1"/>
  <c r="G345" i="50"/>
  <c r="N3832" i="18"/>
  <c r="O3843" i="18" s="1"/>
  <c r="K245" i="50"/>
  <c r="K249" i="50"/>
  <c r="K244" i="50"/>
  <c r="M244" i="50" s="1"/>
  <c r="N244" i="50" s="1"/>
  <c r="K247" i="50"/>
  <c r="K246" i="50"/>
  <c r="K248" i="50"/>
  <c r="K243" i="50"/>
  <c r="F37" i="69"/>
  <c r="K321" i="50"/>
  <c r="M321" i="50" s="1"/>
  <c r="N321" i="50" s="1"/>
  <c r="H51" i="68"/>
  <c r="K200" i="50"/>
  <c r="M200" i="50" s="1"/>
  <c r="N200" i="50" s="1"/>
  <c r="N4121" i="18"/>
  <c r="K269" i="50"/>
  <c r="K268" i="50"/>
  <c r="H52" i="68"/>
  <c r="K205" i="50"/>
  <c r="L14" i="68"/>
  <c r="K216" i="50"/>
  <c r="D109" i="47"/>
  <c r="K316" i="50"/>
  <c r="M316" i="50" s="1"/>
  <c r="N316" i="50" s="1"/>
  <c r="N4250" i="18"/>
  <c r="K278" i="50"/>
  <c r="L25" i="72"/>
  <c r="K257" i="50"/>
  <c r="K261" i="50"/>
  <c r="K258" i="50"/>
  <c r="K260" i="50"/>
  <c r="K259" i="50"/>
  <c r="H23" i="68"/>
  <c r="K67" i="50"/>
  <c r="K66" i="50"/>
  <c r="N3424" i="18"/>
  <c r="K215" i="50"/>
  <c r="H44" i="68"/>
  <c r="K179" i="50"/>
  <c r="M179" i="50" s="1"/>
  <c r="N179" i="50" s="1"/>
  <c r="F22" i="69"/>
  <c r="K307" i="50"/>
  <c r="M307" i="50" s="1"/>
  <c r="N307" i="50" s="1"/>
  <c r="K308" i="50"/>
  <c r="D32" i="47"/>
  <c r="K131" i="50"/>
  <c r="K135" i="50"/>
  <c r="K130" i="50"/>
  <c r="M130" i="50" s="1"/>
  <c r="N130" i="50" s="1"/>
  <c r="K133" i="50"/>
  <c r="K132" i="50"/>
  <c r="K137" i="50"/>
  <c r="K136" i="50"/>
  <c r="K134" i="50"/>
  <c r="F23" i="73"/>
  <c r="K320" i="50"/>
  <c r="M320" i="50" s="1"/>
  <c r="N320" i="50" s="1"/>
  <c r="L39" i="68"/>
  <c r="K273" i="50"/>
  <c r="K277" i="50"/>
  <c r="K274" i="50"/>
  <c r="K276" i="50"/>
  <c r="K272" i="50"/>
  <c r="K275" i="50"/>
  <c r="H16" i="72"/>
  <c r="E43" i="98" s="1"/>
  <c r="K63" i="50"/>
  <c r="H50" i="68"/>
  <c r="K199" i="50"/>
  <c r="K198" i="50"/>
  <c r="M198" i="50" s="1"/>
  <c r="N198" i="50" s="1"/>
  <c r="E28" i="74"/>
  <c r="G332" i="50"/>
  <c r="I332" i="50" s="1"/>
  <c r="J332" i="50" s="1"/>
  <c r="H26" i="68"/>
  <c r="K111" i="50"/>
  <c r="K112" i="50"/>
  <c r="L11" i="68"/>
  <c r="K213" i="50"/>
  <c r="K212" i="50"/>
  <c r="M212" i="50" s="1"/>
  <c r="N212" i="50" s="1"/>
  <c r="G16" i="68"/>
  <c r="G50" i="50"/>
  <c r="G54" i="50"/>
  <c r="G47" i="50"/>
  <c r="I47" i="50" s="1"/>
  <c r="J47" i="50" s="1"/>
  <c r="G52" i="50"/>
  <c r="G55" i="50"/>
  <c r="G49" i="50"/>
  <c r="G51" i="50"/>
  <c r="G53" i="50"/>
  <c r="G56" i="50"/>
  <c r="G48" i="50"/>
  <c r="K23" i="68"/>
  <c r="G238" i="50"/>
  <c r="I238" i="50" s="1"/>
  <c r="J238" i="50" s="1"/>
  <c r="E26" i="73"/>
  <c r="G322" i="50"/>
  <c r="I322" i="50" s="1"/>
  <c r="J322" i="50" s="1"/>
  <c r="G323" i="50"/>
  <c r="K41" i="68"/>
  <c r="G280" i="50"/>
  <c r="G279" i="50"/>
  <c r="I279" i="50" s="1"/>
  <c r="J279" i="50" s="1"/>
  <c r="G46" i="68"/>
  <c r="G188" i="50"/>
  <c r="I188" i="50" s="1"/>
  <c r="J188" i="50" s="1"/>
  <c r="G11" i="68"/>
  <c r="G12" i="50"/>
  <c r="I12" i="50" s="1"/>
  <c r="J12" i="50" s="1"/>
  <c r="K13" i="68"/>
  <c r="G215" i="50"/>
  <c r="I215" i="50" s="1"/>
  <c r="J215" i="50" s="1"/>
  <c r="G47" i="68"/>
  <c r="G192" i="50"/>
  <c r="G190" i="50"/>
  <c r="G193" i="50"/>
  <c r="G191" i="50"/>
  <c r="G189" i="50"/>
  <c r="I189" i="50" s="1"/>
  <c r="J189" i="50" s="1"/>
  <c r="G194" i="50"/>
  <c r="E21" i="74"/>
  <c r="G341" i="50"/>
  <c r="H12" i="68"/>
  <c r="K13" i="50"/>
  <c r="F27" i="73"/>
  <c r="K324" i="50"/>
  <c r="M324" i="50" s="1"/>
  <c r="N324" i="50" s="1"/>
  <c r="D93" i="47"/>
  <c r="K291" i="50"/>
  <c r="M291" i="50" s="1"/>
  <c r="N291" i="50" s="1"/>
  <c r="H48" i="68"/>
  <c r="K195" i="50"/>
  <c r="M195" i="50" s="1"/>
  <c r="N195" i="50" s="1"/>
  <c r="G13" i="72"/>
  <c r="G30" i="50"/>
  <c r="G34" i="50"/>
  <c r="G38" i="50"/>
  <c r="G42" i="50"/>
  <c r="G46" i="50"/>
  <c r="G28" i="50"/>
  <c r="I28" i="50" s="1"/>
  <c r="J28" i="50" s="1"/>
  <c r="G31" i="50"/>
  <c r="G36" i="50"/>
  <c r="G39" i="50"/>
  <c r="G44" i="50"/>
  <c r="G29" i="50"/>
  <c r="G33" i="50"/>
  <c r="G35" i="50"/>
  <c r="G37" i="50"/>
  <c r="G41" i="50"/>
  <c r="G43" i="50"/>
  <c r="G45" i="50"/>
  <c r="G32" i="50"/>
  <c r="G40" i="50"/>
  <c r="F77" i="47"/>
  <c r="G268" i="50"/>
  <c r="I268" i="50" s="1"/>
  <c r="J268" i="50" s="1"/>
  <c r="G269" i="50"/>
  <c r="K22" i="68"/>
  <c r="G236" i="50"/>
  <c r="I236" i="50" s="1"/>
  <c r="J236" i="50" s="1"/>
  <c r="G237" i="50"/>
  <c r="E37" i="69"/>
  <c r="G321" i="50"/>
  <c r="I321" i="50" s="1"/>
  <c r="J321" i="50" s="1"/>
  <c r="I857" i="5"/>
  <c r="G290" i="50"/>
  <c r="I290" i="50" s="1"/>
  <c r="J290" i="50" s="1"/>
  <c r="E21" i="69"/>
  <c r="G306" i="50"/>
  <c r="G305" i="50"/>
  <c r="I305" i="50" s="1"/>
  <c r="J305" i="50" s="1"/>
  <c r="K30" i="68"/>
  <c r="G256" i="50"/>
  <c r="G255" i="50"/>
  <c r="I255" i="50" s="1"/>
  <c r="J255" i="50" s="1"/>
  <c r="G25" i="68"/>
  <c r="G102" i="50"/>
  <c r="G106" i="50"/>
  <c r="G110" i="50"/>
  <c r="G103" i="50"/>
  <c r="G108" i="50"/>
  <c r="G101" i="50"/>
  <c r="I101" i="50" s="1"/>
  <c r="J101" i="50" s="1"/>
  <c r="G105" i="50"/>
  <c r="G107" i="50"/>
  <c r="G109" i="50"/>
  <c r="G104" i="50"/>
  <c r="G26" i="72"/>
  <c r="G126" i="50"/>
  <c r="G124" i="50"/>
  <c r="I124" i="50" s="1"/>
  <c r="J124" i="50" s="1"/>
  <c r="G127" i="50"/>
  <c r="G125" i="50"/>
  <c r="G129" i="50"/>
  <c r="G128" i="50"/>
  <c r="K39" i="68"/>
  <c r="G272" i="50"/>
  <c r="I272" i="50" s="1"/>
  <c r="J272" i="50" s="1"/>
  <c r="G276" i="50"/>
  <c r="G273" i="50"/>
  <c r="G274" i="50"/>
  <c r="G277" i="50"/>
  <c r="G275" i="50"/>
  <c r="G28" i="68"/>
  <c r="G115" i="50"/>
  <c r="I115" i="50" s="1"/>
  <c r="J115" i="50" s="1"/>
  <c r="K38" i="68"/>
  <c r="G267" i="50"/>
  <c r="I267" i="50" s="1"/>
  <c r="J267" i="50" s="1"/>
  <c r="G28" i="72"/>
  <c r="G138" i="50"/>
  <c r="I138" i="50" s="1"/>
  <c r="J138" i="50" s="1"/>
  <c r="G140" i="50"/>
  <c r="G139" i="50"/>
  <c r="G141" i="50"/>
  <c r="K2647" i="18"/>
  <c r="L2648" i="18" s="1"/>
  <c r="G169" i="50"/>
  <c r="I169" i="50" s="1"/>
  <c r="J169" i="50" s="1"/>
  <c r="G173" i="50"/>
  <c r="G172" i="50"/>
  <c r="G175" i="50"/>
  <c r="G170" i="50"/>
  <c r="G176" i="50"/>
  <c r="G171" i="50"/>
  <c r="G174" i="50"/>
  <c r="K43" i="68"/>
  <c r="G281" i="50"/>
  <c r="I281" i="50" s="1"/>
  <c r="J281" i="50" s="1"/>
  <c r="G282" i="50"/>
  <c r="G17" i="68"/>
  <c r="G58" i="50"/>
  <c r="G62" i="50"/>
  <c r="G60" i="50"/>
  <c r="I60" i="50" s="1"/>
  <c r="J60" i="50" s="1"/>
  <c r="G57" i="50"/>
  <c r="I57" i="50" s="1"/>
  <c r="J57" i="50" s="1"/>
  <c r="G59" i="50"/>
  <c r="G61" i="50"/>
  <c r="K56" i="68"/>
  <c r="M52" i="71" s="1"/>
  <c r="G292" i="50"/>
  <c r="I292" i="50" s="1"/>
  <c r="J292" i="50" s="1"/>
  <c r="E28" i="69"/>
  <c r="G315" i="50"/>
  <c r="I315" i="50" s="1"/>
  <c r="J315" i="50" s="1"/>
  <c r="G45" i="68"/>
  <c r="G187" i="50"/>
  <c r="G186" i="50"/>
  <c r="I186" i="50" s="1"/>
  <c r="J186" i="50" s="1"/>
  <c r="G48" i="68"/>
  <c r="G195" i="50"/>
  <c r="I195" i="50" s="1"/>
  <c r="J195" i="50" s="1"/>
  <c r="G43" i="68"/>
  <c r="G168" i="50"/>
  <c r="I168" i="50" s="1"/>
  <c r="J168" i="50" s="1"/>
  <c r="E19" i="74"/>
  <c r="G339" i="50"/>
  <c r="H47" i="68"/>
  <c r="K189" i="50"/>
  <c r="M189" i="50" s="1"/>
  <c r="N189" i="50" s="1"/>
  <c r="K193" i="50"/>
  <c r="K191" i="50"/>
  <c r="K190" i="50"/>
  <c r="K192" i="50"/>
  <c r="K194" i="50"/>
  <c r="H40" i="68"/>
  <c r="K159" i="50"/>
  <c r="M159" i="50" s="1"/>
  <c r="N159" i="50" s="1"/>
  <c r="K160" i="50"/>
  <c r="F25" i="69"/>
  <c r="K313" i="50"/>
  <c r="M313" i="50" s="1"/>
  <c r="N313" i="50" s="1"/>
  <c r="K314" i="50"/>
  <c r="L42" i="68"/>
  <c r="K201" i="50"/>
  <c r="M201" i="50" s="1"/>
  <c r="N201" i="50" s="1"/>
  <c r="L43" i="68"/>
  <c r="K281" i="50"/>
  <c r="K282" i="50"/>
  <c r="H43" i="68"/>
  <c r="K168" i="50"/>
  <c r="M168" i="50" s="1"/>
  <c r="N168" i="50" s="1"/>
  <c r="H37" i="68"/>
  <c r="K139" i="50"/>
  <c r="K138" i="50"/>
  <c r="M138" i="50" s="1"/>
  <c r="N138" i="50" s="1"/>
  <c r="K141" i="50"/>
  <c r="K140" i="50"/>
  <c r="F24" i="69"/>
  <c r="K312" i="50"/>
  <c r="M312" i="50" s="1"/>
  <c r="N312" i="50" s="1"/>
  <c r="K311" i="50"/>
  <c r="D41" i="47"/>
  <c r="K170" i="50"/>
  <c r="K174" i="50"/>
  <c r="K175" i="50"/>
  <c r="K171" i="50"/>
  <c r="K173" i="50"/>
  <c r="K172" i="50"/>
  <c r="K169" i="50"/>
  <c r="M169" i="50" s="1"/>
  <c r="N169" i="50" s="1"/>
  <c r="K176" i="50"/>
  <c r="L47" i="68"/>
  <c r="Q52" i="71" s="1"/>
  <c r="K284" i="50"/>
  <c r="M284" i="50" s="1"/>
  <c r="N284" i="50" s="1"/>
  <c r="K283" i="50"/>
  <c r="H41" i="68"/>
  <c r="K162" i="50"/>
  <c r="K161" i="50"/>
  <c r="M161" i="50" s="1"/>
  <c r="N161" i="50" s="1"/>
  <c r="K163" i="50"/>
  <c r="H16" i="68"/>
  <c r="K47" i="50"/>
  <c r="M47" i="50" s="1"/>
  <c r="N47" i="50" s="1"/>
  <c r="K51" i="50"/>
  <c r="K55" i="50"/>
  <c r="K50" i="50"/>
  <c r="K53" i="50"/>
  <c r="K48" i="50"/>
  <c r="K54" i="50"/>
  <c r="K56" i="50"/>
  <c r="K49" i="50"/>
  <c r="K52" i="50"/>
  <c r="F33" i="69"/>
  <c r="K317" i="50"/>
  <c r="M317" i="50" s="1"/>
  <c r="N317" i="50" s="1"/>
  <c r="M857" i="5"/>
  <c r="K290" i="50"/>
  <c r="M290" i="50" s="1"/>
  <c r="N290" i="50" s="1"/>
  <c r="L17" i="72"/>
  <c r="K238" i="50"/>
  <c r="M238" i="50" s="1"/>
  <c r="N238" i="50" s="1"/>
  <c r="D103" i="47"/>
  <c r="K305" i="50"/>
  <c r="M305" i="50" s="1"/>
  <c r="N305" i="50" s="1"/>
  <c r="K306" i="50"/>
  <c r="H11" i="68"/>
  <c r="K12" i="50"/>
  <c r="M12" i="50" s="1"/>
  <c r="N12" i="50" s="1"/>
  <c r="H25" i="68"/>
  <c r="K103" i="50"/>
  <c r="K107" i="50"/>
  <c r="K101" i="50"/>
  <c r="M101" i="50" s="1"/>
  <c r="N101" i="50" s="1"/>
  <c r="K106" i="50"/>
  <c r="K109" i="50"/>
  <c r="K110" i="50"/>
  <c r="K105" i="50"/>
  <c r="K108" i="50"/>
  <c r="K102" i="50"/>
  <c r="K104" i="50"/>
  <c r="L26" i="72"/>
  <c r="K265" i="50"/>
  <c r="K266" i="50"/>
  <c r="K263" i="50"/>
  <c r="K262" i="50"/>
  <c r="K264" i="50"/>
  <c r="L39" i="72"/>
  <c r="K285" i="50"/>
  <c r="K286" i="50"/>
  <c r="M286" i="50" s="1"/>
  <c r="N286" i="50" s="1"/>
  <c r="D31" i="51"/>
  <c r="I31" i="51" s="1"/>
  <c r="J31" i="51" s="1"/>
  <c r="K127" i="50"/>
  <c r="K125" i="50"/>
  <c r="K129" i="50"/>
  <c r="K128" i="50"/>
  <c r="K126" i="50"/>
  <c r="K124" i="50"/>
  <c r="M124" i="50" s="1"/>
  <c r="N124" i="50" s="1"/>
  <c r="F7" i="73"/>
  <c r="K301" i="50"/>
  <c r="K296" i="50"/>
  <c r="M296" i="50" s="1"/>
  <c r="N296" i="50" s="1"/>
  <c r="K303" i="50"/>
  <c r="AB15" i="2"/>
  <c r="AB40" i="2" s="1"/>
  <c r="G38" i="68"/>
  <c r="G142" i="50"/>
  <c r="I142" i="50" s="1"/>
  <c r="J142" i="50" s="1"/>
  <c r="G146" i="50"/>
  <c r="G150" i="50"/>
  <c r="G154" i="50"/>
  <c r="G143" i="50"/>
  <c r="G148" i="50"/>
  <c r="G151" i="50"/>
  <c r="G145" i="50"/>
  <c r="G147" i="50"/>
  <c r="G149" i="50"/>
  <c r="G153" i="50"/>
  <c r="G155" i="50"/>
  <c r="G152" i="50"/>
  <c r="G144" i="50"/>
  <c r="G26" i="68"/>
  <c r="G111" i="50"/>
  <c r="G112" i="50"/>
  <c r="G32" i="72"/>
  <c r="G161" i="50"/>
  <c r="I161" i="50" s="1"/>
  <c r="J161" i="50" s="1"/>
  <c r="G163" i="50"/>
  <c r="G162" i="50"/>
  <c r="K43" i="72"/>
  <c r="G288" i="50"/>
  <c r="I288" i="50" s="1"/>
  <c r="J288" i="50" s="1"/>
  <c r="G42" i="68"/>
  <c r="G165" i="50"/>
  <c r="G164" i="50"/>
  <c r="G166" i="50"/>
  <c r="G167" i="50"/>
  <c r="G44" i="68"/>
  <c r="G179" i="50"/>
  <c r="I179" i="50" s="1"/>
  <c r="J179" i="50" s="1"/>
  <c r="N987" i="18"/>
  <c r="O1292" i="18" s="1"/>
  <c r="K71" i="50"/>
  <c r="K75" i="50"/>
  <c r="K79" i="50"/>
  <c r="K83" i="50"/>
  <c r="K87" i="50"/>
  <c r="K91" i="50"/>
  <c r="K95" i="50"/>
  <c r="K99" i="50"/>
  <c r="K69" i="50"/>
  <c r="K74" i="50"/>
  <c r="K77" i="50"/>
  <c r="K82" i="50"/>
  <c r="K85" i="50"/>
  <c r="K90" i="50"/>
  <c r="K93" i="50"/>
  <c r="K98" i="50"/>
  <c r="K68" i="50"/>
  <c r="K78" i="50"/>
  <c r="K80" i="50"/>
  <c r="K97" i="50"/>
  <c r="K100" i="50"/>
  <c r="K73" i="50"/>
  <c r="K76" i="50"/>
  <c r="K86" i="50"/>
  <c r="K88" i="50"/>
  <c r="K89" i="50"/>
  <c r="K92" i="50"/>
  <c r="K70" i="50"/>
  <c r="K94" i="50"/>
  <c r="K81" i="50"/>
  <c r="K84" i="50"/>
  <c r="K96" i="50"/>
  <c r="K72" i="50"/>
  <c r="F35" i="69"/>
  <c r="K319" i="50"/>
  <c r="M319" i="50" s="1"/>
  <c r="N319" i="50" s="1"/>
  <c r="N3322" i="18"/>
  <c r="K209" i="50"/>
  <c r="K210" i="50"/>
  <c r="K207" i="50"/>
  <c r="K208" i="50"/>
  <c r="K206" i="50"/>
  <c r="K211" i="50"/>
  <c r="L24" i="68"/>
  <c r="K239" i="50"/>
  <c r="K240" i="50"/>
  <c r="H40" i="72"/>
  <c r="K197" i="50"/>
  <c r="K196" i="50"/>
  <c r="M196" i="50" s="1"/>
  <c r="N196" i="50" s="1"/>
  <c r="E24" i="69"/>
  <c r="G312" i="50"/>
  <c r="I312" i="50" s="1"/>
  <c r="J312" i="50" s="1"/>
  <c r="G311" i="50"/>
  <c r="F107" i="47"/>
  <c r="G314" i="50"/>
  <c r="G313" i="50"/>
  <c r="I313" i="50" s="1"/>
  <c r="J313" i="50" s="1"/>
  <c r="K987" i="18"/>
  <c r="L1557" i="18" s="1"/>
  <c r="G70" i="50"/>
  <c r="G74" i="50"/>
  <c r="G78" i="50"/>
  <c r="G82" i="50"/>
  <c r="G86" i="50"/>
  <c r="G90" i="50"/>
  <c r="G94" i="50"/>
  <c r="G98" i="50"/>
  <c r="G68" i="50"/>
  <c r="I68" i="50" s="1"/>
  <c r="J68" i="50" s="1"/>
  <c r="G71" i="50"/>
  <c r="G76" i="50"/>
  <c r="G79" i="50"/>
  <c r="G84" i="50"/>
  <c r="G87" i="50"/>
  <c r="G92" i="50"/>
  <c r="G95" i="50"/>
  <c r="G100" i="50"/>
  <c r="G69" i="50"/>
  <c r="I69" i="50" s="1"/>
  <c r="J69" i="50" s="1"/>
  <c r="G73" i="50"/>
  <c r="G75" i="50"/>
  <c r="G77" i="50"/>
  <c r="G81" i="50"/>
  <c r="G83" i="50"/>
  <c r="G85" i="50"/>
  <c r="G89" i="50"/>
  <c r="G91" i="50"/>
  <c r="G93" i="50"/>
  <c r="G97" i="50"/>
  <c r="G99" i="50"/>
  <c r="G88" i="50"/>
  <c r="G96" i="50"/>
  <c r="G80" i="50"/>
  <c r="G72" i="50"/>
  <c r="G34" i="68"/>
  <c r="G118" i="50"/>
  <c r="G122" i="50"/>
  <c r="G116" i="50"/>
  <c r="I116" i="50" s="1"/>
  <c r="J116" i="50" s="1"/>
  <c r="G119" i="50"/>
  <c r="G117" i="50"/>
  <c r="G121" i="50"/>
  <c r="G123" i="50"/>
  <c r="G120" i="50"/>
  <c r="V51" i="75"/>
  <c r="K16" i="68"/>
  <c r="G224" i="50"/>
  <c r="I224" i="50" s="1"/>
  <c r="J224" i="50" s="1"/>
  <c r="G228" i="50"/>
  <c r="G225" i="50"/>
  <c r="I225" i="50" s="1"/>
  <c r="J225" i="50" s="1"/>
  <c r="G230" i="50"/>
  <c r="G226" i="50"/>
  <c r="G227" i="50"/>
  <c r="G229" i="50"/>
  <c r="F78" i="47"/>
  <c r="G271" i="50"/>
  <c r="G270" i="50"/>
  <c r="I270" i="50" s="1"/>
  <c r="J270" i="50" s="1"/>
  <c r="K25" i="68"/>
  <c r="G241" i="50"/>
  <c r="I241" i="50" s="1"/>
  <c r="J241" i="50" s="1"/>
  <c r="G242" i="50"/>
  <c r="E22" i="69"/>
  <c r="G308" i="50"/>
  <c r="G307" i="50"/>
  <c r="I307" i="50" s="1"/>
  <c r="J307" i="50" s="1"/>
  <c r="K40" i="68"/>
  <c r="G278" i="50"/>
  <c r="I278" i="50" s="1"/>
  <c r="J278" i="50" s="1"/>
  <c r="E105" i="74"/>
  <c r="G39" i="68"/>
  <c r="G158" i="50"/>
  <c r="G156" i="50"/>
  <c r="I156" i="50" s="1"/>
  <c r="J156" i="50" s="1"/>
  <c r="G157" i="50"/>
  <c r="K28" i="68"/>
  <c r="G250" i="50"/>
  <c r="I250" i="50" s="1"/>
  <c r="J250" i="50" s="1"/>
  <c r="E7" i="73"/>
  <c r="E8" i="98" s="1"/>
  <c r="G296" i="50"/>
  <c r="I296" i="50" s="1"/>
  <c r="J296" i="50" s="1"/>
  <c r="G301" i="50"/>
  <c r="G303" i="50"/>
  <c r="K14" i="68"/>
  <c r="G216" i="50"/>
  <c r="I216" i="50" s="1"/>
  <c r="J216" i="50" s="1"/>
  <c r="G52" i="68"/>
  <c r="G205" i="50"/>
  <c r="I205" i="50" s="1"/>
  <c r="J205" i="50" s="1"/>
  <c r="G50" i="68"/>
  <c r="G198" i="50"/>
  <c r="I198" i="50" s="1"/>
  <c r="J198" i="50" s="1"/>
  <c r="G199" i="50"/>
  <c r="F45" i="47"/>
  <c r="G185" i="50"/>
  <c r="I185" i="50" s="1"/>
  <c r="J185" i="50" s="1"/>
  <c r="I861" i="5"/>
  <c r="G291" i="50"/>
  <c r="I291" i="50" s="1"/>
  <c r="J291" i="50" s="1"/>
  <c r="E35" i="69"/>
  <c r="G319" i="50"/>
  <c r="I319" i="50" s="1"/>
  <c r="J319" i="50" s="1"/>
  <c r="K15" i="68"/>
  <c r="G220" i="50"/>
  <c r="G223" i="50"/>
  <c r="G217" i="50"/>
  <c r="I217" i="50" s="1"/>
  <c r="J217" i="50" s="1"/>
  <c r="G222" i="50"/>
  <c r="G219" i="50"/>
  <c r="G221" i="50"/>
  <c r="G218" i="50"/>
  <c r="I218" i="50" s="1"/>
  <c r="J218" i="50" s="1"/>
  <c r="I845" i="5"/>
  <c r="G287" i="50"/>
  <c r="I287" i="50" s="1"/>
  <c r="J287" i="50" s="1"/>
  <c r="K48" i="68"/>
  <c r="G286" i="50"/>
  <c r="I286" i="50" s="1"/>
  <c r="J286" i="50" s="1"/>
  <c r="G285" i="50"/>
  <c r="K4000" i="18"/>
  <c r="L4001" i="18" s="1"/>
  <c r="G260" i="50"/>
  <c r="G257" i="50"/>
  <c r="I257" i="50" s="1"/>
  <c r="J257" i="50" s="1"/>
  <c r="G258" i="50"/>
  <c r="G259" i="50"/>
  <c r="G261" i="50"/>
  <c r="K8" i="68"/>
  <c r="G208" i="50"/>
  <c r="G207" i="50"/>
  <c r="G206" i="50"/>
  <c r="I206" i="50" s="1"/>
  <c r="J206" i="50" s="1"/>
  <c r="G209" i="50"/>
  <c r="G210" i="50"/>
  <c r="G211" i="50"/>
  <c r="G22" i="68"/>
  <c r="G65" i="50"/>
  <c r="G64" i="50"/>
  <c r="I64" i="50" s="1"/>
  <c r="J64" i="50" s="1"/>
  <c r="G12" i="68"/>
  <c r="G13" i="50"/>
  <c r="I13" i="50" s="1"/>
  <c r="J13" i="50" s="1"/>
  <c r="E8" i="73"/>
  <c r="E69" i="98" s="1"/>
  <c r="G304" i="50"/>
  <c r="G297" i="50"/>
  <c r="I297" i="50" s="1"/>
  <c r="J297" i="50" s="1"/>
  <c r="G302" i="50"/>
  <c r="G16" i="72"/>
  <c r="E42" i="98" s="1"/>
  <c r="G63" i="50"/>
  <c r="I63" i="50" s="1"/>
  <c r="J63" i="50" s="1"/>
  <c r="K12" i="68"/>
  <c r="G214" i="50"/>
  <c r="I214" i="50" s="1"/>
  <c r="J214" i="50" s="1"/>
  <c r="G27" i="68"/>
  <c r="G114" i="50"/>
  <c r="G113" i="50"/>
  <c r="I113" i="50" s="1"/>
  <c r="J113" i="50" s="1"/>
  <c r="G40" i="68"/>
  <c r="G159" i="50"/>
  <c r="I159" i="50" s="1"/>
  <c r="J159" i="50" s="1"/>
  <c r="G160" i="50"/>
  <c r="N2796" i="18"/>
  <c r="O2810" i="18" s="1"/>
  <c r="K178" i="50"/>
  <c r="K177" i="50"/>
  <c r="H11" i="72"/>
  <c r="K14" i="50"/>
  <c r="D105" i="47"/>
  <c r="K309" i="50"/>
  <c r="M309" i="50" s="1"/>
  <c r="N309" i="50" s="1"/>
  <c r="K310" i="50"/>
  <c r="L29" i="68"/>
  <c r="K253" i="50"/>
  <c r="K252" i="50"/>
  <c r="K251" i="50"/>
  <c r="K254" i="50"/>
  <c r="N2907" i="18"/>
  <c r="O2908" i="18" s="1"/>
  <c r="K185" i="50"/>
  <c r="M185" i="50" s="1"/>
  <c r="N185" i="50" s="1"/>
  <c r="L15" i="68"/>
  <c r="K217" i="50"/>
  <c r="K221" i="50"/>
  <c r="K218" i="50"/>
  <c r="M218" i="50" s="1"/>
  <c r="N218" i="50" s="1"/>
  <c r="K220" i="50"/>
  <c r="K223" i="50"/>
  <c r="K219" i="50"/>
  <c r="K222" i="50"/>
  <c r="L38" i="68"/>
  <c r="K267" i="50"/>
  <c r="M267" i="50" s="1"/>
  <c r="N267" i="50" s="1"/>
  <c r="L41" i="68"/>
  <c r="K279" i="50"/>
  <c r="K280" i="50"/>
  <c r="F26" i="73"/>
  <c r="K323" i="50"/>
  <c r="K322" i="50"/>
  <c r="M322" i="50" s="1"/>
  <c r="N322" i="50" s="1"/>
  <c r="L21" i="68"/>
  <c r="K233" i="50"/>
  <c r="K234" i="50"/>
  <c r="K231" i="50"/>
  <c r="K235" i="50"/>
  <c r="K232" i="50"/>
  <c r="L28" i="68"/>
  <c r="K250" i="50"/>
  <c r="F29" i="73"/>
  <c r="K325" i="50"/>
  <c r="M325" i="50" s="1"/>
  <c r="N325" i="50" s="1"/>
  <c r="K326" i="50"/>
  <c r="H36" i="72"/>
  <c r="K186" i="50"/>
  <c r="M186" i="50" s="1"/>
  <c r="N186" i="50" s="1"/>
  <c r="K187" i="50"/>
  <c r="N4150" i="18"/>
  <c r="K271" i="50"/>
  <c r="K270" i="50"/>
  <c r="Q32" i="71"/>
  <c r="D2596" i="18"/>
  <c r="N4065" i="18"/>
  <c r="Q4065" i="18"/>
  <c r="N4355" i="18"/>
  <c r="Q4355" i="18"/>
  <c r="N2797" i="18"/>
  <c r="L2643" i="18"/>
  <c r="L2645" i="18" s="1"/>
  <c r="N4001" i="18"/>
  <c r="N5356" i="18"/>
  <c r="O5356" i="18" s="1"/>
  <c r="Q4001" i="18"/>
  <c r="N4055" i="18"/>
  <c r="N5357" i="18"/>
  <c r="O5357" i="18" s="1"/>
  <c r="Q4055" i="18"/>
  <c r="N3535" i="18"/>
  <c r="Q3535" i="18"/>
  <c r="I3556" i="18"/>
  <c r="I3558" i="18" s="1"/>
  <c r="I3559" i="18" s="1"/>
  <c r="K3560" i="18" s="1"/>
  <c r="L3560" i="18" s="1"/>
  <c r="K2847" i="18"/>
  <c r="Q2847" i="18"/>
  <c r="N3972" i="18"/>
  <c r="Q3972" i="18"/>
  <c r="N3447" i="18"/>
  <c r="N5353" i="18"/>
  <c r="O5353" i="18" s="1"/>
  <c r="I3469" i="18"/>
  <c r="I3471" i="18" s="1"/>
  <c r="I3472" i="18" s="1"/>
  <c r="K3473" i="18" s="1"/>
  <c r="L3473" i="18" s="1"/>
  <c r="Q3447" i="18"/>
  <c r="N4151" i="18"/>
  <c r="Q4151" i="18"/>
  <c r="D1932" i="18"/>
  <c r="D1936" i="18"/>
  <c r="D1940" i="18"/>
  <c r="D1944" i="18"/>
  <c r="D1937" i="18"/>
  <c r="D1941" i="18"/>
  <c r="D1939" i="18"/>
  <c r="D1934" i="18"/>
  <c r="D1938" i="18"/>
  <c r="D1942" i="18"/>
  <c r="D1935" i="18"/>
  <c r="D2366" i="18"/>
  <c r="D2362" i="18"/>
  <c r="D2358" i="18"/>
  <c r="D2354" i="18"/>
  <c r="D2361" i="18"/>
  <c r="D2357" i="18"/>
  <c r="D2364" i="18"/>
  <c r="D2360" i="18"/>
  <c r="D2356" i="18"/>
  <c r="D2363" i="18"/>
  <c r="D2359" i="18"/>
  <c r="D2143" i="18"/>
  <c r="D2575" i="18"/>
  <c r="D3031" i="18"/>
  <c r="D3027" i="18"/>
  <c r="D3019" i="18"/>
  <c r="D3015" i="18"/>
  <c r="D3011" i="18"/>
  <c r="D3038" i="18"/>
  <c r="D3034" i="18"/>
  <c r="D3030" i="18"/>
  <c r="D3022" i="18"/>
  <c r="D3018" i="18"/>
  <c r="D3010" i="18"/>
  <c r="D3037" i="18"/>
  <c r="D3033" i="18"/>
  <c r="D3025" i="18"/>
  <c r="D3021" i="18"/>
  <c r="D3013" i="18"/>
  <c r="D3009" i="18"/>
  <c r="D3028" i="18"/>
  <c r="D3012" i="18"/>
  <c r="D3036" i="18"/>
  <c r="D3024" i="18"/>
  <c r="D3016" i="18"/>
  <c r="D3020" i="18"/>
  <c r="H4285" i="18"/>
  <c r="H4286" i="18" s="1"/>
  <c r="H4287" i="18" s="1"/>
  <c r="K4288" i="18" s="1"/>
  <c r="L4288" i="18" s="1"/>
  <c r="Q4273" i="18"/>
  <c r="N3731" i="18"/>
  <c r="Q3731" i="18"/>
  <c r="N10" i="18"/>
  <c r="O5384" i="18"/>
  <c r="P5384" i="18" s="1"/>
  <c r="Q10" i="18"/>
  <c r="N967" i="18"/>
  <c r="L938" i="18"/>
  <c r="Q967" i="18"/>
  <c r="N5355" i="18"/>
  <c r="O5355" i="18" s="1"/>
  <c r="N3833" i="18"/>
  <c r="I3854" i="18"/>
  <c r="L3769" i="18"/>
  <c r="I3855" i="18"/>
  <c r="Q3833" i="18"/>
  <c r="Q90" i="18"/>
  <c r="N90" i="18"/>
  <c r="N3436" i="18"/>
  <c r="N5352" i="18"/>
  <c r="O5352" i="18" s="1"/>
  <c r="Q3436" i="18"/>
  <c r="H3656" i="18"/>
  <c r="N3632" i="18"/>
  <c r="Q3632" i="18"/>
  <c r="N3310" i="18"/>
  <c r="O5391" i="18"/>
  <c r="P5391" i="18" s="1"/>
  <c r="Q3310" i="18"/>
  <c r="N1812" i="18"/>
  <c r="Q1812" i="18"/>
  <c r="O5389" i="18"/>
  <c r="P5389" i="18" s="1"/>
  <c r="N4291" i="18"/>
  <c r="Q4291" i="18"/>
  <c r="N3920" i="18"/>
  <c r="Q3920" i="18"/>
  <c r="N4122" i="18"/>
  <c r="N5358" i="18"/>
  <c r="O5358" i="18" s="1"/>
  <c r="Q4122" i="18"/>
  <c r="N3774" i="18"/>
  <c r="N5354" i="18"/>
  <c r="O5354" i="18" s="1"/>
  <c r="Q3774" i="18"/>
  <c r="L3767" i="18"/>
  <c r="D1498" i="18"/>
  <c r="D1502" i="18"/>
  <c r="D1506" i="18"/>
  <c r="D1503" i="18"/>
  <c r="D1504" i="18"/>
  <c r="D1499" i="18"/>
  <c r="D1496" i="18"/>
  <c r="D1500" i="18"/>
  <c r="D1508" i="18"/>
  <c r="D1501" i="18"/>
  <c r="D1505" i="18"/>
  <c r="D3029" i="18"/>
  <c r="D2585" i="18"/>
  <c r="D2007" i="18"/>
  <c r="D2011" i="18"/>
  <c r="D2004" i="18"/>
  <c r="D2008" i="18"/>
  <c r="D2006" i="18"/>
  <c r="D2005" i="18"/>
  <c r="D2009" i="18"/>
  <c r="N4251" i="18"/>
  <c r="Q4251" i="18"/>
  <c r="L937" i="18"/>
  <c r="Q944" i="18"/>
  <c r="N3931" i="18"/>
  <c r="Q3931" i="18"/>
  <c r="N3425" i="18"/>
  <c r="Q3425" i="18"/>
  <c r="K2431" i="18"/>
  <c r="H2458" i="18"/>
  <c r="H2459" i="18" s="1"/>
  <c r="H2460" i="18" s="1"/>
  <c r="K2461" i="18" s="1"/>
  <c r="L2461" i="18" s="1"/>
  <c r="D1933" i="18"/>
  <c r="N3983" i="18"/>
  <c r="L3995" i="18"/>
  <c r="L3996" i="18" s="1"/>
  <c r="L3997" i="18" s="1"/>
  <c r="K3998" i="18" s="1"/>
  <c r="L3998" i="18" s="1"/>
  <c r="Q3983" i="18"/>
  <c r="D2604" i="18"/>
  <c r="D2608" i="18"/>
  <c r="D2612" i="18"/>
  <c r="D2616" i="18"/>
  <c r="D2605" i="18"/>
  <c r="D2609" i="18"/>
  <c r="D2613" i="18"/>
  <c r="D2603" i="18"/>
  <c r="D2607" i="18"/>
  <c r="D2611" i="18"/>
  <c r="D2602" i="18"/>
  <c r="D2606" i="18"/>
  <c r="D2614" i="18"/>
  <c r="D2561" i="18"/>
  <c r="D2565" i="18"/>
  <c r="D2569" i="18"/>
  <c r="D2573" i="18"/>
  <c r="D2577" i="18"/>
  <c r="D2581" i="18"/>
  <c r="D2589" i="18"/>
  <c r="D2593" i="18"/>
  <c r="D2562" i="18"/>
  <c r="D2566" i="18"/>
  <c r="D2570" i="18"/>
  <c r="D2574" i="18"/>
  <c r="D2586" i="18"/>
  <c r="D2590" i="18"/>
  <c r="D2594" i="18"/>
  <c r="D2564" i="18"/>
  <c r="D2576" i="18"/>
  <c r="D2580" i="18"/>
  <c r="D2584" i="18"/>
  <c r="D2563" i="18"/>
  <c r="D2567" i="18"/>
  <c r="D2571" i="18"/>
  <c r="D2579" i="18"/>
  <c r="D2583" i="18"/>
  <c r="D2587" i="18"/>
  <c r="D2591" i="18"/>
  <c r="D2595" i="18"/>
  <c r="D2560" i="18"/>
  <c r="L1320" i="18"/>
  <c r="L1322" i="18" s="1"/>
  <c r="L1323" i="18" s="1"/>
  <c r="K1324" i="18" s="1"/>
  <c r="L1324" i="18" s="1"/>
  <c r="N988" i="18"/>
  <c r="O5387" i="18"/>
  <c r="P5387" i="18" s="1"/>
  <c r="I1008" i="18"/>
  <c r="N3805" i="18"/>
  <c r="L3768" i="18"/>
  <c r="Q3805" i="18"/>
  <c r="N109" i="18"/>
  <c r="Q109" i="18"/>
  <c r="N3290" i="18"/>
  <c r="I3304" i="18"/>
  <c r="I3305" i="18" s="1"/>
  <c r="I3306" i="18" s="1"/>
  <c r="K3307" i="18" s="1"/>
  <c r="L3307" i="18" s="1"/>
  <c r="Q3290" i="18"/>
  <c r="N2877" i="18"/>
  <c r="I2892" i="18"/>
  <c r="I2893" i="18" s="1"/>
  <c r="I2894" i="18" s="1"/>
  <c r="K2895" i="18" s="1"/>
  <c r="L2895" i="18" s="1"/>
  <c r="L4897" i="18"/>
  <c r="M4897" i="18" s="1"/>
  <c r="M4905" i="18" s="1"/>
  <c r="N3323" i="18"/>
  <c r="Q3323" i="18"/>
  <c r="N5351" i="18"/>
  <c r="O5351" i="18" s="1"/>
  <c r="N4265" i="18"/>
  <c r="Q4265" i="18"/>
  <c r="N3413" i="18"/>
  <c r="Q3413" i="18"/>
  <c r="N1790" i="18"/>
  <c r="Q1790" i="18"/>
  <c r="O5390" i="18"/>
  <c r="P5390" i="18" s="1"/>
  <c r="I1007" i="18"/>
  <c r="Q1013" i="18"/>
  <c r="L1403" i="18"/>
  <c r="L1405" i="18" s="1"/>
  <c r="L1406" i="18" s="1"/>
  <c r="K1407" i="18" s="1"/>
  <c r="L1407" i="18" s="1"/>
  <c r="L939" i="18"/>
  <c r="N4172" i="18"/>
  <c r="Q4172" i="18"/>
  <c r="D2152" i="18"/>
  <c r="D2148" i="18"/>
  <c r="D2144" i="18"/>
  <c r="D2151" i="18"/>
  <c r="D2147" i="18"/>
  <c r="D2154" i="18"/>
  <c r="D2150" i="18"/>
  <c r="D2146" i="18"/>
  <c r="D2142" i="18"/>
  <c r="D2149" i="18"/>
  <c r="D2145" i="18"/>
  <c r="R29" i="71"/>
  <c r="D58" i="51"/>
  <c r="I58" i="51" s="1"/>
  <c r="J58" i="51" s="1"/>
  <c r="K3773" i="18"/>
  <c r="L3774" i="18" s="1"/>
  <c r="Q17" i="75"/>
  <c r="Q16" i="75" s="1"/>
  <c r="H20" i="72"/>
  <c r="D78" i="47"/>
  <c r="AA34" i="71"/>
  <c r="U28" i="71"/>
  <c r="Y26" i="75"/>
  <c r="AA33" i="75"/>
  <c r="D117" i="51"/>
  <c r="I117" i="51" s="1"/>
  <c r="J117" i="51" s="1"/>
  <c r="L56" i="68"/>
  <c r="Z52" i="71" s="1"/>
  <c r="N4054" i="18"/>
  <c r="O4100" i="18" s="1"/>
  <c r="N3216" i="18"/>
  <c r="O3217" i="18" s="1"/>
  <c r="H21" i="68"/>
  <c r="D21" i="47"/>
  <c r="D58" i="47"/>
  <c r="Y19" i="71"/>
  <c r="Y16" i="71" s="1"/>
  <c r="U29" i="75"/>
  <c r="U12" i="71"/>
  <c r="N4427" i="18"/>
  <c r="O4441" i="18" s="1"/>
  <c r="N4953" i="18"/>
  <c r="O4954" i="18" s="1"/>
  <c r="Y20" i="75"/>
  <c r="Y12" i="71"/>
  <c r="H49" i="68"/>
  <c r="H39" i="72"/>
  <c r="E247" i="98" s="1"/>
  <c r="M861" i="5"/>
  <c r="L47" i="72"/>
  <c r="L55" i="68"/>
  <c r="Y52" i="71" s="1"/>
  <c r="H29" i="71"/>
  <c r="L41" i="72"/>
  <c r="S51" i="75" s="1"/>
  <c r="M371" i="5"/>
  <c r="U15" i="71" s="1"/>
  <c r="D49" i="51"/>
  <c r="I49" i="51" s="1"/>
  <c r="J49" i="51" s="1"/>
  <c r="D94" i="51"/>
  <c r="I94" i="51" s="1"/>
  <c r="J94" i="51" s="1"/>
  <c r="D88" i="51"/>
  <c r="I88" i="51" s="1"/>
  <c r="J88" i="51" s="1"/>
  <c r="N3384" i="18"/>
  <c r="O3398" i="18" s="1"/>
  <c r="X19" i="71"/>
  <c r="L9" i="72"/>
  <c r="O9" i="71"/>
  <c r="D21" i="51"/>
  <c r="I21" i="51" s="1"/>
  <c r="J21" i="51" s="1"/>
  <c r="K5072" i="18"/>
  <c r="L5073" i="18" s="1"/>
  <c r="H26" i="72"/>
  <c r="D30" i="75"/>
  <c r="D31" i="71"/>
  <c r="I30" i="75"/>
  <c r="I31" i="71"/>
  <c r="V30" i="75"/>
  <c r="V31" i="71"/>
  <c r="J30" i="75"/>
  <c r="J31" i="71"/>
  <c r="M30" i="75"/>
  <c r="M31" i="71"/>
  <c r="K30" i="75"/>
  <c r="K31" i="71"/>
  <c r="G30" i="75"/>
  <c r="G31" i="71"/>
  <c r="Z30" i="75"/>
  <c r="Z25" i="75" s="1"/>
  <c r="AA31" i="71"/>
  <c r="D101" i="47"/>
  <c r="D67" i="47"/>
  <c r="D61" i="52"/>
  <c r="F26" i="52" s="1"/>
  <c r="AB20" i="75"/>
  <c r="L46" i="72"/>
  <c r="M865" i="5"/>
  <c r="E30" i="75"/>
  <c r="E31" i="71"/>
  <c r="L30" i="75"/>
  <c r="L31" i="71"/>
  <c r="O30" i="75"/>
  <c r="O31" i="71"/>
  <c r="Q30" i="75"/>
  <c r="Q31" i="71"/>
  <c r="F30" i="75"/>
  <c r="F31" i="71"/>
  <c r="H30" i="75"/>
  <c r="H31" i="71"/>
  <c r="N30" i="75"/>
  <c r="N31" i="71"/>
  <c r="X30" i="75"/>
  <c r="X25" i="75" s="1"/>
  <c r="X31" i="71"/>
  <c r="Y30" i="75"/>
  <c r="Y31" i="71"/>
  <c r="U30" i="75"/>
  <c r="U31" i="71"/>
  <c r="N3174" i="18"/>
  <c r="O3175" i="18" s="1"/>
  <c r="D94" i="47"/>
  <c r="V24" i="75"/>
  <c r="V21" i="75" s="1"/>
  <c r="U19" i="75"/>
  <c r="U16" i="75" s="1"/>
  <c r="F57" i="69"/>
  <c r="S30" i="75"/>
  <c r="S25" i="75" s="1"/>
  <c r="S31" i="71"/>
  <c r="T30" i="75"/>
  <c r="T25" i="75" s="1"/>
  <c r="T31" i="71"/>
  <c r="R30" i="75"/>
  <c r="R25" i="75" s="1"/>
  <c r="R31" i="71"/>
  <c r="W30" i="75"/>
  <c r="W25" i="75" s="1"/>
  <c r="W31" i="71"/>
  <c r="D117" i="47"/>
  <c r="D93" i="51"/>
  <c r="I93" i="51" s="1"/>
  <c r="J93" i="51" s="1"/>
  <c r="D49" i="47"/>
  <c r="F40" i="69"/>
  <c r="D50" i="51"/>
  <c r="I50" i="51" s="1"/>
  <c r="J50" i="51" s="1"/>
  <c r="L22" i="72"/>
  <c r="D50" i="47"/>
  <c r="N3191" i="18"/>
  <c r="O3192" i="18" s="1"/>
  <c r="D63" i="51"/>
  <c r="I63" i="51" s="1"/>
  <c r="J63" i="51" s="1"/>
  <c r="N2411" i="18"/>
  <c r="O2412" i="18" s="1"/>
  <c r="O35" i="71"/>
  <c r="L337" i="5"/>
  <c r="L360" i="5" s="1"/>
  <c r="Z26" i="71"/>
  <c r="M534" i="5"/>
  <c r="Z15" i="71" s="1"/>
  <c r="F39" i="73"/>
  <c r="H45" i="68"/>
  <c r="L35" i="68"/>
  <c r="N3919" i="18"/>
  <c r="D31" i="47"/>
  <c r="D101" i="51"/>
  <c r="I101" i="51" s="1"/>
  <c r="J101" i="51" s="1"/>
  <c r="H9" i="72"/>
  <c r="F60" i="69"/>
  <c r="L36" i="68"/>
  <c r="Q9" i="71"/>
  <c r="Q18" i="71"/>
  <c r="U9" i="75"/>
  <c r="D119" i="47"/>
  <c r="AB28" i="71"/>
  <c r="D75" i="51"/>
  <c r="I75" i="51" s="1"/>
  <c r="J75" i="51" s="1"/>
  <c r="D10" i="48"/>
  <c r="N4333" i="18"/>
  <c r="O4344" i="18" s="1"/>
  <c r="L48" i="68"/>
  <c r="N4966" i="18"/>
  <c r="O4967" i="18" s="1"/>
  <c r="F8" i="69"/>
  <c r="F7" i="69" s="1"/>
  <c r="D75" i="47"/>
  <c r="I75" i="47" s="1"/>
  <c r="J75" i="47" s="1"/>
  <c r="AA25" i="71"/>
  <c r="AA32" i="71"/>
  <c r="F45" i="73"/>
  <c r="H35" i="68"/>
  <c r="L20" i="72"/>
  <c r="D69" i="47"/>
  <c r="D119" i="51"/>
  <c r="I119" i="51" s="1"/>
  <c r="J119" i="51" s="1"/>
  <c r="N2919" i="18"/>
  <c r="O2982" i="18" s="1"/>
  <c r="D46" i="47"/>
  <c r="F42" i="69"/>
  <c r="D46" i="51"/>
  <c r="I46" i="51" s="1"/>
  <c r="J46" i="51" s="1"/>
  <c r="AA24" i="75"/>
  <c r="Q23" i="75"/>
  <c r="Y17" i="75"/>
  <c r="Q36" i="71"/>
  <c r="T25" i="71"/>
  <c r="W18" i="71"/>
  <c r="S32" i="71"/>
  <c r="R22" i="71"/>
  <c r="W35" i="71"/>
  <c r="W32" i="75"/>
  <c r="W36" i="71"/>
  <c r="W11" i="71"/>
  <c r="N4490" i="18"/>
  <c r="O4502" i="18" s="1"/>
  <c r="N1946" i="18"/>
  <c r="O1947" i="18" s="1"/>
  <c r="D88" i="47"/>
  <c r="H19" i="72"/>
  <c r="R21" i="75"/>
  <c r="D83" i="51"/>
  <c r="I83" i="51" s="1"/>
  <c r="J83" i="51" s="1"/>
  <c r="S19" i="71"/>
  <c r="T32" i="71"/>
  <c r="D69" i="51"/>
  <c r="I69" i="51" s="1"/>
  <c r="J69" i="51" s="1"/>
  <c r="D25" i="51"/>
  <c r="I25" i="51" s="1"/>
  <c r="J25" i="51" s="1"/>
  <c r="D51" i="51"/>
  <c r="I51" i="51" s="1"/>
  <c r="J51" i="51" s="1"/>
  <c r="F67" i="47"/>
  <c r="N933" i="18"/>
  <c r="E45" i="70"/>
  <c r="T30" i="71"/>
  <c r="F55" i="69"/>
  <c r="AA31" i="75"/>
  <c r="D50" i="52"/>
  <c r="D51" i="47"/>
  <c r="N1763" i="18"/>
  <c r="D25" i="47"/>
  <c r="F113" i="47"/>
  <c r="W20" i="71"/>
  <c r="H41" i="72"/>
  <c r="E249" i="98" s="1"/>
  <c r="V34" i="71"/>
  <c r="X9" i="75"/>
  <c r="E23" i="73"/>
  <c r="E72" i="8" s="1"/>
  <c r="F738" i="5" s="1"/>
  <c r="I738" i="5" s="1"/>
  <c r="M629" i="5"/>
  <c r="D45" i="52"/>
  <c r="D46" i="52" s="1"/>
  <c r="F47" i="52" s="1"/>
  <c r="F15" i="52" s="1"/>
  <c r="D24" i="47"/>
  <c r="N4110" i="18"/>
  <c r="D49" i="52"/>
  <c r="N4636" i="18"/>
  <c r="O4637" i="18" s="1"/>
  <c r="D76" i="48"/>
  <c r="D78" i="48" s="1"/>
  <c r="D79" i="48" s="1"/>
  <c r="D23" i="48" s="1"/>
  <c r="D14" i="47"/>
  <c r="D14" i="51"/>
  <c r="I14" i="51" s="1"/>
  <c r="J14" i="51" s="1"/>
  <c r="D48" i="47"/>
  <c r="F9" i="73"/>
  <c r="W29" i="71"/>
  <c r="Q22" i="75"/>
  <c r="M372" i="5"/>
  <c r="T11" i="71"/>
  <c r="AA22" i="71"/>
  <c r="U17" i="71"/>
  <c r="V19" i="71"/>
  <c r="V9" i="75"/>
  <c r="V26" i="75"/>
  <c r="U27" i="71"/>
  <c r="Y24" i="71"/>
  <c r="Y34" i="71"/>
  <c r="Y33" i="71" s="1"/>
  <c r="U24" i="75"/>
  <c r="Z33" i="71"/>
  <c r="N4728" i="18"/>
  <c r="O4729" i="18" s="1"/>
  <c r="M172" i="5"/>
  <c r="D70" i="47"/>
  <c r="AA19" i="75"/>
  <c r="L23" i="68"/>
  <c r="AA19" i="71"/>
  <c r="N1616" i="18"/>
  <c r="O1617" i="18" s="1"/>
  <c r="N3042" i="18"/>
  <c r="O3149" i="18" s="1"/>
  <c r="N3621" i="18"/>
  <c r="D64" i="47"/>
  <c r="D103" i="51"/>
  <c r="I103" i="51" s="1"/>
  <c r="J103" i="51" s="1"/>
  <c r="D24" i="51"/>
  <c r="I24" i="51" s="1"/>
  <c r="J24" i="51" s="1"/>
  <c r="D110" i="47"/>
  <c r="I110" i="47" s="1"/>
  <c r="J110" i="47" s="1"/>
  <c r="V18" i="71"/>
  <c r="F21" i="69"/>
  <c r="N2156" i="18"/>
  <c r="O2191" i="18" s="1"/>
  <c r="N4830" i="18"/>
  <c r="O4831" i="18" s="1"/>
  <c r="D64" i="51"/>
  <c r="I64" i="51" s="1"/>
  <c r="J64" i="51" s="1"/>
  <c r="N4416" i="18"/>
  <c r="O4417" i="18" s="1"/>
  <c r="D19" i="51"/>
  <c r="I19" i="51" s="1"/>
  <c r="J19" i="51" s="1"/>
  <c r="D87" i="47"/>
  <c r="D66" i="51"/>
  <c r="I66" i="51" s="1"/>
  <c r="J66" i="51" s="1"/>
  <c r="D116" i="47"/>
  <c r="H31" i="72"/>
  <c r="L40" i="72"/>
  <c r="R51" i="75" s="1"/>
  <c r="F48" i="69"/>
  <c r="N70" i="18"/>
  <c r="O71" i="18" s="1"/>
  <c r="M251" i="5"/>
  <c r="Q35" i="71"/>
  <c r="M502" i="5"/>
  <c r="Q19" i="71"/>
  <c r="Y18" i="75"/>
  <c r="R20" i="71"/>
  <c r="R15" i="71"/>
  <c r="M339" i="5"/>
  <c r="S22" i="71"/>
  <c r="S25" i="71"/>
  <c r="S11" i="71"/>
  <c r="W13" i="75"/>
  <c r="R36" i="71"/>
  <c r="T18" i="71"/>
  <c r="R30" i="71"/>
  <c r="T17" i="71"/>
  <c r="W28" i="71"/>
  <c r="D13" i="47"/>
  <c r="D71" i="47"/>
  <c r="AA17" i="71"/>
  <c r="L30" i="68"/>
  <c r="F50" i="69"/>
  <c r="M422" i="5"/>
  <c r="M415" i="5" s="1"/>
  <c r="D22" i="47"/>
  <c r="N3804" i="18"/>
  <c r="O3805" i="18" s="1"/>
  <c r="N3930" i="18"/>
  <c r="O3951" i="18" s="1"/>
  <c r="N3534" i="18"/>
  <c r="O3545" i="18" s="1"/>
  <c r="N3971" i="18"/>
  <c r="N943" i="18"/>
  <c r="O944" i="18" s="1"/>
  <c r="X29" i="71"/>
  <c r="V12" i="75"/>
  <c r="AC12" i="75" s="1"/>
  <c r="L18" i="72"/>
  <c r="V35" i="71"/>
  <c r="AA17" i="75"/>
  <c r="Y10" i="71"/>
  <c r="F36" i="73"/>
  <c r="K32" i="71"/>
  <c r="D68" i="51"/>
  <c r="I68" i="51" s="1"/>
  <c r="J68" i="51" s="1"/>
  <c r="AA23" i="75"/>
  <c r="V28" i="75"/>
  <c r="F59" i="69"/>
  <c r="F38" i="73"/>
  <c r="L15" i="72"/>
  <c r="L14" i="72"/>
  <c r="D22" i="51"/>
  <c r="I22" i="51" s="1"/>
  <c r="J22" i="51" s="1"/>
  <c r="D67" i="51"/>
  <c r="I67" i="51" s="1"/>
  <c r="J67" i="51" s="1"/>
  <c r="D68" i="47"/>
  <c r="D63" i="47"/>
  <c r="N4264" i="18"/>
  <c r="O4265" i="18" s="1"/>
  <c r="D76" i="47"/>
  <c r="K2820" i="18"/>
  <c r="W12" i="71"/>
  <c r="H17" i="72"/>
  <c r="AB24" i="71"/>
  <c r="L13" i="72"/>
  <c r="L19" i="72"/>
  <c r="AA29" i="75"/>
  <c r="Z16" i="75"/>
  <c r="D73" i="48"/>
  <c r="D74" i="48" s="1"/>
  <c r="D42" i="51"/>
  <c r="I42" i="51" s="1"/>
  <c r="J42" i="51" s="1"/>
  <c r="D42" i="47"/>
  <c r="I42" i="47" s="1"/>
  <c r="J42" i="47" s="1"/>
  <c r="N3446" i="18"/>
  <c r="O4140" i="18" s="1"/>
  <c r="S34" i="71"/>
  <c r="W17" i="71"/>
  <c r="L49" i="68"/>
  <c r="R52" i="71" s="1"/>
  <c r="Y28" i="71"/>
  <c r="F51" i="73"/>
  <c r="V28" i="71"/>
  <c r="AB18" i="75"/>
  <c r="L275" i="5"/>
  <c r="L298" i="5" s="1"/>
  <c r="W16" i="75"/>
  <c r="S32" i="75"/>
  <c r="L21" i="72"/>
  <c r="F23" i="69"/>
  <c r="K465" i="5"/>
  <c r="K490" i="5" s="1"/>
  <c r="D80" i="47"/>
  <c r="F36" i="69"/>
  <c r="N3773" i="18"/>
  <c r="L50" i="68"/>
  <c r="S52" i="71" s="1"/>
  <c r="M585" i="5"/>
  <c r="Q30" i="71"/>
  <c r="Z32" i="75"/>
  <c r="AA30" i="71"/>
  <c r="N89" i="18"/>
  <c r="D57" i="47"/>
  <c r="D60" i="47"/>
  <c r="D12" i="48"/>
  <c r="D68" i="52"/>
  <c r="D104" i="51"/>
  <c r="I104" i="51" s="1"/>
  <c r="J104" i="51" s="1"/>
  <c r="N2031" i="18"/>
  <c r="O2032" i="18" s="1"/>
  <c r="N4666" i="18"/>
  <c r="O4667" i="18" s="1"/>
  <c r="R27" i="71"/>
  <c r="N966" i="18"/>
  <c r="AA20" i="71"/>
  <c r="D61" i="51"/>
  <c r="I61" i="51" s="1"/>
  <c r="J61" i="51" s="1"/>
  <c r="F17" i="73"/>
  <c r="H27" i="72"/>
  <c r="L30" i="72"/>
  <c r="AA34" i="75"/>
  <c r="M568" i="5"/>
  <c r="D114" i="51"/>
  <c r="I114" i="51" s="1"/>
  <c r="J114" i="51" s="1"/>
  <c r="N4885" i="18"/>
  <c r="O4886" i="18" s="1"/>
  <c r="D32" i="51"/>
  <c r="I32" i="51" s="1"/>
  <c r="J32" i="51" s="1"/>
  <c r="D113" i="47"/>
  <c r="D104" i="47"/>
  <c r="N2820" i="18"/>
  <c r="D107" i="48"/>
  <c r="D113" i="51"/>
  <c r="I113" i="51" s="1"/>
  <c r="J113" i="51" s="1"/>
  <c r="X30" i="71"/>
  <c r="V32" i="71"/>
  <c r="H36" i="68"/>
  <c r="AA35" i="71"/>
  <c r="N4171" i="18"/>
  <c r="T21" i="75"/>
  <c r="M404" i="5"/>
  <c r="V15" i="71" s="1"/>
  <c r="L597" i="5"/>
  <c r="L622" i="5" s="1"/>
  <c r="K337" i="5"/>
  <c r="K360" i="5" s="1"/>
  <c r="M228" i="5"/>
  <c r="M246" i="5"/>
  <c r="D82" i="51"/>
  <c r="I82" i="51" s="1"/>
  <c r="J82" i="51" s="1"/>
  <c r="T20" i="71"/>
  <c r="Y36" i="71"/>
  <c r="X24" i="71"/>
  <c r="U20" i="71"/>
  <c r="F20" i="73"/>
  <c r="AA22" i="75"/>
  <c r="M552" i="5"/>
  <c r="M618" i="5"/>
  <c r="D92" i="47"/>
  <c r="N3309" i="18"/>
  <c r="D61" i="47"/>
  <c r="D107" i="51"/>
  <c r="I107" i="51" s="1"/>
  <c r="J107" i="51" s="1"/>
  <c r="D82" i="47"/>
  <c r="N2638" i="18"/>
  <c r="O2639" i="18" s="1"/>
  <c r="D52" i="47"/>
  <c r="S20" i="71"/>
  <c r="W32" i="71"/>
  <c r="H14" i="72"/>
  <c r="AB34" i="75"/>
  <c r="AB32" i="75" s="1"/>
  <c r="AB29" i="71"/>
  <c r="AA28" i="71"/>
  <c r="AA20" i="75"/>
  <c r="L54" i="68"/>
  <c r="X52" i="71" s="1"/>
  <c r="U31" i="75"/>
  <c r="X11" i="71"/>
  <c r="F12" i="73"/>
  <c r="X35" i="71"/>
  <c r="X33" i="71" s="1"/>
  <c r="L33" i="72"/>
  <c r="F10" i="73"/>
  <c r="F13" i="73"/>
  <c r="F49" i="73"/>
  <c r="H38" i="72"/>
  <c r="E246" i="98" s="1"/>
  <c r="D79" i="51"/>
  <c r="I79" i="51" s="1"/>
  <c r="J79" i="51" s="1"/>
  <c r="N4000" i="18"/>
  <c r="O4001" i="18" s="1"/>
  <c r="M734" i="5"/>
  <c r="M446" i="5"/>
  <c r="D106" i="51"/>
  <c r="I106" i="51" s="1"/>
  <c r="J106" i="51" s="1"/>
  <c r="D33" i="47"/>
  <c r="D110" i="51"/>
  <c r="I110" i="51" s="1"/>
  <c r="J110" i="51" s="1"/>
  <c r="D19" i="47"/>
  <c r="M217" i="5"/>
  <c r="M611" i="5"/>
  <c r="M573" i="5"/>
  <c r="D48" i="51"/>
  <c r="I48" i="51" s="1"/>
  <c r="J48" i="51" s="1"/>
  <c r="D41" i="51"/>
  <c r="I41" i="51" s="1"/>
  <c r="J41" i="51" s="1"/>
  <c r="N2519" i="18"/>
  <c r="O2520" i="18" s="1"/>
  <c r="D40" i="51"/>
  <c r="I40" i="51" s="1"/>
  <c r="J40" i="51" s="1"/>
  <c r="D92" i="51"/>
  <c r="I92" i="51" s="1"/>
  <c r="J92" i="51" s="1"/>
  <c r="N3763" i="18"/>
  <c r="N2496" i="18"/>
  <c r="O2497" i="18" s="1"/>
  <c r="D37" i="47"/>
  <c r="N4311" i="18"/>
  <c r="O4321" i="18" s="1"/>
  <c r="D66" i="47"/>
  <c r="S17" i="71"/>
  <c r="T35" i="71"/>
  <c r="T33" i="71" s="1"/>
  <c r="S24" i="71"/>
  <c r="D37" i="51"/>
  <c r="I37" i="51" s="1"/>
  <c r="J37" i="51" s="1"/>
  <c r="AA27" i="75"/>
  <c r="AC27" i="75" s="1"/>
  <c r="D38" i="47"/>
  <c r="AA9" i="71"/>
  <c r="L45" i="72"/>
  <c r="Q12" i="71"/>
  <c r="X24" i="75"/>
  <c r="X21" i="75" s="1"/>
  <c r="L31" i="72"/>
  <c r="D79" i="47"/>
  <c r="D33" i="51"/>
  <c r="I33" i="51" s="1"/>
  <c r="J33" i="51" s="1"/>
  <c r="K121" i="5"/>
  <c r="D38" i="51"/>
  <c r="I38" i="51" s="1"/>
  <c r="J38" i="51" s="1"/>
  <c r="D87" i="51"/>
  <c r="I87" i="51" s="1"/>
  <c r="J87" i="51" s="1"/>
  <c r="W34" i="71"/>
  <c r="T12" i="71"/>
  <c r="R19" i="71"/>
  <c r="U35" i="75"/>
  <c r="Q20" i="71"/>
  <c r="AA28" i="75"/>
  <c r="V24" i="71"/>
  <c r="V21" i="71" s="1"/>
  <c r="AB22" i="75"/>
  <c r="AB21" i="75" s="1"/>
  <c r="AB32" i="71"/>
  <c r="L38" i="72"/>
  <c r="L34" i="72"/>
  <c r="S21" i="75"/>
  <c r="M639" i="5"/>
  <c r="K401" i="5"/>
  <c r="K426" i="5" s="1"/>
  <c r="M644" i="5"/>
  <c r="L306" i="5"/>
  <c r="L329" i="5" s="1"/>
  <c r="Y28" i="75"/>
  <c r="M833" i="5"/>
  <c r="AB10" i="75"/>
  <c r="M377" i="5"/>
  <c r="Z13" i="71"/>
  <c r="N4808" i="18"/>
  <c r="O4809" i="18" s="1"/>
  <c r="D53" i="51"/>
  <c r="I53" i="51" s="1"/>
  <c r="J53" i="51" s="1"/>
  <c r="D77" i="47"/>
  <c r="D109" i="51"/>
  <c r="I109" i="51" s="1"/>
  <c r="J109" i="51" s="1"/>
  <c r="D53" i="47"/>
  <c r="S27" i="71"/>
  <c r="R34" i="71"/>
  <c r="R28" i="71"/>
  <c r="R10" i="71"/>
  <c r="S10" i="71"/>
  <c r="L12" i="72"/>
  <c r="AB15" i="71"/>
  <c r="L40" i="68"/>
  <c r="F29" i="69"/>
  <c r="L11" i="72"/>
  <c r="D74" i="51"/>
  <c r="I74" i="51" s="1"/>
  <c r="J74" i="51" s="1"/>
  <c r="L109" i="5"/>
  <c r="S13" i="75"/>
  <c r="R32" i="75"/>
  <c r="Z16" i="71"/>
  <c r="M634" i="5"/>
  <c r="M540" i="5"/>
  <c r="M282" i="5"/>
  <c r="M578" i="5"/>
  <c r="K565" i="5"/>
  <c r="K210" i="5" s="1"/>
  <c r="D77" i="51"/>
  <c r="I77" i="51" s="1"/>
  <c r="J77" i="51" s="1"/>
  <c r="D63" i="52"/>
  <c r="N3242" i="18"/>
  <c r="O3244" i="18" s="1"/>
  <c r="D80" i="51"/>
  <c r="I80" i="51" s="1"/>
  <c r="J80" i="51" s="1"/>
  <c r="D60" i="51"/>
  <c r="I60" i="51" s="1"/>
  <c r="J60" i="51" s="1"/>
  <c r="N4907" i="18"/>
  <c r="O4908" i="18" s="1"/>
  <c r="R12" i="71"/>
  <c r="W19" i="71"/>
  <c r="X22" i="71"/>
  <c r="AB9" i="75"/>
  <c r="U11" i="71"/>
  <c r="AB29" i="75"/>
  <c r="AB25" i="75" s="1"/>
  <c r="L8" i="68"/>
  <c r="Y32" i="71"/>
  <c r="U35" i="71"/>
  <c r="V20" i="75"/>
  <c r="V16" i="75" s="1"/>
  <c r="H43" i="72"/>
  <c r="E250" i="98" s="1"/>
  <c r="H35" i="72"/>
  <c r="E241" i="98" s="1"/>
  <c r="F19" i="73"/>
  <c r="L13" i="68"/>
  <c r="F24" i="73"/>
  <c r="H10" i="72"/>
  <c r="H42" i="72"/>
  <c r="E123" i="98" s="1"/>
  <c r="K169" i="5"/>
  <c r="M169" i="5" s="1"/>
  <c r="AA30" i="75"/>
  <c r="L34" i="68"/>
  <c r="D74" i="47"/>
  <c r="K531" i="5"/>
  <c r="K556" i="5" s="1"/>
  <c r="M313" i="5"/>
  <c r="M325" i="5"/>
  <c r="D23" i="51"/>
  <c r="I23" i="51" s="1"/>
  <c r="J23" i="51" s="1"/>
  <c r="D43" i="51"/>
  <c r="I43" i="51" s="1"/>
  <c r="J43" i="51" s="1"/>
  <c r="S35" i="71"/>
  <c r="H18" i="72"/>
  <c r="AA9" i="75"/>
  <c r="L465" i="5"/>
  <c r="L490" i="5" s="1"/>
  <c r="M367" i="5"/>
  <c r="R13" i="75"/>
  <c r="L171" i="5"/>
  <c r="L170" i="5" s="1"/>
  <c r="L117" i="5" s="1"/>
  <c r="M512" i="5"/>
  <c r="M356" i="5"/>
  <c r="D23" i="47"/>
  <c r="N3435" i="18"/>
  <c r="D15" i="47"/>
  <c r="M436" i="5"/>
  <c r="M474" i="5"/>
  <c r="D36" i="47"/>
  <c r="D114" i="47"/>
  <c r="D43" i="47"/>
  <c r="D52" i="51"/>
  <c r="I52" i="51" s="1"/>
  <c r="J52" i="51" s="1"/>
  <c r="D15" i="51"/>
  <c r="I15" i="51" s="1"/>
  <c r="J15" i="51" s="1"/>
  <c r="R25" i="71"/>
  <c r="S29" i="71"/>
  <c r="W27" i="71"/>
  <c r="D30" i="47"/>
  <c r="L64" i="5"/>
  <c r="K306" i="5"/>
  <c r="K329" i="5" s="1"/>
  <c r="D106" i="47"/>
  <c r="M453" i="5"/>
  <c r="M410" i="5"/>
  <c r="N2647" i="18"/>
  <c r="O2748" i="18" s="1"/>
  <c r="D40" i="47"/>
  <c r="D107" i="47"/>
  <c r="N697" i="18"/>
  <c r="O698" i="18" s="1"/>
  <c r="N3243" i="18"/>
  <c r="O3260" i="18" s="1"/>
  <c r="N4753" i="18"/>
  <c r="O4754" i="18" s="1"/>
  <c r="T22" i="71"/>
  <c r="R18" i="71"/>
  <c r="H32" i="72"/>
  <c r="AA29" i="71"/>
  <c r="F14" i="73"/>
  <c r="H34" i="72"/>
  <c r="E240" i="98" s="1"/>
  <c r="H28" i="72"/>
  <c r="I468" i="5"/>
  <c r="K15" i="71" s="1"/>
  <c r="N4290" i="18"/>
  <c r="K230" i="5"/>
  <c r="L498" i="5"/>
  <c r="L523" i="5" s="1"/>
  <c r="T13" i="75"/>
  <c r="L218" i="5"/>
  <c r="K223" i="5"/>
  <c r="L230" i="5"/>
  <c r="M206" i="5"/>
  <c r="L401" i="5"/>
  <c r="L426" i="5" s="1"/>
  <c r="L531" i="5"/>
  <c r="L556" i="5" s="1"/>
  <c r="K242" i="5"/>
  <c r="K267" i="5" s="1"/>
  <c r="Z21" i="71"/>
  <c r="M633" i="5"/>
  <c r="M818" i="5" s="1"/>
  <c r="M469" i="5"/>
  <c r="M389" i="5"/>
  <c r="K597" i="5"/>
  <c r="K622" i="5" s="1"/>
  <c r="K275" i="5"/>
  <c r="K298" i="5" s="1"/>
  <c r="D83" i="47"/>
  <c r="L28" i="72"/>
  <c r="K171" i="5"/>
  <c r="K170" i="5" s="1"/>
  <c r="K117" i="5" s="1"/>
  <c r="R16" i="75"/>
  <c r="M530" i="5"/>
  <c r="M507" i="5"/>
  <c r="S16" i="75"/>
  <c r="L208" i="5"/>
  <c r="M205" i="5"/>
  <c r="M535" i="5"/>
  <c r="V36" i="71"/>
  <c r="K498" i="5"/>
  <c r="K523" i="5" s="1"/>
  <c r="M211" i="5"/>
  <c r="K218" i="5"/>
  <c r="M651" i="5"/>
  <c r="K208" i="5"/>
  <c r="M433" i="5"/>
  <c r="M479" i="5"/>
  <c r="D45" i="47"/>
  <c r="D20" i="47"/>
  <c r="N4922" i="18"/>
  <c r="O4923" i="18" s="1"/>
  <c r="D81" i="47"/>
  <c r="M132" i="5"/>
  <c r="W30" i="71"/>
  <c r="AB35" i="75"/>
  <c r="Q28" i="75"/>
  <c r="X27" i="71"/>
  <c r="Y22" i="71"/>
  <c r="AA10" i="71"/>
  <c r="AA35" i="75"/>
  <c r="X33" i="75"/>
  <c r="X32" i="75" s="1"/>
  <c r="H13" i="68"/>
  <c r="N4697" i="18"/>
  <c r="O4698" i="18" s="1"/>
  <c r="L242" i="5"/>
  <c r="L267" i="5" s="1"/>
  <c r="D112" i="51"/>
  <c r="I112" i="51" s="1"/>
  <c r="J112" i="51" s="1"/>
  <c r="R35" i="71"/>
  <c r="Q10" i="75"/>
  <c r="M35" i="5"/>
  <c r="D53" i="52" s="1"/>
  <c r="K213" i="5"/>
  <c r="M464" i="5"/>
  <c r="M216" i="5"/>
  <c r="M294" i="5"/>
  <c r="D48" i="52"/>
  <c r="M405" i="5"/>
  <c r="M222" i="5"/>
  <c r="M277" i="5"/>
  <c r="M497" i="5"/>
  <c r="M158" i="5"/>
  <c r="D13" i="48" s="1"/>
  <c r="D26" i="51"/>
  <c r="I26" i="51" s="1"/>
  <c r="J26" i="51" s="1"/>
  <c r="M127" i="5"/>
  <c r="D13" i="51"/>
  <c r="I13" i="51" s="1"/>
  <c r="J13" i="51" s="1"/>
  <c r="D116" i="51"/>
  <c r="I116" i="51" s="1"/>
  <c r="J116" i="51" s="1"/>
  <c r="D16" i="47"/>
  <c r="H8" i="68"/>
  <c r="W10" i="71"/>
  <c r="T29" i="71"/>
  <c r="U10" i="71"/>
  <c r="Y22" i="75"/>
  <c r="Y21" i="75" s="1"/>
  <c r="F15" i="73"/>
  <c r="D62" i="51"/>
  <c r="I62" i="51" s="1"/>
  <c r="J62" i="51" s="1"/>
  <c r="AA10" i="75"/>
  <c r="D108" i="48"/>
  <c r="M224" i="5"/>
  <c r="M263" i="5"/>
  <c r="N1811" i="18"/>
  <c r="T28" i="71"/>
  <c r="S28" i="71"/>
  <c r="H25" i="72"/>
  <c r="X17" i="71"/>
  <c r="L8" i="72"/>
  <c r="Y34" i="75"/>
  <c r="Y32" i="75" s="1"/>
  <c r="H15" i="72"/>
  <c r="L121" i="5"/>
  <c r="K368" i="5"/>
  <c r="K393" i="5" s="1"/>
  <c r="M545" i="5"/>
  <c r="L630" i="5"/>
  <c r="L655" i="5" s="1"/>
  <c r="M441" i="5"/>
  <c r="M501" i="5"/>
  <c r="Y15" i="75" s="1"/>
  <c r="L368" i="5"/>
  <c r="L393" i="5" s="1"/>
  <c r="D62" i="47"/>
  <c r="D36" i="51"/>
  <c r="I36" i="51" s="1"/>
  <c r="J36" i="51" s="1"/>
  <c r="M400" i="5"/>
  <c r="D20" i="51"/>
  <c r="I20" i="51" s="1"/>
  <c r="J20" i="51" s="1"/>
  <c r="N4871" i="18"/>
  <c r="O4872" i="18" s="1"/>
  <c r="D76" i="51"/>
  <c r="I76" i="51" s="1"/>
  <c r="J76" i="51" s="1"/>
  <c r="M108" i="5"/>
  <c r="D26" i="47"/>
  <c r="F39" i="69"/>
  <c r="D70" i="51"/>
  <c r="I70" i="51" s="1"/>
  <c r="J70" i="51" s="1"/>
  <c r="T24" i="71"/>
  <c r="AB19" i="71"/>
  <c r="AB16" i="71" s="1"/>
  <c r="V17" i="71"/>
  <c r="U33" i="75"/>
  <c r="U32" i="75" s="1"/>
  <c r="X17" i="75"/>
  <c r="L32" i="72"/>
  <c r="Q34" i="71"/>
  <c r="X36" i="71"/>
  <c r="X20" i="71"/>
  <c r="F43" i="73"/>
  <c r="X12" i="71"/>
  <c r="X10" i="75"/>
  <c r="AB25" i="71"/>
  <c r="H21" i="72"/>
  <c r="L29" i="72"/>
  <c r="H39" i="68"/>
  <c r="H17" i="68"/>
  <c r="H8" i="72"/>
  <c r="M92" i="5"/>
  <c r="D84" i="48" s="1"/>
  <c r="D105" i="51"/>
  <c r="I105" i="51" s="1"/>
  <c r="J105" i="51" s="1"/>
  <c r="K109" i="5"/>
  <c r="M233" i="5"/>
  <c r="M229" i="5"/>
  <c r="M274" i="5"/>
  <c r="M214" i="5"/>
  <c r="L223" i="5"/>
  <c r="N1789" i="18"/>
  <c r="O1790" i="18" s="1"/>
  <c r="M382" i="5"/>
  <c r="D27" i="51"/>
  <c r="I27" i="51" s="1"/>
  <c r="J27" i="51" s="1"/>
  <c r="D57" i="51"/>
  <c r="I57" i="51" s="1"/>
  <c r="J57" i="51" s="1"/>
  <c r="U34" i="71"/>
  <c r="F18" i="73"/>
  <c r="Y11" i="71"/>
  <c r="K564" i="5"/>
  <c r="K589" i="5" s="1"/>
  <c r="M232" i="5"/>
  <c r="L213" i="5"/>
  <c r="M63" i="5"/>
  <c r="M221" i="5"/>
  <c r="M287" i="5"/>
  <c r="M203" i="5"/>
  <c r="M336" i="5"/>
  <c r="M227" i="5"/>
  <c r="M220" i="5"/>
  <c r="M318" i="5"/>
  <c r="M256" i="5"/>
  <c r="M231" i="5"/>
  <c r="M308" i="5"/>
  <c r="M596" i="5"/>
  <c r="L565" i="5"/>
  <c r="L210" i="5" s="1"/>
  <c r="M486" i="5"/>
  <c r="M563" i="5"/>
  <c r="M344" i="5"/>
  <c r="M519" i="5"/>
  <c r="D45" i="51"/>
  <c r="I45" i="51" s="1"/>
  <c r="J45" i="51" s="1"/>
  <c r="M178" i="5"/>
  <c r="N858" i="18"/>
  <c r="O871" i="18" s="1"/>
  <c r="D81" i="51"/>
  <c r="I81" i="51" s="1"/>
  <c r="J81" i="51" s="1"/>
  <c r="D16" i="51"/>
  <c r="I16" i="51" s="1"/>
  <c r="J16" i="51" s="1"/>
  <c r="N108" i="18"/>
  <c r="W22" i="71"/>
  <c r="S36" i="71"/>
  <c r="T36" i="71"/>
  <c r="R17" i="71"/>
  <c r="S30" i="71"/>
  <c r="S18" i="71"/>
  <c r="R32" i="71"/>
  <c r="Q28" i="71"/>
  <c r="AA36" i="71"/>
  <c r="AA24" i="71"/>
  <c r="I35" i="47"/>
  <c r="J35" i="47" s="1"/>
  <c r="F11" i="73"/>
  <c r="D69" i="52"/>
  <c r="K630" i="5"/>
  <c r="K655" i="5" s="1"/>
  <c r="M241" i="5"/>
  <c r="M207" i="5"/>
  <c r="M226" i="5"/>
  <c r="M215" i="5"/>
  <c r="M349" i="5"/>
  <c r="M225" i="5"/>
  <c r="D35" i="51"/>
  <c r="I35" i="51" s="1"/>
  <c r="J35" i="51" s="1"/>
  <c r="M606" i="5"/>
  <c r="M601" i="5"/>
  <c r="D27" i="47"/>
  <c r="D30" i="51"/>
  <c r="I30" i="51" s="1"/>
  <c r="J30" i="51" s="1"/>
  <c r="N1822" i="18"/>
  <c r="O1908" i="18" s="1"/>
  <c r="D112" i="47"/>
  <c r="R9" i="71"/>
  <c r="T10" i="71"/>
  <c r="AB12" i="71"/>
  <c r="AB13" i="71" s="1"/>
  <c r="F22" i="73"/>
  <c r="L567" i="5"/>
  <c r="L564" i="5" s="1"/>
  <c r="L589" i="5" s="1"/>
  <c r="O1387" i="18"/>
  <c r="Q11" i="71"/>
  <c r="U29" i="71"/>
  <c r="H22" i="72"/>
  <c r="E119" i="98" s="1"/>
  <c r="Q25" i="71"/>
  <c r="Q21" i="71" s="1"/>
  <c r="U22" i="75"/>
  <c r="U10" i="75"/>
  <c r="Q24" i="75"/>
  <c r="M204" i="5"/>
  <c r="M305" i="5"/>
  <c r="M219" i="5"/>
  <c r="S9" i="71"/>
  <c r="E22" i="74"/>
  <c r="G683" i="5"/>
  <c r="G709" i="5"/>
  <c r="D26" i="75"/>
  <c r="E58" i="70"/>
  <c r="H683" i="5"/>
  <c r="E9" i="74"/>
  <c r="E60" i="70"/>
  <c r="E100" i="70" s="1"/>
  <c r="I18" i="75"/>
  <c r="I16" i="75" s="1"/>
  <c r="J35" i="71"/>
  <c r="J33" i="71" s="1"/>
  <c r="K6028" i="18"/>
  <c r="L6029" i="18" s="1"/>
  <c r="E27" i="74"/>
  <c r="E36" i="74"/>
  <c r="E35" i="70"/>
  <c r="H697" i="5"/>
  <c r="K5943" i="18"/>
  <c r="L5944" i="18" s="1"/>
  <c r="E37" i="70"/>
  <c r="E32" i="71"/>
  <c r="K2031" i="18"/>
  <c r="L2032" i="18" s="1"/>
  <c r="K4885" i="18"/>
  <c r="L4886" i="18" s="1"/>
  <c r="F35" i="75"/>
  <c r="G18" i="72"/>
  <c r="F105" i="47"/>
  <c r="K18" i="72"/>
  <c r="F43" i="47"/>
  <c r="F97" i="47"/>
  <c r="I97" i="47" s="1"/>
  <c r="J97" i="47" s="1"/>
  <c r="F48" i="47"/>
  <c r="K3042" i="18"/>
  <c r="L3149" i="18" s="1"/>
  <c r="K4779" i="18"/>
  <c r="L4780" i="18" s="1"/>
  <c r="F49" i="47"/>
  <c r="F59" i="47"/>
  <c r="I59" i="47" s="1"/>
  <c r="J59" i="47" s="1"/>
  <c r="E49" i="73"/>
  <c r="N35" i="75"/>
  <c r="O12" i="71"/>
  <c r="G23" i="68"/>
  <c r="K966" i="18"/>
  <c r="L967" i="18" s="1"/>
  <c r="E44" i="73"/>
  <c r="G697" i="5"/>
  <c r="G35" i="72"/>
  <c r="E229" i="98" s="1"/>
  <c r="G38" i="72"/>
  <c r="E234" i="98" s="1"/>
  <c r="F108" i="47"/>
  <c r="K2919" i="18"/>
  <c r="L2982" i="18" s="1"/>
  <c r="L10" i="75"/>
  <c r="L13" i="75" s="1"/>
  <c r="F40" i="47"/>
  <c r="K47" i="72"/>
  <c r="M34" i="75"/>
  <c r="F9" i="71"/>
  <c r="G39" i="72"/>
  <c r="E235" i="98" s="1"/>
  <c r="K5965" i="18"/>
  <c r="L5966" i="18" s="1"/>
  <c r="I9" i="71"/>
  <c r="I552" i="5"/>
  <c r="E17" i="75"/>
  <c r="H10" i="71"/>
  <c r="L29" i="75"/>
  <c r="O15" i="75"/>
  <c r="O27" i="71"/>
  <c r="M30" i="71"/>
  <c r="N10" i="75"/>
  <c r="F34" i="75"/>
  <c r="F32" i="75" s="1"/>
  <c r="N12" i="71"/>
  <c r="E30" i="71"/>
  <c r="J9" i="71"/>
  <c r="F37" i="47"/>
  <c r="F30" i="71"/>
  <c r="I35" i="71"/>
  <c r="G31" i="72"/>
  <c r="G36" i="71"/>
  <c r="K2496" i="18"/>
  <c r="L2497" i="18" s="1"/>
  <c r="K3174" i="18"/>
  <c r="L3175" i="18" s="1"/>
  <c r="F26" i="47"/>
  <c r="K3412" i="18"/>
  <c r="L3413" i="18" s="1"/>
  <c r="K2638" i="18"/>
  <c r="L2639" i="18" s="1"/>
  <c r="F94" i="47"/>
  <c r="G34" i="72"/>
  <c r="E228" i="98" s="1"/>
  <c r="F15" i="71"/>
  <c r="L17" i="71"/>
  <c r="K18" i="75"/>
  <c r="G21" i="72"/>
  <c r="E16" i="73"/>
  <c r="G20" i="71"/>
  <c r="F27" i="75"/>
  <c r="I865" i="5"/>
  <c r="M32" i="71"/>
  <c r="L25" i="71"/>
  <c r="I422" i="5"/>
  <c r="I415" i="5" s="1"/>
  <c r="K4452" i="18"/>
  <c r="L4453" i="18" s="1"/>
  <c r="K1789" i="18"/>
  <c r="L1790" i="18" s="1"/>
  <c r="F46" i="47"/>
  <c r="K10" i="72"/>
  <c r="G36" i="72"/>
  <c r="E63" i="69"/>
  <c r="E9" i="71"/>
  <c r="K20" i="71"/>
  <c r="F32" i="47"/>
  <c r="K9" i="71"/>
  <c r="J32" i="71"/>
  <c r="E11" i="73"/>
  <c r="I651" i="5"/>
  <c r="F108" i="48"/>
  <c r="G15" i="75"/>
  <c r="I12" i="75"/>
  <c r="I13" i="75" s="1"/>
  <c r="H11" i="75"/>
  <c r="H13" i="75" s="1"/>
  <c r="K19" i="75"/>
  <c r="G22" i="71"/>
  <c r="E23" i="69"/>
  <c r="G27" i="72"/>
  <c r="I404" i="5"/>
  <c r="I15" i="71" s="1"/>
  <c r="H19" i="75"/>
  <c r="I24" i="71"/>
  <c r="K25" i="71"/>
  <c r="O17" i="71"/>
  <c r="I469" i="5"/>
  <c r="E25" i="71"/>
  <c r="K29" i="75"/>
  <c r="E64" i="69"/>
  <c r="N29" i="75"/>
  <c r="M24" i="75"/>
  <c r="M21" i="75" s="1"/>
  <c r="N17" i="75"/>
  <c r="K933" i="18"/>
  <c r="J12" i="71"/>
  <c r="F21" i="47"/>
  <c r="N28" i="71"/>
  <c r="E19" i="71"/>
  <c r="G21" i="68"/>
  <c r="K26" i="75"/>
  <c r="O4858" i="18"/>
  <c r="O4845" i="18"/>
  <c r="F13" i="47"/>
  <c r="F82" i="47"/>
  <c r="K4490" i="18"/>
  <c r="L4502" i="18" s="1"/>
  <c r="E24" i="71"/>
  <c r="M12" i="71"/>
  <c r="O306" i="18"/>
  <c r="O130" i="18"/>
  <c r="O3006" i="18"/>
  <c r="L1449" i="18"/>
  <c r="L1428" i="18"/>
  <c r="L1365" i="18"/>
  <c r="L1459" i="18"/>
  <c r="O2599" i="18"/>
  <c r="L120" i="18"/>
  <c r="L130" i="18"/>
  <c r="F24" i="75"/>
  <c r="F21" i="75" s="1"/>
  <c r="O30" i="71"/>
  <c r="E35" i="73"/>
  <c r="L24" i="71"/>
  <c r="F111" i="47"/>
  <c r="I111" i="47" s="1"/>
  <c r="J111" i="47" s="1"/>
  <c r="O2202" i="18"/>
  <c r="N32" i="71"/>
  <c r="K3435" i="18"/>
  <c r="L3436" i="18" s="1"/>
  <c r="G27" i="75"/>
  <c r="F22" i="47"/>
  <c r="K4416" i="18"/>
  <c r="L4417" i="18" s="1"/>
  <c r="G10" i="72"/>
  <c r="K4844" i="18"/>
  <c r="D27" i="75"/>
  <c r="H23" i="75"/>
  <c r="I534" i="5"/>
  <c r="M15" i="75" s="1"/>
  <c r="F27" i="47"/>
  <c r="K4290" i="18"/>
  <c r="L4291" i="18" s="1"/>
  <c r="F64" i="47"/>
  <c r="E13" i="69"/>
  <c r="G12" i="75"/>
  <c r="F57" i="47"/>
  <c r="K943" i="18"/>
  <c r="L944" i="18" s="1"/>
  <c r="F114" i="47"/>
  <c r="F102" i="47"/>
  <c r="I102" i="47" s="1"/>
  <c r="J102" i="47" s="1"/>
  <c r="F112" i="47"/>
  <c r="F104" i="47"/>
  <c r="K34" i="72"/>
  <c r="F11" i="75"/>
  <c r="F13" i="75" s="1"/>
  <c r="M9" i="75"/>
  <c r="E21" i="73"/>
  <c r="G37" i="68"/>
  <c r="J25" i="71"/>
  <c r="G35" i="68"/>
  <c r="I441" i="5"/>
  <c r="H22" i="71"/>
  <c r="H21" i="71" s="1"/>
  <c r="F75" i="48"/>
  <c r="I28" i="71"/>
  <c r="F89" i="47"/>
  <c r="I89" i="47" s="1"/>
  <c r="J89" i="47" s="1"/>
  <c r="O31" i="75"/>
  <c r="D11" i="75"/>
  <c r="E15" i="71"/>
  <c r="F20" i="47"/>
  <c r="K858" i="18"/>
  <c r="L871" i="18" s="1"/>
  <c r="K2829" i="18"/>
  <c r="L2877" i="18" s="1"/>
  <c r="F83" i="47"/>
  <c r="K3446" i="18"/>
  <c r="G15" i="72"/>
  <c r="K15" i="72"/>
  <c r="K3621" i="18"/>
  <c r="J22" i="71"/>
  <c r="K13" i="72"/>
  <c r="I633" i="5"/>
  <c r="I818" i="5" s="1"/>
  <c r="E8" i="69"/>
  <c r="E7" i="69" s="1"/>
  <c r="E28" i="75"/>
  <c r="K8" i="72"/>
  <c r="E46" i="73"/>
  <c r="F33" i="70"/>
  <c r="F111" i="70" s="1"/>
  <c r="K36" i="68"/>
  <c r="G17" i="72"/>
  <c r="F93" i="47"/>
  <c r="F25" i="47"/>
  <c r="F92" i="47"/>
  <c r="F68" i="47"/>
  <c r="K1811" i="18"/>
  <c r="L1812" i="18" s="1"/>
  <c r="K4491" i="18"/>
  <c r="L4511" i="18" s="1"/>
  <c r="F106" i="48"/>
  <c r="F60" i="47"/>
  <c r="K3005" i="18"/>
  <c r="K89" i="18"/>
  <c r="L90" i="18" s="1"/>
  <c r="K3424" i="18"/>
  <c r="L3425" i="18" s="1"/>
  <c r="K52" i="68"/>
  <c r="I52" i="71" s="1"/>
  <c r="F15" i="47"/>
  <c r="K3191" i="18"/>
  <c r="L3192" i="18" s="1"/>
  <c r="O25" i="71"/>
  <c r="K33" i="72"/>
  <c r="I639" i="5"/>
  <c r="K3243" i="18"/>
  <c r="L3260" i="18" s="1"/>
  <c r="K3971" i="18"/>
  <c r="L3972" i="18" s="1"/>
  <c r="F18" i="47"/>
  <c r="I18" i="47" s="1"/>
  <c r="J18" i="47" s="1"/>
  <c r="K3322" i="18"/>
  <c r="L3323" i="18" s="1"/>
  <c r="K1763" i="18"/>
  <c r="K3804" i="18"/>
  <c r="L3805" i="18" s="1"/>
  <c r="F24" i="47"/>
  <c r="K2411" i="18"/>
  <c r="K1616" i="18"/>
  <c r="L1617" i="18" s="1"/>
  <c r="K2907" i="18"/>
  <c r="K4427" i="18"/>
  <c r="G37" i="72"/>
  <c r="I29" i="75"/>
  <c r="O20" i="75"/>
  <c r="M20" i="75"/>
  <c r="F17" i="74"/>
  <c r="G23" i="75"/>
  <c r="G21" i="75" s="1"/>
  <c r="D9" i="75"/>
  <c r="F20" i="71"/>
  <c r="N26" i="75"/>
  <c r="I405" i="5"/>
  <c r="D33" i="75"/>
  <c r="I36" i="71"/>
  <c r="H17" i="71"/>
  <c r="E14" i="73"/>
  <c r="K25" i="72"/>
  <c r="M24" i="71"/>
  <c r="F39" i="47"/>
  <c r="I39" i="47" s="1"/>
  <c r="J39" i="47" s="1"/>
  <c r="I34" i="71"/>
  <c r="F31" i="47"/>
  <c r="K4311" i="18"/>
  <c r="L4321" i="18" s="1"/>
  <c r="F33" i="47"/>
  <c r="F74" i="47"/>
  <c r="O28" i="71"/>
  <c r="O24" i="71"/>
  <c r="I33" i="75"/>
  <c r="I32" i="75" s="1"/>
  <c r="F32" i="71"/>
  <c r="K34" i="68"/>
  <c r="I371" i="5"/>
  <c r="H15" i="75" s="1"/>
  <c r="K3384" i="18"/>
  <c r="L3385" i="18" s="1"/>
  <c r="F41" i="47"/>
  <c r="K2156" i="18"/>
  <c r="L2191" i="18" s="1"/>
  <c r="K11" i="71"/>
  <c r="I382" i="5"/>
  <c r="I263" i="5"/>
  <c r="E48" i="73"/>
  <c r="D25" i="71"/>
  <c r="I26" i="75"/>
  <c r="G11" i="75"/>
  <c r="F10" i="71"/>
  <c r="N23" i="75"/>
  <c r="E34" i="71"/>
  <c r="K4666" i="18"/>
  <c r="L4667" i="18" s="1"/>
  <c r="N11" i="75"/>
  <c r="D19" i="75"/>
  <c r="E24" i="73"/>
  <c r="D12" i="75"/>
  <c r="F26" i="75"/>
  <c r="D31" i="75"/>
  <c r="D28" i="75"/>
  <c r="I479" i="5"/>
  <c r="I507" i="5"/>
  <c r="I578" i="5"/>
  <c r="O10" i="71"/>
  <c r="E36" i="73"/>
  <c r="E50" i="69"/>
  <c r="E47" i="69" s="1"/>
  <c r="I433" i="5"/>
  <c r="K2201" i="18"/>
  <c r="L2391" i="18" s="1"/>
  <c r="F50" i="47"/>
  <c r="F76" i="48"/>
  <c r="F78" i="48" s="1"/>
  <c r="K4363" i="18"/>
  <c r="L4364" i="18" s="1"/>
  <c r="N34" i="75"/>
  <c r="G25" i="71"/>
  <c r="E12" i="71"/>
  <c r="J18" i="75"/>
  <c r="L35" i="75"/>
  <c r="G49" i="68"/>
  <c r="F103" i="47"/>
  <c r="I313" i="5"/>
  <c r="I389" i="5"/>
  <c r="K50" i="68"/>
  <c r="F52" i="71" s="1"/>
  <c r="E20" i="75"/>
  <c r="G9" i="72"/>
  <c r="D35" i="75"/>
  <c r="J10" i="71"/>
  <c r="I29" i="71"/>
  <c r="H35" i="71"/>
  <c r="H33" i="71" s="1"/>
  <c r="I31" i="75"/>
  <c r="F22" i="71"/>
  <c r="F28" i="75"/>
  <c r="O36" i="71"/>
  <c r="I19" i="71"/>
  <c r="M17" i="71"/>
  <c r="K4333" i="18"/>
  <c r="L4344" i="18" s="1"/>
  <c r="K51" i="68"/>
  <c r="H52" i="71" s="1"/>
  <c r="F51" i="47"/>
  <c r="E31" i="69"/>
  <c r="K39" i="72"/>
  <c r="G17" i="71"/>
  <c r="E18" i="73"/>
  <c r="K4354" i="18"/>
  <c r="L4355" i="18" s="1"/>
  <c r="F88" i="47"/>
  <c r="K3309" i="18"/>
  <c r="L3310" i="18" s="1"/>
  <c r="K17" i="71"/>
  <c r="I10" i="71"/>
  <c r="K42" i="72"/>
  <c r="E287" i="98" s="1"/>
  <c r="G368" i="5"/>
  <c r="G393" i="5" s="1"/>
  <c r="F40" i="74"/>
  <c r="J33" i="75"/>
  <c r="J32" i="75" s="1"/>
  <c r="M29" i="71"/>
  <c r="F71" i="48"/>
  <c r="F73" i="48" s="1"/>
  <c r="K9" i="18"/>
  <c r="L20" i="18" s="1"/>
  <c r="F122" i="47"/>
  <c r="I122" i="47" s="1"/>
  <c r="J122" i="47" s="1"/>
  <c r="K4907" i="18"/>
  <c r="L4908" i="18" s="1"/>
  <c r="F76" i="47"/>
  <c r="K4121" i="18"/>
  <c r="L4122" i="18" s="1"/>
  <c r="K4871" i="18"/>
  <c r="L4872" i="18" s="1"/>
  <c r="K4110" i="18"/>
  <c r="F107" i="48"/>
  <c r="K55" i="68"/>
  <c r="L52" i="71" s="1"/>
  <c r="K3730" i="18"/>
  <c r="L3731" i="18" s="1"/>
  <c r="N28" i="75"/>
  <c r="G8" i="68"/>
  <c r="G22" i="72"/>
  <c r="E118" i="98" s="1"/>
  <c r="J11" i="71"/>
  <c r="K54" i="68"/>
  <c r="K52" i="71" s="1"/>
  <c r="G30" i="71"/>
  <c r="E22" i="73"/>
  <c r="G15" i="68"/>
  <c r="K29" i="72"/>
  <c r="M22" i="71"/>
  <c r="F57" i="70"/>
  <c r="K11" i="72"/>
  <c r="K46" i="72"/>
  <c r="I277" i="5"/>
  <c r="F71" i="47"/>
  <c r="F61" i="47"/>
  <c r="F34" i="47"/>
  <c r="I34" i="47" s="1"/>
  <c r="J34" i="47" s="1"/>
  <c r="F90" i="47"/>
  <c r="I90" i="47" s="1"/>
  <c r="J90" i="47" s="1"/>
  <c r="K4953" i="18"/>
  <c r="L4954" i="18" s="1"/>
  <c r="K4636" i="18"/>
  <c r="L4637" i="18" s="1"/>
  <c r="G29" i="72"/>
  <c r="K41" i="72"/>
  <c r="F51" i="75" s="1"/>
  <c r="K10" i="75"/>
  <c r="K13" i="75" s="1"/>
  <c r="E40" i="69"/>
  <c r="I22" i="71"/>
  <c r="E54" i="69"/>
  <c r="G41" i="68"/>
  <c r="I849" i="5"/>
  <c r="I20" i="71"/>
  <c r="E36" i="71"/>
  <c r="G19" i="72"/>
  <c r="E9" i="73"/>
  <c r="E109" i="98" s="1"/>
  <c r="F16" i="47"/>
  <c r="K4250" i="18"/>
  <c r="L4251" i="18" s="1"/>
  <c r="K3216" i="18"/>
  <c r="L3217" i="18" s="1"/>
  <c r="N24" i="75"/>
  <c r="I540" i="5"/>
  <c r="K2556" i="18"/>
  <c r="F62" i="47"/>
  <c r="K47" i="68"/>
  <c r="D52" i="71" s="1"/>
  <c r="G9" i="71"/>
  <c r="G33" i="72"/>
  <c r="L32" i="71"/>
  <c r="J26" i="75"/>
  <c r="K17" i="75"/>
  <c r="J27" i="75"/>
  <c r="K24" i="71"/>
  <c r="O11" i="75"/>
  <c r="O13" i="75" s="1"/>
  <c r="K29" i="71"/>
  <c r="I644" i="5"/>
  <c r="I596" i="5"/>
  <c r="F47" i="70"/>
  <c r="D17" i="75"/>
  <c r="F19" i="75"/>
  <c r="J17" i="75"/>
  <c r="L18" i="75"/>
  <c r="L16" i="75" s="1"/>
  <c r="I611" i="5"/>
  <c r="I618" i="5"/>
  <c r="I453" i="5"/>
  <c r="I325" i="5"/>
  <c r="F18" i="75"/>
  <c r="O34" i="71"/>
  <c r="K1946" i="18"/>
  <c r="L1947" i="18" s="1"/>
  <c r="J19" i="75"/>
  <c r="G29" i="71"/>
  <c r="F34" i="71"/>
  <c r="F33" i="71" s="1"/>
  <c r="G531" i="5"/>
  <c r="G556" i="5" s="1"/>
  <c r="E55" i="69"/>
  <c r="G10" i="71"/>
  <c r="K19" i="72"/>
  <c r="N18" i="75"/>
  <c r="F14" i="47"/>
  <c r="F117" i="47"/>
  <c r="F38" i="47"/>
  <c r="K2519" i="18"/>
  <c r="L2520" i="18" s="1"/>
  <c r="K4171" i="18"/>
  <c r="L4172" i="18" s="1"/>
  <c r="F79" i="47"/>
  <c r="F87" i="47"/>
  <c r="K70" i="18"/>
  <c r="L71" i="18" s="1"/>
  <c r="K22" i="72"/>
  <c r="J36" i="71"/>
  <c r="G306" i="5"/>
  <c r="G329" i="5" s="1"/>
  <c r="G20" i="72"/>
  <c r="E28" i="71"/>
  <c r="E18" i="71"/>
  <c r="K30" i="72"/>
  <c r="F58" i="47"/>
  <c r="K28" i="72"/>
  <c r="K9" i="72"/>
  <c r="I585" i="5"/>
  <c r="I833" i="5"/>
  <c r="I305" i="5"/>
  <c r="I172" i="5"/>
  <c r="F80" i="47"/>
  <c r="F36" i="47"/>
  <c r="F53" i="47"/>
  <c r="K108" i="18"/>
  <c r="L109" i="18" s="1"/>
  <c r="G35" i="71"/>
  <c r="G33" i="71" s="1"/>
  <c r="G33" i="75"/>
  <c r="G32" i="75" s="1"/>
  <c r="F12" i="71"/>
  <c r="M36" i="71"/>
  <c r="F30" i="74"/>
  <c r="L29" i="71"/>
  <c r="K31" i="72"/>
  <c r="G11" i="72"/>
  <c r="G41" i="72"/>
  <c r="E237" i="98" s="1"/>
  <c r="G43" i="72"/>
  <c r="E238" i="98" s="1"/>
  <c r="H465" i="5"/>
  <c r="H490" i="5" s="1"/>
  <c r="G171" i="5"/>
  <c r="G170" i="5" s="1"/>
  <c r="K316" i="18"/>
  <c r="K4150" i="18"/>
  <c r="L4151" i="18" s="1"/>
  <c r="F65" i="47"/>
  <c r="I65" i="47" s="1"/>
  <c r="J65" i="47" s="1"/>
  <c r="N34" i="71"/>
  <c r="N33" i="71" s="1"/>
  <c r="F24" i="71"/>
  <c r="K45" i="72"/>
  <c r="E38" i="73"/>
  <c r="K16" i="72"/>
  <c r="H401" i="5"/>
  <c r="H426" i="5" s="1"/>
  <c r="G337" i="5"/>
  <c r="G360" i="5" s="1"/>
  <c r="I17" i="71"/>
  <c r="E45" i="73"/>
  <c r="E10" i="73"/>
  <c r="E128" i="98" s="1"/>
  <c r="I634" i="5"/>
  <c r="H337" i="5"/>
  <c r="H360" i="5" s="1"/>
  <c r="I214" i="5"/>
  <c r="I225" i="5"/>
  <c r="D43" i="48"/>
  <c r="M825" i="5"/>
  <c r="H9" i="71"/>
  <c r="K28" i="71"/>
  <c r="J829" i="5"/>
  <c r="J831" i="5" s="1"/>
  <c r="J832" i="5" s="1"/>
  <c r="J800" i="5"/>
  <c r="J803" i="5" s="1"/>
  <c r="J804" i="5" s="1"/>
  <c r="J813" i="5"/>
  <c r="E10" i="71"/>
  <c r="I501" i="5"/>
  <c r="L15" i="75" s="1"/>
  <c r="O28" i="75"/>
  <c r="F69" i="47"/>
  <c r="F81" i="47"/>
  <c r="F63" i="47"/>
  <c r="K3919" i="18"/>
  <c r="L3920" i="18" s="1"/>
  <c r="F19" i="47"/>
  <c r="O18" i="75"/>
  <c r="G14" i="72"/>
  <c r="K27" i="75"/>
  <c r="K32" i="72"/>
  <c r="I222" i="5"/>
  <c r="K20" i="72"/>
  <c r="K4264" i="18"/>
  <c r="L4265" i="18" s="1"/>
  <c r="I108" i="5"/>
  <c r="K3534" i="18"/>
  <c r="E43" i="73"/>
  <c r="H230" i="5"/>
  <c r="I356" i="5"/>
  <c r="I127" i="5"/>
  <c r="F101" i="47"/>
  <c r="E39" i="73"/>
  <c r="K12" i="72"/>
  <c r="I734" i="5"/>
  <c r="H171" i="5"/>
  <c r="H170" i="5" s="1"/>
  <c r="H435" i="5" s="1"/>
  <c r="H434" i="5" s="1"/>
  <c r="H457" i="5" s="1"/>
  <c r="N19" i="71"/>
  <c r="M19" i="71"/>
  <c r="M19" i="75"/>
  <c r="M18" i="71"/>
  <c r="M18" i="75"/>
  <c r="M34" i="71"/>
  <c r="M33" i="71" s="1"/>
  <c r="M33" i="75"/>
  <c r="M27" i="71"/>
  <c r="M26" i="75"/>
  <c r="M28" i="71"/>
  <c r="M27" i="75"/>
  <c r="I256" i="5"/>
  <c r="F30" i="47"/>
  <c r="F47" i="47"/>
  <c r="I47" i="47" s="1"/>
  <c r="J47" i="47" s="1"/>
  <c r="D30" i="71"/>
  <c r="M10" i="71"/>
  <c r="M10" i="75"/>
  <c r="H306" i="5"/>
  <c r="H329" i="5" s="1"/>
  <c r="G401" i="5"/>
  <c r="G426" i="5" s="1"/>
  <c r="H531" i="5"/>
  <c r="H556" i="5" s="1"/>
  <c r="H36" i="71"/>
  <c r="K14" i="72"/>
  <c r="K1822" i="18"/>
  <c r="L1853" i="18" s="1"/>
  <c r="G630" i="5"/>
  <c r="G655" i="5" s="1"/>
  <c r="K40" i="72"/>
  <c r="E51" i="75" s="1"/>
  <c r="I837" i="5"/>
  <c r="G109" i="5"/>
  <c r="H498" i="5"/>
  <c r="H523" i="5" s="1"/>
  <c r="H275" i="5"/>
  <c r="H298" i="5" s="1"/>
  <c r="M817" i="5"/>
  <c r="M802" i="5"/>
  <c r="G30" i="72"/>
  <c r="E15" i="73"/>
  <c r="G465" i="5"/>
  <c r="G490" i="5" s="1"/>
  <c r="G64" i="5"/>
  <c r="K49" i="68"/>
  <c r="E52" i="71" s="1"/>
  <c r="F10" i="48"/>
  <c r="I92" i="5"/>
  <c r="F84" i="48" s="1"/>
  <c r="G597" i="5"/>
  <c r="G622" i="5" s="1"/>
  <c r="H565" i="5"/>
  <c r="H210" i="5" s="1"/>
  <c r="H169" i="5"/>
  <c r="H630" i="5"/>
  <c r="H655" i="5" s="1"/>
  <c r="H218" i="5"/>
  <c r="G218" i="5"/>
  <c r="H368" i="5"/>
  <c r="H393" i="5" s="1"/>
  <c r="H597" i="5"/>
  <c r="H622" i="5" s="1"/>
  <c r="K697" i="18"/>
  <c r="I367" i="5"/>
  <c r="G223" i="5"/>
  <c r="G242" i="5"/>
  <c r="G267" i="5" s="1"/>
  <c r="I35" i="5"/>
  <c r="F80" i="48" s="1"/>
  <c r="N22" i="71"/>
  <c r="N21" i="71" s="1"/>
  <c r="G31" i="75"/>
  <c r="H32" i="71"/>
  <c r="I349" i="5"/>
  <c r="I568" i="5"/>
  <c r="L11" i="71"/>
  <c r="L19" i="71"/>
  <c r="I601" i="5"/>
  <c r="N20" i="71"/>
  <c r="O19" i="71"/>
  <c r="H31" i="75"/>
  <c r="I377" i="5"/>
  <c r="I229" i="5"/>
  <c r="I344" i="5"/>
  <c r="I226" i="5"/>
  <c r="I228" i="5"/>
  <c r="I274" i="5"/>
  <c r="E11" i="71"/>
  <c r="I629" i="5"/>
  <c r="I294" i="5"/>
  <c r="E35" i="71"/>
  <c r="J29" i="71"/>
  <c r="I25" i="71"/>
  <c r="I211" i="5"/>
  <c r="I410" i="5"/>
  <c r="I221" i="5"/>
  <c r="I535" i="5"/>
  <c r="G18" i="71"/>
  <c r="H12" i="71"/>
  <c r="D24" i="71"/>
  <c r="G498" i="5"/>
  <c r="G523" i="5" s="1"/>
  <c r="I206" i="5"/>
  <c r="D35" i="71"/>
  <c r="D33" i="71" s="1"/>
  <c r="O22" i="75"/>
  <c r="O21" i="75" s="1"/>
  <c r="I497" i="5"/>
  <c r="N33" i="75"/>
  <c r="E22" i="71"/>
  <c r="L26" i="75"/>
  <c r="K12" i="71"/>
  <c r="H18" i="75"/>
  <c r="L35" i="71"/>
  <c r="K22" i="75"/>
  <c r="K21" i="75" s="1"/>
  <c r="I216" i="5"/>
  <c r="I464" i="5"/>
  <c r="L12" i="71"/>
  <c r="G19" i="71"/>
  <c r="H208" i="5"/>
  <c r="I336" i="5"/>
  <c r="I339" i="5"/>
  <c r="H121" i="5"/>
  <c r="I519" i="5"/>
  <c r="I245" i="5"/>
  <c r="D15" i="75" s="1"/>
  <c r="F106" i="47"/>
  <c r="F66" i="47"/>
  <c r="H20" i="71"/>
  <c r="G27" i="71"/>
  <c r="G25" i="72"/>
  <c r="F17" i="71"/>
  <c r="H223" i="5"/>
  <c r="I474" i="5"/>
  <c r="I486" i="5"/>
  <c r="I246" i="5"/>
  <c r="D18" i="71"/>
  <c r="J20" i="75"/>
  <c r="E13" i="73"/>
  <c r="E130" i="98" s="1"/>
  <c r="P23" i="71"/>
  <c r="H109" i="5"/>
  <c r="G275" i="5"/>
  <c r="G298" i="5" s="1"/>
  <c r="G230" i="5"/>
  <c r="G208" i="5"/>
  <c r="I372" i="5"/>
  <c r="I207" i="5"/>
  <c r="I194" i="5"/>
  <c r="I231" i="5"/>
  <c r="I400" i="5"/>
  <c r="I232" i="5"/>
  <c r="I132" i="5"/>
  <c r="K34" i="75"/>
  <c r="L34" i="71"/>
  <c r="D22" i="75"/>
  <c r="I512" i="5"/>
  <c r="H242" i="5"/>
  <c r="H267" i="5" s="1"/>
  <c r="F116" i="47"/>
  <c r="E25" i="69"/>
  <c r="I282" i="5"/>
  <c r="I308" i="5"/>
  <c r="I530" i="5"/>
  <c r="E39" i="69"/>
  <c r="D34" i="75"/>
  <c r="J30" i="71"/>
  <c r="G26" i="75"/>
  <c r="K36" i="71"/>
  <c r="E47" i="73"/>
  <c r="E12" i="73"/>
  <c r="C29" i="97" s="1"/>
  <c r="H4986" i="18" s="1"/>
  <c r="K17" i="72"/>
  <c r="I219" i="5"/>
  <c r="I215" i="5"/>
  <c r="I446" i="5"/>
  <c r="I502" i="5"/>
  <c r="I220" i="5"/>
  <c r="I204" i="5"/>
  <c r="I573" i="5"/>
  <c r="K4922" i="18"/>
  <c r="L4923" i="18" s="1"/>
  <c r="E26" i="75"/>
  <c r="F17" i="75"/>
  <c r="H567" i="5"/>
  <c r="I318" i="5"/>
  <c r="I606" i="5"/>
  <c r="I436" i="5"/>
  <c r="I241" i="5"/>
  <c r="I545" i="5"/>
  <c r="I233" i="5"/>
  <c r="I251" i="5"/>
  <c r="K3763" i="18"/>
  <c r="I178" i="5"/>
  <c r="K4728" i="18"/>
  <c r="K4753" i="18"/>
  <c r="L4754" i="18" s="1"/>
  <c r="D10" i="71"/>
  <c r="D13" i="71" s="1"/>
  <c r="Q44" i="71" s="1"/>
  <c r="H213" i="5"/>
  <c r="I224" i="5"/>
  <c r="I227" i="5"/>
  <c r="G213" i="5"/>
  <c r="I158" i="5"/>
  <c r="F13" i="48" s="1"/>
  <c r="I217" i="5"/>
  <c r="I287" i="5"/>
  <c r="I205" i="5"/>
  <c r="L20" i="71"/>
  <c r="I11" i="71"/>
  <c r="K33" i="71"/>
  <c r="L306" i="18"/>
  <c r="V13" i="71"/>
  <c r="U21" i="71"/>
  <c r="E13" i="75"/>
  <c r="R43" i="75" s="1"/>
  <c r="AC11" i="75"/>
  <c r="J16" i="71"/>
  <c r="E32" i="75"/>
  <c r="H5144" i="18"/>
  <c r="L170" i="18"/>
  <c r="L21" i="75"/>
  <c r="I21" i="75"/>
  <c r="G16" i="75"/>
  <c r="Y13" i="75"/>
  <c r="H32" i="75"/>
  <c r="X15" i="71"/>
  <c r="X15" i="75"/>
  <c r="E102" i="74"/>
  <c r="E103" i="74" s="1"/>
  <c r="E104" i="74" s="1"/>
  <c r="E83" i="74"/>
  <c r="Q15" i="71"/>
  <c r="Q15" i="75"/>
  <c r="Q32" i="75"/>
  <c r="E21" i="75"/>
  <c r="V32" i="75"/>
  <c r="J21" i="75"/>
  <c r="O32" i="75"/>
  <c r="L32" i="75"/>
  <c r="J13" i="75"/>
  <c r="W43" i="75" s="1"/>
  <c r="AB33" i="71"/>
  <c r="F55" i="52"/>
  <c r="AC23" i="71"/>
  <c r="V52" i="71"/>
  <c r="G64" i="51"/>
  <c r="G67" i="51"/>
  <c r="G81" i="51"/>
  <c r="G70" i="51"/>
  <c r="G57" i="51"/>
  <c r="G76" i="51"/>
  <c r="G69" i="51"/>
  <c r="G75" i="51"/>
  <c r="F99" i="51"/>
  <c r="G74" i="51"/>
  <c r="G59" i="51"/>
  <c r="G65" i="51"/>
  <c r="G83" i="51"/>
  <c r="G63" i="51"/>
  <c r="G79" i="51"/>
  <c r="G61" i="51"/>
  <c r="G66" i="51"/>
  <c r="G68" i="51"/>
  <c r="G80" i="51"/>
  <c r="G71" i="51"/>
  <c r="G77" i="51"/>
  <c r="G60" i="51"/>
  <c r="G82" i="51"/>
  <c r="G58" i="51"/>
  <c r="G78" i="51"/>
  <c r="F788" i="5"/>
  <c r="F789" i="5" s="1"/>
  <c r="F114" i="21"/>
  <c r="F115" i="21" s="1"/>
  <c r="F116" i="21" s="1"/>
  <c r="AE18" i="2"/>
  <c r="J435" i="5"/>
  <c r="F59" i="52"/>
  <c r="O120" i="18"/>
  <c r="O430" i="18"/>
  <c r="O2557" i="18"/>
  <c r="I17" i="47"/>
  <c r="J17" i="47" s="1"/>
  <c r="J713" i="5"/>
  <c r="M711" i="5"/>
  <c r="F793" i="5"/>
  <c r="F794" i="5" s="1"/>
  <c r="J15" i="2"/>
  <c r="J40" i="2" s="1"/>
  <c r="J54" i="2" s="1"/>
  <c r="J56" i="2" s="1"/>
  <c r="J57" i="2" s="1"/>
  <c r="E114" i="21"/>
  <c r="E115" i="21" s="1"/>
  <c r="E116" i="21" s="1"/>
  <c r="F435" i="5"/>
  <c r="F810" i="5" s="1"/>
  <c r="G98" i="51"/>
  <c r="F123" i="51"/>
  <c r="F124" i="51" s="1"/>
  <c r="F192" i="5"/>
  <c r="F565" i="5"/>
  <c r="Q16" i="2"/>
  <c r="J567" i="5"/>
  <c r="J806" i="5" s="1"/>
  <c r="F106" i="21"/>
  <c r="F107" i="21" s="1"/>
  <c r="F108" i="21" s="1"/>
  <c r="J565" i="5"/>
  <c r="J210" i="5" s="1"/>
  <c r="AE16" i="2"/>
  <c r="F567" i="5"/>
  <c r="F806" i="5" s="1"/>
  <c r="E106" i="21"/>
  <c r="E107" i="21" s="1"/>
  <c r="E108" i="21" s="1"/>
  <c r="N15" i="2"/>
  <c r="Q18" i="2"/>
  <c r="L4055" i="18"/>
  <c r="L4100" i="18"/>
  <c r="P5377" i="18"/>
  <c r="F111" i="8"/>
  <c r="F129" i="8"/>
  <c r="J754" i="5"/>
  <c r="M737" i="5"/>
  <c r="M822" i="5" s="1"/>
  <c r="J823" i="5"/>
  <c r="J824" i="5" s="1"/>
  <c r="G54" i="51"/>
  <c r="G28" i="51"/>
  <c r="L64" i="46"/>
  <c r="L231" i="50"/>
  <c r="L281" i="50"/>
  <c r="L66" i="50"/>
  <c r="L232" i="50"/>
  <c r="G39" i="46"/>
  <c r="L13" i="50"/>
  <c r="L28" i="50"/>
  <c r="L243" i="50"/>
  <c r="G56" i="46"/>
  <c r="L63" i="46"/>
  <c r="L183" i="50"/>
  <c r="G54" i="46"/>
  <c r="L23" i="46"/>
  <c r="L82" i="46"/>
  <c r="H157" i="50"/>
  <c r="L177" i="50"/>
  <c r="L256" i="50"/>
  <c r="L14" i="46"/>
  <c r="L216" i="50"/>
  <c r="L66" i="46"/>
  <c r="L69" i="50"/>
  <c r="L257" i="50"/>
  <c r="L71" i="46"/>
  <c r="L255" i="50"/>
  <c r="L250" i="50"/>
  <c r="L268" i="50"/>
  <c r="L215" i="50"/>
  <c r="L278" i="50"/>
  <c r="G55" i="46"/>
  <c r="H181" i="50"/>
  <c r="L73" i="46"/>
  <c r="L14" i="50"/>
  <c r="L115" i="50"/>
  <c r="L69" i="46"/>
  <c r="L204" i="50"/>
  <c r="L72" i="46"/>
  <c r="L68" i="50"/>
  <c r="L70" i="46"/>
  <c r="L279" i="50"/>
  <c r="L62" i="46"/>
  <c r="L287" i="50"/>
  <c r="L272" i="50"/>
  <c r="G60" i="46"/>
  <c r="L239" i="50"/>
  <c r="L217" i="50"/>
  <c r="L241" i="50"/>
  <c r="L214" i="50"/>
  <c r="L9" i="50"/>
  <c r="L68" i="46"/>
  <c r="G57" i="46"/>
  <c r="L113" i="50"/>
  <c r="L224" i="50"/>
  <c r="L13" i="46"/>
  <c r="L236" i="50"/>
  <c r="L63" i="50"/>
  <c r="L251" i="50"/>
  <c r="L205" i="50"/>
  <c r="L206" i="50"/>
  <c r="L270" i="50"/>
  <c r="L262" i="50"/>
  <c r="L263" i="50"/>
  <c r="E11" i="98" l="1"/>
  <c r="H6199" i="18"/>
  <c r="J6199" i="18" s="1"/>
  <c r="E291" i="98"/>
  <c r="E295" i="98" s="1"/>
  <c r="E53" i="8" s="1"/>
  <c r="E198" i="98"/>
  <c r="E209" i="98" s="1"/>
  <c r="E38" i="8" s="1"/>
  <c r="I38" i="8" s="1"/>
  <c r="E81" i="8"/>
  <c r="F747" i="5" s="1"/>
  <c r="I747" i="5" s="1"/>
  <c r="C24" i="97"/>
  <c r="K334" i="18"/>
  <c r="L334" i="18" s="1"/>
  <c r="L351" i="18"/>
  <c r="L352" i="18" s="1"/>
  <c r="L353" i="18" s="1"/>
  <c r="K354" i="18" s="1"/>
  <c r="L354" i="18" s="1"/>
  <c r="I108" i="47"/>
  <c r="J108" i="47" s="1"/>
  <c r="F45" i="98"/>
  <c r="E72" i="98"/>
  <c r="F75" i="98" s="1"/>
  <c r="E71" i="98"/>
  <c r="F76" i="98" s="1"/>
  <c r="E16" i="98"/>
  <c r="E73" i="8"/>
  <c r="F739" i="5" s="1"/>
  <c r="I739" i="5" s="1"/>
  <c r="E70" i="70" s="1"/>
  <c r="I8" i="96"/>
  <c r="J8" i="96" s="1"/>
  <c r="I11" i="96"/>
  <c r="J11" i="96" s="1"/>
  <c r="F44" i="98"/>
  <c r="E290" i="98"/>
  <c r="E306" i="98"/>
  <c r="E275" i="98"/>
  <c r="E43" i="8" s="1"/>
  <c r="I6231" i="18"/>
  <c r="H6231" i="18"/>
  <c r="E129" i="98"/>
  <c r="H6230" i="18"/>
  <c r="J6230" i="18" s="1"/>
  <c r="E124" i="98"/>
  <c r="E27" i="98"/>
  <c r="H6229" i="18"/>
  <c r="E107" i="98"/>
  <c r="I6229" i="18"/>
  <c r="E106" i="98"/>
  <c r="H6227" i="18"/>
  <c r="E83" i="98"/>
  <c r="I6227" i="18"/>
  <c r="E82" i="98"/>
  <c r="I6201" i="18"/>
  <c r="E78" i="98"/>
  <c r="H6201" i="18"/>
  <c r="E77" i="98"/>
  <c r="I17" i="96"/>
  <c r="J17" i="96" s="1"/>
  <c r="I6203" i="18"/>
  <c r="H6203" i="18"/>
  <c r="I6228" i="18"/>
  <c r="E20" i="98"/>
  <c r="H6228" i="18"/>
  <c r="E19" i="98"/>
  <c r="G10" i="97"/>
  <c r="I10" i="97" s="1"/>
  <c r="K10" i="97" s="1"/>
  <c r="L10" i="97" s="1"/>
  <c r="C19" i="97" s="1"/>
  <c r="H4983" i="18" s="1"/>
  <c r="J6226" i="18"/>
  <c r="L3961" i="18"/>
  <c r="L3941" i="18"/>
  <c r="L3951" i="18"/>
  <c r="F750" i="5"/>
  <c r="I750" i="5" s="1"/>
  <c r="E52" i="74"/>
  <c r="H5110" i="18" s="1"/>
  <c r="E69" i="70"/>
  <c r="K6063" i="18"/>
  <c r="L6064" i="18" s="1"/>
  <c r="Q5137" i="18"/>
  <c r="H3657" i="18"/>
  <c r="H3658" i="18" s="1"/>
  <c r="K3630" i="18"/>
  <c r="K3622" i="18" s="1"/>
  <c r="K3655" i="18"/>
  <c r="K3657" i="18" s="1"/>
  <c r="K3658" i="18" s="1"/>
  <c r="D19" i="95"/>
  <c r="D21" i="95" s="1"/>
  <c r="D23" i="95" s="1"/>
  <c r="I70" i="47"/>
  <c r="J70" i="47" s="1"/>
  <c r="V33" i="71"/>
  <c r="AC31" i="75"/>
  <c r="O2797" i="18"/>
  <c r="J27" i="96"/>
  <c r="I109" i="47"/>
  <c r="J109" i="47" s="1"/>
  <c r="W21" i="71"/>
  <c r="M63" i="50"/>
  <c r="N63" i="50" s="1"/>
  <c r="I107" i="47"/>
  <c r="J107" i="47" s="1"/>
  <c r="L3870" i="18"/>
  <c r="I77" i="47"/>
  <c r="J77" i="47" s="1"/>
  <c r="H21" i="75"/>
  <c r="O1812" i="18"/>
  <c r="O967" i="18"/>
  <c r="O3920" i="18"/>
  <c r="O4172" i="18"/>
  <c r="I58" i="47"/>
  <c r="J58" i="47" s="1"/>
  <c r="I41" i="47"/>
  <c r="J41" i="47" s="1"/>
  <c r="I32" i="47"/>
  <c r="J32" i="47" s="1"/>
  <c r="I105" i="47"/>
  <c r="J105" i="47" s="1"/>
  <c r="L3860" i="18"/>
  <c r="I45" i="47"/>
  <c r="J45" i="47" s="1"/>
  <c r="O3310" i="18"/>
  <c r="M28" i="50"/>
  <c r="N28" i="50" s="1"/>
  <c r="L3843" i="18"/>
  <c r="O109" i="18"/>
  <c r="L1277" i="18"/>
  <c r="M214" i="50"/>
  <c r="N214" i="50" s="1"/>
  <c r="M236" i="50"/>
  <c r="N236" i="50" s="1"/>
  <c r="M287" i="50"/>
  <c r="N287" i="50" s="1"/>
  <c r="O3774" i="18"/>
  <c r="O3413" i="18"/>
  <c r="O2877" i="18"/>
  <c r="O3731" i="18"/>
  <c r="O4355" i="18"/>
  <c r="M14" i="50"/>
  <c r="N14" i="50" s="1"/>
  <c r="M262" i="50"/>
  <c r="N262" i="50" s="1"/>
  <c r="M278" i="50"/>
  <c r="N278" i="50" s="1"/>
  <c r="M216" i="50"/>
  <c r="N216" i="50" s="1"/>
  <c r="M268" i="50"/>
  <c r="N268" i="50" s="1"/>
  <c r="M241" i="50"/>
  <c r="N241" i="50" s="1"/>
  <c r="M113" i="50"/>
  <c r="N113" i="50" s="1"/>
  <c r="M270" i="50"/>
  <c r="N270" i="50" s="1"/>
  <c r="M206" i="50"/>
  <c r="N206" i="50" s="1"/>
  <c r="M69" i="50"/>
  <c r="N69" i="50" s="1"/>
  <c r="M281" i="50"/>
  <c r="N281" i="50" s="1"/>
  <c r="M255" i="50"/>
  <c r="N255" i="50" s="1"/>
  <c r="O90" i="18"/>
  <c r="O3622" i="18"/>
  <c r="M250" i="50"/>
  <c r="N250" i="50" s="1"/>
  <c r="M231" i="50"/>
  <c r="N231" i="50" s="1"/>
  <c r="M279" i="50"/>
  <c r="N279" i="50" s="1"/>
  <c r="M177" i="50"/>
  <c r="N177" i="50" s="1"/>
  <c r="M239" i="50"/>
  <c r="N239" i="50" s="1"/>
  <c r="M257" i="50"/>
  <c r="N257" i="50" s="1"/>
  <c r="M205" i="50"/>
  <c r="N205" i="50" s="1"/>
  <c r="O4251" i="18"/>
  <c r="M251" i="50"/>
  <c r="N251" i="50" s="1"/>
  <c r="M68" i="50"/>
  <c r="N68" i="50" s="1"/>
  <c r="M215" i="50"/>
  <c r="N215" i="50" s="1"/>
  <c r="M224" i="50"/>
  <c r="N224" i="50" s="1"/>
  <c r="O59" i="18"/>
  <c r="O988" i="18"/>
  <c r="O10" i="18"/>
  <c r="O3972" i="18"/>
  <c r="O1013" i="18"/>
  <c r="M13" i="50"/>
  <c r="N13" i="50" s="1"/>
  <c r="M272" i="50"/>
  <c r="N272" i="50" s="1"/>
  <c r="M66" i="50"/>
  <c r="N66" i="50" s="1"/>
  <c r="M243" i="50"/>
  <c r="N243" i="50" s="1"/>
  <c r="M115" i="50"/>
  <c r="N115" i="50" s="1"/>
  <c r="M9" i="50"/>
  <c r="N9" i="50" s="1"/>
  <c r="M217" i="50"/>
  <c r="N217" i="50" s="1"/>
  <c r="O3323" i="18"/>
  <c r="L988" i="18"/>
  <c r="L1538" i="18"/>
  <c r="L1057" i="18"/>
  <c r="L1491" i="18"/>
  <c r="K44" i="68"/>
  <c r="L1027" i="18"/>
  <c r="L1587" i="18"/>
  <c r="I103" i="47"/>
  <c r="J103" i="47" s="1"/>
  <c r="I93" i="47"/>
  <c r="J93" i="47" s="1"/>
  <c r="L1292" i="18"/>
  <c r="K31" i="68"/>
  <c r="I78" i="47"/>
  <c r="J78" i="47" s="1"/>
  <c r="L1520" i="18"/>
  <c r="M14" i="46"/>
  <c r="N14" i="46" s="1"/>
  <c r="M13" i="46"/>
  <c r="N13" i="46" s="1"/>
  <c r="M39" i="46"/>
  <c r="N39" i="46" s="1"/>
  <c r="K51" i="75"/>
  <c r="L51" i="75"/>
  <c r="H51" i="75"/>
  <c r="L2748" i="18"/>
  <c r="O1520" i="18"/>
  <c r="O4122" i="18"/>
  <c r="I51" i="75"/>
  <c r="X51" i="75"/>
  <c r="F122" i="21"/>
  <c r="F123" i="21" s="1"/>
  <c r="F124" i="21" s="1"/>
  <c r="O1057" i="18"/>
  <c r="O1307" i="18"/>
  <c r="I23" i="47"/>
  <c r="J23" i="47" s="1"/>
  <c r="Q51" i="75"/>
  <c r="Z51" i="75"/>
  <c r="Y43" i="75"/>
  <c r="D51" i="75"/>
  <c r="X43" i="75"/>
  <c r="L2705" i="18"/>
  <c r="F94" i="74"/>
  <c r="U43" i="75"/>
  <c r="M51" i="75"/>
  <c r="O1277" i="18"/>
  <c r="O1491" i="18"/>
  <c r="Y51" i="75"/>
  <c r="O3425" i="18"/>
  <c r="O3833" i="18"/>
  <c r="O4151" i="18"/>
  <c r="AB47" i="2"/>
  <c r="D22" i="48"/>
  <c r="AA33" i="71"/>
  <c r="D34" i="48"/>
  <c r="F37" i="48"/>
  <c r="F24" i="52"/>
  <c r="O4291" i="18"/>
  <c r="O3436" i="18"/>
  <c r="P5393" i="18"/>
  <c r="O5361" i="18"/>
  <c r="I1009" i="18"/>
  <c r="I1010" i="18" s="1"/>
  <c r="K1011" i="18" s="1"/>
  <c r="L1011" i="18" s="1"/>
  <c r="L3771" i="18"/>
  <c r="I3856" i="18"/>
  <c r="I3857" i="18" s="1"/>
  <c r="K3858" i="18" s="1"/>
  <c r="L3858" i="18" s="1"/>
  <c r="L941" i="18"/>
  <c r="M7" i="18"/>
  <c r="AC26" i="75"/>
  <c r="O4055" i="18"/>
  <c r="O4428" i="18"/>
  <c r="U15" i="75"/>
  <c r="I21" i="47"/>
  <c r="J21" i="47" s="1"/>
  <c r="AA32" i="75"/>
  <c r="AC32" i="75" s="1"/>
  <c r="O3385" i="18"/>
  <c r="I94" i="47"/>
  <c r="J94" i="47" s="1"/>
  <c r="AB16" i="75"/>
  <c r="AB14" i="75" s="1"/>
  <c r="X13" i="75"/>
  <c r="Y25" i="75"/>
  <c r="D51" i="52"/>
  <c r="D52" i="52" s="1"/>
  <c r="D16" i="52" s="1"/>
  <c r="P30" i="75"/>
  <c r="F36" i="48"/>
  <c r="H25" i="75"/>
  <c r="I67" i="47"/>
  <c r="J67" i="47" s="1"/>
  <c r="O2157" i="18"/>
  <c r="D18" i="48"/>
  <c r="O2431" i="18"/>
  <c r="D11" i="48"/>
  <c r="D17" i="48" s="1"/>
  <c r="I101" i="47"/>
  <c r="J101" i="47" s="1"/>
  <c r="I49" i="47"/>
  <c r="J49" i="47" s="1"/>
  <c r="AC19" i="75"/>
  <c r="D26" i="71"/>
  <c r="O33" i="71"/>
  <c r="D45" i="48"/>
  <c r="O3458" i="18"/>
  <c r="D62" i="52"/>
  <c r="D10" i="52" s="1"/>
  <c r="Y16" i="75"/>
  <c r="P31" i="71"/>
  <c r="AC31" i="71"/>
  <c r="AC30" i="75"/>
  <c r="I14" i="47"/>
  <c r="J14" i="47" s="1"/>
  <c r="I88" i="47"/>
  <c r="J88" i="47" s="1"/>
  <c r="U13" i="75"/>
  <c r="F53" i="69"/>
  <c r="O4975" i="18"/>
  <c r="I69" i="47"/>
  <c r="J69" i="47" s="1"/>
  <c r="I117" i="47"/>
  <c r="J117" i="47" s="1"/>
  <c r="I51" i="47"/>
  <c r="J51" i="47" s="1"/>
  <c r="I50" i="47"/>
  <c r="J50" i="47" s="1"/>
  <c r="I31" i="47"/>
  <c r="J31" i="47" s="1"/>
  <c r="I24" i="47"/>
  <c r="J24" i="47" s="1"/>
  <c r="I46" i="47"/>
  <c r="J46" i="47" s="1"/>
  <c r="M171" i="5"/>
  <c r="M809" i="5" s="1"/>
  <c r="I113" i="47"/>
  <c r="J113" i="47" s="1"/>
  <c r="F79" i="48"/>
  <c r="F23" i="48" s="1"/>
  <c r="L435" i="5"/>
  <c r="L434" i="5" s="1"/>
  <c r="L457" i="5" s="1"/>
  <c r="L234" i="5" s="1"/>
  <c r="I25" i="47"/>
  <c r="J25" i="47" s="1"/>
  <c r="Q21" i="75"/>
  <c r="AA21" i="75"/>
  <c r="AC23" i="75"/>
  <c r="R21" i="71"/>
  <c r="W33" i="71"/>
  <c r="I48" i="47"/>
  <c r="J48" i="47" s="1"/>
  <c r="L44" i="68"/>
  <c r="O3535" i="18"/>
  <c r="O3582" i="18"/>
  <c r="F74" i="48"/>
  <c r="F22" i="48" s="1"/>
  <c r="AA21" i="71"/>
  <c r="F12" i="69"/>
  <c r="U16" i="71"/>
  <c r="U26" i="71"/>
  <c r="H58" i="68"/>
  <c r="V16" i="71"/>
  <c r="V13" i="75"/>
  <c r="F47" i="69"/>
  <c r="T51" i="75"/>
  <c r="AA16" i="71"/>
  <c r="I87" i="47"/>
  <c r="J87" i="47" s="1"/>
  <c r="O4740" i="18"/>
  <c r="I64" i="47"/>
  <c r="J64" i="47" s="1"/>
  <c r="I62" i="47"/>
  <c r="J62" i="47" s="1"/>
  <c r="O3941" i="18"/>
  <c r="Y13" i="71"/>
  <c r="AB21" i="71"/>
  <c r="AC17" i="75"/>
  <c r="Q16" i="71"/>
  <c r="V25" i="75"/>
  <c r="F34" i="73"/>
  <c r="I116" i="47"/>
  <c r="J116" i="47" s="1"/>
  <c r="I68" i="47"/>
  <c r="J68" i="47" s="1"/>
  <c r="O3961" i="18"/>
  <c r="T13" i="71"/>
  <c r="U33" i="71"/>
  <c r="O1823" i="18"/>
  <c r="I22" i="47"/>
  <c r="J22" i="47" s="1"/>
  <c r="AB26" i="71"/>
  <c r="L23" i="72"/>
  <c r="AC18" i="75"/>
  <c r="AA16" i="75"/>
  <c r="I37" i="47"/>
  <c r="J37" i="47" s="1"/>
  <c r="F40" i="73"/>
  <c r="O2648" i="18"/>
  <c r="I63" i="47"/>
  <c r="J63" i="47" s="1"/>
  <c r="V15" i="75"/>
  <c r="I38" i="47"/>
  <c r="J38" i="47" s="1"/>
  <c r="I61" i="47"/>
  <c r="J61" i="47" s="1"/>
  <c r="X21" i="71"/>
  <c r="AB13" i="75"/>
  <c r="I26" i="71"/>
  <c r="U13" i="71"/>
  <c r="V26" i="71"/>
  <c r="S33" i="71"/>
  <c r="W13" i="71"/>
  <c r="S21" i="71"/>
  <c r="T16" i="71"/>
  <c r="W16" i="71"/>
  <c r="S16" i="71"/>
  <c r="O859" i="18"/>
  <c r="I13" i="47"/>
  <c r="J13" i="47" s="1"/>
  <c r="AC30" i="71"/>
  <c r="AA13" i="71"/>
  <c r="T21" i="71"/>
  <c r="R16" i="71"/>
  <c r="L193" i="5"/>
  <c r="O3447" i="18"/>
  <c r="T52" i="71"/>
  <c r="F38" i="69"/>
  <c r="F41" i="69" s="1"/>
  <c r="F43" i="69" s="1"/>
  <c r="I76" i="47"/>
  <c r="J76" i="47" s="1"/>
  <c r="O3931" i="18"/>
  <c r="Z14" i="71"/>
  <c r="Z37" i="71" s="1"/>
  <c r="Z45" i="71" s="1"/>
  <c r="K122" i="5"/>
  <c r="K124" i="5" s="1"/>
  <c r="K125" i="5" s="1"/>
  <c r="M630" i="5"/>
  <c r="M655" i="5" s="1"/>
  <c r="M874" i="5" s="1"/>
  <c r="M875" i="5" s="1"/>
  <c r="M876" i="5" s="1"/>
  <c r="K15" i="75"/>
  <c r="M819" i="5"/>
  <c r="M820" i="5" s="1"/>
  <c r="I71" i="47"/>
  <c r="J71" i="47" s="1"/>
  <c r="I40" i="47"/>
  <c r="J40" i="47" s="1"/>
  <c r="M121" i="5"/>
  <c r="I57" i="47"/>
  <c r="J57" i="47" s="1"/>
  <c r="Y26" i="71"/>
  <c r="T14" i="75"/>
  <c r="T36" i="75" s="1"/>
  <c r="T50" i="75" s="1"/>
  <c r="L192" i="5"/>
  <c r="O4161" i="18"/>
  <c r="O3485" i="18"/>
  <c r="I36" i="47"/>
  <c r="J36" i="47" s="1"/>
  <c r="I79" i="47"/>
  <c r="J79" i="47" s="1"/>
  <c r="D16" i="75"/>
  <c r="I104" i="47"/>
  <c r="J104" i="47" s="1"/>
  <c r="I82" i="47"/>
  <c r="J82" i="47" s="1"/>
  <c r="X26" i="71"/>
  <c r="I92" i="47"/>
  <c r="J92" i="47" s="1"/>
  <c r="S13" i="71"/>
  <c r="AA26" i="71"/>
  <c r="L31" i="68"/>
  <c r="D115" i="51"/>
  <c r="D118" i="51" s="1"/>
  <c r="D120" i="51" s="1"/>
  <c r="I120" i="51" s="1"/>
  <c r="J120" i="51" s="1"/>
  <c r="L122" i="5"/>
  <c r="L124" i="5" s="1"/>
  <c r="L125" i="5" s="1"/>
  <c r="U25" i="75"/>
  <c r="AA25" i="75"/>
  <c r="AC33" i="75"/>
  <c r="I19" i="47"/>
  <c r="J19" i="47" s="1"/>
  <c r="I80" i="47"/>
  <c r="J80" i="47" s="1"/>
  <c r="D54" i="47"/>
  <c r="D54" i="51"/>
  <c r="AC29" i="75"/>
  <c r="I60" i="47"/>
  <c r="J60" i="47" s="1"/>
  <c r="D72" i="47"/>
  <c r="AC28" i="75"/>
  <c r="M223" i="5"/>
  <c r="D54" i="52"/>
  <c r="AC32" i="71"/>
  <c r="Q13" i="71"/>
  <c r="D84" i="47"/>
  <c r="AC36" i="71"/>
  <c r="R14" i="75"/>
  <c r="R36" i="75" s="1"/>
  <c r="I30" i="47"/>
  <c r="J30" i="47" s="1"/>
  <c r="I33" i="47"/>
  <c r="J33" i="47" s="1"/>
  <c r="I15" i="47"/>
  <c r="J15" i="47" s="1"/>
  <c r="M242" i="5"/>
  <c r="M267" i="5" s="1"/>
  <c r="M834" i="5" s="1"/>
  <c r="M835" i="5" s="1"/>
  <c r="M836" i="5" s="1"/>
  <c r="R33" i="71"/>
  <c r="AC9" i="75"/>
  <c r="AC12" i="71"/>
  <c r="AC34" i="71"/>
  <c r="R26" i="71"/>
  <c r="M368" i="5"/>
  <c r="M393" i="5" s="1"/>
  <c r="M846" i="5" s="1"/>
  <c r="M847" i="5" s="1"/>
  <c r="M848" i="5" s="1"/>
  <c r="M275" i="5"/>
  <c r="M298" i="5" s="1"/>
  <c r="M838" i="5" s="1"/>
  <c r="M839" i="5" s="1"/>
  <c r="M840" i="5" s="1"/>
  <c r="I83" i="47"/>
  <c r="J83" i="47" s="1"/>
  <c r="I74" i="47"/>
  <c r="J74" i="47" s="1"/>
  <c r="L35" i="72"/>
  <c r="AC27" i="71"/>
  <c r="I114" i="47"/>
  <c r="J114" i="47" s="1"/>
  <c r="M597" i="5"/>
  <c r="M622" i="5" s="1"/>
  <c r="M230" i="5"/>
  <c r="Q33" i="71"/>
  <c r="AC24" i="75"/>
  <c r="X13" i="71"/>
  <c r="I81" i="47"/>
  <c r="J81" i="47" s="1"/>
  <c r="I115" i="51"/>
  <c r="I118" i="51" s="1"/>
  <c r="I84" i="51"/>
  <c r="D80" i="48"/>
  <c r="D81" i="48" s="1"/>
  <c r="D28" i="48" s="1"/>
  <c r="K193" i="5"/>
  <c r="O1853" i="18"/>
  <c r="AC25" i="71"/>
  <c r="AA13" i="75"/>
  <c r="AC20" i="75"/>
  <c r="I106" i="47"/>
  <c r="J106" i="47" s="1"/>
  <c r="E119" i="70"/>
  <c r="E120" i="70" s="1"/>
  <c r="E121" i="70" s="1"/>
  <c r="I16" i="47"/>
  <c r="J16" i="47" s="1"/>
  <c r="I43" i="47"/>
  <c r="J43" i="47" s="1"/>
  <c r="AC22" i="75"/>
  <c r="D115" i="47"/>
  <c r="D118" i="47" s="1"/>
  <c r="D120" i="47" s="1"/>
  <c r="M306" i="5"/>
  <c r="M329" i="5" s="1"/>
  <c r="M842" i="5" s="1"/>
  <c r="M843" i="5" s="1"/>
  <c r="M844" i="5" s="1"/>
  <c r="M64" i="5"/>
  <c r="M786" i="5" s="1"/>
  <c r="H31" i="68"/>
  <c r="X16" i="71"/>
  <c r="W26" i="71"/>
  <c r="I53" i="47"/>
  <c r="J53" i="47" s="1"/>
  <c r="D84" i="51"/>
  <c r="D57" i="52"/>
  <c r="Q25" i="75"/>
  <c r="R13" i="71"/>
  <c r="AC28" i="71"/>
  <c r="AC17" i="71"/>
  <c r="H49" i="72"/>
  <c r="AC29" i="71"/>
  <c r="AC35" i="75"/>
  <c r="M465" i="5"/>
  <c r="M490" i="5" s="1"/>
  <c r="M858" i="5" s="1"/>
  <c r="M859" i="5" s="1"/>
  <c r="M860" i="5" s="1"/>
  <c r="S14" i="75"/>
  <c r="S36" i="75" s="1"/>
  <c r="S50" i="75" s="1"/>
  <c r="S52" i="75" s="1"/>
  <c r="S53" i="75" s="1"/>
  <c r="AC18" i="71"/>
  <c r="M218" i="5"/>
  <c r="AC10" i="75"/>
  <c r="M531" i="5"/>
  <c r="M556" i="5" s="1"/>
  <c r="M866" i="5" s="1"/>
  <c r="M867" i="5" s="1"/>
  <c r="M868" i="5" s="1"/>
  <c r="K192" i="5"/>
  <c r="M117" i="5"/>
  <c r="D72" i="51"/>
  <c r="T26" i="71"/>
  <c r="AC9" i="71"/>
  <c r="I72" i="51"/>
  <c r="K435" i="5"/>
  <c r="K434" i="5" s="1"/>
  <c r="K457" i="5" s="1"/>
  <c r="K234" i="5" s="1"/>
  <c r="AC19" i="71"/>
  <c r="I26" i="47"/>
  <c r="J26" i="47" s="1"/>
  <c r="M208" i="5"/>
  <c r="F25" i="73"/>
  <c r="F28" i="73" s="1"/>
  <c r="F30" i="73" s="1"/>
  <c r="F31" i="73" s="1"/>
  <c r="F65" i="73" s="1"/>
  <c r="M337" i="5"/>
  <c r="M360" i="5" s="1"/>
  <c r="AC11" i="71"/>
  <c r="AC24" i="71"/>
  <c r="M109" i="5"/>
  <c r="D86" i="48" s="1"/>
  <c r="S26" i="71"/>
  <c r="AC10" i="71"/>
  <c r="M213" i="5"/>
  <c r="AC22" i="71"/>
  <c r="D28" i="47"/>
  <c r="H23" i="72"/>
  <c r="M401" i="5"/>
  <c r="M426" i="5" s="1"/>
  <c r="M850" i="5" s="1"/>
  <c r="Y15" i="71"/>
  <c r="U21" i="75"/>
  <c r="Y21" i="71"/>
  <c r="I20" i="47"/>
  <c r="J20" i="47" s="1"/>
  <c r="D28" i="51"/>
  <c r="D64" i="52"/>
  <c r="F27" i="52" s="1"/>
  <c r="O890" i="18"/>
  <c r="AC35" i="71"/>
  <c r="Q13" i="75"/>
  <c r="Q26" i="71"/>
  <c r="M498" i="5"/>
  <c r="M523" i="5" s="1"/>
  <c r="M862" i="5" s="1"/>
  <c r="M863" i="5" s="1"/>
  <c r="M864" i="5" s="1"/>
  <c r="X16" i="75"/>
  <c r="M161" i="5"/>
  <c r="M163" i="5" s="1"/>
  <c r="D14" i="48" s="1"/>
  <c r="AC20" i="71"/>
  <c r="AC34" i="75"/>
  <c r="I27" i="47"/>
  <c r="J27" i="47" s="1"/>
  <c r="I28" i="51"/>
  <c r="I54" i="51"/>
  <c r="I112" i="47"/>
  <c r="J112" i="47" s="1"/>
  <c r="H711" i="5"/>
  <c r="H713" i="5" s="1"/>
  <c r="G711" i="5"/>
  <c r="G713" i="5" s="1"/>
  <c r="I33" i="71"/>
  <c r="I15" i="75"/>
  <c r="E16" i="75"/>
  <c r="K21" i="71"/>
  <c r="M32" i="75"/>
  <c r="E26" i="71"/>
  <c r="O13" i="71"/>
  <c r="AB44" i="71" s="1"/>
  <c r="L25" i="75"/>
  <c r="L14" i="75" s="1"/>
  <c r="L36" i="75" s="1"/>
  <c r="L21" i="71"/>
  <c r="O16" i="71"/>
  <c r="F21" i="71"/>
  <c r="F26" i="71"/>
  <c r="E16" i="71"/>
  <c r="G21" i="71"/>
  <c r="O16" i="75"/>
  <c r="K16" i="75"/>
  <c r="K16" i="71"/>
  <c r="P29" i="75"/>
  <c r="N16" i="75"/>
  <c r="N26" i="71"/>
  <c r="L848" i="18"/>
  <c r="L4729" i="18"/>
  <c r="L4740" i="18"/>
  <c r="K25" i="75"/>
  <c r="L4858" i="18"/>
  <c r="L4845" i="18"/>
  <c r="O26" i="71"/>
  <c r="F16" i="71"/>
  <c r="M13" i="71"/>
  <c r="Z44" i="71" s="1"/>
  <c r="E25" i="75"/>
  <c r="E21" i="71"/>
  <c r="L2431" i="18"/>
  <c r="L2908" i="18"/>
  <c r="L3458" i="18"/>
  <c r="L3505" i="18"/>
  <c r="L3006" i="18"/>
  <c r="L668" i="18"/>
  <c r="L569" i="18"/>
  <c r="L485" i="18"/>
  <c r="L559" i="18"/>
  <c r="L3545" i="18"/>
  <c r="L3582" i="18"/>
  <c r="L2557" i="18"/>
  <c r="L4428" i="18"/>
  <c r="L4441" i="18"/>
  <c r="P24" i="75"/>
  <c r="H15" i="71"/>
  <c r="G13" i="75"/>
  <c r="T43" i="75" s="1"/>
  <c r="J21" i="71"/>
  <c r="L2202" i="18"/>
  <c r="L2218" i="18"/>
  <c r="M15" i="71"/>
  <c r="M13" i="75"/>
  <c r="Z43" i="75" s="1"/>
  <c r="L2157" i="18"/>
  <c r="L859" i="18"/>
  <c r="L3447" i="18"/>
  <c r="L890" i="18"/>
  <c r="F59" i="70"/>
  <c r="F123" i="70" s="1"/>
  <c r="F124" i="70" s="1"/>
  <c r="F125" i="70" s="1"/>
  <c r="L3398" i="18"/>
  <c r="L2599" i="18"/>
  <c r="E38" i="69"/>
  <c r="E41" i="69" s="1"/>
  <c r="F13" i="71"/>
  <c r="S44" i="71" s="1"/>
  <c r="M21" i="71"/>
  <c r="P12" i="75"/>
  <c r="P23" i="75"/>
  <c r="I13" i="71"/>
  <c r="V44" i="71" s="1"/>
  <c r="L2830" i="18"/>
  <c r="L2412" i="18"/>
  <c r="H16" i="71"/>
  <c r="K26" i="71"/>
  <c r="O21" i="71"/>
  <c r="F25" i="75"/>
  <c r="P35" i="75"/>
  <c r="I21" i="71"/>
  <c r="N25" i="75"/>
  <c r="D13" i="75"/>
  <c r="D32" i="75"/>
  <c r="K13" i="71"/>
  <c r="X44" i="71" s="1"/>
  <c r="E53" i="69"/>
  <c r="E46" i="69" s="1"/>
  <c r="E86" i="69" s="1"/>
  <c r="G31" i="68"/>
  <c r="G51" i="75"/>
  <c r="N21" i="75"/>
  <c r="I401" i="5"/>
  <c r="I426" i="5" s="1"/>
  <c r="I850" i="5" s="1"/>
  <c r="I25" i="75"/>
  <c r="E33" i="71"/>
  <c r="J25" i="75"/>
  <c r="L15" i="71"/>
  <c r="D25" i="75"/>
  <c r="N32" i="75"/>
  <c r="F81" i="48"/>
  <c r="F28" i="48" s="1"/>
  <c r="I16" i="71"/>
  <c r="G13" i="71"/>
  <c r="T44" i="71" s="1"/>
  <c r="J13" i="71"/>
  <c r="W44" i="71" s="1"/>
  <c r="P28" i="75"/>
  <c r="I630" i="5"/>
  <c r="I655" i="5" s="1"/>
  <c r="L26" i="71"/>
  <c r="G435" i="5"/>
  <c r="G434" i="5" s="1"/>
  <c r="G457" i="5" s="1"/>
  <c r="G117" i="5"/>
  <c r="P32" i="71"/>
  <c r="P17" i="75"/>
  <c r="J16" i="75"/>
  <c r="L10" i="18"/>
  <c r="G23" i="72"/>
  <c r="F42" i="74"/>
  <c r="P11" i="75"/>
  <c r="I171" i="5"/>
  <c r="I170" i="5" s="1"/>
  <c r="F123" i="47" s="1"/>
  <c r="F27" i="48"/>
  <c r="L317" i="18"/>
  <c r="L3535" i="18"/>
  <c r="P24" i="71"/>
  <c r="L3562" i="18"/>
  <c r="P10" i="75"/>
  <c r="E13" i="71"/>
  <c r="R44" i="71" s="1"/>
  <c r="P28" i="71"/>
  <c r="P19" i="75"/>
  <c r="E34" i="73"/>
  <c r="F84" i="47"/>
  <c r="H13" i="71"/>
  <c r="U44" i="71" s="1"/>
  <c r="H192" i="5"/>
  <c r="K35" i="72"/>
  <c r="F28" i="47"/>
  <c r="I498" i="5"/>
  <c r="I523" i="5" s="1"/>
  <c r="P29" i="71"/>
  <c r="P18" i="75"/>
  <c r="H26" i="71"/>
  <c r="I161" i="5"/>
  <c r="H117" i="5"/>
  <c r="H122" i="5" s="1"/>
  <c r="H124" i="5" s="1"/>
  <c r="H125" i="5" s="1"/>
  <c r="L1823" i="18"/>
  <c r="O25" i="75"/>
  <c r="H212" i="5"/>
  <c r="P27" i="75"/>
  <c r="N16" i="71"/>
  <c r="F34" i="48"/>
  <c r="F18" i="48"/>
  <c r="M26" i="71"/>
  <c r="M16" i="71"/>
  <c r="F813" i="5"/>
  <c r="F800" i="5"/>
  <c r="F803" i="5" s="1"/>
  <c r="F804" i="5" s="1"/>
  <c r="M713" i="5"/>
  <c r="D109" i="48" s="1"/>
  <c r="D29" i="48" s="1"/>
  <c r="M829" i="5"/>
  <c r="M831" i="5" s="1"/>
  <c r="M832" i="5" s="1"/>
  <c r="F11" i="48"/>
  <c r="F17" i="48" s="1"/>
  <c r="E40" i="73"/>
  <c r="P34" i="71"/>
  <c r="F72" i="47"/>
  <c r="E25" i="73"/>
  <c r="E28" i="73" s="1"/>
  <c r="H4978" i="18" s="1"/>
  <c r="P30" i="71"/>
  <c r="P27" i="71"/>
  <c r="K23" i="72"/>
  <c r="M25" i="75"/>
  <c r="M16" i="75"/>
  <c r="P36" i="71"/>
  <c r="G52" i="71"/>
  <c r="G25" i="75"/>
  <c r="G14" i="75" s="1"/>
  <c r="L698" i="18"/>
  <c r="L1908" i="18"/>
  <c r="I597" i="5"/>
  <c r="I622" i="5" s="1"/>
  <c r="F85" i="48"/>
  <c r="F25" i="48" s="1"/>
  <c r="E12" i="69"/>
  <c r="I109" i="5"/>
  <c r="F86" i="48" s="1"/>
  <c r="D66" i="52"/>
  <c r="M805" i="5"/>
  <c r="M791" i="5"/>
  <c r="I817" i="5"/>
  <c r="I819" i="5" s="1"/>
  <c r="I820" i="5" s="1"/>
  <c r="I802" i="5"/>
  <c r="J826" i="5"/>
  <c r="J827" i="5" s="1"/>
  <c r="J828" i="5" s="1"/>
  <c r="J434" i="5"/>
  <c r="J457" i="5" s="1"/>
  <c r="J854" i="5" s="1"/>
  <c r="J810" i="5"/>
  <c r="J811" i="5" s="1"/>
  <c r="J812" i="5" s="1"/>
  <c r="I337" i="5"/>
  <c r="I360" i="5" s="1"/>
  <c r="L13" i="71"/>
  <c r="Y44" i="71" s="1"/>
  <c r="P31" i="75"/>
  <c r="P25" i="71"/>
  <c r="I368" i="5"/>
  <c r="I393" i="5" s="1"/>
  <c r="P18" i="71"/>
  <c r="G16" i="71"/>
  <c r="I66" i="47"/>
  <c r="J66" i="47" s="1"/>
  <c r="P10" i="71"/>
  <c r="P33" i="75"/>
  <c r="H16" i="75"/>
  <c r="P17" i="71"/>
  <c r="D21" i="71"/>
  <c r="I531" i="5"/>
  <c r="I556" i="5" s="1"/>
  <c r="J26" i="71"/>
  <c r="F115" i="47"/>
  <c r="F118" i="47" s="1"/>
  <c r="P35" i="71"/>
  <c r="P19" i="71"/>
  <c r="I242" i="5"/>
  <c r="I267" i="5" s="1"/>
  <c r="P12" i="71"/>
  <c r="I230" i="5"/>
  <c r="D15" i="71"/>
  <c r="P22" i="71"/>
  <c r="I275" i="5"/>
  <c r="I298" i="5" s="1"/>
  <c r="L33" i="71"/>
  <c r="I465" i="5"/>
  <c r="I490" i="5" s="1"/>
  <c r="D16" i="71"/>
  <c r="P20" i="71"/>
  <c r="P22" i="75"/>
  <c r="H193" i="5"/>
  <c r="F16" i="75"/>
  <c r="G26" i="71"/>
  <c r="D21" i="75"/>
  <c r="P20" i="75"/>
  <c r="I306" i="5"/>
  <c r="I329" i="5" s="1"/>
  <c r="P34" i="75"/>
  <c r="K32" i="75"/>
  <c r="I218" i="5"/>
  <c r="I213" i="5"/>
  <c r="I223" i="5"/>
  <c r="H564" i="5"/>
  <c r="H209" i="5" s="1"/>
  <c r="P26" i="75"/>
  <c r="P11" i="71"/>
  <c r="L16" i="71"/>
  <c r="F12" i="52"/>
  <c r="AB43" i="75"/>
  <c r="V43" i="75"/>
  <c r="S43" i="75"/>
  <c r="G72" i="51"/>
  <c r="G84" i="51"/>
  <c r="F118" i="21"/>
  <c r="F119" i="21" s="1"/>
  <c r="J212" i="5"/>
  <c r="D47" i="52"/>
  <c r="D15" i="52" s="1"/>
  <c r="M565" i="5"/>
  <c r="M210" i="5" s="1"/>
  <c r="D42" i="48"/>
  <c r="AE15" i="2"/>
  <c r="AE40" i="2" s="1"/>
  <c r="F434" i="5"/>
  <c r="F457" i="5" s="1"/>
  <c r="F811" i="5"/>
  <c r="F812" i="5" s="1"/>
  <c r="F210" i="5"/>
  <c r="Q15" i="2"/>
  <c r="E122" i="21"/>
  <c r="E123" i="21" s="1"/>
  <c r="E124" i="21" s="1"/>
  <c r="E118" i="21"/>
  <c r="E119" i="21" s="1"/>
  <c r="J807" i="5"/>
  <c r="J808" i="5" s="1"/>
  <c r="J564" i="5"/>
  <c r="J589" i="5" s="1"/>
  <c r="M567" i="5"/>
  <c r="F807" i="5"/>
  <c r="F808" i="5" s="1"/>
  <c r="F564" i="5"/>
  <c r="F212" i="5"/>
  <c r="F814" i="5" s="1"/>
  <c r="AB54" i="2"/>
  <c r="AB56" i="2" s="1"/>
  <c r="AB57" i="2" s="1"/>
  <c r="AB48" i="2"/>
  <c r="I4467" i="18"/>
  <c r="I4476" i="18" s="1"/>
  <c r="D121" i="47"/>
  <c r="D121" i="51"/>
  <c r="I121" i="51" s="1"/>
  <c r="J121" i="51" s="1"/>
  <c r="D15" i="48"/>
  <c r="M754" i="5"/>
  <c r="X54" i="2"/>
  <c r="X56" i="2" s="1"/>
  <c r="X57" i="2" s="1"/>
  <c r="X48" i="2"/>
  <c r="X49" i="2" s="1"/>
  <c r="G55" i="51"/>
  <c r="H29" i="50"/>
  <c r="L80" i="46"/>
  <c r="L25" i="46"/>
  <c r="G41" i="46"/>
  <c r="G53" i="46"/>
  <c r="L84" i="46"/>
  <c r="G70" i="46"/>
  <c r="E54" i="8" l="1"/>
  <c r="E310" i="98"/>
  <c r="E57" i="8" s="1"/>
  <c r="I57" i="8" s="1"/>
  <c r="E41" i="8"/>
  <c r="I53" i="8"/>
  <c r="F701" i="5"/>
  <c r="I701" i="5" s="1"/>
  <c r="G344" i="50" s="1"/>
  <c r="F686" i="5"/>
  <c r="E42" i="8"/>
  <c r="I42" i="8" s="1"/>
  <c r="E61" i="74"/>
  <c r="H5119" i="18" s="1"/>
  <c r="K6145" i="18"/>
  <c r="L6146" i="18" s="1"/>
  <c r="E78" i="70"/>
  <c r="H4979" i="18"/>
  <c r="I54" i="8"/>
  <c r="F702" i="5"/>
  <c r="I702" i="5" s="1"/>
  <c r="E53" i="74"/>
  <c r="H5111" i="18" s="1"/>
  <c r="E48" i="8"/>
  <c r="I48" i="8" s="1"/>
  <c r="I43" i="8"/>
  <c r="E55" i="8"/>
  <c r="I55" i="8" s="1"/>
  <c r="I51" i="8"/>
  <c r="J26" i="96"/>
  <c r="J29" i="96" s="1"/>
  <c r="F699" i="5"/>
  <c r="F705" i="5"/>
  <c r="E60" i="8"/>
  <c r="F691" i="5"/>
  <c r="I691" i="5" s="1"/>
  <c r="E191" i="98"/>
  <c r="E33" i="8" s="1"/>
  <c r="J6231" i="18"/>
  <c r="E100" i="98"/>
  <c r="E24" i="8" s="1"/>
  <c r="E108" i="98"/>
  <c r="F108" i="98" s="1"/>
  <c r="J6201" i="18"/>
  <c r="J6227" i="18"/>
  <c r="J6229" i="18"/>
  <c r="I6205" i="18"/>
  <c r="I6219" i="18" s="1"/>
  <c r="I6234" i="18"/>
  <c r="I6248" i="18" s="1"/>
  <c r="H6205" i="18"/>
  <c r="H6219" i="18" s="1"/>
  <c r="E68" i="98"/>
  <c r="E22" i="8" s="1"/>
  <c r="J6203" i="18"/>
  <c r="G15" i="97"/>
  <c r="I15" i="97" s="1"/>
  <c r="K15" i="97" s="1"/>
  <c r="C14" i="97" s="1"/>
  <c r="C5" i="97" s="1"/>
  <c r="J6228" i="18"/>
  <c r="H6234" i="18"/>
  <c r="H6248" i="18" s="1"/>
  <c r="E21" i="98"/>
  <c r="E10" i="8" s="1"/>
  <c r="K6172" i="18"/>
  <c r="L6173" i="18" s="1"/>
  <c r="E81" i="70"/>
  <c r="E64" i="74"/>
  <c r="H5122" i="18" s="1"/>
  <c r="K3659" i="18"/>
  <c r="L3659" i="18" s="1"/>
  <c r="Q3622" i="18"/>
  <c r="C4" i="97"/>
  <c r="N4461" i="18"/>
  <c r="H4464" i="18"/>
  <c r="H4466" i="18" s="1"/>
  <c r="K45" i="68"/>
  <c r="F129" i="21"/>
  <c r="M84" i="46"/>
  <c r="N84" i="46" s="1"/>
  <c r="M70" i="46"/>
  <c r="N70" i="46" s="1"/>
  <c r="M41" i="46"/>
  <c r="N41" i="46" s="1"/>
  <c r="F106" i="74"/>
  <c r="F107" i="74" s="1"/>
  <c r="F108" i="74" s="1"/>
  <c r="L50" i="75"/>
  <c r="L52" i="75" s="1"/>
  <c r="L53" i="75" s="1"/>
  <c r="F64" i="73"/>
  <c r="F66" i="73" s="1"/>
  <c r="F67" i="73" s="1"/>
  <c r="D95" i="51"/>
  <c r="I95" i="51" s="1"/>
  <c r="J95" i="51" s="1"/>
  <c r="K293" i="50"/>
  <c r="K294" i="50"/>
  <c r="F558" i="5"/>
  <c r="Q9" i="2"/>
  <c r="AE47" i="2" s="1"/>
  <c r="N14" i="2"/>
  <c r="N4370" i="18"/>
  <c r="O4396" i="18" s="1"/>
  <c r="K289" i="50"/>
  <c r="M289" i="50" s="1"/>
  <c r="N289" i="50" s="1"/>
  <c r="AE54" i="2"/>
  <c r="AE56" i="2" s="1"/>
  <c r="AE57" i="2" s="1"/>
  <c r="Q43" i="75"/>
  <c r="D55" i="52"/>
  <c r="F30" i="52" s="1"/>
  <c r="D11" i="52"/>
  <c r="Q14" i="75"/>
  <c r="Q36" i="75" s="1"/>
  <c r="L36" i="72"/>
  <c r="D27" i="48"/>
  <c r="F52" i="52"/>
  <c r="F16" i="52" s="1"/>
  <c r="D91" i="47"/>
  <c r="M170" i="5"/>
  <c r="D123" i="51" s="1"/>
  <c r="I123" i="51" s="1"/>
  <c r="J123" i="51" s="1"/>
  <c r="H14" i="75"/>
  <c r="H36" i="75" s="1"/>
  <c r="F46" i="69"/>
  <c r="F86" i="69" s="1"/>
  <c r="Y14" i="75"/>
  <c r="Y36" i="75" s="1"/>
  <c r="M193" i="5"/>
  <c r="M801" i="5" s="1"/>
  <c r="D55" i="47"/>
  <c r="E40" i="47" s="1"/>
  <c r="L209" i="5"/>
  <c r="L212" i="5"/>
  <c r="M869" i="5"/>
  <c r="F51" i="74"/>
  <c r="AB36" i="75"/>
  <c r="AB14" i="71"/>
  <c r="AB37" i="71" s="1"/>
  <c r="AB45" i="71" s="1"/>
  <c r="AB46" i="71" s="1"/>
  <c r="AB47" i="71" s="1"/>
  <c r="L45" i="68"/>
  <c r="H59" i="68"/>
  <c r="H70" i="68" s="1"/>
  <c r="U14" i="71"/>
  <c r="U37" i="71" s="1"/>
  <c r="U51" i="71" s="1"/>
  <c r="U53" i="71" s="1"/>
  <c r="U54" i="71" s="1"/>
  <c r="L48" i="72"/>
  <c r="N4460" i="18"/>
  <c r="L57" i="68"/>
  <c r="AA52" i="71" s="1"/>
  <c r="D95" i="47"/>
  <c r="V14" i="71"/>
  <c r="V37" i="71" s="1"/>
  <c r="V51" i="71" s="1"/>
  <c r="V53" i="71" s="1"/>
  <c r="V54" i="71" s="1"/>
  <c r="F33" i="73"/>
  <c r="F52" i="73" s="1"/>
  <c r="T52" i="75"/>
  <c r="T53" i="75" s="1"/>
  <c r="J115" i="51"/>
  <c r="V14" i="75"/>
  <c r="V36" i="75" s="1"/>
  <c r="M122" i="5"/>
  <c r="M124" i="5" s="1"/>
  <c r="D87" i="48" s="1"/>
  <c r="H50" i="72"/>
  <c r="I85" i="51"/>
  <c r="AC16" i="75"/>
  <c r="Z51" i="71"/>
  <c r="Z53" i="71" s="1"/>
  <c r="Z54" i="71" s="1"/>
  <c r="F77" i="69"/>
  <c r="F79" i="69" s="1"/>
  <c r="F80" i="69" s="1"/>
  <c r="F82" i="69"/>
  <c r="I55" i="51"/>
  <c r="AC21" i="71"/>
  <c r="S14" i="71"/>
  <c r="S37" i="71" s="1"/>
  <c r="AC16" i="71"/>
  <c r="T44" i="75"/>
  <c r="T45" i="75" s="1"/>
  <c r="T46" i="75" s="1"/>
  <c r="T14" i="71"/>
  <c r="T37" i="71" s="1"/>
  <c r="T45" i="71" s="1"/>
  <c r="T46" i="71" s="1"/>
  <c r="T47" i="71" s="1"/>
  <c r="D82" i="48"/>
  <c r="D55" i="51"/>
  <c r="E52" i="51" s="1"/>
  <c r="H52" i="51" s="1"/>
  <c r="D85" i="48"/>
  <c r="D25" i="48" s="1"/>
  <c r="D85" i="47"/>
  <c r="E74" i="47" s="1"/>
  <c r="AC13" i="75"/>
  <c r="S44" i="75"/>
  <c r="S45" i="75" s="1"/>
  <c r="S46" i="75" s="1"/>
  <c r="J54" i="51"/>
  <c r="AC13" i="71"/>
  <c r="AC33" i="71"/>
  <c r="R14" i="71"/>
  <c r="R37" i="71" s="1"/>
  <c r="R45" i="71" s="1"/>
  <c r="R46" i="71" s="1"/>
  <c r="R47" i="71" s="1"/>
  <c r="U14" i="75"/>
  <c r="U36" i="75" s="1"/>
  <c r="F89" i="74"/>
  <c r="J84" i="51"/>
  <c r="F69" i="73"/>
  <c r="Q14" i="71"/>
  <c r="Q37" i="71" s="1"/>
  <c r="Q45" i="71" s="1"/>
  <c r="Q46" i="71" s="1"/>
  <c r="Q47" i="71" s="1"/>
  <c r="D85" i="51"/>
  <c r="E65" i="51" s="1"/>
  <c r="H65" i="51" s="1"/>
  <c r="J118" i="51"/>
  <c r="D20" i="52"/>
  <c r="I115" i="47"/>
  <c r="I118" i="47" s="1"/>
  <c r="J118" i="47" s="1"/>
  <c r="L53" i="68"/>
  <c r="W52" i="71" s="1"/>
  <c r="AC25" i="75"/>
  <c r="D91" i="51"/>
  <c r="D59" i="52"/>
  <c r="D21" i="52"/>
  <c r="X14" i="71"/>
  <c r="X37" i="71" s="1"/>
  <c r="X45" i="71" s="1"/>
  <c r="X46" i="71" s="1"/>
  <c r="X47" i="71" s="1"/>
  <c r="AC21" i="75"/>
  <c r="L44" i="72"/>
  <c r="D58" i="52"/>
  <c r="D18" i="52" s="1"/>
  <c r="M853" i="5"/>
  <c r="J72" i="51"/>
  <c r="K209" i="5"/>
  <c r="I84" i="47"/>
  <c r="J84" i="47" s="1"/>
  <c r="F106" i="70"/>
  <c r="Y14" i="71"/>
  <c r="Y37" i="71" s="1"/>
  <c r="Y51" i="71" s="1"/>
  <c r="Y53" i="71" s="1"/>
  <c r="Y54" i="71" s="1"/>
  <c r="M435" i="5"/>
  <c r="M810" i="5" s="1"/>
  <c r="M811" i="5" s="1"/>
  <c r="M812" i="5" s="1"/>
  <c r="K212" i="5"/>
  <c r="AC26" i="71"/>
  <c r="J28" i="51"/>
  <c r="M821" i="5"/>
  <c r="M823" i="5" s="1"/>
  <c r="M824" i="5" s="1"/>
  <c r="I28" i="47"/>
  <c r="J28" i="47" s="1"/>
  <c r="F68" i="70"/>
  <c r="F105" i="70" s="1"/>
  <c r="F107" i="70" s="1"/>
  <c r="X14" i="75"/>
  <c r="X36" i="75" s="1"/>
  <c r="M790" i="5"/>
  <c r="M793" i="5" s="1"/>
  <c r="M794" i="5" s="1"/>
  <c r="D65" i="52"/>
  <c r="F28" i="52" s="1"/>
  <c r="I14" i="75"/>
  <c r="I36" i="75" s="1"/>
  <c r="E14" i="75"/>
  <c r="E36" i="75" s="1"/>
  <c r="E50" i="75" s="1"/>
  <c r="E52" i="75" s="1"/>
  <c r="E53" i="75" s="1"/>
  <c r="K14" i="71"/>
  <c r="K37" i="71" s="1"/>
  <c r="K51" i="71" s="1"/>
  <c r="K53" i="71" s="1"/>
  <c r="K54" i="71" s="1"/>
  <c r="F14" i="71"/>
  <c r="F37" i="71" s="1"/>
  <c r="F51" i="71" s="1"/>
  <c r="F53" i="71" s="1"/>
  <c r="F54" i="71" s="1"/>
  <c r="O14" i="75"/>
  <c r="O36" i="75" s="1"/>
  <c r="O50" i="75" s="1"/>
  <c r="O52" i="75" s="1"/>
  <c r="O53" i="75" s="1"/>
  <c r="K14" i="75"/>
  <c r="K36" i="75" s="1"/>
  <c r="I14" i="71"/>
  <c r="I37" i="71" s="1"/>
  <c r="I51" i="71" s="1"/>
  <c r="I53" i="71" s="1"/>
  <c r="I54" i="71" s="1"/>
  <c r="O14" i="71"/>
  <c r="O37" i="71" s="1"/>
  <c r="O51" i="71" s="1"/>
  <c r="O53" i="71" s="1"/>
  <c r="O54" i="71" s="1"/>
  <c r="Z46" i="71"/>
  <c r="Z47" i="71" s="1"/>
  <c r="E14" i="71"/>
  <c r="E37" i="71" s="1"/>
  <c r="E51" i="71" s="1"/>
  <c r="E53" i="71" s="1"/>
  <c r="E54" i="71" s="1"/>
  <c r="G36" i="75"/>
  <c r="G50" i="75" s="1"/>
  <c r="G52" i="75" s="1"/>
  <c r="G53" i="75" s="1"/>
  <c r="F61" i="70"/>
  <c r="E101" i="70" s="1"/>
  <c r="E102" i="70" s="1"/>
  <c r="E103" i="70" s="1"/>
  <c r="H14" i="71"/>
  <c r="H37" i="71" s="1"/>
  <c r="H51" i="71" s="1"/>
  <c r="H53" i="71" s="1"/>
  <c r="H54" i="71" s="1"/>
  <c r="I435" i="5"/>
  <c r="J15" i="75" s="1"/>
  <c r="J14" i="75" s="1"/>
  <c r="J36" i="75" s="1"/>
  <c r="J50" i="75" s="1"/>
  <c r="F14" i="75"/>
  <c r="F36" i="75" s="1"/>
  <c r="F50" i="75" s="1"/>
  <c r="F52" i="75" s="1"/>
  <c r="F53" i="75" s="1"/>
  <c r="P21" i="71"/>
  <c r="P33" i="71"/>
  <c r="D14" i="75"/>
  <c r="D36" i="75" s="1"/>
  <c r="I809" i="5"/>
  <c r="Q4399" i="18"/>
  <c r="R4399" i="18" s="1"/>
  <c r="F85" i="47"/>
  <c r="G81" i="47" s="1"/>
  <c r="E33" i="73"/>
  <c r="E73" i="73" s="1"/>
  <c r="F44" i="74"/>
  <c r="M14" i="71"/>
  <c r="M37" i="71" s="1"/>
  <c r="M51" i="71" s="1"/>
  <c r="M53" i="71" s="1"/>
  <c r="M54" i="71" s="1"/>
  <c r="D70" i="52"/>
  <c r="D22" i="52" s="1"/>
  <c r="K36" i="72"/>
  <c r="I117" i="5"/>
  <c r="M14" i="75"/>
  <c r="M36" i="75" s="1"/>
  <c r="P25" i="75"/>
  <c r="M806" i="5"/>
  <c r="M807" i="5" s="1"/>
  <c r="M808" i="5" s="1"/>
  <c r="Z36" i="75"/>
  <c r="I842" i="5"/>
  <c r="I843" i="5" s="1"/>
  <c r="I844" i="5" s="1"/>
  <c r="M826" i="5"/>
  <c r="M827" i="5" s="1"/>
  <c r="M828" i="5" s="1"/>
  <c r="I858" i="5"/>
  <c r="I859" i="5" s="1"/>
  <c r="I860" i="5" s="1"/>
  <c r="I874" i="5"/>
  <c r="I875" i="5" s="1"/>
  <c r="I876" i="5" s="1"/>
  <c r="F854" i="5"/>
  <c r="F855" i="5" s="1"/>
  <c r="F856" i="5" s="1"/>
  <c r="I838" i="5"/>
  <c r="I839" i="5" s="1"/>
  <c r="I840" i="5" s="1"/>
  <c r="I866" i="5"/>
  <c r="I867" i="5" s="1"/>
  <c r="I868" i="5" s="1"/>
  <c r="J870" i="5"/>
  <c r="J871" i="5" s="1"/>
  <c r="J872" i="5" s="1"/>
  <c r="I834" i="5"/>
  <c r="I835" i="5" s="1"/>
  <c r="I836" i="5" s="1"/>
  <c r="I862" i="5"/>
  <c r="I863" i="5" s="1"/>
  <c r="I864" i="5" s="1"/>
  <c r="I846" i="5"/>
  <c r="I847" i="5" s="1"/>
  <c r="I848" i="5" s="1"/>
  <c r="J814" i="5"/>
  <c r="J815" i="5" s="1"/>
  <c r="J816" i="5" s="1"/>
  <c r="G14" i="71"/>
  <c r="G37" i="71" s="1"/>
  <c r="G51" i="71" s="1"/>
  <c r="G53" i="71" s="1"/>
  <c r="G54" i="71" s="1"/>
  <c r="I72" i="47"/>
  <c r="J72" i="47" s="1"/>
  <c r="P21" i="75"/>
  <c r="L14" i="71"/>
  <c r="L37" i="71" s="1"/>
  <c r="L51" i="71" s="1"/>
  <c r="L53" i="71" s="1"/>
  <c r="L54" i="71" s="1"/>
  <c r="P16" i="71"/>
  <c r="P16" i="75"/>
  <c r="D14" i="71"/>
  <c r="D37" i="71" s="1"/>
  <c r="D51" i="71" s="1"/>
  <c r="D53" i="71" s="1"/>
  <c r="D54" i="71" s="1"/>
  <c r="P26" i="71"/>
  <c r="H589" i="5"/>
  <c r="H234" i="5" s="1"/>
  <c r="P32" i="75"/>
  <c r="AA15" i="71"/>
  <c r="F83" i="69" s="1"/>
  <c r="AA15" i="75"/>
  <c r="R50" i="75"/>
  <c r="R52" i="75" s="1"/>
  <c r="R53" i="75" s="1"/>
  <c r="R44" i="75"/>
  <c r="R45" i="75" s="1"/>
  <c r="F815" i="5"/>
  <c r="F816" i="5" s="1"/>
  <c r="G85" i="51"/>
  <c r="F120" i="21"/>
  <c r="AE48" i="2"/>
  <c r="J209" i="5"/>
  <c r="M564" i="5"/>
  <c r="M589" i="5" s="1"/>
  <c r="E120" i="21"/>
  <c r="E129" i="21"/>
  <c r="F209" i="5"/>
  <c r="J855" i="5"/>
  <c r="J234" i="5"/>
  <c r="X50" i="2"/>
  <c r="M851" i="5"/>
  <c r="M852" i="5" s="1"/>
  <c r="I851" i="5"/>
  <c r="I852" i="5" s="1"/>
  <c r="G64" i="46"/>
  <c r="H231" i="50"/>
  <c r="G80" i="46"/>
  <c r="G63" i="46"/>
  <c r="L55" i="46"/>
  <c r="L58" i="46"/>
  <c r="G50" i="46"/>
  <c r="G68" i="46"/>
  <c r="L78" i="46"/>
  <c r="G73" i="46"/>
  <c r="G71" i="46"/>
  <c r="G52" i="46"/>
  <c r="G66" i="46"/>
  <c r="L53" i="46"/>
  <c r="L54" i="46"/>
  <c r="G72" i="46"/>
  <c r="L60" i="46"/>
  <c r="L293" i="50"/>
  <c r="G62" i="46"/>
  <c r="L56" i="46"/>
  <c r="G65" i="46"/>
  <c r="G69" i="46"/>
  <c r="L57" i="46"/>
  <c r="G67" i="46"/>
  <c r="G23" i="46"/>
  <c r="L75" i="46"/>
  <c r="I41" i="8" l="1"/>
  <c r="F689" i="5"/>
  <c r="I689" i="5" s="1"/>
  <c r="I690" i="5" s="1"/>
  <c r="E49" i="8"/>
  <c r="I49" i="8" s="1"/>
  <c r="E33" i="74"/>
  <c r="I686" i="5"/>
  <c r="E20" i="74" s="1"/>
  <c r="E50" i="70"/>
  <c r="K6016" i="18"/>
  <c r="L6017" i="18" s="1"/>
  <c r="F703" i="5"/>
  <c r="G333" i="50"/>
  <c r="I333" i="50" s="1"/>
  <c r="J333" i="50" s="1"/>
  <c r="E51" i="70"/>
  <c r="K5083" i="18"/>
  <c r="L5084" i="18" s="1"/>
  <c r="E34" i="74"/>
  <c r="F670" i="5"/>
  <c r="I670" i="5" s="1"/>
  <c r="K5888" i="18" s="1"/>
  <c r="L5889" i="18" s="1"/>
  <c r="I22" i="8"/>
  <c r="F672" i="5"/>
  <c r="I672" i="5" s="1"/>
  <c r="K5899" i="18" s="1"/>
  <c r="L5900" i="18" s="1"/>
  <c r="I24" i="8"/>
  <c r="F681" i="5"/>
  <c r="I681" i="5" s="1"/>
  <c r="G330" i="50" s="1"/>
  <c r="I33" i="8"/>
  <c r="F658" i="5"/>
  <c r="I658" i="5" s="1"/>
  <c r="I10" i="8"/>
  <c r="E61" i="8"/>
  <c r="I61" i="8" s="1"/>
  <c r="I60" i="8"/>
  <c r="F696" i="5"/>
  <c r="I699" i="5"/>
  <c r="E32" i="74" s="1"/>
  <c r="F708" i="5"/>
  <c r="I705" i="5"/>
  <c r="E31" i="8"/>
  <c r="G342" i="50"/>
  <c r="K5984" i="18"/>
  <c r="L5985" i="18" s="1"/>
  <c r="E41" i="70"/>
  <c r="E46" i="70" s="1"/>
  <c r="I696" i="5"/>
  <c r="E25" i="74"/>
  <c r="E29" i="74" s="1"/>
  <c r="J6205" i="18"/>
  <c r="J6219" i="18" s="1"/>
  <c r="K6195" i="18" s="1"/>
  <c r="J6234" i="18"/>
  <c r="J6248" i="18" s="1"/>
  <c r="E86" i="8" s="1"/>
  <c r="F752" i="5" s="1"/>
  <c r="I752" i="5" s="1"/>
  <c r="L15" i="97"/>
  <c r="E23" i="8"/>
  <c r="I23" i="8" s="1"/>
  <c r="I231" i="50"/>
  <c r="J231" i="50" s="1"/>
  <c r="L3622" i="18"/>
  <c r="C30" i="97"/>
  <c r="H4985" i="18" s="1"/>
  <c r="F56" i="52"/>
  <c r="F17" i="52" s="1"/>
  <c r="O4461" i="18"/>
  <c r="M293" i="50"/>
  <c r="N293" i="50" s="1"/>
  <c r="D96" i="47"/>
  <c r="D98" i="47" s="1"/>
  <c r="E97" i="47" s="1"/>
  <c r="H129" i="21"/>
  <c r="O4371" i="18"/>
  <c r="D56" i="52"/>
  <c r="D17" i="52" s="1"/>
  <c r="D96" i="51"/>
  <c r="D98" i="51" s="1"/>
  <c r="E87" i="51" s="1"/>
  <c r="H87" i="51" s="1"/>
  <c r="D24" i="52"/>
  <c r="M62" i="46"/>
  <c r="N62" i="46" s="1"/>
  <c r="M67" i="46"/>
  <c r="N67" i="46" s="1"/>
  <c r="M55" i="46"/>
  <c r="N55" i="46" s="1"/>
  <c r="M64" i="46"/>
  <c r="N64" i="46" s="1"/>
  <c r="M78" i="46"/>
  <c r="N78" i="46" s="1"/>
  <c r="M68" i="46"/>
  <c r="N68" i="46" s="1"/>
  <c r="M66" i="46"/>
  <c r="N66" i="46" s="1"/>
  <c r="M60" i="46"/>
  <c r="N60" i="46" s="1"/>
  <c r="M71" i="46"/>
  <c r="N71" i="46" s="1"/>
  <c r="M57" i="46"/>
  <c r="N57" i="46" s="1"/>
  <c r="M53" i="46"/>
  <c r="N53" i="46" s="1"/>
  <c r="M63" i="46"/>
  <c r="N63" i="46" s="1"/>
  <c r="M58" i="46"/>
  <c r="N58" i="46" s="1"/>
  <c r="M73" i="46"/>
  <c r="N73" i="46" s="1"/>
  <c r="M72" i="46"/>
  <c r="N72" i="46" s="1"/>
  <c r="M69" i="46"/>
  <c r="N69" i="46" s="1"/>
  <c r="M56" i="46"/>
  <c r="N56" i="46" s="1"/>
  <c r="M65" i="46"/>
  <c r="N65" i="46" s="1"/>
  <c r="M54" i="46"/>
  <c r="N54" i="46" s="1"/>
  <c r="M80" i="46"/>
  <c r="N80" i="46" s="1"/>
  <c r="M23" i="46"/>
  <c r="N23" i="46" s="1"/>
  <c r="D50" i="75"/>
  <c r="D52" i="75" s="1"/>
  <c r="D53" i="75" s="1"/>
  <c r="V50" i="75"/>
  <c r="V52" i="75" s="1"/>
  <c r="V53" i="75" s="1"/>
  <c r="F77" i="73"/>
  <c r="H50" i="75"/>
  <c r="H52" i="75" s="1"/>
  <c r="H53" i="75" s="1"/>
  <c r="F98" i="74"/>
  <c r="F99" i="74" s="1"/>
  <c r="F100" i="74" s="1"/>
  <c r="K50" i="75"/>
  <c r="K52" i="75" s="1"/>
  <c r="K53" i="75" s="1"/>
  <c r="H61" i="72"/>
  <c r="AA51" i="75"/>
  <c r="F563" i="5"/>
  <c r="F203" i="5"/>
  <c r="I558" i="5"/>
  <c r="I50" i="75"/>
  <c r="I52" i="75" s="1"/>
  <c r="I53" i="75" s="1"/>
  <c r="AB44" i="75"/>
  <c r="AB45" i="75" s="1"/>
  <c r="AB46" i="75" s="1"/>
  <c r="Y44" i="75"/>
  <c r="Y45" i="75" s="1"/>
  <c r="Y46" i="75" s="1"/>
  <c r="Q44" i="75"/>
  <c r="Q45" i="75" s="1"/>
  <c r="Q46" i="75" s="1"/>
  <c r="M50" i="75"/>
  <c r="M52" i="75" s="1"/>
  <c r="M53" i="75" s="1"/>
  <c r="I853" i="5"/>
  <c r="G289" i="50"/>
  <c r="I289" i="50" s="1"/>
  <c r="J289" i="50" s="1"/>
  <c r="X44" i="75"/>
  <c r="X45" i="75" s="1"/>
  <c r="X46" i="75" s="1"/>
  <c r="U44" i="75"/>
  <c r="U45" i="75" s="1"/>
  <c r="U46" i="75" s="1"/>
  <c r="F88" i="74"/>
  <c r="F90" i="74" s="1"/>
  <c r="F91" i="74" s="1"/>
  <c r="AB49" i="2"/>
  <c r="N40" i="2"/>
  <c r="Q14" i="2"/>
  <c r="D12" i="52"/>
  <c r="M192" i="5"/>
  <c r="M800" i="5" s="1"/>
  <c r="M803" i="5" s="1"/>
  <c r="M804" i="5" s="1"/>
  <c r="D124" i="51"/>
  <c r="I124" i="51" s="1"/>
  <c r="J124" i="51" s="1"/>
  <c r="F65" i="69"/>
  <c r="F90" i="69" s="1"/>
  <c r="D123" i="47"/>
  <c r="D124" i="47" s="1"/>
  <c r="E36" i="47"/>
  <c r="E19" i="47"/>
  <c r="Y50" i="75"/>
  <c r="Y52" i="75" s="1"/>
  <c r="Y53" i="75" s="1"/>
  <c r="E27" i="47"/>
  <c r="E33" i="47"/>
  <c r="E46" i="47"/>
  <c r="E26" i="47"/>
  <c r="E31" i="47"/>
  <c r="E18" i="47"/>
  <c r="E13" i="47"/>
  <c r="E49" i="47"/>
  <c r="E58" i="47"/>
  <c r="AB50" i="75"/>
  <c r="AB52" i="75" s="1"/>
  <c r="AB53" i="75" s="1"/>
  <c r="E45" i="51"/>
  <c r="H45" i="51" s="1"/>
  <c r="E17" i="47"/>
  <c r="E37" i="47"/>
  <c r="E23" i="47"/>
  <c r="E20" i="47"/>
  <c r="E35" i="47"/>
  <c r="E50" i="47"/>
  <c r="E42" i="47"/>
  <c r="E48" i="47"/>
  <c r="E51" i="47"/>
  <c r="E45" i="47"/>
  <c r="E15" i="47"/>
  <c r="E38" i="47"/>
  <c r="E34" i="47"/>
  <c r="E53" i="47"/>
  <c r="E52" i="47"/>
  <c r="E16" i="47"/>
  <c r="E47" i="47"/>
  <c r="E41" i="47"/>
  <c r="E22" i="47"/>
  <c r="E30" i="47"/>
  <c r="E44" i="47"/>
  <c r="E43" i="47"/>
  <c r="E32" i="47"/>
  <c r="E14" i="47"/>
  <c r="E39" i="47"/>
  <c r="E21" i="47"/>
  <c r="E24" i="47"/>
  <c r="E25" i="47"/>
  <c r="F68" i="74"/>
  <c r="I5109" i="18"/>
  <c r="I5126" i="18" s="1"/>
  <c r="E32" i="51"/>
  <c r="H32" i="51" s="1"/>
  <c r="E67" i="47"/>
  <c r="E78" i="47"/>
  <c r="U45" i="71"/>
  <c r="U46" i="71" s="1"/>
  <c r="U47" i="71" s="1"/>
  <c r="E67" i="51"/>
  <c r="H67" i="51" s="1"/>
  <c r="AB51" i="71"/>
  <c r="AB53" i="71" s="1"/>
  <c r="AB54" i="71" s="1"/>
  <c r="L49" i="72"/>
  <c r="F73" i="73"/>
  <c r="E19" i="51"/>
  <c r="H19" i="51" s="1"/>
  <c r="E27" i="51"/>
  <c r="H27" i="51" s="1"/>
  <c r="E39" i="51"/>
  <c r="H39" i="51" s="1"/>
  <c r="E41" i="51"/>
  <c r="H41" i="51" s="1"/>
  <c r="E71" i="51"/>
  <c r="H71" i="51" s="1"/>
  <c r="E38" i="51"/>
  <c r="H38" i="51" s="1"/>
  <c r="E34" i="51"/>
  <c r="H34" i="51" s="1"/>
  <c r="E44" i="51"/>
  <c r="H44" i="51" s="1"/>
  <c r="E40" i="51"/>
  <c r="H40" i="51" s="1"/>
  <c r="E37" i="51"/>
  <c r="H37" i="51" s="1"/>
  <c r="E59" i="51"/>
  <c r="H59" i="51" s="1"/>
  <c r="E81" i="51"/>
  <c r="H81" i="51" s="1"/>
  <c r="V44" i="75"/>
  <c r="V45" i="75" s="1"/>
  <c r="V46" i="75" s="1"/>
  <c r="E25" i="51"/>
  <c r="H25" i="51" s="1"/>
  <c r="E47" i="51"/>
  <c r="H47" i="51" s="1"/>
  <c r="E46" i="51"/>
  <c r="H46" i="51" s="1"/>
  <c r="M125" i="5"/>
  <c r="M787" i="5" s="1"/>
  <c r="M788" i="5" s="1"/>
  <c r="M789" i="5" s="1"/>
  <c r="E31" i="51"/>
  <c r="H31" i="51" s="1"/>
  <c r="E62" i="51"/>
  <c r="H62" i="51" s="1"/>
  <c r="E77" i="51"/>
  <c r="H77" i="51" s="1"/>
  <c r="V45" i="71"/>
  <c r="V46" i="71" s="1"/>
  <c r="V47" i="71" s="1"/>
  <c r="D20" i="48"/>
  <c r="D60" i="52"/>
  <c r="D13" i="52" s="1"/>
  <c r="E71" i="47"/>
  <c r="E76" i="47"/>
  <c r="E70" i="47"/>
  <c r="E63" i="47"/>
  <c r="E59" i="47"/>
  <c r="E79" i="47"/>
  <c r="E61" i="47"/>
  <c r="E62" i="47"/>
  <c r="D31" i="48"/>
  <c r="E68" i="47"/>
  <c r="E77" i="47"/>
  <c r="E60" i="47"/>
  <c r="E80" i="47"/>
  <c r="E69" i="47"/>
  <c r="E57" i="47"/>
  <c r="E82" i="47"/>
  <c r="E66" i="47"/>
  <c r="E81" i="47"/>
  <c r="H81" i="47" s="1"/>
  <c r="E65" i="47"/>
  <c r="E64" i="47"/>
  <c r="E83" i="47"/>
  <c r="E75" i="47"/>
  <c r="E23" i="51"/>
  <c r="H23" i="51" s="1"/>
  <c r="E20" i="51"/>
  <c r="H20" i="51" s="1"/>
  <c r="E17" i="51"/>
  <c r="H17" i="51" s="1"/>
  <c r="E13" i="51"/>
  <c r="H13" i="51" s="1"/>
  <c r="E50" i="51"/>
  <c r="H50" i="51" s="1"/>
  <c r="E43" i="51"/>
  <c r="H43" i="51" s="1"/>
  <c r="E35" i="51"/>
  <c r="H35" i="51" s="1"/>
  <c r="E60" i="51"/>
  <c r="H60" i="51" s="1"/>
  <c r="L58" i="68"/>
  <c r="L59" i="68" s="1"/>
  <c r="K70" i="68" s="1"/>
  <c r="L70" i="68" s="1"/>
  <c r="M70" i="68" s="1"/>
  <c r="F84" i="69"/>
  <c r="F85" i="69" s="1"/>
  <c r="E36" i="51"/>
  <c r="H36" i="51" s="1"/>
  <c r="E48" i="51"/>
  <c r="H48" i="51" s="1"/>
  <c r="E51" i="51"/>
  <c r="H51" i="51" s="1"/>
  <c r="E26" i="51"/>
  <c r="H26" i="51" s="1"/>
  <c r="E24" i="51"/>
  <c r="H24" i="51" s="1"/>
  <c r="E42" i="51"/>
  <c r="H42" i="51" s="1"/>
  <c r="E80" i="51"/>
  <c r="H80" i="51" s="1"/>
  <c r="E79" i="51"/>
  <c r="H79" i="51" s="1"/>
  <c r="E68" i="51"/>
  <c r="H68" i="51" s="1"/>
  <c r="E76" i="51"/>
  <c r="H76" i="51" s="1"/>
  <c r="J55" i="51"/>
  <c r="Q50" i="75"/>
  <c r="Q52" i="75" s="1"/>
  <c r="Q53" i="75" s="1"/>
  <c r="S51" i="71"/>
  <c r="S53" i="71" s="1"/>
  <c r="S54" i="71" s="1"/>
  <c r="S45" i="71"/>
  <c r="S46" i="71" s="1"/>
  <c r="S47" i="71" s="1"/>
  <c r="T51" i="71"/>
  <c r="T53" i="71" s="1"/>
  <c r="T54" i="71" s="1"/>
  <c r="M434" i="5"/>
  <c r="M457" i="5" s="1"/>
  <c r="M234" i="5" s="1"/>
  <c r="D19" i="48"/>
  <c r="E33" i="51"/>
  <c r="H33" i="51" s="1"/>
  <c r="E21" i="51"/>
  <c r="H21" i="51" s="1"/>
  <c r="E18" i="51"/>
  <c r="H18" i="51" s="1"/>
  <c r="E14" i="51"/>
  <c r="H14" i="51" s="1"/>
  <c r="E15" i="51"/>
  <c r="H15" i="51" s="1"/>
  <c r="E16" i="51"/>
  <c r="H16" i="51" s="1"/>
  <c r="E53" i="51"/>
  <c r="H53" i="51" s="1"/>
  <c r="E30" i="51"/>
  <c r="H30" i="51" s="1"/>
  <c r="E22" i="51"/>
  <c r="H22" i="51" s="1"/>
  <c r="E49" i="51"/>
  <c r="H49" i="51" s="1"/>
  <c r="E69" i="51"/>
  <c r="H69" i="51" s="1"/>
  <c r="E66" i="51"/>
  <c r="H66" i="51" s="1"/>
  <c r="E61" i="51"/>
  <c r="H61" i="51" s="1"/>
  <c r="J115" i="47"/>
  <c r="W51" i="75"/>
  <c r="D83" i="48"/>
  <c r="D24" i="48" s="1"/>
  <c r="M212" i="5"/>
  <c r="M814" i="5" s="1"/>
  <c r="E70" i="51"/>
  <c r="H70" i="51" s="1"/>
  <c r="E82" i="51"/>
  <c r="H82" i="51" s="1"/>
  <c r="E64" i="51"/>
  <c r="H64" i="51" s="1"/>
  <c r="E63" i="51"/>
  <c r="H63" i="51" s="1"/>
  <c r="E57" i="51"/>
  <c r="H57" i="51" s="1"/>
  <c r="R51" i="71"/>
  <c r="R53" i="71" s="1"/>
  <c r="R54" i="71" s="1"/>
  <c r="Q51" i="71"/>
  <c r="Q53" i="71" s="1"/>
  <c r="Q54" i="71" s="1"/>
  <c r="U50" i="75"/>
  <c r="U52" i="75" s="1"/>
  <c r="U53" i="75" s="1"/>
  <c r="J85" i="51"/>
  <c r="E78" i="51"/>
  <c r="H78" i="51" s="1"/>
  <c r="E58" i="51"/>
  <c r="H58" i="51" s="1"/>
  <c r="E75" i="51"/>
  <c r="H75" i="51" s="1"/>
  <c r="E74" i="51"/>
  <c r="H74" i="51" s="1"/>
  <c r="E83" i="51"/>
  <c r="H83" i="51" s="1"/>
  <c r="I91" i="51"/>
  <c r="J91" i="51" s="1"/>
  <c r="X50" i="75"/>
  <c r="X52" i="75" s="1"/>
  <c r="X53" i="75" s="1"/>
  <c r="Y45" i="71"/>
  <c r="Y46" i="71" s="1"/>
  <c r="Y47" i="71" s="1"/>
  <c r="F85" i="70"/>
  <c r="F110" i="70" s="1"/>
  <c r="F112" i="70" s="1"/>
  <c r="F113" i="70" s="1"/>
  <c r="X51" i="71"/>
  <c r="X53" i="71" s="1"/>
  <c r="X54" i="71" s="1"/>
  <c r="W15" i="71"/>
  <c r="W14" i="71" s="1"/>
  <c r="W37" i="71" s="1"/>
  <c r="W15" i="75"/>
  <c r="F74" i="73" s="1"/>
  <c r="F115" i="70"/>
  <c r="F116" i="70" s="1"/>
  <c r="F117" i="70" s="1"/>
  <c r="J15" i="71"/>
  <c r="J14" i="71" s="1"/>
  <c r="I434" i="5"/>
  <c r="I457" i="5" s="1"/>
  <c r="I854" i="5" s="1"/>
  <c r="I810" i="5"/>
  <c r="I811" i="5" s="1"/>
  <c r="I812" i="5" s="1"/>
  <c r="I7" i="18"/>
  <c r="K44" i="72"/>
  <c r="G69" i="47"/>
  <c r="G76" i="47"/>
  <c r="G79" i="47"/>
  <c r="G77" i="47"/>
  <c r="G60" i="47"/>
  <c r="G66" i="47"/>
  <c r="G83" i="47"/>
  <c r="G65" i="47"/>
  <c r="G58" i="47"/>
  <c r="G67" i="47"/>
  <c r="G63" i="47"/>
  <c r="G71" i="47"/>
  <c r="G70" i="47"/>
  <c r="G64" i="47"/>
  <c r="G62" i="47"/>
  <c r="G61" i="47"/>
  <c r="G57" i="47"/>
  <c r="G75" i="47"/>
  <c r="G80" i="47"/>
  <c r="G68" i="47"/>
  <c r="G82" i="47"/>
  <c r="G78" i="47"/>
  <c r="G59" i="47"/>
  <c r="G74" i="47"/>
  <c r="H74" i="47" s="1"/>
  <c r="E84" i="74"/>
  <c r="E85" i="74" s="1"/>
  <c r="E86" i="74" s="1"/>
  <c r="K53" i="68"/>
  <c r="F91" i="47"/>
  <c r="K4370" i="18"/>
  <c r="L4396" i="18" s="1"/>
  <c r="E74" i="73"/>
  <c r="E75" i="73" s="1"/>
  <c r="E76" i="73" s="1"/>
  <c r="Z50" i="75"/>
  <c r="Z52" i="75" s="1"/>
  <c r="Z53" i="75" s="1"/>
  <c r="Z44" i="75"/>
  <c r="Z45" i="75" s="1"/>
  <c r="Z46" i="75" s="1"/>
  <c r="M870" i="5"/>
  <c r="M871" i="5" s="1"/>
  <c r="M872" i="5" s="1"/>
  <c r="I85" i="47"/>
  <c r="J85" i="47" s="1"/>
  <c r="AA14" i="71"/>
  <c r="AA37" i="71" s="1"/>
  <c r="AA51" i="71" s="1"/>
  <c r="AA53" i="71" s="1"/>
  <c r="AA54" i="71" s="1"/>
  <c r="F70" i="73"/>
  <c r="F71" i="73" s="1"/>
  <c r="F72" i="73" s="1"/>
  <c r="AA14" i="75"/>
  <c r="AA36" i="75" s="1"/>
  <c r="R46" i="75"/>
  <c r="F108" i="70"/>
  <c r="J856" i="5"/>
  <c r="J877" i="5"/>
  <c r="L77" i="46"/>
  <c r="G25" i="46"/>
  <c r="L59" i="46"/>
  <c r="G75" i="46"/>
  <c r="G82" i="46"/>
  <c r="G38" i="46"/>
  <c r="H366" i="50"/>
  <c r="F690" i="5" l="1"/>
  <c r="G331" i="50"/>
  <c r="I331" i="50" s="1"/>
  <c r="J331" i="50" s="1"/>
  <c r="E39" i="70"/>
  <c r="K5061" i="18"/>
  <c r="L5062" i="18" s="1"/>
  <c r="E23" i="74"/>
  <c r="E24" i="74" s="1"/>
  <c r="E30" i="74" s="1"/>
  <c r="F697" i="5"/>
  <c r="G340" i="50"/>
  <c r="E36" i="70"/>
  <c r="K5954" i="18"/>
  <c r="L5955" i="18" s="1"/>
  <c r="E35" i="74"/>
  <c r="C32" i="97"/>
  <c r="C34" i="97" s="1"/>
  <c r="F709" i="5"/>
  <c r="E10" i="74"/>
  <c r="E20" i="70"/>
  <c r="G327" i="50"/>
  <c r="I327" i="50" s="1"/>
  <c r="J327" i="50" s="1"/>
  <c r="K5029" i="18"/>
  <c r="L5030" i="18" s="1"/>
  <c r="G328" i="50"/>
  <c r="E22" i="70"/>
  <c r="F671" i="5"/>
  <c r="E12" i="74"/>
  <c r="G336" i="50"/>
  <c r="E31" i="70"/>
  <c r="K5045" i="18"/>
  <c r="L5046" i="18" s="1"/>
  <c r="F679" i="5"/>
  <c r="I679" i="5" s="1"/>
  <c r="G337" i="50" s="1"/>
  <c r="I31" i="8"/>
  <c r="K5932" i="18"/>
  <c r="L5933" i="18" s="1"/>
  <c r="E15" i="74"/>
  <c r="G329" i="50"/>
  <c r="I329" i="50" s="1"/>
  <c r="J329" i="50" s="1"/>
  <c r="I703" i="5"/>
  <c r="E49" i="70"/>
  <c r="E52" i="70" s="1"/>
  <c r="E57" i="70" s="1"/>
  <c r="G346" i="50"/>
  <c r="E37" i="74"/>
  <c r="E39" i="74" s="1"/>
  <c r="K6040" i="18"/>
  <c r="L6041" i="18" s="1"/>
  <c r="I708" i="5"/>
  <c r="E85" i="8"/>
  <c r="F751" i="5" s="1"/>
  <c r="I751" i="5" s="1"/>
  <c r="K6194" i="18" s="1"/>
  <c r="L6195" i="18" s="1"/>
  <c r="E29" i="70"/>
  <c r="I697" i="5"/>
  <c r="K6222" i="18"/>
  <c r="E8" i="74"/>
  <c r="I671" i="5"/>
  <c r="G335" i="50"/>
  <c r="F44" i="48"/>
  <c r="F45" i="48" s="1"/>
  <c r="K5877" i="18"/>
  <c r="L5878" i="18" s="1"/>
  <c r="E8" i="70"/>
  <c r="E66" i="74"/>
  <c r="H5124" i="18" s="1"/>
  <c r="K6221" i="18"/>
  <c r="L6222" i="18" s="1"/>
  <c r="E83" i="70"/>
  <c r="H78" i="47"/>
  <c r="H4991" i="18"/>
  <c r="K4975" i="18" s="1"/>
  <c r="F75" i="73"/>
  <c r="F76" i="73" s="1"/>
  <c r="E13" i="95"/>
  <c r="F12" i="95"/>
  <c r="E89" i="47"/>
  <c r="E92" i="47"/>
  <c r="E95" i="47"/>
  <c r="D99" i="47"/>
  <c r="E88" i="47"/>
  <c r="E96" i="47"/>
  <c r="E98" i="47" s="1"/>
  <c r="E93" i="47"/>
  <c r="E94" i="47"/>
  <c r="E90" i="47"/>
  <c r="E89" i="51"/>
  <c r="H89" i="51" s="1"/>
  <c r="E96" i="51"/>
  <c r="H96" i="51" s="1"/>
  <c r="E87" i="47"/>
  <c r="E91" i="47"/>
  <c r="D99" i="51"/>
  <c r="E93" i="51"/>
  <c r="H93" i="51" s="1"/>
  <c r="E91" i="51"/>
  <c r="H91" i="51" s="1"/>
  <c r="E95" i="51"/>
  <c r="H95" i="51" s="1"/>
  <c r="E92" i="51"/>
  <c r="H92" i="51" s="1"/>
  <c r="E94" i="51"/>
  <c r="H94" i="51" s="1"/>
  <c r="E88" i="51"/>
  <c r="H88" i="51" s="1"/>
  <c r="E90" i="51"/>
  <c r="H90" i="51" s="1"/>
  <c r="E97" i="51"/>
  <c r="H97" i="51" s="1"/>
  <c r="H58" i="47"/>
  <c r="I855" i="5"/>
  <c r="I856" i="5" s="1"/>
  <c r="M75" i="46"/>
  <c r="N75" i="46" s="1"/>
  <c r="M25" i="46"/>
  <c r="N25" i="46" s="1"/>
  <c r="M38" i="46"/>
  <c r="N38" i="46" s="1"/>
  <c r="M82" i="46"/>
  <c r="N82" i="46" s="1"/>
  <c r="AC51" i="75"/>
  <c r="AE49" i="2"/>
  <c r="AE50" i="2" s="1"/>
  <c r="Q40" i="2"/>
  <c r="N9" i="75"/>
  <c r="AA43" i="75" s="1"/>
  <c r="N9" i="71"/>
  <c r="I563" i="5"/>
  <c r="I203" i="5"/>
  <c r="N54" i="2"/>
  <c r="N56" i="2" s="1"/>
  <c r="N57" i="2" s="1"/>
  <c r="AB50" i="2"/>
  <c r="F208" i="5"/>
  <c r="F589" i="5"/>
  <c r="F93" i="74"/>
  <c r="F95" i="74" s="1"/>
  <c r="F96" i="74" s="1"/>
  <c r="M813" i="5"/>
  <c r="M815" i="5" s="1"/>
  <c r="M816" i="5" s="1"/>
  <c r="I123" i="47"/>
  <c r="J123" i="47" s="1"/>
  <c r="E54" i="47"/>
  <c r="E28" i="47"/>
  <c r="H61" i="47"/>
  <c r="H65" i="47"/>
  <c r="AC52" i="71"/>
  <c r="H67" i="47"/>
  <c r="H66" i="47"/>
  <c r="H69" i="47"/>
  <c r="F29" i="52"/>
  <c r="H82" i="47"/>
  <c r="H60" i="47"/>
  <c r="H62" i="47"/>
  <c r="H63" i="47"/>
  <c r="L50" i="72"/>
  <c r="H71" i="47"/>
  <c r="H59" i="47"/>
  <c r="H83" i="47"/>
  <c r="H68" i="47"/>
  <c r="H76" i="47"/>
  <c r="H72" i="51"/>
  <c r="E72" i="47"/>
  <c r="E84" i="47"/>
  <c r="H79" i="47"/>
  <c r="E28" i="51"/>
  <c r="H75" i="47"/>
  <c r="H57" i="47"/>
  <c r="H70" i="47"/>
  <c r="H64" i="47"/>
  <c r="H77" i="47"/>
  <c r="I96" i="51"/>
  <c r="I98" i="51" s="1"/>
  <c r="J98" i="51" s="1"/>
  <c r="H28" i="51"/>
  <c r="E72" i="51"/>
  <c r="H54" i="51"/>
  <c r="M209" i="5"/>
  <c r="M854" i="5"/>
  <c r="M855" i="5" s="1"/>
  <c r="M856" i="5" s="1"/>
  <c r="E54" i="51"/>
  <c r="E84" i="51"/>
  <c r="AC15" i="71"/>
  <c r="F91" i="69" s="1"/>
  <c r="F92" i="69" s="1"/>
  <c r="F93" i="69" s="1"/>
  <c r="E87" i="69"/>
  <c r="E88" i="69" s="1"/>
  <c r="E89" i="69" s="1"/>
  <c r="W14" i="75"/>
  <c r="W36" i="75" s="1"/>
  <c r="W50" i="75" s="1"/>
  <c r="W52" i="75" s="1"/>
  <c r="W53" i="75" s="1"/>
  <c r="F87" i="69"/>
  <c r="F88" i="69" s="1"/>
  <c r="F89" i="69" s="1"/>
  <c r="AC15" i="75"/>
  <c r="F126" i="70"/>
  <c r="J51" i="75"/>
  <c r="J52" i="75" s="1"/>
  <c r="J53" i="75" s="1"/>
  <c r="L4371" i="18"/>
  <c r="G84" i="47"/>
  <c r="H80" i="47"/>
  <c r="G72" i="47"/>
  <c r="J52" i="71"/>
  <c r="I91" i="47"/>
  <c r="J91" i="47" s="1"/>
  <c r="AA45" i="71"/>
  <c r="AC14" i="71"/>
  <c r="AC37" i="71" s="1"/>
  <c r="AC51" i="71" s="1"/>
  <c r="AA50" i="75"/>
  <c r="AA52" i="75" s="1"/>
  <c r="AA53" i="75" s="1"/>
  <c r="AA44" i="75"/>
  <c r="J37" i="71"/>
  <c r="J51" i="71" s="1"/>
  <c r="W45" i="71"/>
  <c r="W46" i="71" s="1"/>
  <c r="W51" i="71"/>
  <c r="W53" i="71" s="1"/>
  <c r="W54" i="71" s="1"/>
  <c r="H326" i="50"/>
  <c r="G40" i="46"/>
  <c r="L50" i="46"/>
  <c r="H367" i="50"/>
  <c r="L52" i="46"/>
  <c r="E40" i="70" l="1"/>
  <c r="E47" i="70" s="1"/>
  <c r="E21" i="70"/>
  <c r="E40" i="74"/>
  <c r="E11" i="74"/>
  <c r="E65" i="74"/>
  <c r="H5123" i="18" s="1"/>
  <c r="E13" i="74"/>
  <c r="K5910" i="18"/>
  <c r="L5911" i="18" s="1"/>
  <c r="I709" i="5"/>
  <c r="E82" i="70"/>
  <c r="Q4975" i="18"/>
  <c r="H12" i="95"/>
  <c r="F13" i="95"/>
  <c r="I3252" i="18"/>
  <c r="I3258" i="18" s="1"/>
  <c r="K3244" i="18" s="1"/>
  <c r="H3258" i="18"/>
  <c r="H98" i="51"/>
  <c r="E98" i="51"/>
  <c r="F109" i="74"/>
  <c r="C47" i="2"/>
  <c r="C48" i="2" s="1"/>
  <c r="M40" i="46"/>
  <c r="N40" i="46" s="1"/>
  <c r="M50" i="46"/>
  <c r="N50" i="46" s="1"/>
  <c r="N13" i="75"/>
  <c r="P9" i="75"/>
  <c r="AC43" i="75" s="1"/>
  <c r="Q54" i="2"/>
  <c r="Q56" i="2" s="1"/>
  <c r="Q57" i="2" s="1"/>
  <c r="K61" i="72"/>
  <c r="L61" i="72" s="1"/>
  <c r="M61" i="72" s="1"/>
  <c r="I208" i="5"/>
  <c r="F870" i="5"/>
  <c r="F871" i="5" s="1"/>
  <c r="F234" i="5"/>
  <c r="P9" i="71"/>
  <c r="N13" i="71"/>
  <c r="M52" i="46"/>
  <c r="N52" i="46" s="1"/>
  <c r="AC14" i="75"/>
  <c r="AC36" i="75" s="1"/>
  <c r="AC44" i="75" s="1"/>
  <c r="F78" i="73"/>
  <c r="F79" i="73" s="1"/>
  <c r="AC53" i="71"/>
  <c r="AC54" i="71" s="1"/>
  <c r="E55" i="47"/>
  <c r="E55" i="51"/>
  <c r="H55" i="51"/>
  <c r="E85" i="47"/>
  <c r="H72" i="47"/>
  <c r="I99" i="51"/>
  <c r="J99" i="51" s="1"/>
  <c r="J96" i="51"/>
  <c r="E85" i="51"/>
  <c r="M877" i="5"/>
  <c r="F94" i="69"/>
  <c r="W44" i="75"/>
  <c r="W45" i="75" s="1"/>
  <c r="W46" i="75" s="1"/>
  <c r="G85" i="47"/>
  <c r="J53" i="71"/>
  <c r="J54" i="71" s="1"/>
  <c r="AC45" i="71"/>
  <c r="W47" i="71"/>
  <c r="L61" i="46"/>
  <c r="G77" i="46"/>
  <c r="H200" i="50"/>
  <c r="G59" i="46"/>
  <c r="Q3244" i="18" l="1"/>
  <c r="AC50" i="75"/>
  <c r="AC52" i="75" s="1"/>
  <c r="AC53" i="75" s="1"/>
  <c r="M59" i="46"/>
  <c r="N59" i="46" s="1"/>
  <c r="F872" i="5"/>
  <c r="AA45" i="75"/>
  <c r="AA46" i="75" s="1"/>
  <c r="P13" i="75"/>
  <c r="AA44" i="71"/>
  <c r="AA46" i="71" s="1"/>
  <c r="AA47" i="71" s="1"/>
  <c r="P13" i="71"/>
  <c r="M77" i="46"/>
  <c r="N77" i="46" s="1"/>
  <c r="F80" i="73"/>
  <c r="F81" i="73"/>
  <c r="G61" i="46"/>
  <c r="M61" i="46" l="1"/>
  <c r="N61" i="46" s="1"/>
  <c r="AC45" i="75"/>
  <c r="AC46" i="75" s="1"/>
  <c r="AC44" i="71"/>
  <c r="AC46" i="71" s="1"/>
  <c r="AC47" i="71" s="1"/>
  <c r="AD46" i="6"/>
  <c r="AC46" i="6"/>
  <c r="P67" i="6"/>
  <c r="J46" i="6"/>
  <c r="AE46" i="6" s="1"/>
  <c r="E12" i="80"/>
  <c r="E13" i="80" s="1"/>
  <c r="G46" i="6" l="1"/>
  <c r="H61" i="5"/>
  <c r="H63" i="5" s="1"/>
  <c r="H64" i="5" s="1"/>
  <c r="O45" i="6"/>
  <c r="G162" i="5"/>
  <c r="I162" i="5" s="1"/>
  <c r="AD45" i="6" l="1"/>
  <c r="J12" i="80"/>
  <c r="D45" i="6"/>
  <c r="D46" i="6" s="1"/>
  <c r="D47" i="6" s="1"/>
  <c r="J45" i="6"/>
  <c r="AC45" i="6"/>
  <c r="O67" i="6"/>
  <c r="AE67" i="6" s="1"/>
  <c r="P4" i="6" s="1"/>
  <c r="E45" i="6"/>
  <c r="I61" i="5"/>
  <c r="G163" i="5"/>
  <c r="K4966" i="18"/>
  <c r="G325" i="50"/>
  <c r="G326" i="50"/>
  <c r="F119" i="47"/>
  <c r="E29" i="73"/>
  <c r="E42" i="69"/>
  <c r="E43" i="69" s="1"/>
  <c r="I163" i="5"/>
  <c r="E30" i="73" l="1"/>
  <c r="E111" i="98"/>
  <c r="I821" i="5"/>
  <c r="F14" i="48"/>
  <c r="F38" i="48" s="1"/>
  <c r="I790" i="5"/>
  <c r="I192" i="5"/>
  <c r="E68" i="70"/>
  <c r="E51" i="74"/>
  <c r="G200" i="50"/>
  <c r="I200" i="50" s="1"/>
  <c r="J200" i="50" s="1"/>
  <c r="G51" i="68"/>
  <c r="G58" i="68" s="1"/>
  <c r="G59" i="68" s="1"/>
  <c r="H68" i="68" s="1"/>
  <c r="K3242" i="18"/>
  <c r="L3244" i="18" s="1"/>
  <c r="I63" i="5"/>
  <c r="I64" i="5" s="1"/>
  <c r="F52" i="47"/>
  <c r="G42" i="72"/>
  <c r="E115" i="98" s="1"/>
  <c r="AE45" i="6"/>
  <c r="G45" i="6"/>
  <c r="E106" i="70"/>
  <c r="E65" i="69"/>
  <c r="E90" i="69" s="1"/>
  <c r="E82" i="69"/>
  <c r="E77" i="69"/>
  <c r="E79" i="69" s="1"/>
  <c r="E46" i="6"/>
  <c r="E47" i="6" s="1"/>
  <c r="F48" i="6" s="1"/>
  <c r="F45" i="6"/>
  <c r="L4975" i="18"/>
  <c r="J13" i="80"/>
  <c r="L13" i="80" s="1"/>
  <c r="L12" i="80"/>
  <c r="I119" i="47"/>
  <c r="J119" i="47" s="1"/>
  <c r="F120" i="47"/>
  <c r="G565" i="5"/>
  <c r="G192" i="5"/>
  <c r="G169" i="5"/>
  <c r="G121" i="5"/>
  <c r="G567" i="5"/>
  <c r="G79" i="46"/>
  <c r="L79" i="46"/>
  <c r="E64" i="73" l="1"/>
  <c r="E31" i="73"/>
  <c r="E65" i="73" s="1"/>
  <c r="E52" i="73"/>
  <c r="E69" i="73"/>
  <c r="E89" i="74"/>
  <c r="E125" i="98"/>
  <c r="E32" i="8" s="1"/>
  <c r="E71" i="8"/>
  <c r="H4971" i="18"/>
  <c r="H4973" i="18" s="1"/>
  <c r="K4967" i="18" s="1"/>
  <c r="E82" i="8"/>
  <c r="M79" i="46"/>
  <c r="N79" i="46" s="1"/>
  <c r="G193" i="5"/>
  <c r="I169" i="5"/>
  <c r="G13" i="95"/>
  <c r="H13" i="95" s="1"/>
  <c r="G49" i="72"/>
  <c r="G50" i="72" s="1"/>
  <c r="F19" i="95"/>
  <c r="I800" i="5"/>
  <c r="I813" i="5"/>
  <c r="G212" i="5"/>
  <c r="G564" i="5"/>
  <c r="I567" i="5"/>
  <c r="G210" i="5"/>
  <c r="I565" i="5"/>
  <c r="I210" i="5" s="1"/>
  <c r="F46" i="6"/>
  <c r="F47" i="6"/>
  <c r="I52" i="47"/>
  <c r="F54" i="47"/>
  <c r="F55" i="47" s="1"/>
  <c r="G122" i="5"/>
  <c r="G124" i="5" s="1"/>
  <c r="G125" i="5" s="1"/>
  <c r="I121" i="5"/>
  <c r="E80" i="69"/>
  <c r="F82" i="48"/>
  <c r="I786" i="5"/>
  <c r="H5109" i="18"/>
  <c r="E88" i="74"/>
  <c r="I120" i="47"/>
  <c r="J120" i="47" s="1"/>
  <c r="F124" i="47"/>
  <c r="I124" i="47" s="1"/>
  <c r="J124" i="47" s="1"/>
  <c r="E105" i="70"/>
  <c r="E107" i="70" s="1"/>
  <c r="G43" i="46"/>
  <c r="G51" i="46"/>
  <c r="H325" i="50"/>
  <c r="G49" i="46"/>
  <c r="E66" i="73" l="1"/>
  <c r="E67" i="73" s="1"/>
  <c r="E77" i="73"/>
  <c r="F680" i="5"/>
  <c r="F682" i="5" s="1"/>
  <c r="F683" i="5" s="1"/>
  <c r="I32" i="8"/>
  <c r="E90" i="74"/>
  <c r="E91" i="74" s="1"/>
  <c r="E34" i="8"/>
  <c r="M43" i="46"/>
  <c r="N43" i="46" s="1"/>
  <c r="E108" i="8"/>
  <c r="E110" i="8" s="1"/>
  <c r="E111" i="8" s="1"/>
  <c r="F737" i="5"/>
  <c r="F748" i="5"/>
  <c r="E88" i="8"/>
  <c r="I325" i="50"/>
  <c r="J325" i="50" s="1"/>
  <c r="L4967" i="18"/>
  <c r="Q4967" i="18"/>
  <c r="F83" i="48"/>
  <c r="F24" i="48" s="1"/>
  <c r="F31" i="48"/>
  <c r="F40" i="48"/>
  <c r="F19" i="48"/>
  <c r="G294" i="50"/>
  <c r="G293" i="50"/>
  <c r="K4460" i="18"/>
  <c r="I122" i="5"/>
  <c r="I124" i="5" s="1"/>
  <c r="K57" i="68"/>
  <c r="K48" i="72"/>
  <c r="F95" i="47"/>
  <c r="I869" i="5"/>
  <c r="J52" i="47"/>
  <c r="I54" i="47"/>
  <c r="F23" i="95"/>
  <c r="F21" i="95"/>
  <c r="G40" i="47"/>
  <c r="H40" i="47" s="1"/>
  <c r="G43" i="47"/>
  <c r="H43" i="47" s="1"/>
  <c r="G44" i="47"/>
  <c r="H44" i="47" s="1"/>
  <c r="G27" i="47"/>
  <c r="H27" i="47" s="1"/>
  <c r="G20" i="47"/>
  <c r="H20" i="47" s="1"/>
  <c r="G34" i="47"/>
  <c r="H34" i="47" s="1"/>
  <c r="G47" i="47"/>
  <c r="H47" i="47" s="1"/>
  <c r="G51" i="47"/>
  <c r="H51" i="47" s="1"/>
  <c r="G42" i="47"/>
  <c r="H42" i="47" s="1"/>
  <c r="G21" i="47"/>
  <c r="H21" i="47" s="1"/>
  <c r="G22" i="47"/>
  <c r="H22" i="47" s="1"/>
  <c r="G25" i="47"/>
  <c r="H25" i="47" s="1"/>
  <c r="G35" i="47"/>
  <c r="H35" i="47" s="1"/>
  <c r="G53" i="47"/>
  <c r="H53" i="47" s="1"/>
  <c r="G26" i="47"/>
  <c r="H26" i="47" s="1"/>
  <c r="G39" i="47"/>
  <c r="H39" i="47" s="1"/>
  <c r="G24" i="47"/>
  <c r="H24" i="47" s="1"/>
  <c r="G50" i="47"/>
  <c r="H50" i="47" s="1"/>
  <c r="G23" i="47"/>
  <c r="H23" i="47" s="1"/>
  <c r="G19" i="47"/>
  <c r="H19" i="47" s="1"/>
  <c r="G14" i="47"/>
  <c r="H14" i="47" s="1"/>
  <c r="G36" i="47"/>
  <c r="H36" i="47" s="1"/>
  <c r="G17" i="47"/>
  <c r="H17" i="47" s="1"/>
  <c r="G33" i="47"/>
  <c r="H33" i="47" s="1"/>
  <c r="G37" i="47"/>
  <c r="H37" i="47" s="1"/>
  <c r="G38" i="47"/>
  <c r="H38" i="47" s="1"/>
  <c r="G31" i="47"/>
  <c r="H31" i="47" s="1"/>
  <c r="G32" i="47"/>
  <c r="H32" i="47" s="1"/>
  <c r="G45" i="47"/>
  <c r="H45" i="47" s="1"/>
  <c r="G49" i="47"/>
  <c r="H49" i="47" s="1"/>
  <c r="G15" i="47"/>
  <c r="H15" i="47" s="1"/>
  <c r="G52" i="47"/>
  <c r="H52" i="47" s="1"/>
  <c r="G18" i="47"/>
  <c r="H18" i="47" s="1"/>
  <c r="G46" i="47"/>
  <c r="H46" i="47" s="1"/>
  <c r="G41" i="47"/>
  <c r="H41" i="47" s="1"/>
  <c r="G16" i="47"/>
  <c r="H16" i="47" s="1"/>
  <c r="G48" i="47"/>
  <c r="H48" i="47" s="1"/>
  <c r="G30" i="47"/>
  <c r="G13" i="47"/>
  <c r="G209" i="5"/>
  <c r="G589" i="5"/>
  <c r="G234" i="5" s="1"/>
  <c r="I791" i="5"/>
  <c r="I793" i="5" s="1"/>
  <c r="I794" i="5" s="1"/>
  <c r="F121" i="47"/>
  <c r="I121" i="47" s="1"/>
  <c r="J121" i="47" s="1"/>
  <c r="I193" i="5"/>
  <c r="I801" i="5" s="1"/>
  <c r="I803" i="5" s="1"/>
  <c r="I804" i="5" s="1"/>
  <c r="F15" i="48"/>
  <c r="I805" i="5"/>
  <c r="H4467" i="18"/>
  <c r="H59" i="72"/>
  <c r="E108" i="70"/>
  <c r="I806" i="5"/>
  <c r="I212" i="5"/>
  <c r="I814" i="5" s="1"/>
  <c r="I815" i="5" s="1"/>
  <c r="I816" i="5" s="1"/>
  <c r="I564" i="5"/>
  <c r="N15" i="71"/>
  <c r="N15" i="75"/>
  <c r="G45" i="46"/>
  <c r="L74" i="46"/>
  <c r="I680" i="5" l="1"/>
  <c r="E30" i="70" s="1"/>
  <c r="E32" i="70" s="1"/>
  <c r="E33" i="70" s="1"/>
  <c r="E35" i="8"/>
  <c r="I34" i="8"/>
  <c r="F711" i="5"/>
  <c r="F825" i="5"/>
  <c r="I737" i="5"/>
  <c r="I822" i="5" s="1"/>
  <c r="I823" i="5" s="1"/>
  <c r="I824" i="5" s="1"/>
  <c r="F822" i="5"/>
  <c r="F823" i="5" s="1"/>
  <c r="F824" i="5" s="1"/>
  <c r="E113" i="8"/>
  <c r="I748" i="5"/>
  <c r="F754" i="5"/>
  <c r="F826" i="5" s="1"/>
  <c r="P15" i="71"/>
  <c r="E91" i="69" s="1"/>
  <c r="E92" i="69" s="1"/>
  <c r="E93" i="69" s="1"/>
  <c r="E83" i="69"/>
  <c r="E84" i="69" s="1"/>
  <c r="N14" i="71"/>
  <c r="I807" i="5"/>
  <c r="I808" i="5" s="1"/>
  <c r="G28" i="47"/>
  <c r="H13" i="47"/>
  <c r="H28" i="47" s="1"/>
  <c r="I125" i="5"/>
  <c r="I787" i="5" s="1"/>
  <c r="I788" i="5" s="1"/>
  <c r="F87" i="48"/>
  <c r="I209" i="5"/>
  <c r="I589" i="5"/>
  <c r="G54" i="47"/>
  <c r="H30" i="47"/>
  <c r="H54" i="47" s="1"/>
  <c r="F96" i="47"/>
  <c r="F98" i="47" s="1"/>
  <c r="I95" i="47"/>
  <c r="J54" i="47"/>
  <c r="I55" i="47"/>
  <c r="J55" i="47" s="1"/>
  <c r="N51" i="75"/>
  <c r="K49" i="72"/>
  <c r="E70" i="73"/>
  <c r="E71" i="73" s="1"/>
  <c r="P15" i="75"/>
  <c r="N14" i="75"/>
  <c r="H4476" i="18"/>
  <c r="K4461" i="18" s="1"/>
  <c r="L4461" i="18" s="1"/>
  <c r="K58" i="68"/>
  <c r="N52" i="71"/>
  <c r="L76" i="46"/>
  <c r="L45" i="46"/>
  <c r="H293" i="50"/>
  <c r="L51" i="46"/>
  <c r="G338" i="50" l="1"/>
  <c r="K5921" i="18"/>
  <c r="L5922" i="18" s="1"/>
  <c r="I682" i="5"/>
  <c r="I683" i="5" s="1"/>
  <c r="F43" i="48" s="1"/>
  <c r="E14" i="74"/>
  <c r="E16" i="74" s="1"/>
  <c r="E17" i="74" s="1"/>
  <c r="E42" i="74" s="1"/>
  <c r="M45" i="46"/>
  <c r="N45" i="46" s="1"/>
  <c r="E63" i="8"/>
  <c r="I35" i="8"/>
  <c r="E114" i="8"/>
  <c r="E115" i="8" s="1"/>
  <c r="E116" i="8" s="1"/>
  <c r="F827" i="5"/>
  <c r="F828" i="5" s="1"/>
  <c r="E59" i="70"/>
  <c r="E111" i="70"/>
  <c r="F713" i="5"/>
  <c r="F70" i="52" s="1"/>
  <c r="F22" i="52" s="1"/>
  <c r="F829" i="5"/>
  <c r="F831" i="5" s="1"/>
  <c r="F832" i="5" s="1"/>
  <c r="E62" i="74"/>
  <c r="K6154" i="18"/>
  <c r="L6155" i="18" s="1"/>
  <c r="E79" i="70"/>
  <c r="E85" i="70" s="1"/>
  <c r="E110" i="70" s="1"/>
  <c r="I754" i="5"/>
  <c r="I826" i="5" s="1"/>
  <c r="Q4461" i="18"/>
  <c r="H55" i="47"/>
  <c r="I293" i="50"/>
  <c r="J293" i="50" s="1"/>
  <c r="M51" i="46"/>
  <c r="N51" i="46" s="1"/>
  <c r="E72" i="73"/>
  <c r="G93" i="47"/>
  <c r="H93" i="47" s="1"/>
  <c r="G92" i="47"/>
  <c r="H92" i="47" s="1"/>
  <c r="G95" i="47"/>
  <c r="H95" i="47" s="1"/>
  <c r="G87" i="47"/>
  <c r="H87" i="47" s="1"/>
  <c r="F99" i="47"/>
  <c r="G89" i="47"/>
  <c r="H89" i="47" s="1"/>
  <c r="G97" i="47"/>
  <c r="H97" i="47" s="1"/>
  <c r="G91" i="47"/>
  <c r="H91" i="47" s="1"/>
  <c r="G96" i="47"/>
  <c r="G94" i="47"/>
  <c r="H94" i="47" s="1"/>
  <c r="G88" i="47"/>
  <c r="H88" i="47" s="1"/>
  <c r="G90" i="47"/>
  <c r="H90" i="47" s="1"/>
  <c r="I870" i="5"/>
  <c r="I871" i="5" s="1"/>
  <c r="I872" i="5" s="1"/>
  <c r="I234" i="5"/>
  <c r="I789" i="5"/>
  <c r="N37" i="71"/>
  <c r="N51" i="71" s="1"/>
  <c r="N53" i="71" s="1"/>
  <c r="P14" i="71"/>
  <c r="P37" i="71" s="1"/>
  <c r="P51" i="71" s="1"/>
  <c r="E85" i="69"/>
  <c r="E94" i="69"/>
  <c r="H94" i="69" s="1"/>
  <c r="P14" i="75"/>
  <c r="P36" i="75" s="1"/>
  <c r="N36" i="75"/>
  <c r="P51" i="75"/>
  <c r="K50" i="72"/>
  <c r="H7" i="18"/>
  <c r="K7" i="18"/>
  <c r="P7" i="18" s="1"/>
  <c r="P52" i="71"/>
  <c r="K59" i="68"/>
  <c r="K68" i="68" s="1"/>
  <c r="L68" i="68" s="1"/>
  <c r="M68" i="68" s="1"/>
  <c r="E78" i="73"/>
  <c r="E79" i="73" s="1"/>
  <c r="E80" i="73" s="1"/>
  <c r="J95" i="47"/>
  <c r="I96" i="47"/>
  <c r="F39" i="48"/>
  <c r="F20" i="48"/>
  <c r="G55" i="47"/>
  <c r="L47" i="46"/>
  <c r="L81" i="46"/>
  <c r="L83" i="46"/>
  <c r="L49" i="46"/>
  <c r="G74" i="46"/>
  <c r="G76" i="46"/>
  <c r="I825" i="5" l="1"/>
  <c r="I827" i="5" s="1"/>
  <c r="I828" i="5" s="1"/>
  <c r="I711" i="5"/>
  <c r="I713" i="5" s="1"/>
  <c r="F109" i="48" s="1"/>
  <c r="F29" i="48" s="1"/>
  <c r="E94" i="74"/>
  <c r="E112" i="70"/>
  <c r="E113" i="70" s="1"/>
  <c r="M47" i="46"/>
  <c r="N47" i="46" s="1"/>
  <c r="E65" i="8"/>
  <c r="E126" i="8"/>
  <c r="E127" i="8" s="1"/>
  <c r="E128" i="8" s="1"/>
  <c r="F877" i="5"/>
  <c r="M83" i="46"/>
  <c r="N83" i="46" s="1"/>
  <c r="I829" i="5"/>
  <c r="I831" i="5" s="1"/>
  <c r="I832" i="5" s="1"/>
  <c r="E44" i="74"/>
  <c r="E98" i="74" s="1"/>
  <c r="E99" i="74" s="1"/>
  <c r="E100" i="74" s="1"/>
  <c r="E106" i="74"/>
  <c r="E107" i="74" s="1"/>
  <c r="E61" i="70"/>
  <c r="E115" i="70" s="1"/>
  <c r="E116" i="70" s="1"/>
  <c r="E117" i="70" s="1"/>
  <c r="E123" i="70"/>
  <c r="E124" i="70" s="1"/>
  <c r="E125" i="70" s="1"/>
  <c r="H5120" i="18"/>
  <c r="H5126" i="18" s="1"/>
  <c r="Q5106" i="18" s="1"/>
  <c r="P8" i="18" s="1"/>
  <c r="E68" i="74"/>
  <c r="P53" i="71"/>
  <c r="P54" i="71" s="1"/>
  <c r="M49" i="46"/>
  <c r="N49" i="46" s="1"/>
  <c r="M74" i="46"/>
  <c r="N74" i="46" s="1"/>
  <c r="M76" i="46"/>
  <c r="N76" i="46" s="1"/>
  <c r="K59" i="72"/>
  <c r="L59" i="72" s="1"/>
  <c r="M59" i="72" s="1"/>
  <c r="E81" i="73"/>
  <c r="H81" i="73" s="1"/>
  <c r="J96" i="47"/>
  <c r="I98" i="47"/>
  <c r="N50" i="75"/>
  <c r="N52" i="75" s="1"/>
  <c r="P50" i="75"/>
  <c r="P52" i="75" s="1"/>
  <c r="P53" i="75" s="1"/>
  <c r="N54" i="71"/>
  <c r="C44" i="71"/>
  <c r="C45" i="71" s="1"/>
  <c r="G98" i="47"/>
  <c r="H96" i="47"/>
  <c r="H98" i="47" s="1"/>
  <c r="G81" i="46"/>
  <c r="F42" i="48" l="1"/>
  <c r="E67" i="8"/>
  <c r="E118" i="8"/>
  <c r="E119" i="8" s="1"/>
  <c r="I877" i="5"/>
  <c r="E126" i="70"/>
  <c r="H126" i="70" s="1"/>
  <c r="E6" i="98"/>
  <c r="E108" i="74"/>
  <c r="M81" i="46"/>
  <c r="N81" i="46" s="1"/>
  <c r="E93" i="74"/>
  <c r="E95" i="74" s="1"/>
  <c r="N53" i="75"/>
  <c r="C43" i="75"/>
  <c r="C44" i="75" s="1"/>
  <c r="I99" i="47"/>
  <c r="J99" i="47" s="1"/>
  <c r="J98" i="47"/>
  <c r="E120" i="8" l="1"/>
  <c r="E129" i="8"/>
  <c r="H129" i="8" s="1"/>
  <c r="E96" i="74"/>
  <c r="E7" i="98"/>
  <c r="E109" i="74"/>
  <c r="H109" i="74" s="1"/>
</calcChain>
</file>

<file path=xl/comments1.xml><?xml version="1.0" encoding="utf-8"?>
<comments xmlns="http://schemas.openxmlformats.org/spreadsheetml/2006/main">
  <authors>
    <author>胡晓明</author>
  </authors>
  <commentList>
    <comment ref="B44" authorId="0" shapeId="0">
      <text>
        <r>
          <rPr>
            <b/>
            <sz val="9"/>
            <rFont val="宋体"/>
            <family val="3"/>
            <charset val="134"/>
          </rPr>
          <t>胡晓明:</t>
        </r>
        <r>
          <rPr>
            <sz val="9"/>
            <rFont val="宋体"/>
            <family val="3"/>
            <charset val="134"/>
          </rPr>
          <t xml:space="preserve">
非必填项，仅供参考，用作文档管理。</t>
        </r>
      </text>
    </comment>
  </commentList>
</comments>
</file>

<file path=xl/comments2.xml><?xml version="1.0" encoding="utf-8"?>
<comments xmlns="http://schemas.openxmlformats.org/spreadsheetml/2006/main">
  <authors>
    <author>胡</author>
    <author>胡晓明</author>
    <author>孙健</author>
    <author>王鑫</author>
  </authors>
  <commentList>
    <comment ref="S3"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4"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7" authorId="0" shapeId="0">
      <text>
        <r>
          <rPr>
            <b/>
            <sz val="9"/>
            <color indexed="81"/>
            <rFont val="宋体"/>
            <family val="3"/>
            <charset val="134"/>
          </rPr>
          <t>胡</t>
        </r>
        <r>
          <rPr>
            <b/>
            <sz val="9"/>
            <color indexed="81"/>
            <rFont val="Tahoma"/>
            <family val="2"/>
          </rPr>
          <t>:</t>
        </r>
        <r>
          <rPr>
            <sz val="9"/>
            <color indexed="81"/>
            <rFont val="Tahoma"/>
            <family val="2"/>
          </rPr>
          <t xml:space="preserve">
</t>
        </r>
        <r>
          <rPr>
            <sz val="9"/>
            <color indexed="81"/>
            <rFont val="宋体"/>
            <family val="3"/>
            <charset val="134"/>
          </rPr>
          <t>所有标识</t>
        </r>
        <r>
          <rPr>
            <sz val="9"/>
            <color indexed="81"/>
            <rFont val="Tahoma"/>
            <family val="2"/>
          </rPr>
          <t xml:space="preserve"> </t>
        </r>
        <r>
          <rPr>
            <sz val="9"/>
            <color indexed="81"/>
            <rFont val="宋体"/>
            <family val="3"/>
            <charset val="134"/>
          </rPr>
          <t>均在</t>
        </r>
        <r>
          <rPr>
            <sz val="9"/>
            <color indexed="81"/>
            <rFont val="Tahoma"/>
            <family val="2"/>
          </rPr>
          <t>S</t>
        </r>
        <r>
          <rPr>
            <sz val="9"/>
            <color indexed="81"/>
            <rFont val="宋体"/>
            <family val="3"/>
            <charset val="134"/>
          </rPr>
          <t>列标注</t>
        </r>
        <r>
          <rPr>
            <sz val="9"/>
            <color indexed="81"/>
            <rFont val="Tahoma"/>
            <family val="2"/>
          </rPr>
          <t xml:space="preserve">
</t>
        </r>
        <r>
          <rPr>
            <sz val="9"/>
            <color indexed="81"/>
            <rFont val="宋体"/>
            <family val="3"/>
            <charset val="134"/>
          </rPr>
          <t>修改行</t>
        </r>
        <r>
          <rPr>
            <sz val="9"/>
            <color indexed="81"/>
            <rFont val="Tahoma"/>
            <family val="2"/>
          </rPr>
          <t xml:space="preserve"> </t>
        </r>
        <r>
          <rPr>
            <sz val="9"/>
            <color indexed="81"/>
            <rFont val="宋体"/>
            <family val="3"/>
            <charset val="134"/>
          </rPr>
          <t>是指</t>
        </r>
        <r>
          <rPr>
            <sz val="9"/>
            <color indexed="81"/>
            <rFont val="Tahoma"/>
            <family val="2"/>
          </rPr>
          <t xml:space="preserve"> </t>
        </r>
        <r>
          <rPr>
            <sz val="9"/>
            <color indexed="81"/>
            <rFont val="宋体"/>
            <family val="3"/>
            <charset val="134"/>
          </rPr>
          <t>修改行项目、修改公式、修改提示等</t>
        </r>
      </text>
    </comment>
    <comment ref="S20" authorId="1" shapeId="0">
      <text>
        <r>
          <rPr>
            <b/>
            <sz val="9"/>
            <color indexed="12"/>
            <rFont val="Tahoma"/>
            <family val="2"/>
          </rPr>
          <t xml:space="preserve">REAL Tips:
</t>
        </r>
        <r>
          <rPr>
            <b/>
            <sz val="9"/>
            <color indexed="12"/>
            <rFont val="宋体"/>
            <family val="3"/>
            <charset val="134"/>
          </rPr>
          <t>披露因抵押、质押或冻结等对使用有限制的款项，以及存放在境外的款项总额。公司应单独披露存放在境外且资金汇回受到限制的款项。</t>
        </r>
        <r>
          <rPr>
            <b/>
            <sz val="9"/>
            <color indexed="12"/>
            <rFont val="Tahoma"/>
            <family val="2"/>
          </rPr>
          <t xml:space="preserve">  </t>
        </r>
      </text>
    </comment>
    <comment ref="N59" authorId="2" shapeId="0">
      <text>
        <r>
          <rPr>
            <b/>
            <sz val="9"/>
            <color indexed="81"/>
            <rFont val="宋体"/>
            <family val="3"/>
            <charset val="134"/>
          </rPr>
          <t>胡晓明:
如需要，请在此设置公式，引用至注释小表中期初/上期数的单元格。</t>
        </r>
      </text>
    </comment>
    <comment ref="S109" authorId="1" shapeId="0">
      <text>
        <r>
          <rPr>
            <b/>
            <sz val="9"/>
            <color indexed="12"/>
            <rFont val="Tahoma"/>
            <family val="2"/>
          </rPr>
          <t>REAL Tips:
1</t>
        </r>
        <r>
          <rPr>
            <b/>
            <sz val="9"/>
            <color indexed="12"/>
            <rFont val="宋体"/>
            <family val="3"/>
            <charset val="134"/>
          </rPr>
          <t xml:space="preserve">、企业衍生金融工具业务具有重要性的，单独披露衍生金融资产。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号文第十九条（三），分类列示衍生金融资产期初余额、期末余额，披露其产生的原因以及相关会计处理。
</t>
        </r>
        <r>
          <rPr>
            <b/>
            <sz val="9"/>
            <color indexed="12"/>
            <rFont val="Tahoma"/>
            <family val="2"/>
          </rPr>
          <t xml:space="preserve">  </t>
        </r>
      </text>
    </comment>
    <comment ref="N138" authorId="2" shapeId="0">
      <text>
        <r>
          <rPr>
            <b/>
            <sz val="9"/>
            <color indexed="81"/>
            <rFont val="宋体"/>
            <family val="3"/>
            <charset val="134"/>
          </rPr>
          <t>胡晓明:
如需要，请在此设置公式，引用至注释小表中期初/上期数的单元格。</t>
        </r>
      </text>
    </comment>
    <comment ref="K146" authorId="2" shapeId="0">
      <text>
        <r>
          <rPr>
            <b/>
            <sz val="9"/>
            <color indexed="81"/>
            <rFont val="宋体"/>
            <family val="3"/>
            <charset val="134"/>
          </rPr>
          <t>胡晓明:
如需要，请在此设置公式，引用至注释小表中期末/本期数的单元格。</t>
        </r>
      </text>
    </comment>
    <comment ref="N146" authorId="2" shapeId="0">
      <text>
        <r>
          <rPr>
            <b/>
            <sz val="9"/>
            <color indexed="81"/>
            <rFont val="宋体"/>
            <family val="3"/>
            <charset val="134"/>
          </rPr>
          <t>胡晓明:
如需要，请在此设置公式，引用至注释小表中期初/上期数的单元格。</t>
        </r>
      </text>
    </comment>
    <comment ref="S146" authorId="1" shapeId="0">
      <text>
        <r>
          <rPr>
            <b/>
            <sz val="9"/>
            <color indexed="12"/>
            <rFont val="Tahoma"/>
            <family val="2"/>
          </rPr>
          <t>REAL Tips:
1</t>
        </r>
        <r>
          <rPr>
            <b/>
            <sz val="9"/>
            <color indexed="12"/>
            <rFont val="宋体"/>
            <family val="3"/>
            <charset val="134"/>
          </rPr>
          <t>、如根据《企业会计准则第</t>
        </r>
        <r>
          <rPr>
            <b/>
            <sz val="9"/>
            <color indexed="12"/>
            <rFont val="Tahoma"/>
            <family val="2"/>
          </rPr>
          <t>23</t>
        </r>
        <r>
          <rPr>
            <b/>
            <sz val="9"/>
            <color indexed="12"/>
            <rFont val="宋体"/>
            <family val="3"/>
            <charset val="134"/>
          </rPr>
          <t xml:space="preserve">号——金融资产转移》终止确认的应收票据，列示其终止确认的金额，及与终止确认相关的利得和损失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年上市公司年报会计监管报告》，对已背书或贴现且尚未到期的银行承兑汇票予以终止确认后，需在财务报表中补充披露终止确认的票据以及对票据被追索时可能存在的支付风险予以清晰说明。</t>
        </r>
      </text>
    </comment>
    <comment ref="N160" authorId="2" shapeId="0">
      <text>
        <r>
          <rPr>
            <b/>
            <sz val="9"/>
            <color indexed="81"/>
            <rFont val="宋体"/>
            <family val="3"/>
            <charset val="134"/>
          </rPr>
          <t>胡晓明:
如需要，请在此设置公式，引用至注释小表中期初/上期数的单元格。</t>
        </r>
      </text>
    </comment>
    <comment ref="N170" authorId="2" shapeId="0">
      <text>
        <r>
          <rPr>
            <b/>
            <sz val="9"/>
            <color indexed="81"/>
            <rFont val="宋体"/>
            <family val="3"/>
            <charset val="134"/>
          </rPr>
          <t>胡晓明:
如需要，请在此设置公式，引用至注释小表中期初/上期数的单元格。</t>
        </r>
      </text>
    </comment>
    <comment ref="G190" authorId="0" shapeId="0">
      <text>
        <r>
          <rPr>
            <b/>
            <sz val="9"/>
            <color indexed="81"/>
            <rFont val="Tahoma"/>
            <family val="2"/>
          </rPr>
          <t>未解决注释间差异合计。
注：本表中的“差异”，如未 √ 以示确认，则为“未解决注释间差异（存疑差异）”。</t>
        </r>
      </text>
    </comment>
    <comment ref="N192" authorId="2" shapeId="0">
      <text>
        <r>
          <rPr>
            <b/>
            <sz val="9"/>
            <color indexed="81"/>
            <rFont val="宋体"/>
            <family val="3"/>
            <charset val="134"/>
          </rPr>
          <t>胡晓明:
如需要，请在此设置公式，引用至注释小表中期初/上期数的单元格。</t>
        </r>
      </text>
    </comment>
    <comment ref="G212" authorId="0" shapeId="0">
      <text>
        <r>
          <rPr>
            <b/>
            <sz val="9"/>
            <color indexed="81"/>
            <rFont val="Tahoma"/>
            <family val="2"/>
          </rPr>
          <t>未解决注释间差异合计。
注：本表中的“差异”，如未 √ 以示确认，则为“未解决注释间差异（存疑差异）”。</t>
        </r>
      </text>
    </comment>
    <comment ref="N214" authorId="2" shapeId="0">
      <text>
        <r>
          <rPr>
            <b/>
            <sz val="9"/>
            <color indexed="81"/>
            <rFont val="宋体"/>
            <family val="3"/>
            <charset val="134"/>
          </rPr>
          <t>胡晓明:
如需要，请在此设置公式，引用至注释小表中期初/上期数的单元格。</t>
        </r>
      </text>
    </comment>
    <comment ref="G234" authorId="0" shapeId="0">
      <text>
        <r>
          <rPr>
            <b/>
            <sz val="9"/>
            <color indexed="81"/>
            <rFont val="Tahoma"/>
            <family val="2"/>
          </rPr>
          <t>未解决注释间差异合计。
注：本表中的“差异”，如未 √ 以示确认，则为“未解决注释间差异（存疑差异）”。</t>
        </r>
      </text>
    </comment>
    <comment ref="G271" authorId="0" shapeId="0">
      <text>
        <r>
          <rPr>
            <b/>
            <sz val="9"/>
            <color indexed="81"/>
            <rFont val="Tahoma"/>
            <family val="2"/>
          </rPr>
          <t>未解决注释间差异合计。
注：本表中的“差异”，如未 √ 以示确认，则为“未解决注释间差异（存疑差异）”。</t>
        </r>
      </text>
    </comment>
    <comment ref="N273" authorId="2" shapeId="0">
      <text>
        <r>
          <rPr>
            <b/>
            <sz val="9"/>
            <color indexed="81"/>
            <rFont val="宋体"/>
            <family val="3"/>
            <charset val="134"/>
          </rPr>
          <t>胡晓明:
如需要，请在此设置公式，引用至注释小表中期初/上期数的单元格。</t>
        </r>
      </text>
    </comment>
    <comment ref="N286" authorId="2" shapeId="0">
      <text>
        <r>
          <rPr>
            <b/>
            <sz val="9"/>
            <color indexed="81"/>
            <rFont val="宋体"/>
            <family val="3"/>
            <charset val="134"/>
          </rPr>
          <t>胡晓明:
如需要，请在此设置公式，引用至注释小表中期初/上期数的单元格。</t>
        </r>
      </text>
    </comment>
    <comment ref="N293" authorId="2" shapeId="0">
      <text>
        <r>
          <rPr>
            <b/>
            <sz val="9"/>
            <color indexed="81"/>
            <rFont val="宋体"/>
            <family val="3"/>
            <charset val="134"/>
          </rPr>
          <t>胡晓明:
如需要，请在此设置公式，引用至注释小表中期初/上期数的单元格。</t>
        </r>
      </text>
    </comment>
    <comment ref="N334" authorId="2" shapeId="0">
      <text>
        <r>
          <rPr>
            <b/>
            <sz val="9"/>
            <color indexed="81"/>
            <rFont val="宋体"/>
            <family val="3"/>
            <charset val="134"/>
          </rPr>
          <t>胡晓明:
如需要，请在此设置公式，引用至注释小表中期初/上期数的单元格。</t>
        </r>
      </text>
    </comment>
    <comment ref="G354" authorId="0" shapeId="0">
      <text>
        <r>
          <rPr>
            <b/>
            <sz val="9"/>
            <color indexed="81"/>
            <rFont val="Tahoma"/>
            <family val="2"/>
          </rPr>
          <t>未解决注释间差异合计。
注：本表中的“差异”，如未 √ 以示确认，则为“未解决注释间差异（存疑差异）”。</t>
        </r>
      </text>
    </comment>
    <comment ref="N356" authorId="2" shapeId="0">
      <text>
        <r>
          <rPr>
            <b/>
            <sz val="9"/>
            <color indexed="81"/>
            <rFont val="宋体"/>
            <family val="3"/>
            <charset val="134"/>
          </rPr>
          <t>胡晓明:
如需要，请在此设置公式，引用至注释小表中期初/上期数的单元格。</t>
        </r>
      </text>
    </comment>
    <comment ref="G376" authorId="0" shapeId="0">
      <text>
        <r>
          <rPr>
            <b/>
            <sz val="9"/>
            <color indexed="81"/>
            <rFont val="Tahoma"/>
            <family val="2"/>
          </rPr>
          <t>未解决注释间差异合计。
注：本表中的“差异”，如未 √ 以示确认，则为“未解决注释间差异（存疑差异）”。</t>
        </r>
      </text>
    </comment>
    <comment ref="N378" authorId="2" shapeId="0">
      <text>
        <r>
          <rPr>
            <b/>
            <sz val="9"/>
            <color indexed="81"/>
            <rFont val="宋体"/>
            <family val="3"/>
            <charset val="134"/>
          </rPr>
          <t>胡晓明:
如需要，请在此设置公式，引用至注释小表中期初/上期数的单元格。</t>
        </r>
      </text>
    </comment>
    <comment ref="G398" authorId="0" shapeId="0">
      <text>
        <r>
          <rPr>
            <b/>
            <sz val="9"/>
            <color indexed="81"/>
            <rFont val="Tahoma"/>
            <family val="2"/>
          </rPr>
          <t>未解决注释间差异合计。
注：本表中的“差异”，如未 √ 以示确认，则为“未解决注释间差异（存疑差异）”。</t>
        </r>
      </text>
    </comment>
    <comment ref="N400" authorId="2" shapeId="0">
      <text>
        <r>
          <rPr>
            <b/>
            <sz val="9"/>
            <color indexed="81"/>
            <rFont val="宋体"/>
            <family val="3"/>
            <charset val="134"/>
          </rPr>
          <t>胡晓明:
如需要，请在此设置公式，引用至注释小表中期初/上期数的单元格。</t>
        </r>
      </text>
    </comment>
    <comment ref="N415" authorId="2" shapeId="0">
      <text>
        <r>
          <rPr>
            <b/>
            <sz val="9"/>
            <color indexed="81"/>
            <rFont val="宋体"/>
            <family val="3"/>
            <charset val="134"/>
          </rPr>
          <t>胡晓明:
如需要，请在此设置公式，引用至注释小表中期初/上期数的单元格。</t>
        </r>
      </text>
    </comment>
    <comment ref="K430" authorId="2" shapeId="0">
      <text>
        <r>
          <rPr>
            <b/>
            <sz val="9"/>
            <color indexed="81"/>
            <rFont val="宋体"/>
            <family val="3"/>
            <charset val="134"/>
          </rPr>
          <t>胡晓明:
如需要，请在此设置公式，引用至注释小表中期末/本期数的单元格。</t>
        </r>
      </text>
    </comment>
    <comment ref="G446" authorId="0" shapeId="0">
      <text>
        <r>
          <rPr>
            <b/>
            <sz val="9"/>
            <color indexed="81"/>
            <rFont val="Tahoma"/>
            <family val="2"/>
          </rPr>
          <t>未解决注释间差异合计。
注：本表中的“差异”，如未 √ 以示确认，则为“未解决注释间差异（存疑差异）”。</t>
        </r>
      </text>
    </comment>
    <comment ref="K448" authorId="2" shapeId="0">
      <text>
        <r>
          <rPr>
            <b/>
            <sz val="9"/>
            <color indexed="81"/>
            <rFont val="宋体"/>
            <family val="3"/>
            <charset val="134"/>
          </rPr>
          <t>胡晓明:
如需要，请在此设置公式，引用至注释小表中期末/本期数的单元格。</t>
        </r>
      </text>
    </comment>
    <comment ref="G466" authorId="0" shapeId="0">
      <text>
        <r>
          <rPr>
            <b/>
            <sz val="9"/>
            <color indexed="81"/>
            <rFont val="Tahoma"/>
            <family val="2"/>
          </rPr>
          <t>未解决注释间差异合计。
注：本表中的“差异”，如未 √ 以示确认，则为“未解决注释间差异（存疑差异）”。</t>
        </r>
      </text>
    </comment>
    <comment ref="K468" authorId="2" shapeId="0">
      <text>
        <r>
          <rPr>
            <b/>
            <sz val="9"/>
            <color indexed="81"/>
            <rFont val="宋体"/>
            <family val="3"/>
            <charset val="134"/>
          </rPr>
          <t>胡晓明:
如需要，请在此设置公式，引用至注释小表中期末/本期数的单元格。</t>
        </r>
      </text>
    </comment>
    <comment ref="S485" authorId="1" shapeId="0">
      <text>
        <r>
          <rPr>
            <b/>
            <sz val="9"/>
            <color indexed="12"/>
            <rFont val="Tahoma"/>
            <family val="2"/>
          </rPr>
          <t>REAL Tips:
1</t>
        </r>
        <r>
          <rPr>
            <b/>
            <sz val="9"/>
            <color indexed="12"/>
            <rFont val="宋体"/>
            <family val="3"/>
            <charset val="134"/>
          </rPr>
          <t xml:space="preserve">、填写组合名称。
</t>
        </r>
        <r>
          <rPr>
            <b/>
            <sz val="9"/>
            <color indexed="12"/>
            <rFont val="Tahoma"/>
            <family val="2"/>
          </rPr>
          <t>2</t>
        </r>
        <r>
          <rPr>
            <b/>
            <sz val="9"/>
            <color indexed="12"/>
            <rFont val="宋体"/>
            <family val="3"/>
            <charset val="134"/>
          </rPr>
          <t>、账面余额中的比例按期末该类应收账款除以应收账款余额合计数计算，坏账准备比例（计提比例）按该类应收账款期末已计提坏账准备除以期末该类应收账款余额计算。</t>
        </r>
      </text>
    </comment>
    <comment ref="G533" authorId="0" shapeId="0">
      <text>
        <r>
          <rPr>
            <b/>
            <sz val="9"/>
            <color indexed="81"/>
            <rFont val="Tahoma"/>
            <family val="2"/>
          </rPr>
          <t>未解决注释间差异合计。
注：本表中的“差异”，如未 √ 以示确认，则为“未解决注释间差异（存疑差异）”。</t>
        </r>
      </text>
    </comment>
    <comment ref="G538" authorId="1" shapeId="0">
      <text>
        <r>
          <rPr>
            <b/>
            <sz val="9"/>
            <color indexed="12"/>
            <rFont val="Tahoma"/>
            <family val="2"/>
          </rPr>
          <t>WPE Tips:
3</t>
        </r>
        <r>
          <rPr>
            <b/>
            <sz val="9"/>
            <color indexed="12"/>
            <rFont val="宋体"/>
            <family val="3"/>
            <charset val="134"/>
          </rPr>
          <t>年以上账龄划分，可根据企业具体情况，相应修改此表格</t>
        </r>
      </text>
    </comment>
    <comment ref="G557" authorId="0" shapeId="0">
      <text>
        <r>
          <rPr>
            <b/>
            <sz val="9"/>
            <color indexed="81"/>
            <rFont val="Tahoma"/>
            <family val="2"/>
          </rPr>
          <t>未解决注释间差异合计。
注：本表中的“差异”，如未 √ 以示确认，则为“未解决注释间差异（存疑差异）”。</t>
        </r>
      </text>
    </comment>
    <comment ref="K561" authorId="1" shapeId="0">
      <text>
        <r>
          <rPr>
            <b/>
            <sz val="9"/>
            <color indexed="12"/>
            <rFont val="Tahoma"/>
            <family val="2"/>
          </rPr>
          <t xml:space="preserve">WPE Tips:
</t>
        </r>
        <r>
          <rPr>
            <b/>
            <sz val="9"/>
            <color indexed="12"/>
            <rFont val="宋体"/>
            <family val="3"/>
            <charset val="134"/>
          </rPr>
          <t>淡紫色底纹的列：表示相关规定不要求披露，可选择是否填写。
以下同。</t>
        </r>
      </text>
    </comment>
    <comment ref="G599" authorId="0" shapeId="0">
      <text>
        <r>
          <rPr>
            <b/>
            <sz val="9"/>
            <color indexed="81"/>
            <rFont val="Tahoma"/>
            <family val="2"/>
          </rPr>
          <t>未解决注释间差异合计。
注：本表中的“差异”，如未 √ 以示确认，则为“未解决注释间差异（存疑差异）”。</t>
        </r>
      </text>
    </comment>
    <comment ref="N601" authorId="2" shapeId="0">
      <text>
        <r>
          <rPr>
            <b/>
            <sz val="9"/>
            <color indexed="81"/>
            <rFont val="宋体"/>
            <family val="3"/>
            <charset val="134"/>
          </rPr>
          <t>胡晓明:
如需要，请在此设置公式，引用至注释小表中期初/上期数的单元格。</t>
        </r>
      </text>
    </comment>
    <comment ref="S601"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2</t>
        </r>
        <r>
          <rPr>
            <b/>
            <sz val="9"/>
            <color indexed="12"/>
            <rFont val="宋体"/>
            <family val="3"/>
            <charset val="134"/>
          </rPr>
          <t>，本期坏账准备收回或转回金额重要的，应披露转回原因、收回方式、确定原坏账准备计提比例的依据及其合理性</t>
        </r>
      </text>
    </comment>
    <comment ref="N611" authorId="2" shapeId="0">
      <text>
        <r>
          <rPr>
            <b/>
            <sz val="9"/>
            <color indexed="81"/>
            <rFont val="宋体"/>
            <family val="3"/>
            <charset val="134"/>
          </rPr>
          <t>胡晓明:
如需要，请在此设置公式，引用至注释小表中期初/上期数的单元格。</t>
        </r>
      </text>
    </comment>
    <comment ref="N618" authorId="2" shapeId="0">
      <text>
        <r>
          <rPr>
            <b/>
            <sz val="9"/>
            <color indexed="81"/>
            <rFont val="宋体"/>
            <family val="3"/>
            <charset val="134"/>
          </rPr>
          <t>胡晓明:
如需要，请在此设置公式，引用至注释小表中期初/上期数的单元格。</t>
        </r>
      </text>
    </comment>
    <comment ref="S61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3</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629" authorId="2" shapeId="0">
      <text>
        <r>
          <rPr>
            <b/>
            <sz val="9"/>
            <color indexed="81"/>
            <rFont val="宋体"/>
            <family val="3"/>
            <charset val="134"/>
          </rPr>
          <t>胡晓明:
如需要，请在此设置公式，引用至注释小表中期初/上期数的单元格。</t>
        </r>
      </text>
    </comment>
    <comment ref="S629"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4</t>
        </r>
        <r>
          <rPr>
            <b/>
            <sz val="9"/>
            <color indexed="12"/>
            <rFont val="宋体"/>
            <family val="3"/>
            <charset val="134"/>
          </rPr>
          <t>，按欠款方集中度，汇总或分别披露期末余额前五名的应收账款的期末余额及占应收账款期末余额合计数的比例，以及相应计提的坏账准备期末余额；
汇总披露格式：
本期按欠款方归集的期末余额前五名应收账款汇总金额</t>
        </r>
        <r>
          <rPr>
            <b/>
            <sz val="9"/>
            <color indexed="12"/>
            <rFont val="Tahoma"/>
            <family val="2"/>
          </rPr>
          <t>XXXX</t>
        </r>
        <r>
          <rPr>
            <b/>
            <sz val="9"/>
            <color indexed="12"/>
            <rFont val="宋体"/>
            <family val="3"/>
            <charset val="134"/>
          </rPr>
          <t>元，占应收账款期末余额合计数的比例</t>
        </r>
        <r>
          <rPr>
            <b/>
            <sz val="9"/>
            <color indexed="12"/>
            <rFont val="Tahoma"/>
            <family val="2"/>
          </rPr>
          <t xml:space="preserve">      %</t>
        </r>
        <r>
          <rPr>
            <b/>
            <sz val="9"/>
            <color indexed="12"/>
            <rFont val="宋体"/>
            <family val="3"/>
            <charset val="134"/>
          </rPr>
          <t>，相应计提的坏账准备期末余额汇总金额</t>
        </r>
        <r>
          <rPr>
            <b/>
            <sz val="9"/>
            <color indexed="12"/>
            <rFont val="Tahoma"/>
            <family val="2"/>
          </rPr>
          <t xml:space="preserve"> XXXX</t>
        </r>
        <r>
          <rPr>
            <b/>
            <sz val="9"/>
            <color indexed="12"/>
            <rFont val="宋体"/>
            <family val="3"/>
            <charset val="134"/>
          </rPr>
          <t xml:space="preserve">元。
分别披露格式：
见左表
</t>
        </r>
      </text>
    </comment>
    <comment ref="N648" authorId="2" shapeId="0">
      <text>
        <r>
          <rPr>
            <b/>
            <sz val="9"/>
            <color indexed="81"/>
            <rFont val="宋体"/>
            <family val="3"/>
            <charset val="134"/>
          </rPr>
          <t>胡晓明:
如需要，请在此设置公式，引用至注释小表中期初/上期数的单元格。</t>
        </r>
      </text>
    </comment>
    <comment ref="S64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6</t>
        </r>
        <r>
          <rPr>
            <b/>
            <sz val="9"/>
            <color indexed="12"/>
            <rFont val="宋体"/>
            <family val="3"/>
            <charset val="134"/>
          </rPr>
          <t>，因金融资产转移而终止确认的应收款项，应列示金融资产转移的方式、终止确认的应收款项金额，及与终止确认相关的利得或损失
披露举例：
①期末，本集团因办理了不附追索权的应收账款保理，保理金额为</t>
        </r>
        <r>
          <rPr>
            <b/>
            <sz val="9"/>
            <color indexed="12"/>
            <rFont val="Tahoma"/>
            <family val="2"/>
          </rPr>
          <t>XXX</t>
        </r>
        <r>
          <rPr>
            <b/>
            <sz val="9"/>
            <color indexed="12"/>
            <rFont val="宋体"/>
            <family val="3"/>
            <charset val="134"/>
          </rPr>
          <t>元，同时终止确认应收账款账面价值为</t>
        </r>
        <r>
          <rPr>
            <b/>
            <sz val="9"/>
            <color indexed="12"/>
            <rFont val="Tahoma"/>
            <family val="2"/>
          </rPr>
          <t>XXX</t>
        </r>
        <r>
          <rPr>
            <b/>
            <sz val="9"/>
            <color indexed="12"/>
            <rFont val="宋体"/>
            <family val="3"/>
            <charset val="134"/>
          </rPr>
          <t>元，账面余额为</t>
        </r>
        <r>
          <rPr>
            <b/>
            <sz val="9"/>
            <color indexed="12"/>
            <rFont val="Tahoma"/>
            <family val="2"/>
          </rPr>
          <t>XXX</t>
        </r>
        <r>
          <rPr>
            <b/>
            <sz val="9"/>
            <color indexed="12"/>
            <rFont val="宋体"/>
            <family val="3"/>
            <charset val="134"/>
          </rPr>
          <t>元，账龄为一年以内，已计提坏账准备</t>
        </r>
        <r>
          <rPr>
            <b/>
            <sz val="9"/>
            <color indexed="12"/>
            <rFont val="Tahoma"/>
            <family val="2"/>
          </rPr>
          <t>XXX</t>
        </r>
        <r>
          <rPr>
            <b/>
            <sz val="9"/>
            <color indexed="12"/>
            <rFont val="宋体"/>
            <family val="3"/>
            <charset val="134"/>
          </rPr>
          <t>元。
②（不符合终止确认条件的应收账款的转移，应在附注中单独列示其金额。）参考披露格式：
期末，本集团共有账面价值为</t>
        </r>
        <r>
          <rPr>
            <b/>
            <sz val="9"/>
            <color indexed="12"/>
            <rFont val="Tahoma"/>
            <family val="2"/>
          </rPr>
          <t>XXX</t>
        </r>
        <r>
          <rPr>
            <b/>
            <sz val="9"/>
            <color indexed="12"/>
            <rFont val="宋体"/>
            <family val="3"/>
            <charset val="134"/>
          </rPr>
          <t>元的应收账款，账面余额为</t>
        </r>
        <r>
          <rPr>
            <b/>
            <sz val="9"/>
            <color indexed="12"/>
            <rFont val="Tahoma"/>
            <family val="2"/>
          </rPr>
          <t>XXX</t>
        </r>
        <r>
          <rPr>
            <b/>
            <sz val="9"/>
            <color indexed="12"/>
            <rFont val="宋体"/>
            <family val="3"/>
            <charset val="134"/>
          </rPr>
          <t>元，已计提坏账准备</t>
        </r>
        <r>
          <rPr>
            <b/>
            <sz val="9"/>
            <color indexed="12"/>
            <rFont val="Tahoma"/>
            <family val="2"/>
          </rPr>
          <t>XXX</t>
        </r>
        <r>
          <rPr>
            <b/>
            <sz val="9"/>
            <color indexed="12"/>
            <rFont val="宋体"/>
            <family val="3"/>
            <charset val="134"/>
          </rPr>
          <t>元，质押给银行取得短期借款</t>
        </r>
        <r>
          <rPr>
            <b/>
            <sz val="9"/>
            <color indexed="12"/>
            <rFont val="Tahoma"/>
            <family val="2"/>
          </rPr>
          <t>XXX</t>
        </r>
        <r>
          <rPr>
            <b/>
            <sz val="9"/>
            <color indexed="12"/>
            <rFont val="宋体"/>
            <family val="3"/>
            <charset val="134"/>
          </rPr>
          <t xml:space="preserve">元。
</t>
        </r>
      </text>
    </comment>
    <comment ref="N658" authorId="2" shapeId="0">
      <text>
        <r>
          <rPr>
            <b/>
            <sz val="9"/>
            <color indexed="81"/>
            <rFont val="宋体"/>
            <family val="3"/>
            <charset val="134"/>
          </rPr>
          <t>胡晓明:
如需要，请在此设置公式，引用至注释小表中期初/上期数的单元格。</t>
        </r>
      </text>
    </comment>
    <comment ref="S658"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号文第十九条（五）</t>
        </r>
        <r>
          <rPr>
            <b/>
            <sz val="9"/>
            <color indexed="12"/>
            <rFont val="Tahoma"/>
            <family val="2"/>
          </rPr>
          <t>7</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668" authorId="2" shapeId="0">
      <text>
        <r>
          <rPr>
            <b/>
            <sz val="9"/>
            <color indexed="81"/>
            <rFont val="宋体"/>
            <family val="3"/>
            <charset val="134"/>
          </rPr>
          <t>胡晓明:
如需要，请在此设置公式，引用至注释小表中期初/上期数的单元格。</t>
        </r>
      </text>
    </comment>
    <comment ref="N706" authorId="2" shapeId="0">
      <text>
        <r>
          <rPr>
            <b/>
            <sz val="9"/>
            <color indexed="81"/>
            <rFont val="宋体"/>
            <family val="3"/>
            <charset val="134"/>
          </rPr>
          <t>胡晓明:
如需要，请在此设置公式，引用至注释小表中期初/上期数的单元格。</t>
        </r>
      </text>
    </comment>
    <comment ref="N721" authorId="2" shapeId="0">
      <text>
        <r>
          <rPr>
            <b/>
            <sz val="9"/>
            <color indexed="81"/>
            <rFont val="宋体"/>
            <family val="3"/>
            <charset val="134"/>
          </rPr>
          <t>胡晓明:
如需要，请在此设置公式，引用至注释小表中期初/上期数的单元格。</t>
        </r>
      </text>
    </comment>
    <comment ref="G738" authorId="0" shapeId="0">
      <text>
        <r>
          <rPr>
            <b/>
            <sz val="9"/>
            <color indexed="81"/>
            <rFont val="Tahoma"/>
            <family val="2"/>
          </rPr>
          <t>未解决注释间差异合计。
注：本表中的“差异”，如未 √ 以示确认，则为“未解决注释间差异（存疑差异）”。</t>
        </r>
      </text>
    </comment>
    <comment ref="N740" authorId="2" shapeId="0">
      <text>
        <r>
          <rPr>
            <b/>
            <sz val="9"/>
            <color indexed="81"/>
            <rFont val="宋体"/>
            <family val="3"/>
            <charset val="134"/>
          </rPr>
          <t>胡晓明:
如需要，请在此设置公式，引用至注释小表中期初/上期数的单元格。</t>
        </r>
      </text>
    </comment>
    <comment ref="G760" authorId="0" shapeId="0">
      <text>
        <r>
          <rPr>
            <b/>
            <sz val="9"/>
            <color indexed="81"/>
            <rFont val="Tahoma"/>
            <family val="2"/>
          </rPr>
          <t>未解决注释间差异合计。
注：本表中的“差异”，如未 √ 以示确认，则为“未解决注释间差异（存疑差异）”。</t>
        </r>
      </text>
    </comment>
    <comment ref="N777" authorId="2" shapeId="0">
      <text>
        <r>
          <rPr>
            <b/>
            <sz val="9"/>
            <color indexed="81"/>
            <rFont val="宋体"/>
            <family val="3"/>
            <charset val="134"/>
          </rPr>
          <t>胡晓明:
如需要，请在此设置公式，引用至注释小表中期初/上期数的单元格。</t>
        </r>
      </text>
    </comment>
    <comment ref="N792" authorId="2" shapeId="0">
      <text>
        <r>
          <rPr>
            <b/>
            <sz val="9"/>
            <color indexed="81"/>
            <rFont val="宋体"/>
            <family val="3"/>
            <charset val="134"/>
          </rPr>
          <t>胡晓明:
如需要，请在此设置公式，引用至注释小表中期初/上期数的单元格。</t>
        </r>
      </text>
    </comment>
    <comment ref="G809" authorId="0" shapeId="0">
      <text>
        <r>
          <rPr>
            <b/>
            <sz val="9"/>
            <color indexed="81"/>
            <rFont val="Tahoma"/>
            <family val="2"/>
          </rPr>
          <t>未解决注释间差异合计。
注：本表中的“差异”，如未 √ 以示确认，则为“未解决注释间差异（存疑差异）”。</t>
        </r>
      </text>
    </comment>
    <comment ref="N811" authorId="2" shapeId="0">
      <text>
        <r>
          <rPr>
            <b/>
            <sz val="9"/>
            <color indexed="81"/>
            <rFont val="宋体"/>
            <family val="3"/>
            <charset val="134"/>
          </rPr>
          <t>胡晓明:
如需要，请在此设置公式，引用至注释小表中期初/上期数的单元格。</t>
        </r>
      </text>
    </comment>
    <comment ref="G831" authorId="0" shapeId="0">
      <text>
        <r>
          <rPr>
            <b/>
            <sz val="9"/>
            <color indexed="81"/>
            <rFont val="Tahoma"/>
            <family val="2"/>
          </rPr>
          <t>未解决注释间差异合计。
注：本表中的“差异”，如未 √ 以示确认，则为“未解决注释间差异（存疑差异）”。</t>
        </r>
      </text>
    </comment>
    <comment ref="N833" authorId="2" shapeId="0">
      <text>
        <r>
          <rPr>
            <b/>
            <sz val="9"/>
            <color indexed="81"/>
            <rFont val="宋体"/>
            <family val="3"/>
            <charset val="134"/>
          </rPr>
          <t>胡晓明:
如需要，请在此设置公式，引用至注释小表中期初/上期数的单元格。</t>
        </r>
      </text>
    </comment>
    <comment ref="N871" authorId="2" shapeId="0">
      <text>
        <r>
          <rPr>
            <b/>
            <sz val="9"/>
            <color indexed="81"/>
            <rFont val="宋体"/>
            <family val="3"/>
            <charset val="134"/>
          </rPr>
          <t>胡晓明:
如需要，请在此设置公式，引用至注释小表中期初/上期数的单元格。</t>
        </r>
      </text>
    </comment>
    <comment ref="S871" authorId="1" shapeId="0">
      <text>
        <r>
          <rPr>
            <b/>
            <sz val="9"/>
            <color indexed="12"/>
            <rFont val="Tahoma"/>
            <family val="2"/>
          </rPr>
          <t>REAL Tips:
1</t>
        </r>
        <r>
          <rPr>
            <b/>
            <sz val="9"/>
            <color indexed="12"/>
            <rFont val="宋体"/>
            <family val="3"/>
            <charset val="134"/>
          </rPr>
          <t>、按预付对象集中度，汇总或分别披露期末余额前五名的预付款项的期末余额及占预付款项期末余额合计数的比例。）
汇总披露格式：
本期按预付对象归集的期末余额前五名预付款项汇总金额</t>
        </r>
        <r>
          <rPr>
            <b/>
            <sz val="9"/>
            <color indexed="12"/>
            <rFont val="Tahoma"/>
            <family val="2"/>
          </rPr>
          <t>XXXX</t>
        </r>
        <r>
          <rPr>
            <b/>
            <sz val="9"/>
            <color indexed="12"/>
            <rFont val="宋体"/>
            <family val="3"/>
            <charset val="134"/>
          </rPr>
          <t>元，占预付款项期末余额合计数的比例</t>
        </r>
        <r>
          <rPr>
            <b/>
            <sz val="9"/>
            <color indexed="12"/>
            <rFont val="Tahoma"/>
            <family val="2"/>
          </rPr>
          <t xml:space="preserve">      %</t>
        </r>
        <r>
          <rPr>
            <b/>
            <sz val="9"/>
            <color indexed="12"/>
            <rFont val="宋体"/>
            <family val="3"/>
            <charset val="134"/>
          </rPr>
          <t xml:space="preserve">。
分别披露格式：
见左表
</t>
        </r>
      </text>
    </comment>
    <comment ref="N890" authorId="2" shapeId="0">
      <text>
        <r>
          <rPr>
            <b/>
            <sz val="9"/>
            <color indexed="81"/>
            <rFont val="宋体"/>
            <family val="3"/>
            <charset val="134"/>
          </rPr>
          <t>胡晓明:
如需要，请在此设置公式，引用至注释小表中期初/上期数的单元格。</t>
        </r>
      </text>
    </comment>
    <comment ref="S890" authorId="1" shapeId="0">
      <text>
        <r>
          <rPr>
            <b/>
            <sz val="9"/>
            <color indexed="12"/>
            <rFont val="Tahoma"/>
            <family val="2"/>
          </rPr>
          <t>REAL Tips:
1</t>
        </r>
        <r>
          <rPr>
            <b/>
            <sz val="9"/>
            <color indexed="12"/>
            <rFont val="宋体"/>
            <family val="3"/>
            <charset val="134"/>
          </rPr>
          <t>、账龄超过</t>
        </r>
        <r>
          <rPr>
            <b/>
            <sz val="9"/>
            <color indexed="12"/>
            <rFont val="Tahoma"/>
            <family val="2"/>
          </rPr>
          <t>1</t>
        </r>
        <r>
          <rPr>
            <b/>
            <sz val="9"/>
            <color indexed="12"/>
            <rFont val="宋体"/>
            <family val="3"/>
            <charset val="134"/>
          </rPr>
          <t>年的金额重要预付账款，应说明未及时结算的原因</t>
        </r>
      </text>
    </comment>
    <comment ref="N956" authorId="2" shapeId="0">
      <text>
        <r>
          <rPr>
            <b/>
            <sz val="9"/>
            <color indexed="81"/>
            <rFont val="宋体"/>
            <family val="3"/>
            <charset val="134"/>
          </rPr>
          <t>胡晓明:
如需要，请在此设置公式，引用至注释小表中期初/上期数的单元格。</t>
        </r>
      </text>
    </comment>
    <comment ref="S956" authorId="1" shapeId="0">
      <text>
        <r>
          <rPr>
            <b/>
            <sz val="9"/>
            <color indexed="12"/>
            <rFont val="Tahoma"/>
            <family val="2"/>
          </rPr>
          <t>REAL Tips:
1</t>
        </r>
        <r>
          <rPr>
            <b/>
            <sz val="9"/>
            <color indexed="12"/>
            <rFont val="宋体"/>
            <family val="3"/>
            <charset val="134"/>
          </rPr>
          <t>、对于重要的逾期应收利息，应按借款单位披露应收利息的期末余额、逾期时间和逾期原因、是否发生减值的判断</t>
        </r>
      </text>
    </comment>
    <comment ref="N977" authorId="2" shapeId="0">
      <text>
        <r>
          <rPr>
            <b/>
            <sz val="9"/>
            <color indexed="81"/>
            <rFont val="宋体"/>
            <family val="3"/>
            <charset val="134"/>
          </rPr>
          <t>胡晓明:
如需要，请在此设置公式，引用至注释小表中期初/上期数的单元格。</t>
        </r>
      </text>
    </comment>
    <comment ref="S977" authorId="1" shapeId="0">
      <text>
        <r>
          <rPr>
            <b/>
            <sz val="9"/>
            <color indexed="12"/>
            <rFont val="Tahoma"/>
            <family val="2"/>
          </rPr>
          <t>REAL Tips:
1</t>
        </r>
        <r>
          <rPr>
            <b/>
            <sz val="9"/>
            <color indexed="12"/>
            <rFont val="宋体"/>
            <family val="3"/>
            <charset val="134"/>
          </rPr>
          <t>、对于重要的账龄超过</t>
        </r>
        <r>
          <rPr>
            <b/>
            <sz val="9"/>
            <color indexed="12"/>
            <rFont val="Tahoma"/>
            <family val="2"/>
          </rPr>
          <t xml:space="preserve">1 </t>
        </r>
        <r>
          <rPr>
            <b/>
            <sz val="9"/>
            <color indexed="12"/>
            <rFont val="宋体"/>
            <family val="3"/>
            <charset val="134"/>
          </rPr>
          <t>年的应收股利，应披露未收回的原因和对相关款项是否发生减值的判断。</t>
        </r>
      </text>
    </comment>
    <comment ref="G1011" authorId="0" shapeId="0">
      <text>
        <r>
          <rPr>
            <b/>
            <sz val="9"/>
            <color indexed="81"/>
            <rFont val="Tahoma"/>
            <family val="2"/>
          </rPr>
          <t>未解决注释间差异合计。
注：本表中的“差异”，如未 √ 以示确认，则为“未解决注释间差异（存疑差异）”。</t>
        </r>
      </text>
    </comment>
    <comment ref="N1027" authorId="2" shapeId="0">
      <text>
        <r>
          <rPr>
            <b/>
            <sz val="9"/>
            <color indexed="81"/>
            <rFont val="宋体"/>
            <family val="3"/>
            <charset val="134"/>
          </rPr>
          <t>胡晓明:
如需要，请在此设置公式，引用至注释小表中期初/上期数的单元格。</t>
        </r>
      </text>
    </comment>
    <comment ref="G1041" authorId="0" shapeId="0">
      <text>
        <r>
          <rPr>
            <b/>
            <sz val="9"/>
            <color indexed="81"/>
            <rFont val="Tahoma"/>
            <family val="2"/>
          </rPr>
          <t>未解决注释间差异合计。
注：本表中的“差异”，如未 √ 以示确认，则为“未解决注释间差异（存疑差异）”。</t>
        </r>
      </text>
    </comment>
    <comment ref="N1043" authorId="2" shapeId="0">
      <text>
        <r>
          <rPr>
            <b/>
            <sz val="9"/>
            <color indexed="81"/>
            <rFont val="宋体"/>
            <family val="3"/>
            <charset val="134"/>
          </rPr>
          <t>胡晓明:
如需要，请在此设置公式，引用至注释小表中期初/上期数的单元格。</t>
        </r>
      </text>
    </comment>
    <comment ref="G1077" authorId="0" shapeId="0">
      <text>
        <r>
          <rPr>
            <b/>
            <sz val="9"/>
            <color indexed="81"/>
            <rFont val="Tahoma"/>
            <family val="2"/>
          </rPr>
          <t>未解决注释间差异合计。
注：本表中的“差异”，如未 √ 以示确认，则为“未解决注释间差异（存疑差异）”。</t>
        </r>
      </text>
    </comment>
    <comment ref="N1079" authorId="2" shapeId="0">
      <text>
        <r>
          <rPr>
            <b/>
            <sz val="9"/>
            <color indexed="81"/>
            <rFont val="宋体"/>
            <family val="3"/>
            <charset val="134"/>
          </rPr>
          <t>胡晓明:
如需要，请在此设置公式，引用至注释小表中期初/上期数的单元格。</t>
        </r>
      </text>
    </comment>
    <comment ref="G1099" authorId="0" shapeId="0">
      <text>
        <r>
          <rPr>
            <b/>
            <sz val="9"/>
            <color indexed="81"/>
            <rFont val="Tahoma"/>
            <family val="2"/>
          </rPr>
          <t>未解决注释间差异合计。
注：本表中的“差异”，如未 √ 以示确认，则为“未解决注释间差异（存疑差异）”。</t>
        </r>
      </text>
    </comment>
    <comment ref="N1101" authorId="2" shapeId="0">
      <text>
        <r>
          <rPr>
            <b/>
            <sz val="9"/>
            <color indexed="81"/>
            <rFont val="宋体"/>
            <family val="3"/>
            <charset val="134"/>
          </rPr>
          <t>胡晓明:
如需要，请在此设置公式，引用至注释小表中期初/上期数的单元格。</t>
        </r>
      </text>
    </comment>
    <comment ref="N1116" authorId="2" shapeId="0">
      <text>
        <r>
          <rPr>
            <b/>
            <sz val="9"/>
            <color indexed="81"/>
            <rFont val="宋体"/>
            <family val="3"/>
            <charset val="134"/>
          </rPr>
          <t>胡晓明:
如需要，请在此设置公式，引用至注释小表中期初/上期数的单元格。</t>
        </r>
      </text>
    </comment>
    <comment ref="N1145" authorId="2" shapeId="0">
      <text>
        <r>
          <rPr>
            <b/>
            <sz val="9"/>
            <color indexed="81"/>
            <rFont val="宋体"/>
            <family val="3"/>
            <charset val="134"/>
          </rPr>
          <t>胡晓明:
如需要，请在此设置公式，引用至注释小表中期初/上期数的单元格。</t>
        </r>
      </text>
    </comment>
    <comment ref="G1165" authorId="0" shapeId="0">
      <text>
        <r>
          <rPr>
            <b/>
            <sz val="9"/>
            <color indexed="81"/>
            <rFont val="Tahoma"/>
            <family val="2"/>
          </rPr>
          <t>未解决注释间差异合计。
注：本表中的“差异”，如未 √ 以示确认，则为“未解决注释间差异（存疑差异）”。</t>
        </r>
      </text>
    </comment>
    <comment ref="N1167" authorId="2" shapeId="0">
      <text>
        <r>
          <rPr>
            <b/>
            <sz val="9"/>
            <color indexed="81"/>
            <rFont val="宋体"/>
            <family val="3"/>
            <charset val="134"/>
          </rPr>
          <t>胡晓明:
如需要，请在此设置公式，引用至注释小表中期初/上期数的单元格。</t>
        </r>
      </text>
    </comment>
    <comment ref="G1187" authorId="0" shapeId="0">
      <text>
        <r>
          <rPr>
            <b/>
            <sz val="9"/>
            <color indexed="81"/>
            <rFont val="Tahoma"/>
            <family val="2"/>
          </rPr>
          <t>未解决注释间差异合计。
注：本表中的“差异”，如未 √ 以示确认，则为“未解决注释间差异（存疑差异）”。</t>
        </r>
      </text>
    </comment>
    <comment ref="N1189" authorId="2" shapeId="0">
      <text>
        <r>
          <rPr>
            <b/>
            <sz val="9"/>
            <color indexed="81"/>
            <rFont val="宋体"/>
            <family val="3"/>
            <charset val="134"/>
          </rPr>
          <t>胡晓明:
如需要，请在此设置公式，引用至注释小表中期初/上期数的单元格。</t>
        </r>
      </text>
    </comment>
    <comment ref="N1204" authorId="2" shapeId="0">
      <text>
        <r>
          <rPr>
            <b/>
            <sz val="9"/>
            <color indexed="81"/>
            <rFont val="宋体"/>
            <family val="3"/>
            <charset val="134"/>
          </rPr>
          <t>胡晓明:
如需要，请在此设置公式，引用至注释小表中期初/上期数的单元格。</t>
        </r>
      </text>
    </comment>
    <comment ref="N1219" authorId="2" shapeId="0">
      <text>
        <r>
          <rPr>
            <b/>
            <sz val="9"/>
            <color indexed="81"/>
            <rFont val="宋体"/>
            <family val="3"/>
            <charset val="134"/>
          </rPr>
          <t>胡晓明:
如需要，请在此设置公式，引用至注释小表中期初/上期数的单元格。</t>
        </r>
      </text>
    </comment>
    <comment ref="N1233" authorId="2" shapeId="0">
      <text>
        <r>
          <rPr>
            <b/>
            <sz val="9"/>
            <color indexed="81"/>
            <rFont val="宋体"/>
            <family val="3"/>
            <charset val="134"/>
          </rPr>
          <t>胡晓明:
如需要，请在此设置公式，引用至注释小表中期初/上期数的单元格。</t>
        </r>
      </text>
    </comment>
    <comment ref="G1253" authorId="0" shapeId="0">
      <text>
        <r>
          <rPr>
            <b/>
            <sz val="9"/>
            <color indexed="81"/>
            <rFont val="Tahoma"/>
            <family val="2"/>
          </rPr>
          <t>未解决注释间差异合计。
注：本表中的“差异”，如未 √ 以示确认，则为“未解决注释间差异（存疑差异）”。</t>
        </r>
      </text>
    </comment>
    <comment ref="N1255" authorId="2" shapeId="0">
      <text>
        <r>
          <rPr>
            <b/>
            <sz val="9"/>
            <color indexed="81"/>
            <rFont val="宋体"/>
            <family val="3"/>
            <charset val="134"/>
          </rPr>
          <t>胡晓明:
如需要，请在此设置公式，引用至注释小表中期初/上期数的单元格。</t>
        </r>
      </text>
    </comment>
    <comment ref="G1275" authorId="0" shapeId="0">
      <text>
        <r>
          <rPr>
            <b/>
            <sz val="9"/>
            <color indexed="81"/>
            <rFont val="Tahoma"/>
            <family val="2"/>
          </rPr>
          <t>未解决注释间差异合计。
注：本表中的“差异”，如未 √ 以示确认，则为“未解决注释间差异（存疑差异）”。</t>
        </r>
      </text>
    </comment>
    <comment ref="K1307" authorId="2" shapeId="0">
      <text>
        <r>
          <rPr>
            <b/>
            <sz val="9"/>
            <color indexed="81"/>
            <rFont val="宋体"/>
            <family val="3"/>
            <charset val="134"/>
          </rPr>
          <t>胡晓明:
如需要，请在此设置公式，引用至注释小表中期末/本期数的单元格。</t>
        </r>
      </text>
    </comment>
    <comment ref="G1324" authorId="0" shapeId="0">
      <text>
        <r>
          <rPr>
            <b/>
            <sz val="9"/>
            <color indexed="81"/>
            <rFont val="Tahoma"/>
            <family val="2"/>
          </rPr>
          <t>未解决注释间差异合计。
注：本表中的“差异”，如未 √ 以示确认，则为“未解决注释间差异（存疑差异）”。</t>
        </r>
      </text>
    </comment>
    <comment ref="K1326" authorId="2" shapeId="0">
      <text>
        <r>
          <rPr>
            <b/>
            <sz val="9"/>
            <color indexed="81"/>
            <rFont val="宋体"/>
            <family val="3"/>
            <charset val="134"/>
          </rPr>
          <t>胡晓明:
如需要，请在此设置公式，引用至注释小表中期末/本期数的单元格。</t>
        </r>
      </text>
    </comment>
    <comment ref="G1346" authorId="0" shapeId="0">
      <text>
        <r>
          <rPr>
            <b/>
            <sz val="9"/>
            <color indexed="81"/>
            <rFont val="Tahoma"/>
            <family val="2"/>
          </rPr>
          <t>未解决注释间差异合计。
注：本表中的“差异”，如未 √ 以示确认，则为“未解决注释间差异（存疑差异）”。</t>
        </r>
      </text>
    </comment>
    <comment ref="K1348" authorId="2" shapeId="0">
      <text>
        <r>
          <rPr>
            <b/>
            <sz val="9"/>
            <color indexed="81"/>
            <rFont val="宋体"/>
            <family val="3"/>
            <charset val="134"/>
          </rPr>
          <t>胡晓明:
如需要，请在此设置公式，引用至注释小表中期末/本期数的单元格。</t>
        </r>
      </text>
    </comment>
    <comment ref="S1365" authorId="1" shapeId="0">
      <text>
        <r>
          <rPr>
            <b/>
            <sz val="9"/>
            <color indexed="12"/>
            <rFont val="Tahoma"/>
            <family val="2"/>
          </rPr>
          <t>REAL Tips:
1</t>
        </r>
        <r>
          <rPr>
            <b/>
            <sz val="9"/>
            <color indexed="12"/>
            <rFont val="宋体"/>
            <family val="3"/>
            <charset val="134"/>
          </rPr>
          <t>、填写组合名称。账面余额中的比例按期末该类其他应收款除以其他应收款合计数计算，坏账准备比例按该类其他应收款期末已计提坏账准备除以期末该类其他应收款余额计算。</t>
        </r>
      </text>
    </comment>
    <comment ref="G1385" authorId="0" shapeId="0">
      <text>
        <r>
          <rPr>
            <b/>
            <sz val="9"/>
            <color indexed="81"/>
            <rFont val="Tahoma"/>
            <family val="2"/>
          </rPr>
          <t>未解决注释间差异合计。
注：本表中的“差异”，如未 √ 以示确认，则为“未解决注释间差异（存疑差异）”。</t>
        </r>
      </text>
    </comment>
    <comment ref="G1407" authorId="0" shapeId="0">
      <text>
        <r>
          <rPr>
            <b/>
            <sz val="9"/>
            <color indexed="81"/>
            <rFont val="Tahoma"/>
            <family val="2"/>
          </rPr>
          <t>未解决注释间差异合计。
注：本表中的“差异”，如未 √ 以示确认，则为“未解决注释间差异（存疑差异）”。</t>
        </r>
      </text>
    </comment>
    <comment ref="G1426" authorId="0" shapeId="0">
      <text>
        <r>
          <rPr>
            <b/>
            <sz val="9"/>
            <color indexed="81"/>
            <rFont val="Tahoma"/>
            <family val="2"/>
          </rPr>
          <t>未解决注释间差异合计。
注：本表中的“差异”，如未 √ 以示确认，则为“未解决注释间差异（存疑差异）”。</t>
        </r>
      </text>
    </comment>
    <comment ref="G1447" authorId="0" shapeId="0">
      <text>
        <r>
          <rPr>
            <b/>
            <sz val="9"/>
            <color indexed="81"/>
            <rFont val="Tahoma"/>
            <family val="2"/>
          </rPr>
          <t>未解决注释间差异合计。
注：本表中的“差异”，如未 √ 以示确认，则为“未解决注释间差异（存疑差异）”。</t>
        </r>
      </text>
    </comment>
    <comment ref="G1489" authorId="0" shapeId="0">
      <text>
        <r>
          <rPr>
            <b/>
            <sz val="9"/>
            <color indexed="81"/>
            <rFont val="Tahoma"/>
            <family val="2"/>
          </rPr>
          <t>未解决注释间差异合计。
注：本表中的“差异”，如未 √ 以示确认，则为“未解决注释间差异（存疑差异）”。</t>
        </r>
      </text>
    </comment>
    <comment ref="N1510" authorId="2" shapeId="0">
      <text>
        <r>
          <rPr>
            <b/>
            <sz val="9"/>
            <color indexed="81"/>
            <rFont val="宋体"/>
            <family val="3"/>
            <charset val="134"/>
          </rPr>
          <t>胡晓明:
如需要，请在此设置公式，引用至注释小表中期初/上期数的单元格。</t>
        </r>
      </text>
    </comment>
    <comment ref="S1510" authorId="1" shapeId="0">
      <text>
        <r>
          <rPr>
            <b/>
            <sz val="9"/>
            <color indexed="12"/>
            <rFont val="Tahoma"/>
            <family val="2"/>
          </rPr>
          <t>REAL Tips:
1</t>
        </r>
        <r>
          <rPr>
            <b/>
            <sz val="9"/>
            <color indexed="12"/>
            <rFont val="宋体"/>
            <family val="3"/>
            <charset val="134"/>
          </rPr>
          <t>、本期坏账准备收回或转回金额重要的，应披露转回原因、收回方式、确定原坏账准备计提比例的依据及其合理性</t>
        </r>
      </text>
    </comment>
    <comment ref="N1527" authorId="2" shapeId="0">
      <text>
        <r>
          <rPr>
            <b/>
            <sz val="9"/>
            <color indexed="81"/>
            <rFont val="宋体"/>
            <family val="3"/>
            <charset val="134"/>
          </rPr>
          <t>胡晓明:
如需要，请在此设置公式，引用至注释小表中期初/上期数的单元格。</t>
        </r>
      </text>
    </comment>
    <comment ref="S1527" authorId="1" shapeId="0">
      <text>
        <r>
          <rPr>
            <b/>
            <sz val="9"/>
            <color indexed="12"/>
            <rFont val="Tahoma"/>
            <family val="2"/>
          </rPr>
          <t>REAL Tips:
1</t>
        </r>
        <r>
          <rPr>
            <b/>
            <sz val="9"/>
            <color indexed="12"/>
            <rFont val="宋体"/>
            <family val="3"/>
            <charset val="134"/>
          </rPr>
          <t>、对于其中重要的应收款项，应逐项披露款项性质、核销原因、履行的核销程序及核销金额。实际核销的款项由关联交易产生的，应单独披露</t>
        </r>
      </text>
    </comment>
    <comment ref="N1538" authorId="2" shapeId="0">
      <text>
        <r>
          <rPr>
            <b/>
            <sz val="9"/>
            <color indexed="81"/>
            <rFont val="宋体"/>
            <family val="3"/>
            <charset val="134"/>
          </rPr>
          <t>胡晓明:
如需要，请在此设置公式，引用至注释小表中期初/上期数的单元格。</t>
        </r>
      </text>
    </comment>
    <comment ref="S1538" authorId="1" shapeId="0">
      <text>
        <r>
          <rPr>
            <b/>
            <sz val="9"/>
            <color indexed="12"/>
            <rFont val="Tahoma"/>
            <family val="2"/>
          </rPr>
          <t>REAL Tips:
1</t>
        </r>
        <r>
          <rPr>
            <b/>
            <sz val="9"/>
            <color indexed="12"/>
            <rFont val="宋体"/>
            <family val="3"/>
            <charset val="134"/>
          </rPr>
          <t>、按欠款方归集的期末余额前五名的其他应收款，应分别披露欠款方名称、期末余额及占其他应收款期末余额合计数的比例、款项的性质、对应的账龄、坏账准备期末余额</t>
        </r>
      </text>
    </comment>
    <comment ref="N1557" authorId="2" shapeId="0">
      <text>
        <r>
          <rPr>
            <b/>
            <sz val="9"/>
            <color indexed="81"/>
            <rFont val="宋体"/>
            <family val="3"/>
            <charset val="134"/>
          </rPr>
          <t>胡晓明:
如需要，请在此设置公式，引用至注释小表中期初/上期数的单元格。</t>
        </r>
      </text>
    </comment>
    <comment ref="S1557" authorId="1" shapeId="0">
      <text>
        <r>
          <rPr>
            <b/>
            <sz val="9"/>
            <color indexed="12"/>
            <rFont val="Tahoma"/>
            <family val="2"/>
          </rPr>
          <t>REAL Tips:
1</t>
        </r>
        <r>
          <rPr>
            <b/>
            <sz val="9"/>
            <color indexed="12"/>
            <rFont val="宋体"/>
            <family val="3"/>
            <charset val="134"/>
          </rPr>
          <t>、信息披露解释性公告</t>
        </r>
        <r>
          <rPr>
            <b/>
            <sz val="9"/>
            <color indexed="12"/>
            <rFont val="Tahoma"/>
            <family val="2"/>
          </rPr>
          <t>2</t>
        </r>
        <r>
          <rPr>
            <b/>
            <sz val="9"/>
            <color indexed="12"/>
            <rFont val="宋体"/>
            <family val="3"/>
            <charset val="134"/>
          </rPr>
          <t>号要求：对于报告期末按应收金额确认的政府补助，公司应按补助单位和补助项目逐项披露应收款项的期末余额、账龄以及预计收取的时间、金额及依据。如公司未能在预计时点收到预计金额的政府补助，公司应披露原因。</t>
        </r>
      </text>
    </comment>
    <comment ref="N1567" authorId="2" shapeId="0">
      <text>
        <r>
          <rPr>
            <b/>
            <sz val="9"/>
            <color indexed="81"/>
            <rFont val="宋体"/>
            <family val="3"/>
            <charset val="134"/>
          </rPr>
          <t>胡晓明:
如需要，请在此设置公式，引用至注释小表中期初/上期数的单元格。</t>
        </r>
      </text>
    </comment>
    <comment ref="S1567" authorId="1" shapeId="0">
      <text>
        <r>
          <rPr>
            <b/>
            <sz val="9"/>
            <color indexed="12"/>
            <rFont val="Tahoma"/>
            <family val="2"/>
          </rPr>
          <t>REAL Tips:
1</t>
        </r>
        <r>
          <rPr>
            <b/>
            <sz val="9"/>
            <color indexed="12"/>
            <rFont val="宋体"/>
            <family val="3"/>
            <charset val="134"/>
          </rPr>
          <t>、因金融资产转移而终止确认的应收款项，应列示金融资产转移的方式、终止确认的应收款项金额，及与终止确认相关的利得或损失</t>
        </r>
      </text>
    </comment>
    <comment ref="N1577" authorId="2" shapeId="0">
      <text>
        <r>
          <rPr>
            <b/>
            <sz val="9"/>
            <color indexed="81"/>
            <rFont val="宋体"/>
            <family val="3"/>
            <charset val="134"/>
          </rPr>
          <t>胡晓明:
如需要，请在此设置公式，引用至注释小表中期初/上期数的单元格。</t>
        </r>
      </text>
    </comment>
    <comment ref="S1577" authorId="1" shapeId="0">
      <text>
        <r>
          <rPr>
            <b/>
            <sz val="9"/>
            <color indexed="12"/>
            <rFont val="Tahoma"/>
            <family val="2"/>
          </rPr>
          <t>REAL Tips:
1</t>
        </r>
        <r>
          <rPr>
            <b/>
            <sz val="9"/>
            <color indexed="12"/>
            <rFont val="宋体"/>
            <family val="3"/>
            <charset val="134"/>
          </rPr>
          <t xml:space="preserve">、转移应收款项且继续涉入的，应披露资产转移方式、分项列示继续涉入形成的资产、负债的金额
</t>
        </r>
        <r>
          <rPr>
            <b/>
            <sz val="9"/>
            <color indexed="12"/>
            <rFont val="Tahoma"/>
            <family val="2"/>
          </rPr>
          <t>2</t>
        </r>
        <r>
          <rPr>
            <b/>
            <sz val="9"/>
            <color indexed="12"/>
            <rFont val="宋体"/>
            <family val="3"/>
            <charset val="134"/>
          </rPr>
          <t>、资产转移方式；未全部终止确认的被转移金融资产与相关负债之间的关系，已终止确认的金融资产继续涉入的性质及相关风险的信息</t>
        </r>
      </text>
    </comment>
    <comment ref="N1587" authorId="2" shapeId="0">
      <text>
        <r>
          <rPr>
            <b/>
            <sz val="9"/>
            <color indexed="81"/>
            <rFont val="宋体"/>
            <family val="3"/>
            <charset val="134"/>
          </rPr>
          <t>胡晓明:
如需要，请在此设置公式，引用至注释小表中期初/上期数的单元格。</t>
        </r>
      </text>
    </comment>
    <comment ref="S1617" authorId="1" shapeId="0">
      <text>
        <r>
          <rPr>
            <b/>
            <sz val="9"/>
            <color indexed="12"/>
            <rFont val="Tahoma"/>
            <family val="2"/>
          </rPr>
          <t>REAL Tips:
1</t>
        </r>
        <r>
          <rPr>
            <b/>
            <sz val="9"/>
            <color indexed="12"/>
            <rFont val="宋体"/>
            <family val="3"/>
            <charset val="134"/>
          </rPr>
          <t>、根据企业具体情况分类，房地产开发企业应增加“开发成本”、“开发产品”等种类</t>
        </r>
      </text>
    </comment>
    <comment ref="K1636" authorId="2" shapeId="0">
      <text>
        <r>
          <rPr>
            <b/>
            <sz val="9"/>
            <color indexed="81"/>
            <rFont val="宋体"/>
            <family val="3"/>
            <charset val="134"/>
          </rPr>
          <t>胡晓明:
如需要，请在此设置公式，引用至注释小表中期末/本期数的单元格。</t>
        </r>
      </text>
    </comment>
    <comment ref="N1636" authorId="2" shapeId="0">
      <text>
        <r>
          <rPr>
            <b/>
            <sz val="9"/>
            <color indexed="81"/>
            <rFont val="宋体"/>
            <family val="3"/>
            <charset val="134"/>
          </rPr>
          <t>胡晓明:
如需要，请在此设置公式，引用至注释小表中期初/上期数的单元格。</t>
        </r>
      </text>
    </comment>
    <comment ref="S1636" authorId="1" shapeId="0">
      <text>
        <r>
          <rPr>
            <b/>
            <sz val="9"/>
            <color indexed="12"/>
            <rFont val="Tahoma"/>
            <family val="2"/>
          </rPr>
          <t>REAL Tips:
1</t>
        </r>
        <r>
          <rPr>
            <b/>
            <sz val="9"/>
            <color indexed="12"/>
            <rFont val="宋体"/>
            <family val="3"/>
            <charset val="134"/>
          </rPr>
          <t>、房地产开发企业列示存货跌价准备时，对于开发中项目，可以合并列示。对“停工”、“烂尾”“空置”项目，如果不计提或计提跌价比例较低，应详细说明理由</t>
        </r>
      </text>
    </comment>
    <comment ref="K1655" authorId="2" shapeId="0">
      <text>
        <r>
          <rPr>
            <b/>
            <sz val="9"/>
            <color indexed="81"/>
            <rFont val="宋体"/>
            <family val="3"/>
            <charset val="134"/>
          </rPr>
          <t>胡晓明:
如需要，请在此设置公式，引用至注释小表中期末/本期数的单元格。</t>
        </r>
      </text>
    </comment>
    <comment ref="N1655" authorId="2" shapeId="0">
      <text>
        <r>
          <rPr>
            <b/>
            <sz val="9"/>
            <color indexed="81"/>
            <rFont val="宋体"/>
            <family val="3"/>
            <charset val="134"/>
          </rPr>
          <t>胡晓明:
如需要，请在此设置公式，引用至注释小表中期初/上期数的单元格。</t>
        </r>
      </text>
    </comment>
    <comment ref="N1665" authorId="2" shapeId="0">
      <text>
        <r>
          <rPr>
            <b/>
            <sz val="9"/>
            <color indexed="81"/>
            <rFont val="宋体"/>
            <family val="3"/>
            <charset val="134"/>
          </rPr>
          <t>胡晓明:
如需要，请在此设置公式，引用至注释小表中期初/上期数的单元格。</t>
        </r>
      </text>
    </comment>
    <comment ref="S1665"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G1668"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1669"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1670"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G1671" authorId="1" shapeId="0">
      <text>
        <r>
          <rPr>
            <b/>
            <sz val="9"/>
            <color indexed="12"/>
            <rFont val="Tahoma"/>
            <family val="2"/>
          </rPr>
          <t xml:space="preserve">WPE Tips:
</t>
        </r>
        <r>
          <rPr>
            <b/>
            <sz val="9"/>
            <color indexed="12"/>
            <rFont val="宋体"/>
            <family val="3"/>
            <charset val="134"/>
          </rPr>
          <t>已办理结算的价款（已完工已结算的金额）：指该建造合同累计已结算金额，即</t>
        </r>
        <r>
          <rPr>
            <b/>
            <sz val="9"/>
            <color indexed="12"/>
            <rFont val="Tahoma"/>
            <family val="2"/>
          </rPr>
          <t>“</t>
        </r>
        <r>
          <rPr>
            <b/>
            <sz val="9"/>
            <color indexed="12"/>
            <rFont val="宋体"/>
            <family val="3"/>
            <charset val="134"/>
          </rPr>
          <t>工程结算</t>
        </r>
        <r>
          <rPr>
            <b/>
            <sz val="9"/>
            <color indexed="12"/>
            <rFont val="Tahoma"/>
            <family val="2"/>
          </rPr>
          <t>”</t>
        </r>
        <r>
          <rPr>
            <b/>
            <sz val="9"/>
            <color indexed="12"/>
            <rFont val="宋体"/>
            <family val="3"/>
            <charset val="134"/>
          </rPr>
          <t>科目期末余额</t>
        </r>
      </text>
    </comment>
    <comment ref="G1680" authorId="0" shapeId="0">
      <text>
        <r>
          <rPr>
            <b/>
            <sz val="9"/>
            <color indexed="81"/>
            <rFont val="Tahoma"/>
            <family val="2"/>
          </rPr>
          <t>未解决注释间差异合计。
注：本表中的“差异”，如未 √ 以示确认，则为“未解决注释间差异（存疑差异）”。</t>
        </r>
      </text>
    </comment>
    <comment ref="K1682" authorId="2" shapeId="0">
      <text>
        <r>
          <rPr>
            <b/>
            <sz val="9"/>
            <color indexed="81"/>
            <rFont val="宋体"/>
            <family val="3"/>
            <charset val="134"/>
          </rPr>
          <t>胡晓明:
如需要，请在此设置公式，引用至注释小表中期末/本期数的单元格。</t>
        </r>
      </text>
    </comment>
    <comment ref="N1682" authorId="2" shapeId="0">
      <text>
        <r>
          <rPr>
            <b/>
            <sz val="9"/>
            <color indexed="81"/>
            <rFont val="宋体"/>
            <family val="3"/>
            <charset val="134"/>
          </rPr>
          <t>胡晓明:
如需要，请在此设置公式，引用至注释小表中期初/上期数的单元格。</t>
        </r>
      </text>
    </comment>
    <comment ref="G1697" authorId="0" shapeId="0">
      <text>
        <r>
          <rPr>
            <b/>
            <sz val="9"/>
            <color indexed="81"/>
            <rFont val="Tahoma"/>
            <family val="2"/>
          </rPr>
          <t>未解决注释间差异合计。
注：本表中的“差异”，如未 √ 以示确认，则为“未解决注释间差异（存疑差异）”。</t>
        </r>
      </text>
    </comment>
    <comment ref="K1699" authorId="2" shapeId="0">
      <text>
        <r>
          <rPr>
            <b/>
            <sz val="9"/>
            <color indexed="81"/>
            <rFont val="宋体"/>
            <family val="3"/>
            <charset val="134"/>
          </rPr>
          <t>胡晓明:
如需要，请在此设置公式，引用至注释小表中期末/本期数的单元格。</t>
        </r>
      </text>
    </comment>
    <comment ref="N1699" authorId="2" shapeId="0">
      <text>
        <r>
          <rPr>
            <b/>
            <sz val="9"/>
            <color indexed="81"/>
            <rFont val="宋体"/>
            <family val="3"/>
            <charset val="134"/>
          </rPr>
          <t>胡晓明:
如需要，请在此设置公式，引用至注释小表中期初/上期数的单元格。</t>
        </r>
      </text>
    </comment>
    <comment ref="G1714" authorId="0" shapeId="0">
      <text>
        <r>
          <rPr>
            <b/>
            <sz val="9"/>
            <color indexed="81"/>
            <rFont val="Tahoma"/>
            <family val="2"/>
          </rPr>
          <t>未解决注释间差异合计。
注：本表中的“差异”，如未 √ 以示确认，则为“未解决注释间差异（存疑差异）”。</t>
        </r>
      </text>
    </comment>
    <comment ref="K1716" authorId="2" shapeId="0">
      <text>
        <r>
          <rPr>
            <b/>
            <sz val="9"/>
            <color indexed="81"/>
            <rFont val="宋体"/>
            <family val="3"/>
            <charset val="134"/>
          </rPr>
          <t>胡晓明:
如需要，请在此设置公式，引用至注释小表中期末/本期数的单元格。</t>
        </r>
      </text>
    </comment>
    <comment ref="N1716" authorId="2" shapeId="0">
      <text>
        <r>
          <rPr>
            <b/>
            <sz val="9"/>
            <color indexed="81"/>
            <rFont val="宋体"/>
            <family val="3"/>
            <charset val="134"/>
          </rPr>
          <t>胡晓明:
如需要，请在此设置公式，引用至注释小表中期初/上期数的单元格。</t>
        </r>
      </text>
    </comment>
    <comment ref="K1726" authorId="2" shapeId="0">
      <text>
        <r>
          <rPr>
            <b/>
            <sz val="9"/>
            <color indexed="81"/>
            <rFont val="宋体"/>
            <family val="3"/>
            <charset val="134"/>
          </rPr>
          <t>胡晓明:
如需要，请在此设置公式，引用至注释小表中期末/本期数的单元格。</t>
        </r>
      </text>
    </comment>
    <comment ref="N1726" authorId="2" shapeId="0">
      <text>
        <r>
          <rPr>
            <b/>
            <sz val="9"/>
            <color indexed="81"/>
            <rFont val="宋体"/>
            <family val="3"/>
            <charset val="134"/>
          </rPr>
          <t>胡晓明:
如需要，请在此设置公式，引用至注释小表中期初/上期数的单元格。</t>
        </r>
      </text>
    </comment>
    <comment ref="K1736" authorId="2" shapeId="0">
      <text>
        <r>
          <rPr>
            <b/>
            <sz val="9"/>
            <color indexed="81"/>
            <rFont val="宋体"/>
            <family val="3"/>
            <charset val="134"/>
          </rPr>
          <t>胡晓明:
如需要，请在此设置公式，引用至注释小表中期末/本期数的单元格。</t>
        </r>
      </text>
    </comment>
    <comment ref="N1736" authorId="2" shapeId="0">
      <text>
        <r>
          <rPr>
            <b/>
            <sz val="9"/>
            <color indexed="81"/>
            <rFont val="宋体"/>
            <family val="3"/>
            <charset val="134"/>
          </rPr>
          <t>胡晓明:
如需要，请在此设置公式，引用至注释小表中期初/上期数的单元格。</t>
        </r>
      </text>
    </comment>
    <comment ref="S1736" authorId="1" shapeId="0">
      <text>
        <r>
          <rPr>
            <b/>
            <sz val="9"/>
            <color indexed="12"/>
            <rFont val="Tahoma"/>
            <family val="2"/>
          </rPr>
          <t>REAL Tips:
1</t>
        </r>
        <r>
          <rPr>
            <b/>
            <sz val="9"/>
            <color indexed="12"/>
            <rFont val="宋体"/>
            <family val="3"/>
            <charset val="134"/>
          </rPr>
          <t>、披露确定可变现净值的具体依据及本期转回或转销存货跌价准备的原因</t>
        </r>
      </text>
    </comment>
    <comment ref="K1753" authorId="2" shapeId="0">
      <text>
        <r>
          <rPr>
            <b/>
            <sz val="9"/>
            <color indexed="81"/>
            <rFont val="宋体"/>
            <family val="3"/>
            <charset val="134"/>
          </rPr>
          <t>胡晓明:
如需要，请在此设置公式，引用至注释小表中期末/本期数的单元格。</t>
        </r>
      </text>
    </comment>
    <comment ref="N1753" authorId="2" shapeId="0">
      <text>
        <r>
          <rPr>
            <b/>
            <sz val="9"/>
            <color indexed="81"/>
            <rFont val="宋体"/>
            <family val="3"/>
            <charset val="134"/>
          </rPr>
          <t>胡晓明:
如需要，请在此设置公式，引用至注释小表中期初/上期数的单元格。</t>
        </r>
      </text>
    </comment>
    <comment ref="S1753" authorId="1" shapeId="0">
      <text>
        <r>
          <rPr>
            <b/>
            <sz val="9"/>
            <color indexed="12"/>
            <rFont val="Tahoma"/>
            <family val="2"/>
          </rPr>
          <t>REAL Tips:
1</t>
        </r>
        <r>
          <rPr>
            <b/>
            <sz val="9"/>
            <color indexed="12"/>
            <rFont val="宋体"/>
            <family val="3"/>
            <charset val="134"/>
          </rPr>
          <t xml:space="preserve">、上表披露截至资产负债表日在建的建造合同工程中已完工未结算项目的信息。不包括已结算未完工项目。
</t>
        </r>
        <r>
          <rPr>
            <b/>
            <sz val="9"/>
            <color indexed="12"/>
            <rFont val="Tahoma"/>
            <family val="2"/>
          </rPr>
          <t>2</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3</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4</t>
        </r>
        <r>
          <rPr>
            <b/>
            <sz val="9"/>
            <color indexed="12"/>
            <rFont val="宋体"/>
            <family val="3"/>
            <charset val="134"/>
          </rPr>
          <t xml:space="preserve">、已办理结算的价款（已完工已结算的金额）：指该建造合同累计已结算金额，即“工程结算”科目期末余额；
</t>
        </r>
        <r>
          <rPr>
            <b/>
            <sz val="9"/>
            <color indexed="12"/>
            <rFont val="Tahoma"/>
            <family val="2"/>
          </rPr>
          <t>5</t>
        </r>
        <r>
          <rPr>
            <b/>
            <sz val="9"/>
            <color indexed="12"/>
            <rFont val="宋体"/>
            <family val="3"/>
            <charset val="134"/>
          </rPr>
          <t xml:space="preserve">、预计损失：指存货跌价准备中相关建造合同的跌价准备期末余额。
</t>
        </r>
      </text>
    </comment>
    <comment ref="N1764" authorId="2" shapeId="0">
      <text>
        <r>
          <rPr>
            <b/>
            <sz val="9"/>
            <color indexed="81"/>
            <rFont val="宋体"/>
            <family val="3"/>
            <charset val="134"/>
          </rPr>
          <t>胡晓明:
如需要，请在此设置公式，引用至注释小表中期初/上期数的单元格。</t>
        </r>
      </text>
    </comment>
    <comment ref="S1790" authorId="1" shapeId="0">
      <text>
        <r>
          <rPr>
            <b/>
            <sz val="9"/>
            <color indexed="12"/>
            <rFont val="Tahoma"/>
            <family val="2"/>
          </rPr>
          <t>REAL Tips:
1</t>
        </r>
        <r>
          <rPr>
            <b/>
            <sz val="9"/>
            <color indexed="12"/>
            <rFont val="宋体"/>
            <family val="3"/>
            <charset val="134"/>
          </rPr>
          <t>、对于大额的一年内到期的非流动资产说明形成的原因、内容、性质</t>
        </r>
      </text>
    </comment>
    <comment ref="S1812" authorId="1" shapeId="0">
      <text>
        <r>
          <rPr>
            <b/>
            <sz val="9"/>
            <color indexed="12"/>
            <rFont val="Tahoma"/>
            <family val="2"/>
          </rPr>
          <t>REAL Tips:
1</t>
        </r>
        <r>
          <rPr>
            <b/>
            <sz val="9"/>
            <color indexed="12"/>
            <rFont val="宋体"/>
            <family val="3"/>
            <charset val="134"/>
          </rPr>
          <t>、金额较大的其他流动资产，应说明其内容、性质</t>
        </r>
      </text>
    </comment>
    <comment ref="G1867" authorId="0" shapeId="0">
      <text>
        <r>
          <rPr>
            <b/>
            <sz val="9"/>
            <color indexed="81"/>
            <rFont val="Tahoma"/>
            <family val="2"/>
          </rPr>
          <t>未解决注释间差异合计。
注：本表中的“差异”，如未 √ 以示确认，则为“未解决注释间差异（存疑差异）”。</t>
        </r>
      </text>
    </comment>
    <comment ref="N1869" authorId="2" shapeId="0">
      <text>
        <r>
          <rPr>
            <b/>
            <sz val="9"/>
            <color indexed="81"/>
            <rFont val="宋体"/>
            <family val="3"/>
            <charset val="134"/>
          </rPr>
          <t>胡晓明:
如需要，请在此设置公式，引用至注释小表中期初/上期数的单元格。</t>
        </r>
      </text>
    </comment>
    <comment ref="N1882" authorId="2" shapeId="0">
      <text>
        <r>
          <rPr>
            <b/>
            <sz val="9"/>
            <color indexed="81"/>
            <rFont val="宋体"/>
            <family val="3"/>
            <charset val="134"/>
          </rPr>
          <t>胡晓明:
如需要，请在此设置公式，引用至注释小表中期初/上期数的单元格。</t>
        </r>
      </text>
    </comment>
    <comment ref="N1895" authorId="2" shapeId="0">
      <text>
        <r>
          <rPr>
            <b/>
            <sz val="9"/>
            <color indexed="81"/>
            <rFont val="宋体"/>
            <family val="3"/>
            <charset val="134"/>
          </rPr>
          <t>胡晓明:
如需要，请在此设置公式，引用至注释小表中期初/上期数的单元格。</t>
        </r>
      </text>
    </comment>
    <comment ref="G1925" authorId="0" shapeId="0">
      <text>
        <r>
          <rPr>
            <b/>
            <sz val="9"/>
            <color indexed="81"/>
            <rFont val="Tahoma"/>
            <family val="2"/>
          </rPr>
          <t>未解决注释间差异合计。
注：本表中的“差异”，如未 √ 以示确认，则为“未解决注释间差异（存疑差异）”。</t>
        </r>
      </text>
    </comment>
    <comment ref="N1927" authorId="2" shapeId="0">
      <text>
        <r>
          <rPr>
            <b/>
            <sz val="9"/>
            <color indexed="81"/>
            <rFont val="宋体"/>
            <family val="3"/>
            <charset val="134"/>
          </rPr>
          <t>胡晓明:
如需要，请在此设置公式，引用至注释小表中期初/上期数的单元格。</t>
        </r>
      </text>
    </comment>
    <comment ref="K1961" authorId="2" shapeId="0">
      <text>
        <r>
          <rPr>
            <b/>
            <sz val="9"/>
            <color indexed="81"/>
            <rFont val="宋体"/>
            <family val="3"/>
            <charset val="134"/>
          </rPr>
          <t>胡晓明:
如需要，请在此设置公式，引用至注释小表中期末/本期数的单元格。</t>
        </r>
      </text>
    </comment>
    <comment ref="N1961" authorId="2" shapeId="0">
      <text>
        <r>
          <rPr>
            <b/>
            <sz val="9"/>
            <color indexed="81"/>
            <rFont val="宋体"/>
            <family val="3"/>
            <charset val="134"/>
          </rPr>
          <t>胡晓明:
如需要，请在此设置公式，引用至注释小表中期初/上期数的单元格。</t>
        </r>
      </text>
    </comment>
    <comment ref="K1971" authorId="2" shapeId="0">
      <text>
        <r>
          <rPr>
            <b/>
            <sz val="9"/>
            <color indexed="81"/>
            <rFont val="宋体"/>
            <family val="3"/>
            <charset val="134"/>
          </rPr>
          <t>胡晓明:
如需要，请在此设置公式，引用至注释小表中期末/本期数的单元格。</t>
        </r>
      </text>
    </comment>
    <comment ref="N1971" authorId="2" shapeId="0">
      <text>
        <r>
          <rPr>
            <b/>
            <sz val="9"/>
            <color indexed="81"/>
            <rFont val="宋体"/>
            <family val="3"/>
            <charset val="134"/>
          </rPr>
          <t>胡晓明:
如需要，请在此设置公式，引用至注释小表中期初/上期数的单元格。</t>
        </r>
      </text>
    </comment>
    <comment ref="K1986" authorId="2" shapeId="0">
      <text>
        <r>
          <rPr>
            <b/>
            <sz val="9"/>
            <color indexed="81"/>
            <rFont val="宋体"/>
            <family val="3"/>
            <charset val="134"/>
          </rPr>
          <t>胡晓明:
如需要，请在此设置公式，引用至注释小表中期末/本期数的单元格。</t>
        </r>
      </text>
    </comment>
    <comment ref="N1986" authorId="2" shapeId="0">
      <text>
        <r>
          <rPr>
            <b/>
            <sz val="9"/>
            <color indexed="81"/>
            <rFont val="宋体"/>
            <family val="3"/>
            <charset val="134"/>
          </rPr>
          <t>胡晓明:
如需要，请在此设置公式，引用至注释小表中期初/上期数的单元格。</t>
        </r>
      </text>
    </comment>
    <comment ref="N2001" authorId="2" shapeId="0">
      <text>
        <r>
          <rPr>
            <b/>
            <sz val="9"/>
            <color indexed="81"/>
            <rFont val="宋体"/>
            <family val="3"/>
            <charset val="134"/>
          </rPr>
          <t>胡晓明:
如需要，请在此设置公式，引用至注释小表中期初/上期数的单元格。</t>
        </r>
      </text>
    </comment>
    <comment ref="K2021" authorId="2" shapeId="0">
      <text>
        <r>
          <rPr>
            <b/>
            <sz val="9"/>
            <color indexed="81"/>
            <rFont val="宋体"/>
            <family val="3"/>
            <charset val="134"/>
          </rPr>
          <t>胡晓明:
如需要，请在此设置公式，引用至注释小表中期末/本期数的单元格。</t>
        </r>
      </text>
    </comment>
    <comment ref="N2021" authorId="2" shapeId="0">
      <text>
        <r>
          <rPr>
            <b/>
            <sz val="9"/>
            <color indexed="81"/>
            <rFont val="宋体"/>
            <family val="3"/>
            <charset val="134"/>
          </rPr>
          <t>胡晓明:
如需要，请在此设置公式，引用至注释小表中期初/上期数的单元格。</t>
        </r>
      </text>
    </comment>
    <comment ref="S2021" authorId="1" shapeId="0">
      <text>
        <r>
          <rPr>
            <b/>
            <sz val="9"/>
            <color indexed="12"/>
            <rFont val="Tahoma"/>
            <family val="2"/>
          </rPr>
          <t>REAL Tips:
1</t>
        </r>
        <r>
          <rPr>
            <b/>
            <sz val="9"/>
            <color indexed="12"/>
            <rFont val="宋体"/>
            <family val="3"/>
            <charset val="134"/>
          </rPr>
          <t>、对于期末公允价值相对于成本的下跌幅度已达到或超过</t>
        </r>
        <r>
          <rPr>
            <b/>
            <sz val="9"/>
            <color indexed="12"/>
            <rFont val="Tahoma"/>
            <family val="2"/>
          </rPr>
          <t>50%</t>
        </r>
        <r>
          <rPr>
            <b/>
            <sz val="9"/>
            <color indexed="12"/>
            <rFont val="宋体"/>
            <family val="3"/>
            <charset val="134"/>
          </rPr>
          <t>，或者持续下跌时间已达到或超过</t>
        </r>
        <r>
          <rPr>
            <b/>
            <sz val="9"/>
            <color indexed="12"/>
            <rFont val="Tahoma"/>
            <family val="2"/>
          </rPr>
          <t>12</t>
        </r>
        <r>
          <rPr>
            <b/>
            <sz val="9"/>
            <color indexed="12"/>
            <rFont val="宋体"/>
            <family val="3"/>
            <charset val="134"/>
          </rPr>
          <t>个月，尚未根据成本与期末公允价值差额计提减值的可供出售权益工具，公司应详细披露各项投资的成本和公允价值的金额、公允价值相对于成本的下跌幅度、持续下跌时间、已计提减值金额，以及未根据成本与期末公允价值的差额计提减值的理由。</t>
        </r>
      </text>
    </comment>
    <comment ref="N2063" authorId="2" shapeId="0">
      <text>
        <r>
          <rPr>
            <b/>
            <sz val="9"/>
            <color indexed="81"/>
            <rFont val="宋体"/>
            <family val="3"/>
            <charset val="134"/>
          </rPr>
          <t>胡晓明:
如需要，请在此设置公式，引用至注释小表中期初/上期数的单元格。</t>
        </r>
      </text>
    </comment>
    <comment ref="G2077" authorId="0" shapeId="0">
      <text>
        <r>
          <rPr>
            <b/>
            <sz val="9"/>
            <color indexed="81"/>
            <rFont val="Tahoma"/>
            <family val="2"/>
          </rPr>
          <t>未解决注释间差异合计。
注：本表中的“差异”，如未 √ 以示确认，则为“未解决注释间差异（存疑差异）”。</t>
        </r>
      </text>
    </comment>
    <comment ref="N2079" authorId="2" shapeId="0">
      <text>
        <r>
          <rPr>
            <b/>
            <sz val="9"/>
            <color indexed="81"/>
            <rFont val="宋体"/>
            <family val="3"/>
            <charset val="134"/>
          </rPr>
          <t>胡晓明:
如需要，请在此设置公式，引用至注释小表中期初/上期数的单元格。</t>
        </r>
      </text>
    </comment>
    <comment ref="N2092" authorId="2" shapeId="0">
      <text>
        <r>
          <rPr>
            <b/>
            <sz val="9"/>
            <color indexed="81"/>
            <rFont val="宋体"/>
            <family val="3"/>
            <charset val="134"/>
          </rPr>
          <t>胡晓明:
如需要，请在此设置公式，引用至注释小表中期初/上期数的单元格。</t>
        </r>
      </text>
    </comment>
    <comment ref="N2105" authorId="2" shapeId="0">
      <text>
        <r>
          <rPr>
            <b/>
            <sz val="9"/>
            <color indexed="81"/>
            <rFont val="宋体"/>
            <family val="3"/>
            <charset val="134"/>
          </rPr>
          <t>胡晓明:
如需要，请在此设置公式，引用至注释小表中期初/上期数的单元格。</t>
        </r>
      </text>
    </comment>
    <comment ref="N2118" authorId="2" shapeId="0">
      <text>
        <r>
          <rPr>
            <b/>
            <sz val="9"/>
            <color indexed="81"/>
            <rFont val="宋体"/>
            <family val="3"/>
            <charset val="134"/>
          </rPr>
          <t>胡晓明:
如需要，请在此设置公式，引用至注释小表中期初/上期数的单元格。</t>
        </r>
      </text>
    </comment>
    <comment ref="G2135" authorId="0" shapeId="0">
      <text>
        <r>
          <rPr>
            <b/>
            <sz val="9"/>
            <color indexed="81"/>
            <rFont val="Tahoma"/>
            <family val="2"/>
          </rPr>
          <t>未解决注释间差异合计。
注：本表中的“差异”，如未 √ 以示确认，则为“未解决注释间差异（存疑差异）”。</t>
        </r>
      </text>
    </comment>
    <comment ref="N2137" authorId="2" shapeId="0">
      <text>
        <r>
          <rPr>
            <b/>
            <sz val="9"/>
            <color indexed="81"/>
            <rFont val="宋体"/>
            <family val="3"/>
            <charset val="134"/>
          </rPr>
          <t>胡晓明:
如需要，请在此设置公式，引用至注释小表中期初/上期数的单元格。</t>
        </r>
      </text>
    </comment>
    <comment ref="K2171" authorId="2" shapeId="0">
      <text>
        <r>
          <rPr>
            <b/>
            <sz val="9"/>
            <color indexed="81"/>
            <rFont val="宋体"/>
            <family val="3"/>
            <charset val="134"/>
          </rPr>
          <t>胡晓明:
如需要，请在此设置公式，引用至注释小表中期末/本期数的单元格。</t>
        </r>
      </text>
    </comment>
    <comment ref="N2171" authorId="2" shapeId="0">
      <text>
        <r>
          <rPr>
            <b/>
            <sz val="9"/>
            <color indexed="81"/>
            <rFont val="宋体"/>
            <family val="3"/>
            <charset val="134"/>
          </rPr>
          <t>胡晓明:
如需要，请在此设置公式，引用至注释小表中期初/上期数的单元格。</t>
        </r>
      </text>
    </comment>
    <comment ref="S2171" authorId="1" shapeId="0">
      <text>
        <r>
          <rPr>
            <b/>
            <sz val="9"/>
            <color indexed="12"/>
            <rFont val="Tahoma"/>
            <family val="2"/>
          </rPr>
          <t>REAL Tips:
1</t>
        </r>
        <r>
          <rPr>
            <b/>
            <sz val="9"/>
            <color indexed="12"/>
            <rFont val="宋体"/>
            <family val="3"/>
            <charset val="134"/>
          </rPr>
          <t>、对于重要的持有至到期投资，应分别列示其面值、票面利率、实际利率、到期日。</t>
        </r>
      </text>
    </comment>
    <comment ref="K2181" authorId="2" shapeId="0">
      <text>
        <r>
          <rPr>
            <b/>
            <sz val="9"/>
            <color indexed="81"/>
            <rFont val="宋体"/>
            <family val="3"/>
            <charset val="134"/>
          </rPr>
          <t>胡晓明:
如需要，请在此设置公式，引用至注释小表中期末/本期数的单元格。</t>
        </r>
      </text>
    </comment>
    <comment ref="N2181" authorId="2" shapeId="0">
      <text>
        <r>
          <rPr>
            <b/>
            <sz val="9"/>
            <color indexed="81"/>
            <rFont val="宋体"/>
            <family val="3"/>
            <charset val="134"/>
          </rPr>
          <t>胡晓明:
如需要，请在此设置公式，引用至注释小表中期初/上期数的单元格。</t>
        </r>
      </text>
    </comment>
    <comment ref="S2181" authorId="1" shapeId="0">
      <text>
        <r>
          <rPr>
            <b/>
            <sz val="9"/>
            <color indexed="12"/>
            <rFont val="Tahoma"/>
            <family val="2"/>
          </rPr>
          <t>REAL Tips:
1</t>
        </r>
        <r>
          <rPr>
            <b/>
            <sz val="9"/>
            <color indexed="12"/>
            <rFont val="宋体"/>
            <family val="3"/>
            <charset val="134"/>
          </rPr>
          <t>、本期存在重分类的，应披露重分类的原因和具体情况。
披露举例：
由于</t>
        </r>
        <r>
          <rPr>
            <b/>
            <sz val="9"/>
            <color indexed="12"/>
            <rFont val="Tahoma"/>
            <family val="2"/>
          </rPr>
          <t>XX</t>
        </r>
        <r>
          <rPr>
            <b/>
            <sz val="9"/>
            <color indexed="12"/>
            <rFont val="宋体"/>
            <family val="3"/>
            <charset val="134"/>
          </rPr>
          <t>原因，本期将持有至到期投资重分类为可供出售金融资产，重分类的金额</t>
        </r>
        <r>
          <rPr>
            <b/>
            <sz val="9"/>
            <color indexed="12"/>
            <rFont val="Tahoma"/>
            <family val="2"/>
          </rPr>
          <t>XX</t>
        </r>
        <r>
          <rPr>
            <b/>
            <sz val="9"/>
            <color indexed="12"/>
            <rFont val="宋体"/>
            <family val="3"/>
            <charset val="134"/>
          </rPr>
          <t>元，该金额占重分类前持有至到期投资总额的比例</t>
        </r>
        <r>
          <rPr>
            <b/>
            <sz val="9"/>
            <color indexed="12"/>
            <rFont val="Tahoma"/>
            <family val="2"/>
          </rPr>
          <t>XX%</t>
        </r>
        <r>
          <rPr>
            <b/>
            <sz val="9"/>
            <color indexed="12"/>
            <rFont val="宋体"/>
            <family val="3"/>
            <charset val="134"/>
          </rPr>
          <t xml:space="preserve">。
</t>
        </r>
      </text>
    </comment>
    <comment ref="N2218" authorId="2" shapeId="0">
      <text>
        <r>
          <rPr>
            <b/>
            <sz val="9"/>
            <color indexed="81"/>
            <rFont val="宋体"/>
            <family val="3"/>
            <charset val="134"/>
          </rPr>
          <t>胡晓明:
如需要，请在此设置公式，引用至注释小表中期初/上期数的单元格。</t>
        </r>
      </text>
    </comment>
    <comment ref="G2232" authorId="0" shapeId="0">
      <text>
        <r>
          <rPr>
            <b/>
            <sz val="9"/>
            <color indexed="81"/>
            <rFont val="Tahoma"/>
            <family val="2"/>
          </rPr>
          <t>未解决注释间差异合计。
注：本表中的“差异”，如未 √ 以示确认，则为“未解决注释间差异（存疑差异）”。</t>
        </r>
      </text>
    </comment>
    <comment ref="N2234" authorId="2" shapeId="0">
      <text>
        <r>
          <rPr>
            <b/>
            <sz val="9"/>
            <color indexed="81"/>
            <rFont val="宋体"/>
            <family val="3"/>
            <charset val="134"/>
          </rPr>
          <t>胡晓明:
如需要，请在此设置公式，引用至注释小表中期初/上期数的单元格。</t>
        </r>
      </text>
    </comment>
    <comment ref="N2247" authorId="2" shapeId="0">
      <text>
        <r>
          <rPr>
            <b/>
            <sz val="9"/>
            <color indexed="81"/>
            <rFont val="宋体"/>
            <family val="3"/>
            <charset val="134"/>
          </rPr>
          <t>胡晓明:
如需要，请在此设置公式，引用至注释小表中期初/上期数的单元格。</t>
        </r>
      </text>
    </comment>
    <comment ref="N2260" authorId="2" shapeId="0">
      <text>
        <r>
          <rPr>
            <b/>
            <sz val="9"/>
            <color indexed="81"/>
            <rFont val="宋体"/>
            <family val="3"/>
            <charset val="134"/>
          </rPr>
          <t>胡晓明:
如需要，请在此设置公式，引用至注释小表中期初/上期数的单元格。</t>
        </r>
      </text>
    </comment>
    <comment ref="G2291" authorId="0" shapeId="0">
      <text>
        <r>
          <rPr>
            <b/>
            <sz val="9"/>
            <color indexed="81"/>
            <rFont val="Tahoma"/>
            <family val="2"/>
          </rPr>
          <t>未解决注释间差异合计。
注：本表中的“差异”，如未 √ 以示确认，则为“未解决注释间差异（存疑差异）”。</t>
        </r>
      </text>
    </comment>
    <comment ref="K2293" authorId="2" shapeId="0">
      <text>
        <r>
          <rPr>
            <b/>
            <sz val="9"/>
            <color indexed="81"/>
            <rFont val="宋体"/>
            <family val="3"/>
            <charset val="134"/>
          </rPr>
          <t>胡晓明:
如需要，请在此设置公式，引用至注释小表中期末/本期数的单元格。</t>
        </r>
      </text>
    </comment>
    <comment ref="G2313" authorId="0" shapeId="0">
      <text>
        <r>
          <rPr>
            <b/>
            <sz val="9"/>
            <color indexed="81"/>
            <rFont val="Tahoma"/>
            <family val="2"/>
          </rPr>
          <t>未解决注释间差异合计。
注：本表中的“差异”，如未 √ 以示确认，则为“未解决注释间差异（存疑差异）”。</t>
        </r>
      </text>
    </comment>
    <comment ref="N2315" authorId="2" shapeId="0">
      <text>
        <r>
          <rPr>
            <b/>
            <sz val="9"/>
            <color indexed="81"/>
            <rFont val="宋体"/>
            <family val="3"/>
            <charset val="134"/>
          </rPr>
          <t>胡晓明:
如需要，请在此设置公式，引用至注释小表中期初/上期数的单元格。</t>
        </r>
      </text>
    </comment>
    <comment ref="G2347" authorId="0" shapeId="0">
      <text>
        <r>
          <rPr>
            <b/>
            <sz val="9"/>
            <color indexed="81"/>
            <rFont val="Tahoma"/>
            <family val="2"/>
          </rPr>
          <t>未解决注释间差异合计。
注：本表中的“差异”，如未 √ 以示确认，则为“未解决注释间差异（存疑差异）”。</t>
        </r>
      </text>
    </comment>
    <comment ref="N2349" authorId="2" shapeId="0">
      <text>
        <r>
          <rPr>
            <b/>
            <sz val="9"/>
            <color indexed="81"/>
            <rFont val="宋体"/>
            <family val="3"/>
            <charset val="134"/>
          </rPr>
          <t>胡晓明:
如需要，请在此设置公式，引用至注释小表中期初/上期数的单元格。</t>
        </r>
      </text>
    </comment>
    <comment ref="N2368" authorId="2" shapeId="0">
      <text>
        <r>
          <rPr>
            <b/>
            <sz val="9"/>
            <color indexed="81"/>
            <rFont val="宋体"/>
            <family val="3"/>
            <charset val="134"/>
          </rPr>
          <t>胡晓明:
如需要，请在此设置公式，引用至注释小表中期初/上期数的单元格。</t>
        </r>
      </text>
    </comment>
    <comment ref="S2368" authorId="1" shapeId="0">
      <text>
        <r>
          <rPr>
            <b/>
            <sz val="9"/>
            <color indexed="12"/>
            <rFont val="Tahoma"/>
            <family val="2"/>
          </rPr>
          <t>REAL Tips:
1</t>
        </r>
        <r>
          <rPr>
            <b/>
            <sz val="9"/>
            <color indexed="12"/>
            <rFont val="宋体"/>
            <family val="3"/>
            <charset val="134"/>
          </rPr>
          <t>、因资产转移而终止确认的长期应收款，列示资产转移的方式、终止确认的长期应收款金额，以及与终止确认相关的利得或损失。</t>
        </r>
      </text>
    </comment>
    <comment ref="N2378" authorId="2" shapeId="0">
      <text>
        <r>
          <rPr>
            <b/>
            <sz val="9"/>
            <color indexed="81"/>
            <rFont val="宋体"/>
            <family val="3"/>
            <charset val="134"/>
          </rPr>
          <t>胡晓明:
如需要，请在此设置公式，引用至注释小表中期初/上期数的单元格。</t>
        </r>
      </text>
    </comment>
    <comment ref="S2391" authorId="1" shapeId="0">
      <text>
        <r>
          <rPr>
            <b/>
            <sz val="9"/>
            <color indexed="12"/>
            <rFont val="Tahoma"/>
            <family val="2"/>
          </rPr>
          <t>REAL Tips:
1</t>
        </r>
        <r>
          <rPr>
            <b/>
            <sz val="9"/>
            <color indexed="12"/>
            <rFont val="宋体"/>
            <family val="3"/>
            <charset val="134"/>
          </rPr>
          <t>、逾期客户的名称、逾期年限、逾期原因等</t>
        </r>
      </text>
    </comment>
    <comment ref="N2401" authorId="2" shapeId="0">
      <text>
        <r>
          <rPr>
            <b/>
            <sz val="9"/>
            <color indexed="81"/>
            <rFont val="宋体"/>
            <family val="3"/>
            <charset val="134"/>
          </rPr>
          <t>胡晓明:
如需要，请在此设置公式，引用至注释小表中期初/上期数的单元格。</t>
        </r>
      </text>
    </comment>
    <comment ref="G2429" authorId="0" shapeId="0">
      <text>
        <r>
          <rPr>
            <b/>
            <sz val="9"/>
            <color indexed="81"/>
            <rFont val="Tahoma"/>
            <family val="2"/>
          </rPr>
          <t>未解决注释间差异合计。
注：本表中的“差异”，如未 √ 以示确认，则为“未解决注释间差异（存疑差异）”。</t>
        </r>
      </text>
    </comment>
    <comment ref="G2461" authorId="0" shapeId="0">
      <text>
        <r>
          <rPr>
            <b/>
            <sz val="9"/>
            <color indexed="81"/>
            <rFont val="Tahoma"/>
            <family val="2"/>
          </rPr>
          <t>未解决注释间差异合计。
注：本表中的“差异”，如未 √ 以示确认，则为“未解决注释间差异（存疑差异）”。</t>
        </r>
      </text>
    </comment>
    <comment ref="N2506" authorId="2" shapeId="0">
      <text>
        <r>
          <rPr>
            <b/>
            <sz val="9"/>
            <color indexed="81"/>
            <rFont val="宋体"/>
            <family val="3"/>
            <charset val="134"/>
          </rPr>
          <t>胡晓明:
如需要，请在此设置公式，引用至注释小表中期初/上期数的单元格。</t>
        </r>
      </text>
    </comment>
    <comment ref="S2556" authorId="1" shapeId="0">
      <text>
        <r>
          <rPr>
            <b/>
            <sz val="9"/>
            <color indexed="12"/>
            <rFont val="Tahoma"/>
            <family val="2"/>
          </rPr>
          <t>REAL Tips:
1</t>
        </r>
        <r>
          <rPr>
            <b/>
            <sz val="9"/>
            <color indexed="12"/>
            <rFont val="宋体"/>
            <family val="3"/>
            <charset val="134"/>
          </rPr>
          <t xml:space="preserve">、房地产转换情况及改变计量模式的情况
说明报告期内房地产转换或改变计量模式的情况、理由，以及对损益或所有者权益的影响。
</t>
        </r>
        <r>
          <rPr>
            <b/>
            <sz val="9"/>
            <color indexed="12"/>
            <rFont val="Tahoma"/>
            <family val="2"/>
          </rPr>
          <t>2</t>
        </r>
        <r>
          <rPr>
            <b/>
            <sz val="9"/>
            <color indexed="12"/>
            <rFont val="宋体"/>
            <family val="3"/>
            <charset val="134"/>
          </rPr>
          <t xml:space="preserve">、房地产开发企业列示出租开发产品时，应披露出租开发产品的成本、租赁合同主要条款等内容。对重要的出租房产应单项披露，非重要或零星的出租房产可采用合并披露。
</t>
        </r>
        <r>
          <rPr>
            <b/>
            <sz val="9"/>
            <color indexed="12"/>
            <rFont val="Tahoma"/>
            <family val="2"/>
          </rPr>
          <t>3</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年上市公司年报会计监管报告》，已出租的建筑物是指公司拥有产权的、以经营租赁方式出租的建筑物。因此，不得将没有产权的物业经营权列报为投资性房地产。</t>
        </r>
      </text>
    </comment>
    <comment ref="S2599" authorId="1" shapeId="0">
      <text>
        <r>
          <rPr>
            <b/>
            <sz val="9"/>
            <color indexed="12"/>
            <rFont val="Tahoma"/>
            <family val="2"/>
          </rPr>
          <t>REAL Tips:
1</t>
        </r>
        <r>
          <rPr>
            <b/>
            <sz val="9"/>
            <color indexed="12"/>
            <rFont val="宋体"/>
            <family val="3"/>
            <charset val="134"/>
          </rPr>
          <t>、采用公允价值计量模式的投资性房地产，分类列示期初余额、期末余额和本期增减变动情况。</t>
        </r>
      </text>
    </comment>
    <comment ref="K2618" authorId="2" shapeId="0">
      <text>
        <r>
          <rPr>
            <b/>
            <sz val="9"/>
            <color indexed="81"/>
            <rFont val="宋体"/>
            <family val="3"/>
            <charset val="134"/>
          </rPr>
          <t>胡晓明:
如需要，请在此设置公式，引用至注释小表中期末/本期数的单元格。</t>
        </r>
      </text>
    </comment>
    <comment ref="N2618" authorId="2" shapeId="0">
      <text>
        <r>
          <rPr>
            <b/>
            <sz val="9"/>
            <color indexed="81"/>
            <rFont val="宋体"/>
            <family val="3"/>
            <charset val="134"/>
          </rPr>
          <t>胡晓明:
如需要，请在此设置公式，引用至注释小表中期初/上期数的单元格。</t>
        </r>
      </text>
    </comment>
    <comment ref="S2618" authorId="1" shapeId="0">
      <text>
        <r>
          <rPr>
            <b/>
            <sz val="9"/>
            <color indexed="12"/>
            <rFont val="Tahoma"/>
            <family val="2"/>
          </rPr>
          <t>REAL Tips:
1</t>
        </r>
        <r>
          <rPr>
            <b/>
            <sz val="9"/>
            <color indexed="12"/>
            <rFont val="宋体"/>
            <family val="3"/>
            <charset val="134"/>
          </rPr>
          <t>、披露未办妥产权证书的投资性房地产账面价值及原因</t>
        </r>
      </text>
    </comment>
    <comment ref="K2628" authorId="2" shapeId="0">
      <text>
        <r>
          <rPr>
            <b/>
            <sz val="9"/>
            <color indexed="81"/>
            <rFont val="宋体"/>
            <family val="3"/>
            <charset val="134"/>
          </rPr>
          <t>胡晓明:
如需要，请在此设置公式，引用至注释小表中期末/本期数的单元格。</t>
        </r>
      </text>
    </comment>
    <comment ref="N2628" authorId="2" shapeId="0">
      <text>
        <r>
          <rPr>
            <b/>
            <sz val="9"/>
            <color indexed="81"/>
            <rFont val="宋体"/>
            <family val="3"/>
            <charset val="134"/>
          </rPr>
          <t>胡晓明:
如需要，请在此设置公式，引用至注释小表中期初/上期数的单元格。</t>
        </r>
      </text>
    </comment>
    <comment ref="S2647" authorId="1" shapeId="0">
      <text>
        <r>
          <rPr>
            <b/>
            <sz val="9"/>
            <color indexed="12"/>
            <rFont val="Tahoma"/>
            <family val="2"/>
          </rPr>
          <t>REAL Tips:
1</t>
        </r>
        <r>
          <rPr>
            <b/>
            <sz val="9"/>
            <color indexed="12"/>
            <rFont val="宋体"/>
            <family val="3"/>
            <charset val="134"/>
          </rPr>
          <t>、本期发生以明显高于账面价值的价格出售固定资产交易的，应详细说明交易作价的基础和依据，如：估值模型、重要参数的选取依据和估值过程，以及必要的敏感性分析。</t>
        </r>
      </text>
    </comment>
    <comment ref="G2703" authorId="0" shapeId="0">
      <text>
        <r>
          <rPr>
            <b/>
            <sz val="9"/>
            <color indexed="81"/>
            <rFont val="Tahoma"/>
            <family val="2"/>
          </rPr>
          <t>未解决注释间差异合计。
注：本表中的“差异”，如未 √ 以示确认，则为“未解决注释间差异（存疑差异）”。</t>
        </r>
      </text>
    </comment>
    <comment ref="N2705" authorId="2" shapeId="0">
      <text>
        <r>
          <rPr>
            <b/>
            <sz val="9"/>
            <color indexed="81"/>
            <rFont val="宋体"/>
            <family val="3"/>
            <charset val="134"/>
          </rPr>
          <t>胡晓明:
如需要，请在此设置公式，引用至注释小表中期初/上期数的单元格。</t>
        </r>
      </text>
    </comment>
    <comment ref="N2719" authorId="2" shapeId="0">
      <text>
        <r>
          <rPr>
            <b/>
            <sz val="9"/>
            <color indexed="81"/>
            <rFont val="宋体"/>
            <family val="3"/>
            <charset val="134"/>
          </rPr>
          <t>胡晓明:
如需要，请在此设置公式，引用至注释小表中期初/上期数的单元格。</t>
        </r>
      </text>
    </comment>
    <comment ref="N2733" authorId="2" shapeId="0">
      <text>
        <r>
          <rPr>
            <b/>
            <sz val="9"/>
            <color indexed="81"/>
            <rFont val="宋体"/>
            <family val="3"/>
            <charset val="134"/>
          </rPr>
          <t>胡晓明:
如需要，请在此设置公式，引用至注释小表中期初/上期数的单元格。</t>
        </r>
      </text>
    </comment>
    <comment ref="K2761" authorId="2" shapeId="0">
      <text>
        <r>
          <rPr>
            <b/>
            <sz val="9"/>
            <color indexed="81"/>
            <rFont val="宋体"/>
            <family val="3"/>
            <charset val="134"/>
          </rPr>
          <t>胡晓明:
如需要，请在此设置公式，引用至注释小表中期末/本期数的单元格。</t>
        </r>
      </text>
    </comment>
    <comment ref="N2761" authorId="2" shapeId="0">
      <text>
        <r>
          <rPr>
            <b/>
            <sz val="9"/>
            <color indexed="81"/>
            <rFont val="宋体"/>
            <family val="3"/>
            <charset val="134"/>
          </rPr>
          <t>胡晓明:
如需要，请在此设置公式，引用至注释小表中期初/上期数的单元格。</t>
        </r>
      </text>
    </comment>
    <comment ref="S2761" authorId="1" shapeId="0">
      <text>
        <r>
          <rPr>
            <b/>
            <sz val="9"/>
            <color indexed="12"/>
            <rFont val="Tahoma"/>
            <family val="2"/>
          </rPr>
          <t>REAL Tips:
1</t>
        </r>
        <r>
          <rPr>
            <b/>
            <sz val="9"/>
            <color indexed="12"/>
            <rFont val="宋体"/>
            <family val="3"/>
            <charset val="134"/>
          </rPr>
          <t>、披露期末未办妥产权证书的固定资产账面价值及原因</t>
        </r>
      </text>
    </comment>
    <comment ref="K2771" authorId="2" shapeId="0">
      <text>
        <r>
          <rPr>
            <b/>
            <sz val="9"/>
            <color indexed="81"/>
            <rFont val="宋体"/>
            <family val="3"/>
            <charset val="134"/>
          </rPr>
          <t>胡晓明:
如需要，请在此设置公式，引用至注释小表中期末/本期数的单元格。</t>
        </r>
      </text>
    </comment>
    <comment ref="N2771" authorId="2" shapeId="0">
      <text>
        <r>
          <rPr>
            <b/>
            <sz val="9"/>
            <color indexed="81"/>
            <rFont val="宋体"/>
            <family val="3"/>
            <charset val="134"/>
          </rPr>
          <t>胡晓明:
如需要，请在此设置公式，引用至注释小表中期初/上期数的单元格。</t>
        </r>
      </text>
    </comment>
    <comment ref="S2771" authorId="1" shapeId="0">
      <text>
        <r>
          <rPr>
            <b/>
            <sz val="9"/>
            <color indexed="12"/>
            <rFont val="Tahoma"/>
            <family val="2"/>
          </rPr>
          <t>REAL Tips:
1</t>
        </r>
        <r>
          <rPr>
            <b/>
            <sz val="9"/>
            <color indexed="12"/>
            <rFont val="宋体"/>
            <family val="3"/>
            <charset val="134"/>
          </rPr>
          <t>、抵押、担保的固定资产情况</t>
        </r>
      </text>
    </comment>
    <comment ref="N2781" authorId="2" shapeId="0">
      <text>
        <r>
          <rPr>
            <b/>
            <sz val="9"/>
            <color indexed="81"/>
            <rFont val="宋体"/>
            <family val="3"/>
            <charset val="134"/>
          </rPr>
          <t>胡晓明:
如需要，请在此设置公式，引用至注释小表中期初/上期数的单元格。</t>
        </r>
      </text>
    </comment>
    <comment ref="S2810" authorId="1" shapeId="0">
      <text>
        <r>
          <rPr>
            <b/>
            <sz val="9"/>
            <color indexed="12"/>
            <rFont val="Tahoma"/>
            <family val="2"/>
          </rPr>
          <t>REAL Tips:
1</t>
        </r>
        <r>
          <rPr>
            <b/>
            <sz val="9"/>
            <color indexed="12"/>
            <rFont val="宋体"/>
            <family val="3"/>
            <charset val="134"/>
          </rPr>
          <t>、转入固定资产清理起始时间已超过</t>
        </r>
        <r>
          <rPr>
            <b/>
            <sz val="9"/>
            <color indexed="12"/>
            <rFont val="Tahoma"/>
            <family val="2"/>
          </rPr>
          <t>1</t>
        </r>
        <r>
          <rPr>
            <b/>
            <sz val="9"/>
            <color indexed="12"/>
            <rFont val="宋体"/>
            <family val="3"/>
            <charset val="134"/>
          </rPr>
          <t>年的固定资产清理进展情况</t>
        </r>
      </text>
    </comment>
    <comment ref="K2862" authorId="2" shapeId="0">
      <text>
        <r>
          <rPr>
            <b/>
            <sz val="9"/>
            <color indexed="81"/>
            <rFont val="宋体"/>
            <family val="3"/>
            <charset val="134"/>
          </rPr>
          <t>胡晓明:
如需要，请在此设置公式，引用至注释小表中期末/本期数的单元格。</t>
        </r>
      </text>
    </comment>
    <comment ref="N2862" authorId="2" shapeId="0">
      <text>
        <r>
          <rPr>
            <b/>
            <sz val="9"/>
            <color indexed="81"/>
            <rFont val="宋体"/>
            <family val="3"/>
            <charset val="134"/>
          </rPr>
          <t>胡晓明:
如需要，请在此设置公式，引用至注释小表中期初/上期数的单元格。</t>
        </r>
      </text>
    </comment>
    <comment ref="S2862" authorId="1" shapeId="0">
      <text>
        <r>
          <rPr>
            <b/>
            <sz val="9"/>
            <color indexed="12"/>
            <rFont val="Tahoma"/>
            <family val="2"/>
          </rPr>
          <t>REAL Tips:
1</t>
        </r>
        <r>
          <rPr>
            <b/>
            <sz val="9"/>
            <color indexed="12"/>
            <rFont val="宋体"/>
            <family val="3"/>
            <charset val="134"/>
          </rPr>
          <t xml:space="preserve">、工程进度不一定是投入进度）
</t>
        </r>
        <r>
          <rPr>
            <b/>
            <sz val="9"/>
            <color indexed="12"/>
            <rFont val="Tahoma"/>
            <family val="2"/>
          </rPr>
          <t>2</t>
        </r>
        <r>
          <rPr>
            <b/>
            <sz val="9"/>
            <color indexed="12"/>
            <rFont val="宋体"/>
            <family val="3"/>
            <charset val="134"/>
          </rPr>
          <t xml:space="preserve">、在建工程项目变动情况的说明：
（资金来源应区分募股资金、金融机构贷款和自筹、其他来源等）
</t>
        </r>
      </text>
    </comment>
    <comment ref="G2895" authorId="0" shapeId="0">
      <text>
        <r>
          <rPr>
            <b/>
            <sz val="9"/>
            <color indexed="81"/>
            <rFont val="Tahoma"/>
            <family val="2"/>
          </rPr>
          <t>未解决注释间差异合计。
注：本表中的“差异”，如未 √ 以示确认，则为“未解决注释间差异（存疑差异）”。</t>
        </r>
      </text>
    </comment>
    <comment ref="N2897" authorId="2" shapeId="0">
      <text>
        <r>
          <rPr>
            <b/>
            <sz val="9"/>
            <color indexed="81"/>
            <rFont val="宋体"/>
            <family val="3"/>
            <charset val="134"/>
          </rPr>
          <t>胡晓明:
如需要，请在此设置公式，引用至注释小表中期初/上期数的单元格。</t>
        </r>
      </text>
    </comment>
    <comment ref="S2897" authorId="1" shapeId="0">
      <text>
        <r>
          <rPr>
            <b/>
            <sz val="9"/>
            <color indexed="12"/>
            <rFont val="Tahoma"/>
            <family val="2"/>
          </rPr>
          <t>REAL Tips:
1</t>
        </r>
        <r>
          <rPr>
            <b/>
            <sz val="9"/>
            <color indexed="12"/>
            <rFont val="宋体"/>
            <family val="3"/>
            <charset val="134"/>
          </rPr>
          <t>、分项列示本期计提的在建工程减值准备金额及计提原因。</t>
        </r>
      </text>
    </comment>
    <comment ref="S2919" authorId="1" shapeId="0">
      <text>
        <r>
          <rPr>
            <b/>
            <sz val="9"/>
            <color indexed="12"/>
            <rFont val="Tahoma"/>
            <family val="2"/>
          </rPr>
          <t>REAL Tips:
1</t>
        </r>
        <r>
          <rPr>
            <b/>
            <sz val="9"/>
            <color indexed="12"/>
            <rFont val="宋体"/>
            <family val="3"/>
            <charset val="134"/>
          </rPr>
          <t xml:space="preserve">、有公益性生物资产的企业，应增设“公益性生物资产”项目，列在“生产性生物资产”项目之后
</t>
        </r>
        <r>
          <rPr>
            <b/>
            <sz val="9"/>
            <color indexed="12"/>
            <rFont val="Tahoma"/>
            <family val="2"/>
          </rPr>
          <t>2</t>
        </r>
        <r>
          <rPr>
            <b/>
            <sz val="9"/>
            <color indexed="12"/>
            <rFont val="宋体"/>
            <family val="3"/>
            <charset val="134"/>
          </rPr>
          <t>、如有天然起源的生物资产，还应披露该资产的类别、取得方式和数量等。各类生产性生物资产的预计使用寿命、预计净残值、折旧方法、累计折旧和减值准备累计金额。与生物资产相关的风险情况与管理措施。</t>
        </r>
      </text>
    </comment>
    <comment ref="S3042" authorId="1" shapeId="0">
      <text>
        <r>
          <rPr>
            <b/>
            <sz val="9"/>
            <color indexed="12"/>
            <rFont val="Tahoma"/>
            <family val="2"/>
          </rPr>
          <t xml:space="preserve">REAL Tips:
</t>
        </r>
        <r>
          <rPr>
            <b/>
            <sz val="9"/>
            <color indexed="12"/>
            <rFont val="宋体"/>
            <family val="3"/>
            <charset val="134"/>
          </rPr>
          <t>①期末，通过内部研发形成的无形资产占无形资产余额的比例为</t>
        </r>
        <r>
          <rPr>
            <b/>
            <sz val="9"/>
            <color indexed="12"/>
            <rFont val="Tahoma"/>
            <family val="2"/>
          </rPr>
          <t>______</t>
        </r>
        <r>
          <rPr>
            <b/>
            <sz val="9"/>
            <color indexed="12"/>
            <rFont val="宋体"/>
            <family val="3"/>
            <charset val="134"/>
          </rPr>
          <t xml:space="preserve">。
②（本集团使用寿命不确定的无形资产的判断依据。）
③（抵押、担保的土地使用权）
④（无形资产减值准备计提及减少原因）
⑤（本期发生以明显高于账面价值的价格出售无形资产交易的，应详细说明交易作价的基础和依据，如：估值模型、重要参数的选取依据和估值过程，以及必要的敏感性分析。）
</t>
        </r>
      </text>
    </comment>
    <comment ref="G3111" authorId="0" shapeId="0">
      <text>
        <r>
          <rPr>
            <b/>
            <sz val="9"/>
            <color indexed="81"/>
            <rFont val="Tahoma"/>
            <family val="2"/>
          </rPr>
          <t>未解决注释间差异合计。
注：本表中的“差异”，如未 √ 以示确认，则为“未解决注释间差异（存疑差异）”。</t>
        </r>
      </text>
    </comment>
    <comment ref="N3113" authorId="2" shapeId="0">
      <text>
        <r>
          <rPr>
            <b/>
            <sz val="9"/>
            <color indexed="81"/>
            <rFont val="宋体"/>
            <family val="3"/>
            <charset val="134"/>
          </rPr>
          <t>胡晓明:
如需要，请在此设置公式，引用至注释小表中期初/上期数的单元格。</t>
        </r>
      </text>
    </comment>
    <comment ref="K3126" authorId="2" shapeId="0">
      <text>
        <r>
          <rPr>
            <b/>
            <sz val="9"/>
            <color indexed="81"/>
            <rFont val="宋体"/>
            <family val="3"/>
            <charset val="134"/>
          </rPr>
          <t>胡晓明:
如需要，请在此设置公式，引用至注释小表中期末/本期数的单元格。</t>
        </r>
      </text>
    </comment>
    <comment ref="N3126" authorId="2" shapeId="0">
      <text>
        <r>
          <rPr>
            <b/>
            <sz val="9"/>
            <color indexed="81"/>
            <rFont val="宋体"/>
            <family val="3"/>
            <charset val="134"/>
          </rPr>
          <t>胡晓明:
如需要，请在此设置公式，引用至注释小表中期初/上期数的单元格。</t>
        </r>
      </text>
    </comment>
    <comment ref="S3126" authorId="1" shapeId="0">
      <text>
        <r>
          <rPr>
            <b/>
            <sz val="9"/>
            <color indexed="12"/>
            <rFont val="Tahoma"/>
            <family val="2"/>
          </rPr>
          <t>REAL Tips:
1</t>
        </r>
        <r>
          <rPr>
            <b/>
            <sz val="9"/>
            <color indexed="12"/>
            <rFont val="宋体"/>
            <family val="3"/>
            <charset val="134"/>
          </rPr>
          <t>、披露未办妥产权证书的土地使用权账面价值及原因</t>
        </r>
      </text>
    </comment>
    <comment ref="N3136" authorId="2" shapeId="0">
      <text>
        <r>
          <rPr>
            <b/>
            <sz val="9"/>
            <color indexed="81"/>
            <rFont val="宋体"/>
            <family val="3"/>
            <charset val="134"/>
          </rPr>
          <t>胡晓明:
如需要，请在此设置公式，引用至注释小表中期初/上期数的单元格。</t>
        </r>
      </text>
    </comment>
    <comment ref="K3162" authorId="2" shapeId="0">
      <text>
        <r>
          <rPr>
            <b/>
            <sz val="9"/>
            <color indexed="81"/>
            <rFont val="宋体"/>
            <family val="3"/>
            <charset val="134"/>
          </rPr>
          <t>胡晓明:
如需要，请在此设置公式，引用至注释小表中期末/本期数的单元格。</t>
        </r>
      </text>
    </comment>
    <comment ref="N3162" authorId="2" shapeId="0">
      <text>
        <r>
          <rPr>
            <b/>
            <sz val="9"/>
            <color indexed="81"/>
            <rFont val="宋体"/>
            <family val="3"/>
            <charset val="134"/>
          </rPr>
          <t>胡晓明:
如需要，请在此设置公式，引用至注释小表中期初/上期数的单元格。</t>
        </r>
      </text>
    </comment>
    <comment ref="S3175" authorId="1" shapeId="0">
      <text>
        <r>
          <rPr>
            <b/>
            <sz val="9"/>
            <color indexed="12"/>
            <rFont val="Tahoma"/>
            <family val="2"/>
          </rPr>
          <t>REAL Tips:
1</t>
        </r>
        <r>
          <rPr>
            <b/>
            <sz val="9"/>
            <color indexed="12"/>
            <rFont val="宋体"/>
            <family val="3"/>
            <charset val="134"/>
          </rPr>
          <t xml:space="preserve">、披露这些项目的资本化开始时点、资本化的具体依据、截至期末的研发进度等。
</t>
        </r>
        <r>
          <rPr>
            <b/>
            <sz val="9"/>
            <color indexed="12"/>
            <rFont val="Tahoma"/>
            <family val="2"/>
          </rPr>
          <t>2</t>
        </r>
        <r>
          <rPr>
            <b/>
            <sz val="9"/>
            <color indexed="12"/>
            <rFont val="宋体"/>
            <family val="3"/>
            <charset val="134"/>
          </rPr>
          <t>、尚未达到可使用状态的无形资产（开发支出），说明减值测试结果（每年进行减值测试）。</t>
        </r>
      </text>
    </comment>
    <comment ref="S3192" authorId="1" shapeId="0">
      <text>
        <r>
          <rPr>
            <b/>
            <sz val="9"/>
            <color indexed="12"/>
            <rFont val="Tahoma"/>
            <family val="2"/>
          </rPr>
          <t>REAL Tips:
1</t>
        </r>
        <r>
          <rPr>
            <b/>
            <sz val="9"/>
            <color indexed="12"/>
            <rFont val="宋体"/>
            <family val="3"/>
            <charset val="134"/>
          </rPr>
          <t>、其他增减变动原因包括境外子公司汇率变化的影响等</t>
        </r>
      </text>
    </comment>
    <comment ref="S3204" authorId="1" shapeId="0">
      <text>
        <r>
          <rPr>
            <b/>
            <sz val="9"/>
            <color indexed="12"/>
            <rFont val="Tahoma"/>
            <family val="2"/>
          </rPr>
          <t>REAL Tips:
1</t>
        </r>
        <r>
          <rPr>
            <b/>
            <sz val="9"/>
            <color indexed="12"/>
            <rFont val="宋体"/>
            <family val="3"/>
            <charset val="134"/>
          </rPr>
          <t>、商誉减值测试过程、参数及商誉减值损失的确认方法
披露示例：
本集团采用预计未来现金流现值的方法计算资产组的可收回金额。本集团根据管理层批准的财务预算预计未来</t>
        </r>
        <r>
          <rPr>
            <b/>
            <sz val="9"/>
            <color indexed="12"/>
            <rFont val="Tahoma"/>
            <family val="2"/>
          </rPr>
          <t>5</t>
        </r>
        <r>
          <rPr>
            <b/>
            <sz val="9"/>
            <color indexed="12"/>
            <rFont val="宋体"/>
            <family val="3"/>
            <charset val="134"/>
          </rPr>
          <t>年内现金流量，其后年度采用的现金流量增长率预计为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），不会超过资产组经营业务的长期平均增长率。管理层根据过往表现及其对市场发展的预期编制上述财务预算。计算未来现金流现值所采用的税前折现率为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），已反映了相对于有关分部的风险。根据减值测试的结果，本期期末商誉未发生减值（上期期末：无）。【或：本期期末对商誉计提减值准备</t>
        </r>
        <r>
          <rPr>
            <b/>
            <sz val="9"/>
            <color indexed="12"/>
            <rFont val="Tahoma"/>
            <family val="2"/>
          </rPr>
          <t>XX</t>
        </r>
        <r>
          <rPr>
            <b/>
            <sz val="9"/>
            <color indexed="12"/>
            <rFont val="宋体"/>
            <family val="3"/>
            <charset val="134"/>
          </rPr>
          <t>元（上期期末：</t>
        </r>
        <r>
          <rPr>
            <b/>
            <sz val="9"/>
            <color indexed="12"/>
            <rFont val="Tahoma"/>
            <family val="2"/>
          </rPr>
          <t>XX</t>
        </r>
        <r>
          <rPr>
            <b/>
            <sz val="9"/>
            <color indexed="12"/>
            <rFont val="宋体"/>
            <family val="3"/>
            <charset val="134"/>
          </rPr>
          <t xml:space="preserve">元）。】
</t>
        </r>
      </text>
    </comment>
    <comment ref="K3229" authorId="2" shapeId="0">
      <text>
        <r>
          <rPr>
            <b/>
            <sz val="9"/>
            <color indexed="81"/>
            <rFont val="宋体"/>
            <family val="3"/>
            <charset val="134"/>
          </rPr>
          <t>胡晓明:
如需要，请在此设置公式，引用至注释小表中期末/本期数的单元格。</t>
        </r>
      </text>
    </comment>
    <comment ref="N3229" authorId="2" shapeId="0">
      <text>
        <r>
          <rPr>
            <b/>
            <sz val="9"/>
            <color indexed="81"/>
            <rFont val="宋体"/>
            <family val="3"/>
            <charset val="134"/>
          </rPr>
          <t>胡晓明:
如需要，请在此设置公式，引用至注释小表中期初/上期数的单元格。</t>
        </r>
      </text>
    </comment>
    <comment ref="K3273" authorId="2" shapeId="0">
      <text>
        <r>
          <rPr>
            <b/>
            <sz val="9"/>
            <color indexed="81"/>
            <rFont val="宋体"/>
            <family val="3"/>
            <charset val="134"/>
          </rPr>
          <t>胡晓明:
如需要，请在此设置公式，引用至注释小表中期末/本期数的单元格。</t>
        </r>
      </text>
    </comment>
    <comment ref="N3273" authorId="2" shapeId="0">
      <text>
        <r>
          <rPr>
            <b/>
            <sz val="9"/>
            <color indexed="81"/>
            <rFont val="宋体"/>
            <family val="3"/>
            <charset val="134"/>
          </rPr>
          <t>胡晓明:
如需要，请在此设置公式，引用至注释小表中期初/上期数的单元格。</t>
        </r>
      </text>
    </comment>
    <comment ref="K3280" authorId="2" shapeId="0">
      <text>
        <r>
          <rPr>
            <b/>
            <sz val="9"/>
            <color indexed="81"/>
            <rFont val="宋体"/>
            <family val="3"/>
            <charset val="134"/>
          </rPr>
          <t>胡晓明:
如需要，请在此设置公式，引用至注释小表中期末/本期数的单元格。</t>
        </r>
      </text>
    </comment>
    <comment ref="N3280" authorId="2" shapeId="0">
      <text>
        <r>
          <rPr>
            <b/>
            <sz val="9"/>
            <color indexed="81"/>
            <rFont val="宋体"/>
            <family val="3"/>
            <charset val="134"/>
          </rPr>
          <t>胡晓明:
如需要，请在此设置公式，引用至注释小表中期初/上期数的单元格。</t>
        </r>
      </text>
    </comment>
    <comment ref="S3280" authorId="1" shapeId="0">
      <text>
        <r>
          <rPr>
            <b/>
            <sz val="9"/>
            <color indexed="12"/>
            <rFont val="Tahoma"/>
            <family val="2"/>
          </rPr>
          <t>REAL Tips:
1</t>
        </r>
        <r>
          <rPr>
            <b/>
            <sz val="9"/>
            <color indexed="12"/>
            <rFont val="宋体"/>
            <family val="3"/>
            <charset val="134"/>
          </rPr>
          <t>、列示由于未来能否获得足够的应纳税所得额具有不确定性，因此没有确认为递延所得税资产的可抵扣暂时性差异和可抵扣亏损。</t>
        </r>
      </text>
    </comment>
    <comment ref="S3290" authorId="1" shapeId="0">
      <text>
        <r>
          <rPr>
            <b/>
            <sz val="9"/>
            <color indexed="12"/>
            <rFont val="Tahoma"/>
            <family val="2"/>
          </rPr>
          <t>REAL Tips:
1</t>
        </r>
        <r>
          <rPr>
            <b/>
            <sz val="9"/>
            <color indexed="12"/>
            <rFont val="宋体"/>
            <family val="3"/>
            <charset val="134"/>
          </rPr>
          <t>、无法在资产负债表日确定全部可抵扣亏损情况的，可只填写能确定部分的金额及其到期年度，并在备注栏予以说明。</t>
        </r>
      </text>
    </comment>
    <comment ref="G3307" authorId="3" shapeId="0">
      <text>
        <r>
          <rPr>
            <b/>
            <sz val="9"/>
            <rFont val="Tahoma"/>
            <family val="2"/>
          </rPr>
          <t>未解决注释间差异合计。
注：本表中的“差异”，如未 √ 以示确认，则为“未解决注释间差异（存疑差异）”。</t>
        </r>
      </text>
    </comment>
    <comment ref="N3333" authorId="2" shapeId="0">
      <text>
        <r>
          <rPr>
            <b/>
            <sz val="9"/>
            <color indexed="81"/>
            <rFont val="宋体"/>
            <family val="3"/>
            <charset val="134"/>
          </rPr>
          <t>胡晓明:
如需要，请在此设置公式，引用至注释小表中期初/上期数的单元格。</t>
        </r>
      </text>
    </comment>
    <comment ref="N3343" authorId="2" shapeId="0">
      <text>
        <r>
          <rPr>
            <b/>
            <sz val="9"/>
            <color indexed="81"/>
            <rFont val="宋体"/>
            <family val="3"/>
            <charset val="134"/>
          </rPr>
          <t>胡晓明:
如需要，请在此设置公式，引用至注释小表中期初/上期数的单元格。</t>
        </r>
      </text>
    </comment>
    <comment ref="N3353" authorId="2" shapeId="0">
      <text>
        <r>
          <rPr>
            <b/>
            <sz val="9"/>
            <color indexed="81"/>
            <rFont val="宋体"/>
            <family val="3"/>
            <charset val="134"/>
          </rPr>
          <t>胡晓明:
如需要，请在此设置公式，引用至注释小表中期初/上期数的单元格。</t>
        </r>
      </text>
    </comment>
    <comment ref="N3363" authorId="2" shapeId="0">
      <text>
        <r>
          <rPr>
            <b/>
            <sz val="9"/>
            <color indexed="81"/>
            <rFont val="宋体"/>
            <family val="3"/>
            <charset val="134"/>
          </rPr>
          <t>胡晓明:
如需要，请在此设置公式，引用至注释小表中期初/上期数的单元格。</t>
        </r>
      </text>
    </comment>
    <comment ref="S3363" authorId="1" shapeId="0">
      <text>
        <r>
          <rPr>
            <b/>
            <sz val="9"/>
            <color indexed="12"/>
            <rFont val="Tahoma"/>
            <family val="2"/>
          </rPr>
          <t>REAL Tips:
1</t>
        </r>
        <r>
          <rPr>
            <b/>
            <sz val="9"/>
            <color indexed="12"/>
            <rFont val="宋体"/>
            <family val="3"/>
            <charset val="134"/>
          </rPr>
          <t>、汇总披露逾期借款（包括从长期借款转入的）的期末余额。对于重要的逾期借款，还应按借款单位列示借款期末余额、借款利率、逾期时间、逾期利率。
披露示例：
本期末已逾期未偿还的短期借款余款合计</t>
        </r>
        <r>
          <rPr>
            <b/>
            <sz val="9"/>
            <color indexed="12"/>
            <rFont val="Tahoma"/>
            <family val="2"/>
          </rPr>
          <t>XXX</t>
        </r>
        <r>
          <rPr>
            <b/>
            <sz val="9"/>
            <color indexed="12"/>
            <rFont val="宋体"/>
            <family val="3"/>
            <charset val="134"/>
          </rPr>
          <t>元，其中由长期借款转入金额为</t>
        </r>
        <r>
          <rPr>
            <b/>
            <sz val="9"/>
            <color indexed="12"/>
            <rFont val="Tahoma"/>
            <family val="2"/>
          </rPr>
          <t>XXX</t>
        </r>
        <r>
          <rPr>
            <b/>
            <sz val="9"/>
            <color indexed="12"/>
            <rFont val="宋体"/>
            <family val="3"/>
            <charset val="134"/>
          </rPr>
          <t xml:space="preserve">元。
</t>
        </r>
      </text>
    </comment>
    <comment ref="S3413" authorId="1" shapeId="0">
      <text>
        <r>
          <rPr>
            <b/>
            <sz val="9"/>
            <color indexed="12"/>
            <rFont val="Tahoma"/>
            <family val="2"/>
          </rPr>
          <t>REAL Tips:
1</t>
        </r>
        <r>
          <rPr>
            <b/>
            <sz val="9"/>
            <color indexed="12"/>
            <rFont val="宋体"/>
            <family val="3"/>
            <charset val="134"/>
          </rPr>
          <t xml:space="preserve">、交易性金融负债的账面价值以及公允价值及其变动的相关情况，如涉及数量变化以及单位数量公允价值变动情况
</t>
        </r>
        <r>
          <rPr>
            <b/>
            <sz val="9"/>
            <color indexed="12"/>
            <rFont val="Tahoma"/>
            <family val="2"/>
          </rPr>
          <t>2</t>
        </r>
        <r>
          <rPr>
            <b/>
            <sz val="9"/>
            <color indexed="12"/>
            <rFont val="宋体"/>
            <family val="3"/>
            <charset val="134"/>
          </rPr>
          <t xml:space="preserve">、存在套期工具的，应对套期工具及相关套期交易作出说明
</t>
        </r>
      </text>
    </comment>
    <comment ref="S3425" authorId="1" shapeId="0">
      <text>
        <r>
          <rPr>
            <b/>
            <sz val="9"/>
            <color indexed="12"/>
            <rFont val="Tahoma"/>
            <family val="2"/>
          </rPr>
          <t>REAL Tips:
1</t>
        </r>
        <r>
          <rPr>
            <b/>
            <sz val="9"/>
            <color indexed="12"/>
            <rFont val="宋体"/>
            <family val="3"/>
            <charset val="134"/>
          </rPr>
          <t xml:space="preserve">、提示：企业衍生金融工具业务具有重要性的，单独披露衍生金融负债。
</t>
        </r>
        <r>
          <rPr>
            <b/>
            <sz val="9"/>
            <color indexed="12"/>
            <rFont val="Tahoma"/>
            <family val="2"/>
          </rPr>
          <t>2</t>
        </r>
        <r>
          <rPr>
            <b/>
            <sz val="9"/>
            <color indexed="12"/>
            <rFont val="宋体"/>
            <family val="3"/>
            <charset val="134"/>
          </rPr>
          <t>、</t>
        </r>
        <r>
          <rPr>
            <b/>
            <sz val="9"/>
            <color indexed="12"/>
            <rFont val="Tahoma"/>
            <family val="2"/>
          </rPr>
          <t>15</t>
        </r>
        <r>
          <rPr>
            <b/>
            <sz val="9"/>
            <color indexed="12"/>
            <rFont val="宋体"/>
            <family val="3"/>
            <charset val="134"/>
          </rPr>
          <t xml:space="preserve">号文第二十条（三），分类列示衍生金融负债期初余额、期末余额，披露其形成的原因以及相关会计处理。
</t>
        </r>
      </text>
    </comment>
    <comment ref="G3473" authorId="0" shapeId="0">
      <text>
        <r>
          <rPr>
            <b/>
            <sz val="9"/>
            <color indexed="81"/>
            <rFont val="Tahoma"/>
            <family val="2"/>
          </rPr>
          <t>未解决注释间差异合计。
注：本表中的“差异”，如未 √ 以示确认，则为“未解决注释间差异（存疑差异）”。</t>
        </r>
      </text>
    </comment>
    <comment ref="N3475" authorId="2" shapeId="0">
      <text>
        <r>
          <rPr>
            <b/>
            <sz val="9"/>
            <color indexed="81"/>
            <rFont val="宋体"/>
            <family val="3"/>
            <charset val="134"/>
          </rPr>
          <t>胡晓明:
如需要，请在此设置公式，引用至注释小表中期初/上期数的单元格。</t>
        </r>
      </text>
    </comment>
    <comment ref="N3485" authorId="2" shapeId="0">
      <text>
        <r>
          <rPr>
            <b/>
            <sz val="9"/>
            <color indexed="81"/>
            <rFont val="宋体"/>
            <family val="3"/>
            <charset val="134"/>
          </rPr>
          <t>胡晓明:
如需要，请在此设置公式，引用至注释小表中期初/上期数的单元格。</t>
        </r>
      </text>
    </comment>
    <comment ref="K3495" authorId="2" shapeId="0">
      <text>
        <r>
          <rPr>
            <b/>
            <sz val="9"/>
            <color indexed="81"/>
            <rFont val="宋体"/>
            <family val="3"/>
            <charset val="134"/>
          </rPr>
          <t>胡晓明:
如需要，请在此设置公式，引用至注释小表中期末/本期数的单元格。</t>
        </r>
      </text>
    </comment>
    <comment ref="N3495" authorId="2" shapeId="0">
      <text>
        <r>
          <rPr>
            <b/>
            <sz val="9"/>
            <color indexed="81"/>
            <rFont val="宋体"/>
            <family val="3"/>
            <charset val="134"/>
          </rPr>
          <t>胡晓明:
如需要，请在此设置公式，引用至注释小表中期初/上期数的单元格。</t>
        </r>
      </text>
    </comment>
    <comment ref="N3505" authorId="2" shapeId="0">
      <text>
        <r>
          <rPr>
            <b/>
            <sz val="9"/>
            <color indexed="81"/>
            <rFont val="宋体"/>
            <family val="3"/>
            <charset val="134"/>
          </rPr>
          <t>胡晓明:
如需要，请在此设置公式，引用至注释小表中期初/上期数的单元格。</t>
        </r>
      </text>
    </comment>
    <comment ref="N3515" authorId="2" shapeId="0">
      <text>
        <r>
          <rPr>
            <b/>
            <sz val="9"/>
            <color indexed="81"/>
            <rFont val="宋体"/>
            <family val="3"/>
            <charset val="134"/>
          </rPr>
          <t>胡晓明:
如需要，请在此设置公式，引用至注释小表中期初/上期数的单元格。</t>
        </r>
      </text>
    </comment>
    <comment ref="G3560" authorId="0" shapeId="0">
      <text>
        <r>
          <rPr>
            <b/>
            <sz val="9"/>
            <color indexed="81"/>
            <rFont val="Tahoma"/>
            <family val="2"/>
          </rPr>
          <t>未解决注释间差异合计。
注：本表中的“差异”，如未 √ 以示确认，则为“未解决注释间差异（存疑差异）”。</t>
        </r>
      </text>
    </comment>
    <comment ref="N3562" authorId="2" shapeId="0">
      <text>
        <r>
          <rPr>
            <b/>
            <sz val="9"/>
            <color indexed="81"/>
            <rFont val="宋体"/>
            <family val="3"/>
            <charset val="134"/>
          </rPr>
          <t>胡晓明:
如需要，请在此设置公式，引用至注释小表中期初/上期数的单元格。</t>
        </r>
      </text>
    </comment>
    <comment ref="N3572" authorId="2" shapeId="0">
      <text>
        <r>
          <rPr>
            <b/>
            <sz val="9"/>
            <color indexed="81"/>
            <rFont val="宋体"/>
            <family val="3"/>
            <charset val="134"/>
          </rPr>
          <t>胡晓明:
如需要，请在此设置公式，引用至注释小表中期初/上期数的单元格。</t>
        </r>
      </text>
    </comment>
    <comment ref="S3572" authorId="1" shapeId="0">
      <text>
        <r>
          <rPr>
            <b/>
            <sz val="9"/>
            <color indexed="12"/>
            <rFont val="Tahoma"/>
            <family val="2"/>
          </rPr>
          <t>REAL Tips:
1</t>
        </r>
        <r>
          <rPr>
            <b/>
            <sz val="9"/>
            <color indexed="12"/>
            <rFont val="宋体"/>
            <family val="3"/>
            <charset val="134"/>
          </rPr>
          <t>、</t>
        </r>
        <r>
          <rPr>
            <b/>
            <sz val="9"/>
            <color indexed="12"/>
            <rFont val="Tahoma"/>
            <family val="2"/>
          </rPr>
          <t>15</t>
        </r>
        <r>
          <rPr>
            <b/>
            <sz val="9"/>
            <color indexed="12"/>
            <rFont val="宋体"/>
            <family val="3"/>
            <charset val="134"/>
          </rPr>
          <t xml:space="preserve">号文第二十条（五），预收款项期末余额中含有建造合同形成的已结算未完工项目的，应汇总披露累计已发生成本、累计已确认毛利、预计损失、已办理结算的金额。
</t>
        </r>
        <r>
          <rPr>
            <b/>
            <sz val="9"/>
            <color indexed="12"/>
            <rFont val="Tahoma"/>
            <family val="2"/>
          </rPr>
          <t>2</t>
        </r>
        <r>
          <rPr>
            <b/>
            <sz val="9"/>
            <color indexed="12"/>
            <rFont val="宋体"/>
            <family val="3"/>
            <charset val="134"/>
          </rPr>
          <t xml:space="preserve">、本表披露截至资产负债表日在建的建造合同工程中已结算未完工项目的信息。不包括已完工未结算项目。
</t>
        </r>
        <r>
          <rPr>
            <b/>
            <sz val="9"/>
            <color indexed="12"/>
            <rFont val="Tahoma"/>
            <family val="2"/>
          </rPr>
          <t>3</t>
        </r>
        <r>
          <rPr>
            <b/>
            <sz val="9"/>
            <color indexed="12"/>
            <rFont val="宋体"/>
            <family val="3"/>
            <charset val="134"/>
          </rPr>
          <t xml:space="preserve">、累计已发生成本：指该建造合同实际已发生的合同成本，即“工程施工”科目下的“合同成本”明细项期末余额；
</t>
        </r>
        <r>
          <rPr>
            <b/>
            <sz val="9"/>
            <color indexed="12"/>
            <rFont val="Tahoma"/>
            <family val="2"/>
          </rPr>
          <t>4</t>
        </r>
        <r>
          <rPr>
            <b/>
            <sz val="9"/>
            <color indexed="12"/>
            <rFont val="宋体"/>
            <family val="3"/>
            <charset val="134"/>
          </rPr>
          <t xml:space="preserve">、累计已确认毛利（亏损）：指该建造合同累计已确认的毛利（亏损），即“工程施工”科目下的“合同毛利”明细项期末余额；
</t>
        </r>
        <r>
          <rPr>
            <b/>
            <sz val="9"/>
            <color indexed="12"/>
            <rFont val="Tahoma"/>
            <family val="2"/>
          </rPr>
          <t>5</t>
        </r>
        <r>
          <rPr>
            <b/>
            <sz val="9"/>
            <color indexed="12"/>
            <rFont val="宋体"/>
            <family val="3"/>
            <charset val="134"/>
          </rPr>
          <t xml:space="preserve">、已办理结算的价款（未完工已结算的金额）：指该建造合同累计已结算金额，即“工程结算”科目期末余额；
</t>
        </r>
        <r>
          <rPr>
            <b/>
            <sz val="9"/>
            <color indexed="12"/>
            <rFont val="Tahoma"/>
            <family val="2"/>
          </rPr>
          <t>6</t>
        </r>
        <r>
          <rPr>
            <b/>
            <sz val="9"/>
            <color indexed="12"/>
            <rFont val="宋体"/>
            <family val="3"/>
            <charset val="134"/>
          </rPr>
          <t xml:space="preserve">、预计损失：指存货跌价准备中相关建造合同的跌价准备期末余额。
</t>
        </r>
      </text>
    </comment>
    <comment ref="G3575" authorId="1" shapeId="0">
      <text>
        <r>
          <rPr>
            <b/>
            <sz val="9"/>
            <color indexed="12"/>
            <rFont val="Tahoma"/>
            <family val="2"/>
          </rPr>
          <t xml:space="preserve">WPE Tips:
</t>
        </r>
        <r>
          <rPr>
            <b/>
            <sz val="9"/>
            <color indexed="12"/>
            <rFont val="宋体"/>
            <family val="3"/>
            <charset val="134"/>
          </rPr>
          <t>累计已发生成本：指该建造合同实际已发生的合同成本，即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合同成本</t>
        </r>
        <r>
          <rPr>
            <b/>
            <sz val="9"/>
            <color indexed="12"/>
            <rFont val="Tahoma"/>
            <family val="2"/>
          </rPr>
          <t>”</t>
        </r>
        <r>
          <rPr>
            <b/>
            <sz val="9"/>
            <color indexed="12"/>
            <rFont val="宋体"/>
            <family val="3"/>
            <charset val="134"/>
          </rPr>
          <t>明细项期末余额</t>
        </r>
      </text>
    </comment>
    <comment ref="G3576" authorId="1" shapeId="0">
      <text>
        <r>
          <rPr>
            <b/>
            <sz val="9"/>
            <color indexed="12"/>
            <rFont val="Tahoma"/>
            <family val="2"/>
          </rPr>
          <t xml:space="preserve">WPE Tips:
</t>
        </r>
        <r>
          <rPr>
            <b/>
            <sz val="9"/>
            <color indexed="12"/>
            <rFont val="宋体"/>
            <family val="3"/>
            <charset val="134"/>
          </rPr>
          <t>累计已确认毛利（亏损）：指该建造合同累计已确认的毛利（亏损），即</t>
        </r>
        <r>
          <rPr>
            <b/>
            <sz val="9"/>
            <color indexed="12"/>
            <rFont val="Tahoma"/>
            <family val="2"/>
          </rPr>
          <t>“</t>
        </r>
        <r>
          <rPr>
            <b/>
            <sz val="9"/>
            <color indexed="12"/>
            <rFont val="宋体"/>
            <family val="3"/>
            <charset val="134"/>
          </rPr>
          <t>工程施工</t>
        </r>
        <r>
          <rPr>
            <b/>
            <sz val="9"/>
            <color indexed="12"/>
            <rFont val="Tahoma"/>
            <family val="2"/>
          </rPr>
          <t>”</t>
        </r>
        <r>
          <rPr>
            <b/>
            <sz val="9"/>
            <color indexed="12"/>
            <rFont val="宋体"/>
            <family val="3"/>
            <charset val="134"/>
          </rPr>
          <t>科目下的</t>
        </r>
        <r>
          <rPr>
            <b/>
            <sz val="9"/>
            <color indexed="12"/>
            <rFont val="Tahoma"/>
            <family val="2"/>
          </rPr>
          <t>“</t>
        </r>
        <r>
          <rPr>
            <b/>
            <sz val="9"/>
            <color indexed="12"/>
            <rFont val="宋体"/>
            <family val="3"/>
            <charset val="134"/>
          </rPr>
          <t>合同毛利</t>
        </r>
        <r>
          <rPr>
            <b/>
            <sz val="9"/>
            <color indexed="12"/>
            <rFont val="Tahoma"/>
            <family val="2"/>
          </rPr>
          <t>”</t>
        </r>
        <r>
          <rPr>
            <b/>
            <sz val="9"/>
            <color indexed="12"/>
            <rFont val="宋体"/>
            <family val="3"/>
            <charset val="134"/>
          </rPr>
          <t>明细项期末余额</t>
        </r>
      </text>
    </comment>
    <comment ref="G3577" authorId="1" shapeId="0">
      <text>
        <r>
          <rPr>
            <b/>
            <sz val="9"/>
            <color indexed="12"/>
            <rFont val="Tahoma"/>
            <family val="2"/>
          </rPr>
          <t xml:space="preserve">WPE Tips:
</t>
        </r>
        <r>
          <rPr>
            <b/>
            <sz val="9"/>
            <color indexed="12"/>
            <rFont val="宋体"/>
            <family val="3"/>
            <charset val="134"/>
          </rPr>
          <t>已办理结算的价款（未完工已结算的金额）：指该建造合同累计已结算金额，即“工程结算”科目期末余额</t>
        </r>
      </text>
    </comment>
    <comment ref="G3578" authorId="1" shapeId="0">
      <text>
        <r>
          <rPr>
            <b/>
            <sz val="9"/>
            <color indexed="12"/>
            <rFont val="Tahoma"/>
            <family val="2"/>
          </rPr>
          <t xml:space="preserve">WPE Tips:
</t>
        </r>
        <r>
          <rPr>
            <b/>
            <sz val="9"/>
            <color indexed="12"/>
            <rFont val="宋体"/>
            <family val="3"/>
            <charset val="134"/>
          </rPr>
          <t>预计损失：指存货跌价准备中相关建造合同的跌价准备期末余额</t>
        </r>
      </text>
    </comment>
    <comment ref="S3582" authorId="1" shapeId="0">
      <text>
        <r>
          <rPr>
            <b/>
            <sz val="9"/>
            <color indexed="12"/>
            <rFont val="Tahoma"/>
            <family val="2"/>
          </rPr>
          <t>REAL Tips:
1</t>
        </r>
        <r>
          <rPr>
            <b/>
            <sz val="9"/>
            <color indexed="12"/>
            <rFont val="宋体"/>
            <family val="3"/>
            <charset val="134"/>
          </rPr>
          <t>、房地产开发企业增加披露本表</t>
        </r>
      </text>
    </comment>
    <comment ref="K3592" authorId="2" shapeId="0">
      <text>
        <r>
          <rPr>
            <b/>
            <sz val="9"/>
            <color indexed="81"/>
            <rFont val="宋体"/>
            <family val="3"/>
            <charset val="134"/>
          </rPr>
          <t>胡晓明:
如需要，请在此设置公式，引用至注释小表中期末/本期数的单元格。</t>
        </r>
      </text>
    </comment>
    <comment ref="N3592" authorId="2" shapeId="0">
      <text>
        <r>
          <rPr>
            <b/>
            <sz val="9"/>
            <color indexed="81"/>
            <rFont val="宋体"/>
            <family val="3"/>
            <charset val="134"/>
          </rPr>
          <t>胡晓明:
如需要，请在此设置公式，引用至注释小表中期初/上期数的单元格。</t>
        </r>
      </text>
    </comment>
    <comment ref="N3602" authorId="2" shapeId="0">
      <text>
        <r>
          <rPr>
            <b/>
            <sz val="9"/>
            <color indexed="81"/>
            <rFont val="宋体"/>
            <family val="3"/>
            <charset val="134"/>
          </rPr>
          <t>胡晓明:
如需要，请在此设置公式，引用至注释小表中期初/上期数的单元格。</t>
        </r>
      </text>
    </comment>
    <comment ref="S3621" authorId="1" shapeId="0">
      <text>
        <r>
          <rPr>
            <b/>
            <sz val="9"/>
            <color indexed="12"/>
            <rFont val="Tahoma"/>
            <family val="2"/>
          </rPr>
          <t>REAL Tips:
1</t>
        </r>
        <r>
          <rPr>
            <b/>
            <sz val="9"/>
            <color indexed="12"/>
            <rFont val="宋体"/>
            <family val="3"/>
            <charset val="134"/>
          </rPr>
          <t>、应付职工薪酬、设定受益计划净负债（净资产）、一年后支付的辞退福利及其他长期职工福利本期减少一般与现金流量中“支付职工”项一致，除非代扣税未交、实物发放等</t>
        </r>
      </text>
    </comment>
    <comment ref="S3622" authorId="1" shapeId="0">
      <text>
        <r>
          <rPr>
            <b/>
            <sz val="9"/>
            <color indexed="12"/>
            <rFont val="Tahoma"/>
            <family val="2"/>
          </rPr>
          <t>REAL Tips:
1</t>
        </r>
        <r>
          <rPr>
            <b/>
            <sz val="9"/>
            <color indexed="12"/>
            <rFont val="宋体"/>
            <family val="3"/>
            <charset val="134"/>
          </rPr>
          <t>、辞退福利包括（</t>
        </r>
        <r>
          <rPr>
            <b/>
            <sz val="9"/>
            <color indexed="12"/>
            <rFont val="Tahoma"/>
            <family val="2"/>
          </rPr>
          <t>1</t>
        </r>
        <r>
          <rPr>
            <b/>
            <sz val="9"/>
            <color indexed="12"/>
            <rFont val="宋体"/>
            <family val="3"/>
            <charset val="134"/>
          </rPr>
          <t>）预期在其确认的年度报告期间期末后</t>
        </r>
        <r>
          <rPr>
            <b/>
            <sz val="9"/>
            <color indexed="12"/>
            <rFont val="Tahoma"/>
            <family val="2"/>
          </rPr>
          <t>12</t>
        </r>
        <r>
          <rPr>
            <b/>
            <sz val="9"/>
            <color indexed="12"/>
            <rFont val="宋体"/>
            <family val="3"/>
            <charset val="134"/>
          </rPr>
          <t>个月内完全支付的辞退福利；（</t>
        </r>
        <r>
          <rPr>
            <b/>
            <sz val="9"/>
            <color indexed="12"/>
            <rFont val="Tahoma"/>
            <family val="2"/>
          </rPr>
          <t>2</t>
        </r>
        <r>
          <rPr>
            <b/>
            <sz val="9"/>
            <color indexed="12"/>
            <rFont val="宋体"/>
            <family val="3"/>
            <charset val="134"/>
          </rPr>
          <t>）补偿款超过</t>
        </r>
        <r>
          <rPr>
            <b/>
            <sz val="9"/>
            <color indexed="12"/>
            <rFont val="Tahoma"/>
            <family val="2"/>
          </rPr>
          <t>1</t>
        </r>
        <r>
          <rPr>
            <b/>
            <sz val="9"/>
            <color indexed="12"/>
            <rFont val="宋体"/>
            <family val="3"/>
            <charset val="134"/>
          </rPr>
          <t>年支付的辞退计划将于年度报告期间期末后</t>
        </r>
        <r>
          <rPr>
            <b/>
            <sz val="9"/>
            <color indexed="12"/>
            <rFont val="Tahoma"/>
            <family val="2"/>
          </rPr>
          <t>12</t>
        </r>
        <r>
          <rPr>
            <b/>
            <sz val="9"/>
            <color indexed="12"/>
            <rFont val="宋体"/>
            <family val="3"/>
            <charset val="134"/>
          </rPr>
          <t xml:space="preserve">个月内支付的款项，例如内退计划将于下一年支付的金额。
</t>
        </r>
        <r>
          <rPr>
            <b/>
            <sz val="9"/>
            <color indexed="12"/>
            <rFont val="Tahoma"/>
            <family val="2"/>
          </rPr>
          <t>2</t>
        </r>
        <r>
          <rPr>
            <b/>
            <sz val="9"/>
            <color indexed="12"/>
            <rFont val="宋体"/>
            <family val="3"/>
            <charset val="134"/>
          </rPr>
          <t>、一年内到期的其他福利：指一年内到期的设定受益计划及其他长期福利；应根据</t>
        </r>
        <r>
          <rPr>
            <b/>
            <sz val="9"/>
            <color indexed="12"/>
            <rFont val="Tahoma"/>
            <family val="2"/>
          </rPr>
          <t>“</t>
        </r>
        <r>
          <rPr>
            <b/>
            <sz val="9"/>
            <color indexed="12"/>
            <rFont val="宋体"/>
            <family val="3"/>
            <charset val="134"/>
          </rPr>
          <t>长期应付职工薪酬</t>
        </r>
        <r>
          <rPr>
            <b/>
            <sz val="9"/>
            <color indexed="12"/>
            <rFont val="Tahoma"/>
            <family val="2"/>
          </rPr>
          <t>”</t>
        </r>
        <r>
          <rPr>
            <b/>
            <sz val="9"/>
            <color indexed="12"/>
            <rFont val="宋体"/>
            <family val="3"/>
            <charset val="134"/>
          </rPr>
          <t xml:space="preserve">项目分析填列。
</t>
        </r>
        <r>
          <rPr>
            <b/>
            <sz val="9"/>
            <color indexed="12"/>
            <rFont val="Tahoma"/>
            <family val="2"/>
          </rPr>
          <t>IAS19-</t>
        </r>
        <r>
          <rPr>
            <b/>
            <sz val="9"/>
            <color indexed="12"/>
            <rFont val="宋体"/>
            <family val="3"/>
            <charset val="134"/>
          </rPr>
          <t>雇员福利</t>
        </r>
        <r>
          <rPr>
            <b/>
            <sz val="9"/>
            <color indexed="12"/>
            <rFont val="Tahoma"/>
            <family val="2"/>
          </rPr>
          <t xml:space="preserve">-200 </t>
        </r>
        <r>
          <rPr>
            <b/>
            <sz val="9"/>
            <color indexed="12"/>
            <rFont val="MS Gothic"/>
            <family val="3"/>
            <charset val="128"/>
          </rPr>
          <t>・</t>
        </r>
        <r>
          <rPr>
            <b/>
            <sz val="9"/>
            <color indexed="12"/>
            <rFont val="宋体"/>
            <family val="3"/>
            <charset val="134"/>
          </rPr>
          <t xml:space="preserve">国际会计准则委员会决定，不规定主体是否应区分离职后福利产生的资产和负债的流动和非流动部分，因为这一区分有时可能是武断的。
</t>
        </r>
      </text>
    </comment>
    <comment ref="S3632" authorId="1" shapeId="0">
      <text>
        <r>
          <rPr>
            <b/>
            <sz val="9"/>
            <color indexed="12"/>
            <rFont val="Tahoma"/>
            <family val="2"/>
          </rPr>
          <t>REAL Tips:
1</t>
        </r>
        <r>
          <rPr>
            <b/>
            <sz val="9"/>
            <color indexed="12"/>
            <rFont val="宋体"/>
            <family val="3"/>
            <charset val="134"/>
          </rPr>
          <t xml:space="preserve">、（企业本期为职工提供的各项非货币性福利形式、其计算依据。）
</t>
        </r>
        <r>
          <rPr>
            <b/>
            <sz val="9"/>
            <color indexed="12"/>
            <rFont val="Tahoma"/>
            <family val="2"/>
          </rPr>
          <t>2</t>
        </r>
        <r>
          <rPr>
            <b/>
            <sz val="9"/>
            <color indexed="12"/>
            <rFont val="宋体"/>
            <family val="3"/>
            <charset val="134"/>
          </rPr>
          <t xml:space="preserve">、（企业依据短期利润分享计划提供的职工薪酬计算依据。）
</t>
        </r>
      </text>
    </comment>
    <comment ref="G3659" authorId="0" shapeId="0">
      <text>
        <r>
          <rPr>
            <b/>
            <sz val="9"/>
            <color indexed="81"/>
            <rFont val="Tahoma"/>
            <family val="2"/>
          </rPr>
          <t>未解决注释间差异合计。
注：本表中的“差异”，如未 √ 以示确认，则为“未解决注释间差异（存疑差异）”。</t>
        </r>
      </text>
    </comment>
    <comment ref="S3661"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G3683" authorId="0" shapeId="0">
      <text>
        <r>
          <rPr>
            <b/>
            <sz val="9"/>
            <color indexed="81"/>
            <rFont val="Tahoma"/>
            <family val="2"/>
          </rPr>
          <t>未解决注释间差异合计。
注：本表中的“差异”，如未 √ 以示确认，则为“未解决注释间差异（存疑差异）”。</t>
        </r>
      </text>
    </comment>
    <comment ref="S3685"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17" authorId="1" shapeId="0">
      <text>
        <r>
          <rPr>
            <b/>
            <sz val="9"/>
            <color indexed="12"/>
            <rFont val="Tahoma"/>
            <family val="2"/>
          </rPr>
          <t>REAL Tips:
1</t>
        </r>
        <r>
          <rPr>
            <b/>
            <sz val="9"/>
            <color indexed="12"/>
            <rFont val="宋体"/>
            <family val="3"/>
            <charset val="134"/>
          </rPr>
          <t xml:space="preserve">、设定提存计划的性质、计算缴费金额的公式或依据
</t>
        </r>
        <r>
          <rPr>
            <b/>
            <sz val="9"/>
            <color indexed="12"/>
            <rFont val="Tahoma"/>
            <family val="2"/>
          </rPr>
          <t>2</t>
        </r>
        <r>
          <rPr>
            <b/>
            <sz val="9"/>
            <color indexed="12"/>
            <rFont val="宋体"/>
            <family val="3"/>
            <charset val="134"/>
          </rPr>
          <t xml:space="preserve">、其他长期职工福利指符合设定提存计划条件的其他长期职工福利
</t>
        </r>
      </text>
    </comment>
    <comment ref="S3731"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S3750" authorId="1" shapeId="0">
      <text>
        <r>
          <rPr>
            <b/>
            <sz val="9"/>
            <color indexed="12"/>
            <rFont val="Tahoma"/>
            <family val="2"/>
          </rPr>
          <t>REAL Tips:
1</t>
        </r>
        <r>
          <rPr>
            <b/>
            <sz val="9"/>
            <color indexed="12"/>
            <rFont val="宋体"/>
            <family val="3"/>
            <charset val="134"/>
          </rPr>
          <t xml:space="preserve">、小税（费）种可合并反映。
</t>
        </r>
        <r>
          <rPr>
            <b/>
            <sz val="9"/>
            <color indexed="12"/>
            <rFont val="Tahoma"/>
            <family val="2"/>
          </rPr>
          <t>2</t>
        </r>
        <r>
          <rPr>
            <b/>
            <sz val="9"/>
            <color indexed="12"/>
            <rFont val="宋体"/>
            <family val="3"/>
            <charset val="134"/>
          </rPr>
          <t xml:space="preserve">、对于满足条件将当期所得税资产及当期所得税负债以抵销后的净额列示的情况，当企业实际交纳的所得税税款大于按照税法规定计算的应交税时，超过部分在资产负债表中应当列示为“其他流动资产”；当企业实际交纳的所得税税款小于按照税法规定计算的应交税时，差额部分应当作为资产负债表中的“应交税费”项目列示。
</t>
        </r>
      </text>
    </comment>
    <comment ref="K3794" authorId="2" shapeId="0">
      <text>
        <r>
          <rPr>
            <b/>
            <sz val="9"/>
            <color indexed="81"/>
            <rFont val="宋体"/>
            <family val="3"/>
            <charset val="134"/>
          </rPr>
          <t>胡晓明:
如需要，请在此设置公式，引用至注释小表中期末/本期数的单元格。</t>
        </r>
      </text>
    </comment>
    <comment ref="N3794" authorId="2" shapeId="0">
      <text>
        <r>
          <rPr>
            <b/>
            <sz val="9"/>
            <color indexed="81"/>
            <rFont val="宋体"/>
            <family val="3"/>
            <charset val="134"/>
          </rPr>
          <t>胡晓明:
如需要，请在此设置公式，引用至注释小表中期初/上期数的单元格。</t>
        </r>
      </text>
    </comment>
    <comment ref="N3822" authorId="2" shapeId="0">
      <text>
        <r>
          <rPr>
            <b/>
            <sz val="9"/>
            <color indexed="81"/>
            <rFont val="宋体"/>
            <family val="3"/>
            <charset val="134"/>
          </rPr>
          <t>胡晓明:
如需要，请在此设置公式，引用至注释小表中期初/上期数的单元格。</t>
        </r>
      </text>
    </comment>
    <comment ref="G3858" authorId="0" shapeId="0">
      <text>
        <r>
          <rPr>
            <b/>
            <sz val="9"/>
            <color indexed="81"/>
            <rFont val="Tahoma"/>
            <family val="2"/>
          </rPr>
          <t>未解决注释间差异合计。
注：本表中的“差异”，如未 √ 以示确认，则为“未解决注释间差异（存疑差异）”。</t>
        </r>
      </text>
    </comment>
    <comment ref="N3860" authorId="2" shapeId="0">
      <text>
        <r>
          <rPr>
            <b/>
            <sz val="9"/>
            <color indexed="81"/>
            <rFont val="宋体"/>
            <family val="3"/>
            <charset val="134"/>
          </rPr>
          <t>胡晓明:
如需要，请在此设置公式，引用至注释小表中期初/上期数的单元格。</t>
        </r>
      </text>
    </comment>
    <comment ref="N3870" authorId="2" shapeId="0">
      <text>
        <r>
          <rPr>
            <b/>
            <sz val="9"/>
            <color indexed="81"/>
            <rFont val="宋体"/>
            <family val="3"/>
            <charset val="134"/>
          </rPr>
          <t>胡晓明:
如需要，请在此设置公式，引用至注释小表中期初/上期数的单元格。</t>
        </r>
      </text>
    </comment>
    <comment ref="N3880" authorId="2" shapeId="0">
      <text>
        <r>
          <rPr>
            <b/>
            <sz val="9"/>
            <color indexed="81"/>
            <rFont val="宋体"/>
            <family val="3"/>
            <charset val="134"/>
          </rPr>
          <t>胡晓明:
如需要，请在此设置公式，引用至注释小表中期初/上期数的单元格。</t>
        </r>
      </text>
    </comment>
    <comment ref="K3890" authorId="2" shapeId="0">
      <text>
        <r>
          <rPr>
            <b/>
            <sz val="9"/>
            <color indexed="81"/>
            <rFont val="宋体"/>
            <family val="3"/>
            <charset val="134"/>
          </rPr>
          <t>胡晓明:
如需要，请在此设置公式，引用至注释小表中期末/本期数的单元格。</t>
        </r>
      </text>
    </comment>
    <comment ref="N3890" authorId="2" shapeId="0">
      <text>
        <r>
          <rPr>
            <b/>
            <sz val="9"/>
            <color indexed="81"/>
            <rFont val="宋体"/>
            <family val="3"/>
            <charset val="134"/>
          </rPr>
          <t>胡晓明:
如需要，请在此设置公式，引用至注释小表中期初/上期数的单元格。</t>
        </r>
      </text>
    </comment>
    <comment ref="N3900" authorId="2" shapeId="0">
      <text>
        <r>
          <rPr>
            <b/>
            <sz val="9"/>
            <color indexed="81"/>
            <rFont val="宋体"/>
            <family val="3"/>
            <charset val="134"/>
          </rPr>
          <t>胡晓明:
如需要，请在此设置公式，引用至注释小表中期初/上期数的单元格。</t>
        </r>
      </text>
    </comment>
    <comment ref="S3972"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）取得政府补助时，预计在一年以内（含一年）转入损益的项目，应在“其他流动负债”项目列报；
（</t>
        </r>
        <r>
          <rPr>
            <b/>
            <sz val="9"/>
            <color indexed="12"/>
            <rFont val="Tahoma"/>
            <family val="2"/>
          </rPr>
          <t>2</t>
        </r>
        <r>
          <rPr>
            <b/>
            <sz val="9"/>
            <color indexed="12"/>
            <rFont val="宋体"/>
            <family val="3"/>
            <charset val="134"/>
          </rPr>
          <t xml:space="preserve">）取得政府补助时，预计转入损益的期限超过一年的项目：
①自资产负债表日起，下一年度转入损益的金额，应在“一年内到期的其他非流动负债”项目中列报；
②自资产负债表日起，将于下一年度之后转入损益的金额，在“递延收益”项目中列报。
</t>
        </r>
      </text>
    </comment>
    <comment ref="G3998" authorId="1" shapeId="0">
      <text>
        <r>
          <rPr>
            <b/>
            <sz val="9"/>
            <rFont val="Tahoma"/>
            <family val="2"/>
          </rPr>
          <t>未解决注释间差异合计。
注：本表中的“差异”，如未 √ 以示确认，则为“未解决注释间差异（存疑差异）”。</t>
        </r>
      </text>
    </comment>
    <comment ref="N4014" authorId="2" shapeId="0">
      <text>
        <r>
          <rPr>
            <b/>
            <sz val="9"/>
            <color indexed="81"/>
            <rFont val="宋体"/>
            <family val="3"/>
            <charset val="134"/>
          </rPr>
          <t>胡晓明:
如需要，请在此设置公式，引用至注释小表中期初/上期数的单元格。</t>
        </r>
      </text>
    </comment>
    <comment ref="N4024" authorId="2" shapeId="0">
      <text>
        <r>
          <rPr>
            <b/>
            <sz val="9"/>
            <color indexed="81"/>
            <rFont val="宋体"/>
            <family val="3"/>
            <charset val="134"/>
          </rPr>
          <t>胡晓明:
如需要，请在此设置公式，引用至注释小表中期初/上期数的单元格。</t>
        </r>
      </text>
    </comment>
    <comment ref="N4034" authorId="2" shapeId="0">
      <text>
        <r>
          <rPr>
            <b/>
            <sz val="9"/>
            <color indexed="81"/>
            <rFont val="宋体"/>
            <family val="3"/>
            <charset val="134"/>
          </rPr>
          <t>胡晓明:
如需要，请在此设置公式，引用至注释小表中期初/上期数的单元格。</t>
        </r>
      </text>
    </comment>
    <comment ref="S4054" authorId="1" shapeId="0">
      <text>
        <r>
          <rPr>
            <b/>
            <sz val="9"/>
            <color indexed="12"/>
            <rFont val="Tahoma"/>
            <family val="2"/>
          </rPr>
          <t>REAL Tips:
1</t>
        </r>
        <r>
          <rPr>
            <b/>
            <sz val="9"/>
            <color indexed="12"/>
            <rFont val="宋体"/>
            <family val="3"/>
            <charset val="134"/>
          </rPr>
          <t>、可转换公司债券
说明：（可转换公司债券的转股条件、转股时间
披露举例：
根据中国证券监督管理委员会证监发行字</t>
        </r>
        <r>
          <rPr>
            <b/>
            <sz val="9"/>
            <color indexed="12"/>
            <rFont val="Tahoma"/>
            <family val="2"/>
          </rPr>
          <t>[200x]XX</t>
        </r>
        <r>
          <rPr>
            <b/>
            <sz val="9"/>
            <color indexed="12"/>
            <rFont val="宋体"/>
            <family val="3"/>
            <charset val="134"/>
          </rPr>
          <t>号核准，本公司于</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日至</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日公开发行</t>
        </r>
        <r>
          <rPr>
            <b/>
            <sz val="9"/>
            <color indexed="12"/>
            <rFont val="Tahoma"/>
            <family val="2"/>
          </rPr>
          <t>XX</t>
        </r>
        <r>
          <rPr>
            <b/>
            <sz val="9"/>
            <color indexed="12"/>
            <rFont val="宋体"/>
            <family val="3"/>
            <charset val="134"/>
          </rPr>
          <t>份可转换公司债券，每份面值</t>
        </r>
        <r>
          <rPr>
            <b/>
            <sz val="9"/>
            <color indexed="12"/>
            <rFont val="Tahoma"/>
            <family val="2"/>
          </rPr>
          <t>100</t>
        </r>
        <r>
          <rPr>
            <b/>
            <sz val="9"/>
            <color indexed="12"/>
            <rFont val="宋体"/>
            <family val="3"/>
            <charset val="134"/>
          </rPr>
          <t>元，发行总额</t>
        </r>
        <r>
          <rPr>
            <b/>
            <sz val="9"/>
            <color indexed="12"/>
            <rFont val="Tahoma"/>
            <family val="2"/>
          </rPr>
          <t>XXX</t>
        </r>
        <r>
          <rPr>
            <b/>
            <sz val="9"/>
            <color indexed="12"/>
            <rFont val="宋体"/>
            <family val="3"/>
            <charset val="134"/>
          </rPr>
          <t>元，债券期限为</t>
        </r>
        <r>
          <rPr>
            <b/>
            <sz val="9"/>
            <color indexed="12"/>
            <rFont val="Tahoma"/>
            <family val="2"/>
          </rPr>
          <t>X</t>
        </r>
        <r>
          <rPr>
            <b/>
            <sz val="9"/>
            <color indexed="12"/>
            <rFont val="宋体"/>
            <family val="3"/>
            <charset val="134"/>
          </rPr>
          <t>年。
本公司发行的可转换公司债券的票面利率为</t>
        </r>
        <r>
          <rPr>
            <b/>
            <sz val="9"/>
            <color indexed="12"/>
            <rFont val="Tahoma"/>
            <family val="2"/>
          </rPr>
          <t>X%</t>
        </r>
        <r>
          <rPr>
            <b/>
            <sz val="9"/>
            <color indexed="12"/>
            <rFont val="宋体"/>
            <family val="3"/>
            <charset val="134"/>
          </rPr>
          <t>，利息按季支付，</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日为第一次派息日。转股期自发行之日起</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)X</t>
        </r>
        <r>
          <rPr>
            <b/>
            <sz val="9"/>
            <color indexed="12"/>
            <rFont val="宋体"/>
            <family val="3"/>
            <charset val="134"/>
          </rPr>
          <t>个月后的第一个交易日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起</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，至可转换公司债券到期日</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t>
        </r>
        <r>
          <rPr>
            <b/>
            <sz val="9"/>
            <color indexed="12"/>
            <rFont val="Tahoma"/>
            <family val="2"/>
          </rPr>
          <t>)</t>
        </r>
        <r>
          <rPr>
            <b/>
            <sz val="9"/>
            <color indexed="12"/>
            <rFont val="宋体"/>
            <family val="3"/>
            <charset val="134"/>
          </rPr>
          <t>前一个交易日止</t>
        </r>
        <r>
          <rPr>
            <b/>
            <sz val="9"/>
            <color indexed="12"/>
            <rFont val="Tahoma"/>
            <family val="2"/>
          </rPr>
          <t>(</t>
        </r>
        <r>
          <rPr>
            <b/>
            <sz val="9"/>
            <color indexed="12"/>
            <rFont val="宋体"/>
            <family val="3"/>
            <charset val="134"/>
          </rPr>
          <t>含当日</t>
        </r>
        <r>
          <rPr>
            <b/>
            <sz val="9"/>
            <color indexed="12"/>
            <rFont val="Tahoma"/>
            <family val="2"/>
          </rPr>
          <t>)</t>
        </r>
        <r>
          <rPr>
            <b/>
            <sz val="9"/>
            <color indexed="12"/>
            <rFont val="宋体"/>
            <family val="3"/>
            <charset val="134"/>
          </rPr>
          <t>。持有人可在转股期内申请转股。
可转换公司债券发行时的初始转股价格为每股人民币</t>
        </r>
        <r>
          <rPr>
            <b/>
            <sz val="9"/>
            <color indexed="12"/>
            <rFont val="Tahoma"/>
            <family val="2"/>
          </rPr>
          <t>X</t>
        </r>
        <r>
          <rPr>
            <b/>
            <sz val="9"/>
            <color indexed="12"/>
            <rFont val="宋体"/>
            <family val="3"/>
            <charset val="134"/>
          </rPr>
          <t>元，本公司在</t>
        </r>
        <r>
          <rPr>
            <b/>
            <sz val="9"/>
            <color indexed="12"/>
            <rFont val="Tahoma"/>
            <family val="2"/>
          </rPr>
          <t>200X</t>
        </r>
        <r>
          <rPr>
            <b/>
            <sz val="9"/>
            <color indexed="12"/>
            <rFont val="宋体"/>
            <family val="3"/>
            <charset val="134"/>
          </rPr>
          <t>年</t>
        </r>
        <r>
          <rPr>
            <b/>
            <sz val="9"/>
            <color indexed="12"/>
            <rFont val="Tahoma"/>
            <family val="2"/>
          </rPr>
          <t>X</t>
        </r>
        <r>
          <rPr>
            <b/>
            <sz val="9"/>
            <color indexed="12"/>
            <rFont val="宋体"/>
            <family val="3"/>
            <charset val="134"/>
          </rPr>
          <t>月</t>
        </r>
        <r>
          <rPr>
            <b/>
            <sz val="9"/>
            <color indexed="12"/>
            <rFont val="Tahoma"/>
            <family val="2"/>
          </rPr>
          <t>X</t>
        </r>
        <r>
          <rPr>
            <b/>
            <sz val="9"/>
            <color indexed="12"/>
            <rFont val="宋体"/>
            <family val="3"/>
            <charset val="134"/>
          </rPr>
          <t>日实施</t>
        </r>
        <r>
          <rPr>
            <b/>
            <sz val="9"/>
            <color indexed="12"/>
            <rFont val="Tahoma"/>
            <family val="2"/>
          </rPr>
          <t>200X</t>
        </r>
        <r>
          <rPr>
            <b/>
            <sz val="9"/>
            <color indexed="12"/>
            <rFont val="宋体"/>
            <family val="3"/>
            <charset val="134"/>
          </rPr>
          <t>年度每股派发现金股息人民币</t>
        </r>
        <r>
          <rPr>
            <b/>
            <sz val="9"/>
            <color indexed="12"/>
            <rFont val="Tahoma"/>
            <family val="2"/>
          </rPr>
          <t>X</t>
        </r>
        <r>
          <rPr>
            <b/>
            <sz val="9"/>
            <color indexed="12"/>
            <rFont val="宋体"/>
            <family val="3"/>
            <charset val="134"/>
          </rPr>
          <t>元及用资本公积每十股转增</t>
        </r>
        <r>
          <rPr>
            <b/>
            <sz val="9"/>
            <color indexed="12"/>
            <rFont val="Tahoma"/>
            <family val="2"/>
          </rPr>
          <t>X</t>
        </r>
        <r>
          <rPr>
            <b/>
            <sz val="9"/>
            <color indexed="12"/>
            <rFont val="宋体"/>
            <family val="3"/>
            <charset val="134"/>
          </rPr>
          <t>股的方案后，可转债初始转股价格相应调整为每股人民币</t>
        </r>
        <r>
          <rPr>
            <b/>
            <sz val="9"/>
            <color indexed="12"/>
            <rFont val="Tahoma"/>
            <family val="2"/>
          </rPr>
          <t>X</t>
        </r>
        <r>
          <rPr>
            <b/>
            <sz val="9"/>
            <color indexed="12"/>
            <rFont val="宋体"/>
            <family val="3"/>
            <charset val="134"/>
          </rPr>
          <t>元。</t>
        </r>
        <r>
          <rPr>
            <b/>
            <sz val="9"/>
            <color indexed="12"/>
            <rFont val="Tahoma"/>
            <family val="2"/>
          </rPr>
          <t>]
2</t>
        </r>
        <r>
          <rPr>
            <b/>
            <sz val="9"/>
            <color indexed="12"/>
            <rFont val="宋体"/>
            <family val="3"/>
            <charset val="134"/>
          </rPr>
          <t xml:space="preserve">、划分为金融负债的其他金融工具
【公司发行其他金融工具并划分为金融负债的，应分项披露其基本情况、期初余额、期末余额和本期增减变动情况，以及划分至金融负债的依据。】
</t>
        </r>
      </text>
    </comment>
    <comment ref="S4065" authorId="1" shapeId="0">
      <text>
        <r>
          <rPr>
            <b/>
            <sz val="9"/>
            <color indexed="12"/>
            <rFont val="Tahoma"/>
            <family val="2"/>
          </rPr>
          <t>REAL Tips:
1</t>
        </r>
        <r>
          <rPr>
            <b/>
            <sz val="9"/>
            <color indexed="12"/>
            <rFont val="宋体"/>
            <family val="3"/>
            <charset val="134"/>
          </rPr>
          <t>、不包括划分为金融负债的优先股、永续债等其他金融工具</t>
        </r>
      </text>
    </comment>
    <comment ref="N4078" authorId="2" shapeId="0">
      <text>
        <r>
          <rPr>
            <b/>
            <sz val="9"/>
            <color indexed="81"/>
            <rFont val="宋体"/>
            <family val="3"/>
            <charset val="134"/>
          </rPr>
          <t>胡晓明:
如需要，请在此设置公式，引用至注释小表中期初/上期数的单元格。</t>
        </r>
      </text>
    </comment>
    <comment ref="S4078"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②工具</t>
        </r>
        <r>
          <rPr>
            <b/>
            <sz val="9"/>
            <color indexed="12"/>
            <rFont val="Tahoma"/>
            <family val="2"/>
          </rPr>
          <t>2</t>
        </r>
        <r>
          <rPr>
            <b/>
            <sz val="9"/>
            <color indexed="12"/>
            <rFont val="宋体"/>
            <family val="3"/>
            <charset val="134"/>
          </rPr>
          <t>的主要条款说明以及利息的设定机制：</t>
        </r>
        <r>
          <rPr>
            <b/>
            <sz val="9"/>
            <color indexed="12"/>
            <rFont val="Tahoma"/>
            <family val="2"/>
          </rPr>
          <t xml:space="preserve"> 
</t>
        </r>
        <r>
          <rPr>
            <b/>
            <sz val="9"/>
            <color indexed="12"/>
            <rFont val="宋体"/>
            <family val="3"/>
            <charset val="134"/>
          </rPr>
          <t xml:space="preserve">……
</t>
        </r>
        <r>
          <rPr>
            <b/>
            <sz val="9"/>
            <color indexed="12"/>
            <rFont val="Tahoma"/>
            <family val="2"/>
          </rPr>
          <t>4</t>
        </r>
        <r>
          <rPr>
            <b/>
            <sz val="9"/>
            <color indexed="12"/>
            <rFont val="宋体"/>
            <family val="3"/>
            <charset val="134"/>
          </rPr>
          <t xml:space="preserve">、如果企业受特定监管规则约束，还需披露该金融工具是否被相关监管部门认定为合格的监管资本以及对本企业监管资本水平的影响。
</t>
        </r>
      </text>
    </comment>
    <comment ref="G4138" authorId="0" shapeId="0">
      <text>
        <r>
          <rPr>
            <b/>
            <sz val="9"/>
            <color indexed="81"/>
            <rFont val="Tahoma"/>
            <family val="2"/>
          </rPr>
          <t>未解决注释间差异合计。
注：本表中的“差异”，如未 √ 以示确认，则为“未解决注释间差异（存疑差异）”。</t>
        </r>
      </text>
    </comment>
    <comment ref="N4140" authorId="2" shapeId="0">
      <text>
        <r>
          <rPr>
            <b/>
            <sz val="9"/>
            <color indexed="81"/>
            <rFont val="宋体"/>
            <family val="3"/>
            <charset val="134"/>
          </rPr>
          <t>胡晓明:
如需要，请在此设置公式，引用至注释小表中期初/上期数的单元格。</t>
        </r>
      </text>
    </comment>
    <comment ref="S4151"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）应说明专项应付款的来源、指定的专门用途、使用限制等相关内容。如：该专项应付款为财政部按照</t>
        </r>
        <r>
          <rPr>
            <b/>
            <sz val="9"/>
            <color indexed="12"/>
            <rFont val="Tahoma"/>
            <family val="2"/>
          </rPr>
          <t>XX</t>
        </r>
        <r>
          <rPr>
            <b/>
            <sz val="9"/>
            <color indexed="12"/>
            <rFont val="宋体"/>
            <family val="3"/>
            <charset val="134"/>
          </rPr>
          <t>文规定拨付的</t>
        </r>
        <r>
          <rPr>
            <b/>
            <sz val="9"/>
            <color indexed="12"/>
            <rFont val="Tahoma"/>
            <family val="2"/>
          </rPr>
          <t>X</t>
        </r>
        <r>
          <rPr>
            <b/>
            <sz val="9"/>
            <color indexed="12"/>
            <rFont val="宋体"/>
            <family val="3"/>
            <charset val="134"/>
          </rPr>
          <t>项目专用设备购置款。
（</t>
        </r>
        <r>
          <rPr>
            <b/>
            <sz val="9"/>
            <color indexed="12"/>
            <rFont val="Tahoma"/>
            <family val="2"/>
          </rPr>
          <t>2</t>
        </r>
        <r>
          <rPr>
            <b/>
            <sz val="9"/>
            <color indexed="12"/>
            <rFont val="宋体"/>
            <family val="3"/>
            <charset val="134"/>
          </rPr>
          <t xml:space="preserve">）企业因城镇整体规划、库区建设、棚户区改造、沉陷区治理等公共利益进行搬迁，收到政府从财政预算直接拨付的搬迁补偿款，在专项应付款中核算。
</t>
        </r>
      </text>
    </comment>
    <comment ref="N4161" authorId="2" shapeId="0">
      <text>
        <r>
          <rPr>
            <b/>
            <sz val="9"/>
            <color indexed="81"/>
            <rFont val="宋体"/>
            <family val="3"/>
            <charset val="134"/>
          </rPr>
          <t>胡晓明:
如需要，请在此设置公式，引用至注释小表中期初/上期数的单元格。</t>
        </r>
      </text>
    </comment>
    <comment ref="K4182" authorId="2" shapeId="0">
      <text>
        <r>
          <rPr>
            <b/>
            <sz val="9"/>
            <color indexed="81"/>
            <rFont val="宋体"/>
            <family val="3"/>
            <charset val="134"/>
          </rPr>
          <t>胡晓明:
如需要，请在此设置公式，引用至注释小表中期末/本期数的单元格。</t>
        </r>
      </text>
    </comment>
    <comment ref="N4182" authorId="2" shapeId="0">
      <text>
        <r>
          <rPr>
            <b/>
            <sz val="9"/>
            <color indexed="81"/>
            <rFont val="宋体"/>
            <family val="3"/>
            <charset val="134"/>
          </rPr>
          <t>胡晓明:
如需要，请在此设置公式，引用至注释小表中期初/上期数的单元格。</t>
        </r>
      </text>
    </comment>
    <comment ref="K4202" authorId="2" shapeId="0">
      <text>
        <r>
          <rPr>
            <b/>
            <sz val="9"/>
            <color indexed="81"/>
            <rFont val="宋体"/>
            <family val="3"/>
            <charset val="134"/>
          </rPr>
          <t>胡晓明:
如需要，请在此设置公式，引用至注释小表中期末/本期数的单元格。</t>
        </r>
      </text>
    </comment>
    <comment ref="N4202" authorId="2" shapeId="0">
      <text>
        <r>
          <rPr>
            <b/>
            <sz val="9"/>
            <color indexed="81"/>
            <rFont val="宋体"/>
            <family val="3"/>
            <charset val="134"/>
          </rPr>
          <t>胡晓明:
如需要，请在此设置公式，引用至注释小表中期初/上期数的单元格。</t>
        </r>
      </text>
    </comment>
    <comment ref="S4202" authorId="1" shapeId="0">
      <text>
        <r>
          <rPr>
            <b/>
            <sz val="9"/>
            <color indexed="12"/>
            <rFont val="Tahoma"/>
            <family val="2"/>
          </rPr>
          <t>REAL Tips:
1</t>
        </r>
        <r>
          <rPr>
            <b/>
            <sz val="9"/>
            <color indexed="12"/>
            <rFont val="宋体"/>
            <family val="3"/>
            <charset val="134"/>
          </rPr>
          <t>、设定受益计划存在资产的，企业应当将设定受益计划义务现值减去设定受益计划资产公允价值所形成的赤字或盈余确认为一项设定受益计划净负债或净资产。</t>
        </r>
      </text>
    </comment>
    <comment ref="K4217" authorId="2" shapeId="0">
      <text>
        <r>
          <rPr>
            <b/>
            <sz val="9"/>
            <color indexed="81"/>
            <rFont val="宋体"/>
            <family val="3"/>
            <charset val="134"/>
          </rPr>
          <t>胡晓明:
如需要，请在此设置公式，引用至注释小表中期末/本期数的单元格。</t>
        </r>
      </text>
    </comment>
    <comment ref="N4217" authorId="2" shapeId="0">
      <text>
        <r>
          <rPr>
            <b/>
            <sz val="9"/>
            <color indexed="81"/>
            <rFont val="宋体"/>
            <family val="3"/>
            <charset val="134"/>
          </rPr>
          <t>胡晓明:
如需要，请在此设置公式，引用至注释小表中期初/上期数的单元格。</t>
        </r>
      </text>
    </comment>
    <comment ref="S4217" authorId="1" shapeId="0">
      <text>
        <r>
          <rPr>
            <b/>
            <sz val="9"/>
            <color indexed="12"/>
            <rFont val="Tahoma"/>
            <family val="2"/>
          </rPr>
          <t>REAL Tips:
1</t>
        </r>
        <r>
          <rPr>
            <b/>
            <sz val="9"/>
            <color indexed="12"/>
            <rFont val="宋体"/>
            <family val="3"/>
            <charset val="134"/>
          </rPr>
          <t xml:space="preserve">、设定受益计划的内容、形成的原因、特征及与之相关的风险；
如有对计划的修改或结算的，还应当披露修改或结算计划的有关情况；
</t>
        </r>
        <r>
          <rPr>
            <b/>
            <sz val="9"/>
            <color indexed="12"/>
            <rFont val="Tahoma"/>
            <family val="2"/>
          </rPr>
          <t>2</t>
        </r>
        <r>
          <rPr>
            <b/>
            <sz val="9"/>
            <color indexed="12"/>
            <rFont val="宋体"/>
            <family val="3"/>
            <charset val="134"/>
          </rPr>
          <t xml:space="preserve">、设定受益计划对公司未来现金流量的金额、时间和不确定性的影响。披露影响设定受益计划未来缴存金额的有关筹资政策和计划、下一会计年度预期将缴存的金额，设定受益义务有关到期情况的信息，如设定受益义务的加权平均期间、对有关福利支付的到期日分析等
</t>
        </r>
      </text>
    </comment>
    <comment ref="K4226" authorId="2" shapeId="0">
      <text>
        <r>
          <rPr>
            <b/>
            <sz val="9"/>
            <color indexed="81"/>
            <rFont val="宋体"/>
            <family val="3"/>
            <charset val="134"/>
          </rPr>
          <t>胡晓明:
如需要，请在此设置公式，引用至注释小表中期末/本期数的单元格。</t>
        </r>
      </text>
    </comment>
    <comment ref="N4226" authorId="2" shapeId="0">
      <text>
        <r>
          <rPr>
            <b/>
            <sz val="9"/>
            <color indexed="81"/>
            <rFont val="宋体"/>
            <family val="3"/>
            <charset val="134"/>
          </rPr>
          <t>胡晓明:
如需要，请在此设置公式，引用至注释小表中期初/上期数的单元格。</t>
        </r>
      </text>
    </comment>
    <comment ref="S4228" authorId="3" shapeId="0">
      <text>
        <r>
          <rPr>
            <b/>
            <sz val="9"/>
            <color indexed="12"/>
            <rFont val="Tahoma"/>
            <family val="2"/>
          </rPr>
          <t>REAL Tips:
1</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年上市公司年报会计监管报告》，对所采用的精算假设的合理性予以说明。例如，确定折现率的依据和方法（同期国债利率等），预计平均寿命采用了何种相关社会统计数据</t>
        </r>
      </text>
    </comment>
    <comment ref="K4237" authorId="2" shapeId="0">
      <text>
        <r>
          <rPr>
            <b/>
            <sz val="9"/>
            <color indexed="81"/>
            <rFont val="宋体"/>
            <family val="3"/>
            <charset val="134"/>
          </rPr>
          <t>胡晓明:
如需要，请在此设置公式，引用至注释小表中期末/本期数的单元格。</t>
        </r>
      </text>
    </comment>
    <comment ref="N4237" authorId="2" shapeId="0">
      <text>
        <r>
          <rPr>
            <b/>
            <sz val="9"/>
            <color indexed="81"/>
            <rFont val="宋体"/>
            <family val="3"/>
            <charset val="134"/>
          </rPr>
          <t>胡晓明:
如需要，请在此设置公式，引用至注释小表中期初/上期数的单元格。</t>
        </r>
      </text>
    </comment>
    <comment ref="S4237" authorId="1" shapeId="0">
      <text>
        <r>
          <rPr>
            <b/>
            <sz val="9"/>
            <color indexed="12"/>
            <rFont val="Tahoma"/>
            <family val="2"/>
          </rPr>
          <t>REAL Tips:
1</t>
        </r>
        <r>
          <rPr>
            <b/>
            <sz val="9"/>
            <color indexed="12"/>
            <rFont val="宋体"/>
            <family val="3"/>
            <charset val="134"/>
          </rPr>
          <t xml:space="preserve">、上述敏感性分析是基于一个假设发生变动而其他假设均保持不变，但实际上各种假设通常是相互关联的。上述敏感性分析在计算设定受益义务现值时也同样采用累积福利单位法。
进行敏感度分析所采用的重大假设的方法和类型与以前年度比较未发生变动。
（如发生变动，应进一步说明发生的具体变动及原因。
</t>
        </r>
      </text>
    </comment>
    <comment ref="S4251" authorId="1" shapeId="0">
      <text>
        <r>
          <rPr>
            <b/>
            <sz val="9"/>
            <color indexed="12"/>
            <rFont val="Tahoma"/>
            <family val="2"/>
          </rPr>
          <t>REAL Tips:
1</t>
        </r>
        <r>
          <rPr>
            <b/>
            <sz val="9"/>
            <color indexed="12"/>
            <rFont val="宋体"/>
            <family val="3"/>
            <charset val="134"/>
          </rPr>
          <t>、重要的预计负债，应披露相关重要假设、估计。</t>
        </r>
      </text>
    </comment>
    <comment ref="S4265" authorId="1" shapeId="0">
      <text>
        <r>
          <rPr>
            <b/>
            <sz val="9"/>
            <color indexed="12"/>
            <rFont val="Tahoma"/>
            <family val="2"/>
          </rPr>
          <t>REAL Tips:
1</t>
        </r>
        <r>
          <rPr>
            <b/>
            <sz val="9"/>
            <color indexed="12"/>
            <rFont val="宋体"/>
            <family val="3"/>
            <charset val="134"/>
          </rPr>
          <t>、公司根据《企业会计准则》规定计入“递延收益”科目的金额，应按如下原则确定所属的报表项目：
（</t>
        </r>
        <r>
          <rPr>
            <b/>
            <sz val="9"/>
            <color indexed="12"/>
            <rFont val="Tahoma"/>
            <family val="2"/>
          </rPr>
          <t>1</t>
        </r>
        <r>
          <rPr>
            <b/>
            <sz val="9"/>
            <color indexed="12"/>
            <rFont val="宋体"/>
            <family val="3"/>
            <charset val="134"/>
          </rPr>
          <t>）受益期预计在一年以内（含一年）的，应在“其他流动负债”项目列报；
（</t>
        </r>
        <r>
          <rPr>
            <b/>
            <sz val="9"/>
            <color indexed="12"/>
            <rFont val="Tahoma"/>
            <family val="2"/>
          </rPr>
          <t>2</t>
        </r>
        <r>
          <rPr>
            <b/>
            <sz val="9"/>
            <color indexed="12"/>
            <rFont val="宋体"/>
            <family val="3"/>
            <charset val="134"/>
          </rPr>
          <t>）受益期超过一年，但自资产负债表日起算的受益期限不足一年的，应在“一年内到期的其他非流动负债”项目中列报；
（</t>
        </r>
        <r>
          <rPr>
            <b/>
            <sz val="9"/>
            <color indexed="12"/>
            <rFont val="Tahoma"/>
            <family val="2"/>
          </rPr>
          <t>3</t>
        </r>
        <r>
          <rPr>
            <b/>
            <sz val="9"/>
            <color indexed="12"/>
            <rFont val="宋体"/>
            <family val="3"/>
            <charset val="134"/>
          </rPr>
          <t xml:space="preserve">）自资产负债表日起算的受益期限超过一年的，在“递延收益”目中列报。
在附注中分别公司本期取得与资产相关、与收益相关的政府补助，逐项披露其种类以及对应的期初额、期末额。
</t>
        </r>
      </text>
    </comment>
    <comment ref="K4273" authorId="2" shapeId="0">
      <text>
        <r>
          <rPr>
            <b/>
            <sz val="9"/>
            <color indexed="81"/>
            <rFont val="宋体"/>
            <family val="3"/>
            <charset val="134"/>
          </rPr>
          <t>胡晓明:
如需要，请在此设置公式，引用至注释小表中期末/本期数的单元格。</t>
        </r>
      </text>
    </comment>
    <comment ref="N4273" authorId="2" shapeId="0">
      <text>
        <r>
          <rPr>
            <b/>
            <sz val="9"/>
            <color indexed="81"/>
            <rFont val="宋体"/>
            <family val="3"/>
            <charset val="134"/>
          </rPr>
          <t>胡晓明:
如需要，请在此设置公式，引用至注释小表中期初/上期数的单元格。</t>
        </r>
      </text>
    </comment>
    <comment ref="S4273" authorId="1" shapeId="0">
      <text>
        <r>
          <rPr>
            <b/>
            <sz val="9"/>
            <color indexed="12"/>
            <rFont val="Tahoma"/>
            <family val="2"/>
          </rPr>
          <t xml:space="preserve">REAL Tips:
</t>
        </r>
        <r>
          <rPr>
            <b/>
            <sz val="9"/>
            <color indexed="12"/>
            <rFont val="宋体"/>
            <family val="3"/>
            <charset val="134"/>
          </rPr>
          <t>披露示例：
（</t>
        </r>
        <r>
          <rPr>
            <b/>
            <sz val="9"/>
            <color indexed="12"/>
            <rFont val="Tahoma"/>
            <family val="2"/>
          </rPr>
          <t>1</t>
        </r>
        <r>
          <rPr>
            <b/>
            <sz val="9"/>
            <color indexed="12"/>
            <rFont val="宋体"/>
            <family val="3"/>
            <charset val="134"/>
          </rPr>
          <t>）</t>
        </r>
        <r>
          <rPr>
            <b/>
            <sz val="9"/>
            <color indexed="12"/>
            <rFont val="Tahoma"/>
            <family val="2"/>
          </rPr>
          <t>XX</t>
        </r>
        <r>
          <rPr>
            <b/>
            <sz val="9"/>
            <color indexed="12"/>
            <rFont val="宋体"/>
            <family val="3"/>
            <charset val="134"/>
          </rPr>
          <t>补助项目，相关文件未明确规定补助对象，由于该项目未来不会形成长期资产，本集团将其作为与收益相关的政府补助。
信息披露解释性公告第</t>
        </r>
        <r>
          <rPr>
            <b/>
            <sz val="9"/>
            <color indexed="12"/>
            <rFont val="Tahoma"/>
            <family val="2"/>
          </rPr>
          <t>2</t>
        </r>
        <r>
          <rPr>
            <b/>
            <sz val="9"/>
            <color indexed="12"/>
            <rFont val="宋体"/>
            <family val="3"/>
            <charset val="134"/>
          </rPr>
          <t xml:space="preserve">号规定：公司应当遵循重要性原则，对涉及政府补助的负债项目，在财务报表附注的相关项目下，逐项披露相关期初余额、本期新增补助金额、本期计入营业外收入金额、本期转入资本公积金额以及期末余额。对于相关文件未明确规定补助对象的政府补助项目，公司还应单独说明其划分依据。
</t>
        </r>
      </text>
    </comment>
    <comment ref="G4288" authorId="0" shapeId="0">
      <text>
        <r>
          <rPr>
            <b/>
            <sz val="9"/>
            <color indexed="81"/>
            <rFont val="Tahoma"/>
            <family val="2"/>
          </rPr>
          <t>未解决注释间差异合计。
注：本表中的“差异”，如未 √ 以示确认，则为“未解决注释间差异（存疑差异）”。</t>
        </r>
      </text>
    </comment>
    <comment ref="K4312" authorId="2" shapeId="0">
      <text>
        <r>
          <rPr>
            <b/>
            <sz val="9"/>
            <color indexed="81"/>
            <rFont val="宋体"/>
            <family val="3"/>
            <charset val="134"/>
          </rPr>
          <t>胡晓明:
如需要，请在此设置公式，引用至注释小表中期末/本期数的单元格。</t>
        </r>
      </text>
    </comment>
    <comment ref="N4312" authorId="2" shapeId="0">
      <text>
        <r>
          <rPr>
            <b/>
            <sz val="9"/>
            <color indexed="81"/>
            <rFont val="宋体"/>
            <family val="3"/>
            <charset val="134"/>
          </rPr>
          <t>胡晓明:
如需要，请在此设置公式，引用至注释小表中期初/上期数的单元格。</t>
        </r>
      </text>
    </comment>
    <comment ref="S4312" authorId="1" shapeId="0">
      <text>
        <r>
          <rPr>
            <b/>
            <sz val="9"/>
            <color indexed="12"/>
            <rFont val="Tahoma"/>
            <family val="2"/>
          </rPr>
          <t>REAL Tips:
1</t>
        </r>
        <r>
          <rPr>
            <b/>
            <sz val="9"/>
            <color indexed="12"/>
            <rFont val="宋体"/>
            <family val="3"/>
            <charset val="134"/>
          </rPr>
          <t>、如果报告期内有增资或减资行为的，应披露执行验资的会计师事务所名称和验资报告文号；运行不足</t>
        </r>
        <r>
          <rPr>
            <b/>
            <sz val="9"/>
            <color indexed="12"/>
            <rFont val="Tahoma"/>
            <family val="2"/>
          </rPr>
          <t>3</t>
        </r>
        <r>
          <rPr>
            <b/>
            <sz val="9"/>
            <color indexed="12"/>
            <rFont val="宋体"/>
            <family val="3"/>
            <charset val="134"/>
          </rPr>
          <t>年的股份有限公司，设立前的年份只需说明净资产情况；有限责任公司整体变更为股份公司应说明公司设立时的验资情况。</t>
        </r>
      </text>
    </comment>
    <comment ref="N4334" authorId="2" shapeId="0">
      <text>
        <r>
          <rPr>
            <b/>
            <sz val="9"/>
            <color indexed="81"/>
            <rFont val="宋体"/>
            <family val="3"/>
            <charset val="134"/>
          </rPr>
          <t>胡晓明:
如需要，请在此设置公式，引用至注释小表中期初/上期数的单元格。</t>
        </r>
      </text>
    </comment>
    <comment ref="S4334" authorId="1" shapeId="0">
      <text>
        <r>
          <rPr>
            <b/>
            <sz val="9"/>
            <color indexed="12"/>
            <rFont val="Tahoma"/>
            <family val="2"/>
          </rPr>
          <t>REAL Tips:
1</t>
        </r>
        <r>
          <rPr>
            <b/>
            <sz val="9"/>
            <color indexed="12"/>
            <rFont val="宋体"/>
            <family val="3"/>
            <charset val="134"/>
          </rPr>
          <t xml:space="preserve">、“会计分类”栏应填写“金融负债”、“权益工具”或“复合金融工具”等，对于整体指定以公允价值计量且其变动计入当期损益的金融负债，在“会计分类”栏中只需注明“整体指定”即可。
</t>
        </r>
        <r>
          <rPr>
            <b/>
            <sz val="9"/>
            <color indexed="12"/>
            <rFont val="Tahoma"/>
            <family val="2"/>
          </rPr>
          <t>2</t>
        </r>
        <r>
          <rPr>
            <b/>
            <sz val="9"/>
            <color indexed="12"/>
            <rFont val="宋体"/>
            <family val="3"/>
            <charset val="134"/>
          </rPr>
          <t>、“转股条件”栏应当披露合同中是否包含强制转股、自愿转股等条款。</t>
        </r>
        <r>
          <rPr>
            <b/>
            <sz val="9"/>
            <color indexed="12"/>
            <rFont val="Tahoma"/>
            <family val="2"/>
          </rPr>
          <t xml:space="preserve"> 
3</t>
        </r>
        <r>
          <rPr>
            <b/>
            <sz val="9"/>
            <color indexed="12"/>
            <rFont val="宋体"/>
            <family val="3"/>
            <charset val="134"/>
          </rPr>
          <t>、“金额”栏以发行价格乘以发行数量填列。
披露示例：
说明：
①工具</t>
        </r>
        <r>
          <rPr>
            <b/>
            <sz val="9"/>
            <color indexed="12"/>
            <rFont val="Tahoma"/>
            <family val="2"/>
          </rPr>
          <t>1</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【包括本金是否可赎回，企业是否有权自主决定股利或利息支付政策，是否可转换为普通股以及发行合同关于转股价格或数量的约定等其他影响该类工具会计分类的重要特征。】</t>
        </r>
        <r>
          <rPr>
            <b/>
            <sz val="9"/>
            <color indexed="12"/>
            <rFont val="Tahoma"/>
            <family val="2"/>
          </rPr>
          <t xml:space="preserve"> 
</t>
        </r>
        <r>
          <rPr>
            <b/>
            <sz val="9"/>
            <color indexed="12"/>
            <rFont val="宋体"/>
            <family val="3"/>
            <charset val="134"/>
          </rPr>
          <t>【提示：如果发行方发行的分类为权益工具的金融工具为累积的，即发行方当期未分配的股利或利息可累积至以后期间分配的，应当在财务报表附注中披露累积未分配的股利；如果发行方发行的其他权益工具为可参与剩余利润分配的，即可与普通股股东一起参加剩余利润分配的，应当披露可参与分配的事实及分配的方法等信息。】
②工具</t>
        </r>
        <r>
          <rPr>
            <b/>
            <sz val="9"/>
            <color indexed="12"/>
            <rFont val="Tahoma"/>
            <family val="2"/>
          </rPr>
          <t>2</t>
        </r>
        <r>
          <rPr>
            <b/>
            <sz val="9"/>
            <color indexed="12"/>
            <rFont val="宋体"/>
            <family val="3"/>
            <charset val="134"/>
          </rPr>
          <t>的主要条款说明以及股利的设定机制：</t>
        </r>
        <r>
          <rPr>
            <b/>
            <sz val="9"/>
            <color indexed="12"/>
            <rFont val="Tahoma"/>
            <family val="2"/>
          </rPr>
          <t xml:space="preserve"> 
</t>
        </r>
        <r>
          <rPr>
            <b/>
            <sz val="9"/>
            <color indexed="12"/>
            <rFont val="宋体"/>
            <family val="3"/>
            <charset val="134"/>
          </rPr>
          <t xml:space="preserve">……
【如果企业受特定监管规则约束，还需披露该金融工具是否被相关监管部门认定为合格的监管资本以及对本企业监管资本水平的影响。】
</t>
        </r>
      </text>
    </comment>
    <comment ref="S4344" authorId="1" shapeId="0">
      <text>
        <r>
          <rPr>
            <b/>
            <sz val="9"/>
            <color indexed="12"/>
            <rFont val="Tahoma"/>
            <family val="2"/>
          </rPr>
          <t>REAL Tips:
1</t>
        </r>
        <r>
          <rPr>
            <b/>
            <sz val="9"/>
            <color indexed="12"/>
            <rFont val="宋体"/>
            <family val="3"/>
            <charset val="134"/>
          </rPr>
          <t>、其他权益工具的本期增减变动情况、变动原因，以及相关会计处理依据。</t>
        </r>
      </text>
    </comment>
    <comment ref="S4355"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）（资本公积变动的原因、依据）
（</t>
        </r>
        <r>
          <rPr>
            <b/>
            <sz val="9"/>
            <color indexed="12"/>
            <rFont val="Tahoma"/>
            <family val="2"/>
          </rPr>
          <t>2</t>
        </r>
        <r>
          <rPr>
            <b/>
            <sz val="9"/>
            <color indexed="12"/>
            <rFont val="宋体"/>
            <family val="3"/>
            <charset val="134"/>
          </rPr>
          <t xml:space="preserve">）（资本公积转增股本履行的法律程序及有关决议）
</t>
        </r>
      </text>
    </comment>
    <comment ref="S4364"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）库存股变动情况及原因。回购本公司股份的原因及对应的库存股成本确定方法；
（</t>
        </r>
        <r>
          <rPr>
            <b/>
            <sz val="9"/>
            <color indexed="12"/>
            <rFont val="Tahoma"/>
            <family val="2"/>
          </rPr>
          <t>2</t>
        </r>
        <r>
          <rPr>
            <b/>
            <sz val="9"/>
            <color indexed="12"/>
            <rFont val="宋体"/>
            <family val="3"/>
            <charset val="134"/>
          </rPr>
          <t>）因库存股注销而减少的股本；
（</t>
        </r>
        <r>
          <rPr>
            <b/>
            <sz val="9"/>
            <color indexed="12"/>
            <rFont val="Tahoma"/>
            <family val="2"/>
          </rPr>
          <t>3</t>
        </r>
        <r>
          <rPr>
            <b/>
            <sz val="9"/>
            <color indexed="12"/>
            <rFont val="宋体"/>
            <family val="3"/>
            <charset val="134"/>
          </rPr>
          <t>）注销的库存股成本高于对应股本成本的，披露依次冲减的资本公积、盈余公积、未分配利润的金额；注销的库存股成本低于对应股本成本的，披露增加的资本公积金额；
（</t>
        </r>
        <r>
          <rPr>
            <b/>
            <sz val="9"/>
            <color indexed="12"/>
            <rFont val="Tahoma"/>
            <family val="2"/>
          </rPr>
          <t>4</t>
        </r>
        <r>
          <rPr>
            <b/>
            <sz val="9"/>
            <color indexed="12"/>
            <rFont val="宋体"/>
            <family val="3"/>
            <charset val="134"/>
          </rPr>
          <t>）库存股转让时，转让收入高于库存股成本的，披露增加的资本公积金额；转让收入低于库存股成本的，披露依次冲减的资本公积、盈余公积、未分配利润的金额；
（</t>
        </r>
        <r>
          <rPr>
            <b/>
            <sz val="9"/>
            <color indexed="12"/>
            <rFont val="Tahoma"/>
            <family val="2"/>
          </rPr>
          <t>5</t>
        </r>
        <r>
          <rPr>
            <b/>
            <sz val="9"/>
            <color indexed="12"/>
            <rFont val="宋体"/>
            <family val="3"/>
            <charset val="134"/>
          </rPr>
          <t xml:space="preserve">）因实行股权激励回购本公司股份的，应披露本期回购股份占本公司已发行股份的总比例和累计库存股占已发行股份的总比例。
</t>
        </r>
      </text>
    </comment>
    <comment ref="S4396" authorId="1" shapeId="0">
      <text>
        <r>
          <rPr>
            <b/>
            <sz val="9"/>
            <color indexed="12"/>
            <rFont val="Tahoma"/>
            <family val="2"/>
          </rPr>
          <t xml:space="preserve">REAL Tips:
</t>
        </r>
        <r>
          <rPr>
            <b/>
            <sz val="9"/>
            <color indexed="12"/>
            <rFont val="宋体"/>
            <family val="3"/>
            <charset val="134"/>
          </rPr>
          <t>（说明对现金流量套期损益的有效部分转为被套期项目初始确认金额调整等）
【提示：
（</t>
        </r>
        <r>
          <rPr>
            <b/>
            <sz val="9"/>
            <color indexed="12"/>
            <rFont val="Tahoma"/>
            <family val="2"/>
          </rPr>
          <t>1</t>
        </r>
        <r>
          <rPr>
            <b/>
            <sz val="9"/>
            <color indexed="12"/>
            <rFont val="宋体"/>
            <family val="3"/>
            <charset val="134"/>
          </rPr>
          <t>）本表中，期初数合计、期末数合计分别对应资产负债表中权益项下的其他综合收益，为归属于母公司的其他综合收益期初、期末余额。
（</t>
        </r>
        <r>
          <rPr>
            <b/>
            <sz val="9"/>
            <color indexed="12"/>
            <rFont val="Tahoma"/>
            <family val="2"/>
          </rPr>
          <t>2</t>
        </r>
        <r>
          <rPr>
            <b/>
            <sz val="9"/>
            <color indexed="12"/>
            <rFont val="宋体"/>
            <family val="3"/>
            <charset val="134"/>
          </rPr>
          <t>）期初数</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期末数。
（</t>
        </r>
        <r>
          <rPr>
            <b/>
            <sz val="9"/>
            <color indexed="12"/>
            <rFont val="Tahoma"/>
            <family val="2"/>
          </rPr>
          <t>3</t>
        </r>
        <r>
          <rPr>
            <b/>
            <sz val="9"/>
            <color indexed="12"/>
            <rFont val="宋体"/>
            <family val="3"/>
            <charset val="134"/>
          </rPr>
          <t>）本期发生额对应利润表中的其他综合收益项目，本期所得税前发生额</t>
        </r>
        <r>
          <rPr>
            <b/>
            <sz val="9"/>
            <color indexed="12"/>
            <rFont val="Tahoma"/>
            <family val="2"/>
          </rPr>
          <t>-</t>
        </r>
        <r>
          <rPr>
            <b/>
            <sz val="9"/>
            <color indexed="12"/>
            <rFont val="宋体"/>
            <family val="3"/>
            <charset val="134"/>
          </rPr>
          <t>前期计入其他综合收益当期转入损益</t>
        </r>
        <r>
          <rPr>
            <b/>
            <sz val="9"/>
            <color indexed="12"/>
            <rFont val="Tahoma"/>
            <family val="2"/>
          </rPr>
          <t>-</t>
        </r>
        <r>
          <rPr>
            <b/>
            <sz val="9"/>
            <color indexed="12"/>
            <rFont val="宋体"/>
            <family val="3"/>
            <charset val="134"/>
          </rPr>
          <t>所得税费用</t>
        </r>
        <r>
          <rPr>
            <b/>
            <sz val="9"/>
            <color indexed="12"/>
            <rFont val="Tahoma"/>
            <family val="2"/>
          </rPr>
          <t>=</t>
        </r>
        <r>
          <rPr>
            <b/>
            <sz val="9"/>
            <color indexed="12"/>
            <rFont val="宋体"/>
            <family val="3"/>
            <charset val="134"/>
          </rPr>
          <t>税后归属于母公司的其他综合收益</t>
        </r>
        <r>
          <rPr>
            <b/>
            <sz val="9"/>
            <color indexed="12"/>
            <rFont val="Tahoma"/>
            <family val="2"/>
          </rPr>
          <t>+</t>
        </r>
        <r>
          <rPr>
            <b/>
            <sz val="9"/>
            <color indexed="12"/>
            <rFont val="宋体"/>
            <family val="3"/>
            <charset val="134"/>
          </rPr>
          <t>税后归属于少数股东的其他综合收益。
税后归属于母公司合计数</t>
        </r>
        <r>
          <rPr>
            <b/>
            <sz val="9"/>
            <color indexed="12"/>
            <rFont val="Tahoma"/>
            <family val="2"/>
          </rPr>
          <t>=</t>
        </r>
        <r>
          <rPr>
            <b/>
            <sz val="9"/>
            <color indexed="12"/>
            <rFont val="宋体"/>
            <family val="3"/>
            <charset val="134"/>
          </rPr>
          <t>利润表中归属于母公司所有者的其他综合收益的税后净额本期发生额；
税后归属于少数股东合计数</t>
        </r>
        <r>
          <rPr>
            <b/>
            <sz val="9"/>
            <color indexed="12"/>
            <rFont val="Tahoma"/>
            <family val="2"/>
          </rPr>
          <t>=</t>
        </r>
        <r>
          <rPr>
            <b/>
            <sz val="9"/>
            <color indexed="12"/>
            <rFont val="宋体"/>
            <family val="3"/>
            <charset val="134"/>
          </rPr>
          <t xml:space="preserve">利润表中归属于少数股东的其他综合收益的税后净额本期发生额
</t>
        </r>
      </text>
    </comment>
    <comment ref="H4399" authorId="1" shapeId="0">
      <text>
        <r>
          <rPr>
            <b/>
            <sz val="9"/>
            <color indexed="12"/>
            <rFont val="Tahoma"/>
            <family val="2"/>
          </rPr>
          <t xml:space="preserve">
</t>
        </r>
        <r>
          <rPr>
            <b/>
            <sz val="9"/>
            <color indexed="12"/>
            <rFont val="宋体"/>
            <family val="3"/>
            <charset val="134"/>
          </rPr>
          <t>（</t>
        </r>
        <r>
          <rPr>
            <b/>
            <sz val="9"/>
            <color indexed="12"/>
            <rFont val="Tahoma"/>
            <family val="2"/>
          </rPr>
          <t>1</t>
        </r>
        <r>
          <rPr>
            <b/>
            <sz val="9"/>
            <color indexed="12"/>
            <rFont val="宋体"/>
            <family val="3"/>
            <charset val="134"/>
          </rPr>
          <t>）</t>
        </r>
      </text>
    </comment>
    <comment ref="N4399" authorId="1" shapeId="0">
      <text>
        <r>
          <rPr>
            <b/>
            <sz val="9"/>
            <color indexed="12"/>
            <rFont val="Tahoma"/>
            <family val="2"/>
          </rPr>
          <t xml:space="preserve">
</t>
        </r>
        <r>
          <rPr>
            <b/>
            <sz val="9"/>
            <color indexed="12"/>
            <rFont val="宋体"/>
            <family val="3"/>
            <charset val="134"/>
          </rPr>
          <t>（</t>
        </r>
        <r>
          <rPr>
            <b/>
            <sz val="9"/>
            <color indexed="12"/>
            <rFont val="Tahoma"/>
            <family val="2"/>
          </rPr>
          <t>3</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1</t>
        </r>
        <r>
          <rPr>
            <b/>
            <sz val="9"/>
            <color indexed="12"/>
            <rFont val="宋体"/>
            <family val="3"/>
            <charset val="134"/>
          </rPr>
          <t>）</t>
        </r>
        <r>
          <rPr>
            <b/>
            <sz val="9"/>
            <color indexed="12"/>
            <rFont val="Tahoma"/>
            <family val="2"/>
          </rPr>
          <t>+</t>
        </r>
        <r>
          <rPr>
            <b/>
            <sz val="9"/>
            <color indexed="12"/>
            <rFont val="宋体"/>
            <family val="3"/>
            <charset val="134"/>
          </rPr>
          <t>（</t>
        </r>
        <r>
          <rPr>
            <b/>
            <sz val="9"/>
            <color indexed="12"/>
            <rFont val="Tahoma"/>
            <family val="2"/>
          </rPr>
          <t>2</t>
        </r>
        <r>
          <rPr>
            <b/>
            <sz val="9"/>
            <color indexed="12"/>
            <rFont val="宋体"/>
            <family val="3"/>
            <charset val="134"/>
          </rPr>
          <t>）</t>
        </r>
      </text>
    </comment>
    <comment ref="L4400" authorId="1" shapeId="0">
      <text>
        <r>
          <rPr>
            <b/>
            <sz val="9"/>
            <color indexed="12"/>
            <rFont val="Tahoma"/>
            <family val="2"/>
          </rPr>
          <t xml:space="preserve">
</t>
        </r>
        <r>
          <rPr>
            <b/>
            <sz val="9"/>
            <color indexed="12"/>
            <rFont val="宋体"/>
            <family val="3"/>
            <charset val="134"/>
          </rPr>
          <t>（</t>
        </r>
        <r>
          <rPr>
            <b/>
            <sz val="9"/>
            <color indexed="12"/>
            <rFont val="Tahoma"/>
            <family val="2"/>
          </rPr>
          <t>2</t>
        </r>
        <r>
          <rPr>
            <b/>
            <sz val="9"/>
            <color indexed="12"/>
            <rFont val="宋体"/>
            <family val="3"/>
            <charset val="134"/>
          </rPr>
          <t>）</t>
        </r>
      </text>
    </comment>
    <comment ref="S4417" authorId="1" shapeId="0">
      <text>
        <r>
          <rPr>
            <b/>
            <sz val="9"/>
            <color indexed="12"/>
            <rFont val="Tahoma"/>
            <family val="2"/>
          </rPr>
          <t>REAL Tips:
1</t>
        </r>
        <r>
          <rPr>
            <b/>
            <sz val="9"/>
            <color indexed="12"/>
            <rFont val="宋体"/>
            <family val="3"/>
            <charset val="134"/>
          </rPr>
          <t>、专项储备的变动情况、变动原因</t>
        </r>
      </text>
    </comment>
    <comment ref="G4448" authorId="1" shapeId="0">
      <text>
        <r>
          <rPr>
            <b/>
            <sz val="9"/>
            <color indexed="12"/>
            <rFont val="Tahoma"/>
            <family val="2"/>
          </rPr>
          <t xml:space="preserve">WPE Tips:
</t>
        </r>
        <r>
          <rPr>
            <b/>
            <sz val="9"/>
            <color indexed="12"/>
            <rFont val="宋体"/>
            <family val="3"/>
            <charset val="134"/>
          </rPr>
          <t>请注明具体项目</t>
        </r>
      </text>
    </comment>
    <comment ref="S4453" authorId="1" shapeId="0">
      <text>
        <r>
          <rPr>
            <b/>
            <sz val="9"/>
            <color indexed="12"/>
            <rFont val="Tahoma"/>
            <family val="2"/>
          </rPr>
          <t>REAL Tips:
1</t>
        </r>
        <r>
          <rPr>
            <b/>
            <sz val="9"/>
            <color indexed="12"/>
            <rFont val="宋体"/>
            <family val="3"/>
            <charset val="134"/>
          </rPr>
          <t>、一般风险准备情况说明</t>
        </r>
      </text>
    </comment>
    <comment ref="G4465" authorId="1" shapeId="0">
      <text>
        <r>
          <rPr>
            <b/>
            <sz val="9"/>
            <color indexed="12"/>
            <rFont val="Tahoma"/>
            <family val="2"/>
          </rPr>
          <t xml:space="preserve">WPE Tips:
</t>
        </r>
        <r>
          <rPr>
            <b/>
            <sz val="9"/>
            <color indexed="12"/>
            <rFont val="宋体"/>
            <family val="3"/>
            <charset val="134"/>
          </rPr>
          <t>本行被其他表链接，莫删莫删！</t>
        </r>
      </text>
    </comment>
    <comment ref="N4478" authorId="2" shapeId="0">
      <text>
        <r>
          <rPr>
            <b/>
            <sz val="9"/>
            <color indexed="81"/>
            <rFont val="宋体"/>
            <family val="3"/>
            <charset val="134"/>
          </rPr>
          <t>胡晓明:
如需要，请在此设置公式，引用至注释小表中期初/上期数的单元格。</t>
        </r>
      </text>
    </comment>
    <comment ref="S4478" authorId="1" shapeId="0">
      <text>
        <r>
          <rPr>
            <b/>
            <sz val="9"/>
            <color indexed="12"/>
            <rFont val="Tahoma"/>
            <family val="2"/>
          </rPr>
          <t>REAL Tips:
1</t>
        </r>
        <r>
          <rPr>
            <b/>
            <sz val="9"/>
            <color indexed="12"/>
            <rFont val="宋体"/>
            <family val="3"/>
            <charset val="134"/>
          </rPr>
          <t>、对期初未分配利润进行调整的，各项调整原因及金额。
披露举例：
根据</t>
        </r>
        <r>
          <rPr>
            <b/>
            <sz val="9"/>
            <color indexed="12"/>
            <rFont val="Tahoma"/>
            <family val="2"/>
          </rPr>
          <t>[XX</t>
        </r>
        <r>
          <rPr>
            <b/>
            <sz val="9"/>
            <color indexed="12"/>
            <rFont val="宋体"/>
            <family val="3"/>
            <charset val="134"/>
          </rPr>
          <t>文件</t>
        </r>
        <r>
          <rPr>
            <b/>
            <sz val="9"/>
            <color indexed="12"/>
            <rFont val="Tahoma"/>
            <family val="2"/>
          </rPr>
          <t>]</t>
        </r>
        <r>
          <rPr>
            <b/>
            <sz val="9"/>
            <color indexed="12"/>
            <rFont val="宋体"/>
            <family val="3"/>
            <charset val="134"/>
          </rPr>
          <t>及公司章程的规定，本公司可供股东分配利润为按中国会计准则编制的报表数与按国际财务报告准则编制报表数两者孰低的金额。</t>
        </r>
        <r>
          <rPr>
            <b/>
            <sz val="9"/>
            <color indexed="12"/>
            <rFont val="Tahoma"/>
            <family val="2"/>
          </rPr>
          <t>(</t>
        </r>
        <r>
          <rPr>
            <b/>
            <sz val="9"/>
            <color indexed="12"/>
            <rFont val="宋体"/>
            <family val="3"/>
            <charset val="134"/>
          </rPr>
          <t>请列明利润分配依据。</t>
        </r>
        <r>
          <rPr>
            <b/>
            <sz val="9"/>
            <color indexed="12"/>
            <rFont val="Tahoma"/>
            <family val="2"/>
          </rPr>
          <t>)
(</t>
        </r>
        <r>
          <rPr>
            <b/>
            <sz val="9"/>
            <color indexed="12"/>
            <rFont val="宋体"/>
            <family val="3"/>
            <charset val="134"/>
          </rPr>
          <t>对于首次公开发行证券的公司，如果发行前的滚存利润经股东大会决议由新老股东共同享有，应明确予以说明。如果发行前的滚存利润经股东大会决议在发行前进行分配并由老股东享有，公司应明确披露应付股利项目中列示的老股东享有的经审计的利润数。</t>
        </r>
        <r>
          <rPr>
            <b/>
            <sz val="9"/>
            <color indexed="12"/>
            <rFont val="Tahoma"/>
            <family val="2"/>
          </rPr>
          <t xml:space="preserve">)
</t>
        </r>
      </text>
    </comment>
    <comment ref="S4520" authorId="1" shapeId="0">
      <text>
        <r>
          <rPr>
            <b/>
            <sz val="9"/>
            <color indexed="12"/>
            <rFont val="Tahoma"/>
            <family val="2"/>
          </rPr>
          <t>REAL Tips:
1</t>
        </r>
        <r>
          <rPr>
            <b/>
            <sz val="9"/>
            <color indexed="12"/>
            <rFont val="宋体"/>
            <family val="3"/>
            <charset val="134"/>
          </rPr>
          <t>、如果企业没有报告分部，应在此处增加披露</t>
        </r>
      </text>
    </comment>
    <comment ref="G4542" authorId="1" shapeId="0">
      <text>
        <r>
          <rPr>
            <b/>
            <sz val="9"/>
            <rFont val="Tahoma"/>
            <family val="2"/>
          </rPr>
          <t>未解决注释间差异合计。
注：本表中的“差异”，如未 √ 以示确认，则为“未解决注释间差异（存疑差异）”。</t>
        </r>
      </text>
    </comment>
    <comment ref="S4544" authorId="1" shapeId="0">
      <text>
        <r>
          <rPr>
            <b/>
            <sz val="9"/>
            <color indexed="12"/>
            <rFont val="Tahoma"/>
            <family val="2"/>
          </rPr>
          <t>REAL Tips:
1</t>
        </r>
        <r>
          <rPr>
            <b/>
            <sz val="9"/>
            <color indexed="12"/>
            <rFont val="宋体"/>
            <family val="3"/>
            <charset val="134"/>
          </rPr>
          <t>、如果企业没有报告分部，应在此处增加披露</t>
        </r>
      </text>
    </comment>
    <comment ref="G4565" authorId="1" shapeId="0">
      <text>
        <r>
          <rPr>
            <b/>
            <sz val="9"/>
            <rFont val="Tahoma"/>
            <family val="2"/>
          </rPr>
          <t>未解决注释间差异合计。
注：本表中的“差异”，如未 √ 以示确认，则为“未解决注释间差异（存疑差异）”。</t>
        </r>
      </text>
    </comment>
    <comment ref="S4567" authorId="1" shapeId="0">
      <text>
        <r>
          <rPr>
            <b/>
            <sz val="9"/>
            <color indexed="12"/>
            <rFont val="Tahoma"/>
            <family val="2"/>
          </rPr>
          <t>REAL Tips:
1</t>
        </r>
        <r>
          <rPr>
            <b/>
            <sz val="9"/>
            <color indexed="12"/>
            <rFont val="宋体"/>
            <family val="3"/>
            <charset val="134"/>
          </rPr>
          <t>、如果企业没有报告分部，应在此处增加披露</t>
        </r>
      </text>
    </comment>
    <comment ref="G4584" authorId="1" shapeId="0">
      <text>
        <r>
          <rPr>
            <b/>
            <sz val="9"/>
            <rFont val="Tahoma"/>
            <family val="2"/>
          </rPr>
          <t>未解决注释间差异合计。
注：本表中的“差异”，如未 √ 以示确认，则为“未解决注释间差异（存疑差异）”。</t>
        </r>
      </text>
    </comment>
    <comment ref="K4586" authorId="2" shapeId="0">
      <text>
        <r>
          <rPr>
            <b/>
            <sz val="9"/>
            <color indexed="81"/>
            <rFont val="宋体"/>
            <family val="3"/>
            <charset val="134"/>
          </rPr>
          <t>胡晓明:
如需要，请在此设置公式，引用至注释小表中期末/本期数的单元格。</t>
        </r>
      </text>
    </comment>
    <comment ref="N4586" authorId="2" shapeId="0">
      <text>
        <r>
          <rPr>
            <b/>
            <sz val="9"/>
            <color indexed="81"/>
            <rFont val="宋体"/>
            <family val="3"/>
            <charset val="134"/>
          </rPr>
          <t>胡晓明:
如需要，请在此设置公式，引用至注释小表中期初/上期数的单元格。</t>
        </r>
      </text>
    </comment>
    <comment ref="K4601" authorId="2" shapeId="0">
      <text>
        <r>
          <rPr>
            <b/>
            <sz val="9"/>
            <color indexed="81"/>
            <rFont val="宋体"/>
            <family val="3"/>
            <charset val="134"/>
          </rPr>
          <t>胡晓明:
如需要，请在此设置公式，引用至注释小表中期末/本期数的单元格。</t>
        </r>
      </text>
    </comment>
    <comment ref="N4601" authorId="2" shapeId="0">
      <text>
        <r>
          <rPr>
            <b/>
            <sz val="9"/>
            <color indexed="81"/>
            <rFont val="宋体"/>
            <family val="3"/>
            <charset val="134"/>
          </rPr>
          <t>胡晓明:
如需要，请在此设置公式，引用至注释小表中期初/上期数的单元格。</t>
        </r>
      </text>
    </comment>
    <comment ref="S4667" authorId="1" shapeId="0">
      <text>
        <r>
          <rPr>
            <b/>
            <sz val="9"/>
            <color indexed="12"/>
            <rFont val="Tahoma"/>
            <family val="2"/>
          </rPr>
          <t>REAL Tips:
1</t>
        </r>
        <r>
          <rPr>
            <b/>
            <sz val="9"/>
            <color indexed="12"/>
            <rFont val="宋体"/>
            <family val="3"/>
            <charset val="134"/>
          </rPr>
          <t>、按费用性质列示</t>
        </r>
      </text>
    </comment>
    <comment ref="S4687" authorId="1" shapeId="0">
      <text>
        <r>
          <rPr>
            <b/>
            <sz val="9"/>
            <color indexed="12"/>
            <rFont val="Tahoma"/>
            <family val="2"/>
          </rPr>
          <t>REAL Tips:
1</t>
        </r>
        <r>
          <rPr>
            <b/>
            <sz val="9"/>
            <color indexed="12"/>
            <rFont val="宋体"/>
            <family val="3"/>
            <charset val="134"/>
          </rPr>
          <t>、按费用性质列示</t>
        </r>
      </text>
    </comment>
    <comment ref="S4698" authorId="1" shapeId="0">
      <text>
        <r>
          <rPr>
            <b/>
            <sz val="9"/>
            <color indexed="12"/>
            <rFont val="Tahoma"/>
            <family val="2"/>
          </rPr>
          <t>REAL Tips:
1</t>
        </r>
        <r>
          <rPr>
            <b/>
            <sz val="9"/>
            <color indexed="12"/>
            <rFont val="宋体"/>
            <family val="3"/>
            <charset val="134"/>
          </rPr>
          <t>、按费用性质列示</t>
        </r>
      </text>
    </comment>
    <comment ref="S4718" authorId="1" shapeId="0">
      <text>
        <r>
          <rPr>
            <b/>
            <sz val="9"/>
            <color indexed="12"/>
            <rFont val="Tahoma"/>
            <family val="2"/>
          </rPr>
          <t>REAL Tips:
1</t>
        </r>
        <r>
          <rPr>
            <b/>
            <sz val="9"/>
            <color indexed="12"/>
            <rFont val="宋体"/>
            <family val="3"/>
            <charset val="134"/>
          </rPr>
          <t>、按费用性质列示</t>
        </r>
      </text>
    </comment>
    <comment ref="S4754"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S4769" authorId="1" shapeId="0">
      <text>
        <r>
          <rPr>
            <b/>
            <sz val="9"/>
            <color indexed="12"/>
            <rFont val="Tahoma"/>
            <family val="2"/>
          </rPr>
          <t>REAL Tips:
1</t>
        </r>
        <r>
          <rPr>
            <b/>
            <sz val="9"/>
            <color indexed="12"/>
            <rFont val="宋体"/>
            <family val="3"/>
            <charset val="134"/>
          </rPr>
          <t>、按费用性质列示
披露示例：
利息资本化金额已计入存货和在建工程。本期用于计算确定借款费用资本化金额的资本化率为</t>
        </r>
        <r>
          <rPr>
            <b/>
            <sz val="9"/>
            <color indexed="12"/>
            <rFont val="Tahoma"/>
            <family val="2"/>
          </rPr>
          <t>XX%</t>
        </r>
        <r>
          <rPr>
            <b/>
            <sz val="9"/>
            <color indexed="12"/>
            <rFont val="宋体"/>
            <family val="3"/>
            <charset val="134"/>
          </rPr>
          <t>（上期：</t>
        </r>
        <r>
          <rPr>
            <b/>
            <sz val="9"/>
            <color indexed="12"/>
            <rFont val="Tahoma"/>
            <family val="2"/>
          </rPr>
          <t>XX%</t>
        </r>
        <r>
          <rPr>
            <b/>
            <sz val="9"/>
            <color indexed="12"/>
            <rFont val="宋体"/>
            <family val="3"/>
            <charset val="134"/>
          </rPr>
          <t>）</t>
        </r>
      </text>
    </comment>
    <comment ref="G4806" authorId="0" shapeId="0">
      <text>
        <r>
          <rPr>
            <b/>
            <sz val="9"/>
            <color indexed="81"/>
            <rFont val="Tahoma"/>
            <family val="2"/>
          </rPr>
          <t>未解决注释间差异合计。
注：本表中的“差异”，如未 √ 以示确认，则为“未解决注释间差异（存疑差异）”。</t>
        </r>
      </text>
    </comment>
    <comment ref="S4936"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）（政府补助有附加性限制条件的，应同时披露附加性限制条件。对政府补助限定了用途及会计处理的，也应做出说明）
（</t>
        </r>
        <r>
          <rPr>
            <b/>
            <sz val="9"/>
            <color indexed="12"/>
            <rFont val="Tahoma"/>
            <family val="2"/>
          </rPr>
          <t>2</t>
        </r>
        <r>
          <rPr>
            <b/>
            <sz val="9"/>
            <color indexed="12"/>
            <rFont val="宋体"/>
            <family val="3"/>
            <charset val="134"/>
          </rPr>
          <t>）（如本年返还政府补助，应披露返还的金额及原因。）
（</t>
        </r>
        <r>
          <rPr>
            <b/>
            <sz val="9"/>
            <color indexed="12"/>
            <rFont val="Tahoma"/>
            <family val="2"/>
          </rPr>
          <t>3</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号规定：公司应当遵循重要性原则，对于计入当期损益的政府补助，分项披露本期发生额及上期发生额。对于相关文件未明确规定补助对象的政府补助项目，公司还应单独说明其划分依据。）
（</t>
        </r>
        <r>
          <rPr>
            <b/>
            <sz val="9"/>
            <color indexed="12"/>
            <rFont val="Tahoma"/>
            <family val="2"/>
          </rPr>
          <t>4</t>
        </r>
        <r>
          <rPr>
            <b/>
            <sz val="9"/>
            <color indexed="12"/>
            <rFont val="宋体"/>
            <family val="3"/>
            <charset val="134"/>
          </rPr>
          <t>）作为经常性损益的政府补助，具体原因见附注十六、</t>
        </r>
        <r>
          <rPr>
            <b/>
            <sz val="9"/>
            <color indexed="12"/>
            <rFont val="Tahoma"/>
            <family val="2"/>
          </rPr>
          <t>1</t>
        </r>
        <r>
          <rPr>
            <b/>
            <sz val="9"/>
            <color indexed="12"/>
            <rFont val="宋体"/>
            <family val="3"/>
            <charset val="134"/>
          </rPr>
          <t xml:space="preserve">。
</t>
        </r>
      </text>
    </comment>
    <comment ref="G4951" authorId="1" shapeId="0">
      <text>
        <r>
          <rPr>
            <b/>
            <sz val="9"/>
            <rFont val="Tahoma"/>
            <family val="2"/>
          </rPr>
          <t>未解决注释间差异合计。
注：本表中的“差异”，如未 √ 以示确认，则为“未解决注释间差异（存疑差异）”。</t>
        </r>
      </text>
    </comment>
    <comment ref="K5008" authorId="2" shapeId="0">
      <text>
        <r>
          <rPr>
            <b/>
            <sz val="9"/>
            <color indexed="81"/>
            <rFont val="宋体"/>
            <family val="3"/>
            <charset val="134"/>
          </rPr>
          <t>胡晓明:
如需要，请在此设置公式，引用至注释小表中期末/本期数的单元格。</t>
        </r>
      </text>
    </comment>
    <comment ref="N5008" authorId="2" shapeId="0">
      <text>
        <r>
          <rPr>
            <b/>
            <sz val="9"/>
            <color indexed="81"/>
            <rFont val="宋体"/>
            <family val="3"/>
            <charset val="134"/>
          </rPr>
          <t>胡晓明:
如需要，请在此设置公式，引用至注释小表中期初/上期数的单元格。</t>
        </r>
      </text>
    </comment>
    <comment ref="K5018" authorId="2" shapeId="0">
      <text>
        <r>
          <rPr>
            <b/>
            <sz val="9"/>
            <color indexed="81"/>
            <rFont val="宋体"/>
            <family val="3"/>
            <charset val="134"/>
          </rPr>
          <t>胡晓明:
如需要，请在此设置公式，引用至注释小表中期末/本期数的单元格。</t>
        </r>
      </text>
    </comment>
    <comment ref="N5018" authorId="2" shapeId="0">
      <text>
        <r>
          <rPr>
            <b/>
            <sz val="9"/>
            <color indexed="81"/>
            <rFont val="宋体"/>
            <family val="3"/>
            <charset val="134"/>
          </rPr>
          <t>胡晓明:
如需要，请在此设置公式，引用至注释小表中期初/上期数的单元格。</t>
        </r>
      </text>
    </comment>
    <comment ref="K5106" authorId="2" shapeId="0">
      <text>
        <r>
          <rPr>
            <b/>
            <sz val="9"/>
            <color indexed="81"/>
            <rFont val="宋体"/>
            <family val="3"/>
            <charset val="134"/>
          </rPr>
          <t>胡晓明:
如需要，请在此设置公式，引用至注释小表中期末/本期数的单元格。</t>
        </r>
      </text>
    </comment>
    <comment ref="N5106" authorId="2" shapeId="0">
      <text>
        <r>
          <rPr>
            <b/>
            <sz val="9"/>
            <color indexed="81"/>
            <rFont val="宋体"/>
            <family val="3"/>
            <charset val="134"/>
          </rPr>
          <t>胡晓明:
如需要，请在此设置公式，引用至注释小表中期初/上期数的单元格。</t>
        </r>
      </text>
    </comment>
    <comment ref="K5129" authorId="2" shapeId="0">
      <text>
        <r>
          <rPr>
            <b/>
            <sz val="9"/>
            <color indexed="81"/>
            <rFont val="宋体"/>
            <family val="3"/>
            <charset val="134"/>
          </rPr>
          <t>胡晓明:
如需要，请在此设置公式，引用至注释小表中期末/本期数的单元格。</t>
        </r>
      </text>
    </comment>
    <comment ref="N5129" authorId="2" shapeId="0">
      <text>
        <r>
          <rPr>
            <b/>
            <sz val="9"/>
            <color indexed="81"/>
            <rFont val="宋体"/>
            <family val="3"/>
            <charset val="134"/>
          </rPr>
          <t>胡晓明:
如需要，请在此设置公式，引用至注释小表中期初/上期数的单元格。</t>
        </r>
      </text>
    </comment>
    <comment ref="K5137" authorId="2" shapeId="0">
      <text>
        <r>
          <rPr>
            <b/>
            <sz val="9"/>
            <color indexed="81"/>
            <rFont val="宋体"/>
            <family val="3"/>
            <charset val="134"/>
          </rPr>
          <t>胡晓明:
如需要，请在此设置公式，引用至注释小表中期末/本期数的单元格。</t>
        </r>
      </text>
    </comment>
    <comment ref="N5137" authorId="2" shapeId="0">
      <text>
        <r>
          <rPr>
            <b/>
            <sz val="9"/>
            <color indexed="81"/>
            <rFont val="宋体"/>
            <family val="3"/>
            <charset val="134"/>
          </rPr>
          <t>胡晓明:
如需要，请在此设置公式，引用至注释小表中期初/上期数的单元格。</t>
        </r>
      </text>
    </comment>
    <comment ref="K5146" authorId="2" shapeId="0">
      <text>
        <r>
          <rPr>
            <b/>
            <sz val="9"/>
            <color indexed="81"/>
            <rFont val="宋体"/>
            <family val="3"/>
            <charset val="134"/>
          </rPr>
          <t>胡晓明:
如需要，请在此设置公式，引用至注释小表中期末/本期数的单元格。</t>
        </r>
      </text>
    </comment>
    <comment ref="N5146" authorId="2" shapeId="0">
      <text>
        <r>
          <rPr>
            <b/>
            <sz val="9"/>
            <color indexed="81"/>
            <rFont val="宋体"/>
            <family val="3"/>
            <charset val="134"/>
          </rPr>
          <t>胡晓明:
如需要，请在此设置公式，引用至注释小表中期初/上期数的单元格。</t>
        </r>
      </text>
    </comment>
    <comment ref="K5156" authorId="2" shapeId="0">
      <text>
        <r>
          <rPr>
            <b/>
            <sz val="9"/>
            <color indexed="81"/>
            <rFont val="宋体"/>
            <family val="3"/>
            <charset val="134"/>
          </rPr>
          <t>胡晓明:
如需要，请在此设置公式，引用至注释小表中期末/本期数的单元格。</t>
        </r>
      </text>
    </comment>
    <comment ref="N5156" authorId="2" shapeId="0">
      <text>
        <r>
          <rPr>
            <b/>
            <sz val="9"/>
            <color indexed="81"/>
            <rFont val="宋体"/>
            <family val="3"/>
            <charset val="134"/>
          </rPr>
          <t>胡晓明:
如需要，请在此设置公式，引用至注释小表中期初/上期数的单元格。</t>
        </r>
      </text>
    </comment>
    <comment ref="K5166" authorId="2" shapeId="0">
      <text>
        <r>
          <rPr>
            <b/>
            <sz val="9"/>
            <color indexed="81"/>
            <rFont val="宋体"/>
            <family val="3"/>
            <charset val="134"/>
          </rPr>
          <t>胡晓明:
如需要，请在此设置公式，引用至注释小表中期末/本期数的单元格。</t>
        </r>
      </text>
    </comment>
    <comment ref="N5166" authorId="2" shapeId="0">
      <text>
        <r>
          <rPr>
            <b/>
            <sz val="9"/>
            <color indexed="81"/>
            <rFont val="宋体"/>
            <family val="3"/>
            <charset val="134"/>
          </rPr>
          <t>胡晓明:
如需要，请在此设置公式，引用至注释小表中期初/上期数的单元格。</t>
        </r>
      </text>
    </comment>
    <comment ref="S5166" authorId="1" shapeId="0">
      <text>
        <r>
          <rPr>
            <b/>
            <sz val="9"/>
            <color indexed="12"/>
            <rFont val="Tahoma"/>
            <family val="2"/>
          </rPr>
          <t>REAL Tips:
1</t>
        </r>
        <r>
          <rPr>
            <b/>
            <sz val="9"/>
            <color indexed="12"/>
            <rFont val="宋体"/>
            <family val="3"/>
            <charset val="134"/>
          </rPr>
          <t>、如存在企业持有但不能由母公司或集团内其他子公司使用的大额现金和现金等价物的，披露其金额。</t>
        </r>
      </text>
    </comment>
    <comment ref="K5182" authorId="2" shapeId="0">
      <text>
        <r>
          <rPr>
            <b/>
            <sz val="9"/>
            <color indexed="81"/>
            <rFont val="宋体"/>
            <family val="3"/>
            <charset val="134"/>
          </rPr>
          <t>胡晓明:
如需要，请在此设置公式，引用至注释小表中期末/本期数的单元格。</t>
        </r>
      </text>
    </comment>
    <comment ref="N5182" authorId="2" shapeId="0">
      <text>
        <r>
          <rPr>
            <b/>
            <sz val="9"/>
            <color indexed="81"/>
            <rFont val="宋体"/>
            <family val="3"/>
            <charset val="134"/>
          </rPr>
          <t>胡晓明:
如需要，请在此设置公式，引用至注释小表中期初/上期数的单元格。</t>
        </r>
      </text>
    </comment>
    <comment ref="K5193" authorId="2" shapeId="0">
      <text>
        <r>
          <rPr>
            <b/>
            <sz val="9"/>
            <color indexed="81"/>
            <rFont val="宋体"/>
            <family val="3"/>
            <charset val="134"/>
          </rPr>
          <t>胡晓明:
如需要，请在此设置公式，引用至注释小表中期末/本期数的单元格。</t>
        </r>
      </text>
    </comment>
    <comment ref="N5193" authorId="2" shapeId="0">
      <text>
        <r>
          <rPr>
            <b/>
            <sz val="9"/>
            <color indexed="81"/>
            <rFont val="宋体"/>
            <family val="3"/>
            <charset val="134"/>
          </rPr>
          <t>胡晓明:
如需要，请在此设置公式，引用至注释小表中期初/上期数的单元格。</t>
        </r>
      </text>
    </comment>
    <comment ref="S5193" authorId="1" shapeId="0">
      <text>
        <r>
          <rPr>
            <b/>
            <sz val="9"/>
            <color indexed="12"/>
            <rFont val="Tahoma"/>
            <family val="2"/>
          </rPr>
          <t xml:space="preserve">REAL Tips:
</t>
        </r>
        <r>
          <rPr>
            <b/>
            <sz val="9"/>
            <color indexed="12"/>
            <rFont val="宋体"/>
            <family val="3"/>
            <charset val="134"/>
          </rPr>
          <t>（</t>
        </r>
        <r>
          <rPr>
            <b/>
            <sz val="9"/>
            <color indexed="12"/>
            <rFont val="Tahoma"/>
            <family val="2"/>
          </rPr>
          <t>1</t>
        </r>
        <r>
          <rPr>
            <b/>
            <sz val="9"/>
            <color indexed="12"/>
            <rFont val="宋体"/>
            <family val="3"/>
            <charset val="134"/>
          </rPr>
          <t>）对上年年末余额进行调整的</t>
        </r>
        <r>
          <rPr>
            <b/>
            <sz val="9"/>
            <color indexed="12"/>
            <rFont val="Tahoma"/>
            <family val="2"/>
          </rPr>
          <t>“</t>
        </r>
        <r>
          <rPr>
            <b/>
            <sz val="9"/>
            <color indexed="12"/>
            <rFont val="宋体"/>
            <family val="3"/>
            <charset val="134"/>
          </rPr>
          <t>其他</t>
        </r>
        <r>
          <rPr>
            <b/>
            <sz val="9"/>
            <color indexed="12"/>
            <rFont val="Tahoma"/>
            <family val="2"/>
          </rPr>
          <t>”</t>
        </r>
        <r>
          <rPr>
            <b/>
            <sz val="9"/>
            <color indexed="12"/>
            <rFont val="宋体"/>
            <family val="3"/>
            <charset val="134"/>
          </rPr>
          <t>项目的性质及调整金额的说明，如：由同一控制下企业合并产生的追溯调整等事项的说明。
（</t>
        </r>
        <r>
          <rPr>
            <b/>
            <sz val="9"/>
            <color indexed="12"/>
            <rFont val="Tahoma"/>
            <family val="2"/>
          </rPr>
          <t>2</t>
        </r>
        <r>
          <rPr>
            <b/>
            <sz val="9"/>
            <color indexed="12"/>
            <rFont val="宋体"/>
            <family val="3"/>
            <charset val="134"/>
          </rPr>
          <t>）</t>
        </r>
        <r>
          <rPr>
            <b/>
            <sz val="9"/>
            <color indexed="12"/>
            <rFont val="Tahoma"/>
            <family val="2"/>
          </rPr>
          <t>“</t>
        </r>
        <r>
          <rPr>
            <b/>
            <sz val="9"/>
            <color indexed="12"/>
            <rFont val="宋体"/>
            <family val="3"/>
            <charset val="134"/>
          </rPr>
          <t>（六）其他</t>
        </r>
        <r>
          <rPr>
            <b/>
            <sz val="9"/>
            <color indexed="12"/>
            <rFont val="Tahoma"/>
            <family val="2"/>
          </rPr>
          <t>”</t>
        </r>
        <r>
          <rPr>
            <b/>
            <sz val="9"/>
            <color indexed="12"/>
            <rFont val="宋体"/>
            <family val="3"/>
            <charset val="134"/>
          </rPr>
          <t xml:space="preserve">项中金额重大的项目说明。
</t>
        </r>
      </text>
    </comment>
    <comment ref="K5204" authorId="2" shapeId="0">
      <text>
        <r>
          <rPr>
            <b/>
            <sz val="9"/>
            <color indexed="81"/>
            <rFont val="宋体"/>
            <family val="3"/>
            <charset val="134"/>
          </rPr>
          <t>胡晓明:
如需要，请在此设置公式，引用至注释小表中期末/本期数的单元格。</t>
        </r>
      </text>
    </comment>
    <comment ref="N5204" authorId="2" shapeId="0">
      <text>
        <r>
          <rPr>
            <b/>
            <sz val="9"/>
            <color indexed="81"/>
            <rFont val="宋体"/>
            <family val="3"/>
            <charset val="134"/>
          </rPr>
          <t>胡晓明:
如需要，请在此设置公式，引用至注释小表中期初/上期数的单元格。</t>
        </r>
      </text>
    </comment>
    <comment ref="K5218" authorId="2" shapeId="0">
      <text>
        <r>
          <rPr>
            <b/>
            <sz val="9"/>
            <color indexed="81"/>
            <rFont val="宋体"/>
            <family val="3"/>
            <charset val="134"/>
          </rPr>
          <t>胡晓明:
如需要，请在此设置公式，引用至注释小表中期末/本期数的单元格。</t>
        </r>
      </text>
    </comment>
    <comment ref="N5218" authorId="2" shapeId="0">
      <text>
        <r>
          <rPr>
            <b/>
            <sz val="9"/>
            <color indexed="81"/>
            <rFont val="宋体"/>
            <family val="3"/>
            <charset val="134"/>
          </rPr>
          <t>胡晓明:
如需要，请在此设置公式，引用至注释小表中期初/上期数的单元格。</t>
        </r>
      </text>
    </comment>
    <comment ref="S5218" authorId="1" shapeId="0">
      <text>
        <r>
          <rPr>
            <b/>
            <sz val="9"/>
            <color indexed="12"/>
            <rFont val="Tahoma"/>
            <family val="2"/>
          </rPr>
          <t xml:space="preserve">REAL Tips:
</t>
        </r>
        <r>
          <rPr>
            <b/>
            <sz val="9"/>
            <color indexed="12"/>
            <rFont val="宋体"/>
            <family val="3"/>
            <charset val="134"/>
          </rPr>
          <t>（</t>
        </r>
        <r>
          <rPr>
            <b/>
            <sz val="9"/>
            <color indexed="12"/>
            <rFont val="Tahoma"/>
            <family val="2"/>
          </rPr>
          <t>2</t>
        </r>
        <r>
          <rPr>
            <b/>
            <sz val="9"/>
            <color indexed="12"/>
            <rFont val="宋体"/>
            <family val="3"/>
            <charset val="134"/>
          </rPr>
          <t xml:space="preserve">）境外经营实体
说明：重要境外经营实体，应披露其境外主要经营地、记账本位币及选择依据。记账本位币发生变化的还应披露原因及其会计处理。
</t>
        </r>
      </text>
    </comment>
    <comment ref="K5464" authorId="2" shapeId="0">
      <text>
        <r>
          <rPr>
            <b/>
            <sz val="9"/>
            <color indexed="81"/>
            <rFont val="宋体"/>
            <family val="3"/>
            <charset val="134"/>
          </rPr>
          <t>胡晓明:
如需要，请在此设置公式，引用至注释小表中期末/本期数的单元格。</t>
        </r>
      </text>
    </comment>
    <comment ref="N5464" authorId="2" shapeId="0">
      <text>
        <r>
          <rPr>
            <b/>
            <sz val="9"/>
            <color indexed="81"/>
            <rFont val="宋体"/>
            <family val="3"/>
            <charset val="134"/>
          </rPr>
          <t>胡晓明:
如需要，请在此设置公式，引用至注释小表中期初/上期数的单元格。</t>
        </r>
      </text>
    </comment>
    <comment ref="S5464" authorId="1" shapeId="0">
      <text>
        <r>
          <rPr>
            <b/>
            <sz val="9"/>
            <color indexed="12"/>
            <rFont val="Tahoma"/>
            <family val="2"/>
          </rPr>
          <t>REAL Tips:
1</t>
        </r>
        <r>
          <rPr>
            <b/>
            <sz val="9"/>
            <color indexed="12"/>
            <rFont val="宋体"/>
            <family val="3"/>
            <charset val="134"/>
          </rPr>
          <t>、披露示例
本集团以导致各层次之间转换的事项发生日为确认各层次之间转换的时点。本年度，本集团持有的股票投资</t>
        </r>
        <r>
          <rPr>
            <b/>
            <sz val="9"/>
            <color indexed="12"/>
            <rFont val="Tahoma"/>
            <family val="2"/>
          </rPr>
          <t>XX</t>
        </r>
        <r>
          <rPr>
            <b/>
            <sz val="9"/>
            <color indexed="12"/>
            <rFont val="宋体"/>
            <family val="3"/>
            <charset val="134"/>
          </rPr>
          <t>公司已结束限售期，因此该可供出售金融资产的公允价值计量从第二层次转换到第一层次；除该可供出售金融资产以外，本集团的其他金融资产及金融负债的公允价值计量未发生第一层次和第二层次之间的转换，亦无转入或转出第三层次的情况。（或</t>
        </r>
        <r>
          <rPr>
            <b/>
            <sz val="9"/>
            <color indexed="12"/>
            <rFont val="Tahoma"/>
            <family val="2"/>
          </rPr>
          <t xml:space="preserve"> </t>
        </r>
        <r>
          <rPr>
            <b/>
            <sz val="9"/>
            <color indexed="12"/>
            <rFont val="宋体"/>
            <family val="3"/>
            <charset val="134"/>
          </rPr>
          <t xml:space="preserve">本年度，本集团的金融资产及金融负债的公允价值计量未发生第一层次和第二层次之间的转换，亦无转入或转出第三层次的情况。）
对于在活跃市场上交易的金融工具，本集团以其活跃市场报价确定其公允价值；对于不在活跃市场上交易的金融工具，本集团采用估值技术确定其公允价值。所使用的估值模型主要为现金流量折现模型和市场可比公司模型等。估值技术的输入值主要包括无风险利率、基准利率、汇率、信用点差、流动性溢价、缺乏流动性折价等。
（当非金融资产的最佳用途与其当前用途不同时，企业应当披露这一事实及其原因）
（若估值技术发生变更，还需披露估值技术变更及变更原因）
</t>
        </r>
        <r>
          <rPr>
            <b/>
            <sz val="9"/>
            <color indexed="12"/>
            <rFont val="Tahoma"/>
            <family val="2"/>
          </rPr>
          <t>2</t>
        </r>
        <r>
          <rPr>
            <b/>
            <sz val="9"/>
            <color indexed="12"/>
            <rFont val="宋体"/>
            <family val="3"/>
            <charset val="134"/>
          </rPr>
          <t>、证监会《</t>
        </r>
        <r>
          <rPr>
            <b/>
            <sz val="9"/>
            <color indexed="12"/>
            <rFont val="Tahoma"/>
            <family val="2"/>
          </rPr>
          <t xml:space="preserve">2014 </t>
        </r>
        <r>
          <rPr>
            <b/>
            <sz val="9"/>
            <color indexed="12"/>
            <rFont val="宋体"/>
            <family val="3"/>
            <charset val="134"/>
          </rPr>
          <t>年上市公司年报会计监管报告》，非持续的公允价值计量包括：持有待售资产、非同一控制下的企业合并中取得的被购买方各项可辨认资产、负债及或有负债等。</t>
        </r>
      </text>
    </comment>
    <comment ref="N5558" authorId="2" shapeId="0">
      <text>
        <r>
          <rPr>
            <b/>
            <sz val="9"/>
            <color indexed="81"/>
            <rFont val="宋体"/>
            <family val="3"/>
            <charset val="134"/>
          </rPr>
          <t>胡晓明:
如需要，请在此设置公式，引用至注释小表中期初/上期数的单元格。</t>
        </r>
      </text>
    </comment>
    <comment ref="N5567" authorId="2" shapeId="0">
      <text>
        <r>
          <rPr>
            <b/>
            <sz val="9"/>
            <color indexed="81"/>
            <rFont val="宋体"/>
            <family val="3"/>
            <charset val="134"/>
          </rPr>
          <t>胡晓明:
如需要，请在此设置公式，引用至注释小表中期初/上期数的单元格。</t>
        </r>
      </text>
    </comment>
    <comment ref="K5585" authorId="2" shapeId="0">
      <text>
        <r>
          <rPr>
            <b/>
            <sz val="9"/>
            <color indexed="81"/>
            <rFont val="宋体"/>
            <family val="3"/>
            <charset val="134"/>
          </rPr>
          <t>胡晓明:
如需要，请在此设置公式，引用至注释小表中期末/本期数的单元格。</t>
        </r>
      </text>
    </comment>
    <comment ref="N5585" authorId="2" shapeId="0">
      <text>
        <r>
          <rPr>
            <b/>
            <sz val="9"/>
            <color indexed="81"/>
            <rFont val="宋体"/>
            <family val="3"/>
            <charset val="134"/>
          </rPr>
          <t>胡晓明:
如需要，请在此设置公式，引用至注释小表中期初/上期数的单元格。</t>
        </r>
      </text>
    </comment>
    <comment ref="K5611" authorId="2" shapeId="0">
      <text>
        <r>
          <rPr>
            <b/>
            <sz val="9"/>
            <color indexed="81"/>
            <rFont val="宋体"/>
            <family val="3"/>
            <charset val="134"/>
          </rPr>
          <t>胡晓明:
如需要，请在此设置公式，引用至注释小表中期末/本期数的单元格。</t>
        </r>
      </text>
    </comment>
    <comment ref="N5611" authorId="2" shapeId="0">
      <text>
        <r>
          <rPr>
            <b/>
            <sz val="9"/>
            <color indexed="81"/>
            <rFont val="宋体"/>
            <family val="3"/>
            <charset val="134"/>
          </rPr>
          <t>胡晓明:
如需要，请在此设置公式，引用至注释小表中期初/上期数的单元格。</t>
        </r>
      </text>
    </comment>
    <comment ref="S5611" authorId="1" shapeId="0">
      <text>
        <r>
          <rPr>
            <b/>
            <sz val="9"/>
            <color indexed="12"/>
            <rFont val="Tahoma"/>
            <family val="2"/>
          </rPr>
          <t xml:space="preserve">REAL Tips:
</t>
        </r>
        <r>
          <rPr>
            <b/>
            <sz val="9"/>
            <color indexed="12"/>
            <rFont val="宋体"/>
            <family val="3"/>
            <charset val="134"/>
          </rPr>
          <t xml:space="preserve">披露示例：
本集团以摊余成本计量的金融资产和金融负债主要包括：货币资金、应收票据、应收账款、其他应收款、短期借款、应付票据、应付账款、其他应付款、一年内到期的长期借款、长期应付款、长期借款和应付债券等。
除下述金融资产和金融负债以外，其他不以公允价值计量的金融资产和金融负债的账面价值与公允价值相差很小。
</t>
        </r>
        <r>
          <rPr>
            <b/>
            <sz val="9"/>
            <color indexed="12"/>
            <rFont val="Tahoma"/>
            <family val="2"/>
          </rPr>
          <t xml:space="preserve">
</t>
        </r>
        <r>
          <rPr>
            <b/>
            <sz val="9"/>
            <color indexed="12"/>
            <rFont val="宋体"/>
            <family val="3"/>
            <charset val="134"/>
          </rPr>
          <t>长期应收款、固定利率的长期借款以及不存在活跃市场的应付债券，以合同规定的未来现金流量按照市场上具有可比信用等级并在相同条件下提供几乎相同现金流量的市场收益率进行折现后的现值确定其公允价值，属于第二层次。</t>
        </r>
        <r>
          <rPr>
            <b/>
            <sz val="9"/>
            <color indexed="12"/>
            <rFont val="Tahoma"/>
            <family val="2"/>
          </rPr>
          <t xml:space="preserve">
1</t>
        </r>
        <r>
          <rPr>
            <b/>
            <sz val="9"/>
            <color indexed="12"/>
            <rFont val="宋体"/>
            <family val="3"/>
            <charset val="134"/>
          </rPr>
          <t xml:space="preserve">、（对于第二层次和第三层次的公允价值，披露使用的估值技术和输入值的信息。）
</t>
        </r>
        <r>
          <rPr>
            <b/>
            <sz val="9"/>
            <color indexed="12"/>
            <rFont val="Tahoma"/>
            <family val="2"/>
          </rPr>
          <t>2</t>
        </r>
        <r>
          <rPr>
            <b/>
            <sz val="9"/>
            <color indexed="12"/>
            <rFont val="宋体"/>
            <family val="3"/>
            <charset val="134"/>
          </rPr>
          <t xml:space="preserve">、（若估值技术发生变更，还需披露估值技术变更及变更原因）
</t>
        </r>
      </text>
    </comment>
    <comment ref="K5657" authorId="2" shapeId="0">
      <text>
        <r>
          <rPr>
            <b/>
            <sz val="9"/>
            <color indexed="81"/>
            <rFont val="宋体"/>
            <family val="3"/>
            <charset val="134"/>
          </rPr>
          <t>胡晓明:
如需要，请在此设置公式，引用至注释小表中期末/本期数的单元格。</t>
        </r>
      </text>
    </comment>
    <comment ref="N5657" authorId="2" shapeId="0">
      <text>
        <r>
          <rPr>
            <b/>
            <sz val="9"/>
            <color indexed="81"/>
            <rFont val="宋体"/>
            <family val="3"/>
            <charset val="134"/>
          </rPr>
          <t>胡晓明:
如需要，请在此设置公式，引用至注释小表中期初/上期数的单元格。</t>
        </r>
      </text>
    </comment>
    <comment ref="K5667" authorId="2" shapeId="0">
      <text>
        <r>
          <rPr>
            <b/>
            <sz val="9"/>
            <color indexed="81"/>
            <rFont val="宋体"/>
            <family val="3"/>
            <charset val="134"/>
          </rPr>
          <t>胡晓明:
如需要，请在此设置公式，引用至注释小表中期末/本期数的单元格。</t>
        </r>
      </text>
    </comment>
    <comment ref="N5667" authorId="2" shapeId="0">
      <text>
        <r>
          <rPr>
            <b/>
            <sz val="9"/>
            <color indexed="81"/>
            <rFont val="宋体"/>
            <family val="3"/>
            <charset val="134"/>
          </rPr>
          <t>胡晓明:
如需要，请在此设置公式，引用至注释小表中期初/上期数的单元格。</t>
        </r>
      </text>
    </comment>
    <comment ref="K5677" authorId="2" shapeId="0">
      <text>
        <r>
          <rPr>
            <b/>
            <sz val="9"/>
            <color indexed="81"/>
            <rFont val="宋体"/>
            <family val="3"/>
            <charset val="134"/>
          </rPr>
          <t>胡晓明:
如需要，请在此设置公式，引用至注释小表中期末/本期数的单元格。</t>
        </r>
      </text>
    </comment>
    <comment ref="N5677" authorId="2" shapeId="0">
      <text>
        <r>
          <rPr>
            <b/>
            <sz val="9"/>
            <color indexed="81"/>
            <rFont val="宋体"/>
            <family val="3"/>
            <charset val="134"/>
          </rPr>
          <t>胡晓明:
如需要，请在此设置公式，引用至注释小表中期初/上期数的单元格。</t>
        </r>
      </text>
    </comment>
    <comment ref="K5687" authorId="2" shapeId="0">
      <text>
        <r>
          <rPr>
            <b/>
            <sz val="9"/>
            <color indexed="81"/>
            <rFont val="宋体"/>
            <family val="3"/>
            <charset val="134"/>
          </rPr>
          <t>胡晓明:
如需要，请在此设置公式，引用至注释小表中期末/本期数的单元格。</t>
        </r>
      </text>
    </comment>
    <comment ref="N5687" authorId="2" shapeId="0">
      <text>
        <r>
          <rPr>
            <b/>
            <sz val="9"/>
            <color indexed="81"/>
            <rFont val="宋体"/>
            <family val="3"/>
            <charset val="134"/>
          </rPr>
          <t>胡晓明:
如需要，请在此设置公式，引用至注释小表中期初/上期数的单元格。</t>
        </r>
      </text>
    </comment>
    <comment ref="K5697" authorId="2" shapeId="0">
      <text>
        <r>
          <rPr>
            <b/>
            <sz val="9"/>
            <color indexed="81"/>
            <rFont val="宋体"/>
            <family val="3"/>
            <charset val="134"/>
          </rPr>
          <t>胡晓明:
如需要，请在此设置公式，引用至注释小表中期末/本期数的单元格。</t>
        </r>
      </text>
    </comment>
    <comment ref="N5697" authorId="2" shapeId="0">
      <text>
        <r>
          <rPr>
            <b/>
            <sz val="9"/>
            <color indexed="81"/>
            <rFont val="宋体"/>
            <family val="3"/>
            <charset val="134"/>
          </rPr>
          <t>胡晓明:
如需要，请在此设置公式，引用至注释小表中期初/上期数的单元格。</t>
        </r>
      </text>
    </comment>
    <comment ref="K5707" authorId="2" shapeId="0">
      <text>
        <r>
          <rPr>
            <b/>
            <sz val="9"/>
            <color indexed="81"/>
            <rFont val="宋体"/>
            <family val="3"/>
            <charset val="134"/>
          </rPr>
          <t>胡晓明:
如需要，请在此设置公式，引用至注释小表中期末/本期数的单元格。</t>
        </r>
      </text>
    </comment>
    <comment ref="N5707" authorId="2" shapeId="0">
      <text>
        <r>
          <rPr>
            <b/>
            <sz val="9"/>
            <color indexed="81"/>
            <rFont val="宋体"/>
            <family val="3"/>
            <charset val="134"/>
          </rPr>
          <t>胡晓明:
如需要，请在此设置公式，引用至注释小表中期初/上期数的单元格。</t>
        </r>
      </text>
    </comment>
    <comment ref="K5717" authorId="2" shapeId="0">
      <text>
        <r>
          <rPr>
            <b/>
            <sz val="9"/>
            <color indexed="81"/>
            <rFont val="宋体"/>
            <family val="3"/>
            <charset val="134"/>
          </rPr>
          <t>胡晓明:
如需要，请在此设置公式，引用至注释小表中期末/本期数的单元格。</t>
        </r>
      </text>
    </comment>
    <comment ref="N5717" authorId="2" shapeId="0">
      <text>
        <r>
          <rPr>
            <b/>
            <sz val="9"/>
            <color indexed="81"/>
            <rFont val="宋体"/>
            <family val="3"/>
            <charset val="134"/>
          </rPr>
          <t>胡晓明:
如需要，请在此设置公式，引用至注释小表中期初/上期数的单元格。</t>
        </r>
      </text>
    </comment>
    <comment ref="K5727" authorId="2" shapeId="0">
      <text>
        <r>
          <rPr>
            <b/>
            <sz val="9"/>
            <color indexed="81"/>
            <rFont val="宋体"/>
            <family val="3"/>
            <charset val="134"/>
          </rPr>
          <t>胡晓明:
如需要，请在此设置公式，引用至注释小表中期末/本期数的单元格。</t>
        </r>
      </text>
    </comment>
    <comment ref="N5727" authorId="2" shapeId="0">
      <text>
        <r>
          <rPr>
            <b/>
            <sz val="9"/>
            <color indexed="81"/>
            <rFont val="宋体"/>
            <family val="3"/>
            <charset val="134"/>
          </rPr>
          <t>胡晓明:
如需要，请在此设置公式，引用至注释小表中期初/上期数的单元格。</t>
        </r>
      </text>
    </comment>
    <comment ref="K5737" authorId="2" shapeId="0">
      <text>
        <r>
          <rPr>
            <b/>
            <sz val="9"/>
            <color indexed="81"/>
            <rFont val="宋体"/>
            <family val="3"/>
            <charset val="134"/>
          </rPr>
          <t>胡晓明:
如需要，请在此设置公式，引用至注释小表中期末/本期数的单元格。</t>
        </r>
      </text>
    </comment>
    <comment ref="N5737" authorId="2" shapeId="0">
      <text>
        <r>
          <rPr>
            <b/>
            <sz val="9"/>
            <color indexed="81"/>
            <rFont val="宋体"/>
            <family val="3"/>
            <charset val="134"/>
          </rPr>
          <t>胡晓明:
如需要，请在此设置公式，引用至注释小表中期初/上期数的单元格。</t>
        </r>
      </text>
    </comment>
    <comment ref="K5747" authorId="2" shapeId="0">
      <text>
        <r>
          <rPr>
            <b/>
            <sz val="9"/>
            <color indexed="81"/>
            <rFont val="宋体"/>
            <family val="3"/>
            <charset val="134"/>
          </rPr>
          <t>胡晓明:
如需要，请在此设置公式，引用至注释小表中期末/本期数的单元格。</t>
        </r>
      </text>
    </comment>
    <comment ref="N5747" authorId="2" shapeId="0">
      <text>
        <r>
          <rPr>
            <b/>
            <sz val="9"/>
            <color indexed="81"/>
            <rFont val="宋体"/>
            <family val="3"/>
            <charset val="134"/>
          </rPr>
          <t>胡晓明:
如需要，请在此设置公式，引用至注释小表中期初/上期数的单元格。</t>
        </r>
      </text>
    </comment>
    <comment ref="G5750" authorId="1" shapeId="0">
      <text>
        <r>
          <rPr>
            <sz val="9"/>
            <rFont val="Tahoma"/>
            <family val="2"/>
          </rPr>
          <t xml:space="preserve">
</t>
        </r>
        <r>
          <rPr>
            <sz val="9"/>
            <rFont val="宋体"/>
            <family val="3"/>
            <charset val="134"/>
          </rPr>
          <t>注：一般不按具体人列示</t>
        </r>
      </text>
    </comment>
    <comment ref="K5784" authorId="2" shapeId="0">
      <text>
        <r>
          <rPr>
            <b/>
            <sz val="9"/>
            <color indexed="81"/>
            <rFont val="宋体"/>
            <family val="3"/>
            <charset val="134"/>
          </rPr>
          <t>胡晓明:
如需要，请在此设置公式，引用至注释小表中期末/本期数的单元格。</t>
        </r>
      </text>
    </comment>
    <comment ref="N5784" authorId="2" shapeId="0">
      <text>
        <r>
          <rPr>
            <b/>
            <sz val="9"/>
            <color indexed="81"/>
            <rFont val="宋体"/>
            <family val="3"/>
            <charset val="134"/>
          </rPr>
          <t>胡晓明:
如需要，请在此设置公式，引用至注释小表中期初/上期数的单元格。</t>
        </r>
      </text>
    </comment>
    <comment ref="S5814" authorId="1" shapeId="0">
      <text>
        <r>
          <rPr>
            <b/>
            <sz val="9"/>
            <color indexed="12"/>
            <rFont val="Tahoma"/>
            <family val="2"/>
          </rPr>
          <t>REAL Tips:
1</t>
        </r>
        <r>
          <rPr>
            <b/>
            <sz val="9"/>
            <color indexed="12"/>
            <rFont val="宋体"/>
            <family val="3"/>
            <charset val="134"/>
          </rPr>
          <t>、各非经常性损益项目按税前金额列示；如发生同一控制下企业合并，因非经常性损益项目集中列报为同一控制下企业合并产生的子公司期初至合并日的当期净损益，故其他项目不再重复列报。</t>
        </r>
      </text>
    </comment>
    <comment ref="K5846" authorId="2" shapeId="0">
      <text>
        <r>
          <rPr>
            <b/>
            <sz val="9"/>
            <color indexed="81"/>
            <rFont val="宋体"/>
            <family val="3"/>
            <charset val="134"/>
          </rPr>
          <t>胡晓明:
如需要，请在此设置公式，引用至注释小表中期末/本期数的单元格。</t>
        </r>
      </text>
    </comment>
    <comment ref="N5846" authorId="2" shapeId="0">
      <text>
        <r>
          <rPr>
            <b/>
            <sz val="9"/>
            <color indexed="81"/>
            <rFont val="宋体"/>
            <family val="3"/>
            <charset val="134"/>
          </rPr>
          <t>胡晓明:
如需要，请在此设置公式，引用至注释小表中期初/上期数的单元格。</t>
        </r>
      </text>
    </comment>
    <comment ref="S5846" authorId="1" shapeId="0">
      <text>
        <r>
          <rPr>
            <b/>
            <sz val="9"/>
            <color indexed="12"/>
            <rFont val="Tahoma"/>
            <family val="2"/>
          </rPr>
          <t>REAL Tips:
1</t>
        </r>
        <r>
          <rPr>
            <b/>
            <sz val="9"/>
            <color indexed="12"/>
            <rFont val="宋体"/>
            <family val="3"/>
            <charset val="134"/>
          </rPr>
          <t>、根据自身正常经营业务的性质和特点将“证监会公告</t>
        </r>
        <r>
          <rPr>
            <b/>
            <sz val="9"/>
            <color indexed="12"/>
            <rFont val="Tahoma"/>
            <family val="2"/>
          </rPr>
          <t>[2008]43</t>
        </r>
        <r>
          <rPr>
            <b/>
            <sz val="9"/>
            <color indexed="12"/>
            <rFont val="宋体"/>
            <family val="3"/>
            <charset val="134"/>
          </rPr>
          <t xml:space="preserve">号”列举的非经常性损益项目界定为经常性损益的项目的说明，对于作为经常性损益的政府补助项目，要逐项披露理由
</t>
        </r>
        <r>
          <rPr>
            <b/>
            <sz val="9"/>
            <color indexed="12"/>
            <rFont val="Tahoma"/>
            <family val="2"/>
          </rPr>
          <t>2</t>
        </r>
        <r>
          <rPr>
            <b/>
            <sz val="9"/>
            <color indexed="12"/>
            <rFont val="宋体"/>
            <family val="3"/>
            <charset val="134"/>
          </rPr>
          <t>、信息披露解释性公告第</t>
        </r>
        <r>
          <rPr>
            <b/>
            <sz val="9"/>
            <color indexed="12"/>
            <rFont val="Tahoma"/>
            <family val="2"/>
          </rPr>
          <t>2</t>
        </r>
        <r>
          <rPr>
            <b/>
            <sz val="9"/>
            <color indexed="12"/>
            <rFont val="宋体"/>
            <family val="3"/>
            <charset val="134"/>
          </rPr>
          <t>号规定：公司应根据《公开发行证券的公司信息披露解释性公告第</t>
        </r>
        <r>
          <rPr>
            <b/>
            <sz val="9"/>
            <color indexed="12"/>
            <rFont val="Tahoma"/>
            <family val="2"/>
          </rPr>
          <t>1</t>
        </r>
        <r>
          <rPr>
            <b/>
            <sz val="9"/>
            <color indexed="12"/>
            <rFont val="宋体"/>
            <family val="3"/>
            <charset val="134"/>
          </rPr>
          <t>号——非经常性损益》的相关规定披露计入当期损益的政府补助是否属于非经常性损益，如作为经常性损益，则应在财务报表补充资料中逐项披露理由。</t>
        </r>
      </text>
    </comment>
    <comment ref="K5856" authorId="2" shapeId="0">
      <text>
        <r>
          <rPr>
            <b/>
            <sz val="9"/>
            <color indexed="81"/>
            <rFont val="宋体"/>
            <family val="3"/>
            <charset val="134"/>
          </rPr>
          <t>胡晓明:
如需要，请在此设置公式，引用至注释小表中期末/本期数的单元格。</t>
        </r>
      </text>
    </comment>
    <comment ref="N5856" authorId="2" shapeId="0">
      <text>
        <r>
          <rPr>
            <b/>
            <sz val="9"/>
            <color indexed="81"/>
            <rFont val="宋体"/>
            <family val="3"/>
            <charset val="134"/>
          </rPr>
          <t>胡晓明:
如需要，请在此设置公式，引用至注释小表中期初/上期数的单元格。</t>
        </r>
      </text>
    </comment>
    <comment ref="K5866" authorId="2" shapeId="0">
      <text>
        <r>
          <rPr>
            <b/>
            <sz val="9"/>
            <color indexed="81"/>
            <rFont val="宋体"/>
            <family val="3"/>
            <charset val="134"/>
          </rPr>
          <t>胡晓明:
如需要，请在此设置公式，引用至注释小表中期末/本期数的单元格。</t>
        </r>
      </text>
    </comment>
    <comment ref="N5866" authorId="2" shapeId="0">
      <text>
        <r>
          <rPr>
            <b/>
            <sz val="9"/>
            <color indexed="81"/>
            <rFont val="宋体"/>
            <family val="3"/>
            <charset val="134"/>
          </rPr>
          <t>胡晓明:
如需要，请在此设置公式，引用至注释小表中期初/上期数的单元格。</t>
        </r>
      </text>
    </comment>
    <comment ref="S5866" authorId="1" shapeId="0">
      <text>
        <r>
          <rPr>
            <b/>
            <sz val="9"/>
            <color indexed="12"/>
            <rFont val="Tahoma"/>
            <family val="2"/>
          </rPr>
          <t>REAL Tips:
1</t>
        </r>
        <r>
          <rPr>
            <b/>
            <sz val="9"/>
            <color indexed="12"/>
            <rFont val="宋体"/>
            <family val="3"/>
            <charset val="134"/>
          </rPr>
          <t>、对于在以前年度作为非经常性损益列报，但报告年度因经营业务等的变化导致不再作为非经常性损益的，作出说明</t>
        </r>
      </text>
    </comment>
    <comment ref="N5878" authorId="2" shapeId="0">
      <text>
        <r>
          <rPr>
            <b/>
            <sz val="9"/>
            <color indexed="81"/>
            <rFont val="宋体"/>
            <family val="3"/>
            <charset val="134"/>
          </rPr>
          <t>胡晓明:
如需要，请在此设置公式，引用至注释小表中期初/上期数的单元格。</t>
        </r>
      </text>
    </comment>
    <comment ref="N5889" authorId="2" shapeId="0">
      <text>
        <r>
          <rPr>
            <b/>
            <sz val="9"/>
            <color indexed="81"/>
            <rFont val="宋体"/>
            <family val="3"/>
            <charset val="134"/>
          </rPr>
          <t>胡晓明:
如需要，请在此设置公式，引用至注释小表中期初/上期数的单元格。</t>
        </r>
      </text>
    </comment>
    <comment ref="N5900" authorId="2" shapeId="0">
      <text>
        <r>
          <rPr>
            <b/>
            <sz val="9"/>
            <color indexed="81"/>
            <rFont val="宋体"/>
            <family val="3"/>
            <charset val="134"/>
          </rPr>
          <t>胡晓明:
如需要，请在此设置公式，引用至注释小表中期初/上期数的单元格。</t>
        </r>
      </text>
    </comment>
    <comment ref="N5911" authorId="2" shapeId="0">
      <text>
        <r>
          <rPr>
            <b/>
            <sz val="9"/>
            <color indexed="81"/>
            <rFont val="宋体"/>
            <family val="3"/>
            <charset val="134"/>
          </rPr>
          <t>胡晓明:
如需要，请在此设置公式，引用至注释小表中期初/上期数的单元格。</t>
        </r>
      </text>
    </comment>
    <comment ref="N5922" authorId="2" shapeId="0">
      <text>
        <r>
          <rPr>
            <b/>
            <sz val="9"/>
            <color indexed="81"/>
            <rFont val="宋体"/>
            <family val="3"/>
            <charset val="134"/>
          </rPr>
          <t>胡晓明:
如需要，请在此设置公式，引用至注释小表中期初/上期数的单元格。</t>
        </r>
      </text>
    </comment>
    <comment ref="N5933" authorId="2" shapeId="0">
      <text>
        <r>
          <rPr>
            <b/>
            <sz val="9"/>
            <color indexed="81"/>
            <rFont val="宋体"/>
            <family val="3"/>
            <charset val="134"/>
          </rPr>
          <t>胡晓明:
如需要，请在此设置公式，引用至注释小表中期初/上期数的单元格。</t>
        </r>
      </text>
    </comment>
    <comment ref="N5944" authorId="2" shapeId="0">
      <text>
        <r>
          <rPr>
            <b/>
            <sz val="9"/>
            <color indexed="81"/>
            <rFont val="宋体"/>
            <family val="3"/>
            <charset val="134"/>
          </rPr>
          <t>胡晓明:
如需要，请在此设置公式，引用至注释小表中期初/上期数的单元格。</t>
        </r>
      </text>
    </comment>
    <comment ref="N5955" authorId="2" shapeId="0">
      <text>
        <r>
          <rPr>
            <b/>
            <sz val="9"/>
            <color indexed="81"/>
            <rFont val="宋体"/>
            <family val="3"/>
            <charset val="134"/>
          </rPr>
          <t>胡晓明:
如需要，请在此设置公式，引用至注释小表中期初/上期数的单元格。</t>
        </r>
      </text>
    </comment>
    <comment ref="N5966" authorId="2" shapeId="0">
      <text>
        <r>
          <rPr>
            <b/>
            <sz val="9"/>
            <color indexed="81"/>
            <rFont val="宋体"/>
            <family val="3"/>
            <charset val="134"/>
          </rPr>
          <t>胡晓明:
如需要，请在此设置公式，引用至注释小表中期初/上期数的单元格。</t>
        </r>
      </text>
    </comment>
    <comment ref="N5985" authorId="2" shapeId="0">
      <text>
        <r>
          <rPr>
            <b/>
            <sz val="9"/>
            <color indexed="81"/>
            <rFont val="宋体"/>
            <family val="3"/>
            <charset val="134"/>
          </rPr>
          <t>胡晓明:
如需要，请在此设置公式，引用至注释小表中期初/上期数的单元格。</t>
        </r>
      </text>
    </comment>
    <comment ref="N6006" authorId="2" shapeId="0">
      <text>
        <r>
          <rPr>
            <b/>
            <sz val="9"/>
            <color indexed="81"/>
            <rFont val="宋体"/>
            <family val="3"/>
            <charset val="134"/>
          </rPr>
          <t>胡晓明:
如需要，请在此设置公式，引用至注释小表中期初/上期数的单元格。</t>
        </r>
      </text>
    </comment>
    <comment ref="N6017" authorId="2" shapeId="0">
      <text>
        <r>
          <rPr>
            <b/>
            <sz val="9"/>
            <color indexed="81"/>
            <rFont val="宋体"/>
            <family val="3"/>
            <charset val="134"/>
          </rPr>
          <t>胡晓明:
如需要，请在此设置公式，引用至注释小表中期初/上期数的单元格。</t>
        </r>
      </text>
    </comment>
    <comment ref="N6029" authorId="2" shapeId="0">
      <text>
        <r>
          <rPr>
            <b/>
            <sz val="9"/>
            <color indexed="81"/>
            <rFont val="宋体"/>
            <family val="3"/>
            <charset val="134"/>
          </rPr>
          <t>胡晓明:
如需要，请在此设置公式，引用至注释小表中期初/上期数的单元格。</t>
        </r>
      </text>
    </comment>
    <comment ref="N6041" authorId="2" shapeId="0">
      <text>
        <r>
          <rPr>
            <b/>
            <sz val="9"/>
            <color indexed="81"/>
            <rFont val="宋体"/>
            <family val="3"/>
            <charset val="134"/>
          </rPr>
          <t>胡晓明:
如需要，请在此设置公式，引用至注释小表中期初/上期数的单元格。</t>
        </r>
      </text>
    </comment>
    <comment ref="N6064" authorId="2" shapeId="0">
      <text>
        <r>
          <rPr>
            <b/>
            <sz val="9"/>
            <color indexed="81"/>
            <rFont val="宋体"/>
            <family val="3"/>
            <charset val="134"/>
          </rPr>
          <t>胡晓明:
如需要，请在此设置公式，引用至注释小表中期初/上期数的单元格。</t>
        </r>
      </text>
    </comment>
    <comment ref="N6073" authorId="2" shapeId="0">
      <text>
        <r>
          <rPr>
            <b/>
            <sz val="9"/>
            <color indexed="81"/>
            <rFont val="宋体"/>
            <family val="3"/>
            <charset val="134"/>
          </rPr>
          <t>胡晓明:
如需要，请在此设置公式，引用至注释小表中期初/上期数的单元格。</t>
        </r>
      </text>
    </comment>
    <comment ref="N6084" authorId="2" shapeId="0">
      <text>
        <r>
          <rPr>
            <b/>
            <sz val="9"/>
            <color indexed="81"/>
            <rFont val="宋体"/>
            <family val="3"/>
            <charset val="134"/>
          </rPr>
          <t>胡晓明:
如需要，请在此设置公式，引用至注释小表中期初/上期数的单元格。</t>
        </r>
      </text>
    </comment>
    <comment ref="N6093" authorId="2" shapeId="0">
      <text>
        <r>
          <rPr>
            <b/>
            <sz val="9"/>
            <color indexed="81"/>
            <rFont val="宋体"/>
            <family val="3"/>
            <charset val="134"/>
          </rPr>
          <t>胡晓明:
如需要，请在此设置公式，引用至注释小表中期初/上期数的单元格。</t>
        </r>
      </text>
    </comment>
    <comment ref="N6102" authorId="2" shapeId="0">
      <text>
        <r>
          <rPr>
            <b/>
            <sz val="9"/>
            <color indexed="81"/>
            <rFont val="宋体"/>
            <family val="3"/>
            <charset val="134"/>
          </rPr>
          <t>胡晓明:
如需要，请在此设置公式，引用至注释小表中期初/上期数的单元格。</t>
        </r>
      </text>
    </comment>
    <comment ref="N6116" authorId="2" shapeId="0">
      <text>
        <r>
          <rPr>
            <b/>
            <sz val="9"/>
            <color indexed="81"/>
            <rFont val="宋体"/>
            <family val="3"/>
            <charset val="134"/>
          </rPr>
          <t>胡晓明:
如需要，请在此设置公式，引用至注释小表中期初/上期数的单元格。</t>
        </r>
      </text>
    </comment>
    <comment ref="N6126" authorId="2" shapeId="0">
      <text>
        <r>
          <rPr>
            <b/>
            <sz val="9"/>
            <color indexed="81"/>
            <rFont val="宋体"/>
            <family val="3"/>
            <charset val="134"/>
          </rPr>
          <t>胡晓明:
如需要，请在此设置公式，引用至注释小表中期初/上期数的单元格。</t>
        </r>
      </text>
    </comment>
    <comment ref="N6135" authorId="2" shapeId="0">
      <text>
        <r>
          <rPr>
            <b/>
            <sz val="9"/>
            <color indexed="81"/>
            <rFont val="宋体"/>
            <family val="3"/>
            <charset val="134"/>
          </rPr>
          <t>胡晓明:
如需要，请在此设置公式，引用至注释小表中期初/上期数的单元格。</t>
        </r>
      </text>
    </comment>
    <comment ref="N6146" authorId="2" shapeId="0">
      <text>
        <r>
          <rPr>
            <b/>
            <sz val="9"/>
            <color indexed="81"/>
            <rFont val="宋体"/>
            <family val="3"/>
            <charset val="134"/>
          </rPr>
          <t>胡晓明:
如需要，请在此设置公式，引用至注释小表中期初/上期数的单元格。</t>
        </r>
      </text>
    </comment>
    <comment ref="N6155" authorId="2" shapeId="0">
      <text>
        <r>
          <rPr>
            <b/>
            <sz val="9"/>
            <color indexed="81"/>
            <rFont val="宋体"/>
            <family val="3"/>
            <charset val="134"/>
          </rPr>
          <t>胡晓明:
如需要，请在此设置公式，引用至注释小表中期初/上期数的单元格。</t>
        </r>
      </text>
    </comment>
    <comment ref="N6164" authorId="2" shapeId="0">
      <text>
        <r>
          <rPr>
            <b/>
            <sz val="9"/>
            <color indexed="81"/>
            <rFont val="宋体"/>
            <family val="3"/>
            <charset val="134"/>
          </rPr>
          <t>胡晓明:
如需要，请在此设置公式，引用至注释小表中期初/上期数的单元格。</t>
        </r>
      </text>
    </comment>
    <comment ref="N6173" authorId="2" shapeId="0">
      <text>
        <r>
          <rPr>
            <b/>
            <sz val="9"/>
            <color indexed="81"/>
            <rFont val="宋体"/>
            <family val="3"/>
            <charset val="134"/>
          </rPr>
          <t>胡晓明:
如需要，请在此设置公式，引用至注释小表中期初/上期数的单元格。</t>
        </r>
      </text>
    </comment>
    <comment ref="N6195" authorId="2" shapeId="0">
      <text>
        <r>
          <rPr>
            <b/>
            <sz val="9"/>
            <color indexed="81"/>
            <rFont val="宋体"/>
            <family val="3"/>
            <charset val="134"/>
          </rPr>
          <t>胡晓明:
如需要，请在此设置公式，引用至注释小表中期初/上期数的单元格。</t>
        </r>
      </text>
    </comment>
    <comment ref="N6222" authorId="2" shapeId="0">
      <text>
        <r>
          <rPr>
            <b/>
            <sz val="9"/>
            <color indexed="81"/>
            <rFont val="宋体"/>
            <family val="3"/>
            <charset val="134"/>
          </rPr>
          <t>胡晓明:
如需要，请在此设置公式，引用至注释小表中期初/上期数的单元格。</t>
        </r>
      </text>
    </comment>
    <comment ref="N6251" authorId="2" shapeId="0">
      <text>
        <r>
          <rPr>
            <b/>
            <sz val="9"/>
            <color indexed="81"/>
            <rFont val="宋体"/>
            <family val="3"/>
            <charset val="134"/>
          </rPr>
          <t>胡晓明:
如需要，请在此设置公式，引用至注释小表中期初/上期数的单元格。</t>
        </r>
      </text>
    </comment>
  </commentList>
</comments>
</file>

<file path=xl/comments3.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23" authorId="0" shapeId="0">
      <text>
        <r>
          <rPr>
            <b/>
            <sz val="10"/>
            <color indexed="81"/>
            <rFont val="宋体"/>
            <family val="3"/>
            <charset val="134"/>
          </rPr>
          <t>=SUM(R[-21]C:R[-1]C)
G:H</t>
        </r>
      </text>
    </comment>
    <comment ref="I23" authorId="0" shapeId="0">
      <text>
        <r>
          <rPr>
            <b/>
            <sz val="10"/>
            <color indexed="81"/>
            <rFont val="宋体"/>
            <family val="3"/>
            <charset val="134"/>
          </rPr>
          <t>=SUM(R[-21]C:R[-1]C)
K:L</t>
        </r>
      </text>
    </comment>
    <comment ref="I35" authorId="0" shapeId="0">
      <text>
        <r>
          <rPr>
            <b/>
            <sz val="10"/>
            <color indexed="81"/>
            <rFont val="宋体"/>
            <family val="3"/>
            <charset val="134"/>
          </rPr>
          <t>=SUM(R[-7]C:R[-1]C)
K:L</t>
        </r>
      </text>
    </comment>
    <comment ref="I36" authorId="0" shapeId="0">
      <text>
        <r>
          <rPr>
            <b/>
            <sz val="10"/>
            <color indexed="81"/>
            <rFont val="宋体"/>
            <family val="3"/>
            <charset val="134"/>
          </rPr>
          <t>=SUM(R[-10]C,R[-1]C)
K:L</t>
        </r>
      </text>
    </comment>
    <comment ref="E49" authorId="0" shapeId="0">
      <text>
        <r>
          <rPr>
            <b/>
            <sz val="10"/>
            <color indexed="81"/>
            <rFont val="宋体"/>
            <family val="3"/>
            <charset val="134"/>
          </rPr>
          <t>=SUM(R[-17]C:R[-1]C)
G:H</t>
        </r>
      </text>
    </comment>
    <comment ref="I49" authorId="0" shapeId="0">
      <text>
        <r>
          <rPr>
            <b/>
            <sz val="10"/>
            <color indexed="81"/>
            <rFont val="宋体"/>
            <family val="3"/>
            <charset val="134"/>
          </rPr>
          <t>=SUM(R[-7]C:R[-6]C,-R[-5]C,R[-4]C:R[-1]C)
K:L</t>
        </r>
      </text>
    </comment>
    <comment ref="E50" authorId="0" shapeId="0">
      <text>
        <r>
          <rPr>
            <b/>
            <sz val="10"/>
            <color indexed="81"/>
            <rFont val="宋体"/>
            <family val="3"/>
            <charset val="134"/>
          </rPr>
          <t>=SUM(R[-20]C,R[-1]C)
G:H</t>
        </r>
      </text>
    </comment>
    <comment ref="I50" authorId="0" shapeId="0">
      <text>
        <r>
          <rPr>
            <b/>
            <sz val="10"/>
            <color indexed="81"/>
            <rFont val="宋体"/>
            <family val="3"/>
            <charset val="134"/>
          </rPr>
          <t>=SUM(R[-10]C,R[-1]C)
K:L</t>
        </r>
      </text>
    </comment>
  </commentList>
</comments>
</file>

<file path=xl/comments4.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5" authorId="0" shapeId="0">
      <text>
        <r>
          <rPr>
            <b/>
            <sz val="10"/>
            <color indexed="81"/>
            <rFont val="宋体"/>
            <family val="3"/>
            <charset val="134"/>
          </rPr>
          <t>=SUM(R[-10]C)-SUM(R[-9]C:R[-4]C)+SUM(R[-3]C:R[-2]C)
E:F</t>
        </r>
      </text>
    </comment>
    <comment ref="C28" authorId="0" shapeId="0">
      <text>
        <r>
          <rPr>
            <b/>
            <sz val="10"/>
            <color indexed="81"/>
            <rFont val="宋体"/>
            <family val="3"/>
            <charset val="134"/>
          </rPr>
          <t>=SUM(R[-4]C,R[-3]C,-R[-2]C)
E:F</t>
        </r>
      </text>
    </comment>
    <comment ref="C30" authorId="0" shapeId="0">
      <text>
        <r>
          <rPr>
            <b/>
            <sz val="10"/>
            <color indexed="81"/>
            <rFont val="宋体"/>
            <family val="3"/>
            <charset val="134"/>
          </rPr>
          <t>=SUM(R[-2]C,-R[-1]C)
E:F</t>
        </r>
      </text>
    </comment>
    <comment ref="C52" authorId="0" shapeId="0">
      <text>
        <r>
          <rPr>
            <b/>
            <sz val="10"/>
            <color indexed="81"/>
            <rFont val="宋体"/>
            <family val="3"/>
            <charset val="134"/>
          </rPr>
          <t>=SUM(R[-5]C,R[-1]C)
E:F</t>
        </r>
      </text>
    </comment>
    <comment ref="C53"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54"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55"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5.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=VLOOKUP(RC2,Sheet_Trialbal,6,0)
7:47</t>
        </r>
      </text>
    </comment>
    <comment ref="F6" authorId="0" shapeId="0">
      <text>
        <r>
          <rPr>
            <b/>
            <sz val="10"/>
            <color indexed="81"/>
            <rFont val="宋体"/>
            <family val="3"/>
            <charset val="134"/>
          </rPr>
          <t>=VLOOKUP(RC2,Sheet_Trialbal,10,0)
7:47</t>
        </r>
      </text>
    </comment>
    <comment ref="C11" authorId="0" shapeId="0">
      <text>
        <r>
          <rPr>
            <b/>
            <sz val="10"/>
            <color indexed="81"/>
            <rFont val="宋体"/>
            <family val="3"/>
            <charset val="134"/>
          </rPr>
          <t>=SUM(R[-3]C:R[-1]C)
E:F</t>
        </r>
      </text>
    </comment>
    <comment ref="C16" authorId="0" shapeId="0">
      <text>
        <r>
          <rPr>
            <b/>
            <sz val="10"/>
            <color indexed="81"/>
            <rFont val="宋体"/>
            <family val="3"/>
            <charset val="134"/>
          </rPr>
          <t>=SUM(R[-4]C:R[-1]C)
E:F</t>
        </r>
      </text>
    </comment>
    <comment ref="C17" authorId="0" shapeId="0">
      <text>
        <r>
          <rPr>
            <b/>
            <sz val="10"/>
            <color indexed="81"/>
            <rFont val="宋体"/>
            <family val="3"/>
            <charset val="134"/>
          </rPr>
          <t>=SUM(R[-6]C,-R[-1]C)
E:F</t>
        </r>
      </text>
    </comment>
    <comment ref="C24" authorId="0" shapeId="0">
      <text>
        <r>
          <rPr>
            <b/>
            <sz val="10"/>
            <color indexed="81"/>
            <rFont val="宋体"/>
            <family val="3"/>
            <charset val="134"/>
          </rPr>
          <t>=SUM(R[-5]C:R[-1]C)
E:F</t>
        </r>
      </text>
    </comment>
    <comment ref="C29" authorId="0" shapeId="0">
      <text>
        <r>
          <rPr>
            <b/>
            <sz val="10"/>
            <color indexed="81"/>
            <rFont val="宋体"/>
            <family val="3"/>
            <charset val="134"/>
          </rPr>
          <t>=SUM(R[-4]C:R[-1]C)
E:F</t>
        </r>
      </text>
    </comment>
    <comment ref="C30" authorId="0" shapeId="0">
      <text>
        <r>
          <rPr>
            <b/>
            <sz val="10"/>
            <color indexed="81"/>
            <rFont val="宋体"/>
            <family val="3"/>
            <charset val="134"/>
          </rPr>
          <t>=SUM(R[-6]C,-R[-1]C)
E:F</t>
        </r>
      </text>
    </comment>
    <comment ref="C35" authorId="0" shapeId="0">
      <text>
        <r>
          <rPr>
            <b/>
            <sz val="10"/>
            <color indexed="81"/>
            <rFont val="宋体"/>
            <family val="3"/>
            <charset val="134"/>
          </rPr>
          <t>=SUM(R[-4]C:R[-1]C)
E:F</t>
        </r>
      </text>
    </comment>
    <comment ref="C39" authorId="0" shapeId="0">
      <text>
        <r>
          <rPr>
            <b/>
            <sz val="10"/>
            <color indexed="81"/>
            <rFont val="宋体"/>
            <family val="3"/>
            <charset val="134"/>
          </rPr>
          <t>=SUM(R[-3]C:R[-1]C)
E:F</t>
        </r>
      </text>
    </comment>
    <comment ref="C40" authorId="0" shapeId="0">
      <text>
        <r>
          <rPr>
            <b/>
            <sz val="10"/>
            <color indexed="81"/>
            <rFont val="宋体"/>
            <family val="3"/>
            <charset val="134"/>
          </rPr>
          <t>=SUM(R[-5]C,-R[-1]C)
E:F</t>
        </r>
      </text>
    </comment>
    <comment ref="C42" authorId="0" shapeId="0">
      <text>
        <r>
          <rPr>
            <b/>
            <sz val="10"/>
            <color indexed="81"/>
            <rFont val="宋体"/>
            <family val="3"/>
            <charset val="134"/>
          </rPr>
          <t>=SUM(R[-26]C,R[-13]C,R[-2]C,R[-1]C)
E:F</t>
        </r>
      </text>
    </comment>
    <comment ref="C44" authorId="0" shapeId="0">
      <text>
        <r>
          <rPr>
            <b/>
            <sz val="10"/>
            <color indexed="81"/>
            <rFont val="宋体"/>
            <family val="3"/>
            <charset val="134"/>
          </rPr>
          <t>=SUM(R[-2]C,R[-1]C)
E:F</t>
        </r>
      </text>
    </comment>
  </commentList>
</comments>
</file>

<file path=xl/comments6.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5" authorId="0" shapeId="0">
      <text>
        <r>
          <rPr>
            <b/>
            <sz val="10"/>
            <color indexed="81"/>
            <rFont val="宋体"/>
            <family val="3"/>
            <charset val="134"/>
          </rPr>
          <t>=SUM(R[1]C:R[4]C)
D:W</t>
        </r>
      </text>
    </comment>
    <comment ref="C32" authorId="0" shapeId="0">
      <text>
        <r>
          <rPr>
            <b/>
            <sz val="10"/>
            <color indexed="81"/>
            <rFont val="宋体"/>
            <family val="3"/>
            <charset val="134"/>
          </rPr>
          <t>=SUM(R[1]C:R[2]C)
D:W</t>
        </r>
      </text>
    </comment>
    <comment ref="C36" authorId="0" shapeId="0">
      <text>
        <r>
          <rPr>
            <b/>
            <sz val="10"/>
            <color indexed="81"/>
            <rFont val="宋体"/>
            <family val="3"/>
            <charset val="134"/>
          </rPr>
          <t>=SUM(R[-23]C,R[-22]C)
D:W</t>
        </r>
      </text>
    </comment>
    <comment ref="O48" authorId="0" shapeId="0">
      <text>
        <r>
          <rPr>
            <sz val="10"/>
            <color indexed="81"/>
            <rFont val="宋体"/>
            <family val="3"/>
            <charset val="134"/>
          </rPr>
          <t xml:space="preserve">
目前与“外币报表折算差额”勾稽
</t>
        </r>
      </text>
    </comment>
    <comment ref="AB48" authorId="0" shapeId="0">
      <text>
        <r>
          <rPr>
            <sz val="10"/>
            <color indexed="81"/>
            <rFont val="宋体"/>
            <family val="3"/>
            <charset val="134"/>
          </rPr>
          <t xml:space="preserve">
目前与“外币报表折算差额”勾稽
</t>
        </r>
      </text>
    </comment>
  </commentList>
</comments>
</file>

<file path=xl/comments7.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8.xml><?xml version="1.0" encoding="utf-8"?>
<comments xmlns="http://schemas.openxmlformats.org/spreadsheetml/2006/main">
  <authors>
    <author>胡晓明</author>
  </authors>
  <commentList>
    <comment ref="A8" authorId="0" shapeId="0">
      <text>
        <r>
          <rPr>
            <b/>
            <sz val="10"/>
            <rFont val="宋体"/>
            <family val="3"/>
            <charset val="134"/>
          </rPr>
          <t>=IF(RC3="","",VLOOKUP(RC3,Sheet_Items,4,0))
9:57</t>
        </r>
      </text>
    </comment>
    <comment ref="B8" authorId="0" shapeId="0">
      <text>
        <r>
          <rPr>
            <b/>
            <sz val="10"/>
            <rFont val="宋体"/>
            <family val="3"/>
            <charset val="134"/>
          </rPr>
          <t>=IF(RC8="","",VLOOKUP(RC8,Sheet_Items,4,0))
9:57</t>
        </r>
      </text>
    </comment>
    <comment ref="D8" authorId="0" shapeId="0">
      <text>
        <r>
          <rPr>
            <b/>
            <sz val="10"/>
            <rFont val="宋体"/>
            <family val="3"/>
            <charset val="134"/>
          </rPr>
          <t>=IF(RC3="","",VLOOKUP(RC3,Sheet_Items,6,0))
9:57</t>
        </r>
      </text>
    </comment>
    <comment ref="G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I8" authorId="0" shapeId="0">
      <text>
        <r>
          <rPr>
            <b/>
            <sz val="10"/>
            <rFont val="宋体"/>
            <family val="3"/>
            <charset val="134"/>
          </rPr>
          <t>=IF(RC8="","",VLOOKUP(RC8,Sheet_Items,6,0))
9:57</t>
        </r>
      </text>
    </comment>
    <comment ref="L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D35" authorId="0" shapeId="0">
      <text>
        <r>
          <rPr>
            <b/>
            <sz val="10"/>
            <rFont val="宋体"/>
            <family val="3"/>
            <charset val="134"/>
          </rPr>
          <t>=SUM(R[-23]C:R[-1]C)
F:G</t>
        </r>
      </text>
    </comment>
    <comment ref="I35" authorId="0" shapeId="0">
      <text>
        <r>
          <rPr>
            <b/>
            <sz val="10"/>
            <rFont val="宋体"/>
            <family val="3"/>
            <charset val="134"/>
          </rPr>
          <t>=SUM(R[-23]C:R[-1]C)
K:L</t>
        </r>
      </text>
    </comment>
    <comment ref="I51" authorId="0" shapeId="0">
      <text>
        <r>
          <rPr>
            <b/>
            <sz val="10"/>
            <rFont val="宋体"/>
            <family val="3"/>
            <charset val="134"/>
          </rPr>
          <t>=SUM(R[-8]C:R[-1]C)
K:L</t>
        </r>
      </text>
    </comment>
    <comment ref="I52" authorId="0" shapeId="0">
      <text>
        <r>
          <rPr>
            <b/>
            <sz val="10"/>
            <rFont val="宋体"/>
            <family val="3"/>
            <charset val="134"/>
          </rPr>
          <t>=SUM(R[-11]C,R[-1]C)
K:L</t>
        </r>
      </text>
    </comment>
    <comment ref="I65" authorId="0" shapeId="0">
      <text>
        <r>
          <rPr>
            <b/>
            <sz val="10"/>
            <rFont val="宋体"/>
            <family val="3"/>
            <charset val="134"/>
          </rPr>
          <t>=SUM(R[-8]C:R[-7]C,-R[-6]C,R[-5]C:R[-1]C)
K:L</t>
        </r>
      </text>
    </comment>
    <comment ref="D67" authorId="0" shapeId="0">
      <text>
        <r>
          <rPr>
            <b/>
            <sz val="10"/>
            <rFont val="宋体"/>
            <family val="3"/>
            <charset val="134"/>
          </rPr>
          <t>=SUM(R[-21]C:R[-1]C)
F:G</t>
        </r>
      </text>
    </comment>
    <comment ref="I67" authorId="0" shapeId="0">
      <text>
        <r>
          <rPr>
            <b/>
            <sz val="10"/>
            <rFont val="宋体"/>
            <family val="3"/>
            <charset val="134"/>
          </rPr>
          <t>=SUM(R[-2]C,R[-1]C)
K:L</t>
        </r>
      </text>
    </comment>
    <comment ref="D68" authorId="0" shapeId="0">
      <text>
        <r>
          <rPr>
            <b/>
            <sz val="10"/>
            <rFont val="宋体"/>
            <family val="3"/>
            <charset val="134"/>
          </rPr>
          <t>=SUM(R[-24]C,R[-1]C)
F:G</t>
        </r>
      </text>
    </comment>
    <comment ref="I68" authorId="0" shapeId="0">
      <text>
        <r>
          <rPr>
            <b/>
            <sz val="10"/>
            <rFont val="宋体"/>
            <family val="3"/>
            <charset val="134"/>
          </rPr>
          <t>=SUM(R[-13]C,R[-1]C)
K:L</t>
        </r>
      </text>
    </comment>
  </commentList>
</comments>
</file>

<file path=xl/comments9.xml><?xml version="1.0" encoding="utf-8"?>
<comments xmlns="http://schemas.openxmlformats.org/spreadsheetml/2006/main">
  <authors>
    <author>胡晓明</author>
  </authors>
  <commentList>
    <comment ref="A8" authorId="0" shapeId="0">
      <text>
        <r>
          <rPr>
            <b/>
            <sz val="10"/>
            <rFont val="宋体"/>
            <family val="3"/>
            <charset val="134"/>
          </rPr>
          <t>=VLOOKUP(RC2,Sheet_Items,4,0)
9:48</t>
        </r>
      </text>
    </comment>
    <comment ref="C8" authorId="0" shapeId="0">
      <text>
        <r>
          <rPr>
            <b/>
            <sz val="10"/>
            <rFont val="宋体"/>
            <family val="3"/>
            <charset val="134"/>
          </rPr>
          <t>=VLOOKUP(RC2,Sheet_Items,6,0)
9:48</t>
        </r>
      </text>
    </comment>
    <comment ref="F8"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9" authorId="0" shapeId="0">
      <text>
        <r>
          <rPr>
            <b/>
            <sz val="10"/>
            <rFont val="宋体"/>
            <family val="3"/>
            <charset val="134"/>
          </rPr>
          <t>=SUM(R[1]C:R[4]C)
E:F</t>
        </r>
      </text>
    </comment>
    <comment ref="C14" authorId="0" shapeId="0">
      <text>
        <r>
          <rPr>
            <b/>
            <sz val="10"/>
            <rFont val="宋体"/>
            <family val="3"/>
            <charset val="134"/>
          </rPr>
          <t>=SUM(R[1]C:R[13]C)
E:F</t>
        </r>
      </text>
    </comment>
    <comment ref="C40" authorId="0" shapeId="0">
      <text>
        <r>
          <rPr>
            <b/>
            <sz val="10"/>
            <rFont val="宋体"/>
            <family val="3"/>
            <charset val="134"/>
          </rPr>
          <t>=SUM(R[-22]C:R[-19]C)-SUM(R[-17]C:R[-5]C)+SUM(R[-4]C:R[-3]C,R[-1]C)
E:F</t>
        </r>
      </text>
    </comment>
    <comment ref="C43" authorId="0" shapeId="0">
      <text>
        <r>
          <rPr>
            <b/>
            <sz val="10"/>
            <rFont val="宋体"/>
            <family val="3"/>
            <charset val="134"/>
          </rPr>
          <t>=SUM(R[-4]C,R[-3]C,-R[-2]C)
E:F</t>
        </r>
      </text>
    </comment>
    <comment ref="C74" authorId="0" shapeId="0">
      <text>
        <r>
          <rPr>
            <b/>
            <sz val="10"/>
            <rFont val="宋体"/>
            <family val="3"/>
            <charset val="134"/>
          </rPr>
          <t>=SUM(R[-8]C,R[-1]C)
E:F</t>
        </r>
      </text>
    </comment>
    <comment ref="C75" authorId="0" shapeId="0">
      <text>
        <r>
          <rPr>
            <b/>
            <sz val="10"/>
            <rFont val="宋体"/>
            <family val="3"/>
            <charset val="134"/>
          </rPr>
          <t>=SUM(R[-1]C)
E:F</t>
        </r>
      </text>
    </comment>
  </commentList>
</comments>
</file>

<file path=xl/comments10.xml><?xml version="1.0" encoding="utf-8"?>
<comments xmlns="http://schemas.openxmlformats.org/spreadsheetml/2006/main">
  <authors>
    <author>胡晓明</author>
  </authors>
  <commentList>
    <comment ref="AE6" authorId="0" shapeId="0">
      <text>
        <r>
          <rPr>
            <b/>
            <sz val="9"/>
            <rFont val="宋体"/>
            <family val="3"/>
            <charset val="134"/>
          </rPr>
          <t>胡晓明:</t>
        </r>
        <r>
          <rPr>
            <sz val="9"/>
            <rFont val="宋体"/>
            <family val="3"/>
            <charset val="134"/>
          </rPr>
          <t xml:space="preserve">
方案A：在此栏填写前1期</t>
        </r>
        <r>
          <rPr>
            <sz val="9"/>
            <color indexed="10"/>
            <rFont val="宋体"/>
            <family val="3"/>
            <charset val="134"/>
          </rPr>
          <t>审定</t>
        </r>
        <r>
          <rPr>
            <sz val="9"/>
            <rFont val="宋体"/>
            <family val="3"/>
            <charset val="134"/>
          </rPr>
          <t>数，在AJE1表中</t>
        </r>
        <r>
          <rPr>
            <sz val="9"/>
            <color indexed="10"/>
            <rFont val="宋体"/>
            <family val="3"/>
            <charset val="134"/>
          </rPr>
          <t>不录入</t>
        </r>
        <r>
          <rPr>
            <sz val="9"/>
            <rFont val="宋体"/>
            <family val="3"/>
            <charset val="134"/>
          </rPr>
          <t>前1期调整事项
方案B：在此栏填写前1期</t>
        </r>
        <r>
          <rPr>
            <sz val="9"/>
            <color indexed="10"/>
            <rFont val="宋体"/>
            <family val="3"/>
            <charset val="134"/>
          </rPr>
          <t>未审</t>
        </r>
        <r>
          <rPr>
            <sz val="9"/>
            <rFont val="宋体"/>
            <family val="3"/>
            <charset val="134"/>
          </rPr>
          <t>数，在AJE1表中</t>
        </r>
        <r>
          <rPr>
            <sz val="9"/>
            <color indexed="10"/>
            <rFont val="宋体"/>
            <family val="3"/>
            <charset val="134"/>
          </rPr>
          <t>录入</t>
        </r>
        <r>
          <rPr>
            <sz val="9"/>
            <rFont val="宋体"/>
            <family val="3"/>
            <charset val="134"/>
          </rPr>
          <t>前1期调整事项</t>
        </r>
      </text>
    </comment>
    <comment ref="C8" authorId="0" shapeId="0">
      <text>
        <r>
          <rPr>
            <b/>
            <sz val="10"/>
            <rFont val="宋体"/>
            <family val="3"/>
            <charset val="134"/>
          </rPr>
          <t>=VLOOKUP(VALUE(R2C13&amp;RC2),Sheet_Items,6,0)
9:36</t>
        </r>
      </text>
    </comment>
    <comment ref="Q8" authorId="0" shapeId="0">
      <text>
        <r>
          <rPr>
            <b/>
            <sz val="10"/>
            <rFont val="宋体"/>
            <family val="3"/>
            <charset val="134"/>
          </rPr>
          <t>=SUM(RC[-9]:RC[-8],-RC[-7],RC[-6]:RC[-1])
9:36</t>
        </r>
      </text>
    </comment>
    <comment ref="AE8" authorId="0" shapeId="0">
      <text>
        <r>
          <rPr>
            <b/>
            <sz val="10"/>
            <rFont val="宋体"/>
            <family val="3"/>
            <charset val="134"/>
          </rPr>
          <t>=SUM(RC[-9]:RC[-8],-RC[-7],RC[-6]:RC[-1])
9:36</t>
        </r>
      </text>
    </comment>
    <comment ref="C14" authorId="0" shapeId="0">
      <text>
        <r>
          <rPr>
            <b/>
            <sz val="10"/>
            <rFont val="宋体"/>
            <family val="3"/>
            <charset val="134"/>
          </rPr>
          <t>=SUM(R[-4]C:R[-1]C)
D:W</t>
        </r>
      </text>
    </comment>
    <comment ref="C15" authorId="0" shapeId="0">
      <text>
        <r>
          <rPr>
            <b/>
            <sz val="10"/>
            <rFont val="宋体"/>
            <family val="3"/>
            <charset val="134"/>
          </rPr>
          <t>=SUM(R[3]C,R[4]C,R[8]C,R[13]C,R[18]C,R[21]C)
D:W</t>
        </r>
      </text>
    </comment>
    <comment ref="C16"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N16" authorId="0" shapeId="0">
      <text>
        <r>
          <rPr>
            <b/>
            <sz val="10"/>
            <rFont val="宋体"/>
            <family val="3"/>
            <charset val="134"/>
          </rPr>
          <t>=SUM(VLOOKUP(6811,Sheet_Trialbal,3,0))</t>
        </r>
      </text>
    </comment>
    <comment ref="AB16" authorId="0" shapeId="0">
      <text>
        <r>
          <rPr>
            <b/>
            <sz val="10"/>
            <rFont val="宋体"/>
            <family val="3"/>
            <charset val="134"/>
          </rPr>
          <t>=SUM(VLOOKUP(6811,Sheet_Trialbal,7,0))</t>
        </r>
      </text>
    </comment>
    <comment ref="C17"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已不适用，为新旧衔接，暂隐藏之</t>
        </r>
      </text>
    </comment>
    <comment ref="C18" authorId="0" shapeId="0">
      <text>
        <r>
          <rPr>
            <b/>
            <sz val="10"/>
            <rFont val="宋体"/>
            <family val="3"/>
            <charset val="134"/>
          </rPr>
          <t>=SUM(R[-2]C:R[-1]C)
D:W</t>
        </r>
      </text>
    </comment>
    <comment ref="J18" authorId="0" shapeId="0">
      <text>
        <r>
          <rPr>
            <b/>
            <sz val="10"/>
            <rFont val="宋体"/>
            <family val="3"/>
            <charset val="134"/>
          </rPr>
          <t>=SUM(VLOOKUP(6829.2,Sheet_Trialbal,3,0))</t>
        </r>
      </text>
    </comment>
    <comment ref="N18" authorId="0" shapeId="0">
      <text>
        <r>
          <rPr>
            <b/>
            <sz val="10"/>
            <rFont val="宋体"/>
            <family val="3"/>
            <charset val="134"/>
          </rPr>
          <t>=SUM(VLOOKUP(6811,Sheet_Trialbal,3,0))</t>
        </r>
      </text>
    </comment>
    <comment ref="X18" authorId="0" shapeId="0">
      <text>
        <r>
          <rPr>
            <b/>
            <sz val="10"/>
            <rFont val="宋体"/>
            <family val="3"/>
            <charset val="134"/>
          </rPr>
          <t>=SUM(VLOOKUP(6829.2,Sheet_Trialbal,7,0))</t>
        </r>
      </text>
    </comment>
    <comment ref="AB18" authorId="0" shapeId="0">
      <text>
        <r>
          <rPr>
            <b/>
            <sz val="10"/>
            <rFont val="宋体"/>
            <family val="3"/>
            <charset val="134"/>
          </rPr>
          <t>=SUM(VLOOKUP(6811,Sheet_Trialbal,7,0))</t>
        </r>
      </text>
    </comment>
    <comment ref="C19" authorId="0" shapeId="0">
      <text>
        <r>
          <rPr>
            <b/>
            <sz val="10"/>
            <rFont val="宋体"/>
            <family val="3"/>
            <charset val="134"/>
          </rPr>
          <t>=SUM(R[1]C:R[3]C)
D:W</t>
        </r>
      </text>
    </comment>
    <comment ref="C24" authorId="0" shapeId="0">
      <text>
        <r>
          <rPr>
            <b/>
            <sz val="10"/>
            <rFont val="宋体"/>
            <family val="3"/>
            <charset val="134"/>
          </rPr>
          <t>=SUM(R[1]C:R[4]C)
D:W</t>
        </r>
      </text>
    </comment>
    <comment ref="C29" authorId="0" shapeId="0">
      <text>
        <r>
          <rPr>
            <b/>
            <sz val="10"/>
            <rFont val="宋体"/>
            <family val="3"/>
            <charset val="134"/>
          </rPr>
          <t>=SUM(R[1]C:R[4]C)
D:W</t>
        </r>
      </text>
    </comment>
    <comment ref="C36" authorId="0" shapeId="0">
      <text>
        <r>
          <rPr>
            <b/>
            <sz val="10"/>
            <rFont val="宋体"/>
            <family val="3"/>
            <charset val="134"/>
          </rPr>
          <t>=SUM(R[1]C:R[2]C)
D:W</t>
        </r>
      </text>
    </comment>
    <comment ref="C40" authorId="0" shapeId="0">
      <text>
        <r>
          <rPr>
            <b/>
            <sz val="10"/>
            <rFont val="宋体"/>
            <family val="3"/>
            <charset val="134"/>
          </rPr>
          <t>=SUM(R[-23]C,R[-22]C)
D:W</t>
        </r>
      </text>
    </comment>
    <comment ref="O52" authorId="0" shapeId="0">
      <text>
        <r>
          <rPr>
            <sz val="10"/>
            <rFont val="宋体"/>
            <family val="3"/>
            <charset val="134"/>
          </rPr>
          <t xml:space="preserve">
目前与“外币报表折算差额”勾稽
</t>
        </r>
      </text>
    </comment>
    <comment ref="AC52" authorId="0" shapeId="0">
      <text>
        <r>
          <rPr>
            <sz val="10"/>
            <rFont val="宋体"/>
            <family val="3"/>
            <charset val="134"/>
          </rPr>
          <t xml:space="preserve">
目前与“外币报表折算差额”勾稽
</t>
        </r>
      </text>
    </comment>
  </commentList>
</comments>
</file>

<file path=xl/comments11.xml><?xml version="1.0" encoding="utf-8"?>
<comments xmlns="http://schemas.openxmlformats.org/spreadsheetml/2006/main">
  <authors>
    <author>胡晓明</author>
  </authors>
  <commentList>
    <comment ref="A8" authorId="0" shapeId="0">
      <text>
        <r>
          <rPr>
            <b/>
            <sz val="10"/>
            <rFont val="宋体"/>
            <family val="3"/>
            <charset val="134"/>
          </rPr>
          <t>=VLOOKUP(RC2,Sheet_Items,4,0)
9:65</t>
        </r>
      </text>
    </comment>
    <comment ref="C8" authorId="0" shapeId="0">
      <text>
        <r>
          <rPr>
            <b/>
            <sz val="10"/>
            <rFont val="宋体"/>
            <family val="3"/>
            <charset val="134"/>
          </rPr>
          <t>=VLOOKUP(RC2,Sheet_Items,6,0)
9:65</t>
        </r>
      </text>
    </comment>
    <comment ref="F8" authorId="0" shapeId="0">
      <text>
        <r>
          <rPr>
            <b/>
            <sz val="9"/>
            <rFont val="宋体"/>
            <family val="3"/>
            <charset val="134"/>
          </rPr>
          <t>胡晓明:</t>
        </r>
        <r>
          <rPr>
            <sz val="9"/>
            <rFont val="宋体"/>
            <family val="3"/>
            <charset val="134"/>
          </rPr>
          <t xml:space="preserve">
在此栏填写前1期</t>
        </r>
        <r>
          <rPr>
            <sz val="9"/>
            <color indexed="10"/>
            <rFont val="宋体"/>
            <family val="3"/>
            <charset val="134"/>
          </rPr>
          <t>审定</t>
        </r>
        <r>
          <rPr>
            <sz val="9"/>
            <rFont val="宋体"/>
            <family val="3"/>
            <charset val="134"/>
          </rPr>
          <t>数，CFJE表不涉及前1期现金流量调整。</t>
        </r>
      </text>
    </comment>
    <comment ref="C23" authorId="0" shapeId="0">
      <text>
        <r>
          <rPr>
            <b/>
            <sz val="10"/>
            <rFont val="宋体"/>
            <family val="3"/>
            <charset val="134"/>
          </rPr>
          <t>=SUM(R[-13]C:R[-1]C)
E:F</t>
        </r>
      </text>
    </comment>
    <comment ref="C34" authorId="0" shapeId="0">
      <text>
        <r>
          <rPr>
            <b/>
            <sz val="10"/>
            <rFont val="宋体"/>
            <family val="3"/>
            <charset val="134"/>
          </rPr>
          <t>=SUM(R[-9]C:R[-1]C)
E:F</t>
        </r>
      </text>
    </comment>
    <comment ref="C35" authorId="0" shapeId="0">
      <text>
        <r>
          <rPr>
            <b/>
            <sz val="10"/>
            <rFont val="宋体"/>
            <family val="3"/>
            <charset val="134"/>
          </rPr>
          <t>=SUM(R[-11]C,-R[-1]C)
E:F</t>
        </r>
      </text>
    </comment>
    <comment ref="C42" authorId="0" shapeId="0">
      <text>
        <r>
          <rPr>
            <b/>
            <sz val="10"/>
            <rFont val="宋体"/>
            <family val="3"/>
            <charset val="134"/>
          </rPr>
          <t>=SUM(R[-5]C:R[-1]C)
E:F</t>
        </r>
      </text>
    </comment>
    <comment ref="C48" authorId="0" shapeId="0">
      <text>
        <r>
          <rPr>
            <b/>
            <sz val="10"/>
            <rFont val="宋体"/>
            <family val="3"/>
            <charset val="134"/>
          </rPr>
          <t>=SUM(R[-5]C:R[-1]C)
E:F</t>
        </r>
      </text>
    </comment>
    <comment ref="C49" authorId="0" shapeId="0">
      <text>
        <r>
          <rPr>
            <b/>
            <sz val="10"/>
            <rFont val="宋体"/>
            <family val="3"/>
            <charset val="134"/>
          </rPr>
          <t>=SUM(R[-7]C,-R[-1]C)
E:F</t>
        </r>
      </text>
    </comment>
    <comment ref="C55" authorId="0" shapeId="0">
      <text>
        <r>
          <rPr>
            <b/>
            <sz val="10"/>
            <rFont val="宋体"/>
            <family val="3"/>
            <charset val="134"/>
          </rPr>
          <t>=SUM(R[-5]C,R[-3]C:R[-1]C)
E:F</t>
        </r>
      </text>
    </comment>
    <comment ref="C60" authorId="0" shapeId="0">
      <text>
        <r>
          <rPr>
            <b/>
            <sz val="10"/>
            <rFont val="宋体"/>
            <family val="3"/>
            <charset val="134"/>
          </rPr>
          <t>=SUM(R[-4]C:R[-3]C,R[-1]C)
E:F</t>
        </r>
      </text>
    </comment>
    <comment ref="C61" authorId="0" shapeId="0">
      <text>
        <r>
          <rPr>
            <b/>
            <sz val="10"/>
            <rFont val="宋体"/>
            <family val="3"/>
            <charset val="134"/>
          </rPr>
          <t>=SUM(R[-6]C,-R[-1]C)
E:F</t>
        </r>
      </text>
    </comment>
    <comment ref="C63" authorId="0" shapeId="0">
      <text>
        <r>
          <rPr>
            <b/>
            <sz val="10"/>
            <rFont val="宋体"/>
            <family val="3"/>
            <charset val="134"/>
          </rPr>
          <t>=SUM(R[-29]C,R[-15]C,R[-2]C,R[-1]C)
E:F</t>
        </r>
      </text>
    </comment>
    <comment ref="C65" authorId="0" shapeId="0">
      <text>
        <r>
          <rPr>
            <b/>
            <sz val="10"/>
            <rFont val="宋体"/>
            <family val="3"/>
            <charset val="134"/>
          </rPr>
          <t>=SUM(R[-2]C,R[-1]C)
E:F</t>
        </r>
      </text>
    </comment>
    <comment ref="E71" authorId="0" shapeId="0">
      <text>
        <r>
          <rPr>
            <b/>
            <sz val="9"/>
            <rFont val="宋体"/>
            <family val="3"/>
            <charset val="134"/>
          </rPr>
          <t>=VLOOKUP(6799,Sheet_Trialbal,3,0)</t>
        </r>
      </text>
    </comment>
    <comment ref="F71" authorId="0" shapeId="0">
      <text>
        <r>
          <rPr>
            <b/>
            <sz val="9"/>
            <rFont val="宋体"/>
            <family val="3"/>
            <charset val="134"/>
          </rPr>
          <t>=VLOOKUP(6799,Sheet_Trialbal,7,0)</t>
        </r>
      </text>
    </comment>
  </commentList>
</comments>
</file>

<file path=xl/comments12.xml><?xml version="1.0" encoding="utf-8"?>
<comments xmlns="http://schemas.openxmlformats.org/spreadsheetml/2006/main">
  <authors>
    <author>刘芬</author>
    <author>李刚</author>
  </authors>
  <commentList>
    <comment ref="E35" authorId="0" shapeId="0">
      <text>
        <r>
          <rPr>
            <b/>
            <sz val="9"/>
            <color indexed="81"/>
            <rFont val="宋体"/>
            <family val="3"/>
            <charset val="134"/>
          </rPr>
          <t>刘芬</t>
        </r>
        <r>
          <rPr>
            <b/>
            <sz val="9"/>
            <color indexed="81"/>
            <rFont val="Tahoma"/>
            <family val="2"/>
          </rPr>
          <t>:</t>
        </r>
        <r>
          <rPr>
            <sz val="9"/>
            <color indexed="81"/>
            <rFont val="Tahoma"/>
            <family val="2"/>
          </rPr>
          <t xml:space="preserve">
</t>
        </r>
        <r>
          <rPr>
            <sz val="9"/>
            <color indexed="81"/>
            <rFont val="宋体"/>
            <family val="3"/>
            <charset val="134"/>
          </rPr>
          <t>剔除与资产相关的递延收益</t>
        </r>
      </text>
    </comment>
    <comment ref="E224" authorId="1" shapeId="0">
      <text>
        <r>
          <rPr>
            <b/>
            <sz val="9"/>
            <color indexed="81"/>
            <rFont val="宋体"/>
            <family val="3"/>
            <charset val="134"/>
          </rPr>
          <t>李刚</t>
        </r>
        <r>
          <rPr>
            <b/>
            <sz val="9"/>
            <color indexed="81"/>
            <rFont val="Tahoma"/>
            <family val="2"/>
          </rPr>
          <t>:</t>
        </r>
        <r>
          <rPr>
            <sz val="9"/>
            <color indexed="81"/>
            <rFont val="Tahoma"/>
            <family val="2"/>
          </rPr>
          <t xml:space="preserve">
3932444.04</t>
        </r>
        <r>
          <rPr>
            <sz val="9"/>
            <color indexed="81"/>
            <rFont val="宋体"/>
            <family val="3"/>
            <charset val="134"/>
          </rPr>
          <t>为关联方利息收入</t>
        </r>
      </text>
    </comment>
  </commentList>
</comments>
</file>

<file path=xl/comments13.xml><?xml version="1.0" encoding="utf-8"?>
<comments xmlns="http://schemas.openxmlformats.org/spreadsheetml/2006/main">
  <authors>
    <author>胡晓明</author>
  </authors>
  <commentList>
    <comment ref="F8" authorId="0" shapeId="0">
      <text>
        <r>
          <rPr>
            <b/>
            <sz val="10"/>
            <rFont val="宋体"/>
            <family val="3"/>
            <charset val="134"/>
          </rPr>
          <t>胡晓明:</t>
        </r>
        <r>
          <rPr>
            <sz val="10"/>
            <rFont val="宋体"/>
            <family val="3"/>
            <charset val="134"/>
          </rPr>
          <t xml:space="preserve">
本列数据取自preBS/preIS/preCF/preCE表。</t>
        </r>
      </text>
    </comment>
    <comment ref="G8" authorId="0" shapeId="0">
      <text>
        <r>
          <rPr>
            <b/>
            <sz val="10"/>
            <rFont val="宋体"/>
            <family val="3"/>
            <charset val="134"/>
          </rPr>
          <t>胡晓明:</t>
        </r>
        <r>
          <rPr>
            <sz val="10"/>
            <rFont val="宋体"/>
            <family val="3"/>
            <charset val="134"/>
          </rPr>
          <t xml:space="preserve">
本列数据取自AJE/CFJE表。</t>
        </r>
      </text>
    </comment>
    <comment ref="H8" authorId="0" shapeId="0">
      <text>
        <r>
          <rPr>
            <b/>
            <sz val="10"/>
            <rFont val="宋体"/>
            <family val="3"/>
            <charset val="134"/>
          </rPr>
          <t>胡晓明:</t>
        </r>
        <r>
          <rPr>
            <sz val="10"/>
            <rFont val="宋体"/>
            <family val="3"/>
            <charset val="134"/>
          </rPr>
          <t xml:space="preserve">
本列数据取自AJE/CFJE表。</t>
        </r>
      </text>
    </comment>
    <comment ref="I8" authorId="0" shapeId="0">
      <text>
        <r>
          <rPr>
            <b/>
            <sz val="10"/>
            <rFont val="宋体"/>
            <family val="3"/>
            <charset val="134"/>
          </rPr>
          <t>胡晓明:</t>
        </r>
        <r>
          <rPr>
            <sz val="10"/>
            <rFont val="宋体"/>
            <family val="3"/>
            <charset val="134"/>
          </rPr>
          <t xml:space="preserve">
本列为审定数据，将据此产生审定的BS/IS/CF/CE表。</t>
        </r>
      </text>
    </comment>
    <comment ref="J8" authorId="0" shapeId="0">
      <text>
        <r>
          <rPr>
            <b/>
            <sz val="10"/>
            <rFont val="宋体"/>
            <family val="3"/>
            <charset val="134"/>
          </rPr>
          <t>胡晓明:</t>
        </r>
        <r>
          <rPr>
            <sz val="10"/>
            <rFont val="宋体"/>
            <family val="3"/>
            <charset val="134"/>
          </rPr>
          <t xml:space="preserve">
本列数据取自preBS/preIS/preCF/preCE表。
可以在此上述表中直接填列上期审定数，而不反映上期未审、调整到审定的过程。</t>
        </r>
      </text>
    </comment>
    <comment ref="K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L8" authorId="0" shapeId="0">
      <text>
        <r>
          <rPr>
            <b/>
            <sz val="10"/>
            <rFont val="宋体"/>
            <family val="3"/>
            <charset val="134"/>
          </rPr>
          <t>胡晓明:</t>
        </r>
        <r>
          <rPr>
            <sz val="10"/>
            <rFont val="宋体"/>
            <family val="3"/>
            <charset val="134"/>
          </rPr>
          <t xml:space="preserve">
本列数据取自AJE1表。
其中，现金流量表无须反映上期调整数，故须在preCF中直接输入上期审定数。</t>
        </r>
      </text>
    </comment>
    <comment ref="M8" authorId="0" shapeId="0">
      <text>
        <r>
          <rPr>
            <b/>
            <sz val="10"/>
            <rFont val="宋体"/>
            <family val="3"/>
            <charset val="134"/>
          </rPr>
          <t>胡晓明:</t>
        </r>
        <r>
          <rPr>
            <sz val="10"/>
            <rFont val="宋体"/>
            <family val="3"/>
            <charset val="134"/>
          </rPr>
          <t xml:space="preserve">
本列为上期审定数据，审定的BS/IS/CF/CE表之上期数据从本列取数。</t>
        </r>
      </text>
    </comment>
    <comment ref="A9" authorId="0" shapeId="0">
      <text>
        <r>
          <rPr>
            <b/>
            <sz val="10"/>
            <rFont val="宋体"/>
            <family val="3"/>
            <charset val="134"/>
          </rPr>
          <t>=VLOOKUP(RC4,Sheet_Items,4,0)
9:420</t>
        </r>
      </text>
    </comment>
    <comment ref="B9" authorId="0" shapeId="0">
      <text>
        <r>
          <rPr>
            <b/>
            <sz val="10"/>
            <rFont val="宋体"/>
            <family val="3"/>
            <charset val="134"/>
          </rPr>
          <t>=VLOOKUP(RC4,Sheet_Items,3,0)
9:420</t>
        </r>
      </text>
    </comment>
    <comment ref="C9" authorId="0" shapeId="0">
      <text>
        <r>
          <rPr>
            <b/>
            <sz val="10"/>
            <rFont val="宋体"/>
            <family val="3"/>
            <charset val="134"/>
          </rPr>
          <t>=VLOOKUP(RC4,Sheet_Items,9,0)
9:420</t>
        </r>
      </text>
    </comment>
    <comment ref="E9" authorId="0" shapeId="0">
      <text>
        <r>
          <rPr>
            <b/>
            <sz val="10"/>
            <rFont val="宋体"/>
            <family val="3"/>
            <charset val="134"/>
          </rPr>
          <t>=VLOOKUP(RC4,Sheet_Items,2,0)
9:420</t>
        </r>
      </text>
    </comment>
    <comment ref="F10" authorId="0" shapeId="0">
      <text>
        <r>
          <rPr>
            <b/>
            <sz val="10"/>
            <rFont val="宋体"/>
            <family val="3"/>
            <charset val="134"/>
          </rPr>
          <t>=VLOOKUP(RC4,Sheet_Prebs1,4,0)
11:49</t>
        </r>
      </text>
    </comment>
    <comment ref="G10" authorId="0" shapeId="0">
      <text>
        <r>
          <rPr>
            <b/>
            <sz val="10"/>
            <rFont val="宋体"/>
            <family val="3"/>
            <charset val="134"/>
          </rPr>
          <t>=SUMIF(AJE!C2,RC3&amp;RC4&amp;"*",AJE!C14)
11:344</t>
        </r>
      </text>
    </comment>
    <comment ref="H10" authorId="0" shapeId="0">
      <text>
        <r>
          <rPr>
            <b/>
            <sz val="10"/>
            <rFont val="宋体"/>
            <family val="3"/>
            <charset val="134"/>
          </rPr>
          <t>=SUMIF(AJE!C2,RC3&amp;RC4&amp;"*",AJE!C15)
11:344</t>
        </r>
      </text>
    </comment>
    <comment ref="I10" authorId="0" shapeId="0">
      <text>
        <r>
          <rPr>
            <b/>
            <sz val="10"/>
            <rFont val="宋体"/>
            <family val="3"/>
            <charset val="134"/>
          </rPr>
          <t>=(RC2*RC[-3]+RC[-2]-RC[-1])*RC2
11:49</t>
        </r>
      </text>
    </comment>
    <comment ref="J10" authorId="0" shapeId="0">
      <text>
        <r>
          <rPr>
            <b/>
            <sz val="10"/>
            <rFont val="宋体"/>
            <family val="3"/>
            <charset val="134"/>
          </rPr>
          <t>=VLOOKUP(RC4,Sheet_Prebs1,5,0)
11:49</t>
        </r>
      </text>
    </comment>
    <comment ref="K10" authorId="0" shapeId="0">
      <text>
        <r>
          <rPr>
            <b/>
            <sz val="10"/>
            <rFont val="宋体"/>
            <family val="3"/>
            <charset val="134"/>
          </rPr>
          <t>=SUMIF(AJE1!C2,RC3&amp;RC4&amp;"*",AJE1!C14)
11:344</t>
        </r>
      </text>
    </comment>
    <comment ref="L10" authorId="0" shapeId="0">
      <text>
        <r>
          <rPr>
            <b/>
            <sz val="10"/>
            <rFont val="宋体"/>
            <family val="3"/>
            <charset val="134"/>
          </rPr>
          <t>=SUMIF(AJE1!C2,RC3&amp;RC4&amp;"*",AJE1!C15)
11:344</t>
        </r>
      </text>
    </comment>
    <comment ref="M10" authorId="0" shapeId="0">
      <text>
        <r>
          <rPr>
            <b/>
            <sz val="10"/>
            <rFont val="宋体"/>
            <family val="3"/>
            <charset val="134"/>
          </rPr>
          <t>=(RC2*RC[-3]+RC[-2]-RC[-1])*RC2
11:49</t>
        </r>
      </text>
    </comment>
    <comment ref="E35" authorId="0" shapeId="0">
      <text>
        <r>
          <rPr>
            <b/>
            <sz val="10"/>
            <rFont val="宋体"/>
            <family val="3"/>
            <charset val="134"/>
          </rPr>
          <t>=SUM(R[-17]C:R[-1]C)
F:M</t>
        </r>
      </text>
    </comment>
    <comment ref="E63" authorId="0" shapeId="0">
      <text>
        <r>
          <rPr>
            <b/>
            <sz val="10"/>
            <rFont val="宋体"/>
            <family val="3"/>
            <charset val="134"/>
          </rPr>
          <t>=SUM(R[-18]C:R[-1]C)
F:M</t>
        </r>
      </text>
    </comment>
    <comment ref="E64" authorId="0" shapeId="0">
      <text>
        <r>
          <rPr>
            <b/>
            <sz val="10"/>
            <rFont val="宋体"/>
            <family val="3"/>
            <charset val="134"/>
          </rPr>
          <t>=SUM(R[-21]C,R[-1]C)
F:M</t>
        </r>
      </text>
    </comment>
    <comment ref="F65" authorId="0" shapeId="0">
      <text>
        <r>
          <rPr>
            <b/>
            <sz val="10"/>
            <rFont val="宋体"/>
            <family val="3"/>
            <charset val="134"/>
          </rPr>
          <t>=VLOOKUP(RC4,Sheet_Prebs2,4,0)
51:95</t>
        </r>
      </text>
    </comment>
    <comment ref="I65" authorId="0" shapeId="0">
      <text>
        <r>
          <rPr>
            <b/>
            <sz val="10"/>
            <rFont val="宋体"/>
            <family val="3"/>
            <charset val="134"/>
          </rPr>
          <t>=(RC[-6]*RC[-3]+RC[-2]-RC[-1])*RC[-6]
51:95</t>
        </r>
      </text>
    </comment>
    <comment ref="J65" authorId="0" shapeId="0">
      <text>
        <r>
          <rPr>
            <b/>
            <sz val="10"/>
            <rFont val="宋体"/>
            <family val="3"/>
            <charset val="134"/>
          </rPr>
          <t>=VLOOKUP(RC4,Sheet_Prebs2,5,0)
51:95</t>
        </r>
      </text>
    </comment>
    <comment ref="M65" authorId="0" shapeId="0">
      <text>
        <r>
          <rPr>
            <b/>
            <sz val="10"/>
            <rFont val="宋体"/>
            <family val="3"/>
            <charset val="134"/>
          </rPr>
          <t>=(RC2*RC[-3]+RC[-2]-RC[-1])*RC2
51:95</t>
        </r>
      </text>
    </comment>
    <comment ref="E92" authorId="0" shapeId="0">
      <text>
        <r>
          <rPr>
            <b/>
            <sz val="10"/>
            <rFont val="宋体"/>
            <family val="3"/>
            <charset val="134"/>
          </rPr>
          <t>=SUM(R[-21]C:R[-1]C)
F:M</t>
        </r>
      </text>
    </comment>
    <comment ref="E108" authorId="0" shapeId="0">
      <text>
        <r>
          <rPr>
            <b/>
            <sz val="10"/>
            <rFont val="宋体"/>
            <family val="3"/>
            <charset val="134"/>
          </rPr>
          <t>=SUM(R[-7]C:R[-1]C)
F:M</t>
        </r>
      </text>
    </comment>
    <comment ref="E109" authorId="0" shapeId="0">
      <text>
        <r>
          <rPr>
            <b/>
            <sz val="10"/>
            <rFont val="宋体"/>
            <family val="3"/>
            <charset val="134"/>
          </rPr>
          <t>=SUM(R[-10]C,R[-1]C)
F:M</t>
        </r>
      </text>
    </comment>
    <comment ref="G111" authorId="0" shapeId="0">
      <text>
        <r>
          <rPr>
            <b/>
            <sz val="10"/>
            <rFont val="宋体"/>
            <family val="3"/>
            <charset val="134"/>
          </rPr>
          <t>=SUMIF(AJE!C2,RC3&amp;"81*",AJE!C14)</t>
        </r>
      </text>
    </comment>
    <comment ref="H111" authorId="0" shapeId="0">
      <text>
        <r>
          <rPr>
            <b/>
            <sz val="10"/>
            <rFont val="宋体"/>
            <family val="3"/>
            <charset val="134"/>
          </rPr>
          <t>=SUMIF(AJE!C2,RC3&amp;"81*",AJE!C15)</t>
        </r>
      </text>
    </comment>
    <comment ref="K111" authorId="0" shapeId="0">
      <text>
        <r>
          <rPr>
            <b/>
            <sz val="10"/>
            <rFont val="宋体"/>
            <family val="3"/>
            <charset val="134"/>
          </rPr>
          <t>=SUMIF(AJE1!C2,RC3&amp;"81*",AJE1!C14)</t>
        </r>
      </text>
    </comment>
    <comment ref="L111" authorId="0" shapeId="0">
      <text>
        <r>
          <rPr>
            <b/>
            <sz val="10"/>
            <rFont val="宋体"/>
            <family val="3"/>
            <charset val="134"/>
          </rPr>
          <t>=SUMIF(AJE1!C2,RC3&amp;"81*",AJE1!C15)</t>
        </r>
      </text>
    </comment>
    <comment ref="G115" authorId="0" shapeId="0">
      <text>
        <r>
          <rPr>
            <b/>
            <sz val="10"/>
            <rFont val="宋体"/>
            <family val="3"/>
            <charset val="134"/>
          </rPr>
          <t>=SUMIF(AJE!C2,RC3&amp;"82*",AJE!C14)</t>
        </r>
      </text>
    </comment>
    <comment ref="H115" authorId="0" shapeId="0">
      <text>
        <r>
          <rPr>
            <b/>
            <sz val="10"/>
            <rFont val="宋体"/>
            <family val="3"/>
            <charset val="134"/>
          </rPr>
          <t>=SUMIF(AJE!C2,RC3&amp;"82*",AJE!C15)</t>
        </r>
      </text>
    </comment>
    <comment ref="K115" authorId="0" shapeId="0">
      <text>
        <r>
          <rPr>
            <b/>
            <sz val="10"/>
            <rFont val="宋体"/>
            <family val="3"/>
            <charset val="134"/>
          </rPr>
          <t>=SUMIF(AJE1!C2,RC3&amp;"82*",AJE1!C14)</t>
        </r>
      </text>
    </comment>
    <comment ref="L115" authorId="0" shapeId="0">
      <text>
        <r>
          <rPr>
            <b/>
            <sz val="10"/>
            <rFont val="宋体"/>
            <family val="3"/>
            <charset val="134"/>
          </rPr>
          <t>=SUMIF(AJE1!C2,RC3&amp;"82*",AJE1!C15)</t>
        </r>
      </text>
    </comment>
    <comment ref="G116" authorId="0" shapeId="0">
      <text>
        <r>
          <rPr>
            <b/>
            <sz val="10"/>
            <rFont val="宋体"/>
            <family val="3"/>
            <charset val="134"/>
          </rPr>
          <t>=SUMIF(AJE!C2,RC3&amp;"83*",AJE!C14)</t>
        </r>
      </text>
    </comment>
    <comment ref="H116" authorId="0" shapeId="0">
      <text>
        <r>
          <rPr>
            <b/>
            <sz val="10"/>
            <rFont val="宋体"/>
            <family val="3"/>
            <charset val="134"/>
          </rPr>
          <t>=SUMIF(AJE!C2,RC3&amp;"83*",AJE!C15)</t>
        </r>
      </text>
    </comment>
    <comment ref="K116" authorId="0" shapeId="0">
      <text>
        <r>
          <rPr>
            <b/>
            <sz val="10"/>
            <rFont val="宋体"/>
            <family val="3"/>
            <charset val="134"/>
          </rPr>
          <t>=SUMIF(AJE1!C2,RC3&amp;"83*",AJE1!C14)</t>
        </r>
      </text>
    </comment>
    <comment ref="L116" authorId="0" shapeId="0">
      <text>
        <r>
          <rPr>
            <b/>
            <sz val="10"/>
            <rFont val="宋体"/>
            <family val="3"/>
            <charset val="134"/>
          </rPr>
          <t>=SUMIF(AJE1!C2,RC3&amp;"83*",AJE1!C15)</t>
        </r>
      </text>
    </comment>
    <comment ref="G118" authorId="0" shapeId="0">
      <text>
        <r>
          <rPr>
            <b/>
            <sz val="10"/>
            <rFont val="宋体"/>
            <family val="3"/>
            <charset val="134"/>
          </rPr>
          <t>=SUMIF(AJE!C2,RC3&amp;"84*",AJE!C14)</t>
        </r>
      </text>
    </comment>
    <comment ref="H118" authorId="0" shapeId="0">
      <text>
        <r>
          <rPr>
            <b/>
            <sz val="10"/>
            <rFont val="宋体"/>
            <family val="3"/>
            <charset val="134"/>
          </rPr>
          <t>=SUMIF(AJE!C2,RC3&amp;"84*",AJE!C15)</t>
        </r>
      </text>
    </comment>
    <comment ref="K118" authorId="0" shapeId="0">
      <text>
        <r>
          <rPr>
            <b/>
            <sz val="10"/>
            <rFont val="宋体"/>
            <family val="3"/>
            <charset val="134"/>
          </rPr>
          <t>=SUMIF(AJE1!C2,RC3&amp;"84*",AJE1!C14)</t>
        </r>
      </text>
    </comment>
    <comment ref="L118" authorId="0" shapeId="0">
      <text>
        <r>
          <rPr>
            <b/>
            <sz val="10"/>
            <rFont val="宋体"/>
            <family val="3"/>
            <charset val="134"/>
          </rPr>
          <t>=SUMIF(AJE1!C2,RC3&amp;"84*",AJE1!C15)</t>
        </r>
      </text>
    </comment>
    <comment ref="G119" authorId="0" shapeId="0">
      <text>
        <r>
          <rPr>
            <b/>
            <sz val="10"/>
            <rFont val="宋体"/>
            <family val="3"/>
            <charset val="134"/>
          </rPr>
          <t>=SUMIF(AJE!C2,RC3&amp;"85*",AJE!C14)</t>
        </r>
      </text>
    </comment>
    <comment ref="H119" authorId="0" shapeId="0">
      <text>
        <r>
          <rPr>
            <b/>
            <sz val="10"/>
            <rFont val="宋体"/>
            <family val="3"/>
            <charset val="134"/>
          </rPr>
          <t>=SUMIF(AJE!C2,RC3&amp;"85*",AJE!C15)</t>
        </r>
      </text>
    </comment>
    <comment ref="K119" authorId="0" shapeId="0">
      <text>
        <r>
          <rPr>
            <b/>
            <sz val="10"/>
            <rFont val="宋体"/>
            <family val="3"/>
            <charset val="134"/>
          </rPr>
          <t>=SUMIF(AJE1!C2,RC3&amp;"85*",AJE1!C14)</t>
        </r>
      </text>
    </comment>
    <comment ref="L119" authorId="0" shapeId="0">
      <text>
        <r>
          <rPr>
            <b/>
            <sz val="10"/>
            <rFont val="宋体"/>
            <family val="3"/>
            <charset val="134"/>
          </rPr>
          <t>=SUMIF(AJE1!C2,RC3&amp;"85*",AJE1!C15)</t>
        </r>
      </text>
    </comment>
    <comment ref="G120" authorId="0" shapeId="0">
      <text>
        <r>
          <rPr>
            <b/>
            <sz val="10"/>
            <rFont val="宋体"/>
            <family val="3"/>
            <charset val="134"/>
          </rPr>
          <t>=SUMIF(AJE!C2,RC3&amp;"86*",AJE!C14)</t>
        </r>
      </text>
    </comment>
    <comment ref="H120" authorId="0" shapeId="0">
      <text>
        <r>
          <rPr>
            <b/>
            <sz val="10"/>
            <rFont val="宋体"/>
            <family val="3"/>
            <charset val="134"/>
          </rPr>
          <t>=SUMIF(AJE!C2,RC3&amp;"86*",AJE!C15)</t>
        </r>
      </text>
    </comment>
    <comment ref="K120" authorId="0" shapeId="0">
      <text>
        <r>
          <rPr>
            <b/>
            <sz val="10"/>
            <rFont val="宋体"/>
            <family val="3"/>
            <charset val="134"/>
          </rPr>
          <t>=SUMIF(AJE1!C2,RC3&amp;"86*",AJE1!C14)</t>
        </r>
      </text>
    </comment>
    <comment ref="L120" authorId="0" shapeId="0">
      <text>
        <r>
          <rPr>
            <b/>
            <sz val="10"/>
            <rFont val="宋体"/>
            <family val="3"/>
            <charset val="134"/>
          </rPr>
          <t>=SUMIF(AJE1!C2,RC3&amp;"86*",AJE1!C15)</t>
        </r>
      </text>
    </comment>
    <comment ref="G121" authorId="0" shapeId="0">
      <text>
        <r>
          <rPr>
            <b/>
            <sz val="10"/>
            <rFont val="宋体"/>
            <family val="3"/>
            <charset val="134"/>
          </rPr>
          <t>=SUMIF(AJE!C2,RC3&amp;"87*",AJE!C14)+VLOOKUP(6799,Sheet_Trialbal,4,0)</t>
        </r>
      </text>
    </comment>
    <comment ref="H121" authorId="0" shapeId="0">
      <text>
        <r>
          <rPr>
            <b/>
            <sz val="10"/>
            <rFont val="宋体"/>
            <family val="3"/>
            <charset val="134"/>
          </rPr>
          <t>=SUMIF(AJE!C2,RC3&amp;"87*",AJE!C16)+VLOOKUP(6799,Sheet_Trialbal,5,0)</t>
        </r>
      </text>
    </comment>
    <comment ref="K121" authorId="0" shapeId="0">
      <text>
        <r>
          <rPr>
            <b/>
            <sz val="10"/>
            <rFont val="宋体"/>
            <family val="3"/>
            <charset val="134"/>
          </rPr>
          <t>=SUMIF(AJE1!C2,RC3&amp;"87*",AJE1!C15)+VLOOKUP(6799,Sheet_Trialbal,8,0)</t>
        </r>
      </text>
    </comment>
    <comment ref="L121" authorId="0" shapeId="0">
      <text>
        <r>
          <rPr>
            <b/>
            <sz val="10"/>
            <rFont val="宋体"/>
            <family val="3"/>
            <charset val="134"/>
          </rPr>
          <t>=SUMIF(AJE1!C2,RC3&amp;"87*",AJE1!C16)+VLOOKUP(6799,Sheet_Trialbal,9,0)</t>
        </r>
      </text>
    </comment>
    <comment ref="E122" authorId="0" shapeId="0">
      <text>
        <r>
          <rPr>
            <b/>
            <sz val="10"/>
            <rFont val="宋体"/>
            <family val="3"/>
            <charset val="134"/>
          </rPr>
          <t>=SUM(R[-8]C:R[-7]C,-R[-6]C,R[-5]C:R[-1]C)
F:M</t>
        </r>
      </text>
    </comment>
    <comment ref="G122" authorId="0" shapeId="0">
      <text>
        <r>
          <rPr>
            <b/>
            <sz val="10"/>
            <rFont val="宋体"/>
            <family val="3"/>
            <charset val="134"/>
          </rPr>
          <t>=SUM(R[-8]C:R[-1]C)</t>
        </r>
      </text>
    </comment>
    <comment ref="H122" authorId="0" shapeId="0">
      <text>
        <r>
          <rPr>
            <b/>
            <sz val="10"/>
            <rFont val="宋体"/>
            <family val="3"/>
            <charset val="134"/>
          </rPr>
          <t>=SUM(R[-8]C:R[-1]C)</t>
        </r>
      </text>
    </comment>
    <comment ref="K122" authorId="0" shapeId="0">
      <text>
        <r>
          <rPr>
            <b/>
            <sz val="10"/>
            <rFont val="宋体"/>
            <family val="3"/>
            <charset val="134"/>
          </rPr>
          <t>=SUM(R[-8]C:R[-1]C)</t>
        </r>
      </text>
    </comment>
    <comment ref="L122" authorId="0" shapeId="0">
      <text>
        <r>
          <rPr>
            <b/>
            <sz val="10"/>
            <rFont val="宋体"/>
            <family val="3"/>
            <charset val="134"/>
          </rPr>
          <t>=SUM(R[-8]C:R[-1]C)</t>
        </r>
      </text>
    </comment>
    <comment ref="E124" authorId="0" shapeId="0">
      <text>
        <r>
          <rPr>
            <b/>
            <sz val="10"/>
            <rFont val="宋体"/>
            <family val="3"/>
            <charset val="134"/>
          </rPr>
          <t>=SUM(R[-2]C:R[-1]C)
F:M</t>
        </r>
      </text>
    </comment>
    <comment ref="E125" authorId="0" shapeId="0">
      <text>
        <r>
          <rPr>
            <b/>
            <sz val="10"/>
            <rFont val="宋体"/>
            <family val="3"/>
            <charset val="134"/>
          </rPr>
          <t>=SUM(R[-13]C,R[-1]C)
F:M</t>
        </r>
      </text>
    </comment>
    <comment ref="F126" authorId="0" shapeId="0">
      <text>
        <r>
          <rPr>
            <b/>
            <sz val="10"/>
            <rFont val="宋体"/>
            <family val="3"/>
            <charset val="134"/>
          </rPr>
          <t>=VLOOKUP(RC4,Sheet_Preis,4,0)
97:136</t>
        </r>
      </text>
    </comment>
    <comment ref="I126" authorId="0" shapeId="0">
      <text>
        <r>
          <rPr>
            <b/>
            <sz val="10"/>
            <rFont val="宋体"/>
            <family val="3"/>
            <charset val="134"/>
          </rPr>
          <t>=(RC[-6]*RC[-3]+RC[-2]-RC[-1])*RC[-6]
97:136</t>
        </r>
      </text>
    </comment>
    <comment ref="J126" authorId="0" shapeId="0">
      <text>
        <r>
          <rPr>
            <b/>
            <sz val="10"/>
            <rFont val="宋体"/>
            <family val="3"/>
            <charset val="134"/>
          </rPr>
          <t>=VLOOKUP(RC4,Sheet_Preis,5,0)
97:136</t>
        </r>
      </text>
    </comment>
    <comment ref="M126" authorId="0" shapeId="0">
      <text>
        <r>
          <rPr>
            <b/>
            <sz val="10"/>
            <rFont val="宋体"/>
            <family val="3"/>
            <charset val="134"/>
          </rPr>
          <t>=(RC2*RC[-3]+RC[-2]-RC[-1])*RC2
97:136</t>
        </r>
      </text>
    </comment>
    <comment ref="E127" authorId="0" shapeId="0">
      <text>
        <r>
          <rPr>
            <b/>
            <sz val="10"/>
            <rFont val="宋体"/>
            <family val="3"/>
            <charset val="134"/>
          </rPr>
          <t>=SUM(R[1]C:R[4]C)
F:M</t>
        </r>
      </text>
    </comment>
    <comment ref="E132" authorId="0" shapeId="0">
      <text>
        <r>
          <rPr>
            <b/>
            <sz val="10"/>
            <rFont val="宋体"/>
            <family val="3"/>
            <charset val="134"/>
          </rPr>
          <t>=SUM(R[1]C:R[13]C)
F:M</t>
        </r>
      </text>
    </comment>
    <comment ref="E158" authorId="0" shapeId="0">
      <text>
        <r>
          <rPr>
            <b/>
            <sz val="10"/>
            <rFont val="宋体"/>
            <family val="3"/>
            <charset val="134"/>
          </rPr>
          <t>=SUM(R[-22]C:R[-19]C)-SUM(R[-17]C:R[-5]C)+SUM(R[-4]C:R[-3]C,R[-1]C)
F:M</t>
        </r>
      </text>
    </comment>
    <comment ref="G158" authorId="0" shapeId="0">
      <text>
        <r>
          <rPr>
            <b/>
            <sz val="10"/>
            <rFont val="宋体"/>
            <family val="3"/>
            <charset val="134"/>
          </rPr>
          <t>=SUM(R[-22]C:R[-19]C)+SUM(R[-17]C:R[-5]C)+SUM(R[-4]C:R[-3]C,R[-1]C)</t>
        </r>
      </text>
    </comment>
    <comment ref="H158" authorId="0" shapeId="0">
      <text>
        <r>
          <rPr>
            <b/>
            <sz val="10"/>
            <rFont val="宋体"/>
            <family val="3"/>
            <charset val="134"/>
          </rPr>
          <t>=SUM(R[-22]C:R[-19]C)+SUM(R[-17]C:R[-5]C)+SUM(R[-4]C:R[-3]C,R[-1]C)</t>
        </r>
      </text>
    </comment>
    <comment ref="K158" authorId="0" shapeId="0">
      <text>
        <r>
          <rPr>
            <b/>
            <sz val="10"/>
            <rFont val="宋体"/>
            <family val="3"/>
            <charset val="134"/>
          </rPr>
          <t>=SUM(R[-22]C:R[-19]C)+SUM(R[-17]C:R[-5]C)+SUM(R[-4]C:R[-3]C,R[-1]C)</t>
        </r>
      </text>
    </comment>
    <comment ref="L158" authorId="0" shapeId="0">
      <text>
        <r>
          <rPr>
            <b/>
            <sz val="10"/>
            <rFont val="宋体"/>
            <family val="3"/>
            <charset val="134"/>
          </rPr>
          <t>=SUM(R[-22]C:R[-19]C)+SUM(R[-17]C:R[-5]C)+SUM(R[-4]C:R[-3]C,R[-1]C)</t>
        </r>
      </text>
    </comment>
    <comment ref="E161" authorId="0" shapeId="0">
      <text>
        <r>
          <rPr>
            <b/>
            <sz val="10"/>
            <rFont val="宋体"/>
            <family val="3"/>
            <charset val="134"/>
          </rPr>
          <t>=SUM(R[-4]C,R[-3]C,-R[-2]C)
F:M</t>
        </r>
      </text>
    </comment>
    <comment ref="G161" authorId="0" shapeId="0">
      <text>
        <r>
          <rPr>
            <b/>
            <sz val="10"/>
            <rFont val="宋体"/>
            <family val="3"/>
            <charset val="134"/>
          </rPr>
          <t>=SUM(R[-4]C,R[-3]C,R[-2]C)</t>
        </r>
      </text>
    </comment>
    <comment ref="H161" authorId="0" shapeId="0">
      <text>
        <r>
          <rPr>
            <b/>
            <sz val="10"/>
            <rFont val="宋体"/>
            <family val="3"/>
            <charset val="134"/>
          </rPr>
          <t>=SUM(R[-4]C,R[-3]C,R[-2]C)</t>
        </r>
      </text>
    </comment>
    <comment ref="K161" authorId="0" shapeId="0">
      <text>
        <r>
          <rPr>
            <b/>
            <sz val="10"/>
            <rFont val="宋体"/>
            <family val="3"/>
            <charset val="134"/>
          </rPr>
          <t>=SUM(R[-4]C,R[-3]C,R[-2]C)</t>
        </r>
      </text>
    </comment>
    <comment ref="L161" authorId="0" shapeId="0">
      <text>
        <r>
          <rPr>
            <b/>
            <sz val="10"/>
            <rFont val="宋体"/>
            <family val="3"/>
            <charset val="134"/>
          </rPr>
          <t>=SUM(R[-4]C,R[-3]C,R[-2]C)</t>
        </r>
      </text>
    </comment>
    <comment ref="E163" authorId="0" shapeId="0">
      <text>
        <r>
          <rPr>
            <b/>
            <sz val="10"/>
            <rFont val="宋体"/>
            <family val="3"/>
            <charset val="134"/>
          </rPr>
          <t>=SUM(R[-2]C,-R[-1]C)
F:M</t>
        </r>
      </text>
    </comment>
    <comment ref="G163" authorId="0" shapeId="0">
      <text>
        <r>
          <rPr>
            <b/>
            <sz val="10"/>
            <rFont val="宋体"/>
            <family val="3"/>
            <charset val="134"/>
          </rPr>
          <t>=SUM(R[-2]C,R[-1]C)</t>
        </r>
      </text>
    </comment>
    <comment ref="H163" authorId="0" shapeId="0">
      <text>
        <r>
          <rPr>
            <b/>
            <sz val="10"/>
            <rFont val="宋体"/>
            <family val="3"/>
            <charset val="134"/>
          </rPr>
          <t>=SUM(R[-2]C,R[-1]C)</t>
        </r>
      </text>
    </comment>
    <comment ref="K163" authorId="0" shapeId="0">
      <text>
        <r>
          <rPr>
            <b/>
            <sz val="10"/>
            <rFont val="宋体"/>
            <family val="3"/>
            <charset val="134"/>
          </rPr>
          <t>=SUM(R[-2]C,R[-1]C)</t>
        </r>
      </text>
    </comment>
    <comment ref="L163" authorId="0" shapeId="0">
      <text>
        <r>
          <rPr>
            <b/>
            <sz val="10"/>
            <rFont val="宋体"/>
            <family val="3"/>
            <charset val="134"/>
          </rPr>
          <t>=SUM(R[-2]C,R[-1]C)</t>
        </r>
      </text>
    </comment>
    <comment ref="G169" authorId="0" shapeId="0">
      <text>
        <r>
          <rPr>
            <b/>
            <sz val="10"/>
            <rFont val="宋体"/>
            <family val="3"/>
            <charset val="134"/>
          </rPr>
          <t>=SUM(VLOOKUP(6799,Sheet_Trialbal,4,0))</t>
        </r>
      </text>
    </comment>
    <comment ref="H169" authorId="0" shapeId="0">
      <text>
        <r>
          <rPr>
            <b/>
            <sz val="10"/>
            <rFont val="宋体"/>
            <family val="3"/>
            <charset val="134"/>
          </rPr>
          <t>=SUM(VLOOKUP(6799,Sheet_Trialbal,5,0))</t>
        </r>
      </text>
    </comment>
    <comment ref="K169" authorId="0" shapeId="0">
      <text>
        <r>
          <rPr>
            <b/>
            <sz val="10"/>
            <rFont val="宋体"/>
            <family val="3"/>
            <charset val="134"/>
          </rPr>
          <t>=SUM(VLOOKUP(6799,Sheet_Trialbal,8,0))</t>
        </r>
      </text>
    </comment>
    <comment ref="L169" authorId="0" shapeId="0">
      <text>
        <r>
          <rPr>
            <b/>
            <sz val="10"/>
            <rFont val="宋体"/>
            <family val="3"/>
            <charset val="134"/>
          </rPr>
          <t>=SUM(VLOOKUP(6799,Sheet_Trialbal,9,0))</t>
        </r>
      </text>
    </comment>
    <comment ref="E192" authorId="0" shapeId="0">
      <text>
        <r>
          <rPr>
            <b/>
            <sz val="10"/>
            <rFont val="宋体"/>
            <family val="3"/>
            <charset val="134"/>
          </rPr>
          <t>=SUM(R[-8]C,R[-1]C)
F:M</t>
        </r>
      </text>
    </comment>
    <comment ref="F202" authorId="0" shapeId="0">
      <text>
        <r>
          <rPr>
            <b/>
            <sz val="10"/>
            <rFont val="宋体"/>
            <family val="3"/>
            <charset val="134"/>
          </rPr>
          <t>=INDEX(Sheet_Presc,MATCH((RIGHT(RC4,2)),Sheet_Prescrow,0),MATCH((LEFT(RC4,2)),Sheet_Presccol,0))
139:344</t>
        </r>
      </text>
    </comment>
    <comment ref="G202" authorId="0" shapeId="0">
      <text>
        <r>
          <rPr>
            <b/>
            <sz val="10"/>
            <rFont val="宋体"/>
            <family val="3"/>
            <charset val="134"/>
          </rPr>
          <t>=SUMIF(AJE!C2,"J8?"&amp;MID(RC4,3,2)&amp;"*",AJE!C14)
139:166</t>
        </r>
      </text>
    </comment>
    <comment ref="H202" authorId="0" shapeId="0">
      <text>
        <r>
          <rPr>
            <b/>
            <sz val="10"/>
            <rFont val="宋体"/>
            <family val="3"/>
            <charset val="134"/>
          </rPr>
          <t>=SUMIF(AJE!C2,"J8?"&amp;MID(RC4,3,2)&amp;"*",AJE!C15)
139:166</t>
        </r>
      </text>
    </comment>
    <comment ref="I202" authorId="0" shapeId="0">
      <text>
        <r>
          <rPr>
            <b/>
            <sz val="10"/>
            <rFont val="宋体"/>
            <family val="3"/>
            <charset val="134"/>
          </rPr>
          <t>=(RC[-6]*RC[-3]+RC[-2]-RC[-1])*RC[-6]
139:344</t>
        </r>
      </text>
    </comment>
    <comment ref="J202" authorId="0" shapeId="0">
      <text>
        <r>
          <rPr>
            <b/>
            <sz val="10"/>
            <rFont val="宋体"/>
            <family val="3"/>
            <charset val="134"/>
          </rPr>
          <t>=INDEX(Sheet_Presc,MATCH((RIGHT(RC4,2)),Sheet_Prescrow,0),MATCH((VALUE(LEFT(RC4,2))),Sheet_Presccol,0))
139:344</t>
        </r>
      </text>
    </comment>
    <comment ref="K202" authorId="0" shapeId="0">
      <text>
        <r>
          <rPr>
            <b/>
            <sz val="10"/>
            <rFont val="宋体"/>
            <family val="3"/>
            <charset val="134"/>
          </rPr>
          <t>=SUMIF(AJE1!C2,"J8?"&amp;MID(RC4,3,2)&amp;"*",AJE1!C14)
139:166</t>
        </r>
      </text>
    </comment>
    <comment ref="L202" authorId="0" shapeId="0">
      <text>
        <r>
          <rPr>
            <b/>
            <sz val="10"/>
            <rFont val="宋体"/>
            <family val="3"/>
            <charset val="134"/>
          </rPr>
          <t>=SUMIF(AJE1!C2,"J8?"&amp;MID(RC4,3,2)&amp;"*",AJE1!C15)
139:166</t>
        </r>
      </text>
    </comment>
    <comment ref="M202" authorId="0" shapeId="0">
      <text>
        <r>
          <rPr>
            <b/>
            <sz val="10"/>
            <rFont val="宋体"/>
            <family val="3"/>
            <charset val="134"/>
          </rPr>
          <t>=(RC2*RC[-3]+RC[-2]-RC[-1])*RC2
139:344</t>
        </r>
      </text>
    </comment>
    <comment ref="E208" authorId="0" shapeId="0">
      <text>
        <r>
          <rPr>
            <b/>
            <sz val="10"/>
            <rFont val="宋体"/>
            <family val="3"/>
            <charset val="134"/>
          </rPr>
          <t>=SUM(R[-4]C:R[-1]C)
F:M</t>
        </r>
      </text>
    </comment>
    <comment ref="E209" authorId="0" shapeId="0">
      <text>
        <r>
          <rPr>
            <b/>
            <sz val="10"/>
            <rFont val="宋体"/>
            <family val="3"/>
            <charset val="134"/>
          </rPr>
          <t>=SUM(R[3]C,R[4]C,R[8]C,R[13]C,R[18]C,R[21]C)
F:M</t>
        </r>
      </text>
    </comment>
    <comment ref="E210"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净利润增加权益
合计公式不同</t>
        </r>
      </text>
    </comment>
    <comment ref="E211"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所有者权益</t>
        </r>
        <r>
          <rPr>
            <sz val="9"/>
            <rFont val="Tahoma"/>
            <family val="2"/>
          </rPr>
          <t>_</t>
        </r>
        <r>
          <rPr>
            <sz val="9"/>
            <rFont val="宋体"/>
            <family val="3"/>
            <charset val="134"/>
          </rPr>
          <t>其他综合收益增加权益
合计公式不同</t>
        </r>
      </text>
    </comment>
    <comment ref="E212" authorId="0" shapeId="0">
      <text>
        <r>
          <rPr>
            <b/>
            <sz val="10"/>
            <rFont val="宋体"/>
            <family val="3"/>
            <charset val="134"/>
          </rPr>
          <t>=SUM(R[-2]C:R[-1]C)
F:M</t>
        </r>
      </text>
    </comment>
    <comment ref="E213" authorId="0" shapeId="0">
      <text>
        <r>
          <rPr>
            <b/>
            <sz val="10"/>
            <rFont val="宋体"/>
            <family val="3"/>
            <charset val="134"/>
          </rPr>
          <t>=SUM(R[1]C:R[3]C)
F:M</t>
        </r>
      </text>
    </comment>
    <comment ref="E218" authorId="0" shapeId="0">
      <text>
        <r>
          <rPr>
            <b/>
            <sz val="10"/>
            <rFont val="宋体"/>
            <family val="3"/>
            <charset val="134"/>
          </rPr>
          <t>=SUM(R[1]C:R[4]C)
F:M</t>
        </r>
      </text>
    </comment>
    <comment ref="E223" authorId="0" shapeId="0">
      <text>
        <r>
          <rPr>
            <b/>
            <sz val="10"/>
            <rFont val="宋体"/>
            <family val="3"/>
            <charset val="134"/>
          </rPr>
          <t>=SUM(R[1]C:R[4]C)
F:M</t>
        </r>
      </text>
    </comment>
    <comment ref="E230" authorId="0" shapeId="0">
      <text>
        <r>
          <rPr>
            <b/>
            <sz val="10"/>
            <rFont val="宋体"/>
            <family val="3"/>
            <charset val="134"/>
          </rPr>
          <t>=SUM(R[1]C:R[2]C)
F:M</t>
        </r>
      </text>
    </comment>
    <comment ref="E234" authorId="0" shapeId="0">
      <text>
        <r>
          <rPr>
            <b/>
            <sz val="10"/>
            <rFont val="宋体"/>
            <family val="3"/>
            <charset val="134"/>
          </rPr>
          <t>=SUM(R[-23]C,R[-22]C)
F:M</t>
        </r>
      </text>
    </comment>
    <comment ref="E241" authorId="0" shapeId="0">
      <text>
        <r>
          <rPr>
            <b/>
            <sz val="10"/>
            <rFont val="宋体"/>
            <family val="3"/>
            <charset val="134"/>
          </rPr>
          <t>=SUM(R[-4]C:R[-1]C)
F:M</t>
        </r>
      </text>
    </comment>
    <comment ref="J269" authorId="0" shapeId="0">
      <text>
        <r>
          <rPr>
            <b/>
            <sz val="9"/>
            <rFont val="Tahoma"/>
            <family val="2"/>
          </rPr>
          <t>=OFFSET(INDEX(Sheet_Presc,MATCH((RIGHT(RC4,2)),Sheet_Prescrow,0),MATCH((LEFT(RC4,2)),Sheet_Presccol,0)),0,(COLUMNS(Sheet_Presccol)-2)/2)</t>
        </r>
      </text>
    </comment>
    <comment ref="E367" authorId="0" shapeId="0">
      <text>
        <r>
          <rPr>
            <b/>
            <sz val="10"/>
            <rFont val="宋体"/>
            <family val="3"/>
            <charset val="134"/>
          </rPr>
          <t>=SUM(R[-4]C:R[-1]C)
F:M</t>
        </r>
      </text>
    </comment>
    <comment ref="E372" authorId="0" shapeId="0">
      <text>
        <r>
          <rPr>
            <b/>
            <sz val="10"/>
            <rFont val="宋体"/>
            <family val="3"/>
            <charset val="134"/>
          </rPr>
          <t>=SUM(R[1]C:R[3]C)
F:M</t>
        </r>
      </text>
    </comment>
    <comment ref="E382" authorId="0" shapeId="0">
      <text>
        <r>
          <rPr>
            <b/>
            <sz val="10"/>
            <rFont val="宋体"/>
            <family val="3"/>
            <charset val="134"/>
          </rPr>
          <t>=SUM(R[1]C:R[2]C)
F:M</t>
        </r>
      </text>
    </comment>
    <comment ref="E393" authorId="0" shapeId="0">
      <text>
        <r>
          <rPr>
            <b/>
            <sz val="10"/>
            <rFont val="宋体"/>
            <family val="3"/>
            <charset val="134"/>
          </rPr>
          <t>=SUM(R[-14]C,R[-13]C)
F:M</t>
        </r>
      </text>
    </comment>
    <comment ref="E400" authorId="0" shapeId="0">
      <text>
        <r>
          <rPr>
            <b/>
            <sz val="10"/>
            <rFont val="宋体"/>
            <family val="3"/>
            <charset val="134"/>
          </rPr>
          <t>=SUM(R[-4]C:R[-1]C)
F:M</t>
        </r>
      </text>
    </comment>
    <comment ref="E405" authorId="0" shapeId="0">
      <text>
        <r>
          <rPr>
            <b/>
            <sz val="10"/>
            <rFont val="宋体"/>
            <family val="3"/>
            <charset val="134"/>
          </rPr>
          <t>=SUM(R[1]C:R[3]C)
F:M</t>
        </r>
      </text>
    </comment>
    <comment ref="E426" authorId="0" shapeId="0">
      <text>
        <r>
          <rPr>
            <b/>
            <sz val="10"/>
            <rFont val="宋体"/>
            <family val="3"/>
            <charset val="134"/>
          </rPr>
          <t>=SUM(R[-12]C,R[-11]C)
F:M</t>
        </r>
      </text>
    </comment>
    <comment ref="G435" authorId="0" shapeId="0">
      <text>
        <r>
          <rPr>
            <b/>
            <sz val="9"/>
            <rFont val="宋体"/>
            <family val="3"/>
            <charset val="134"/>
          </rPr>
          <t>胡晓明</t>
        </r>
        <r>
          <rPr>
            <b/>
            <sz val="9"/>
            <rFont val="Tahoma"/>
            <family val="2"/>
          </rPr>
          <t>:</t>
        </r>
        <r>
          <rPr>
            <sz val="9"/>
            <rFont val="Tahoma"/>
            <family val="2"/>
          </rPr>
          <t xml:space="preserve">
</t>
        </r>
        <r>
          <rPr>
            <sz val="9"/>
            <rFont val="宋体"/>
            <family val="3"/>
            <charset val="134"/>
          </rPr>
          <t>取</t>
        </r>
        <r>
          <rPr>
            <sz val="9"/>
            <rFont val="Tahoma"/>
            <family val="2"/>
          </rPr>
          <t xml:space="preserve"> 6829</t>
        </r>
      </text>
    </comment>
    <comment ref="E464" authorId="0" shapeId="0">
      <text>
        <r>
          <rPr>
            <b/>
            <sz val="10"/>
            <rFont val="宋体"/>
            <family val="3"/>
            <charset val="134"/>
          </rPr>
          <t>=SUM(R[-4]C:R[-1]C)
F:M</t>
        </r>
      </text>
    </comment>
    <comment ref="E465" authorId="0" shapeId="0">
      <text>
        <r>
          <rPr>
            <b/>
            <sz val="10"/>
            <rFont val="宋体"/>
            <family val="3"/>
            <charset val="134"/>
          </rPr>
          <t>=SUM(R[1]C,R[3]C,R[6]C)
F:M</t>
        </r>
      </text>
    </comment>
    <comment ref="E486" authorId="0" shapeId="0">
      <text>
        <r>
          <rPr>
            <b/>
            <sz val="10"/>
            <rFont val="宋体"/>
            <family val="3"/>
            <charset val="134"/>
          </rPr>
          <t>=SUM(R[1]C:R[2]C)
F:M</t>
        </r>
      </text>
    </comment>
    <comment ref="E490" authorId="0" shapeId="0">
      <text>
        <r>
          <rPr>
            <b/>
            <sz val="10"/>
            <rFont val="宋体"/>
            <family val="3"/>
            <charset val="134"/>
          </rPr>
          <t>=SUM(R[-8]C,R[-7]C)
F:M</t>
        </r>
      </text>
    </comment>
    <comment ref="E497" authorId="0" shapeId="0">
      <text>
        <r>
          <rPr>
            <b/>
            <sz val="10"/>
            <rFont val="宋体"/>
            <family val="3"/>
            <charset val="134"/>
          </rPr>
          <t>=SUM(R[-4]C:R[-1]C)
F:M</t>
        </r>
      </text>
    </comment>
    <comment ref="E502" authorId="0" shapeId="0">
      <text>
        <r>
          <rPr>
            <b/>
            <sz val="10"/>
            <rFont val="宋体"/>
            <family val="3"/>
            <charset val="134"/>
          </rPr>
          <t>=SUM(R[1]C)
F:M</t>
        </r>
      </text>
    </comment>
    <comment ref="E507" authorId="0" shapeId="0">
      <text>
        <r>
          <rPr>
            <b/>
            <sz val="10"/>
            <rFont val="宋体"/>
            <family val="3"/>
            <charset val="134"/>
          </rPr>
          <t>=SUM(R[1]C:R[3]C)
F:M</t>
        </r>
      </text>
    </comment>
    <comment ref="E523" authorId="0" shapeId="0">
      <text>
        <r>
          <rPr>
            <b/>
            <sz val="10"/>
            <rFont val="宋体"/>
            <family val="3"/>
            <charset val="134"/>
          </rPr>
          <t>=SUM(R[-13]C,R[-12]C)
F:M</t>
        </r>
      </text>
    </comment>
    <comment ref="E530" authorId="0" shapeId="0">
      <text>
        <r>
          <rPr>
            <b/>
            <sz val="10"/>
            <rFont val="宋体"/>
            <family val="3"/>
            <charset val="134"/>
          </rPr>
          <t>=SUM(R[-4]C:R[-1]C)
F:M</t>
        </r>
      </text>
    </comment>
    <comment ref="E545" authorId="0" shapeId="0">
      <text>
        <r>
          <rPr>
            <b/>
            <sz val="10"/>
            <rFont val="宋体"/>
            <family val="3"/>
            <charset val="134"/>
          </rPr>
          <t>=SUM(R[1]C)
F:M</t>
        </r>
      </text>
    </comment>
    <comment ref="E556" authorId="0" shapeId="0">
      <text>
        <r>
          <rPr>
            <b/>
            <sz val="10"/>
            <rFont val="宋体"/>
            <family val="3"/>
            <charset val="134"/>
          </rPr>
          <t>=SUM(R[-10]C,R[-9]C)
F:M</t>
        </r>
      </text>
    </comment>
    <comment ref="E563" authorId="0" shapeId="0">
      <text>
        <r>
          <rPr>
            <b/>
            <sz val="10"/>
            <rFont val="宋体"/>
            <family val="3"/>
            <charset val="134"/>
          </rPr>
          <t>=SUM(R[-4]C:R[-1]C)
F:M</t>
        </r>
      </text>
    </comment>
    <comment ref="G565" authorId="0" shapeId="0">
      <text>
        <r>
          <rPr>
            <b/>
            <sz val="10"/>
            <rFont val="宋体"/>
            <family val="3"/>
            <charset val="134"/>
          </rPr>
          <t>=SUM(VLOOKUP(6799,Sheet_Trialbal,4,0))</t>
        </r>
      </text>
    </comment>
    <comment ref="H565" authorId="0" shapeId="0">
      <text>
        <r>
          <rPr>
            <b/>
            <sz val="10"/>
            <rFont val="宋体"/>
            <family val="3"/>
            <charset val="134"/>
          </rPr>
          <t>=SUM(VLOOKUP(6799,Sheet_Trialbal,5,0))</t>
        </r>
      </text>
    </comment>
    <comment ref="K565" authorId="0" shapeId="0">
      <text>
        <r>
          <rPr>
            <b/>
            <sz val="10"/>
            <rFont val="宋体"/>
            <family val="3"/>
            <charset val="134"/>
          </rPr>
          <t>=SUM(VLOOKUP(6799,Sheet_Trialbal,8,0))</t>
        </r>
      </text>
    </comment>
    <comment ref="L565" authorId="0" shapeId="0">
      <text>
        <r>
          <rPr>
            <b/>
            <sz val="10"/>
            <rFont val="宋体"/>
            <family val="3"/>
            <charset val="134"/>
          </rPr>
          <t>=SUM(VLOOKUP(6799,Sheet_Trialbal,9,0))</t>
        </r>
      </text>
    </comment>
    <comment ref="G567" authorId="0" shapeId="0">
      <text>
        <r>
          <rPr>
            <b/>
            <sz val="10"/>
            <rFont val="宋体"/>
            <family val="3"/>
            <charset val="134"/>
          </rPr>
          <t>=SUM(VLOOKUP(6799,Sheet_Trialbal,4,0))</t>
        </r>
      </text>
    </comment>
    <comment ref="H567" authorId="0" shapeId="0">
      <text>
        <r>
          <rPr>
            <b/>
            <sz val="10"/>
            <rFont val="宋体"/>
            <family val="3"/>
            <charset val="134"/>
          </rPr>
          <t>=SUM(VLOOKUP(6799,Sheet_Trialbal,5,0))</t>
        </r>
      </text>
    </comment>
    <comment ref="K567" authorId="0" shapeId="0">
      <text>
        <r>
          <rPr>
            <b/>
            <sz val="10"/>
            <rFont val="宋体"/>
            <family val="3"/>
            <charset val="134"/>
          </rPr>
          <t>=SUM(VLOOKUP(6799,Sheet_Trialbal,8,0))</t>
        </r>
      </text>
    </comment>
    <comment ref="L567" authorId="0" shapeId="0">
      <text>
        <r>
          <rPr>
            <b/>
            <sz val="10"/>
            <rFont val="宋体"/>
            <family val="3"/>
            <charset val="134"/>
          </rPr>
          <t>=SUM(VLOOKUP(6799,Sheet_Trialbal,9,0))</t>
        </r>
      </text>
    </comment>
    <comment ref="E568" authorId="0" shapeId="0">
      <text>
        <r>
          <rPr>
            <b/>
            <sz val="10"/>
            <rFont val="宋体"/>
            <family val="3"/>
            <charset val="134"/>
          </rPr>
          <t>=SUM(R[1]C)
F:M</t>
        </r>
      </text>
    </comment>
    <comment ref="E573" authorId="0" shapeId="0">
      <text>
        <r>
          <rPr>
            <b/>
            <sz val="10"/>
            <rFont val="宋体"/>
            <family val="3"/>
            <charset val="134"/>
          </rPr>
          <t>=SUM(R[1]C:R[4]C)
F:M</t>
        </r>
      </text>
    </comment>
    <comment ref="E585" authorId="0" shapeId="0">
      <text>
        <r>
          <rPr>
            <b/>
            <sz val="10"/>
            <rFont val="宋体"/>
            <family val="3"/>
            <charset val="134"/>
          </rPr>
          <t>=SUM(R[1]C:R[2]C)
F:M</t>
        </r>
      </text>
    </comment>
    <comment ref="E589" authorId="0" shapeId="0">
      <text>
        <r>
          <rPr>
            <b/>
            <sz val="10"/>
            <rFont val="宋体"/>
            <family val="3"/>
            <charset val="134"/>
          </rPr>
          <t>=SUM(R[-18]C,R[-17]C)
F:M</t>
        </r>
      </text>
    </comment>
    <comment ref="E596" authorId="0" shapeId="0">
      <text>
        <r>
          <rPr>
            <b/>
            <sz val="10"/>
            <rFont val="宋体"/>
            <family val="3"/>
            <charset val="134"/>
          </rPr>
          <t>=SUM(R[-4]C:R[-1]C)
F:M</t>
        </r>
      </text>
    </comment>
    <comment ref="E597" authorId="0" shapeId="0">
      <text>
        <r>
          <rPr>
            <b/>
            <sz val="10"/>
            <rFont val="宋体"/>
            <family val="3"/>
            <charset val="134"/>
          </rPr>
          <t>=SUM(R[3]C,R[4]C,R[8]C,R[13]C,R[18]C,R[21]C)
F:M</t>
        </r>
      </text>
    </comment>
    <comment ref="E600" authorId="0" shapeId="0">
      <text>
        <r>
          <rPr>
            <b/>
            <sz val="10"/>
            <rFont val="宋体"/>
            <family val="3"/>
            <charset val="134"/>
          </rPr>
          <t>=SUM(R[-2]C:R[-1]C)
F:M</t>
        </r>
      </text>
    </comment>
    <comment ref="E601" authorId="0" shapeId="0">
      <text>
        <r>
          <rPr>
            <b/>
            <sz val="10"/>
            <rFont val="宋体"/>
            <family val="3"/>
            <charset val="134"/>
          </rPr>
          <t>=SUM(R[1]C:R[3]C)
F:M</t>
        </r>
      </text>
    </comment>
    <comment ref="E606" authorId="0" shapeId="0">
      <text>
        <r>
          <rPr>
            <b/>
            <sz val="10"/>
            <rFont val="宋体"/>
            <family val="3"/>
            <charset val="134"/>
          </rPr>
          <t>=SUM(R[1]C:R[4]C)
F:M</t>
        </r>
      </text>
    </comment>
    <comment ref="E611" authorId="0" shapeId="0">
      <text>
        <r>
          <rPr>
            <b/>
            <sz val="10"/>
            <rFont val="宋体"/>
            <family val="3"/>
            <charset val="134"/>
          </rPr>
          <t>=SUM(R[1]C:R[4]C)
F:M</t>
        </r>
      </text>
    </comment>
    <comment ref="E618" authorId="0" shapeId="0">
      <text>
        <r>
          <rPr>
            <b/>
            <sz val="10"/>
            <rFont val="宋体"/>
            <family val="3"/>
            <charset val="134"/>
          </rPr>
          <t>=SUM(R[1]C:R[2]C)
F:M</t>
        </r>
      </text>
    </comment>
    <comment ref="E622" authorId="0" shapeId="0">
      <text>
        <r>
          <rPr>
            <b/>
            <sz val="10"/>
            <rFont val="宋体"/>
            <family val="3"/>
            <charset val="134"/>
          </rPr>
          <t>=SUM(R[-23]C,R[-22]C)
F:M</t>
        </r>
      </text>
    </comment>
    <comment ref="E629" authorId="0" shapeId="0">
      <text>
        <r>
          <rPr>
            <b/>
            <sz val="10"/>
            <rFont val="宋体"/>
            <family val="3"/>
            <charset val="134"/>
          </rPr>
          <t>=SUM(R[-4]C:R[-1]C)
F:M</t>
        </r>
      </text>
    </comment>
    <comment ref="E633" authorId="0" shapeId="0">
      <text>
        <r>
          <rPr>
            <b/>
            <sz val="10"/>
            <rFont val="宋体"/>
            <family val="3"/>
            <charset val="134"/>
          </rPr>
          <t>=SUM(R[-2]C:R[-1]C)
F:M</t>
        </r>
      </text>
    </comment>
    <comment ref="E634" authorId="0" shapeId="0">
      <text>
        <r>
          <rPr>
            <b/>
            <sz val="10"/>
            <rFont val="宋体"/>
            <family val="3"/>
            <charset val="134"/>
          </rPr>
          <t>=SUM(R[1]C:R[3]C)
F:M</t>
        </r>
      </text>
    </comment>
    <comment ref="E639" authorId="0" shapeId="0">
      <text>
        <r>
          <rPr>
            <b/>
            <sz val="10"/>
            <rFont val="宋体"/>
            <family val="3"/>
            <charset val="134"/>
          </rPr>
          <t>=SUM(R[1]C:R[2]C)
F:M</t>
        </r>
      </text>
    </comment>
    <comment ref="E651" authorId="0" shapeId="0">
      <text>
        <r>
          <rPr>
            <b/>
            <sz val="10"/>
            <rFont val="宋体"/>
            <family val="3"/>
            <charset val="134"/>
          </rPr>
          <t>=SUM(R[1]C:R[2]C)
F:M</t>
        </r>
      </text>
    </comment>
    <comment ref="E655" authorId="0" shapeId="0">
      <text>
        <r>
          <rPr>
            <b/>
            <sz val="10"/>
            <rFont val="宋体"/>
            <family val="3"/>
            <charset val="134"/>
          </rPr>
          <t>=SUM(R[-16]C,R[-15]C)
F:M</t>
        </r>
      </text>
    </comment>
    <comment ref="F657" authorId="0" shapeId="0">
      <text>
        <r>
          <rPr>
            <b/>
            <sz val="10"/>
            <rFont val="宋体"/>
            <family val="3"/>
            <charset val="134"/>
          </rPr>
          <t>=VLOOKUP(RC4,Sheet_Precf,4,0)
347:402</t>
        </r>
      </text>
    </comment>
    <comment ref="G657" authorId="0" shapeId="0">
      <text>
        <r>
          <rPr>
            <b/>
            <sz val="10"/>
            <rFont val="宋体"/>
            <family val="3"/>
            <charset val="134"/>
          </rPr>
          <t>=SUMIF(CFJE!C2,RC3&amp;RC4&amp;"*",CFJE!C18)
347:402</t>
        </r>
      </text>
    </comment>
    <comment ref="H657" authorId="0" shapeId="0">
      <text>
        <r>
          <rPr>
            <b/>
            <sz val="10"/>
            <rFont val="宋体"/>
            <family val="3"/>
            <charset val="134"/>
          </rPr>
          <t>=SUMIF(CFJE!C2,RC3&amp;RC4&amp;"*",CFJE!C19)
347:402</t>
        </r>
      </text>
    </comment>
    <comment ref="I657" authorId="0" shapeId="0">
      <text>
        <r>
          <rPr>
            <b/>
            <sz val="10"/>
            <rFont val="宋体"/>
            <family val="3"/>
            <charset val="134"/>
          </rPr>
          <t>=(RC[-6]*RC[-3]+RC[-2]-RC[-1])*RC[-6]
347:402</t>
        </r>
      </text>
    </comment>
    <comment ref="J657" authorId="0" shapeId="0">
      <text>
        <r>
          <rPr>
            <b/>
            <sz val="10"/>
            <rFont val="宋体"/>
            <family val="3"/>
            <charset val="134"/>
          </rPr>
          <t>=VLOOKUP(RC4,Sheet_Precf,5,0)
347:402</t>
        </r>
      </text>
    </comment>
    <comment ref="M657" authorId="0" shapeId="0">
      <text>
        <r>
          <rPr>
            <b/>
            <sz val="10"/>
            <rFont val="宋体"/>
            <family val="3"/>
            <charset val="134"/>
          </rPr>
          <t>=(RC2*RC[-3]+RC[-2]-RC[-1])*RC2
347:402</t>
        </r>
      </text>
    </comment>
    <comment ref="E671" authorId="0" shapeId="0">
      <text>
        <r>
          <rPr>
            <b/>
            <sz val="10"/>
            <rFont val="宋体"/>
            <family val="3"/>
            <charset val="134"/>
          </rPr>
          <t>=SUM(R[-13]C:R[-1]C)
F:M</t>
        </r>
      </text>
    </comment>
    <comment ref="E682" authorId="0" shapeId="0">
      <text>
        <r>
          <rPr>
            <b/>
            <sz val="10"/>
            <rFont val="宋体"/>
            <family val="3"/>
            <charset val="134"/>
          </rPr>
          <t>=SUM(R[-9]C:R[-1]C)
F:M</t>
        </r>
      </text>
    </comment>
    <comment ref="E683" authorId="0" shapeId="0">
      <text>
        <r>
          <rPr>
            <b/>
            <sz val="10"/>
            <rFont val="宋体"/>
            <family val="3"/>
            <charset val="134"/>
          </rPr>
          <t>=SUM(R[-11]C,-R[-1]C)
F:M</t>
        </r>
      </text>
    </comment>
    <comment ref="G683" authorId="0" shapeId="0">
      <text>
        <r>
          <rPr>
            <b/>
            <sz val="10"/>
            <rFont val="宋体"/>
            <family val="3"/>
            <charset val="134"/>
          </rPr>
          <t>=SUM(R[-11]C,R[-1]C)</t>
        </r>
      </text>
    </comment>
    <comment ref="H683" authorId="0" shapeId="0">
      <text>
        <r>
          <rPr>
            <b/>
            <sz val="10"/>
            <rFont val="宋体"/>
            <family val="3"/>
            <charset val="134"/>
          </rPr>
          <t>=SUM(R[-11]C,R[-1]C)</t>
        </r>
      </text>
    </comment>
    <comment ref="E690" authorId="0" shapeId="0">
      <text>
        <r>
          <rPr>
            <b/>
            <sz val="10"/>
            <rFont val="宋体"/>
            <family val="3"/>
            <charset val="134"/>
          </rPr>
          <t>=SUM(R[-5]C:R[-1]C)
F:M</t>
        </r>
      </text>
    </comment>
    <comment ref="E696" authorId="0" shapeId="0">
      <text>
        <r>
          <rPr>
            <b/>
            <sz val="10"/>
            <rFont val="宋体"/>
            <family val="3"/>
            <charset val="134"/>
          </rPr>
          <t>=SUM(R[-5]C:R[-1]C)
F:M</t>
        </r>
      </text>
    </comment>
    <comment ref="E697" authorId="0" shapeId="0">
      <text>
        <r>
          <rPr>
            <b/>
            <sz val="10"/>
            <rFont val="宋体"/>
            <family val="3"/>
            <charset val="134"/>
          </rPr>
          <t>=SUM(R[-7]C,-R[-1]C)
F:M</t>
        </r>
      </text>
    </comment>
    <comment ref="G697" authorId="0" shapeId="0">
      <text>
        <r>
          <rPr>
            <b/>
            <sz val="10"/>
            <rFont val="宋体"/>
            <family val="3"/>
            <charset val="134"/>
          </rPr>
          <t>=SUM(R[-7]C,R[-1]C)</t>
        </r>
      </text>
    </comment>
    <comment ref="H697" authorId="0" shapeId="0">
      <text>
        <r>
          <rPr>
            <b/>
            <sz val="10"/>
            <rFont val="宋体"/>
            <family val="3"/>
            <charset val="134"/>
          </rPr>
          <t>=SUM(R[-7]C,R[-1]C)</t>
        </r>
      </text>
    </comment>
    <comment ref="E703" authorId="0" shapeId="0">
      <text>
        <r>
          <rPr>
            <b/>
            <sz val="10"/>
            <rFont val="宋体"/>
            <family val="3"/>
            <charset val="134"/>
          </rPr>
          <t>=SUM(R[-5]C,R[-3]C:R[-1]C)
F:M</t>
        </r>
      </text>
    </comment>
    <comment ref="E708" authorId="0" shapeId="0">
      <text>
        <r>
          <rPr>
            <b/>
            <sz val="10"/>
            <rFont val="宋体"/>
            <family val="3"/>
            <charset val="134"/>
          </rPr>
          <t>=SUM(R[-4]C:R[-3]C,R[-1]C)
F:M</t>
        </r>
      </text>
    </comment>
    <comment ref="E709" authorId="0" shapeId="0">
      <text>
        <r>
          <rPr>
            <b/>
            <sz val="10"/>
            <rFont val="宋体"/>
            <family val="3"/>
            <charset val="134"/>
          </rPr>
          <t>=SUM(R[-6]C,-R[-1]C)
F:M</t>
        </r>
      </text>
    </comment>
    <comment ref="G709" authorId="0" shapeId="0">
      <text>
        <r>
          <rPr>
            <b/>
            <sz val="10"/>
            <rFont val="宋体"/>
            <family val="3"/>
            <charset val="134"/>
          </rPr>
          <t>=SUM(R[-6]C,R[-1]C)</t>
        </r>
      </text>
    </comment>
    <comment ref="H709" authorId="0" shapeId="0">
      <text>
        <r>
          <rPr>
            <b/>
            <sz val="10"/>
            <rFont val="宋体"/>
            <family val="3"/>
            <charset val="134"/>
          </rPr>
          <t>=SUM(R[-6]C,R[-1]C)</t>
        </r>
      </text>
    </comment>
    <comment ref="E711" authorId="0" shapeId="0">
      <text>
        <r>
          <rPr>
            <b/>
            <sz val="10"/>
            <rFont val="宋体"/>
            <family val="3"/>
            <charset val="134"/>
          </rPr>
          <t>=SUM(R[-29]C,R[-15]C,R[-2]C,R[-1]C)
F:M</t>
        </r>
      </text>
    </comment>
    <comment ref="E713" authorId="0" shapeId="0">
      <text>
        <r>
          <rPr>
            <b/>
            <sz val="10"/>
            <rFont val="宋体"/>
            <family val="3"/>
            <charset val="134"/>
          </rPr>
          <t>=SUM(R[-2]C,R[-1]C)
F:M</t>
        </r>
      </text>
    </comment>
    <comment ref="F717" authorId="0" shapeId="0">
      <text>
        <r>
          <rPr>
            <b/>
            <sz val="10"/>
            <rFont val="宋体"/>
            <family val="3"/>
            <charset val="134"/>
          </rPr>
          <t>=VLOOKUP(RC4,Sheet_Prebs3,4,0)
404:419</t>
        </r>
      </text>
    </comment>
    <comment ref="G717" authorId="0" shapeId="0">
      <text>
        <r>
          <rPr>
            <b/>
            <sz val="10"/>
            <rFont val="宋体"/>
            <family val="3"/>
            <charset val="134"/>
          </rPr>
          <t>=SUMIF(AJE!C2,RC3&amp;RC4&amp;"*",AJE!C14)
404:419</t>
        </r>
      </text>
    </comment>
    <comment ref="H717" authorId="0" shapeId="0">
      <text>
        <r>
          <rPr>
            <b/>
            <sz val="10"/>
            <rFont val="宋体"/>
            <family val="3"/>
            <charset val="134"/>
          </rPr>
          <t>=SUMIF(AJE!C2,RC3&amp;RC4&amp;"*",AJE!C15)
404:419</t>
        </r>
      </text>
    </comment>
    <comment ref="I717" authorId="0" shapeId="0">
      <text>
        <r>
          <rPr>
            <b/>
            <sz val="10"/>
            <rFont val="宋体"/>
            <family val="3"/>
            <charset val="134"/>
          </rPr>
          <t>=(RC2*RC[-3]+RC[-2]-RC[-1])*RC2
404:419</t>
        </r>
      </text>
    </comment>
    <comment ref="J717" authorId="0" shapeId="0">
      <text>
        <r>
          <rPr>
            <b/>
            <sz val="10"/>
            <rFont val="宋体"/>
            <family val="3"/>
            <charset val="134"/>
          </rPr>
          <t>=VLOOKUP(RC4,Sheet_Prebs3,5,0)
404:419</t>
        </r>
      </text>
    </comment>
    <comment ref="K717" authorId="0" shapeId="0">
      <text>
        <r>
          <rPr>
            <b/>
            <sz val="10"/>
            <rFont val="宋体"/>
            <family val="3"/>
            <charset val="134"/>
          </rPr>
          <t>=SUMIF(AJE1!C2,RC3&amp;RC4&amp;"*",AJE1!C14)
404:419</t>
        </r>
      </text>
    </comment>
    <comment ref="L717" authorId="0" shapeId="0">
      <text>
        <r>
          <rPr>
            <b/>
            <sz val="10"/>
            <rFont val="宋体"/>
            <family val="3"/>
            <charset val="134"/>
          </rPr>
          <t>=SUMIF(AJE1!C2,RC3&amp;RC4&amp;"*",AJE1!C15)
404:419</t>
        </r>
      </text>
    </comment>
    <comment ref="M717" authorId="0" shapeId="0">
      <text>
        <r>
          <rPr>
            <b/>
            <sz val="10"/>
            <rFont val="宋体"/>
            <family val="3"/>
            <charset val="134"/>
          </rPr>
          <t>=(RC2*RC[-3]+RC[-2]-RC[-1])*RC2
404:419</t>
        </r>
      </text>
    </comment>
    <comment ref="E734" authorId="0" shapeId="0">
      <text>
        <r>
          <rPr>
            <b/>
            <sz val="10"/>
            <rFont val="宋体"/>
            <family val="3"/>
            <charset val="134"/>
          </rPr>
          <t>=SUM(R[-16]C:R[-1]C)
F:M</t>
        </r>
      </text>
    </comment>
    <comment ref="G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 ref="K736" authorId="0" shapeId="0">
      <text>
        <r>
          <rPr>
            <b/>
            <sz val="9"/>
            <rFont val="宋体"/>
            <family val="3"/>
            <charset val="134"/>
          </rPr>
          <t>胡晓明:</t>
        </r>
        <r>
          <rPr>
            <sz val="9"/>
            <rFont val="宋体"/>
            <family val="3"/>
            <charset val="134"/>
          </rPr>
          <t xml:space="preserve">
点击“报表---个别报表---生成合并用数据”，则可在此列填充 CF 表列数与“调整后金额”的差额。</t>
        </r>
      </text>
    </comment>
  </commentList>
</comments>
</file>

<file path=xl/comments14.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5.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6.xml><?xml version="1.0" encoding="utf-8"?>
<comments xmlns="http://schemas.openxmlformats.org/spreadsheetml/2006/main">
  <authors>
    <author>胡晓明</author>
    <author>admin</author>
  </authors>
  <commentList>
    <comment ref="I9" authorId="0" shapeId="0">
      <text>
        <r>
          <rPr>
            <b/>
            <sz val="10"/>
            <rFont val="宋体"/>
            <family val="3"/>
            <charset val="134"/>
          </rPr>
          <t>胡晓明:</t>
        </r>
        <r>
          <rPr>
            <sz val="10"/>
            <rFont val="宋体"/>
            <family val="3"/>
            <charset val="134"/>
          </rPr>
          <t xml:space="preserve">
1、调整分录的第1行，供输入分录号和摘要之用。
2、请在此输入调整分录号，每笔分录只须输入一个分录号，不必在每行输入。
3、输入一笔分录后，留一空行，然后再输入下一笔分录，并在第1行（指相对于该笔调整分录区的第1行）输入分录号和摘要，依此类推。
</t>
        </r>
      </text>
    </comment>
    <comment ref="J9" authorId="0" shapeId="0">
      <text>
        <r>
          <rPr>
            <b/>
            <sz val="10"/>
            <rFont val="宋体"/>
            <family val="3"/>
            <charset val="134"/>
          </rPr>
          <t>胡晓明:</t>
        </r>
        <r>
          <rPr>
            <sz val="10"/>
            <rFont val="宋体"/>
            <family val="3"/>
            <charset val="134"/>
          </rPr>
          <t xml:space="preserve">
1、调整分录的第1行，供输入分录号和摘要之用。
2、请在此输入摘要，每笔分录只须输入一个摘要，不必在每行输入。</t>
        </r>
        <r>
          <rPr>
            <sz val="10"/>
            <color indexed="10"/>
            <rFont val="宋体"/>
            <family val="3"/>
            <charset val="134"/>
          </rPr>
          <t>摘要只能在此单元格内输入，不可分几行输入。</t>
        </r>
        <r>
          <rPr>
            <sz val="10"/>
            <rFont val="宋体"/>
            <family val="3"/>
            <charset val="134"/>
          </rPr>
          <t xml:space="preserve">
3、输入一笔分录后，留一空行，然后再输入下一笔分录，并在第1行（指相对于该笔调整分录区的第1行）输入分录号和摘要，依此类推。
</t>
        </r>
      </text>
    </comment>
    <comment ref="Q9" authorId="1" shapeId="0">
      <text>
        <r>
          <rPr>
            <sz val="10"/>
            <color indexed="10"/>
            <rFont val="宋体"/>
            <family val="3"/>
            <charset val="134"/>
          </rPr>
          <t>此行及以上行不能删除！</t>
        </r>
      </text>
    </comment>
    <comment ref="Q10" authorId="1" shapeId="0">
      <text>
        <r>
          <rPr>
            <sz val="10"/>
            <color indexed="10"/>
            <rFont val="宋体"/>
            <family val="3"/>
            <charset val="134"/>
          </rPr>
          <t>此行及以上行不能删除！</t>
        </r>
      </text>
    </comment>
  </commentList>
</comments>
</file>

<file path=xl/comments17.xml><?xml version="1.0" encoding="utf-8"?>
<comments xmlns="http://schemas.openxmlformats.org/spreadsheetml/2006/main">
  <authors>
    <author>胡晓明</author>
  </authors>
  <commentList>
    <comment ref="A6" authorId="0" shapeId="0">
      <text>
        <r>
          <rPr>
            <b/>
            <sz val="10"/>
            <color indexed="81"/>
            <rFont val="宋体"/>
            <family val="3"/>
            <charset val="134"/>
          </rPr>
          <t>=IF(RC3="","",VLOOKUP(RC3,Sheet_Items,4,0))
6:39</t>
        </r>
      </text>
    </comment>
    <comment ref="B6" authorId="0" shapeId="0">
      <text>
        <r>
          <rPr>
            <b/>
            <sz val="10"/>
            <color indexed="81"/>
            <rFont val="宋体"/>
            <family val="3"/>
            <charset val="134"/>
          </rPr>
          <t>=IF(RC4="","",VLOOKUP(RC4,Sheet_Items,4,0))
6:39</t>
        </r>
      </text>
    </comment>
    <comment ref="E6" authorId="0" shapeId="0">
      <text>
        <r>
          <rPr>
            <b/>
            <sz val="10"/>
            <color indexed="81"/>
            <rFont val="宋体"/>
            <family val="3"/>
            <charset val="134"/>
          </rPr>
          <t>=IF(RC3="","",VLOOKUP(RC3,Sheet_Items,6,0))
6:39</t>
        </r>
      </text>
    </comment>
    <comment ref="G6" authorId="0" shapeId="0">
      <text>
        <r>
          <rPr>
            <b/>
            <sz val="10"/>
            <color indexed="81"/>
            <rFont val="宋体"/>
            <family val="3"/>
            <charset val="134"/>
          </rPr>
          <t>=IF(RC3="","",VLOOKUP(RC3,Sheet_Trialbal,6,0))
6:39</t>
        </r>
      </text>
    </comment>
    <comment ref="H6" authorId="0" shapeId="0">
      <text>
        <r>
          <rPr>
            <b/>
            <sz val="10"/>
            <color indexed="81"/>
            <rFont val="宋体"/>
            <family val="3"/>
            <charset val="134"/>
          </rPr>
          <t>=IF(RC3="","",VLOOKUP(RC3,Sheet_Trialbal,10,0))
6:39</t>
        </r>
      </text>
    </comment>
    <comment ref="I6" authorId="0" shapeId="0">
      <text>
        <r>
          <rPr>
            <b/>
            <sz val="10"/>
            <color indexed="81"/>
            <rFont val="宋体"/>
            <family val="3"/>
            <charset val="134"/>
          </rPr>
          <t>=IF(RC4="","",VLOOKUP(RC4,Sheet_Items,6,0))
6:39</t>
        </r>
      </text>
    </comment>
    <comment ref="K6" authorId="0" shapeId="0">
      <text>
        <r>
          <rPr>
            <b/>
            <sz val="10"/>
            <color indexed="81"/>
            <rFont val="宋体"/>
            <family val="3"/>
            <charset val="134"/>
          </rPr>
          <t>=IF(RC4="","",VLOOKUP(RC4,Sheet_Trialbal,6,0))
6:39</t>
        </r>
      </text>
    </comment>
    <comment ref="L6" authorId="0" shapeId="0">
      <text>
        <r>
          <rPr>
            <b/>
            <sz val="10"/>
            <color indexed="81"/>
            <rFont val="宋体"/>
            <family val="3"/>
            <charset val="134"/>
          </rPr>
          <t>=IF(RC4="","",VLOOKUP(RC4,Sheet_Trialbal,10,0))
6:39</t>
        </r>
      </text>
    </comment>
    <comment ref="E31" authorId="0" shapeId="0">
      <text>
        <r>
          <rPr>
            <b/>
            <sz val="10"/>
            <color indexed="81"/>
            <rFont val="宋体"/>
            <family val="3"/>
            <charset val="134"/>
          </rPr>
          <t>=SUM(R[-21]C:R[-1]C)
G:H</t>
        </r>
      </text>
    </comment>
    <comment ref="I31" authorId="0" shapeId="0">
      <text>
        <r>
          <rPr>
            <b/>
            <sz val="10"/>
            <color indexed="81"/>
            <rFont val="宋体"/>
            <family val="3"/>
            <charset val="134"/>
          </rPr>
          <t>=SUM(R[-21]C:R[-1]C)
K:L</t>
        </r>
      </text>
    </comment>
    <comment ref="I44" authorId="0" shapeId="0">
      <text>
        <r>
          <rPr>
            <b/>
            <sz val="10"/>
            <color indexed="81"/>
            <rFont val="宋体"/>
            <family val="3"/>
            <charset val="134"/>
          </rPr>
          <t>=SUM(R[-7]C:R[-1]C)
K:L</t>
        </r>
      </text>
    </comment>
    <comment ref="I45" authorId="0" shapeId="0">
      <text>
        <r>
          <rPr>
            <b/>
            <sz val="10"/>
            <color indexed="81"/>
            <rFont val="宋体"/>
            <family val="3"/>
            <charset val="134"/>
          </rPr>
          <t>=SUM(R[-10]C,R[-1]C)
K:L</t>
        </r>
      </text>
    </comment>
    <comment ref="E58" authorId="0" shapeId="0">
      <text>
        <r>
          <rPr>
            <b/>
            <sz val="10"/>
            <color indexed="81"/>
            <rFont val="宋体"/>
            <family val="3"/>
            <charset val="134"/>
          </rPr>
          <t>=SUM(R[-17]C:R[-1]C)
G:H</t>
        </r>
      </text>
    </comment>
    <comment ref="I58" authorId="0" shapeId="0">
      <text>
        <r>
          <rPr>
            <b/>
            <sz val="10"/>
            <color indexed="81"/>
            <rFont val="宋体"/>
            <family val="3"/>
            <charset val="134"/>
          </rPr>
          <t>=SUM(R[-7]C:R[-6]C,-R[-5]C,R[-4]C:R[-1]C)
K:L</t>
        </r>
      </text>
    </comment>
    <comment ref="E59" authorId="0" shapeId="0">
      <text>
        <r>
          <rPr>
            <b/>
            <sz val="10"/>
            <color indexed="81"/>
            <rFont val="宋体"/>
            <family val="3"/>
            <charset val="134"/>
          </rPr>
          <t>=SUM(R[-20]C,R[-1]C)
G:H</t>
        </r>
      </text>
    </comment>
    <comment ref="I59" authorId="0" shapeId="0">
      <text>
        <r>
          <rPr>
            <b/>
            <sz val="10"/>
            <color indexed="81"/>
            <rFont val="宋体"/>
            <family val="3"/>
            <charset val="134"/>
          </rPr>
          <t>=SUM(R[-10]C,R[-1]C)
K:L</t>
        </r>
      </text>
    </comment>
  </commentList>
</comments>
</file>

<file path=xl/comments18.xml><?xml version="1.0" encoding="utf-8"?>
<comments xmlns="http://schemas.openxmlformats.org/spreadsheetml/2006/main">
  <authors>
    <author>胡晓明</author>
    <author>王</author>
  </authors>
  <commentList>
    <comment ref="A6" authorId="0" shapeId="0">
      <text>
        <r>
          <rPr>
            <b/>
            <sz val="10"/>
            <color indexed="81"/>
            <rFont val="宋体"/>
            <family val="3"/>
            <charset val="134"/>
          </rPr>
          <t>=VLOOKUP(RC2,Sheet_Items,4,0)
7:28</t>
        </r>
      </text>
    </comment>
    <comment ref="C6" authorId="0" shapeId="0">
      <text>
        <r>
          <rPr>
            <b/>
            <sz val="10"/>
            <color indexed="81"/>
            <rFont val="宋体"/>
            <family val="3"/>
            <charset val="134"/>
          </rPr>
          <t>=VLOOKUP(RC2,Sheet_Items,6,0)
7:28</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38" authorId="0" shapeId="0">
      <text>
        <r>
          <rPr>
            <b/>
            <sz val="10"/>
            <color indexed="81"/>
            <rFont val="宋体"/>
            <family val="3"/>
            <charset val="134"/>
          </rPr>
          <t>=SUM(R[-10]C)-SUM(R[-9]C:R[-4]C)+SUM(R[-3]C:R[-2]C)
E:F</t>
        </r>
      </text>
    </comment>
    <comment ref="C41" authorId="0" shapeId="0">
      <text>
        <r>
          <rPr>
            <b/>
            <sz val="10"/>
            <color indexed="81"/>
            <rFont val="宋体"/>
            <family val="3"/>
            <charset val="134"/>
          </rPr>
          <t>=SUM(R[-4]C,R[-3]C,-R[-2]C)
E:F</t>
        </r>
      </text>
    </comment>
    <comment ref="C43" authorId="0" shapeId="0">
      <text>
        <r>
          <rPr>
            <b/>
            <sz val="10"/>
            <color indexed="81"/>
            <rFont val="宋体"/>
            <family val="3"/>
            <charset val="134"/>
          </rPr>
          <t>=SUM(R[-2]C,-R[-1]C)
E:F</t>
        </r>
      </text>
    </comment>
    <comment ref="C65" authorId="0" shapeId="0">
      <text>
        <r>
          <rPr>
            <b/>
            <sz val="10"/>
            <color indexed="81"/>
            <rFont val="宋体"/>
            <family val="3"/>
            <charset val="134"/>
          </rPr>
          <t>=SUM(R[-5]C,R[-1]C)
E:F</t>
        </r>
      </text>
    </comment>
    <comment ref="C66" authorId="0" shapeId="0">
      <text>
        <r>
          <rPr>
            <sz val="10"/>
            <color indexed="81"/>
            <rFont val="宋体"/>
            <family val="3"/>
            <charset val="134"/>
          </rPr>
          <t xml:space="preserve">
编制合并报表的公司，只需计算、列报合并口径的基本每股收益和稀释每股收益，无需计算、列报母公司口径的基本每股收益和稀释每股收益。</t>
        </r>
      </text>
    </comment>
    <comment ref="C67"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 ref="C68" authorId="1" shapeId="0">
      <text>
        <r>
          <rPr>
            <sz val="10"/>
            <color indexed="81"/>
            <rFont val="Tahoma"/>
            <family val="2"/>
          </rPr>
          <t xml:space="preserve">
</t>
        </r>
        <r>
          <rPr>
            <sz val="10"/>
            <color indexed="81"/>
            <rFont val="宋体"/>
            <family val="3"/>
            <charset val="134"/>
          </rPr>
          <t>注：编制合并报表的公司，只需计算、列报合并口径的基本每股收益和稀释每股收益，无需计算、列报母公司口径的基本每股收益和稀释每股收益。</t>
        </r>
      </text>
    </comment>
  </commentList>
</comments>
</file>

<file path=xl/comments19.xml><?xml version="1.0" encoding="utf-8"?>
<comments xmlns="http://schemas.openxmlformats.org/spreadsheetml/2006/main">
  <authors>
    <author>胡晓明</author>
  </authors>
  <commentList>
    <comment ref="A6" authorId="0" shapeId="0">
      <text>
        <r>
          <rPr>
            <b/>
            <sz val="10"/>
            <color indexed="81"/>
            <rFont val="宋体"/>
            <family val="3"/>
            <charset val="134"/>
          </rPr>
          <t>=VLOOKUP(RC2,Sheet_Items,4,0)
7:47</t>
        </r>
      </text>
    </comment>
    <comment ref="C6" authorId="0" shapeId="0">
      <text>
        <r>
          <rPr>
            <b/>
            <sz val="10"/>
            <color indexed="81"/>
            <rFont val="宋体"/>
            <family val="3"/>
            <charset val="134"/>
          </rPr>
          <t>=VLOOKUP(RC2,Sheet_Items,6,0)
7:47</t>
        </r>
      </text>
    </comment>
    <comment ref="E6" authorId="0" shapeId="0">
      <text>
        <r>
          <rPr>
            <b/>
            <sz val="10"/>
            <color indexed="81"/>
            <rFont val="宋体"/>
            <family val="3"/>
            <charset val="134"/>
          </rPr>
          <t>=IF(RC2="","",VLOOKUP(RC2,Sheet_Trialbal,6,0))
7:28</t>
        </r>
      </text>
    </comment>
    <comment ref="F6" authorId="0" shapeId="0">
      <text>
        <r>
          <rPr>
            <b/>
            <sz val="10"/>
            <color indexed="81"/>
            <rFont val="宋体"/>
            <family val="3"/>
            <charset val="134"/>
          </rPr>
          <t>=IF(RC2="","",VLOOKUP(RC2,Sheet_Trialbal,10,0))
7:28</t>
        </r>
      </text>
    </comment>
    <comment ref="C21" authorId="0" shapeId="0">
      <text>
        <r>
          <rPr>
            <b/>
            <sz val="10"/>
            <color indexed="81"/>
            <rFont val="宋体"/>
            <family val="3"/>
            <charset val="134"/>
          </rPr>
          <t>=SUM(R[-3]C:R[-1]C)
E:F</t>
        </r>
      </text>
    </comment>
    <comment ref="C32" authorId="0" shapeId="0">
      <text>
        <r>
          <rPr>
            <b/>
            <sz val="10"/>
            <color indexed="81"/>
            <rFont val="宋体"/>
            <family val="3"/>
            <charset val="134"/>
          </rPr>
          <t>=SUM(R[-4]C:R[-1]C)
E:F</t>
        </r>
      </text>
    </comment>
    <comment ref="C33" authorId="0" shapeId="0">
      <text>
        <r>
          <rPr>
            <b/>
            <sz val="10"/>
            <color indexed="81"/>
            <rFont val="宋体"/>
            <family val="3"/>
            <charset val="134"/>
          </rPr>
          <t>=SUM(R[-6]C,-R[-1]C)
E:F</t>
        </r>
      </text>
    </comment>
    <comment ref="C40" authorId="0" shapeId="0">
      <text>
        <r>
          <rPr>
            <b/>
            <sz val="10"/>
            <color indexed="81"/>
            <rFont val="宋体"/>
            <family val="3"/>
            <charset val="134"/>
          </rPr>
          <t>=SUM(R[-5]C:R[-1]C)
E:F</t>
        </r>
      </text>
    </comment>
    <comment ref="C46" authorId="0" shapeId="0">
      <text>
        <r>
          <rPr>
            <b/>
            <sz val="10"/>
            <color indexed="81"/>
            <rFont val="宋体"/>
            <family val="3"/>
            <charset val="134"/>
          </rPr>
          <t>=SUM(R[-4]C:R[-1]C)
E:F</t>
        </r>
      </text>
    </comment>
    <comment ref="C47" authorId="0" shapeId="0">
      <text>
        <r>
          <rPr>
            <b/>
            <sz val="10"/>
            <color indexed="81"/>
            <rFont val="宋体"/>
            <family val="3"/>
            <charset val="134"/>
          </rPr>
          <t>=SUM(R[-6]C,-R[-1]C)
E:F</t>
        </r>
      </text>
    </comment>
    <comment ref="C52" authorId="0" shapeId="0">
      <text>
        <r>
          <rPr>
            <b/>
            <sz val="10"/>
            <color indexed="81"/>
            <rFont val="宋体"/>
            <family val="3"/>
            <charset val="134"/>
          </rPr>
          <t>=SUM(R[-4]C:R[-1]C)
E:F</t>
        </r>
      </text>
    </comment>
    <comment ref="C56" authorId="0" shapeId="0">
      <text>
        <r>
          <rPr>
            <b/>
            <sz val="10"/>
            <color indexed="81"/>
            <rFont val="宋体"/>
            <family val="3"/>
            <charset val="134"/>
          </rPr>
          <t>=SUM(R[-3]C:R[-1]C)
E:F</t>
        </r>
      </text>
    </comment>
    <comment ref="C57" authorId="0" shapeId="0">
      <text>
        <r>
          <rPr>
            <b/>
            <sz val="10"/>
            <color indexed="81"/>
            <rFont val="宋体"/>
            <family val="3"/>
            <charset val="134"/>
          </rPr>
          <t>=SUM(R[-5]C,-R[-1]C)
E:F</t>
        </r>
      </text>
    </comment>
    <comment ref="C59" authorId="0" shapeId="0">
      <text>
        <r>
          <rPr>
            <b/>
            <sz val="10"/>
            <color indexed="81"/>
            <rFont val="宋体"/>
            <family val="3"/>
            <charset val="134"/>
          </rPr>
          <t>=SUM(R[-26]C,R[-13]C,R[-2]C,R[-1]C)
E:F</t>
        </r>
      </text>
    </comment>
    <comment ref="C61" authorId="0" shapeId="0">
      <text>
        <r>
          <rPr>
            <b/>
            <sz val="10"/>
            <color indexed="81"/>
            <rFont val="宋体"/>
            <family val="3"/>
            <charset val="134"/>
          </rPr>
          <t>=SUM(R[-2]C,R[-1]C)
E:F</t>
        </r>
      </text>
    </comment>
  </commentList>
</comments>
</file>

<file path=xl/comments20.xml><?xml version="1.0" encoding="utf-8"?>
<comments xmlns="http://schemas.openxmlformats.org/spreadsheetml/2006/main">
  <authors>
    <author>胡晓明</author>
  </authors>
  <commentList>
    <comment ref="C7" authorId="0" shapeId="0">
      <text>
        <r>
          <rPr>
            <b/>
            <sz val="10"/>
            <color indexed="81"/>
            <rFont val="宋体"/>
            <family val="3"/>
            <charset val="134"/>
          </rPr>
          <t>=VLOOKUP(VALUE(R2C12&amp;RC2),Sheet_Items,6,0)
8:35</t>
        </r>
      </text>
    </comment>
    <comment ref="D7" authorId="0" shapeId="0">
      <text>
        <r>
          <rPr>
            <b/>
            <sz val="10"/>
            <color indexed="81"/>
            <rFont val="宋体"/>
            <family val="3"/>
            <charset val="134"/>
          </rPr>
          <t>=IF(ISERROR(VLOOKUP(VALUE(R2C&amp;RC2),Sheet_Trialbal,6,0)),0,VLOOKUP(VALUE(R2C&amp;RC2),Sheet_Trialbal,6,0))
Range#D8:K35</t>
        </r>
      </text>
    </comment>
    <comment ref="P7" authorId="0" shapeId="0">
      <text>
        <r>
          <rPr>
            <b/>
            <sz val="10"/>
            <color indexed="81"/>
            <rFont val="宋体"/>
            <family val="3"/>
            <charset val="134"/>
          </rPr>
          <t>=SUM(RC[-8]:RC[-7],-RC[-6],RC[-5]:RC[-1])
8:35</t>
        </r>
      </text>
    </comment>
    <comment ref="Q7" authorId="0" shapeId="0">
      <text>
        <r>
          <rPr>
            <b/>
            <sz val="10"/>
            <color indexed="81"/>
            <rFont val="宋体"/>
            <family val="3"/>
            <charset val="134"/>
          </rPr>
          <t>=IF(ISERROR(VLOOKUP(VALUE(R2C&amp;RC2),Sheet_Trialbal,10,0)),0,VLOOKUP(VALUE(R2C&amp;RC2),Sheet_Trialbal,10,0))
Range#M8:T35</t>
        </r>
      </text>
    </comment>
    <comment ref="AC7" authorId="0" shapeId="0">
      <text>
        <r>
          <rPr>
            <b/>
            <sz val="10"/>
            <color indexed="81"/>
            <rFont val="宋体"/>
            <family val="3"/>
            <charset val="134"/>
          </rPr>
          <t>=SUM(RC[-8]:RC[-7],-RC[-6],RC[-5]:RC[-1])
8:35</t>
        </r>
      </text>
    </comment>
    <comment ref="C13" authorId="0" shapeId="0">
      <text>
        <r>
          <rPr>
            <b/>
            <sz val="10"/>
            <color indexed="81"/>
            <rFont val="宋体"/>
            <family val="3"/>
            <charset val="134"/>
          </rPr>
          <t>=SUM(R[-4]C:R[-1]C)
D:W</t>
        </r>
      </text>
    </comment>
    <comment ref="C14" authorId="0" shapeId="0">
      <text>
        <r>
          <rPr>
            <b/>
            <sz val="10"/>
            <color indexed="81"/>
            <rFont val="宋体"/>
            <family val="3"/>
            <charset val="134"/>
          </rPr>
          <t>=SUM(R[3]C,R[4]C,R[8]C,R[13]C,R[18]C,R[21]C)
D:W</t>
        </r>
      </text>
    </comment>
    <comment ref="C15" authorId="0" shapeId="0">
      <text>
        <r>
          <rPr>
            <b/>
            <sz val="10"/>
            <color indexed="81"/>
            <rFont val="宋体"/>
            <family val="3"/>
            <charset val="134"/>
          </rPr>
          <t>=SUM(R[-2]C:R[-1]C)
D:W</t>
        </r>
      </text>
    </comment>
    <comment ref="C16" authorId="0" shapeId="0">
      <text>
        <r>
          <rPr>
            <b/>
            <sz val="10"/>
            <color indexed="81"/>
            <rFont val="宋体"/>
            <family val="3"/>
            <charset val="134"/>
          </rPr>
          <t>=SUM(R[1]C:R[3]C)
D:W</t>
        </r>
      </text>
    </comment>
    <comment ref="C21" authorId="0" shapeId="0">
      <text>
        <r>
          <rPr>
            <b/>
            <sz val="10"/>
            <color indexed="81"/>
            <rFont val="宋体"/>
            <family val="3"/>
            <charset val="134"/>
          </rPr>
          <t>=SUM(R[1]C:R[4]C)
D:W</t>
        </r>
      </text>
    </comment>
    <comment ref="C26" authorId="0" shapeId="0">
      <text>
        <r>
          <rPr>
            <b/>
            <sz val="10"/>
            <color indexed="81"/>
            <rFont val="宋体"/>
            <family val="3"/>
            <charset val="134"/>
          </rPr>
          <t>=SUM(R[1]C:R[4]C)
D:W</t>
        </r>
      </text>
    </comment>
    <comment ref="C33" authorId="0" shapeId="0">
      <text>
        <r>
          <rPr>
            <b/>
            <sz val="10"/>
            <color indexed="81"/>
            <rFont val="宋体"/>
            <family val="3"/>
            <charset val="134"/>
          </rPr>
          <t>=SUM(R[1]C:R[2]C)
D:W</t>
        </r>
      </text>
    </comment>
    <comment ref="C37" authorId="0" shapeId="0">
      <text>
        <r>
          <rPr>
            <b/>
            <sz val="10"/>
            <color indexed="81"/>
            <rFont val="宋体"/>
            <family val="3"/>
            <charset val="134"/>
          </rPr>
          <t>=SUM(R[-23]C,R[-22]C)
D:W</t>
        </r>
      </text>
    </comment>
    <comment ref="O49" authorId="0" shapeId="0">
      <text>
        <r>
          <rPr>
            <sz val="10"/>
            <color indexed="81"/>
            <rFont val="宋体"/>
            <family val="3"/>
            <charset val="134"/>
          </rPr>
          <t xml:space="preserve">
目前与“外币报表折算差额”勾稽
</t>
        </r>
      </text>
    </comment>
    <comment ref="AB49" authorId="0" shapeId="0">
      <text>
        <r>
          <rPr>
            <sz val="10"/>
            <color indexed="81"/>
            <rFont val="宋体"/>
            <family val="3"/>
            <charset val="134"/>
          </rPr>
          <t xml:space="preserve">
目前与“外币报表折算差额”勾稽
</t>
        </r>
      </text>
    </comment>
  </commentList>
</comments>
</file>

<file path=xl/comments21.xml><?xml version="1.0" encoding="utf-8"?>
<comments xmlns="http://schemas.openxmlformats.org/spreadsheetml/2006/main">
  <authors>
    <author>admin</author>
  </authors>
  <commentList>
    <comment ref="C51" authorId="0" shapeId="0">
      <text>
        <r>
          <rPr>
            <sz val="10"/>
            <rFont val="宋体"/>
            <family val="3"/>
            <charset val="134"/>
          </rPr>
          <t>通常为资产负债表货币资金年末余额中未包含在现金流量表“年末现金及现金等价物余额”中的部分</t>
        </r>
      </text>
    </comment>
  </commentList>
</comments>
</file>

<file path=xl/comments22.xml><?xml version="1.0" encoding="utf-8"?>
<comments xmlns="http://schemas.openxmlformats.org/spreadsheetml/2006/main">
  <authors>
    <author>胡晓明</author>
  </authors>
  <commentList>
    <comment ref="F23" authorId="0" shapeId="0">
      <text>
        <r>
          <rPr>
            <b/>
            <sz val="10"/>
            <rFont val="宋体"/>
            <family val="3"/>
            <charset val="134"/>
          </rPr>
          <t>胡晓明:</t>
        </r>
        <r>
          <rPr>
            <sz val="10"/>
            <rFont val="宋体"/>
            <family val="3"/>
            <charset val="134"/>
          </rPr>
          <t xml:space="preserve">
期末 减 年初</t>
        </r>
      </text>
    </comment>
    <comment ref="C86" authorId="0" shapeId="0">
      <text>
        <r>
          <rPr>
            <b/>
            <sz val="10"/>
            <rFont val="宋体"/>
            <family val="3"/>
            <charset val="134"/>
          </rPr>
          <t>胡晓明:</t>
        </r>
        <r>
          <rPr>
            <sz val="10"/>
            <rFont val="宋体"/>
            <family val="3"/>
            <charset val="134"/>
          </rPr>
          <t xml:space="preserve">
应剔除财务费用中属于经营活动的部分，只包括筹资活动、投资活动和汇率变动产生的财务费用</t>
        </r>
      </text>
    </comment>
    <comment ref="C94" authorId="0" shapeId="0">
      <text>
        <r>
          <rPr>
            <b/>
            <sz val="10"/>
            <rFont val="宋体"/>
            <family val="3"/>
            <charset val="134"/>
          </rPr>
          <t>胡晓明:</t>
        </r>
        <r>
          <rPr>
            <sz val="10"/>
            <rFont val="宋体"/>
            <family val="3"/>
            <charset val="134"/>
          </rPr>
          <t xml:space="preserve">
关于票据贴现在现金流量表中的列示，个人观点为应以实收银行存款数列示为销售收到的现金，间接法中的财务费用剔除贴现利息支出。
依据：如2009年CPA考试教材《会计》  
P279(1)   销售商品提供劳务收到的现金  扣除了30 000 元票据贴现利息p278 1.(2)
同时 P281 2.(6) 财务费用   也未列示 票据贴现利息 30 000 p278 1.(2)
即：CPA教材是把 票据贴现 视作经营活动 因为它没有引起资本和债务规模发生变动</t>
        </r>
      </text>
    </comment>
    <comment ref="F103" authorId="0" shapeId="0">
      <text>
        <r>
          <rPr>
            <b/>
            <sz val="10"/>
            <rFont val="宋体"/>
            <family val="3"/>
            <charset val="134"/>
          </rPr>
          <t>胡晓明:</t>
        </r>
        <r>
          <rPr>
            <sz val="10"/>
            <rFont val="宋体"/>
            <family val="3"/>
            <charset val="134"/>
          </rPr>
          <t xml:space="preserve">
年初 减 期末</t>
        </r>
      </text>
    </comment>
    <comment ref="F109" authorId="0" shapeId="0">
      <text>
        <r>
          <rPr>
            <b/>
            <sz val="10"/>
            <rFont val="宋体"/>
            <family val="3"/>
            <charset val="134"/>
          </rPr>
          <t>胡晓明:</t>
        </r>
        <r>
          <rPr>
            <sz val="10"/>
            <rFont val="宋体"/>
            <family val="3"/>
            <charset val="134"/>
          </rPr>
          <t xml:space="preserve">
期末 减 年初</t>
        </r>
      </text>
    </comment>
    <comment ref="D116" authorId="0" shapeId="0">
      <text>
        <r>
          <rPr>
            <b/>
            <sz val="10"/>
            <rFont val="宋体"/>
            <family val="3"/>
            <charset val="134"/>
          </rPr>
          <t>胡晓明:</t>
        </r>
        <r>
          <rPr>
            <sz val="10"/>
            <rFont val="宋体"/>
            <family val="3"/>
            <charset val="134"/>
          </rPr>
          <t xml:space="preserve">
未扣除减值准备的账面余额</t>
        </r>
      </text>
    </comment>
    <comment ref="C121"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D136" authorId="0" shapeId="0">
      <text>
        <r>
          <rPr>
            <b/>
            <sz val="10"/>
            <rFont val="宋体"/>
            <family val="3"/>
            <charset val="134"/>
          </rPr>
          <t>胡晓明:</t>
        </r>
        <r>
          <rPr>
            <sz val="10"/>
            <rFont val="宋体"/>
            <family val="3"/>
            <charset val="134"/>
          </rPr>
          <t xml:space="preserve">
未扣除减值准备的账面余额</t>
        </r>
      </text>
    </comment>
    <comment ref="E136" authorId="0" shapeId="0">
      <text>
        <r>
          <rPr>
            <b/>
            <sz val="10"/>
            <rFont val="宋体"/>
            <family val="3"/>
            <charset val="134"/>
          </rPr>
          <t>胡晓明:</t>
        </r>
        <r>
          <rPr>
            <sz val="10"/>
            <rFont val="宋体"/>
            <family val="3"/>
            <charset val="134"/>
          </rPr>
          <t xml:space="preserve">
未扣除减值准备的账面余额</t>
        </r>
      </text>
    </comment>
    <comment ref="F136" authorId="0" shapeId="0">
      <text>
        <r>
          <rPr>
            <b/>
            <sz val="10"/>
            <rFont val="宋体"/>
            <family val="3"/>
            <charset val="134"/>
          </rPr>
          <t>胡晓明:</t>
        </r>
        <r>
          <rPr>
            <sz val="10"/>
            <rFont val="宋体"/>
            <family val="3"/>
            <charset val="134"/>
          </rPr>
          <t xml:space="preserve">
年初 减 期末</t>
        </r>
      </text>
    </comment>
    <comment ref="C145"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 ref="F161" authorId="0" shapeId="0">
      <text>
        <r>
          <rPr>
            <b/>
            <sz val="10"/>
            <rFont val="宋体"/>
            <family val="3"/>
            <charset val="134"/>
          </rPr>
          <t>胡晓明:</t>
        </r>
        <r>
          <rPr>
            <sz val="10"/>
            <rFont val="宋体"/>
            <family val="3"/>
            <charset val="134"/>
          </rPr>
          <t xml:space="preserve">
期末 减 年初</t>
        </r>
      </text>
    </comment>
    <comment ref="C172" authorId="0" shapeId="0">
      <text>
        <r>
          <rPr>
            <b/>
            <sz val="10"/>
            <rFont val="宋体"/>
            <family val="3"/>
            <charset val="134"/>
          </rPr>
          <t>胡晓明:</t>
        </r>
        <r>
          <rPr>
            <sz val="10"/>
            <rFont val="宋体"/>
            <family val="3"/>
            <charset val="134"/>
          </rPr>
          <t xml:space="preserve">
以下项目仅为举例，请根据企业实际情况分析需要补充调整的项目。</t>
        </r>
      </text>
    </comment>
  </commentList>
</comments>
</file>

<file path=xl/comments23.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List>
</comments>
</file>

<file path=xl/comments24.xml><?xml version="1.0" encoding="utf-8"?>
<comments xmlns="http://schemas.openxmlformats.org/spreadsheetml/2006/main">
  <authors>
    <author>胡晓明</author>
    <author>acpa</author>
  </authors>
  <commentList>
    <comment ref="C3" authorId="0" shapeId="0">
      <text>
        <r>
          <rPr>
            <b/>
            <sz val="9"/>
            <rFont val="宋体"/>
            <family val="3"/>
            <charset val="134"/>
          </rPr>
          <t>胡晓明:</t>
        </r>
        <r>
          <rPr>
            <sz val="9"/>
            <rFont val="宋体"/>
            <family val="3"/>
            <charset val="134"/>
          </rPr>
          <t xml:space="preserve">
（用于总体复核）</t>
        </r>
      </text>
    </comment>
    <comment ref="G8" authorId="1" shapeId="0">
      <text>
        <r>
          <rPr>
            <b/>
            <sz val="9"/>
            <rFont val="宋体"/>
            <family val="3"/>
            <charset val="134"/>
          </rPr>
          <t>胡晓明:</t>
        </r>
        <r>
          <rPr>
            <sz val="9"/>
            <rFont val="宋体"/>
            <family val="3"/>
            <charset val="134"/>
          </rPr>
          <t xml:space="preserve">
（如行业平均指标，或有代表性的个股指标等）</t>
        </r>
      </text>
    </comment>
    <comment ref="C57" authorId="0" shapeId="0">
      <text>
        <r>
          <rPr>
            <b/>
            <sz val="9"/>
            <rFont val="宋体"/>
            <family val="3"/>
            <charset val="134"/>
          </rPr>
          <t>胡晓明:</t>
        </r>
        <r>
          <rPr>
            <sz val="9"/>
            <rFont val="宋体"/>
            <family val="3"/>
            <charset val="134"/>
          </rPr>
          <t xml:space="preserve">
（项目组视实际需要确定是否进行内部财务业绩分析）</t>
        </r>
      </text>
    </comment>
  </commentList>
</comments>
</file>

<file path=xl/comments25.xml><?xml version="1.0" encoding="utf-8"?>
<comments xmlns="http://schemas.openxmlformats.org/spreadsheetml/2006/main">
  <authors>
    <author>胡晓明</author>
  </authors>
  <commentList>
    <comment ref="C3" authorId="0" shapeId="0">
      <text>
        <r>
          <rPr>
            <b/>
            <sz val="9"/>
            <rFont val="宋体"/>
            <family val="3"/>
            <charset val="134"/>
          </rPr>
          <t>胡晓明:</t>
        </r>
        <r>
          <rPr>
            <sz val="9"/>
            <rFont val="宋体"/>
            <family val="3"/>
            <charset val="134"/>
          </rPr>
          <t xml:space="preserve">
（用于总体复核）</t>
        </r>
      </text>
    </comment>
  </commentList>
</comments>
</file>

<file path=xl/comments26.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J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J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J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J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B8" authorId="0" shapeId="0">
      <text>
        <r>
          <rPr>
            <b/>
            <sz val="9"/>
            <color indexed="17"/>
            <rFont val="Tahoma"/>
            <family val="2"/>
          </rPr>
          <t>EAS Tips:</t>
        </r>
        <r>
          <rPr>
            <sz val="9"/>
            <color indexed="23"/>
            <rFont val="Tahoma"/>
            <family val="2"/>
          </rPr>
          <t xml:space="preserve">
1、本段为审计程序区域。增删行时请在方框区域内进行，以保持方框的完整；_x000D_
2、为完整记录您所实施的审计程序，您不能将此段整体删除。</t>
        </r>
      </text>
    </comment>
  </commentList>
</comments>
</file>

<file path=xl/comments27.xml><?xml version="1.0" encoding="utf-8"?>
<comments xmlns="http://schemas.openxmlformats.org/spreadsheetml/2006/main">
  <authors>
    <author>胡</author>
    <author>郭绪琴</author>
    <author>张凌雯</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P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P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P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P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N7" authorId="1" shapeId="0">
      <text>
        <r>
          <rPr>
            <b/>
            <sz val="10"/>
            <color indexed="81"/>
            <rFont val="宋体"/>
            <family val="3"/>
            <charset val="134"/>
          </rPr>
          <t>此列供验算用，每个分录合计为0，小计、合计行的合计亦应为0</t>
        </r>
      </text>
    </comment>
    <comment ref="C9" authorId="2" shapeId="0">
      <text>
        <r>
          <rPr>
            <b/>
            <sz val="9"/>
            <color indexed="12"/>
            <rFont val="Tahoma"/>
            <family val="2"/>
          </rPr>
          <t xml:space="preserve">WPE Tips:
</t>
        </r>
        <r>
          <rPr>
            <b/>
            <sz val="9"/>
            <color indexed="12"/>
            <rFont val="宋体"/>
            <family val="3"/>
            <charset val="134"/>
          </rPr>
          <t>此部分内容根据上年度审计工作底稿填写</t>
        </r>
      </text>
    </comment>
  </commentList>
</comments>
</file>

<file path=xl/comments28.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29.xml><?xml version="1.0" encoding="utf-8"?>
<comments xmlns="http://schemas.openxmlformats.org/spreadsheetml/2006/main">
  <authors>
    <author>胡</author>
    <author>zjh</author>
    <author>Windows</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H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H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H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H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 ref="D8" authorId="1" shapeId="0">
      <text>
        <r>
          <rPr>
            <b/>
            <sz val="9"/>
            <color indexed="12"/>
            <rFont val="宋体"/>
            <family val="3"/>
            <charset val="134"/>
          </rPr>
          <t>WPE Tips:
根据7246的结果填写</t>
        </r>
      </text>
    </comment>
    <comment ref="E8" authorId="1" shapeId="0">
      <text>
        <r>
          <rPr>
            <b/>
            <sz val="9"/>
            <color indexed="12"/>
            <rFont val="宋体"/>
            <family val="3"/>
            <charset val="134"/>
          </rPr>
          <t>WPE Tips:
根据7246的结果填写</t>
        </r>
      </text>
    </comment>
    <comment ref="G8"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 ref="D15" authorId="1" shapeId="0">
      <text>
        <r>
          <rPr>
            <b/>
            <sz val="9"/>
            <color indexed="12"/>
            <rFont val="宋体"/>
            <family val="3"/>
            <charset val="134"/>
          </rPr>
          <t>WPE Tips:
根据7246的结果填写</t>
        </r>
      </text>
    </comment>
    <comment ref="E15" authorId="1" shapeId="0">
      <text>
        <r>
          <rPr>
            <b/>
            <sz val="9"/>
            <color indexed="12"/>
            <rFont val="宋体"/>
            <family val="3"/>
            <charset val="134"/>
          </rPr>
          <t>WPE Tips:
根据7246的结果填写</t>
        </r>
      </text>
    </comment>
    <comment ref="G15" authorId="2" shapeId="0">
      <text>
        <r>
          <rPr>
            <b/>
            <sz val="9"/>
            <color indexed="12"/>
            <rFont val="Tahoma"/>
            <family val="2"/>
          </rPr>
          <t xml:space="preserve">WPE Tips:
</t>
        </r>
        <r>
          <rPr>
            <b/>
            <sz val="9"/>
            <color indexed="12"/>
            <rFont val="宋体"/>
            <family val="3"/>
            <charset val="134"/>
          </rPr>
          <t>如</t>
        </r>
        <r>
          <rPr>
            <b/>
            <sz val="9"/>
            <color indexed="12"/>
            <rFont val="Tahoma"/>
            <family val="2"/>
          </rPr>
          <t>7246-1</t>
        </r>
        <r>
          <rPr>
            <b/>
            <sz val="9"/>
            <color indexed="12"/>
            <rFont val="宋体"/>
            <family val="3"/>
            <charset val="134"/>
          </rPr>
          <t>、</t>
        </r>
        <r>
          <rPr>
            <b/>
            <sz val="9"/>
            <color indexed="12"/>
            <rFont val="Tahoma"/>
            <family val="2"/>
          </rPr>
          <t>7246-2…...</t>
        </r>
      </text>
    </comment>
  </commentList>
</comments>
</file>

<file path=xl/comments30.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comments31.xml><?xml version="1.0" encoding="utf-8"?>
<comments xmlns="http://schemas.openxmlformats.org/spreadsheetml/2006/main">
  <authors>
    <author>胡</author>
  </authors>
  <commentList>
    <comment ref="B1" authorId="0" shapeId="0">
      <text>
        <r>
          <rPr>
            <b/>
            <sz val="9"/>
            <color indexed="17"/>
            <rFont val="Tahoma"/>
            <family val="2"/>
          </rPr>
          <t>EAS Tips:</t>
        </r>
        <r>
          <rPr>
            <sz val="9"/>
            <color indexed="23"/>
            <rFont val="Tahoma"/>
            <family val="2"/>
          </rPr>
          <t xml:space="preserve">
B1 单元格为索引号。用于在右上角显示索引，在拆分底稿时用作工作簿命名参考。
请勿删除该单元格！</t>
        </r>
      </text>
    </comment>
    <comment ref="C1" authorId="0" shapeId="0">
      <text>
        <r>
          <rPr>
            <b/>
            <sz val="9"/>
            <color indexed="17"/>
            <rFont val="Tahoma"/>
            <family val="2"/>
          </rPr>
          <t>EAS Tips:</t>
        </r>
        <r>
          <rPr>
            <sz val="9"/>
            <color indexed="23"/>
            <rFont val="Tahoma"/>
            <family val="2"/>
          </rPr>
          <t xml:space="preserve">
C1 单元格为借贷方向，1=借，-1=贷，用于余额或调整后金额计算。
请勿删除该单元格！</t>
        </r>
      </text>
    </comment>
    <comment ref="D1" authorId="0" shapeId="0">
      <text>
        <r>
          <rPr>
            <b/>
            <sz val="9"/>
            <color indexed="17"/>
            <rFont val="Tahoma"/>
            <family val="2"/>
          </rPr>
          <t>EAS Tips:</t>
        </r>
        <r>
          <rPr>
            <sz val="9"/>
            <color indexed="23"/>
            <rFont val="Tahoma"/>
            <family val="2"/>
          </rPr>
          <t xml:space="preserve">
请在此单元格（一般为 D1）输入 编制人。</t>
        </r>
      </text>
    </comment>
    <comment ref="A2" authorId="0" shapeId="0">
      <text>
        <r>
          <rPr>
            <b/>
            <sz val="9"/>
            <color indexed="17"/>
            <rFont val="Tahoma"/>
            <family val="2"/>
          </rPr>
          <t>EAS Tips:</t>
        </r>
        <r>
          <rPr>
            <sz val="9"/>
            <color indexed="23"/>
            <rFont val="Tahoma"/>
            <family val="2"/>
          </rPr>
          <t xml:space="preserve">
请在此单元格（一般为 A2）输入 编制日期。</t>
        </r>
      </text>
    </comment>
    <comment ref="B3" authorId="0" shapeId="0">
      <text>
        <r>
          <rPr>
            <b/>
            <sz val="9"/>
            <color indexed="17"/>
            <rFont val="Tahoma"/>
            <family val="2"/>
          </rPr>
          <t>EAS Tips:</t>
        </r>
        <r>
          <rPr>
            <sz val="9"/>
            <color indexed="23"/>
            <rFont val="Tahoma"/>
            <family val="2"/>
          </rPr>
          <t xml:space="preserve">
请在此单元格（一般为 B3）输入 客户全称，将显示为 客户Client:客户全称。</t>
        </r>
      </text>
    </comment>
    <comment ref="K3" authorId="0" shapeId="0">
      <text>
        <r>
          <rPr>
            <b/>
            <sz val="9"/>
            <color indexed="17"/>
            <rFont val="Tahoma"/>
            <family val="2"/>
          </rPr>
          <t>EAS Tips:</t>
        </r>
        <r>
          <rPr>
            <sz val="9"/>
            <color indexed="23"/>
            <rFont val="Tahoma"/>
            <family val="2"/>
          </rPr>
          <t xml:space="preserve">
公式解释&gt;&gt;从B1中取得“索引号”，显示于右上角。因索引号显示位置不确定，故在B1单元格固定存放。</t>
        </r>
      </text>
    </comment>
    <comment ref="A4" authorId="0" shapeId="0">
      <text>
        <r>
          <rPr>
            <b/>
            <sz val="9"/>
            <color indexed="17"/>
            <rFont val="Tahoma"/>
            <family val="2"/>
          </rPr>
          <t>EAS Tips:</t>
        </r>
        <r>
          <rPr>
            <sz val="9"/>
            <color indexed="23"/>
            <rFont val="Tahoma"/>
            <family val="2"/>
          </rPr>
          <t xml:space="preserve">
A4 单元格为会计科目或报表项目或测试项目。
请勿删除该单元格！</t>
        </r>
      </text>
    </comment>
    <comment ref="B4" authorId="0" shapeId="0">
      <text>
        <r>
          <rPr>
            <b/>
            <sz val="9"/>
            <color indexed="17"/>
            <rFont val="Tahoma"/>
            <family val="2"/>
          </rPr>
          <t>EAS Tips:</t>
        </r>
        <r>
          <rPr>
            <sz val="9"/>
            <color indexed="23"/>
            <rFont val="Tahoma"/>
            <family val="2"/>
          </rPr>
          <t xml:space="preserve">
请在此单元格（一般为 B4）输入 底稿名称（例如‘应收票据检查’），将显示为 项目Subject:底稿名称。</t>
        </r>
      </text>
    </comment>
    <comment ref="K4" authorId="0" shapeId="0">
      <text>
        <r>
          <rPr>
            <b/>
            <sz val="9"/>
            <color indexed="17"/>
            <rFont val="Tahoma"/>
            <family val="2"/>
          </rPr>
          <t>EAS Tips:</t>
        </r>
        <r>
          <rPr>
            <sz val="9"/>
            <color indexed="23"/>
            <rFont val="Tahoma"/>
            <family val="2"/>
          </rPr>
          <t xml:space="preserve">
请不要修改公式。请分别在 D1 输入编制人，在 A2 输入 编制日期。</t>
        </r>
      </text>
    </comment>
    <comment ref="A5" authorId="0" shapeId="0">
      <text>
        <r>
          <rPr>
            <b/>
            <sz val="9"/>
            <color indexed="17"/>
            <rFont val="Tahoma"/>
            <family val="2"/>
          </rPr>
          <t>EAS Tips:</t>
        </r>
        <r>
          <rPr>
            <sz val="9"/>
            <color indexed="23"/>
            <rFont val="Tahoma"/>
            <family val="2"/>
          </rPr>
          <t xml:space="preserve">
请在此单元格（一般为 A5）输入 复核人。</t>
        </r>
      </text>
    </comment>
    <comment ref="B5" authorId="0" shapeId="0">
      <text>
        <r>
          <rPr>
            <b/>
            <sz val="9"/>
            <color indexed="17"/>
            <rFont val="Tahoma"/>
            <family val="2"/>
          </rPr>
          <t>EAS Tips:</t>
        </r>
        <r>
          <rPr>
            <sz val="9"/>
            <color indexed="23"/>
            <rFont val="Tahoma"/>
            <family val="2"/>
          </rPr>
          <t xml:space="preserve">
请在此单元格（一般为 B5）输入 截止日（例如‘2019-10-18’），将显示为 截止日/期间Period End:截止日。</t>
        </r>
      </text>
    </comment>
    <comment ref="K5" authorId="0" shapeId="0">
      <text>
        <r>
          <rPr>
            <b/>
            <sz val="9"/>
            <color indexed="17"/>
            <rFont val="Tahoma"/>
            <family val="2"/>
          </rPr>
          <t>EAS Tips:</t>
        </r>
        <r>
          <rPr>
            <sz val="9"/>
            <color indexed="23"/>
            <rFont val="Tahoma"/>
            <family val="2"/>
          </rPr>
          <t xml:space="preserve">
请不要修改公式。请分别在 A5 输入复核人，在 A6 输入 复核日期。</t>
        </r>
      </text>
    </comment>
    <comment ref="A6" authorId="0" shapeId="0">
      <text>
        <r>
          <rPr>
            <b/>
            <sz val="9"/>
            <color indexed="17"/>
            <rFont val="Tahoma"/>
            <family val="2"/>
          </rPr>
          <t>EAS Tips:</t>
        </r>
        <r>
          <rPr>
            <sz val="9"/>
            <color indexed="23"/>
            <rFont val="Tahoma"/>
            <family val="2"/>
          </rPr>
          <t xml:space="preserve">
请在此单元格（一般为 A6）输入 复核日期。</t>
        </r>
      </text>
    </comment>
    <comment ref="B6" authorId="0" shapeId="0">
      <text>
        <r>
          <rPr>
            <b/>
            <sz val="9"/>
            <color indexed="17"/>
            <rFont val="Tahoma"/>
            <family val="2"/>
          </rPr>
          <t>EAS Tips:</t>
        </r>
        <r>
          <rPr>
            <sz val="9"/>
            <color indexed="23"/>
            <rFont val="Tahoma"/>
            <family val="2"/>
          </rPr>
          <t xml:space="preserve">
1、1至6行 及 A至D列 为表头及参数存放区域，请勿删除，并避免插入行、列；
2、从第7行开始，可以插入或删除行，从第E列开始，可以插入或删除列（最右1列除外）。</t>
        </r>
      </text>
    </comment>
    <comment ref="K6" authorId="0" shapeId="0">
      <text>
        <r>
          <rPr>
            <b/>
            <sz val="9"/>
            <color indexed="17"/>
            <rFont val="Tahoma"/>
            <family val="2"/>
          </rPr>
          <t>EAS Tips:</t>
        </r>
        <r>
          <rPr>
            <sz val="9"/>
            <color indexed="23"/>
            <rFont val="Tahoma"/>
            <family val="2"/>
          </rPr>
          <t xml:space="preserve">
1、此列为本页底稿的最右边列，在1至6行存放有索引号等信息，请勿删除本列；
2、如须插入列，选定的最右列不能超过本列，否则将无法打印。</t>
        </r>
      </text>
    </comment>
  </commentList>
</comments>
</file>

<file path=xl/sharedStrings.xml><?xml version="1.0" encoding="utf-8"?>
<sst xmlns="http://schemas.openxmlformats.org/spreadsheetml/2006/main" count="43552" uniqueCount="7329">
  <si>
    <t>WPERE211.1225</t>
  </si>
  <si>
    <t>itemID</t>
  </si>
  <si>
    <t>itemName</t>
  </si>
  <si>
    <t>drCr</t>
  </si>
  <si>
    <t>rowSign</t>
  </si>
  <si>
    <t>indexNo</t>
  </si>
  <si>
    <t>itemText</t>
  </si>
  <si>
    <t>itemText2</t>
  </si>
  <si>
    <t>itemID2</t>
  </si>
  <si>
    <t>ajeCode</t>
  </si>
  <si>
    <t>货币资金</t>
  </si>
  <si>
    <t>销售商品提供劳务收到的现金</t>
  </si>
  <si>
    <t>XSSPTGLWSDDXJ</t>
  </si>
  <si>
    <t>noteID</t>
  </si>
  <si>
    <t>noteText</t>
  </si>
  <si>
    <t>itemColCaption</t>
  </si>
  <si>
    <t>stDataType</t>
  </si>
  <si>
    <t>stItemId</t>
  </si>
  <si>
    <t>chkPriority</t>
  </si>
  <si>
    <t/>
  </si>
  <si>
    <t>审计初拟</t>
  </si>
  <si>
    <t>待继续询问</t>
  </si>
  <si>
    <t>1资产</t>
  </si>
  <si>
    <t>事实错报</t>
  </si>
  <si>
    <t>前期未更正错报_在前期识别影响本期</t>
  </si>
  <si>
    <t>错误</t>
  </si>
  <si>
    <t>checkSn</t>
  </si>
  <si>
    <t>table1</t>
  </si>
  <si>
    <t>itemCode1</t>
  </si>
  <si>
    <t>item1</t>
  </si>
  <si>
    <t>checkPeriod1</t>
  </si>
  <si>
    <t>formula1</t>
  </si>
  <si>
    <t>table2</t>
  </si>
  <si>
    <t>itemCode2</t>
  </si>
  <si>
    <t>item2</t>
  </si>
  <si>
    <t>checkPeriod2</t>
  </si>
  <si>
    <t>formula2</t>
  </si>
  <si>
    <t>stType</t>
  </si>
  <si>
    <t>CO合并报表</t>
  </si>
  <si>
    <t>Lead</t>
  </si>
  <si>
    <t>资产负债表</t>
  </si>
  <si>
    <t>：</t>
  </si>
  <si>
    <t>库存现金</t>
  </si>
  <si>
    <t>收到的税费返还</t>
  </si>
  <si>
    <t>SDDSFFH</t>
  </si>
  <si>
    <t>1015a</t>
  </si>
  <si>
    <t>货币资金按币种列示</t>
  </si>
  <si>
    <t>项       目</t>
  </si>
  <si>
    <t>1015</t>
  </si>
  <si>
    <t>以公允价值计量且其变动计入当期损益的金融资产</t>
  </si>
  <si>
    <t>吖</t>
  </si>
  <si>
    <t>A</t>
  </si>
  <si>
    <t>已与经办会计沟通</t>
  </si>
  <si>
    <t>待追加审计程序</t>
  </si>
  <si>
    <t>16资产_贷项</t>
  </si>
  <si>
    <t>判断错报</t>
  </si>
  <si>
    <t>前期未更正错报_在本期识别影响本期</t>
  </si>
  <si>
    <t>舞弊</t>
  </si>
  <si>
    <t>I001</t>
  </si>
  <si>
    <t>preBS</t>
  </si>
  <si>
    <t>RepDate</t>
  </si>
  <si>
    <t>INA</t>
  </si>
  <si>
    <t>IND</t>
  </si>
  <si>
    <t>PE母公司本部报表</t>
  </si>
  <si>
    <t>流动资产项目</t>
  </si>
  <si>
    <t>流动资产：</t>
  </si>
  <si>
    <t>银行存款</t>
  </si>
  <si>
    <t>收到其他与经营活动有关的现金</t>
  </si>
  <si>
    <t>SDQTYJYHDYGDXJ</t>
  </si>
  <si>
    <t>1015b</t>
  </si>
  <si>
    <t>货币资金明细项目</t>
  </si>
  <si>
    <t>交易性金融资产</t>
  </si>
  <si>
    <t>八</t>
  </si>
  <si>
    <t>B</t>
  </si>
  <si>
    <t>已与财务经理沟通</t>
  </si>
  <si>
    <t>待补充资料</t>
  </si>
  <si>
    <t>2负债</t>
  </si>
  <si>
    <t>推断错报</t>
  </si>
  <si>
    <t>本期未更正错报</t>
  </si>
  <si>
    <t>I002</t>
  </si>
  <si>
    <t>RepDate1</t>
  </si>
  <si>
    <t>INB</t>
  </si>
  <si>
    <t>PC母公司汇总报表</t>
  </si>
  <si>
    <t>REP</t>
  </si>
  <si>
    <t>J</t>
  </si>
  <si>
    <t>其他货币资金</t>
  </si>
  <si>
    <t>购买商品接受劳务支付的现金</t>
  </si>
  <si>
    <t>GMSPJSLWZFDXJ</t>
  </si>
  <si>
    <t>1015c</t>
  </si>
  <si>
    <t>有回收风险的货币资金</t>
  </si>
  <si>
    <t>衍生金融资产</t>
  </si>
  <si>
    <t>嚓</t>
  </si>
  <si>
    <t>C</t>
  </si>
  <si>
    <t>已与财务总监沟通</t>
  </si>
  <si>
    <t>待复印资料</t>
  </si>
  <si>
    <t>4权益</t>
  </si>
  <si>
    <t>I005</t>
  </si>
  <si>
    <t>preIS</t>
  </si>
  <si>
    <t>RepDuration</t>
  </si>
  <si>
    <t>preCE</t>
  </si>
  <si>
    <t>PS母公司组成部分报表</t>
  </si>
  <si>
    <t>结算备付金</t>
  </si>
  <si>
    <t>△</t>
  </si>
  <si>
    <t>JRH</t>
  </si>
  <si>
    <t>支付给职工以及为职工支付的现金</t>
  </si>
  <si>
    <t>ZFGZGYJWZGZFDXJ</t>
  </si>
  <si>
    <t>1101a</t>
  </si>
  <si>
    <t>以公允价值计量且其变动计入当期损益的金融资产明细项目</t>
  </si>
  <si>
    <t>1101</t>
  </si>
  <si>
    <t>应收票据</t>
  </si>
  <si>
    <t>咑</t>
  </si>
  <si>
    <t>D</t>
  </si>
  <si>
    <t>已与客户高层沟通</t>
  </si>
  <si>
    <t>已记录关键证据</t>
  </si>
  <si>
    <t>47权益_未分配利润</t>
  </si>
  <si>
    <t>I006</t>
  </si>
  <si>
    <t>RepDuration1</t>
  </si>
  <si>
    <t>SC子公司合并或汇总报表</t>
  </si>
  <si>
    <t>拆出资金</t>
  </si>
  <si>
    <t>_JR</t>
  </si>
  <si>
    <t>支付的各项税费</t>
  </si>
  <si>
    <t>ZFDGXSF</t>
  </si>
  <si>
    <t>1101c</t>
  </si>
  <si>
    <t>以公允价值计量且其变动计入当期损益的金融资产（证券公司适用）</t>
  </si>
  <si>
    <t>应收账款</t>
  </si>
  <si>
    <t>鵽</t>
  </si>
  <si>
    <t>E</t>
  </si>
  <si>
    <t>客户初步同意调整</t>
  </si>
  <si>
    <t>已取得关键证据</t>
  </si>
  <si>
    <t>6损益</t>
  </si>
  <si>
    <t>I011</t>
  </si>
  <si>
    <t>SO子公司本部报表</t>
  </si>
  <si>
    <t>Ｘ</t>
  </si>
  <si>
    <t>支付其他与经营活动有关的现金</t>
  </si>
  <si>
    <t>ZFQTYJYHDYGDXJ</t>
  </si>
  <si>
    <t>1102a</t>
  </si>
  <si>
    <t>交易性金融资产明细项目</t>
  </si>
  <si>
    <t>1102</t>
  </si>
  <si>
    <t>应收票据及应收账款</t>
  </si>
  <si>
    <t>发</t>
  </si>
  <si>
    <t>F</t>
  </si>
  <si>
    <t>客户有异议须继续沟通</t>
  </si>
  <si>
    <t>61损益_收入</t>
  </si>
  <si>
    <t>I012</t>
  </si>
  <si>
    <t>SS子公司组成部分报表</t>
  </si>
  <si>
    <t>LIS</t>
  </si>
  <si>
    <t>收回投资收到的现金</t>
  </si>
  <si>
    <t>SHTZSDDXJ</t>
  </si>
  <si>
    <t>1115a</t>
  </si>
  <si>
    <t>1115</t>
  </si>
  <si>
    <t>应收款项融资</t>
  </si>
  <si>
    <t>猤</t>
  </si>
  <si>
    <t>G</t>
  </si>
  <si>
    <t>客户不同意调整</t>
  </si>
  <si>
    <t>65损益_费用</t>
  </si>
  <si>
    <t>I013</t>
  </si>
  <si>
    <t>OT合营企业及其他关联方报表</t>
  </si>
  <si>
    <t>取得投资收益收到的现金</t>
  </si>
  <si>
    <t>QDTZSYSDDXJ</t>
  </si>
  <si>
    <t>1121e</t>
  </si>
  <si>
    <t>应收票据分类列示</t>
  </si>
  <si>
    <t>1121</t>
  </si>
  <si>
    <t>预付款项</t>
  </si>
  <si>
    <t>铪</t>
  </si>
  <si>
    <t>H</t>
  </si>
  <si>
    <t>客户正式同意调整</t>
  </si>
  <si>
    <t>I014</t>
  </si>
  <si>
    <t>应收账款坏账准备</t>
  </si>
  <si>
    <t>处置固定资产无形资产长期资产收回的现金</t>
  </si>
  <si>
    <t>CZGDZCWXZCCQZCSHDXJ</t>
  </si>
  <si>
    <t>1121b</t>
  </si>
  <si>
    <t>期末已质押的应收票据</t>
  </si>
  <si>
    <t>应收股利</t>
  </si>
  <si>
    <t>夻</t>
  </si>
  <si>
    <t>经理复核</t>
  </si>
  <si>
    <t>I015</t>
  </si>
  <si>
    <t>处置子公司及其他营业单位收到的现金净额</t>
  </si>
  <si>
    <t>CZZGSJQTYYDWSDDXJJE</t>
  </si>
  <si>
    <t>1121d</t>
  </si>
  <si>
    <t>期末已背书或贴现但尚未到期的应收票据</t>
  </si>
  <si>
    <t>应收利息</t>
  </si>
  <si>
    <t>咔</t>
  </si>
  <si>
    <t>K</t>
  </si>
  <si>
    <t>合伙人复核</t>
  </si>
  <si>
    <t>I016</t>
  </si>
  <si>
    <t>TBV20150323</t>
  </si>
  <si>
    <t>应收保费</t>
  </si>
  <si>
    <t>收到其他与投资活动有关的现金</t>
  </si>
  <si>
    <t>SDQTYTZHDYGDXJ</t>
  </si>
  <si>
    <t>1121c</t>
  </si>
  <si>
    <t>期末因出票人未履约而将其转应收账款的应收票据</t>
  </si>
  <si>
    <t>其他应收款（报表项目）</t>
  </si>
  <si>
    <t>垃</t>
  </si>
  <si>
    <t>L</t>
  </si>
  <si>
    <t>质控部复核</t>
  </si>
  <si>
    <t>I017</t>
  </si>
  <si>
    <t>应收分保账款</t>
  </si>
  <si>
    <t>购置固定资产无形资产长期资产支付的现金</t>
  </si>
  <si>
    <t>GZGDZCWXZCCQZCZFDXJ</t>
  </si>
  <si>
    <t>1121f</t>
  </si>
  <si>
    <t>应收票据按坏账计提方法分类披露</t>
  </si>
  <si>
    <t>其他应收款</t>
  </si>
  <si>
    <t>嘸</t>
  </si>
  <si>
    <t>M</t>
  </si>
  <si>
    <t>I018</t>
  </si>
  <si>
    <t>应收分保合同准备金</t>
  </si>
  <si>
    <t>预付款项坏账准备</t>
  </si>
  <si>
    <t>投资支付的现金</t>
  </si>
  <si>
    <t>TZZFDXJ</t>
  </si>
  <si>
    <t>1121g</t>
  </si>
  <si>
    <t>期末按单项计提坏账准备的应收票据</t>
  </si>
  <si>
    <t>持有待售资产和持有待售负债</t>
  </si>
  <si>
    <t>旀</t>
  </si>
  <si>
    <t>N</t>
  </si>
  <si>
    <t>I019</t>
  </si>
  <si>
    <t>TB</t>
  </si>
  <si>
    <t>其中：应收利息</t>
  </si>
  <si>
    <t>取得子公司及其他营业单位支付的现金净额</t>
  </si>
  <si>
    <t>QDZGSJQTYYDWZFDXJJE</t>
  </si>
  <si>
    <t>1121h</t>
  </si>
  <si>
    <t>期末按按组合1计提坏账准备的应收票据</t>
  </si>
  <si>
    <t>持有待售资产</t>
  </si>
  <si>
    <t>噢</t>
  </si>
  <si>
    <t>O</t>
  </si>
  <si>
    <t>I020</t>
  </si>
  <si>
    <t>支付其他与投资活动有关的现金</t>
  </si>
  <si>
    <t>ZFQTYTZHDYGDXJ</t>
  </si>
  <si>
    <t>1121i</t>
  </si>
  <si>
    <t>本期应收票据坏账准备变动情况</t>
  </si>
  <si>
    <t>存货</t>
  </si>
  <si>
    <t>妑</t>
  </si>
  <si>
    <t>P</t>
  </si>
  <si>
    <t>I021</t>
  </si>
  <si>
    <t>吸收投资收到的现金</t>
  </si>
  <si>
    <t>XSTZSDDXJ</t>
  </si>
  <si>
    <t>1121j</t>
  </si>
  <si>
    <t>本期转回或收回金额重要的应收票据坏账准备</t>
  </si>
  <si>
    <t>一年内到期的非流动资产</t>
  </si>
  <si>
    <t>七</t>
  </si>
  <si>
    <t>Q</t>
  </si>
  <si>
    <t>I022</t>
  </si>
  <si>
    <t>买入返售金融资产</t>
  </si>
  <si>
    <t>其他应收款坏账准备</t>
  </si>
  <si>
    <t>子公司吸收少数股东投资收到的现金</t>
  </si>
  <si>
    <t>ZGSXSSSGDTZSDDXJ</t>
  </si>
  <si>
    <t>1121k</t>
  </si>
  <si>
    <t>本期实际核销的应收票据情况</t>
  </si>
  <si>
    <t>其他流动资产</t>
  </si>
  <si>
    <t>囕</t>
  </si>
  <si>
    <t>R</t>
  </si>
  <si>
    <t>I023</t>
  </si>
  <si>
    <t>合同资产</t>
  </si>
  <si>
    <t>_SR</t>
  </si>
  <si>
    <t>取得借款收到的现金</t>
  </si>
  <si>
    <t>QDJKSDDXJ</t>
  </si>
  <si>
    <t>1121l</t>
  </si>
  <si>
    <t>本期重要的应收票据核销情况</t>
  </si>
  <si>
    <t>持有至到期投资</t>
  </si>
  <si>
    <t>仨</t>
  </si>
  <si>
    <t>S</t>
  </si>
  <si>
    <t>I024</t>
  </si>
  <si>
    <t>收到其他与筹资活动有关的现金</t>
  </si>
  <si>
    <t>SDQTYCZHDYGDXJ</t>
  </si>
  <si>
    <t>1121a</t>
  </si>
  <si>
    <t>应收票据分类</t>
  </si>
  <si>
    <t>可供出售金融资产</t>
  </si>
  <si>
    <t>他</t>
  </si>
  <si>
    <t>T</t>
  </si>
  <si>
    <t>I025</t>
  </si>
  <si>
    <t>偿还债务支付的现金</t>
  </si>
  <si>
    <t>CHZWZFDXJ</t>
  </si>
  <si>
    <t>1122j</t>
  </si>
  <si>
    <t>应收账款按账龄披露</t>
  </si>
  <si>
    <t>1122</t>
  </si>
  <si>
    <t>债权投资</t>
  </si>
  <si>
    <t>屲</t>
  </si>
  <si>
    <t>W</t>
  </si>
  <si>
    <t>I026</t>
  </si>
  <si>
    <t>材料采购</t>
  </si>
  <si>
    <t>分配利润偿付利息支付的现金</t>
  </si>
  <si>
    <t>FPLRCFLXZFDXJ</t>
  </si>
  <si>
    <t>1122p</t>
  </si>
  <si>
    <t>其他债权投资</t>
  </si>
  <si>
    <t>夕</t>
  </si>
  <si>
    <t>X</t>
  </si>
  <si>
    <t>I027</t>
  </si>
  <si>
    <t>流动资产</t>
  </si>
  <si>
    <t>＝</t>
  </si>
  <si>
    <t>流动资产合计</t>
  </si>
  <si>
    <t>在途物资</t>
  </si>
  <si>
    <t>子公司支付少数股东的现金股利</t>
  </si>
  <si>
    <t>ZGSZFGSSGDDLR</t>
  </si>
  <si>
    <t>1122q</t>
  </si>
  <si>
    <t>长期股权投资</t>
  </si>
  <si>
    <t>丫</t>
  </si>
  <si>
    <t>Y</t>
  </si>
  <si>
    <t>I028</t>
  </si>
  <si>
    <t>非流动资产项目</t>
  </si>
  <si>
    <t>非流动资产：</t>
  </si>
  <si>
    <t>原材料</t>
  </si>
  <si>
    <t>支付其他与筹资活动有关的现金</t>
  </si>
  <si>
    <t>ZFQTYCZHDYGDXJ</t>
  </si>
  <si>
    <t>1122r</t>
  </si>
  <si>
    <t>设定受益计划净资产</t>
  </si>
  <si>
    <t>帀</t>
  </si>
  <si>
    <t>Z</t>
  </si>
  <si>
    <t>I029</t>
  </si>
  <si>
    <t>材料成本差异</t>
  </si>
  <si>
    <t>子公司减资支付给少数股东的现金</t>
  </si>
  <si>
    <t>ZGSJZZFGSSGDDXJ</t>
  </si>
  <si>
    <t>1122s</t>
  </si>
  <si>
    <t>投资性房地产</t>
  </si>
  <si>
    <t>I030</t>
  </si>
  <si>
    <t>库存商品</t>
  </si>
  <si>
    <t>汇率变动对现金及现金等价物的影响</t>
  </si>
  <si>
    <t>HLBDDXJJXJDJWDYX</t>
  </si>
  <si>
    <t>1122t</t>
  </si>
  <si>
    <t>长期应收款</t>
  </si>
  <si>
    <t>I031</t>
  </si>
  <si>
    <t>发出商品</t>
  </si>
  <si>
    <t>收到原保险合同保费取得的现金</t>
  </si>
  <si>
    <t>SDYBXHTBFQDDXJ</t>
  </si>
  <si>
    <t>1122g</t>
  </si>
  <si>
    <t>其他权益工具投资</t>
  </si>
  <si>
    <t>I032</t>
  </si>
  <si>
    <t>商品进销差价</t>
  </si>
  <si>
    <t>收到再保险业务现金净额</t>
  </si>
  <si>
    <t>SDZBXYWXJJE</t>
  </si>
  <si>
    <t>1122d</t>
  </si>
  <si>
    <t>其他非流动金融资产</t>
  </si>
  <si>
    <t>I033</t>
  </si>
  <si>
    <t>OEI</t>
  </si>
  <si>
    <t>委托加工物资</t>
  </si>
  <si>
    <t>保户储金及投资款净增加额</t>
  </si>
  <si>
    <t>BHCJJTZKJZJE</t>
  </si>
  <si>
    <t>1122u</t>
  </si>
  <si>
    <t>本期应收账款坏账准备的变动情况</t>
  </si>
  <si>
    <t>固定资产</t>
  </si>
  <si>
    <t>I034</t>
  </si>
  <si>
    <t>周转材料</t>
  </si>
  <si>
    <t>处置交易性金融资产净增加额</t>
  </si>
  <si>
    <t>CZJYXJRZCJZJE</t>
  </si>
  <si>
    <t>1122h</t>
  </si>
  <si>
    <t>本期应收账款坏账准备转回或收回金额重要的</t>
  </si>
  <si>
    <t>在建工程</t>
  </si>
  <si>
    <t>I035</t>
  </si>
  <si>
    <t>消耗性生物资产</t>
  </si>
  <si>
    <t>收取利息手续费及佣金的现金</t>
  </si>
  <si>
    <t>SQLXSXFJYJDXJ</t>
  </si>
  <si>
    <t>1122v</t>
  </si>
  <si>
    <t>本期实际核销的应收账款情况</t>
  </si>
  <si>
    <t>工程物资</t>
  </si>
  <si>
    <t>I036</t>
  </si>
  <si>
    <t>其中：固定资产</t>
  </si>
  <si>
    <t>存货跌价准备</t>
  </si>
  <si>
    <t>拆入资金净增加额</t>
  </si>
  <si>
    <t>CRZJJZJE</t>
  </si>
  <si>
    <t>1122i</t>
  </si>
  <si>
    <t>本期重要的应收账款核销情况</t>
  </si>
  <si>
    <t>固定资产清理</t>
  </si>
  <si>
    <t>I037</t>
  </si>
  <si>
    <t>其中：在建工程</t>
  </si>
  <si>
    <t>生产成本</t>
  </si>
  <si>
    <t>回购业务资金净增加额</t>
  </si>
  <si>
    <t>HGYWZJJZJE</t>
  </si>
  <si>
    <t>1122k</t>
  </si>
  <si>
    <t>按欠款方归集的期末余额前五名的应收账款情况</t>
  </si>
  <si>
    <t>固定资产（报表项目）</t>
  </si>
  <si>
    <t>I040</t>
  </si>
  <si>
    <t>制造费用</t>
  </si>
  <si>
    <t>客户贷款及垫款净增加额</t>
  </si>
  <si>
    <t>KHDKJDKJZJE</t>
  </si>
  <si>
    <t>1122m</t>
  </si>
  <si>
    <t>因金融资产转移而终止确认的应收账款</t>
  </si>
  <si>
    <t>在建工程（报表项目）</t>
  </si>
  <si>
    <t>I041</t>
  </si>
  <si>
    <t>工程施工</t>
  </si>
  <si>
    <t>存放中央银行和同业款项净增加额</t>
  </si>
  <si>
    <t>CFZYYXHTYKXJZJE</t>
  </si>
  <si>
    <t>1122n</t>
  </si>
  <si>
    <t>转移应收账款且继续涉入形成的资产、负债金额</t>
  </si>
  <si>
    <t>生产性生物资产</t>
  </si>
  <si>
    <t>I042</t>
  </si>
  <si>
    <t>preCF</t>
  </si>
  <si>
    <t>支付原保险合同赔付款项的现金</t>
  </si>
  <si>
    <t>ZFYBXHTPFKXDXJ</t>
  </si>
  <si>
    <t>1122a</t>
  </si>
  <si>
    <t>应收账款按种类列示</t>
  </si>
  <si>
    <t>油气资产</t>
  </si>
  <si>
    <t>I043</t>
  </si>
  <si>
    <t>支付利息手续费及佣金的现金</t>
  </si>
  <si>
    <t>ZFLXSXFJYJDXJ</t>
  </si>
  <si>
    <t>1122b</t>
  </si>
  <si>
    <t>应收账款按种类列示（续）</t>
  </si>
  <si>
    <t>开发支出</t>
  </si>
  <si>
    <t>I044</t>
  </si>
  <si>
    <t>无形资产</t>
  </si>
  <si>
    <t>支付保单红利的现金</t>
  </si>
  <si>
    <t>ZFBDHLDXJ</t>
  </si>
  <si>
    <t>1122e</t>
  </si>
  <si>
    <t>组合中采用余额百分比法计提坏账准备的应收账款</t>
  </si>
  <si>
    <t>I045</t>
  </si>
  <si>
    <t>持有至到期投资减值准备</t>
  </si>
  <si>
    <t>质押贷款净增加额</t>
  </si>
  <si>
    <t>ZYDKJZJE</t>
  </si>
  <si>
    <t>1122f</t>
  </si>
  <si>
    <t>组合中采用其他方法计提坏账准备的应收账款</t>
  </si>
  <si>
    <t>外币货币性项目</t>
  </si>
  <si>
    <t>I046</t>
  </si>
  <si>
    <t>商誉</t>
  </si>
  <si>
    <t>发行债券收到的现金</t>
  </si>
  <si>
    <t>FXZQSDDXJ</t>
  </si>
  <si>
    <t>1122o</t>
  </si>
  <si>
    <t>转移应收账款且继续涉入形成的负债的金额</t>
  </si>
  <si>
    <t>I047</t>
  </si>
  <si>
    <t>长期待摊费用</t>
  </si>
  <si>
    <t>可供出售金融资产减值准备</t>
  </si>
  <si>
    <t>客户存款和同业存放款项净增加额</t>
  </si>
  <si>
    <t>KHCKHTYCFKXJZJE</t>
  </si>
  <si>
    <t>1122c</t>
  </si>
  <si>
    <t>外币应收账款</t>
  </si>
  <si>
    <t>I048</t>
  </si>
  <si>
    <t>递延所得税资产</t>
  </si>
  <si>
    <t>向中央银行借款净增加额</t>
  </si>
  <si>
    <t>XZYYXJKJZJE</t>
  </si>
  <si>
    <t>1122l</t>
  </si>
  <si>
    <t>关联方应收应付款项——应收账款</t>
  </si>
  <si>
    <t>I049</t>
  </si>
  <si>
    <t>BS</t>
  </si>
  <si>
    <t>其他非流动资产</t>
  </si>
  <si>
    <t>向其他金融机构拆入资金净增加额</t>
  </si>
  <si>
    <t>XQTJRJGCRZJJZJE</t>
  </si>
  <si>
    <t>1122x</t>
  </si>
  <si>
    <t>应收账款补充资料</t>
  </si>
  <si>
    <t>递延所得税资产与递延所得税负债</t>
  </si>
  <si>
    <t>I050</t>
  </si>
  <si>
    <t>非流动资产</t>
  </si>
  <si>
    <t>非流动资产合计</t>
  </si>
  <si>
    <t>1123a</t>
  </si>
  <si>
    <t>应收票据及应收账款分类列示</t>
  </si>
  <si>
    <t>I055</t>
  </si>
  <si>
    <t>IS</t>
  </si>
  <si>
    <t>CE</t>
  </si>
  <si>
    <t>资产</t>
  </si>
  <si>
    <t>资产总计</t>
  </si>
  <si>
    <t>长期股权投资减值准备</t>
  </si>
  <si>
    <t>1124a</t>
  </si>
  <si>
    <t>应收款项融资分类列示</t>
  </si>
  <si>
    <t>1124</t>
  </si>
  <si>
    <t>所有权或使用权受到限制的资产</t>
  </si>
  <si>
    <t>I056</t>
  </si>
  <si>
    <t>流动负债项目</t>
  </si>
  <si>
    <t>流动负债：</t>
  </si>
  <si>
    <t>1124b</t>
  </si>
  <si>
    <t>短期借款</t>
  </si>
  <si>
    <t>I057</t>
  </si>
  <si>
    <t>1124c</t>
  </si>
  <si>
    <t>以公允价值计量且其变动计入当期损益的金融负债</t>
  </si>
  <si>
    <t>I058</t>
  </si>
  <si>
    <t>向中央银行借款</t>
  </si>
  <si>
    <t>投资性房地产减值准备</t>
  </si>
  <si>
    <t>1124d</t>
  </si>
  <si>
    <t>交易性金融负债</t>
  </si>
  <si>
    <t>I059</t>
  </si>
  <si>
    <t>吸收存款及同业存放</t>
  </si>
  <si>
    <t>投资性房地产累计折旧</t>
  </si>
  <si>
    <t>1124e</t>
  </si>
  <si>
    <t>衍生金融负债</t>
  </si>
  <si>
    <t>I060</t>
  </si>
  <si>
    <t>拆入资金</t>
  </si>
  <si>
    <t>1124f</t>
  </si>
  <si>
    <t>应付票据</t>
  </si>
  <si>
    <t>I061</t>
  </si>
  <si>
    <t>1125a</t>
  </si>
  <si>
    <t>预付款项按账龄列示</t>
  </si>
  <si>
    <t>1125</t>
  </si>
  <si>
    <t>应付账款</t>
  </si>
  <si>
    <t>I062</t>
  </si>
  <si>
    <t>1125c</t>
  </si>
  <si>
    <t>按预付对象归集的期末余额前五名的预付款项情况</t>
  </si>
  <si>
    <t>应付票据及应付账款</t>
  </si>
  <si>
    <t>I063</t>
  </si>
  <si>
    <t>1125d</t>
  </si>
  <si>
    <t>账龄超过1年的金额重要的预付账款</t>
  </si>
  <si>
    <t>预收款项</t>
  </si>
  <si>
    <t>I064</t>
  </si>
  <si>
    <t>累计折旧</t>
  </si>
  <si>
    <t>1125b</t>
  </si>
  <si>
    <t>外币预付款项</t>
  </si>
  <si>
    <t>应付职工薪酬</t>
  </si>
  <si>
    <t>I065</t>
  </si>
  <si>
    <t>固定资产减值准备</t>
  </si>
  <si>
    <t>1125e</t>
  </si>
  <si>
    <t>关联方应收应付款项——预付款项</t>
  </si>
  <si>
    <t>应交税费</t>
  </si>
  <si>
    <t>I066</t>
  </si>
  <si>
    <t>卖出回购金融资产款</t>
  </si>
  <si>
    <t>1125f</t>
  </si>
  <si>
    <t>预付款项按项目列示</t>
  </si>
  <si>
    <t>应付利息</t>
  </si>
  <si>
    <t>I067</t>
  </si>
  <si>
    <t>应付手续费及佣金</t>
  </si>
  <si>
    <t>在建工程减值准备</t>
  </si>
  <si>
    <t>期初现金及现金等价物余额</t>
  </si>
  <si>
    <t>QCXJJXJDJWYE</t>
  </si>
  <si>
    <t>1125x</t>
  </si>
  <si>
    <t>预付款项补充资料</t>
  </si>
  <si>
    <t>应付股利</t>
  </si>
  <si>
    <t>I068</t>
  </si>
  <si>
    <t>现金流量调整</t>
  </si>
  <si>
    <t>1220a</t>
  </si>
  <si>
    <t>其他应收款分类列示</t>
  </si>
  <si>
    <t>1220</t>
  </si>
  <si>
    <t>其他应付款</t>
  </si>
  <si>
    <t>I069</t>
  </si>
  <si>
    <t>工程物资减值准备</t>
  </si>
  <si>
    <t>1132a</t>
  </si>
  <si>
    <t>应收利息分类列示</t>
  </si>
  <si>
    <t>1132</t>
  </si>
  <si>
    <t>其他应付款（报表项目）</t>
  </si>
  <si>
    <t>I070</t>
  </si>
  <si>
    <t>其中：应付利息</t>
  </si>
  <si>
    <t>1132b</t>
  </si>
  <si>
    <t>期末重要的逾期应收利息</t>
  </si>
  <si>
    <t>持有待售负债</t>
  </si>
  <si>
    <t>I071</t>
  </si>
  <si>
    <t>1131a</t>
  </si>
  <si>
    <t>应收股利分类列示</t>
  </si>
  <si>
    <t>1131</t>
  </si>
  <si>
    <t>一年内到期的非流动负债</t>
  </si>
  <si>
    <t>I072</t>
  </si>
  <si>
    <t>生产性生物资产累计折旧</t>
  </si>
  <si>
    <t>1131b</t>
  </si>
  <si>
    <t>期末重要的账龄超过1年的应收股利</t>
  </si>
  <si>
    <t>其他流动负债</t>
  </si>
  <si>
    <t>I073</t>
  </si>
  <si>
    <t>应付分保账款</t>
  </si>
  <si>
    <t>生产性生物资产减值准备</t>
  </si>
  <si>
    <t>1221j</t>
  </si>
  <si>
    <t>其他应收款按账龄披露</t>
  </si>
  <si>
    <t>1221</t>
  </si>
  <si>
    <t>递延收益</t>
  </si>
  <si>
    <t>I074</t>
  </si>
  <si>
    <t>保险合同准备金</t>
  </si>
  <si>
    <t>1221l</t>
  </si>
  <si>
    <t>其他应收款按款项性质分类情况</t>
  </si>
  <si>
    <t>长期借款</t>
  </si>
  <si>
    <t>I075</t>
  </si>
  <si>
    <t>代理买卖证券款</t>
  </si>
  <si>
    <t>累计折耗</t>
  </si>
  <si>
    <t>应付债券</t>
  </si>
  <si>
    <t>I076</t>
  </si>
  <si>
    <t>代理承销证券款</t>
  </si>
  <si>
    <t>油气资产减值准备</t>
  </si>
  <si>
    <t>长期应付款</t>
  </si>
  <si>
    <t>I077</t>
  </si>
  <si>
    <t>使用权资产</t>
  </si>
  <si>
    <t>_ZL</t>
  </si>
  <si>
    <t>1221t</t>
  </si>
  <si>
    <t>长期应付款（报表项目）</t>
  </si>
  <si>
    <t>I078</t>
  </si>
  <si>
    <t>1221g</t>
  </si>
  <si>
    <t>专项应付款</t>
  </si>
  <si>
    <t>I079</t>
  </si>
  <si>
    <t>长期应付职工薪酬</t>
  </si>
  <si>
    <t>I082</t>
  </si>
  <si>
    <t>流动负债</t>
  </si>
  <si>
    <t>流动负债合计</t>
  </si>
  <si>
    <t>累计摊销</t>
  </si>
  <si>
    <t>1221v</t>
  </si>
  <si>
    <t>预计负债</t>
  </si>
  <si>
    <t>I083</t>
  </si>
  <si>
    <t>非流动负债项目</t>
  </si>
  <si>
    <t>非流动负债：</t>
  </si>
  <si>
    <t>无形资产减值准备</t>
  </si>
  <si>
    <t>1221w</t>
  </si>
  <si>
    <t>递延所得税负债</t>
  </si>
  <si>
    <t>I084</t>
  </si>
  <si>
    <t>CF</t>
  </si>
  <si>
    <t>1221y</t>
  </si>
  <si>
    <t>本期其他应收款坏账准备的变动情况</t>
  </si>
  <si>
    <t>其他非流动负债</t>
  </si>
  <si>
    <t>I085</t>
  </si>
  <si>
    <t>商誉减值准备</t>
  </si>
  <si>
    <t>1221h</t>
  </si>
  <si>
    <t>本期其他应收款坏账准备收回或转回金额重要的</t>
  </si>
  <si>
    <t>实收资本</t>
  </si>
  <si>
    <t>I086</t>
  </si>
  <si>
    <t>应付债券_优先股</t>
  </si>
  <si>
    <t>其中：优先股</t>
  </si>
  <si>
    <t>1221z</t>
  </si>
  <si>
    <t>本期实际核销的其他应收款情况</t>
  </si>
  <si>
    <t>资本公积</t>
  </si>
  <si>
    <t>I087</t>
  </si>
  <si>
    <t>应付债券_永续债</t>
  </si>
  <si>
    <t>1221i</t>
  </si>
  <si>
    <t>本期重要的其他应收款核销情况</t>
  </si>
  <si>
    <t>其他权益工具</t>
  </si>
  <si>
    <t>I088</t>
  </si>
  <si>
    <t>其中：长期应付款</t>
  </si>
  <si>
    <t>1221k</t>
  </si>
  <si>
    <t>按欠款方归集的期末余额前五名的其他应收款情况</t>
  </si>
  <si>
    <t>盈余公积</t>
  </si>
  <si>
    <t>I089</t>
  </si>
  <si>
    <t>公益性生物资产</t>
  </si>
  <si>
    <t>1221r</t>
  </si>
  <si>
    <t>涉及政府补助的其他应收款</t>
  </si>
  <si>
    <t>一般风险准备</t>
  </si>
  <si>
    <t>I090</t>
  </si>
  <si>
    <t>1221n</t>
  </si>
  <si>
    <t>因金融资产转移而终止确认的其他应收款</t>
  </si>
  <si>
    <t>未分配利润</t>
  </si>
  <si>
    <t>C001</t>
  </si>
  <si>
    <t>conBS</t>
  </si>
  <si>
    <t>CON</t>
  </si>
  <si>
    <t>1221o</t>
  </si>
  <si>
    <t>转移其他应收款且继续涉入形成的资产、负债的金额</t>
  </si>
  <si>
    <t>库存股</t>
  </si>
  <si>
    <t>C002</t>
  </si>
  <si>
    <t>1221a</t>
  </si>
  <si>
    <t>其他应收款按种类列示</t>
  </si>
  <si>
    <t>其他综合收益</t>
  </si>
  <si>
    <t>C005</t>
  </si>
  <si>
    <t>conIS</t>
  </si>
  <si>
    <t>conCE</t>
  </si>
  <si>
    <t>1221b</t>
  </si>
  <si>
    <t>其他应收款按种类列示（续）</t>
  </si>
  <si>
    <t>专项储备</t>
  </si>
  <si>
    <t>C006</t>
  </si>
  <si>
    <t>1221c</t>
  </si>
  <si>
    <t>外币其他应收款</t>
  </si>
  <si>
    <t>营业收入</t>
  </si>
  <si>
    <t>C011</t>
  </si>
  <si>
    <t>非流动负债</t>
  </si>
  <si>
    <t>非流动负债合计</t>
  </si>
  <si>
    <t>1221d</t>
  </si>
  <si>
    <t>组合中按账龄分析法计提坏账准备的其他应收款</t>
  </si>
  <si>
    <t>营业收入、营业成本</t>
  </si>
  <si>
    <t>C012</t>
  </si>
  <si>
    <t>负债</t>
  </si>
  <si>
    <t>负债合计</t>
  </si>
  <si>
    <t>1221e</t>
  </si>
  <si>
    <t>组合中采用余额百分比法计提坏账准备的其他应收款</t>
  </si>
  <si>
    <t>公允价值变动收益</t>
  </si>
  <si>
    <t>C013</t>
  </si>
  <si>
    <t>所有者权益项目</t>
  </si>
  <si>
    <t>所有者权益(或股东权益)：</t>
  </si>
  <si>
    <t>1221f</t>
  </si>
  <si>
    <t>组合中采用其他方法计提坏账准备的其他应收款</t>
  </si>
  <si>
    <t>净敞口套期收益</t>
  </si>
  <si>
    <t>C014</t>
  </si>
  <si>
    <t>股本</t>
  </si>
  <si>
    <t>实收资本（或股本）</t>
  </si>
  <si>
    <t>合同负债</t>
  </si>
  <si>
    <t>1221m</t>
  </si>
  <si>
    <t>关联方应收应付款项——其他应收款</t>
  </si>
  <si>
    <t>投资收益</t>
  </si>
  <si>
    <t>C015</t>
  </si>
  <si>
    <t>1221p</t>
  </si>
  <si>
    <t>转移其他应收款且继续涉入形成的负债金额</t>
  </si>
  <si>
    <t>资产处置收益</t>
  </si>
  <si>
    <t>C016</t>
  </si>
  <si>
    <t>其他权益工具_优先股</t>
  </si>
  <si>
    <t>1221x</t>
  </si>
  <si>
    <t>其他应收款补充资料</t>
  </si>
  <si>
    <t>其他收益</t>
  </si>
  <si>
    <t>C017</t>
  </si>
  <si>
    <t>其他权益工具_永续债</t>
  </si>
  <si>
    <t>1400a</t>
  </si>
  <si>
    <t>存货分类列示</t>
  </si>
  <si>
    <t>1400</t>
  </si>
  <si>
    <t>营业成本</t>
  </si>
  <si>
    <t>C018</t>
  </si>
  <si>
    <t>其他权益工具_其他</t>
  </si>
  <si>
    <t>1400b</t>
  </si>
  <si>
    <t>存货跌价准备的增减变动情况</t>
  </si>
  <si>
    <t>税金及附加</t>
  </si>
  <si>
    <t>C019</t>
  </si>
  <si>
    <t>1400t</t>
  </si>
  <si>
    <t>存货期末余额中含有借款费用资本化金额的说明</t>
  </si>
  <si>
    <t>销售费用</t>
  </si>
  <si>
    <t>C020</t>
  </si>
  <si>
    <t>减：库存股</t>
  </si>
  <si>
    <t>1400h</t>
  </si>
  <si>
    <t>建造合同形成的已完工未结算资产情况</t>
  </si>
  <si>
    <t>管理费用</t>
  </si>
  <si>
    <t>C021</t>
  </si>
  <si>
    <t>1400c</t>
  </si>
  <si>
    <t>存货跌价准备计提依据与转回情况</t>
  </si>
  <si>
    <t>财务费用</t>
  </si>
  <si>
    <t>C022</t>
  </si>
  <si>
    <t>1400d</t>
  </si>
  <si>
    <t>开发成本</t>
  </si>
  <si>
    <t>研发费用</t>
  </si>
  <si>
    <t>C023</t>
  </si>
  <si>
    <t>1400e</t>
  </si>
  <si>
    <t>开发产品</t>
  </si>
  <si>
    <t>资产减值损失</t>
  </si>
  <si>
    <t>C024</t>
  </si>
  <si>
    <t>1400g</t>
  </si>
  <si>
    <t>周转房</t>
  </si>
  <si>
    <t>信用减值损失</t>
  </si>
  <si>
    <t>C025</t>
  </si>
  <si>
    <t>1400s</t>
  </si>
  <si>
    <t>期末用于债务担保的存货</t>
  </si>
  <si>
    <t>营业外收入</t>
  </si>
  <si>
    <t>C026</t>
  </si>
  <si>
    <t>外币报表折算差额</t>
  </si>
  <si>
    <t>※</t>
  </si>
  <si>
    <t>1400x</t>
  </si>
  <si>
    <t>存货补充资料</t>
  </si>
  <si>
    <t>营业外支出</t>
  </si>
  <si>
    <t>C027</t>
  </si>
  <si>
    <t>归属于母公司所有者权益</t>
  </si>
  <si>
    <t>归属于母公司所有者权益（或股东权益）合计</t>
  </si>
  <si>
    <t>期末持有待售的非流动资产或处置组</t>
  </si>
  <si>
    <t>1315</t>
  </si>
  <si>
    <t>所得税费用</t>
  </si>
  <si>
    <t>C028</t>
  </si>
  <si>
    <t>少数股东权益</t>
  </si>
  <si>
    <t>租赁负债</t>
  </si>
  <si>
    <t>1315f</t>
  </si>
  <si>
    <t>期末持有待售资产减值准备</t>
  </si>
  <si>
    <t>C029</t>
  </si>
  <si>
    <t>所有者权益</t>
  </si>
  <si>
    <t>所有者权益（或股东权益）合计</t>
  </si>
  <si>
    <t>1315a</t>
  </si>
  <si>
    <t>C030</t>
  </si>
  <si>
    <t>负债和所有者权益</t>
  </si>
  <si>
    <t>负债和所有者权益（或股东权益）总计</t>
  </si>
  <si>
    <t>1315b</t>
  </si>
  <si>
    <t>C031</t>
  </si>
  <si>
    <t>利润表</t>
  </si>
  <si>
    <t>1315c</t>
  </si>
  <si>
    <t>持有待售的处置组（一）</t>
  </si>
  <si>
    <t>C032</t>
  </si>
  <si>
    <t>营业总收入</t>
  </si>
  <si>
    <t>一、营业总收入</t>
  </si>
  <si>
    <t>1315d</t>
  </si>
  <si>
    <t>持有待售的处置组（二）</t>
  </si>
  <si>
    <t>C033</t>
  </si>
  <si>
    <t>一、营业收入</t>
  </si>
  <si>
    <t>其中：营业收入</t>
  </si>
  <si>
    <t>1315e</t>
  </si>
  <si>
    <t>持有待售资产明细</t>
  </si>
  <si>
    <t>C034</t>
  </si>
  <si>
    <t>利息收入</t>
  </si>
  <si>
    <t>1495a</t>
  </si>
  <si>
    <t>一年内到期的非流动资产明细项目</t>
  </si>
  <si>
    <t>1495</t>
  </si>
  <si>
    <t>C035</t>
  </si>
  <si>
    <t>已赚保费</t>
  </si>
  <si>
    <t>1495b</t>
  </si>
  <si>
    <t>期末重要的一年内到期的债权投资或其他债权投资</t>
  </si>
  <si>
    <t>C036</t>
  </si>
  <si>
    <t>手续费及佣金收入</t>
  </si>
  <si>
    <t>1496a</t>
  </si>
  <si>
    <t>其他流动资产明细列示</t>
  </si>
  <si>
    <t>1496</t>
  </si>
  <si>
    <t>C037</t>
  </si>
  <si>
    <t>营业总成本</t>
  </si>
  <si>
    <t>二、营业总成本</t>
  </si>
  <si>
    <t>1505a</t>
  </si>
  <si>
    <t>债权投资情况</t>
  </si>
  <si>
    <t>1505</t>
  </si>
  <si>
    <t>C038</t>
  </si>
  <si>
    <t>减：营业成本</t>
  </si>
  <si>
    <t>其中：营业成本</t>
  </si>
  <si>
    <t>1505b</t>
  </si>
  <si>
    <t>期末重要的债权投资</t>
  </si>
  <si>
    <t>C041</t>
  </si>
  <si>
    <t>利息支出</t>
  </si>
  <si>
    <t>对联营企业和合营企业的投资收益</t>
  </si>
  <si>
    <t>1505g</t>
  </si>
  <si>
    <t>C042</t>
  </si>
  <si>
    <t>手续费及佣金支出</t>
  </si>
  <si>
    <t>投资收益_以摊余成本计量的金融资产终止确认收益</t>
  </si>
  <si>
    <t>6111_11</t>
  </si>
  <si>
    <t>C043</t>
  </si>
  <si>
    <t>退保金</t>
  </si>
  <si>
    <t>C044</t>
  </si>
  <si>
    <t>赔付支出净额</t>
  </si>
  <si>
    <t>C045</t>
  </si>
  <si>
    <t>conCF</t>
  </si>
  <si>
    <t>1505f</t>
  </si>
  <si>
    <t>本期债权投资减值准备的变动情况</t>
  </si>
  <si>
    <t>C046</t>
  </si>
  <si>
    <t>保单红利支出</t>
  </si>
  <si>
    <t>1505c</t>
  </si>
  <si>
    <t>期末处于第一阶段的债权投资的减值准备</t>
  </si>
  <si>
    <t>C047</t>
  </si>
  <si>
    <t>分保费用</t>
  </si>
  <si>
    <t>1505d</t>
  </si>
  <si>
    <t>期末处于第二阶段的债权投资的减值准备</t>
  </si>
  <si>
    <t>C048</t>
  </si>
  <si>
    <t>1505e</t>
  </si>
  <si>
    <t>期末处于第三阶段的债权投资的减值准备</t>
  </si>
  <si>
    <t>现金流量表项目注释</t>
  </si>
  <si>
    <t>C049</t>
  </si>
  <si>
    <t>1505k</t>
  </si>
  <si>
    <t>现金流量表补充资料</t>
  </si>
  <si>
    <t>C050</t>
  </si>
  <si>
    <t>财务费用_利息费用</t>
  </si>
  <si>
    <t>6603_01</t>
  </si>
  <si>
    <t>1503a</t>
  </si>
  <si>
    <t>可供出售金融资产情况</t>
  </si>
  <si>
    <t>1503</t>
  </si>
  <si>
    <t>资产减值准备金额</t>
  </si>
  <si>
    <t>C051</t>
  </si>
  <si>
    <t>财务费用_利息收入</t>
  </si>
  <si>
    <t>6603_06</t>
  </si>
  <si>
    <t>固定资产折旧、油气资产折耗、生产性生物资产折旧</t>
  </si>
  <si>
    <t>资产减值损失（损失以“-”号填列）</t>
  </si>
  <si>
    <t>1503i</t>
  </si>
  <si>
    <t>按成本计量的可供出售金融资产</t>
  </si>
  <si>
    <t>无形资产摊销</t>
  </si>
  <si>
    <t>公允价值变动收益（损失以“-”号填列）</t>
  </si>
  <si>
    <t>1503j</t>
  </si>
  <si>
    <t>按成本计量的可供出售金融资产（续）</t>
  </si>
  <si>
    <t>长期待摊费用摊销</t>
  </si>
  <si>
    <t>投资收益（损失以“-”号填列）</t>
  </si>
  <si>
    <t>1503k</t>
  </si>
  <si>
    <t>可供出售金融资产减值的变动情况</t>
  </si>
  <si>
    <t>处置固定资产、无形资产和其他长期资产的损失</t>
  </si>
  <si>
    <t>其中：对联营企业和合营企业的投资收益</t>
  </si>
  <si>
    <t>1503g</t>
  </si>
  <si>
    <t>可供出售权益工具公允价值严重下跌或非暂时性下跌但未计提减值准备的相关说明</t>
  </si>
  <si>
    <t>固定资产报废损失</t>
  </si>
  <si>
    <t>汇兑收益</t>
  </si>
  <si>
    <t>汇兑收益（损失以“-”号填列）</t>
  </si>
  <si>
    <t>1503e</t>
  </si>
  <si>
    <t>按公允价值计量的可供出售金融资产</t>
  </si>
  <si>
    <t>公允价值变动损失</t>
  </si>
  <si>
    <t>营业利润</t>
  </si>
  <si>
    <t>二、营业利润（亏损以“-”号填列）</t>
  </si>
  <si>
    <t>三、营业利润（亏损以“-”号填列）</t>
  </si>
  <si>
    <t>1503f</t>
  </si>
  <si>
    <t>采用成本计量的可供出售权益工具</t>
  </si>
  <si>
    <t>财务费用金额</t>
  </si>
  <si>
    <t>加：营业外收入</t>
  </si>
  <si>
    <t>少数股东损益</t>
  </si>
  <si>
    <t>1503d</t>
  </si>
  <si>
    <t>报告期内可供出售金融资产减值的变动情况</t>
  </si>
  <si>
    <t>投资损失</t>
  </si>
  <si>
    <t>营业外收入_非流动资产处置利得</t>
  </si>
  <si>
    <t>其中：非流动资产处置利得</t>
  </si>
  <si>
    <t>重新计量设定受益计划变动额</t>
  </si>
  <si>
    <t>1508a</t>
  </si>
  <si>
    <t>其他债权投资情况</t>
  </si>
  <si>
    <t>1508</t>
  </si>
  <si>
    <t>递延所得税资产减少</t>
  </si>
  <si>
    <t>减：营业外支出</t>
  </si>
  <si>
    <t>权益法下不能转损益的其他综合收益</t>
  </si>
  <si>
    <t>1508b</t>
  </si>
  <si>
    <t>期末重要的其他债权投资</t>
  </si>
  <si>
    <t>递延所得税负债增加</t>
  </si>
  <si>
    <t>非流动资产处置损失</t>
  </si>
  <si>
    <t>其中：非流动资产处置损失</t>
  </si>
  <si>
    <t>其他以后不能重分类进损益的其他综合收益</t>
  </si>
  <si>
    <t>1508c</t>
  </si>
  <si>
    <t>存货的减少</t>
  </si>
  <si>
    <t>利润总额</t>
  </si>
  <si>
    <t>三、利润总额（亏损总额以“-”号填列）</t>
  </si>
  <si>
    <t>四、利润总额（亏损总额以“-”号填列）</t>
  </si>
  <si>
    <t>其他权益工具投资公允价值变动</t>
  </si>
  <si>
    <t>6829.21a</t>
  </si>
  <si>
    <t>经营性应收项目的减少</t>
  </si>
  <si>
    <t>减：所得税费用</t>
  </si>
  <si>
    <t>企业自身信用风险公允价值变动</t>
  </si>
  <si>
    <t>6829.21b</t>
  </si>
  <si>
    <t>经营性应付项目的增加</t>
  </si>
  <si>
    <t>净利润</t>
  </si>
  <si>
    <t>四、净利润（净亏损以“-”号填列）</t>
  </si>
  <si>
    <t>五、净利润（净亏损以“-”号填列）</t>
  </si>
  <si>
    <t>权益法下可转损益的其他综合收益</t>
  </si>
  <si>
    <t>其他将净利润调节为经营活动现金流量项目</t>
  </si>
  <si>
    <t>同一控制下企业合并的被合并方在合并前实现的净利润</t>
  </si>
  <si>
    <t>其中：同一控制下企业合并的被合并方在合并前实现的净利润</t>
  </si>
  <si>
    <t>可供出售金融资产公允价值变动损益</t>
  </si>
  <si>
    <t>ＸJRH</t>
  </si>
  <si>
    <t>1508g</t>
  </si>
  <si>
    <t>其他债权投资减值准备的变动情况</t>
  </si>
  <si>
    <t>关联方交易</t>
  </si>
  <si>
    <t>归属于母公司所有者的净利润</t>
  </si>
  <si>
    <t>持有至到期投资重分类为可供出售金融资产损益</t>
  </si>
  <si>
    <t>1508d</t>
  </si>
  <si>
    <t>期末处于第一阶段的其他债权投资的减值准备</t>
  </si>
  <si>
    <t>所有者权益变动表项目注释</t>
  </si>
  <si>
    <t>现金流量套期损益的有效部分</t>
  </si>
  <si>
    <t>1508e</t>
  </si>
  <si>
    <t>期末处于第二阶段的其他债权投资的减值准备</t>
  </si>
  <si>
    <t>每股收益</t>
  </si>
  <si>
    <t>七、每股收益：</t>
  </si>
  <si>
    <t>外币财务报表折算差额</t>
  </si>
  <si>
    <t>1508f</t>
  </si>
  <si>
    <t>期末处于第三阶段的其他债权投资的减值准备</t>
  </si>
  <si>
    <t>基本每股收益</t>
  </si>
  <si>
    <t>自用房地产或作为存货的房地产转换为以公允价值计量的投资性房地产在转换日公允价值大于账面价值部分</t>
  </si>
  <si>
    <t>1508k</t>
  </si>
  <si>
    <t>终止经营</t>
  </si>
  <si>
    <t>稀释每股收益</t>
  </si>
  <si>
    <t>多次交易分步处置子公司股权构成一揽子交易的丧失控制权之前各次交易处置价款与对应净资产账面价值份额的差额</t>
  </si>
  <si>
    <t>1501a</t>
  </si>
  <si>
    <t>持有至到期投资情况</t>
  </si>
  <si>
    <t>1501</t>
  </si>
  <si>
    <t>政府补助</t>
  </si>
  <si>
    <t>其他综合收益的税后净额</t>
  </si>
  <si>
    <t>五、其他综合收益的税后净额</t>
  </si>
  <si>
    <t>六、其他综合收益的税后净额</t>
  </si>
  <si>
    <t>其他以后将重分类进损益的其他综合收益</t>
  </si>
  <si>
    <t>1501d</t>
  </si>
  <si>
    <t>重要的持有至到期投资</t>
  </si>
  <si>
    <t>当期非经常性损益明细表</t>
  </si>
  <si>
    <t>归属于母公司所有者的其他综合收益的税后净额</t>
  </si>
  <si>
    <t>归属于母公司股东的其他综合收益的税后净额</t>
  </si>
  <si>
    <t>其他债权投资公允价值变动</t>
  </si>
  <si>
    <t>6829.23a</t>
  </si>
  <si>
    <t>1501e</t>
  </si>
  <si>
    <t>补充资料</t>
  </si>
  <si>
    <t>以后不能重分类进损益的其他综合收益</t>
  </si>
  <si>
    <t>（一）不能重分类进损益的其他综合收益</t>
  </si>
  <si>
    <t>金融资产重分类计入其他综合收益的金额</t>
  </si>
  <si>
    <t>6829.23b</t>
  </si>
  <si>
    <t>1531a</t>
  </si>
  <si>
    <t>长期应收款情况</t>
  </si>
  <si>
    <t>1531</t>
  </si>
  <si>
    <t>其他债权投资信用减值准备</t>
  </si>
  <si>
    <t>6829.23c</t>
  </si>
  <si>
    <t>1531i</t>
  </si>
  <si>
    <t>现金流量套期储备</t>
  </si>
  <si>
    <t>6829.23d</t>
  </si>
  <si>
    <t>1531j</t>
  </si>
  <si>
    <t>其他</t>
  </si>
  <si>
    <t>少数股东其他综合收益_重新计量设定受益计划变动额</t>
  </si>
  <si>
    <t>1531k</t>
  </si>
  <si>
    <t>以后将重分类进损益的其他综合收益</t>
  </si>
  <si>
    <t>（二）将重分类进损益的其他综合收益</t>
  </si>
  <si>
    <t>少数股东其他综合收益_权益法下不能转损益的其他综合收益</t>
  </si>
  <si>
    <t>少数股东其他综合收益_其他以后不能重分类进损益的其他综合收益</t>
  </si>
  <si>
    <t>1531m</t>
  </si>
  <si>
    <t>少数股东其他综合收益_其他权益工具投资公允价值变动</t>
  </si>
  <si>
    <t>※_JR</t>
  </si>
  <si>
    <t>6829.51a</t>
  </si>
  <si>
    <t>少数股东其他综合收益_企业自身信用风险公允价值变动</t>
  </si>
  <si>
    <t>6829.51b</t>
  </si>
  <si>
    <t>少数股东其他综合收益_权益法下可转损益的其他综合收益</t>
  </si>
  <si>
    <t>1531p</t>
  </si>
  <si>
    <t>少数股东其他综合收益_可供出售金融资产公允价值变动损益</t>
  </si>
  <si>
    <t>※JRH</t>
  </si>
  <si>
    <t>1531h</t>
  </si>
  <si>
    <t>少数股东其他综合收益_持有至到期投资重分类为可供出售金融资产损益</t>
  </si>
  <si>
    <t>1531q</t>
  </si>
  <si>
    <t>多次交易分步处置子公司股权构成一揽子交易的，丧失控制权之前各次交易处置价款与对应净资产账面价值份额的差额</t>
  </si>
  <si>
    <t>少数股东其他综合收益_现金流量套期损益的有效部分</t>
  </si>
  <si>
    <t>1531g</t>
  </si>
  <si>
    <t>少数股东其他综合收益_外币财务报表折算差额</t>
  </si>
  <si>
    <t>因金融资产转移而终止确认的长期应收款</t>
  </si>
  <si>
    <t>归属于少数股东的其他综合收益的税后净额</t>
  </si>
  <si>
    <t>少数股东其他综合收益_自用房地产或作为存货的房地产转换为以公允价值计量的投资性房地产在转换日公允价值大于账面价值部分</t>
  </si>
  <si>
    <t>1531s</t>
  </si>
  <si>
    <t>转移长期应收款且继续涉入形成的资产、负债金额</t>
  </si>
  <si>
    <t>综合收益总额</t>
  </si>
  <si>
    <t>六、综合收益总额</t>
  </si>
  <si>
    <t>七、综合收益总额</t>
  </si>
  <si>
    <t>少数股东其他综合收益_多次交易分步处置子公司股权构成一揽子交易的丧失控制权之前各次交易处置价款与对应净资产账面价值份额的差额</t>
  </si>
  <si>
    <t>1531e</t>
  </si>
  <si>
    <t>转移长期应收款且继续涉入形成的负债</t>
  </si>
  <si>
    <t>归属于母公司所有者的综合收益总额</t>
  </si>
  <si>
    <t>少数股东其他综合收益_其他以后将重分类进损益的其他综合收益</t>
  </si>
  <si>
    <t>1531b</t>
  </si>
  <si>
    <t>归属于少数股东的综合收益总额</t>
  </si>
  <si>
    <t>少数股东其他综合收益_其他债权投资公允价值变动</t>
  </si>
  <si>
    <t>6829.53a</t>
  </si>
  <si>
    <t>1531c</t>
  </si>
  <si>
    <t>所有者权益变动表</t>
  </si>
  <si>
    <t>少数股东其他综合收益_金融资产重分类计入其他综合收益的金额</t>
  </si>
  <si>
    <t>6829.53b</t>
  </si>
  <si>
    <t>1531f</t>
  </si>
  <si>
    <t>外币长期应收款</t>
  </si>
  <si>
    <t>所有者权益增减变动</t>
  </si>
  <si>
    <t>少数股东其他综合收益_其他债权投资信用减值准备</t>
  </si>
  <si>
    <t>6829.53c</t>
  </si>
  <si>
    <t>1511b</t>
  </si>
  <si>
    <t>1511</t>
  </si>
  <si>
    <t>所有者权益_上年年末余额</t>
  </si>
  <si>
    <t>一、上年年末余额</t>
  </si>
  <si>
    <t>少数股东其他综合收益_现金流量套期储备</t>
  </si>
  <si>
    <t>6829.53d</t>
  </si>
  <si>
    <t>1511a</t>
  </si>
  <si>
    <t>长期股权投资分项列示</t>
  </si>
  <si>
    <t>所有者权益_会计政策变更调整上年年末余额</t>
  </si>
  <si>
    <t>加：会计政策变更</t>
  </si>
  <si>
    <t>实收资本_上年年末余额</t>
  </si>
  <si>
    <t>1538a</t>
  </si>
  <si>
    <t>其他权益工具投资情况</t>
  </si>
  <si>
    <t>1538</t>
  </si>
  <si>
    <t>所有者权益_前期差错更正调整上年年末余额</t>
  </si>
  <si>
    <t>前期差错更正</t>
  </si>
  <si>
    <t>实收资本_会计政策变更调整上年年末余额</t>
  </si>
  <si>
    <t>LOW</t>
  </si>
  <si>
    <t>1538b</t>
  </si>
  <si>
    <t>非交易性权益工具的投资情况</t>
  </si>
  <si>
    <t>所有者权益_同一控制下企业合并调整上年年末余额</t>
  </si>
  <si>
    <t>※＝</t>
  </si>
  <si>
    <t>同一控制下企业合并</t>
  </si>
  <si>
    <t>实收资本_前期差错更正调整上年年末余额</t>
  </si>
  <si>
    <t>1539a</t>
  </si>
  <si>
    <t>其他非流动金融资产明细</t>
  </si>
  <si>
    <t>1539</t>
  </si>
  <si>
    <t>所有者权益_其他原因调整上年年末余额</t>
  </si>
  <si>
    <t>实收资本_同一控制下企业合并调整上年年末余额</t>
  </si>
  <si>
    <t>1515a</t>
  </si>
  <si>
    <t>所有者权益_本年年初余额</t>
  </si>
  <si>
    <t>二、本年年初余额</t>
  </si>
  <si>
    <t>实收资本_其他原因调整上年年末余额</t>
  </si>
  <si>
    <t>1515b</t>
  </si>
  <si>
    <t>设定受益计划义务现值变动情况</t>
  </si>
  <si>
    <t>所有者权益_本期增减变动金额</t>
  </si>
  <si>
    <t>三、本年增减变动金额（减少以“－”号填列）</t>
  </si>
  <si>
    <t>实收资本_净利润增加权益</t>
  </si>
  <si>
    <t>1515c</t>
  </si>
  <si>
    <t>设定受益计划资产变动情况</t>
  </si>
  <si>
    <t>所有者权益_净利润增加权益</t>
  </si>
  <si>
    <t>（一）净利润</t>
  </si>
  <si>
    <t>实收资本_其他综合收益增加权益</t>
  </si>
  <si>
    <t>1515d</t>
  </si>
  <si>
    <t>设定受益计划净资产变动情况</t>
  </si>
  <si>
    <t>所有者权益_其他综合收益增加权益</t>
  </si>
  <si>
    <t>（二）其他综合收益</t>
  </si>
  <si>
    <t>实收资本_综合收益总额增加权益</t>
  </si>
  <si>
    <t>1515e</t>
  </si>
  <si>
    <t>所有者权益_综合收益总额增加权益</t>
  </si>
  <si>
    <t>（一）综合收益总额</t>
  </si>
  <si>
    <t>实收资本_所有者投入资本</t>
  </si>
  <si>
    <t>1515f</t>
  </si>
  <si>
    <t>所有者权益_所有者投入和减少资本影响权益</t>
  </si>
  <si>
    <t>（二）所有者投入和减少资本</t>
  </si>
  <si>
    <t>（二）股东（或所有者）投入和减少资本</t>
  </si>
  <si>
    <t>实收资本_股份支付计入所有者权益的金额</t>
  </si>
  <si>
    <t>1515g</t>
  </si>
  <si>
    <t>设定受益计划精算假设</t>
  </si>
  <si>
    <t>所有者权益_所有者投入资本增加权益</t>
  </si>
  <si>
    <t>所有者投入的普通股</t>
  </si>
  <si>
    <t>股东投入的普通股</t>
  </si>
  <si>
    <t>实收资本_其他权益工具持有者投入资本</t>
  </si>
  <si>
    <t>1515h</t>
  </si>
  <si>
    <t>设定受益计划敏感性分析</t>
  </si>
  <si>
    <t>所有者权益_其他权益工具持有者投入资本</t>
  </si>
  <si>
    <t>OEI＝</t>
  </si>
  <si>
    <t>其他权益工具持有者投入资本</t>
  </si>
  <si>
    <t>实收资本_所有者其他投入和减少资本</t>
  </si>
  <si>
    <t>1521h</t>
  </si>
  <si>
    <t>采用成本计量模式的投资性房地产</t>
  </si>
  <si>
    <t>1521</t>
  </si>
  <si>
    <t>所有者权益_股份支付计入所有者权益的金额</t>
  </si>
  <si>
    <t>股份支付计入所有者权益的金额</t>
  </si>
  <si>
    <t>股份支付计入股东权益的金额</t>
  </si>
  <si>
    <t>实收资本_提取盈余公积影响权益</t>
  </si>
  <si>
    <t>1521b</t>
  </si>
  <si>
    <t>采用公允价值计量模式的投资性房地产</t>
  </si>
  <si>
    <t>所有者权益_所有者其他投入和减少资本</t>
  </si>
  <si>
    <t>实收资本_提取一般风险准备影响权益</t>
  </si>
  <si>
    <t>1521c</t>
  </si>
  <si>
    <t>未办妥产权证书的投资性房地产情况</t>
  </si>
  <si>
    <t>所有者权益_利润分配影响权益</t>
  </si>
  <si>
    <t>（四）利润分配</t>
  </si>
  <si>
    <t>（三）利润分配</t>
  </si>
  <si>
    <t>实收资本_对所有者的分配影响权益</t>
  </si>
  <si>
    <t>1521d</t>
  </si>
  <si>
    <t>按成本计量的投资性房地产账面原值</t>
  </si>
  <si>
    <t>所有者权益_提取盈余公积影响权益</t>
  </si>
  <si>
    <t>提取盈余公积</t>
  </si>
  <si>
    <t>实收资本_其他利润分配影响权益</t>
  </si>
  <si>
    <t>1521e</t>
  </si>
  <si>
    <t>按成本计量的投资性房地产累计折旧和累计摊销</t>
  </si>
  <si>
    <t>所有者权益_提取一般风险准备影响权益</t>
  </si>
  <si>
    <t>提取一般风险准备</t>
  </si>
  <si>
    <t>实收资本_资本公积转增</t>
  </si>
  <si>
    <t>1521f</t>
  </si>
  <si>
    <t>按成本计量的投资性房地产减值准备</t>
  </si>
  <si>
    <t>所有者权益_对所有者的分配影响权益</t>
  </si>
  <si>
    <t>对所有者（或股东）的分配</t>
  </si>
  <si>
    <t>对股东（或所有者）的分配</t>
  </si>
  <si>
    <t>实收资本_盈余公积转增</t>
  </si>
  <si>
    <t>1521g</t>
  </si>
  <si>
    <t>按成本计量的投资性房地产账面价值</t>
  </si>
  <si>
    <t>所有者权益_其他利润分配影响权益</t>
  </si>
  <si>
    <t>实收资本_盈余公积弥补亏损影响权益</t>
  </si>
  <si>
    <t>1521s</t>
  </si>
  <si>
    <t>投资性房地产抵押情况</t>
  </si>
  <si>
    <t>所有者权益_所有者权益内部结转</t>
  </si>
  <si>
    <t>实收资本_设定受益计划变动额结转留存收益</t>
  </si>
  <si>
    <t>1521a</t>
  </si>
  <si>
    <t>采用成本计量模式的投资性房地产增减变动</t>
  </si>
  <si>
    <t>所有者权益_资本公积转增资本影响权益</t>
  </si>
  <si>
    <t>资本公积转增资本（或股本）</t>
  </si>
  <si>
    <t>资本公积转增股本（或资本）</t>
  </si>
  <si>
    <t>实收资本_所有者权益其他内部结转</t>
  </si>
  <si>
    <t>1611a</t>
  </si>
  <si>
    <t>固定资产分类列示</t>
  </si>
  <si>
    <t>1611</t>
  </si>
  <si>
    <t>所有者权益_盈余公积转增资本影响权益</t>
  </si>
  <si>
    <t>盈余公积转增资本（或股本）</t>
  </si>
  <si>
    <t>盈余公积转增股本（或资本）</t>
  </si>
  <si>
    <t>实收资本_其他综合收益结转留存收益</t>
  </si>
  <si>
    <t>1601k</t>
  </si>
  <si>
    <t>固定资产情况</t>
  </si>
  <si>
    <t>1601</t>
  </si>
  <si>
    <t>所有者权益_盈余公积弥补亏损影响权益</t>
  </si>
  <si>
    <t>盈余公积弥补亏损</t>
  </si>
  <si>
    <t>实收资本_专项储备本期提取</t>
  </si>
  <si>
    <t>1601a</t>
  </si>
  <si>
    <t>固定资产及其累计折旧明细项目和增减变动</t>
  </si>
  <si>
    <t>所有者权益_设定受益计划变动额结转留存收益</t>
  </si>
  <si>
    <t>设定受益计划变动额结转留存收益</t>
  </si>
  <si>
    <t>实收资本_专项储备本期使用</t>
  </si>
  <si>
    <t>1601b</t>
  </si>
  <si>
    <t>暂时闲置的固定资产情况</t>
  </si>
  <si>
    <t>所有者权益_所有者权益其他内部结转</t>
  </si>
  <si>
    <t>实收资本_本期其他增减变动</t>
  </si>
  <si>
    <t>1601c</t>
  </si>
  <si>
    <t>通过融资租赁租入的固定资产情况</t>
  </si>
  <si>
    <t>所有者权益_专项储备影响权益</t>
  </si>
  <si>
    <t>（三）专项储备提取和使用</t>
  </si>
  <si>
    <t>（五）专项储备</t>
  </si>
  <si>
    <t>资本公积_上年年末余额</t>
  </si>
  <si>
    <t>1601d</t>
  </si>
  <si>
    <t>通过经营租赁租出的固定资产</t>
  </si>
  <si>
    <t>所有者权益_专项储备本期提取</t>
  </si>
  <si>
    <t>本期提取</t>
  </si>
  <si>
    <t>资本公积_会计政策变更调整上年年末余额</t>
  </si>
  <si>
    <t>1601l</t>
  </si>
  <si>
    <t>未办妥产权证书的固定资产情况</t>
  </si>
  <si>
    <t>所有者权益_专项储备本期使用</t>
  </si>
  <si>
    <t>本期使用（以负号填列）</t>
  </si>
  <si>
    <t>资本公积_前期差错更正调整上年年末余额</t>
  </si>
  <si>
    <t>1601f</t>
  </si>
  <si>
    <t>未办妥产权证书的固定资产及其累计折旧明细项目</t>
  </si>
  <si>
    <t>所有者权益_本期其他增减变动</t>
  </si>
  <si>
    <t>（六）其他</t>
  </si>
  <si>
    <t>资本公积_同一控制下企业合并调整上年年末余额</t>
  </si>
  <si>
    <t>1601g</t>
  </si>
  <si>
    <t>固定资产原值</t>
  </si>
  <si>
    <t>所有者权益_本期期末余额</t>
  </si>
  <si>
    <t>四、本年年末余额</t>
  </si>
  <si>
    <t>资本公积_其他原因调整上年年末余额</t>
  </si>
  <si>
    <t>1601h</t>
  </si>
  <si>
    <t>固定资产累计折旧</t>
  </si>
  <si>
    <t>实收资本增减变动</t>
  </si>
  <si>
    <t>实收资本(或股本)增减变动</t>
  </si>
  <si>
    <t>资本公积_净利润增加权益</t>
  </si>
  <si>
    <t>1601i</t>
  </si>
  <si>
    <t>资本公积_其他综合收益</t>
  </si>
  <si>
    <t>1601j</t>
  </si>
  <si>
    <t>固定资产账面价值</t>
  </si>
  <si>
    <t>资本公积_综合收益总额增加权益</t>
  </si>
  <si>
    <t>1601s</t>
  </si>
  <si>
    <t>固定资产抵押情况</t>
  </si>
  <si>
    <t>资本公积_所有者投入资本</t>
  </si>
  <si>
    <t>1601t</t>
  </si>
  <si>
    <t>本期冲减固定资产账面价值的政府补助</t>
  </si>
  <si>
    <t>资本公积_股份支付</t>
  </si>
  <si>
    <t>1601x</t>
  </si>
  <si>
    <t>固定资产累计折旧补充资料</t>
  </si>
  <si>
    <t>资本公积_其他权益工具持有者投入资本</t>
  </si>
  <si>
    <t>1606b</t>
  </si>
  <si>
    <t>固定资产清理明细项目</t>
  </si>
  <si>
    <t>1606</t>
  </si>
  <si>
    <t>实收资本_本年年初余额</t>
  </si>
  <si>
    <t>资本公积_所有者其他投入和减少资本</t>
  </si>
  <si>
    <t>1606a</t>
  </si>
  <si>
    <t>实收资本_本期增减变动金额</t>
  </si>
  <si>
    <t>三、本期增减变动金额（减少以“-”号填列）</t>
  </si>
  <si>
    <t>资本公积_提取盈余公积影响权益</t>
  </si>
  <si>
    <t>1616a</t>
  </si>
  <si>
    <t>在建工程分类列示</t>
  </si>
  <si>
    <t>1616</t>
  </si>
  <si>
    <t>实收资本_所有者投入和减少资本影响权益</t>
  </si>
  <si>
    <t>资本公积_提取一般风险准备影响权益</t>
  </si>
  <si>
    <t>1604a</t>
  </si>
  <si>
    <t>在建工程情况</t>
  </si>
  <si>
    <t>1604</t>
  </si>
  <si>
    <t>所有者投入资本</t>
  </si>
  <si>
    <t>资本公积_对所有者的分配影响权益</t>
  </si>
  <si>
    <t>资本公积_其他利润分配</t>
  </si>
  <si>
    <t>资本公积_转增资本</t>
  </si>
  <si>
    <t>1604g</t>
  </si>
  <si>
    <t>实收资本_所有者权益内部结转</t>
  </si>
  <si>
    <t>（四）所有者权益内部结转</t>
  </si>
  <si>
    <t>资本公积_盈余公积转增资本影响权益</t>
  </si>
  <si>
    <t>1604b</t>
  </si>
  <si>
    <t>重要在建工程项目变动情况列示</t>
  </si>
  <si>
    <t>资本公积_盈余公积弥补亏损影响权益</t>
  </si>
  <si>
    <t>1604c</t>
  </si>
  <si>
    <t>重要在建工程项目变动情况列示（续）</t>
  </si>
  <si>
    <t>资本公积_设定受益计划变动额结转留存收益</t>
  </si>
  <si>
    <t>1604d</t>
  </si>
  <si>
    <t>资本公积_所有者权益其他内部结转</t>
  </si>
  <si>
    <t>1605a</t>
  </si>
  <si>
    <t>工程物资明细项目</t>
  </si>
  <si>
    <t>1605</t>
  </si>
  <si>
    <t>资本公积_其他综合收益结转留存收益</t>
  </si>
  <si>
    <t>1605b</t>
  </si>
  <si>
    <t>（七）其他</t>
  </si>
  <si>
    <t>资本公积_专项储备本期提取</t>
  </si>
  <si>
    <t>1621c</t>
  </si>
  <si>
    <t>1621</t>
  </si>
  <si>
    <t>实收资本_本期期末余额</t>
  </si>
  <si>
    <t>四、本期期末余额</t>
  </si>
  <si>
    <t>资本公积_专项储备本期使用</t>
  </si>
  <si>
    <t>1621d</t>
  </si>
  <si>
    <t>8a00</t>
  </si>
  <si>
    <t>其他权益工具增减变动</t>
  </si>
  <si>
    <t>：OEI</t>
  </si>
  <si>
    <t>资本公积_本期其他增减变动</t>
  </si>
  <si>
    <t>1621e</t>
  </si>
  <si>
    <t>8b00</t>
  </si>
  <si>
    <t>其他权益工具（优先股）增减变动</t>
  </si>
  <si>
    <t>库存股_上年年末余额</t>
  </si>
  <si>
    <t>1621f</t>
  </si>
  <si>
    <t>8b01</t>
  </si>
  <si>
    <t>其他权益工具（优先股）_上年年末余额</t>
  </si>
  <si>
    <t>库存股_会计政策变更调整上年年末余额</t>
  </si>
  <si>
    <t>1621b</t>
  </si>
  <si>
    <t>采用公允价值计量模式的生产性生物资产</t>
  </si>
  <si>
    <t>8b02</t>
  </si>
  <si>
    <t>其他权益工具（优先股）_会计政策变更调整上年年末余额</t>
  </si>
  <si>
    <t>库存股_前期差错更正调整上年年末余额</t>
  </si>
  <si>
    <t>1621a</t>
  </si>
  <si>
    <t>以成本计量的生产性生物资产明细列示</t>
  </si>
  <si>
    <t>8b03</t>
  </si>
  <si>
    <t>其他权益工具（优先股）_前期差错更正调整上年年末余额</t>
  </si>
  <si>
    <t>库存股_同一控制下企业合并调整上年年末余额</t>
  </si>
  <si>
    <t>1631b</t>
  </si>
  <si>
    <t>油气资产情况</t>
  </si>
  <si>
    <t>1631</t>
  </si>
  <si>
    <t>8b04</t>
  </si>
  <si>
    <t>其他权益工具（优先股）_同一控制下企业合并调整上年年末余额</t>
  </si>
  <si>
    <t>※OEI</t>
  </si>
  <si>
    <t>库存股_其他原因调整上年年末余额</t>
  </si>
  <si>
    <t>1631a</t>
  </si>
  <si>
    <t>油气资产明细项目</t>
  </si>
  <si>
    <t>8b09</t>
  </si>
  <si>
    <t>其他权益工具（优先股）_其他原因调整上年年末余额</t>
  </si>
  <si>
    <t>库存股_净利润增加权益</t>
  </si>
  <si>
    <t>1701a</t>
  </si>
  <si>
    <t>1701</t>
  </si>
  <si>
    <t>8b10</t>
  </si>
  <si>
    <t>其他权益工具（优先股）_本年年初余额</t>
  </si>
  <si>
    <t>库存股_其他综合收益增加权益</t>
  </si>
  <si>
    <t>1701b</t>
  </si>
  <si>
    <t>无形资产累计摊销</t>
  </si>
  <si>
    <t>8b90</t>
  </si>
  <si>
    <t>其他权益工具（优先股）_本期增减变动金额</t>
  </si>
  <si>
    <t>库存股_综合收益总额增加权益</t>
  </si>
  <si>
    <t>1701c</t>
  </si>
  <si>
    <t>8b40</t>
  </si>
  <si>
    <t>其他权益工具（优先股）_综合收益总额增加权益</t>
  </si>
  <si>
    <t>库存股_所有者投入资本</t>
  </si>
  <si>
    <t>1701d</t>
  </si>
  <si>
    <t>无形资产账面价值</t>
  </si>
  <si>
    <t>8b50</t>
  </si>
  <si>
    <t>其他权益工具（优先股）_所有者投入和减少资本影响权益</t>
  </si>
  <si>
    <t>库存股_股份支付</t>
  </si>
  <si>
    <t>1701f</t>
  </si>
  <si>
    <t>未办妥产权证书的土地使用权情况</t>
  </si>
  <si>
    <t>8b51</t>
  </si>
  <si>
    <t>其他权益工具（优先股）_所有者投入资本</t>
  </si>
  <si>
    <t>库存股_其他权益工具持有者投入资本</t>
  </si>
  <si>
    <t>1701e</t>
  </si>
  <si>
    <t>未办妥产权证书的土地使用权及其累计摊销明细项目</t>
  </si>
  <si>
    <t>8b52</t>
  </si>
  <si>
    <t>其他权益工具（优先股）_股份支付</t>
  </si>
  <si>
    <t>库存股_所有者其他投入和减少资本</t>
  </si>
  <si>
    <t>1701x</t>
  </si>
  <si>
    <t>无形资产累计摊销补充资料</t>
  </si>
  <si>
    <t>8b53</t>
  </si>
  <si>
    <t>其他权益工具（优先股）_其他权益工具持有者投入资本</t>
  </si>
  <si>
    <t>库存股_提取盈余公积影响权益</t>
  </si>
  <si>
    <t>1705a</t>
  </si>
  <si>
    <t>无形资产情况</t>
  </si>
  <si>
    <t>8b56</t>
  </si>
  <si>
    <t>其他权益工具（优先股）_所有者其他投入和减少资本</t>
  </si>
  <si>
    <t>库存股_提取一般风险准备影响权益</t>
  </si>
  <si>
    <t>1705t</t>
  </si>
  <si>
    <t>无形资产抵押情况</t>
  </si>
  <si>
    <t>8b60</t>
  </si>
  <si>
    <t>其他权益工具（优先股）_利润分配影响权益</t>
  </si>
  <si>
    <t>库存股_对所有者的分配</t>
  </si>
  <si>
    <t>1705b</t>
  </si>
  <si>
    <t>开发支出变动情况</t>
  </si>
  <si>
    <t>8b61</t>
  </si>
  <si>
    <t>其他权益工具（优先股）_提取盈余公积</t>
  </si>
  <si>
    <t>库存股_其他利润分配</t>
  </si>
  <si>
    <t>1711a</t>
  </si>
  <si>
    <t>商誉账面原值</t>
  </si>
  <si>
    <t>1711</t>
  </si>
  <si>
    <t>8b62</t>
  </si>
  <si>
    <t>其他权益工具（优先股）_提取一般风险准备</t>
  </si>
  <si>
    <t>库存股_资本公积转增资本影响权益</t>
  </si>
  <si>
    <t>1711b</t>
  </si>
  <si>
    <t>8b63</t>
  </si>
  <si>
    <t>其他权益工具（优先股）_对所有者的分配</t>
  </si>
  <si>
    <t>库存股_盈余公积转增资本影响权益</t>
  </si>
  <si>
    <t>1801a</t>
  </si>
  <si>
    <t>长期待摊费用明细项目</t>
  </si>
  <si>
    <t>1801</t>
  </si>
  <si>
    <t>8b66</t>
  </si>
  <si>
    <t>其他权益工具（优先股）_其他利润分配</t>
  </si>
  <si>
    <t>库存股_盈余公积弥补亏损影响权益</t>
  </si>
  <si>
    <t>1801x</t>
  </si>
  <si>
    <t>长期待摊费用补充资料</t>
  </si>
  <si>
    <t>8b70</t>
  </si>
  <si>
    <t>其他权益工具（优先股）_所有者权益内部结转</t>
  </si>
  <si>
    <t>库存股_设定受益计划变动额结转留存收益</t>
  </si>
  <si>
    <t>1829a</t>
  </si>
  <si>
    <t>未经抵销的递延所得税资产</t>
  </si>
  <si>
    <t>1829</t>
  </si>
  <si>
    <t>8b71</t>
  </si>
  <si>
    <t>其他权益工具（优先股）_资本公积转增资本</t>
  </si>
  <si>
    <t>库存股_所有者权益其他内部结转</t>
  </si>
  <si>
    <t>1829b</t>
  </si>
  <si>
    <t>未经抵销的递延所得税负债</t>
  </si>
  <si>
    <t>8b72</t>
  </si>
  <si>
    <t>其他权益工具（优先股）_盈余公积转增资本</t>
  </si>
  <si>
    <t>库存股_其他综合收益结转留存收益</t>
  </si>
  <si>
    <t>1829c</t>
  </si>
  <si>
    <t>以抵销后净额列示的递延所得税资产或负债</t>
  </si>
  <si>
    <t>8b73</t>
  </si>
  <si>
    <t>其他权益工具（优先股）_盈余公积弥补亏损</t>
  </si>
  <si>
    <t>库存股_专项储备本期提取</t>
  </si>
  <si>
    <t>1829e</t>
  </si>
  <si>
    <t>未确认递延所得税资产明细</t>
  </si>
  <si>
    <t>8b75</t>
  </si>
  <si>
    <t>其他权益工具（优先股）_设定受益计划变动额结转留存收益</t>
  </si>
  <si>
    <t>库存股_专项储备本期使用</t>
  </si>
  <si>
    <t>1829f</t>
  </si>
  <si>
    <t>未确认递延所得税资产的可抵扣亏损将于以下年度到期</t>
  </si>
  <si>
    <t>8b76</t>
  </si>
  <si>
    <t>其他权益工具（优先股）_所有者权益其他内部结转</t>
  </si>
  <si>
    <t>库存股_本期其他增减变动</t>
  </si>
  <si>
    <t>1996a</t>
  </si>
  <si>
    <t>其他非流动资产明细项目</t>
  </si>
  <si>
    <t>1996</t>
  </si>
  <si>
    <t>8b80</t>
  </si>
  <si>
    <t>其他权益工具（优先股）_专项储备影响权益</t>
  </si>
  <si>
    <t>专项储备_上年年末余额</t>
  </si>
  <si>
    <t>1704a</t>
  </si>
  <si>
    <t>8b81</t>
  </si>
  <si>
    <t>其他权益工具（优先股）_专项储备本期提取</t>
  </si>
  <si>
    <t>专项储备_会计政策变更调整上年年末余额</t>
  </si>
  <si>
    <t>1997a</t>
  </si>
  <si>
    <t>所有权或使用权受到限制的资产明细项目</t>
  </si>
  <si>
    <t>8b82</t>
  </si>
  <si>
    <t>其他权益工具（优先股）_专项储备本期使用</t>
  </si>
  <si>
    <t>本期使用</t>
  </si>
  <si>
    <t>专项储备_前期差错更正调整上年年末余额</t>
  </si>
  <si>
    <t>2001a</t>
  </si>
  <si>
    <t>短期借款分类</t>
  </si>
  <si>
    <t>借款类别</t>
  </si>
  <si>
    <t>8b96</t>
  </si>
  <si>
    <t>其他权益工具（优先股）_本期其他增减变动</t>
  </si>
  <si>
    <t>专项储备_同一控制下企业合并调整上年年末余额</t>
  </si>
  <si>
    <t>2001b</t>
  </si>
  <si>
    <t>重要的已逾期未偿还的短期借款情况</t>
  </si>
  <si>
    <t>贷款单位</t>
  </si>
  <si>
    <t>8b99</t>
  </si>
  <si>
    <t>其他权益工具（优先股）_本期期末余额</t>
  </si>
  <si>
    <t>专项储备_其他原因调整上年年末余额</t>
  </si>
  <si>
    <t>2001d</t>
  </si>
  <si>
    <t>短期借款中的质押借款明细列示</t>
  </si>
  <si>
    <t>币       种</t>
  </si>
  <si>
    <t>8c00</t>
  </si>
  <si>
    <t>其他权益工具（永续债）增减变动</t>
  </si>
  <si>
    <t>专项储备_净利润增加权益</t>
  </si>
  <si>
    <t>2001e</t>
  </si>
  <si>
    <t>短期借款中的抵押借款明细列示</t>
  </si>
  <si>
    <t>8c01</t>
  </si>
  <si>
    <t>其他权益工具（永续债）_上年年末余额</t>
  </si>
  <si>
    <t>专项储备_其他综合收益增加权益</t>
  </si>
  <si>
    <t>2001f</t>
  </si>
  <si>
    <t>短期借款中的保证借款明细列示</t>
  </si>
  <si>
    <t>8c02</t>
  </si>
  <si>
    <t>其他权益工具（永续债）_会计政策变更调整上年年末余额</t>
  </si>
  <si>
    <t>专项储备_综合收益总额增加权益</t>
  </si>
  <si>
    <t>2001c</t>
  </si>
  <si>
    <t>外币短期借款</t>
  </si>
  <si>
    <t>8c03</t>
  </si>
  <si>
    <t>其他权益工具（永续债）_前期差错更正调整上年年末余额</t>
  </si>
  <si>
    <t>专项储备_所有者投入资本增加权益</t>
  </si>
  <si>
    <t>2101a</t>
  </si>
  <si>
    <t>以公允价值计量且其变动计入当期损益的金融负债明细列示</t>
  </si>
  <si>
    <t>8c04</t>
  </si>
  <si>
    <t>其他权益工具（永续债）_同一控制下企业合并调整上年年末余额</t>
  </si>
  <si>
    <t>专项储备_股份支付计入所有者权益的金额</t>
  </si>
  <si>
    <t>2102a</t>
  </si>
  <si>
    <t>交易性金融负债情况</t>
  </si>
  <si>
    <t>8c09</t>
  </si>
  <si>
    <t>其他权益工具（永续债）_其他原因调整上年年末余额</t>
  </si>
  <si>
    <t>专项储备_其他权益工具持有者投入资本</t>
  </si>
  <si>
    <t>2102b</t>
  </si>
  <si>
    <t>指定为以公允价值计量且其变动计入当期损益的金融负债公允价值变动情况</t>
  </si>
  <si>
    <t>8c10</t>
  </si>
  <si>
    <t>其他权益工具（永续债）_本年年初余额</t>
  </si>
  <si>
    <t>专项储备_所有者其他投入和减少资本</t>
  </si>
  <si>
    <t>2115a</t>
  </si>
  <si>
    <t>衍生金融负债明细列示</t>
  </si>
  <si>
    <t>8c90</t>
  </si>
  <si>
    <t>其他权益工具（永续债）_本期增减变动金额</t>
  </si>
  <si>
    <t>专项储备_提取盈余公积影响权益</t>
  </si>
  <si>
    <t>2201a</t>
  </si>
  <si>
    <t>应付票据明细项目</t>
  </si>
  <si>
    <t>种       类</t>
  </si>
  <si>
    <t>8c40</t>
  </si>
  <si>
    <t>其他权益工具（永续债）_综合收益总额增加权益</t>
  </si>
  <si>
    <t>专项储备_提取一般风险准备影响权益</t>
  </si>
  <si>
    <t>2202e</t>
  </si>
  <si>
    <t>应付账款按性质列示</t>
  </si>
  <si>
    <t>8c50</t>
  </si>
  <si>
    <t>其他权益工具（永续债）_所有者投入和减少资本影响权益</t>
  </si>
  <si>
    <t>专项储备_对所有者的分配影响权益</t>
  </si>
  <si>
    <t>2202a</t>
  </si>
  <si>
    <t>期末账龄超过1年的重要应付账款</t>
  </si>
  <si>
    <t>关联方</t>
  </si>
  <si>
    <t>8c51</t>
  </si>
  <si>
    <t>其他权益工具（永续债）_所有者投入资本</t>
  </si>
  <si>
    <t>专项储备_其他利润分配影响权益</t>
  </si>
  <si>
    <t>2202f</t>
  </si>
  <si>
    <t>应付账款按账龄列示</t>
  </si>
  <si>
    <t>8c52</t>
  </si>
  <si>
    <t>其他权益工具（永续债）_股份支付</t>
  </si>
  <si>
    <t>专项储备_资本公积转增资本影响权益</t>
  </si>
  <si>
    <t>2202c</t>
  </si>
  <si>
    <t>关联方应收应付款项——应付账款</t>
  </si>
  <si>
    <t>8c53</t>
  </si>
  <si>
    <t>其他权益工具（永续债）_其他权益工具持有者投入资本</t>
  </si>
  <si>
    <t>专项储备_盈余公积转增资本影响权益</t>
  </si>
  <si>
    <t>2202d</t>
  </si>
  <si>
    <t>外币应付账款</t>
  </si>
  <si>
    <t>账       龄</t>
  </si>
  <si>
    <t>8c56</t>
  </si>
  <si>
    <t>其他权益工具（永续债）_所有者其他投入和减少资本</t>
  </si>
  <si>
    <t>专项储备_盈余公积弥补亏损影响权益</t>
  </si>
  <si>
    <t>2202g</t>
  </si>
  <si>
    <t>单项金额较大的应付账款</t>
  </si>
  <si>
    <t>8c60</t>
  </si>
  <si>
    <t>其他权益工具（永续债）_利润分配影响权益</t>
  </si>
  <si>
    <t>专项储备_设定受益计划变动额结转留存收益</t>
  </si>
  <si>
    <t>2202x</t>
  </si>
  <si>
    <t>应付账款补充资料</t>
  </si>
  <si>
    <t>8c61</t>
  </si>
  <si>
    <t>其他权益工具（永续债）_提取盈余公积</t>
  </si>
  <si>
    <t>专项储备_所有者权益其他内部结转</t>
  </si>
  <si>
    <t>2203a</t>
  </si>
  <si>
    <t>应付票据及应付账款分类列示</t>
  </si>
  <si>
    <t>8c62</t>
  </si>
  <si>
    <t>其他权益工具（永续债）_提取一般风险准备</t>
  </si>
  <si>
    <t>专项储备_其他综合收益结转留存收益</t>
  </si>
  <si>
    <t>2205f</t>
  </si>
  <si>
    <t>预收款项列示</t>
  </si>
  <si>
    <t>8c63</t>
  </si>
  <si>
    <t>其他权益工具（永续债）_对所有者的分配</t>
  </si>
  <si>
    <t>专项储备_本期提取</t>
  </si>
  <si>
    <t>2205a</t>
  </si>
  <si>
    <t>期末账龄超过1年的重要预收款项</t>
  </si>
  <si>
    <t>单位名称</t>
  </si>
  <si>
    <t>8c66</t>
  </si>
  <si>
    <t>其他权益工具（永续债）_其他利润分配</t>
  </si>
  <si>
    <t>专项储备_本期使用</t>
  </si>
  <si>
    <t>2205h</t>
  </si>
  <si>
    <t>建造合同形成的已结算未完工项目情况</t>
  </si>
  <si>
    <t>8c70</t>
  </si>
  <si>
    <t>其他权益工具（永续债）_所有者权益内部结转</t>
  </si>
  <si>
    <t>专项储备_本期其他增减变动</t>
  </si>
  <si>
    <t>2205c</t>
  </si>
  <si>
    <t>关联方应收应付款项——预收款项</t>
  </si>
  <si>
    <t>项目名称</t>
  </si>
  <si>
    <t>8c71</t>
  </si>
  <si>
    <t>其他权益工具（永续债）_资本公积转增资本</t>
  </si>
  <si>
    <t>盈余公积_上年年末余额</t>
  </si>
  <si>
    <t>2205d</t>
  </si>
  <si>
    <t>外币预收款项</t>
  </si>
  <si>
    <t>8c72</t>
  </si>
  <si>
    <t>其他权益工具（永续债）_盈余公积转增资本</t>
  </si>
  <si>
    <t>盈余公积_会计政策变更调整上年年末余额</t>
  </si>
  <si>
    <t>2205e</t>
  </si>
  <si>
    <t>预收款项中预售房产收款情况</t>
  </si>
  <si>
    <t>8c73</t>
  </si>
  <si>
    <t>其他权益工具（永续债）_盈余公积弥补亏损</t>
  </si>
  <si>
    <t>盈余公积_前期差错更正调整上年年末余额</t>
  </si>
  <si>
    <t>2205g</t>
  </si>
  <si>
    <t>预收账款按账龄列示</t>
  </si>
  <si>
    <t>8c75</t>
  </si>
  <si>
    <t>其他权益工具（永续债）_设定受益计划变动额结转留存收益</t>
  </si>
  <si>
    <t>盈余公积_同一控制下企业合并调整上年年末余额</t>
  </si>
  <si>
    <t>2205x</t>
  </si>
  <si>
    <t>预收款项补充资料</t>
  </si>
  <si>
    <t>8c76</t>
  </si>
  <si>
    <t>其他权益工具（永续债）_所有者权益其他内部结转</t>
  </si>
  <si>
    <t>盈余公积_其他原因调整上年年末余额</t>
  </si>
  <si>
    <t>2211a</t>
  </si>
  <si>
    <t>应付职工薪酬列示</t>
  </si>
  <si>
    <t>8c80</t>
  </si>
  <si>
    <t>其他权益工具（永续债）_专项储备影响权益</t>
  </si>
  <si>
    <t>盈余公积_净利润增加权益</t>
  </si>
  <si>
    <t>2211b</t>
  </si>
  <si>
    <t>短期薪酬列示</t>
  </si>
  <si>
    <t>8c81</t>
  </si>
  <si>
    <t>其他权益工具（永续债）_专项储备本期提取</t>
  </si>
  <si>
    <t>盈余公积_其他综合收益增加权益</t>
  </si>
  <si>
    <t>2211c</t>
  </si>
  <si>
    <t>设定提存计划列示</t>
  </si>
  <si>
    <t>8c82</t>
  </si>
  <si>
    <t>其他权益工具（永续债）_专项储备本期使用</t>
  </si>
  <si>
    <t>盈余公积_综合收益总额增加权益</t>
  </si>
  <si>
    <t>2211d</t>
  </si>
  <si>
    <t>应付职工薪酬分类列示</t>
  </si>
  <si>
    <t>8c96</t>
  </si>
  <si>
    <t>其他权益工具（永续债）_本期其他增减变动</t>
  </si>
  <si>
    <t>盈余公积_所有者投入资本增加权益</t>
  </si>
  <si>
    <t>2211x</t>
  </si>
  <si>
    <t>应付职工薪酬补充资料</t>
  </si>
  <si>
    <t>8c99</t>
  </si>
  <si>
    <t>其他权益工具（永续债）_本期期末余额</t>
  </si>
  <si>
    <t>盈余公积_股份支付计入所有者权益的金额</t>
  </si>
  <si>
    <t>8d00</t>
  </si>
  <si>
    <t>其他权益工具（其他）增减变动</t>
  </si>
  <si>
    <t>盈余公积_其他权益工具持有者投入资本</t>
  </si>
  <si>
    <t>2221a</t>
  </si>
  <si>
    <t>应交税费本期增减变动</t>
  </si>
  <si>
    <t>8d01</t>
  </si>
  <si>
    <t>其他权益工具（其他）_上年年末余额</t>
  </si>
  <si>
    <t>盈余公积_所有者其他投入和减少资本</t>
  </si>
  <si>
    <t>2221x</t>
  </si>
  <si>
    <t>应交税费补充资料</t>
  </si>
  <si>
    <t>8d02</t>
  </si>
  <si>
    <t>其他权益工具（其他）_会计政策变更调整上年年末余额</t>
  </si>
  <si>
    <t>盈余公积_提取</t>
  </si>
  <si>
    <t>2231a</t>
  </si>
  <si>
    <t>应付利息明细项目</t>
  </si>
  <si>
    <t>8d03</t>
  </si>
  <si>
    <t>其他权益工具（其他）_前期差错更正调整上年年末余额</t>
  </si>
  <si>
    <t>盈余公积_提取一般风险准备影响权益</t>
  </si>
  <si>
    <t>2231b</t>
  </si>
  <si>
    <t>期末重要的已逾期未支付的利息情况</t>
  </si>
  <si>
    <t>借款单位</t>
  </si>
  <si>
    <t>8d04</t>
  </si>
  <si>
    <t>其他权益工具（其他）_同一控制下企业合并调整上年年末余额</t>
  </si>
  <si>
    <t>盈余公积_对所有者的分配</t>
  </si>
  <si>
    <t>2232a</t>
  </si>
  <si>
    <t>应付股利明细项目</t>
  </si>
  <si>
    <t>8d09</t>
  </si>
  <si>
    <t>其他权益工具（其他）_其他原因调整上年年末余额</t>
  </si>
  <si>
    <t>盈余公积_其他利润分配</t>
  </si>
  <si>
    <t>2232b</t>
  </si>
  <si>
    <t>期末重要的超过1年未支付的应付股利</t>
  </si>
  <si>
    <t>8d10</t>
  </si>
  <si>
    <t>其他权益工具（其他）_本年年初余额</t>
  </si>
  <si>
    <t>盈余公积_资本公积转增资本影响权益</t>
  </si>
  <si>
    <t>2241e</t>
  </si>
  <si>
    <t>按款项性质列示其他应付款</t>
  </si>
  <si>
    <t>8d90</t>
  </si>
  <si>
    <t>其他权益工具（其他）_本期增减变动金额</t>
  </si>
  <si>
    <t>盈余公积_转增资本</t>
  </si>
  <si>
    <t>2241c</t>
  </si>
  <si>
    <t>期末账龄超过1年的重要其他应付款</t>
  </si>
  <si>
    <t>8d40</t>
  </si>
  <si>
    <t>其他权益工具（其他）_综合收益总额增加权益</t>
  </si>
  <si>
    <t>盈余公积_弥补亏损</t>
  </si>
  <si>
    <t>2241f</t>
  </si>
  <si>
    <t>其他应付款按账龄列示</t>
  </si>
  <si>
    <t>8d50</t>
  </si>
  <si>
    <t>其他权益工具（其他）_所有者投入和减少资本影响权益</t>
  </si>
  <si>
    <t>盈余公积_设定受益计划变动额结转留存收益</t>
  </si>
  <si>
    <t>2241a</t>
  </si>
  <si>
    <t>关联方应收应付款项——其他应付款</t>
  </si>
  <si>
    <t>8d51</t>
  </si>
  <si>
    <t>其他权益工具（其他）_所有者投入资本</t>
  </si>
  <si>
    <t>盈余公积_所有者权益其他内部结转</t>
  </si>
  <si>
    <t>2241b</t>
  </si>
  <si>
    <t>单项金额较大的其他应付款</t>
  </si>
  <si>
    <t>8d52</t>
  </si>
  <si>
    <t>其他权益工具（其他）_股份支付</t>
  </si>
  <si>
    <t>盈余公积_其他综合收益结转留存收益</t>
  </si>
  <si>
    <t>2241g</t>
  </si>
  <si>
    <t>外币其他应付款</t>
  </si>
  <si>
    <t>8d53</t>
  </si>
  <si>
    <t>其他权益工具（其他）_其他权益工具持有者投入资本</t>
  </si>
  <si>
    <t>盈余公积_专项储备本期提取</t>
  </si>
  <si>
    <t>2241x</t>
  </si>
  <si>
    <t>其他应付款补充资料</t>
  </si>
  <si>
    <t>8d56</t>
  </si>
  <si>
    <t>其他权益工具（其他）_所有者其他投入和减少资本</t>
  </si>
  <si>
    <t>盈余公积_专项储备本期使用</t>
  </si>
  <si>
    <t>2246a</t>
  </si>
  <si>
    <t>其他应付款分类列示</t>
  </si>
  <si>
    <t>8d60</t>
  </si>
  <si>
    <t>其他权益工具（其他）_利润分配影响权益</t>
  </si>
  <si>
    <t>盈余公积_本期其他增减变动</t>
  </si>
  <si>
    <t>2315a</t>
  </si>
  <si>
    <t>8d61</t>
  </si>
  <si>
    <t>其他权益工具（其他）_提取盈余公积</t>
  </si>
  <si>
    <t>一般风险准备_上年年末余额</t>
  </si>
  <si>
    <t>2395a</t>
  </si>
  <si>
    <t>一年内到期的非流动负债明细项目</t>
  </si>
  <si>
    <t>8d62</t>
  </si>
  <si>
    <t>其他权益工具（其他）_提取一般风险准备</t>
  </si>
  <si>
    <t>一般风险准备_会计政策变更调整上年年末余额</t>
  </si>
  <si>
    <t>2395b</t>
  </si>
  <si>
    <t>8d63</t>
  </si>
  <si>
    <t>其他权益工具（其他）_对所有者的分配</t>
  </si>
  <si>
    <t>一般风险准备_前期差错更正调整上年年末余额</t>
  </si>
  <si>
    <t>2395e</t>
  </si>
  <si>
    <t>债券名称</t>
  </si>
  <si>
    <t>8d66</t>
  </si>
  <si>
    <t>其他权益工具（其他）_其他利润分配</t>
  </si>
  <si>
    <t>一般风险准备_同一控制下企业合并调整上年年末余额</t>
  </si>
  <si>
    <t>2395f</t>
  </si>
  <si>
    <t>8d70</t>
  </si>
  <si>
    <t>其他权益工具（其他）_所有者权益内部结转</t>
  </si>
  <si>
    <t>一般风险准备_其他原因调整上年年末余额</t>
  </si>
  <si>
    <t>2396a</t>
  </si>
  <si>
    <t>其他流动负债明细项目</t>
  </si>
  <si>
    <t>8d71</t>
  </si>
  <si>
    <t>其他权益工具（其他）_资本公积转增资本</t>
  </si>
  <si>
    <t>一般风险准备_净利润增加权益</t>
  </si>
  <si>
    <t>2396c</t>
  </si>
  <si>
    <t>短期应付债券</t>
  </si>
  <si>
    <t>补助项目</t>
  </si>
  <si>
    <t>8d72</t>
  </si>
  <si>
    <t>其他权益工具（其他）_盈余公积转增资本</t>
  </si>
  <si>
    <t>一般风险准备_其他综合收益增加权益</t>
  </si>
  <si>
    <t>2396b</t>
  </si>
  <si>
    <t>递延收益——政府补助情况</t>
  </si>
  <si>
    <t>8d73</t>
  </si>
  <si>
    <t>其他权益工具（其他）_盈余公积弥补亏损</t>
  </si>
  <si>
    <t>一般风险准备_综合收益总额增加权益</t>
  </si>
  <si>
    <t>2501a</t>
  </si>
  <si>
    <t>长期借款分类</t>
  </si>
  <si>
    <t>8d75</t>
  </si>
  <si>
    <t>其他权益工具（其他）_设定受益计划变动额结转留存收益</t>
  </si>
  <si>
    <t>一般风险准备_所有者投入资本增加权益</t>
  </si>
  <si>
    <t>2501d</t>
  </si>
  <si>
    <t>长期借款中的质押借款明细列示</t>
  </si>
  <si>
    <t>8d76</t>
  </si>
  <si>
    <t>其他权益工具（其他）_所有者权益其他内部结转</t>
  </si>
  <si>
    <t>一般风险准备_股份支付计入所有者权益的金额</t>
  </si>
  <si>
    <t>2501e</t>
  </si>
  <si>
    <t>长期借款中的抵押借款明细列示</t>
  </si>
  <si>
    <t>8d80</t>
  </si>
  <si>
    <t>其他权益工具（其他）_专项储备影响权益</t>
  </si>
  <si>
    <t>一般风险准备_其他权益工具持有者投入资本</t>
  </si>
  <si>
    <t>2501f</t>
  </si>
  <si>
    <t>长期借款中的保证借款明细列示</t>
  </si>
  <si>
    <t>8d81</t>
  </si>
  <si>
    <t>其他权益工具（其他）_专项储备本期提取</t>
  </si>
  <si>
    <t>一般风险准备_所有者其他投入和减少资本</t>
  </si>
  <si>
    <t>2501c</t>
  </si>
  <si>
    <t>外币长期借款</t>
  </si>
  <si>
    <t>8d82</t>
  </si>
  <si>
    <t>其他权益工具（其他）_专项储备本期使用</t>
  </si>
  <si>
    <t>一般风险准备_提取盈余公积影响权益</t>
  </si>
  <si>
    <t>2502b</t>
  </si>
  <si>
    <t>应付债券明细项目</t>
  </si>
  <si>
    <t>8d96</t>
  </si>
  <si>
    <t>其他权益工具（其他）_本期其他增减变动</t>
  </si>
  <si>
    <t>一般风险准备_提取</t>
  </si>
  <si>
    <t>2502a</t>
  </si>
  <si>
    <t>8d99</t>
  </si>
  <si>
    <t>其他权益工具（其他）_本期期末余额</t>
  </si>
  <si>
    <t>一般风险准备_对所有者的分配影响权益</t>
  </si>
  <si>
    <t>2502d</t>
  </si>
  <si>
    <t>划分为金融负债的其他金融工具说明（期末发行在外的优先股、永续债等其他金融工具的基本情况表）</t>
  </si>
  <si>
    <t>发行在外的金融工具</t>
  </si>
  <si>
    <t>8g00</t>
  </si>
  <si>
    <t>其他综合收益增减变动</t>
  </si>
  <si>
    <t>一般风险准备_其他利润分配</t>
  </si>
  <si>
    <t>2502c</t>
  </si>
  <si>
    <t>划分为金融负债的其他金融工具说明（期末发行在外的优先股、永续债等其他金融工具变动情况表）</t>
  </si>
  <si>
    <t>8g01</t>
  </si>
  <si>
    <t>其他综合收益_上年年末余额</t>
  </si>
  <si>
    <t>一般风险准备_资本公积转增资本影响权益</t>
  </si>
  <si>
    <t>2706a</t>
  </si>
  <si>
    <t>长期应付款分类列示</t>
  </si>
  <si>
    <t>8g02</t>
  </si>
  <si>
    <t>其他综合收益_会计政策变更调整上年年末余额</t>
  </si>
  <si>
    <t>一般风险准备_盈余公积转增资本影响权益</t>
  </si>
  <si>
    <t>2701c</t>
  </si>
  <si>
    <t>按款项性质列示长期应付款</t>
  </si>
  <si>
    <t>8g03</t>
  </si>
  <si>
    <t>其他综合收益_前期差错更正调整上年年末余额</t>
  </si>
  <si>
    <t>一般风险准备_盈余公积弥补亏损影响权益</t>
  </si>
  <si>
    <t>2701d</t>
  </si>
  <si>
    <t>外币长期应付款</t>
  </si>
  <si>
    <t>8g04</t>
  </si>
  <si>
    <t>其他综合收益_同一控制下企业合并调整上年年末余额</t>
  </si>
  <si>
    <t>一般风险准备_设定受益计划变动额结转留存收益</t>
  </si>
  <si>
    <t>2711a</t>
  </si>
  <si>
    <t>专项应付款明细项目</t>
  </si>
  <si>
    <t>8g09</t>
  </si>
  <si>
    <t>其他综合收益_其他原因调整上年年末余额</t>
  </si>
  <si>
    <t>一般风险准备_所有者权益其他内部结转</t>
  </si>
  <si>
    <t>2711b</t>
  </si>
  <si>
    <t>外币专项应付款</t>
  </si>
  <si>
    <t>8g10</t>
  </si>
  <si>
    <t>其他综合收益_本年年初余额</t>
  </si>
  <si>
    <t>一般风险准备_其他综合收益结转留存收益</t>
  </si>
  <si>
    <t>2715a</t>
  </si>
  <si>
    <t>长期应付职工薪酬明细</t>
  </si>
  <si>
    <t>8g90</t>
  </si>
  <si>
    <t>其他综合收益_本期增减变动金额</t>
  </si>
  <si>
    <t>一般风险准备_专项储备本期提取</t>
  </si>
  <si>
    <t>2715b</t>
  </si>
  <si>
    <t>设定受益计划变动情况（设定受益计划义务现值）</t>
  </si>
  <si>
    <t>8g40</t>
  </si>
  <si>
    <t>其他综合收益_综合收益总额增加权益</t>
  </si>
  <si>
    <t>一般风险准备_专项储备本期使用</t>
  </si>
  <si>
    <t>2715c</t>
  </si>
  <si>
    <t>设定受益计划变动情况（计划资产）</t>
  </si>
  <si>
    <t>8g50</t>
  </si>
  <si>
    <t>其他综合收益_所有者投入和减少资本影响权益</t>
  </si>
  <si>
    <t>一般风险准备_本期其他增减变动</t>
  </si>
  <si>
    <t>2715d</t>
  </si>
  <si>
    <t>8g51</t>
  </si>
  <si>
    <t>其他综合收益_所有者投入资本</t>
  </si>
  <si>
    <t>未分配利润_上年年末余额</t>
  </si>
  <si>
    <t>2715e</t>
  </si>
  <si>
    <t>未折现的离职后福利预计到期分析</t>
  </si>
  <si>
    <t>8g52</t>
  </si>
  <si>
    <t>其他综合收益_股份支付</t>
  </si>
  <si>
    <t>未分配利润_会计政策变更调整上年年末余额</t>
  </si>
  <si>
    <t>2715f</t>
  </si>
  <si>
    <t>设定受益计划资产明细</t>
  </si>
  <si>
    <t>8g53</t>
  </si>
  <si>
    <t>其他综合收益_其他权益工具持有者投入资本</t>
  </si>
  <si>
    <t>未分配利润_前期差错更正调整上年年末余额</t>
  </si>
  <si>
    <t>2715g</t>
  </si>
  <si>
    <t>设定受益计划重大精算假设</t>
  </si>
  <si>
    <t>8g56</t>
  </si>
  <si>
    <t>其他综合收益_所有者其他投入和减少资本</t>
  </si>
  <si>
    <t>未分配利润_同一控制下企业合并调整上年年末余额</t>
  </si>
  <si>
    <t>2715h</t>
  </si>
  <si>
    <t>设定受益计划重大精算假设敏感性分析</t>
  </si>
  <si>
    <t>8g60</t>
  </si>
  <si>
    <t>其他综合收益_利润分配影响权益</t>
  </si>
  <si>
    <t>未分配利润_其他原因调整上年年末余额</t>
  </si>
  <si>
    <t>2801a</t>
  </si>
  <si>
    <t>预计负债明细项目</t>
  </si>
  <si>
    <t>8g61</t>
  </si>
  <si>
    <t>其他综合收益_提取盈余公积</t>
  </si>
  <si>
    <t>未分配利润_所有者投入资本增加权益</t>
  </si>
  <si>
    <t>2401a</t>
  </si>
  <si>
    <t>递延收益情况</t>
  </si>
  <si>
    <t>8g62</t>
  </si>
  <si>
    <t>其他综合收益_提取一般风险准备</t>
  </si>
  <si>
    <t>未分配利润_股份支付计入所有者权益的金额</t>
  </si>
  <si>
    <t>2401b</t>
  </si>
  <si>
    <t>递延收益（涉及政府补助的项目）</t>
  </si>
  <si>
    <t>8g63</t>
  </si>
  <si>
    <t>其他综合收益_对所有者的分配</t>
  </si>
  <si>
    <t>未分配利润_其他权益工具持有者投入资本</t>
  </si>
  <si>
    <t>2996a</t>
  </si>
  <si>
    <t>其他非流动负债明细项目</t>
  </si>
  <si>
    <t>8g66</t>
  </si>
  <si>
    <t>其他综合收益_其他利润分配</t>
  </si>
  <si>
    <t>未分配利润_所有者其他投入和减少资本</t>
  </si>
  <si>
    <t>2996x</t>
  </si>
  <si>
    <t>其他非流动负债补充资料</t>
  </si>
  <si>
    <t>8g70</t>
  </si>
  <si>
    <t>其他综合收益_所有者权益内部结转</t>
  </si>
  <si>
    <t>未分配利润_提取盈余公积</t>
  </si>
  <si>
    <t>8g71</t>
  </si>
  <si>
    <t>其他综合收益_资本公积转增资本</t>
  </si>
  <si>
    <t>未分配利润_提取一般风险准备</t>
  </si>
  <si>
    <t>4001a</t>
  </si>
  <si>
    <t>股本变动情况</t>
  </si>
  <si>
    <t>股份类别</t>
  </si>
  <si>
    <t>8g72</t>
  </si>
  <si>
    <t>其他综合收益_盈余公积转增资本</t>
  </si>
  <si>
    <t>未分配利润_对所有者的分配</t>
  </si>
  <si>
    <t>4001b</t>
  </si>
  <si>
    <t>实收资本变动情况</t>
  </si>
  <si>
    <t>8g73</t>
  </si>
  <si>
    <t>其他综合收益_盈余公积弥补亏损</t>
  </si>
  <si>
    <t>未分配利润_其他利润分配</t>
  </si>
  <si>
    <t>4002a</t>
  </si>
  <si>
    <t>资本公积变动情况</t>
  </si>
  <si>
    <t>8g75</t>
  </si>
  <si>
    <t>其他综合收益_设定受益计划变动额结转留存收益</t>
  </si>
  <si>
    <t>未分配利润_资本公积转增资本影响权益</t>
  </si>
  <si>
    <t>4015b</t>
  </si>
  <si>
    <t>期末发行在外的优先股、永续债等其他金融工具基本情况表</t>
  </si>
  <si>
    <t>8g76</t>
  </si>
  <si>
    <t>其他综合收益_所有者权益其他内部结转</t>
  </si>
  <si>
    <t>未分配利润_盈余公积转增资本影响权益</t>
  </si>
  <si>
    <t>4015a</t>
  </si>
  <si>
    <t>期末发行在外的优先股、永续债等金融工具变动情况表</t>
  </si>
  <si>
    <t>8g80</t>
  </si>
  <si>
    <t>其他综合收益_专项储备影响权益</t>
  </si>
  <si>
    <t>未分配利润_盈余公积弥补亏损</t>
  </si>
  <si>
    <t>4015c</t>
  </si>
  <si>
    <t>权益工具持有者的相关信息</t>
  </si>
  <si>
    <t>8g81</t>
  </si>
  <si>
    <t>其他综合收益_专项储备本期提取</t>
  </si>
  <si>
    <t>未分配利润_设定受益计划变动额结转留存收益</t>
  </si>
  <si>
    <t>4101b</t>
  </si>
  <si>
    <t>盈余公积列示</t>
  </si>
  <si>
    <t>8g82</t>
  </si>
  <si>
    <t>其他综合收益_专项储备本期使用</t>
  </si>
  <si>
    <t>未分配利润_所有者权益其他内部结转</t>
  </si>
  <si>
    <t>4101a</t>
  </si>
  <si>
    <t>盈余公积变动情况</t>
  </si>
  <si>
    <t>8g96</t>
  </si>
  <si>
    <t>其他综合收益_本期其他增减变动</t>
  </si>
  <si>
    <t>未分配利润_其他综合收益结转留存收益</t>
  </si>
  <si>
    <t>4102a</t>
  </si>
  <si>
    <t>一般风险准备变动情况</t>
  </si>
  <si>
    <t>8g99</t>
  </si>
  <si>
    <t>其他综合收益_本期期末余额</t>
  </si>
  <si>
    <t>未分配利润_专项储备本期提取</t>
  </si>
  <si>
    <t>4200a</t>
  </si>
  <si>
    <t>未分配利润增减变动情况</t>
  </si>
  <si>
    <t>资本公积增减变动</t>
  </si>
  <si>
    <t>未分配利润_专项储备本期使用</t>
  </si>
  <si>
    <t>4200b</t>
  </si>
  <si>
    <t>调整本期期初未分配利润明细情况</t>
  </si>
  <si>
    <t>调整原因</t>
  </si>
  <si>
    <t>未分配利润_本期其他增减变动</t>
  </si>
  <si>
    <t>4201a</t>
  </si>
  <si>
    <t>库存股变动情况</t>
  </si>
  <si>
    <t>其他归属于母公司所有者权益_其他综合收益结转留存收益</t>
  </si>
  <si>
    <t>4215b</t>
  </si>
  <si>
    <t>其他综合收益列示</t>
  </si>
  <si>
    <t>少数股东权益_上年年末余额</t>
  </si>
  <si>
    <t>4215a</t>
  </si>
  <si>
    <t>其他综合收益变动情况</t>
  </si>
  <si>
    <t>少数股东权益_会计政策变更调整上年年末余额</t>
  </si>
  <si>
    <t>4301a</t>
  </si>
  <si>
    <t>专项储备变动情况</t>
  </si>
  <si>
    <t>少数股东权益_前期差错更正调整上年年末余额</t>
  </si>
  <si>
    <t>6001x</t>
  </si>
  <si>
    <t>营业收入补充资料</t>
  </si>
  <si>
    <t>资本公积_本年年初余额</t>
  </si>
  <si>
    <t>少数股东权益_同一控制下企业合并调整上年年末余额</t>
  </si>
  <si>
    <t>6064h</t>
  </si>
  <si>
    <t>营业收入及营业成本明细列示</t>
  </si>
  <si>
    <t>资本公积_本期增减变动金额</t>
  </si>
  <si>
    <t>少数股东权益_其他原因调整上年年末余额</t>
  </si>
  <si>
    <t>6064a</t>
  </si>
  <si>
    <t>营业收入明细项目</t>
  </si>
  <si>
    <t>少数股东权益_净利润</t>
  </si>
  <si>
    <t>6064b</t>
  </si>
  <si>
    <t>营业成本明细项目</t>
  </si>
  <si>
    <t>少数股东权益_其他综合收益</t>
  </si>
  <si>
    <t>6064c</t>
  </si>
  <si>
    <t>主营业务（分行业或业务）</t>
  </si>
  <si>
    <t>行业或业务名称</t>
  </si>
  <si>
    <t>资本公积_所有者投入和减少资本影响权益</t>
  </si>
  <si>
    <t>少数股东权益_综合收益总额增加权益</t>
  </si>
  <si>
    <t>6064d</t>
  </si>
  <si>
    <t>主营业务（分产品）</t>
  </si>
  <si>
    <t>产品名称</t>
  </si>
  <si>
    <t>少数股东权益_所有者投入资本</t>
  </si>
  <si>
    <t>6064e</t>
  </si>
  <si>
    <t>主营业务（分地区）</t>
  </si>
  <si>
    <t>地区名称</t>
  </si>
  <si>
    <t>少数股东权益_股份支付</t>
  </si>
  <si>
    <t>※LOW</t>
  </si>
  <si>
    <t>6064f</t>
  </si>
  <si>
    <t>本期销售前十名情况</t>
  </si>
  <si>
    <t>客户名称</t>
  </si>
  <si>
    <t>少数股东权益_其他权益工具持有者投入资本</t>
  </si>
  <si>
    <t>6064g</t>
  </si>
  <si>
    <t>本期采购前十名情况</t>
  </si>
  <si>
    <t>供应商名称</t>
  </si>
  <si>
    <t>少数股东权益_所有者其他投入和减少资本</t>
  </si>
  <si>
    <t>6101a</t>
  </si>
  <si>
    <t>公允价值变动收益明细项目</t>
  </si>
  <si>
    <t>产生公允价值变动收益的来源</t>
  </si>
  <si>
    <t>资本公积_利润分配影响权益</t>
  </si>
  <si>
    <t>少数股东权益_提取盈余公积影响权益</t>
  </si>
  <si>
    <t>※N</t>
  </si>
  <si>
    <t>6102a</t>
  </si>
  <si>
    <t>净敞口套期收益明细项目</t>
  </si>
  <si>
    <t>少数股东权益_提取一般风险准备影响权益</t>
  </si>
  <si>
    <t>6111a</t>
  </si>
  <si>
    <t>资本公积_所有者权益内部结转</t>
  </si>
  <si>
    <t>少数股东权益_对所有者的分配</t>
  </si>
  <si>
    <t>6171a</t>
  </si>
  <si>
    <t>资产处置收益明细项目</t>
  </si>
  <si>
    <t>少数股东权益_其他利润分配</t>
  </si>
  <si>
    <t>6181a</t>
  </si>
  <si>
    <t>其他收益明细项目</t>
  </si>
  <si>
    <t>少数股东权益_资本公积转增资本影响权益</t>
  </si>
  <si>
    <t>6401x</t>
  </si>
  <si>
    <t>营业成本补充资料</t>
  </si>
  <si>
    <t>少数股东权益_盈余公积转增资本影响权益</t>
  </si>
  <si>
    <t>6600a</t>
  </si>
  <si>
    <t>税金及附加明细项目</t>
  </si>
  <si>
    <t>税       种</t>
  </si>
  <si>
    <t>少数股东权益_盈余公积弥补亏损影响权益</t>
  </si>
  <si>
    <t>6600x</t>
  </si>
  <si>
    <t>税金及附加补充资料</t>
  </si>
  <si>
    <t>资本公积_本期期末余额</t>
  </si>
  <si>
    <t>少数股东权益_设定受益计划变动额结转留存收益</t>
  </si>
  <si>
    <t>6601a</t>
  </si>
  <si>
    <t>销售费用明细项目</t>
  </si>
  <si>
    <t>库存股增减变动</t>
  </si>
  <si>
    <t>减：库存股增减变动</t>
  </si>
  <si>
    <t>少数股东权益_所有者权益其他内部结转</t>
  </si>
  <si>
    <t>6601x</t>
  </si>
  <si>
    <t>销售费用补充资料</t>
  </si>
  <si>
    <t>少数股东权益_其他综合收益结转留存收益</t>
  </si>
  <si>
    <t>6602a</t>
  </si>
  <si>
    <t>管理费用明细项目</t>
  </si>
  <si>
    <t>少数股东权益_专项储备本期提取</t>
  </si>
  <si>
    <t>6602x</t>
  </si>
  <si>
    <t>管理费用补充资料</t>
  </si>
  <si>
    <t>少数股东权益_专项储备本期使用</t>
  </si>
  <si>
    <t>6603a</t>
  </si>
  <si>
    <t>财务费用明细项目</t>
  </si>
  <si>
    <t>少数股东权益_本期其他增减变动</t>
  </si>
  <si>
    <t>6603x</t>
  </si>
  <si>
    <t>财务费用补充资料</t>
  </si>
  <si>
    <t>6606a</t>
  </si>
  <si>
    <t>研发费用明细项目</t>
  </si>
  <si>
    <t>库存股_本年年初余额</t>
  </si>
  <si>
    <t>6671a</t>
  </si>
  <si>
    <t>资产减值损失明细项目</t>
  </si>
  <si>
    <t>库存股_本期增减变动金额</t>
  </si>
  <si>
    <t>6672a</t>
  </si>
  <si>
    <t>信用减值损失明细项目</t>
  </si>
  <si>
    <t>库存股_所有者投入和减少资本影响权益</t>
  </si>
  <si>
    <t>6710a</t>
  </si>
  <si>
    <t>营业外收入明细项目</t>
  </si>
  <si>
    <t>6710b</t>
  </si>
  <si>
    <t>与企业日常活动无关的政府补助</t>
  </si>
  <si>
    <t>6711a</t>
  </si>
  <si>
    <t>营业外支出明细项目</t>
  </si>
  <si>
    <t>6791a</t>
  </si>
  <si>
    <t>所得税费用的组成</t>
  </si>
  <si>
    <t>6791b</t>
  </si>
  <si>
    <t>会计利润与所得税费用调整过程</t>
  </si>
  <si>
    <t>库存股_利润分配影响权益</t>
  </si>
  <si>
    <t>7001x</t>
  </si>
  <si>
    <t>销售商品提供劳务收到的现金计算表</t>
  </si>
  <si>
    <t>7046a</t>
  </si>
  <si>
    <t>收到的其他与经营活动有关的现金</t>
  </si>
  <si>
    <t>7046x</t>
  </si>
  <si>
    <t>收到其他与经营活动有关的现金计算表</t>
  </si>
  <si>
    <t>库存股_所有者权益内部结转</t>
  </si>
  <si>
    <t>7051x</t>
  </si>
  <si>
    <t>购买商品接受劳务支付的现金计算表</t>
  </si>
  <si>
    <t>7061x</t>
  </si>
  <si>
    <t>支付给职工以及为职工支付的现金计算表</t>
  </si>
  <si>
    <t>7071x</t>
  </si>
  <si>
    <t>支付的各项税费计算表</t>
  </si>
  <si>
    <t>7096a</t>
  </si>
  <si>
    <t>支付的其他与经营活动有关的现金</t>
  </si>
  <si>
    <t>库存股_本期期末余额</t>
  </si>
  <si>
    <t>7096x</t>
  </si>
  <si>
    <t>支付其他与经营活动有关的现金计算表</t>
  </si>
  <si>
    <t>专项储备增减变动</t>
  </si>
  <si>
    <t>7101x</t>
  </si>
  <si>
    <t>收回投资收到的现金计算表</t>
  </si>
  <si>
    <t>7105x</t>
  </si>
  <si>
    <t>取得投资收益收到的现金计算表</t>
  </si>
  <si>
    <t>7111x</t>
  </si>
  <si>
    <t>处置固定资产无形资产长期资产收回的现金计算表</t>
  </si>
  <si>
    <t>其他权益工具（优先股）_其他综合收益结转留存收益</t>
  </si>
  <si>
    <t>8b77</t>
  </si>
  <si>
    <t>7146a</t>
  </si>
  <si>
    <t>收到的其他与投资活动有关的现金</t>
  </si>
  <si>
    <t>7151x</t>
  </si>
  <si>
    <t>购置固定资产无形资产长期资产支付的现金计算表</t>
  </si>
  <si>
    <t>7161x</t>
  </si>
  <si>
    <t>投资支付的现金计算表</t>
  </si>
  <si>
    <t>专项储备_本年年初余额</t>
  </si>
  <si>
    <t>7196a</t>
  </si>
  <si>
    <t>支付的其他与投资活动有关的现金</t>
  </si>
  <si>
    <t>7211x</t>
  </si>
  <si>
    <t>取得借款收到的现金计算表</t>
  </si>
  <si>
    <t>专项储备_本期增减变动金额</t>
  </si>
  <si>
    <t>7246a</t>
  </si>
  <si>
    <t>收到的其他与筹资活动有关的现金</t>
  </si>
  <si>
    <t>专项储备_所有者权益内部结转</t>
  </si>
  <si>
    <t>7251x</t>
  </si>
  <si>
    <t>偿还债务支付的现金计算表</t>
  </si>
  <si>
    <t>7261x</t>
  </si>
  <si>
    <t>分配利润偿付利息支付的现金计算表</t>
  </si>
  <si>
    <t>7296a</t>
  </si>
  <si>
    <t>支付的其他与筹资活动有关的现金</t>
  </si>
  <si>
    <t>专项储备_专项储备影响权益</t>
  </si>
  <si>
    <t>7500a</t>
  </si>
  <si>
    <t>将净利润调节为经营活动现金流量</t>
  </si>
  <si>
    <t>7500</t>
  </si>
  <si>
    <t>7500b</t>
  </si>
  <si>
    <t>不涉及现金收支的重大投资和筹资活动</t>
  </si>
  <si>
    <t>7500c</t>
  </si>
  <si>
    <t>现金及现金等价物净变动情况</t>
  </si>
  <si>
    <t>7500d</t>
  </si>
  <si>
    <t>本期取得或处置子公司及其他营业单位的有关信息</t>
  </si>
  <si>
    <t>专项储备_本期期末余额</t>
  </si>
  <si>
    <t>7500e</t>
  </si>
  <si>
    <t>现金及现金等价物的构成</t>
  </si>
  <si>
    <t>盈余公积增减变动</t>
  </si>
  <si>
    <t>7500f</t>
  </si>
  <si>
    <t>货币资金与现金及现金等价物的调节</t>
  </si>
  <si>
    <t>7500g</t>
  </si>
  <si>
    <t>本期支付的取得子公司的现金净额</t>
  </si>
  <si>
    <t>7500h</t>
  </si>
  <si>
    <t>本期收到的处置子公司的现金净额</t>
  </si>
  <si>
    <t>7503a</t>
  </si>
  <si>
    <t>将净利润调节为经营活动现金流量：资产减值准备金额</t>
  </si>
  <si>
    <t>7503</t>
  </si>
  <si>
    <t>7505a</t>
  </si>
  <si>
    <t>将净利润调节为经营活动现金流量：固定资产折旧、油气资产折耗、生产性生物资产折旧</t>
  </si>
  <si>
    <t>7505</t>
  </si>
  <si>
    <t>7506a</t>
  </si>
  <si>
    <t>将净利润调节为经营活动现金流量：无形资产摊销</t>
  </si>
  <si>
    <t>7506</t>
  </si>
  <si>
    <t>盈余公积_本年年初余额</t>
  </si>
  <si>
    <t>7507a</t>
  </si>
  <si>
    <t>将净利润调节为经营活动现金流量：长期待摊费用摊销</t>
  </si>
  <si>
    <t>7507</t>
  </si>
  <si>
    <t>盈余公积_本期增减变动金额</t>
  </si>
  <si>
    <t>7508a</t>
  </si>
  <si>
    <t>将净利润调节为经营活动现金流量：处置固定资产、无形资产和其他长期资产的损失</t>
  </si>
  <si>
    <t>7508</t>
  </si>
  <si>
    <t>盈余公积_所有者投入和减少资本影响权益</t>
  </si>
  <si>
    <t>7509a</t>
  </si>
  <si>
    <t>将净利润调节为经营活动现金流量：固定资产报废损失</t>
  </si>
  <si>
    <t>7509</t>
  </si>
  <si>
    <t>其他权益工具（永续债）_其他综合收益结转留存收益</t>
  </si>
  <si>
    <t>8c77</t>
  </si>
  <si>
    <t>7510a</t>
  </si>
  <si>
    <t>将净利润调节为经营活动现金流量：公允价值变动损失</t>
  </si>
  <si>
    <t>7510</t>
  </si>
  <si>
    <t>7511a</t>
  </si>
  <si>
    <t>将净利润调节为经营活动现金流量：财务费用金额</t>
  </si>
  <si>
    <t>7511</t>
  </si>
  <si>
    <t>盈余公积_利润分配影响权益</t>
  </si>
  <si>
    <t>7512a</t>
  </si>
  <si>
    <t>将净利润调节为经营活动现金流量：投资损失</t>
  </si>
  <si>
    <t>7512</t>
  </si>
  <si>
    <t>7515a</t>
  </si>
  <si>
    <t>将净利润调节为经营活动现金流量：递延所得税资产减少</t>
  </si>
  <si>
    <t>7515</t>
  </si>
  <si>
    <t>7516a</t>
  </si>
  <si>
    <t>将净利润调节为经营活动现金流量：递延所得税负债增加</t>
  </si>
  <si>
    <t>7516</t>
  </si>
  <si>
    <t>7517a</t>
  </si>
  <si>
    <t>将净利润调节为经营活动现金流量：存货的减少</t>
  </si>
  <si>
    <t>7517</t>
  </si>
  <si>
    <t>盈余公积_所有者权益内部结转</t>
  </si>
  <si>
    <t>7518a</t>
  </si>
  <si>
    <t>将净利润调节为经营活动现金流量：经营性应收项目的减少</t>
  </si>
  <si>
    <t>7518</t>
  </si>
  <si>
    <t>7519a</t>
  </si>
  <si>
    <t>将净利润调节为经营活动现金流量：经营性应付项目的增加</t>
  </si>
  <si>
    <t>7519</t>
  </si>
  <si>
    <t>7523a</t>
  </si>
  <si>
    <t>将净利润调节为经营活动现金流量：其他项目</t>
  </si>
  <si>
    <t>7523</t>
  </si>
  <si>
    <t>9120m</t>
  </si>
  <si>
    <t>采购商品、接受劳务的关联交易情况</t>
  </si>
  <si>
    <t>9120</t>
  </si>
  <si>
    <t>9120n</t>
  </si>
  <si>
    <t>出售商品、提供劳务的关联交易情况</t>
  </si>
  <si>
    <t>9120c</t>
  </si>
  <si>
    <t>受托管理或承包情况表</t>
  </si>
  <si>
    <t>盈余公积_本期期末余额</t>
  </si>
  <si>
    <t>9120d</t>
  </si>
  <si>
    <t>委托管理或出包情况表</t>
  </si>
  <si>
    <t>一般风险准备增减变动</t>
  </si>
  <si>
    <t>9120e</t>
  </si>
  <si>
    <t>关联租赁情况——公司出租</t>
  </si>
  <si>
    <t>9120f</t>
  </si>
  <si>
    <t>关联租赁情况——公司承租</t>
  </si>
  <si>
    <t>9120g</t>
  </si>
  <si>
    <t>关联担保情况——作为担保方</t>
  </si>
  <si>
    <t>9120h</t>
  </si>
  <si>
    <t>关联担保情况——作为被担保方</t>
  </si>
  <si>
    <t>9120i</t>
  </si>
  <si>
    <t>关联方资金拆借情况——拆入</t>
  </si>
  <si>
    <t>9120j</t>
  </si>
  <si>
    <t>关联方资金拆借情况——拆出</t>
  </si>
  <si>
    <t>一般风险准备_本年年初余额</t>
  </si>
  <si>
    <t>9120k</t>
  </si>
  <si>
    <t>关联方资产转让、债务重组情况</t>
  </si>
  <si>
    <t>一般风险准备_本期增减变动金额</t>
  </si>
  <si>
    <t>9120l</t>
  </si>
  <si>
    <t>关键管理人员报酬情况</t>
  </si>
  <si>
    <t>一般风险准备_所有者投入和减少资本影响权益</t>
  </si>
  <si>
    <t>9120o</t>
  </si>
  <si>
    <t>关联方应收应付款项——应收项目</t>
  </si>
  <si>
    <t>9120p</t>
  </si>
  <si>
    <t>关联方应收应付款项——应付项目</t>
  </si>
  <si>
    <t>其他权益工具（其他）_其他综合收益结转留存收益</t>
  </si>
  <si>
    <t>8d77</t>
  </si>
  <si>
    <t>9314a</t>
  </si>
  <si>
    <t>9314</t>
  </si>
  <si>
    <t>一般风险准备_利润分配影响权益</t>
  </si>
  <si>
    <t>9325a</t>
  </si>
  <si>
    <t>本集团持有的计息金融工具</t>
  </si>
  <si>
    <t>9325</t>
  </si>
  <si>
    <t>9325e</t>
  </si>
  <si>
    <t>期末本集团持有的金融资产和金融负债按未折现剩余合同现金流量的到期期限分析</t>
  </si>
  <si>
    <t>9325f</t>
  </si>
  <si>
    <t>期初本集团持有的金融资产和金融负债按未折现剩余合同现金流量的到期期限分析</t>
  </si>
  <si>
    <t>一般风险准备_所有者权益内部结转</t>
  </si>
  <si>
    <t>9325g</t>
  </si>
  <si>
    <t>本期末金融负债到期期限</t>
  </si>
  <si>
    <t>9325h</t>
  </si>
  <si>
    <t>上期末金融负债到期期限</t>
  </si>
  <si>
    <t>9325i</t>
  </si>
  <si>
    <t>本期末金融资产的到期期限分析</t>
  </si>
  <si>
    <t>9325j</t>
  </si>
  <si>
    <t>上期末金融资产的到期期限分析</t>
  </si>
  <si>
    <t>一般风险准备_本期期末余额</t>
  </si>
  <si>
    <t>9325k</t>
  </si>
  <si>
    <t>本期末各外币资产负债项目的主要外汇风险敞口</t>
  </si>
  <si>
    <t>未分配利润增减变动</t>
  </si>
  <si>
    <t>9325l</t>
  </si>
  <si>
    <t>以公允价值计量且其变动计入其他综合收益的其他债权投资本年度发生的减值准备变动</t>
  </si>
  <si>
    <t>9325m</t>
  </si>
  <si>
    <t>上期末各外币资产负债项目的主要外汇风险敞口</t>
  </si>
  <si>
    <t>9331a</t>
  </si>
  <si>
    <t>以公允价值计量的资产和负债的公允价值</t>
  </si>
  <si>
    <t>9331</t>
  </si>
  <si>
    <t>9331b</t>
  </si>
  <si>
    <t>不以公允价值计量的金融资产和金融负债的公允价值情况</t>
  </si>
  <si>
    <t>未分配利润_本年年初余额</t>
  </si>
  <si>
    <t>9331c</t>
  </si>
  <si>
    <t>不以公允价值计量但披露其公允价值的项目和金额（期初）</t>
  </si>
  <si>
    <t>9331d</t>
  </si>
  <si>
    <t>第三层次公允价值计量中使用的重要的不可观察输入值的量化信息</t>
  </si>
  <si>
    <t>未分配利润_本期增减变动金额</t>
  </si>
  <si>
    <t>9331e</t>
  </si>
  <si>
    <t>归入公允价值层级第三层次的公允价值计量的调节表（本期）</t>
  </si>
  <si>
    <t>未分配利润_净利润增加权益</t>
  </si>
  <si>
    <t>9331f</t>
  </si>
  <si>
    <t>计入当期损益的利得和损失中与金融资产和非金融资产有关的损益信息（本期）</t>
  </si>
  <si>
    <t>未分配利润_综合收益总额增加权益</t>
  </si>
  <si>
    <t>9331g</t>
  </si>
  <si>
    <t>持续的第三层次公允价值计量项目期初与期末账面价值之间的调节信息及不可观察参数的敏感性分析</t>
  </si>
  <si>
    <t>未分配利润_所有者投入和减少资本影响权益</t>
  </si>
  <si>
    <t>9331h</t>
  </si>
  <si>
    <t>计入当期损益的利得和损失中与金融资产和非金融资产有关的损益信息（上期）</t>
  </si>
  <si>
    <t>9331i</t>
  </si>
  <si>
    <t>未分配利润_利润分配影响权益</t>
  </si>
  <si>
    <t>其他综合收益_其他综合收益结转留存收益</t>
  </si>
  <si>
    <t>8g77</t>
  </si>
  <si>
    <t>9367a</t>
  </si>
  <si>
    <t>其他重要事项（终止经营）</t>
  </si>
  <si>
    <t>9367</t>
  </si>
  <si>
    <t>9371h</t>
  </si>
  <si>
    <t>与资产相关的政府补助</t>
  </si>
  <si>
    <t>9371</t>
  </si>
  <si>
    <t>持续和非持续第二层次公允价值计量项目采用的估值技术和重要参数的定性及定量信息</t>
  </si>
  <si>
    <t>9331j</t>
  </si>
  <si>
    <t>持续和非持续第三层次公允价值计量项目采用的估值技术和重要参数的定性及定量信息</t>
  </si>
  <si>
    <t>未分配利润_所有者权益内部结转</t>
  </si>
  <si>
    <t>9371a</t>
  </si>
  <si>
    <t>计入递延收益的政府补助，后续采用总额法计量</t>
  </si>
  <si>
    <t>9371b</t>
  </si>
  <si>
    <t>计入递延收益的政府补助，后续采用净额法计量</t>
  </si>
  <si>
    <t>9371c</t>
  </si>
  <si>
    <t>采用总额法计入当期损益的政府补助情况</t>
  </si>
  <si>
    <t>9371d</t>
  </si>
  <si>
    <t>采用净额法冲减相关成本的政府补助情况</t>
  </si>
  <si>
    <t>未分配利润_专项储备影响权益</t>
  </si>
  <si>
    <t>9371f</t>
  </si>
  <si>
    <t>采用总额法计入当期损益的政府补助本年返还情况</t>
  </si>
  <si>
    <t>9371g</t>
  </si>
  <si>
    <t>采用净额法冲减相关成本的政府补助本年返还情况</t>
  </si>
  <si>
    <t>9371i</t>
  </si>
  <si>
    <t>与收益相关的政府补助</t>
  </si>
  <si>
    <t>9371j</t>
  </si>
  <si>
    <t>政府补助退回情况</t>
  </si>
  <si>
    <t>未分配利润_本期期末余额</t>
  </si>
  <si>
    <t>9601a</t>
  </si>
  <si>
    <t>9601</t>
  </si>
  <si>
    <t>其他归属于母公司所有者权益增减变动</t>
  </si>
  <si>
    <t>9601b</t>
  </si>
  <si>
    <t>其他符合非经常性损益定义的损益项目</t>
  </si>
  <si>
    <t>其他归属于母公司所有者权益_上年年末余额</t>
  </si>
  <si>
    <t>9601c</t>
  </si>
  <si>
    <t>将《公开发行证券的公司信息披露解释性公告第1号——非经常性损益》中列举的非经常性损益项目界定为经常性损益的项目及原因</t>
  </si>
  <si>
    <t>其他归属于母公司所有者权益_会计政策变更调整上年年末余额</t>
  </si>
  <si>
    <t>9601d</t>
  </si>
  <si>
    <t>报告年度不再作为非经常性损益列报的项目</t>
  </si>
  <si>
    <t>其他归属于母公司所有者权益_前期差错更正调整上年年末余额</t>
  </si>
  <si>
    <t>9690a</t>
  </si>
  <si>
    <t>费用按性质分类的补充资料</t>
  </si>
  <si>
    <t>9690</t>
  </si>
  <si>
    <t>其他归属于母公司所有者权益_同一控制下企业合并调整上年年末余额</t>
  </si>
  <si>
    <t>9690b</t>
  </si>
  <si>
    <t>补充资料（一）</t>
  </si>
  <si>
    <t>其他归属于母公司所有者权益_其他原因调整上年年末余额</t>
  </si>
  <si>
    <t>9690c</t>
  </si>
  <si>
    <t>补充资料（二）</t>
  </si>
  <si>
    <t>其他归属于母公司所有者权益_本年年初余额</t>
  </si>
  <si>
    <t>1531d</t>
  </si>
  <si>
    <t>转移长期应收款且继续涉入形成的资产</t>
  </si>
  <si>
    <t>其他归属于母公司所有者权益_本期增减变动金额</t>
  </si>
  <si>
    <t>其他归属于母公司所有者权益_净利润增加权益</t>
  </si>
  <si>
    <t>其他归属于母公司所有者权益_其他综合收益</t>
  </si>
  <si>
    <t>其他归属于母公司所有者权益_综合收益总额增加权益</t>
  </si>
  <si>
    <t>其他归属于母公司所有者权益_所有者投入和减少资本影响权益</t>
  </si>
  <si>
    <t>其他归属于母公司所有者权益_所有者投入资本</t>
  </si>
  <si>
    <t>其他归属于母公司所有者权益_股份支付</t>
  </si>
  <si>
    <t>其他归属于母公司所有者权益_其他权益工具持有者投入资本</t>
  </si>
  <si>
    <t>其他归属于母公司所有者权益_所有者其他投入和减少资本</t>
  </si>
  <si>
    <t>其他归属于母公司所有者权益_利润分配影响权益</t>
  </si>
  <si>
    <t>其他归属于母公司所有者权益_提取盈余公积</t>
  </si>
  <si>
    <t>其他归属于母公司所有者权益_提取一般风险准备</t>
  </si>
  <si>
    <t>其他归属于母公司所有者权益_对所有者的分配</t>
  </si>
  <si>
    <t>其他归属于母公司所有者权益_其他利润分配</t>
  </si>
  <si>
    <t>其他归属于母公司所有者权益_所有者权益内部结转</t>
  </si>
  <si>
    <t>其他归属于母公司所有者权益_资本公积转增资本</t>
  </si>
  <si>
    <t>其他归属于母公司所有者权益_盈余公积转增资本</t>
  </si>
  <si>
    <t>其他归属于母公司所有者权益_盈余公积弥补亏损</t>
  </si>
  <si>
    <t>其他归属于母公司所有者权益_设定受益计划变动额结转留存收益</t>
  </si>
  <si>
    <t>其他归属于母公司所有者权益_所有者权益其他内部结转</t>
  </si>
  <si>
    <t>其他归属于母公司所有者权益_专项储备影响权益</t>
  </si>
  <si>
    <t>其他归属于母公司所有者权益_专项储备本期提取</t>
  </si>
  <si>
    <t>其他归属于母公司所有者权益_专项储备本期使用</t>
  </si>
  <si>
    <t>其他归属于母公司所有者权益_本期其他增减变动</t>
  </si>
  <si>
    <t>其他归属于母公司所有者权益_本期期末余额</t>
  </si>
  <si>
    <t>少数股东权益增减变动</t>
  </si>
  <si>
    <t>少数股东权益_本年年初余额</t>
  </si>
  <si>
    <t>少数股东权益_本期增减变动金额</t>
  </si>
  <si>
    <t>少数股东权益_所有者投入和减少资本影响权益</t>
  </si>
  <si>
    <t>少数股东权益_利润分配影响权益</t>
  </si>
  <si>
    <t>少数股东权益_所有者权益内部结转</t>
  </si>
  <si>
    <t>少数股东权益_专项储备影响权益</t>
  </si>
  <si>
    <t>少数股东权益_本期期末余额</t>
  </si>
  <si>
    <t>现金流量表</t>
  </si>
  <si>
    <t>经营活动现金流量项目</t>
  </si>
  <si>
    <t>一、经营活动产生的现金流量：</t>
  </si>
  <si>
    <t>销售商品、提供劳务收到的现金</t>
  </si>
  <si>
    <t>经营活动现金流入</t>
  </si>
  <si>
    <t>经营活动现金流入小计</t>
  </si>
  <si>
    <t>购买商品、接受劳务支付的现金</t>
  </si>
  <si>
    <t>经营活动现金流出</t>
  </si>
  <si>
    <t>经营活动现金流出小计</t>
  </si>
  <si>
    <t>经营活动产生的现金流量净额</t>
  </si>
  <si>
    <t>投资活动现金流量项目</t>
  </si>
  <si>
    <t>二、投资活动产生的现金流量：</t>
  </si>
  <si>
    <t>处置固定资产、无形资产和其他长期资产收回的现金净额</t>
  </si>
  <si>
    <t>处置子公司及其他营业单位收回的现金净额</t>
  </si>
  <si>
    <t>投资活动现金流入</t>
  </si>
  <si>
    <t>投资活动现金流入小计</t>
  </si>
  <si>
    <t>投资活动现金流出</t>
  </si>
  <si>
    <t>投资活动现金流出小计</t>
  </si>
  <si>
    <t>投资活动产生的现金流量净额</t>
  </si>
  <si>
    <t>筹资活动现金流量项目</t>
  </si>
  <si>
    <t>三、筹资活动产生的现金流量：</t>
  </si>
  <si>
    <t>其中：子公司吸收少数股东投资收到的现金</t>
  </si>
  <si>
    <t>筹资活动现金流入</t>
  </si>
  <si>
    <t>筹资活动现金流入小计</t>
  </si>
  <si>
    <t>分配股利、利润或偿付利息支付的现金</t>
  </si>
  <si>
    <t>其中：子公司支付给少数股东的股利、利润</t>
  </si>
  <si>
    <t>其中：子公司减资支付给少数股东的现金</t>
  </si>
  <si>
    <t>筹资活动现金流出</t>
  </si>
  <si>
    <t>筹资活动现金流出小计</t>
  </si>
  <si>
    <t>筹资活动产生的现金流量净额</t>
  </si>
  <si>
    <t>四、汇率变动对现金及现金等价物的影响</t>
  </si>
  <si>
    <t>现金及现金等价物净增加额</t>
  </si>
  <si>
    <t>五、现金及现金等价物净增加额</t>
  </si>
  <si>
    <t>加：期初现金及现金等价物余额</t>
  </si>
  <si>
    <t>期末现金及现金等价物余额</t>
  </si>
  <si>
    <t>六、期末现金及现金等价物余额</t>
  </si>
  <si>
    <t>1.将净利润调节为经营活动现金流量：</t>
  </si>
  <si>
    <t>净利润金额</t>
  </si>
  <si>
    <t>加：资产减值准备</t>
  </si>
  <si>
    <t>加：资产减值损失</t>
  </si>
  <si>
    <t>固定资产折旧、投资性房地产折旧、油气资产折耗、生产性生物资产折旧</t>
  </si>
  <si>
    <t>处置固定资产、无形资产和其他长期资产的损失（收益以“－”号填列）</t>
  </si>
  <si>
    <t>固定资产报废损失（收益以“－”号填列）</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</si>
  <si>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</si>
  <si>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</si>
  <si>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</si>
  <si>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</si>
  <si>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</si>
  <si>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</si>
  <si>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</si>
  <si>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</si>
  <si>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2.不涉及现金收支的重大投资和筹资活动：</t>
  </si>
  <si>
    <t>债务转为资本</t>
  </si>
  <si>
    <t>一年内到期的可转换公司债券</t>
  </si>
  <si>
    <t>融资租入固定资产</t>
  </si>
  <si>
    <t>3.现金及现金等价物净变动情况：</t>
  </si>
  <si>
    <t>现金的期末余额</t>
  </si>
  <si>
    <t>减：现金的年初余额</t>
  </si>
  <si>
    <t>加：现金等价物的期末余额</t>
  </si>
  <si>
    <t>减：现金等价物的年初余额</t>
  </si>
  <si>
    <t>资产负债表补充资料：资产减值准备</t>
  </si>
  <si>
    <t>其他减值准备</t>
  </si>
  <si>
    <t>对合营企业投资和对联营企业投资</t>
  </si>
  <si>
    <t>无形资产与开发支出</t>
  </si>
  <si>
    <t>资产减值准备</t>
  </si>
  <si>
    <t>资产减值准备小计</t>
  </si>
  <si>
    <t>合同项目收入</t>
  </si>
  <si>
    <t>基本每股收益和稀释每股收益</t>
  </si>
  <si>
    <t>分部报告</t>
  </si>
  <si>
    <t>资产证券化业务的会计处理</t>
  </si>
  <si>
    <t>关联方关系</t>
  </si>
  <si>
    <t>关联方往来款项余额</t>
  </si>
  <si>
    <t>股份支付</t>
  </si>
  <si>
    <t>或有事项</t>
  </si>
  <si>
    <t>重大承诺事项</t>
  </si>
  <si>
    <t>资产负债表日后事项</t>
  </si>
  <si>
    <t>其他重要事项</t>
  </si>
  <si>
    <t>非货币性资产交换</t>
  </si>
  <si>
    <t>债务重组</t>
  </si>
  <si>
    <t>企业合并</t>
  </si>
  <si>
    <t>其他资产置换、转让及出售</t>
  </si>
  <si>
    <t>租赁</t>
  </si>
  <si>
    <t>期末发行在外的、可转换为股份的金融工具</t>
  </si>
  <si>
    <t>外币金融资产和外币金融负债</t>
  </si>
  <si>
    <t>年金计划的主要内容及重大变化</t>
  </si>
  <si>
    <t>借款费用</t>
  </si>
  <si>
    <t>外币折算</t>
  </si>
  <si>
    <t>其他重要事项_其他</t>
  </si>
  <si>
    <t>母公司反向购买下以公允价值入账的资产、负债情况</t>
  </si>
  <si>
    <t>境内外会计准则下会计数据差异</t>
  </si>
  <si>
    <t>净资产收益率和每股收益</t>
  </si>
  <si>
    <t>未分配利润_其他综合收益增加权益</t>
  </si>
  <si>
    <t>实收资本_利润分配影响权益</t>
  </si>
  <si>
    <t>实收资本_专项储备影响权益</t>
  </si>
  <si>
    <t>资本公积_专项储备影响权益</t>
  </si>
  <si>
    <t>库存股_专项储备影响权益</t>
  </si>
  <si>
    <t>专项储备_所有者投入和减少资本影响权益</t>
  </si>
  <si>
    <t>专项储备_利润分配影响权益</t>
  </si>
  <si>
    <t>盈余公积_专项储备影响权益</t>
  </si>
  <si>
    <t>一般风险准备_专项储备影响权益</t>
  </si>
  <si>
    <t>8a01</t>
  </si>
  <si>
    <t>其他权益工具_上年年末余额</t>
  </si>
  <si>
    <t>8a02</t>
  </si>
  <si>
    <t>其他权益工具_会计政策变更调整上年年末余额</t>
  </si>
  <si>
    <t>8a03</t>
  </si>
  <si>
    <t>其他权益工具_前期差错更正调整上年年末余额</t>
  </si>
  <si>
    <t>8a04</t>
  </si>
  <si>
    <t>其他权益工具_同一控制下企业合并调整上年年末余额</t>
  </si>
  <si>
    <t>8a09</t>
  </si>
  <si>
    <t>其他权益工具_其他原因调整上年年末余额</t>
  </si>
  <si>
    <t>8a10</t>
  </si>
  <si>
    <t>其他权益工具_本年年初余额</t>
  </si>
  <si>
    <t>8a90</t>
  </si>
  <si>
    <t>其他权益工具_本期增减变动金额</t>
  </si>
  <si>
    <t>8a40</t>
  </si>
  <si>
    <t>其他权益工具_综合收益总额增加权益</t>
  </si>
  <si>
    <t>8a50</t>
  </si>
  <si>
    <t>其他权益工具_所有者投入和减少资本影响权益</t>
  </si>
  <si>
    <t>8a51</t>
  </si>
  <si>
    <t>其他权益工具_所有者投入资本</t>
  </si>
  <si>
    <t>8a52</t>
  </si>
  <si>
    <t>其他权益工具_股份支付</t>
  </si>
  <si>
    <t>8a53</t>
  </si>
  <si>
    <t>其他权益工具_其他权益工具持有者投入资本</t>
  </si>
  <si>
    <t>8a56</t>
  </si>
  <si>
    <t>其他权益工具_所有者其他投入和减少资本</t>
  </si>
  <si>
    <t>8a60</t>
  </si>
  <si>
    <t>其他权益工具_利润分配影响权益</t>
  </si>
  <si>
    <t>8a61</t>
  </si>
  <si>
    <t>其他权益工具_提取盈余公积</t>
  </si>
  <si>
    <t>8a62</t>
  </si>
  <si>
    <t>其他权益工具_提取一般风险准备</t>
  </si>
  <si>
    <t>8a63</t>
  </si>
  <si>
    <t>其他权益工具_对所有者的分配</t>
  </si>
  <si>
    <t>8a66</t>
  </si>
  <si>
    <t>其他权益工具_其他利润分配</t>
  </si>
  <si>
    <t>8a70</t>
  </si>
  <si>
    <t>其他权益工具_所有者权益内部结转</t>
  </si>
  <si>
    <t>8a71</t>
  </si>
  <si>
    <t>其他权益工具_资本公积转增资本</t>
  </si>
  <si>
    <t>8a72</t>
  </si>
  <si>
    <t>其他权益工具_盈余公积转增资本</t>
  </si>
  <si>
    <t>8a73</t>
  </si>
  <si>
    <t>其他权益工具_盈余公积弥补亏损</t>
  </si>
  <si>
    <t>8a75</t>
  </si>
  <si>
    <t>其他权益工具_设定受益计划变动额结转留存收益</t>
  </si>
  <si>
    <t>8a76</t>
  </si>
  <si>
    <t>其他权益工具_所有者权益其他内部结转</t>
  </si>
  <si>
    <t>8a80</t>
  </si>
  <si>
    <t>其他权益工具_专项储备影响权益</t>
  </si>
  <si>
    <t>8a81</t>
  </si>
  <si>
    <t>其他权益工具_专项储备本期提取</t>
  </si>
  <si>
    <t>8a82</t>
  </si>
  <si>
    <t>其他权益工具_专项储备本期使用</t>
  </si>
  <si>
    <t>8a96</t>
  </si>
  <si>
    <t>其他权益工具_本期其他增减变动</t>
  </si>
  <si>
    <t>8a99</t>
  </si>
  <si>
    <t>其他权益工具_本期期末余额</t>
  </si>
  <si>
    <t>加：其他收益</t>
  </si>
  <si>
    <t>归属所有者的净利润_X</t>
  </si>
  <si>
    <t>（一）归属所有者的净利润</t>
  </si>
  <si>
    <t>来自持续经营和终止经营的净利润_X</t>
  </si>
  <si>
    <t>（二）来自持续经营和终止经营的净利润</t>
  </si>
  <si>
    <t>持续经营净利润</t>
  </si>
  <si>
    <t>（一）持续经营净利润（净亏损以“-”号填列）</t>
  </si>
  <si>
    <t>终止经营净利润</t>
  </si>
  <si>
    <t>（二）终止经营净利润（净亏损以“-”号填列）</t>
  </si>
  <si>
    <t>资产处置收益（损失以“-”号填列）</t>
  </si>
  <si>
    <t>净利润按所有权归属分类</t>
  </si>
  <si>
    <t>（二）按所有权归属分类：</t>
  </si>
  <si>
    <t>净利润按经营持续性分类</t>
  </si>
  <si>
    <t>（一）按经营持续性分类：</t>
  </si>
  <si>
    <t>其中：利息费用</t>
  </si>
  <si>
    <t>以摊余成本计量的金融资产终止确认收益（损失以“-”号填列）</t>
  </si>
  <si>
    <t>净敞口套期收益（损失以“-”号填列）</t>
  </si>
  <si>
    <t>信用减值损失（损失以“-”号填列）</t>
  </si>
  <si>
    <t>所有者权益_其他综合收益结转留存收益</t>
  </si>
  <si>
    <t>_JR＝</t>
  </si>
  <si>
    <t>其他综合收益结转留存收益</t>
  </si>
  <si>
    <t>信用减值损失金额</t>
  </si>
  <si>
    <t>Reports Editor Accountant Lite</t>
  </si>
  <si>
    <t>Ver3.30.21112</t>
  </si>
  <si>
    <t>请关注以下信息，以判断是否适用：</t>
  </si>
  <si>
    <t>软件版本信息：</t>
  </si>
  <si>
    <r>
      <rPr>
        <i/>
        <sz val="12"/>
        <color indexed="9"/>
        <rFont val="楷体"/>
        <family val="3"/>
        <charset val="134"/>
      </rPr>
      <t>编制单位</t>
    </r>
  </si>
  <si>
    <t>截止日</t>
  </si>
  <si>
    <t>期末</t>
  </si>
  <si>
    <t>PE2</t>
  </si>
  <si>
    <t>模板编号</t>
  </si>
  <si>
    <t>A11.12GEN</t>
  </si>
  <si>
    <t>RE版本号</t>
  </si>
  <si>
    <t>简称</t>
  </si>
  <si>
    <t>年初</t>
  </si>
  <si>
    <t>PE3</t>
  </si>
  <si>
    <t>更新日期</t>
  </si>
  <si>
    <t>RE模板名称</t>
  </si>
  <si>
    <t>上市公司个别报表模板</t>
  </si>
  <si>
    <t>单位编码</t>
  </si>
  <si>
    <t>期间</t>
  </si>
  <si>
    <t>本期</t>
  </si>
  <si>
    <t>PY2</t>
  </si>
  <si>
    <t>报表种类</t>
  </si>
  <si>
    <t>个别报表</t>
  </si>
  <si>
    <t>RE模板适用于</t>
  </si>
  <si>
    <t>非金融业的上市公司</t>
  </si>
  <si>
    <t>法定代表人</t>
  </si>
  <si>
    <t>上期</t>
  </si>
  <si>
    <t>PY3</t>
  </si>
  <si>
    <t>会计制度</t>
  </si>
  <si>
    <t>企业会计准则</t>
  </si>
  <si>
    <t>RE模板更新日期</t>
  </si>
  <si>
    <t>主管会计工作负责人</t>
  </si>
  <si>
    <t>编制</t>
  </si>
  <si>
    <t>金额单位</t>
  </si>
  <si>
    <t>元</t>
  </si>
  <si>
    <t>技术标准</t>
  </si>
  <si>
    <t>TSC1_1</t>
  </si>
  <si>
    <t>技术标准信息：</t>
  </si>
  <si>
    <t>会计机构负责人</t>
  </si>
  <si>
    <t>复核</t>
  </si>
  <si>
    <t>币种</t>
  </si>
  <si>
    <t>人民币</t>
  </si>
  <si>
    <t>适用范围</t>
  </si>
  <si>
    <t>非金融业上市公司</t>
  </si>
  <si>
    <t>标准号</t>
  </si>
  <si>
    <t>TSC1_1 上市公司年度审计报告模板</t>
  </si>
  <si>
    <t>发布文号</t>
  </si>
  <si>
    <t>技字（2012）第00002号</t>
  </si>
  <si>
    <t>发布日期</t>
  </si>
  <si>
    <r>
      <rPr>
        <b/>
        <i/>
        <sz val="12"/>
        <color indexed="9"/>
        <rFont val="楷体"/>
        <family val="3"/>
        <charset val="134"/>
      </rPr>
      <t>调整前报表</t>
    </r>
    <r>
      <rPr>
        <b/>
        <i/>
        <sz val="12"/>
        <color indexed="9"/>
        <rFont val="Arial"/>
        <family val="2"/>
      </rPr>
      <t xml:space="preserve"> Preliminary Statements</t>
    </r>
  </si>
  <si>
    <r>
      <rPr>
        <sz val="12"/>
        <rFont val="楷体"/>
        <family val="3"/>
        <charset val="134"/>
      </rPr>
      <t>资产负债表</t>
    </r>
    <r>
      <rPr>
        <sz val="12"/>
        <rFont val="Arial"/>
        <family val="2"/>
      </rPr>
      <t>preBS (preliminary Balance Sheet)</t>
    </r>
  </si>
  <si>
    <t>&gt;&gt;</t>
  </si>
  <si>
    <t>适用法规信息：</t>
  </si>
  <si>
    <r>
      <rPr>
        <sz val="12"/>
        <rFont val="楷体"/>
        <family val="3"/>
        <charset val="134"/>
      </rPr>
      <t>利润表</t>
    </r>
    <r>
      <rPr>
        <sz val="12"/>
        <rFont val="Arial"/>
        <family val="2"/>
      </rPr>
      <t>preIS (preliminary Income Statement)</t>
    </r>
  </si>
  <si>
    <t>执行的会计制度</t>
  </si>
  <si>
    <t>《企业会计准则》2006及其后续规定</t>
  </si>
  <si>
    <r>
      <rPr>
        <sz val="12"/>
        <rFont val="楷体"/>
        <family val="3"/>
        <charset val="134"/>
      </rPr>
      <t>现金流量表</t>
    </r>
    <r>
      <rPr>
        <sz val="12"/>
        <rFont val="Arial"/>
        <family val="2"/>
      </rPr>
      <t>preCF (preliminary Cash Flow Statement)</t>
    </r>
  </si>
  <si>
    <t>报表格式依据</t>
  </si>
  <si>
    <t>CAS30 财务报表列报；CAS33 合并财务报表；《公开发行证券的公司信息披露编报规则第15号——财务报告的一般规定》（2010年修订）；《上市公司2010年年度报告工作备忘录第一号财务报告及XBRL业务模板修订》（上海证券交易所）</t>
  </si>
  <si>
    <r>
      <rPr>
        <sz val="12"/>
        <rFont val="楷体"/>
        <family val="3"/>
        <charset val="134"/>
      </rPr>
      <t>所有者权益变动表</t>
    </r>
    <r>
      <rPr>
        <sz val="12"/>
        <rFont val="Arial"/>
        <family val="2"/>
      </rPr>
      <t>preCE (preliminary Statement of Changes in Equity)</t>
    </r>
  </si>
  <si>
    <r>
      <rPr>
        <b/>
        <i/>
        <sz val="12"/>
        <color indexed="9"/>
        <rFont val="楷体"/>
        <family val="3"/>
        <charset val="134"/>
      </rPr>
      <t>试算表及调整分录</t>
    </r>
    <r>
      <rPr>
        <b/>
        <i/>
        <sz val="12"/>
        <color indexed="9"/>
        <rFont val="Arial"/>
        <family val="2"/>
      </rPr>
      <t xml:space="preserve"> T/B &amp; AJE RJE</t>
    </r>
  </si>
  <si>
    <r>
      <rPr>
        <sz val="12"/>
        <rFont val="楷体"/>
        <family val="3"/>
        <charset val="134"/>
      </rPr>
      <t>试算平衡表</t>
    </r>
    <r>
      <rPr>
        <sz val="12"/>
        <rFont val="Arial"/>
        <family val="2"/>
      </rPr>
      <t>TB</t>
    </r>
  </si>
  <si>
    <r>
      <rPr>
        <sz val="12"/>
        <rFont val="楷体"/>
        <family val="3"/>
        <charset val="134"/>
      </rPr>
      <t>本期调整及重分类分录汇总表</t>
    </r>
    <r>
      <rPr>
        <sz val="12"/>
        <rFont val="Arial"/>
        <family val="2"/>
      </rPr>
      <t>AJE</t>
    </r>
  </si>
  <si>
    <r>
      <rPr>
        <sz val="12"/>
        <rFont val="楷体"/>
        <family val="3"/>
        <charset val="134"/>
      </rPr>
      <t>本期现金流量表调整分录汇总表</t>
    </r>
    <r>
      <rPr>
        <sz val="12"/>
        <rFont val="Arial"/>
        <family val="2"/>
      </rPr>
      <t>CFJE</t>
    </r>
  </si>
  <si>
    <r>
      <rPr>
        <sz val="12"/>
        <rFont val="楷体"/>
        <family val="3"/>
        <charset val="134"/>
      </rPr>
      <t>未更正错报汇总表</t>
    </r>
    <r>
      <rPr>
        <sz val="12"/>
        <rFont val="Arial"/>
        <family val="2"/>
      </rPr>
      <t>UJE</t>
    </r>
  </si>
  <si>
    <r>
      <rPr>
        <sz val="12"/>
        <rFont val="楷体"/>
        <family val="3"/>
        <charset val="134"/>
      </rPr>
      <t>前</t>
    </r>
    <r>
      <rPr>
        <sz val="12"/>
        <rFont val="Arial"/>
        <family val="2"/>
      </rPr>
      <t>1</t>
    </r>
    <r>
      <rPr>
        <sz val="12"/>
        <rFont val="楷体"/>
        <family val="3"/>
        <charset val="134"/>
      </rPr>
      <t>期调整及重分类分录汇总表</t>
    </r>
    <r>
      <rPr>
        <sz val="12"/>
        <rFont val="Arial"/>
        <family val="2"/>
      </rPr>
      <t>AJE1</t>
    </r>
  </si>
  <si>
    <r>
      <rPr>
        <sz val="12"/>
        <rFont val="楷体"/>
        <family val="3"/>
        <charset val="134"/>
      </rPr>
      <t>财务报表与注释之间的勾稽关系检查</t>
    </r>
    <r>
      <rPr>
        <sz val="12"/>
        <rFont val="Arial"/>
        <family val="2"/>
      </rPr>
      <t>noteChecks</t>
    </r>
  </si>
  <si>
    <r>
      <rPr>
        <sz val="12"/>
        <rFont val="楷体"/>
        <family val="3"/>
        <charset val="134"/>
      </rPr>
      <t>财务报表之间的勾稽关系检查</t>
    </r>
    <r>
      <rPr>
        <sz val="12"/>
        <rFont val="Arial"/>
        <family val="2"/>
      </rPr>
      <t>Checks</t>
    </r>
  </si>
  <si>
    <r>
      <rPr>
        <sz val="12"/>
        <rFont val="楷体"/>
        <family val="3"/>
        <charset val="134"/>
      </rPr>
      <t>现金流量表复核（一）</t>
    </r>
    <r>
      <rPr>
        <sz val="12"/>
        <rFont val="Arial"/>
        <family val="2"/>
      </rPr>
      <t>CFWP1</t>
    </r>
  </si>
  <si>
    <r>
      <rPr>
        <sz val="12"/>
        <rFont val="楷体"/>
        <family val="3"/>
        <charset val="134"/>
      </rPr>
      <t>现金流量表复核（二）</t>
    </r>
    <r>
      <rPr>
        <sz val="12"/>
        <rFont val="Arial"/>
        <family val="2"/>
      </rPr>
      <t>CFWP2</t>
    </r>
  </si>
  <si>
    <r>
      <rPr>
        <b/>
        <i/>
        <sz val="12"/>
        <color indexed="9"/>
        <rFont val="楷体"/>
        <family val="3"/>
        <charset val="134"/>
      </rPr>
      <t>调整后报表</t>
    </r>
    <r>
      <rPr>
        <b/>
        <i/>
        <sz val="12"/>
        <color indexed="9"/>
        <rFont val="Arial"/>
        <family val="2"/>
      </rPr>
      <t xml:space="preserve"> Adjusted Statements</t>
    </r>
  </si>
  <si>
    <r>
      <rPr>
        <sz val="12"/>
        <rFont val="楷体"/>
        <family val="3"/>
        <charset val="134"/>
      </rPr>
      <t>资产负债表</t>
    </r>
    <r>
      <rPr>
        <sz val="12"/>
        <rFont val="Arial"/>
        <family val="2"/>
      </rPr>
      <t>BS</t>
    </r>
  </si>
  <si>
    <r>
      <rPr>
        <sz val="12"/>
        <rFont val="楷体"/>
        <family val="3"/>
        <charset val="134"/>
      </rPr>
      <t>利润表</t>
    </r>
    <r>
      <rPr>
        <sz val="12"/>
        <rFont val="Arial"/>
        <family val="2"/>
      </rPr>
      <t>IS</t>
    </r>
  </si>
  <si>
    <r>
      <rPr>
        <sz val="12"/>
        <rFont val="楷体"/>
        <family val="3"/>
        <charset val="134"/>
      </rPr>
      <t>现金流量表</t>
    </r>
    <r>
      <rPr>
        <sz val="12"/>
        <rFont val="Arial"/>
        <family val="2"/>
      </rPr>
      <t>CF</t>
    </r>
  </si>
  <si>
    <r>
      <rPr>
        <sz val="12"/>
        <rFont val="楷体"/>
        <family val="3"/>
        <charset val="134"/>
      </rPr>
      <t>所有者权益变动表</t>
    </r>
    <r>
      <rPr>
        <sz val="12"/>
        <rFont val="Arial"/>
        <family val="2"/>
      </rPr>
      <t>CE</t>
    </r>
  </si>
  <si>
    <r>
      <rPr>
        <sz val="12"/>
        <rFont val="楷体"/>
        <family val="3"/>
        <charset val="134"/>
      </rPr>
      <t>财务报表项目注释</t>
    </r>
    <r>
      <rPr>
        <sz val="12"/>
        <rFont val="Arial"/>
        <family val="2"/>
      </rPr>
      <t>Notes</t>
    </r>
  </si>
  <si>
    <t>报表分析</t>
  </si>
  <si>
    <r>
      <rPr>
        <sz val="12"/>
        <rFont val="楷体"/>
        <family val="3"/>
        <charset val="134"/>
      </rPr>
      <t>未审财务报表分析</t>
    </r>
  </si>
  <si>
    <r>
      <rPr>
        <sz val="12"/>
        <rFont val="楷体"/>
        <family val="3"/>
        <charset val="134"/>
      </rPr>
      <t>已审财务报表分析</t>
    </r>
  </si>
  <si>
    <r>
      <rPr>
        <sz val="12"/>
        <rFont val="楷体"/>
        <family val="3"/>
        <charset val="134"/>
      </rPr>
      <t>未审财务指标分析</t>
    </r>
  </si>
  <si>
    <r>
      <rPr>
        <sz val="12"/>
        <rFont val="楷体"/>
        <family val="3"/>
        <charset val="134"/>
      </rPr>
      <t>已审财务指标分析</t>
    </r>
  </si>
  <si>
    <r>
      <rPr>
        <sz val="12"/>
        <rFont val="楷体"/>
        <family val="3"/>
        <charset val="134"/>
      </rPr>
      <t>非财务信息</t>
    </r>
  </si>
  <si>
    <t>文档管理：更新与去向记录</t>
  </si>
  <si>
    <t>日期</t>
  </si>
  <si>
    <t>事       项</t>
  </si>
  <si>
    <t>主要更新内容</t>
  </si>
  <si>
    <t>版本</t>
  </si>
  <si>
    <t>编制人</t>
  </si>
  <si>
    <t>审核人</t>
  </si>
  <si>
    <t>接受人</t>
  </si>
  <si>
    <t>备注</t>
  </si>
  <si>
    <t>录入审计调整前财务报表</t>
  </si>
  <si>
    <t>沟通调整事项</t>
  </si>
  <si>
    <t>核对附注列报</t>
  </si>
  <si>
    <t>发送项目负责经理复核</t>
  </si>
  <si>
    <t>发送供合并稿</t>
  </si>
  <si>
    <t>发送项目合伙人复核</t>
  </si>
  <si>
    <t>发送客户核对（仅部分表格）</t>
  </si>
  <si>
    <t>发送质量控制部复核</t>
  </si>
  <si>
    <t>定稿</t>
  </si>
  <si>
    <t>发送行政部印刷</t>
  </si>
  <si>
    <t>归档</t>
  </si>
  <si>
    <t>单位</t>
  </si>
  <si>
    <t>签名</t>
  </si>
  <si>
    <t>项目</t>
  </si>
  <si>
    <t>财务报表与注释之间的勾稽关系检查</t>
  </si>
  <si>
    <r>
      <rPr>
        <b/>
        <i/>
        <sz val="11"/>
        <rFont val="宋体"/>
        <family val="3"/>
        <charset val="134"/>
      </rPr>
      <t>索引号</t>
    </r>
  </si>
  <si>
    <r>
      <rPr>
        <b/>
        <i/>
        <sz val="11"/>
        <rFont val="宋体"/>
        <family val="3"/>
        <charset val="134"/>
      </rPr>
      <t>页</t>
    </r>
    <r>
      <rPr>
        <b/>
        <i/>
        <sz val="11"/>
        <rFont val="Times New Roman"/>
        <family val="1"/>
      </rPr>
      <t xml:space="preserve">   </t>
    </r>
    <r>
      <rPr>
        <b/>
        <i/>
        <sz val="11"/>
        <rFont val="宋体"/>
        <family val="3"/>
        <charset val="134"/>
      </rPr>
      <t>次</t>
    </r>
  </si>
  <si>
    <t>项目编码</t>
  </si>
  <si>
    <t>注释号</t>
  </si>
  <si>
    <t>序号</t>
  </si>
  <si>
    <t>报表项目</t>
  </si>
  <si>
    <t>注释项目</t>
  </si>
  <si>
    <t>本期报表数</t>
  </si>
  <si>
    <t>本期注释数</t>
  </si>
  <si>
    <t>本期差异</t>
  </si>
  <si>
    <t>√</t>
  </si>
  <si>
    <t>前1期报表数</t>
  </si>
  <si>
    <t>前1期注释数</t>
  </si>
  <si>
    <t>前1期差异</t>
  </si>
  <si>
    <t>点击“报表--勾稽检查--勾稽检查”，可生成此表。</t>
  </si>
  <si>
    <t>财务报表之间的勾稽关系检查</t>
  </si>
  <si>
    <t>报表1</t>
  </si>
  <si>
    <t>编码1</t>
  </si>
  <si>
    <t>项目1</t>
  </si>
  <si>
    <t>期间1</t>
  </si>
  <si>
    <t>金额1</t>
  </si>
  <si>
    <t>报表2</t>
  </si>
  <si>
    <t>编码2</t>
  </si>
  <si>
    <t>项目2</t>
  </si>
  <si>
    <t>期间2</t>
  </si>
  <si>
    <t>金额2</t>
  </si>
  <si>
    <t>差异</t>
  </si>
  <si>
    <t>核对结果</t>
  </si>
  <si>
    <t>资 产 负 债 表</t>
  </si>
  <si>
    <t>会企01表</t>
  </si>
  <si>
    <t>单位：元</t>
  </si>
  <si>
    <t>币种：人民币</t>
  </si>
  <si>
    <t>Code1</t>
  </si>
  <si>
    <t>Code2</t>
  </si>
  <si>
    <t>ItemId1</t>
  </si>
  <si>
    <t>附注</t>
  </si>
  <si>
    <t>期末余额</t>
  </si>
  <si>
    <t>年初余额</t>
  </si>
  <si>
    <t>ItemId2</t>
  </si>
  <si>
    <t>ItemId3</t>
  </si>
  <si>
    <t>补充资料：资产减值准备</t>
  </si>
  <si>
    <t>%IC</t>
  </si>
  <si>
    <r>
      <rPr>
        <b/>
        <i/>
        <sz val="12"/>
        <color indexed="9"/>
        <rFont val="楷体_GB2312"/>
        <charset val="134"/>
      </rPr>
      <t>勾稽检查</t>
    </r>
    <r>
      <rPr>
        <b/>
        <i/>
        <sz val="12"/>
        <color indexed="9"/>
        <rFont val="Arial"/>
        <family val="2"/>
      </rPr>
      <t xml:space="preserve"> Integrity Checks</t>
    </r>
  </si>
  <si>
    <r>
      <rPr>
        <b/>
        <sz val="10"/>
        <color indexed="9"/>
        <rFont val="楷体_GB2312"/>
        <charset val="134"/>
      </rPr>
      <t>项目</t>
    </r>
    <r>
      <rPr>
        <b/>
        <sz val="10"/>
        <color indexed="9"/>
        <rFont val="Arial Unicode MS"/>
        <family val="2"/>
        <charset val="134"/>
      </rPr>
      <t>1</t>
    </r>
  </si>
  <si>
    <r>
      <rPr>
        <b/>
        <sz val="10"/>
        <color indexed="9"/>
        <rFont val="楷体_GB2312"/>
        <charset val="134"/>
      </rPr>
      <t>金额</t>
    </r>
    <r>
      <rPr>
        <b/>
        <sz val="10"/>
        <color indexed="9"/>
        <rFont val="Arial Unicode MS"/>
        <family val="2"/>
        <charset val="134"/>
      </rPr>
      <t>1</t>
    </r>
  </si>
  <si>
    <r>
      <rPr>
        <b/>
        <sz val="10"/>
        <color indexed="9"/>
        <rFont val="楷体_GB2312"/>
        <charset val="134"/>
      </rPr>
      <t>项目</t>
    </r>
    <r>
      <rPr>
        <b/>
        <sz val="10"/>
        <color indexed="9"/>
        <rFont val="Arial Unicode MS"/>
        <family val="2"/>
        <charset val="134"/>
      </rPr>
      <t>2</t>
    </r>
  </si>
  <si>
    <r>
      <rPr>
        <b/>
        <sz val="10"/>
        <color indexed="9"/>
        <rFont val="楷体_GB2312"/>
        <charset val="134"/>
      </rPr>
      <t>金额</t>
    </r>
    <r>
      <rPr>
        <b/>
        <sz val="10"/>
        <color indexed="9"/>
        <rFont val="Arial Unicode MS"/>
        <family val="2"/>
        <charset val="134"/>
      </rPr>
      <t>2</t>
    </r>
  </si>
  <si>
    <t>本表内勾稽：</t>
  </si>
  <si>
    <t>差异汇总：</t>
  </si>
  <si>
    <t>利 润 表</t>
  </si>
  <si>
    <t>会企02表</t>
  </si>
  <si>
    <t>标识1</t>
  </si>
  <si>
    <t>项目编号</t>
  </si>
  <si>
    <t>本期金额</t>
  </si>
  <si>
    <t>上期金额</t>
  </si>
  <si>
    <t>%IC※</t>
  </si>
  <si>
    <t>差       异</t>
  </si>
  <si>
    <t xml:space="preserve"> </t>
  </si>
  <si>
    <t>与所有者权益变动表勾稽：</t>
  </si>
  <si>
    <t>现 金 流 量 表</t>
  </si>
  <si>
    <t>会企03表</t>
  </si>
  <si>
    <t>请阅读右列提示，若采用方案B，则下表无须填列。</t>
  </si>
  <si>
    <t>请选择：</t>
  </si>
  <si>
    <t>本年金额</t>
  </si>
  <si>
    <t>上年金额</t>
  </si>
  <si>
    <r>
      <rPr>
        <b/>
        <sz val="10"/>
        <color indexed="10"/>
        <rFont val="楷体_GB2312"/>
        <charset val="134"/>
      </rPr>
      <t>！注意：</t>
    </r>
    <r>
      <rPr>
        <sz val="10"/>
        <color indexed="12"/>
        <rFont val="楷体_GB2312"/>
        <charset val="134"/>
      </rPr>
      <t>此处取资产负债表货币资金列报数，不严密，仅供参考。</t>
    </r>
  </si>
  <si>
    <t>与利润表勾稽：</t>
  </si>
  <si>
    <t>现金流量表补充资料与主表勾稽：</t>
  </si>
  <si>
    <t>81</t>
  </si>
  <si>
    <t>8b</t>
  </si>
  <si>
    <t>8c</t>
  </si>
  <si>
    <t>8d</t>
  </si>
  <si>
    <t>82</t>
  </si>
  <si>
    <t>83</t>
  </si>
  <si>
    <t>8g</t>
  </si>
  <si>
    <t>84</t>
  </si>
  <si>
    <t>85</t>
  </si>
  <si>
    <t>86</t>
  </si>
  <si>
    <t>87</t>
  </si>
  <si>
    <t>88</t>
  </si>
  <si>
    <t>89</t>
  </si>
  <si>
    <t>80</t>
  </si>
  <si>
    <t>00</t>
  </si>
  <si>
    <t>会企04表</t>
  </si>
  <si>
    <t>单位：元   币种：人民币</t>
  </si>
  <si>
    <t>上年同期金额</t>
  </si>
  <si>
    <t>其他权益工具（优先股）</t>
  </si>
  <si>
    <t>其他权益工具（永续债）</t>
  </si>
  <si>
    <t>其他权益工具（其他）</t>
  </si>
  <si>
    <t xml:space="preserve">一般风险准备 </t>
  </si>
  <si>
    <t>所有者权益合计</t>
  </si>
  <si>
    <t>01</t>
  </si>
  <si>
    <t>02</t>
  </si>
  <si>
    <t>03</t>
  </si>
  <si>
    <t>04</t>
  </si>
  <si>
    <t>09</t>
  </si>
  <si>
    <t>10</t>
  </si>
  <si>
    <t>90</t>
  </si>
  <si>
    <t>21</t>
  </si>
  <si>
    <t>30</t>
  </si>
  <si>
    <t>40</t>
  </si>
  <si>
    <t>50</t>
  </si>
  <si>
    <t>51</t>
  </si>
  <si>
    <t>53</t>
  </si>
  <si>
    <t>52</t>
  </si>
  <si>
    <t>56</t>
  </si>
  <si>
    <t>60</t>
  </si>
  <si>
    <t>61</t>
  </si>
  <si>
    <t>62</t>
  </si>
  <si>
    <t>63</t>
  </si>
  <si>
    <t>66</t>
  </si>
  <si>
    <t>70</t>
  </si>
  <si>
    <t>71</t>
  </si>
  <si>
    <t>72</t>
  </si>
  <si>
    <t>73</t>
  </si>
  <si>
    <t>75</t>
  </si>
  <si>
    <t>77</t>
  </si>
  <si>
    <t>76</t>
  </si>
  <si>
    <t>96</t>
  </si>
  <si>
    <t>99</t>
  </si>
  <si>
    <t>与资产负债表勾稽：</t>
  </si>
  <si>
    <r>
      <rPr>
        <sz val="10"/>
        <rFont val="宋体"/>
        <family val="3"/>
        <charset val="134"/>
      </rPr>
      <t>资产负债表列示</t>
    </r>
    <r>
      <rPr>
        <sz val="10"/>
        <rFont val="Arial"/>
        <family val="2"/>
      </rPr>
      <t xml:space="preserve">     BS</t>
    </r>
  </si>
  <si>
    <t>单   位   名    称:</t>
  </si>
  <si>
    <t>项              目:</t>
  </si>
  <si>
    <t>T/B</t>
  </si>
  <si>
    <t>编  制：</t>
  </si>
  <si>
    <t>索引号</t>
  </si>
  <si>
    <t>财务报表截止日/期间：</t>
  </si>
  <si>
    <t>复  核：</t>
  </si>
  <si>
    <t>页  次</t>
  </si>
  <si>
    <t>调整前金额</t>
  </si>
  <si>
    <t>借方</t>
  </si>
  <si>
    <t xml:space="preserve">贷方 </t>
  </si>
  <si>
    <t>调整后金额</t>
  </si>
  <si>
    <t>以下须手工调整，不从CFJE表取数</t>
  </si>
  <si>
    <t>调增</t>
  </si>
  <si>
    <t>调减</t>
  </si>
  <si>
    <r>
      <rPr>
        <b/>
        <i/>
        <sz val="12"/>
        <color indexed="9"/>
        <rFont val="楷体"/>
        <family val="3"/>
        <charset val="134"/>
      </rPr>
      <t>勾稽检查</t>
    </r>
    <r>
      <rPr>
        <b/>
        <i/>
        <sz val="12"/>
        <color indexed="9"/>
        <rFont val="Arial"/>
        <family val="2"/>
      </rPr>
      <t xml:space="preserve"> Integrity Checks</t>
    </r>
  </si>
  <si>
    <t>优先股</t>
  </si>
  <si>
    <t>永续债</t>
  </si>
  <si>
    <t>账项调整及重分类分录汇总表</t>
  </si>
  <si>
    <t>摘要1</t>
  </si>
  <si>
    <t>分录号</t>
  </si>
  <si>
    <t>行次</t>
  </si>
  <si>
    <t>分录类型</t>
  </si>
  <si>
    <t>摘要/方向</t>
  </si>
  <si>
    <t>报表项目/一级科目</t>
  </si>
  <si>
    <t>一级科目/明细科目</t>
  </si>
  <si>
    <r>
      <rPr>
        <sz val="10"/>
        <rFont val="宋体"/>
        <family val="3"/>
        <charset val="134"/>
      </rPr>
      <t>项目</t>
    </r>
    <r>
      <rPr>
        <sz val="10"/>
        <rFont val="Arial Narrow"/>
        <family val="2"/>
      </rPr>
      <t>1</t>
    </r>
  </si>
  <si>
    <r>
      <rPr>
        <sz val="10"/>
        <rFont val="宋体"/>
        <family val="3"/>
        <charset val="134"/>
      </rPr>
      <t>项目</t>
    </r>
    <r>
      <rPr>
        <sz val="10"/>
        <rFont val="Arial Narrow"/>
        <family val="2"/>
      </rPr>
      <t>2</t>
    </r>
  </si>
  <si>
    <t>借方金额</t>
  </si>
  <si>
    <t>贷方金额</t>
  </si>
  <si>
    <t>科目分类</t>
  </si>
  <si>
    <t>错报分类</t>
  </si>
  <si>
    <t>错报原因</t>
  </si>
  <si>
    <t>原币金额</t>
  </si>
  <si>
    <t>汇率</t>
  </si>
  <si>
    <t>备注/状态</t>
  </si>
  <si>
    <t>备注/证据</t>
  </si>
  <si>
    <t>借方金额公式</t>
  </si>
  <si>
    <t>贷方金额公式</t>
  </si>
  <si>
    <t>错报统计借方</t>
  </si>
  <si>
    <t>错报统计贷方</t>
  </si>
  <si>
    <t>提示信息</t>
  </si>
  <si>
    <t>FLend</t>
  </si>
  <si>
    <t>同意调整及重分类分录合计</t>
  </si>
  <si>
    <t>被审计单位的意见：</t>
  </si>
  <si>
    <t>结论：</t>
  </si>
  <si>
    <t xml:space="preserve">被审计单位授权代表签字：    </t>
  </si>
  <si>
    <t>是否同意上述审计调整：</t>
  </si>
  <si>
    <t>主管会计工作负责人:</t>
  </si>
  <si>
    <t>会计机构负责人:</t>
  </si>
  <si>
    <t>（被审计单位盖章）</t>
  </si>
  <si>
    <t>日期：</t>
  </si>
  <si>
    <t>提示：审计调整事项需要贵公司加盖公章及主管会计工作的公司负责人、会计机构负责人签署“同意调整”并签字确认；</t>
  </si>
  <si>
    <t>审计后的财务报表需要加盖贵公司公章，同时要求公司法定代表人、主管会计工作的公司负责人、会计机构负责人盖章。</t>
  </si>
  <si>
    <t>现金流量表调整分录汇总表</t>
  </si>
  <si>
    <t>类别
(流入/流出)</t>
  </si>
  <si>
    <t>增加(+)</t>
  </si>
  <si>
    <t>减少(-)</t>
  </si>
  <si>
    <t>现金流量表调整分录合计（流入）</t>
  </si>
  <si>
    <t>现金流量表调整分录合计（流出）</t>
  </si>
  <si>
    <t>现金流量表调整分录合计（流入－流出）</t>
  </si>
  <si>
    <t>未更正错报汇总表</t>
  </si>
  <si>
    <r>
      <rPr>
        <b/>
        <i/>
        <sz val="11"/>
        <rFont val="宋体"/>
        <family val="3"/>
        <charset val="134"/>
      </rPr>
      <t>索引号</t>
    </r>
    <r>
      <rPr>
        <b/>
        <i/>
        <sz val="11"/>
        <rFont val="Times New Roman"/>
        <family val="1"/>
      </rPr>
      <t xml:space="preserve">  </t>
    </r>
  </si>
  <si>
    <t>一级科目</t>
  </si>
  <si>
    <t>未调整借方金额</t>
  </si>
  <si>
    <t>未调整贷方金额</t>
  </si>
  <si>
    <t>未更正错报分类</t>
  </si>
  <si>
    <t>未调整或未重分类分录合计</t>
  </si>
  <si>
    <t>未更正错报的影响：</t>
  </si>
  <si>
    <t>报表项目金额</t>
  </si>
  <si>
    <t>未更正错报金额</t>
  </si>
  <si>
    <t>百分比</t>
  </si>
  <si>
    <t>总资产</t>
  </si>
  <si>
    <t>净资产</t>
  </si>
  <si>
    <t>销售收入</t>
  </si>
  <si>
    <t>费用总额</t>
  </si>
  <si>
    <t>毛利</t>
  </si>
  <si>
    <t>本公司经考虑认为，上述未更正错报对公司财务报表整体不会产生重大影响，未予调整。</t>
  </si>
  <si>
    <t>账项调整/重分类分录汇总表（上期）</t>
  </si>
  <si>
    <t>%FI</t>
  </si>
  <si>
    <t>披露核对汇总表（财务报表项目注释）</t>
  </si>
  <si>
    <t>操作提示：</t>
  </si>
  <si>
    <r>
      <rPr>
        <b/>
        <sz val="10"/>
        <color indexed="60"/>
        <rFont val="宋体"/>
        <family val="3"/>
        <charset val="134"/>
      </rPr>
      <t>差异汇总（本期|</t>
    </r>
    <r>
      <rPr>
        <b/>
        <sz val="10"/>
        <color indexed="20"/>
        <rFont val="宋体"/>
        <family val="3"/>
        <charset val="134"/>
      </rPr>
      <t>上期</t>
    </r>
    <r>
      <rPr>
        <b/>
        <sz val="10"/>
        <color indexed="60"/>
        <rFont val="宋体"/>
        <family val="3"/>
        <charset val="134"/>
      </rPr>
      <t>）：</t>
    </r>
  </si>
  <si>
    <t>不合逻辑项：</t>
  </si>
  <si>
    <t>行项目重复：</t>
  </si>
  <si>
    <t>待设置勾稽公式项数：</t>
  </si>
  <si>
    <t>&gt;&gt;点击“报表--勾稽检查--勾稽检查”，可在本表尾部汇总勾稽核对情况。</t>
  </si>
  <si>
    <t>ID</t>
  </si>
  <si>
    <t>SN</t>
  </si>
  <si>
    <t>unitID</t>
  </si>
  <si>
    <t>尚未开始输入注释项数：</t>
  </si>
  <si>
    <t>&gt;&gt;在 S 列，有关于注释项的批注，鼠标悬停即可阅读。</t>
  </si>
  <si>
    <t>auItemIndex</t>
  </si>
  <si>
    <t>%SL</t>
  </si>
  <si>
    <t>报表数A/期末</t>
  </si>
  <si>
    <t>报表数B/年初</t>
  </si>
  <si>
    <t>%NL</t>
  </si>
  <si>
    <t>适用</t>
  </si>
  <si>
    <t>附注列报A：</t>
  </si>
  <si>
    <t>附注列报B：</t>
  </si>
  <si>
    <t>NOTE_1015b</t>
  </si>
  <si>
    <t>04#A11</t>
  </si>
  <si>
    <t>05#B11</t>
  </si>
  <si>
    <t>%HE</t>
  </si>
  <si>
    <t>现金</t>
  </si>
  <si>
    <t>%UM%TA%^</t>
  </si>
  <si>
    <t>合       计</t>
  </si>
  <si>
    <t>%FO</t>
  </si>
  <si>
    <t>其中：存放在境外的款项总额</t>
  </si>
  <si>
    <t>%PA</t>
  </si>
  <si>
    <r>
      <rPr>
        <i/>
        <sz val="10"/>
        <color rgb="FF000000"/>
        <rFont val="Arial"/>
        <family val="2"/>
      </rPr>
      <t xml:space="preserve">Integrity Checks </t>
    </r>
    <r>
      <rPr>
        <i/>
        <sz val="10"/>
        <color indexed="8"/>
        <rFont val="宋体"/>
        <family val="3"/>
        <charset val="134"/>
      </rPr>
      <t>注释</t>
    </r>
    <r>
      <rPr>
        <i/>
        <sz val="10"/>
        <color indexed="8"/>
        <rFont val="Arial"/>
        <family val="2"/>
      </rPr>
      <t>A:</t>
    </r>
  </si>
  <si>
    <t>差异(A－B)</t>
  </si>
  <si>
    <t>说明</t>
  </si>
  <si>
    <t>未解决注释间差异</t>
  </si>
  <si>
    <t>不适用</t>
  </si>
  <si>
    <t>%HIN</t>
  </si>
  <si>
    <t>NOTE_1015a</t>
  </si>
  <si>
    <t>04#A11.13</t>
  </si>
  <si>
    <t>05#A11.IY</t>
  </si>
  <si>
    <t>06#A11.15</t>
  </si>
  <si>
    <t>07#B11.13</t>
  </si>
  <si>
    <t>08#B11.IY</t>
  </si>
  <si>
    <t>09#B11.15</t>
  </si>
  <si>
    <t>期末数_原币</t>
  </si>
  <si>
    <t>期末数_折算率</t>
  </si>
  <si>
    <t>期末数_人民币金额</t>
  </si>
  <si>
    <t>期初数_原币</t>
  </si>
  <si>
    <t>期初数_折算率</t>
  </si>
  <si>
    <t>期初数_人民币金额</t>
  </si>
  <si>
    <t>期末数</t>
  </si>
  <si>
    <t>期初数</t>
  </si>
  <si>
    <t>请勿尝试解除工作表保护，以免引发后续（如合并时）故障！</t>
  </si>
  <si>
    <t>原币</t>
  </si>
  <si>
    <t>折算率</t>
  </si>
  <si>
    <t>人民币金额</t>
  </si>
  <si>
    <t>* 大部分功能，不破解保护也能实现；动手前请先为做合并的同事考虑。</t>
  </si>
  <si>
    <t>一、库存现金</t>
  </si>
  <si>
    <t xml:space="preserve">  </t>
  </si>
  <si>
    <t>现金小计</t>
  </si>
  <si>
    <t xml:space="preserve">人民币 </t>
  </si>
  <si>
    <t xml:space="preserve">美元 </t>
  </si>
  <si>
    <t xml:space="preserve">港币 </t>
  </si>
  <si>
    <t xml:space="preserve">欧元 </t>
  </si>
  <si>
    <t xml:space="preserve">日元 </t>
  </si>
  <si>
    <t xml:space="preserve">英镑 </t>
  </si>
  <si>
    <t>%IN</t>
  </si>
  <si>
    <t>*</t>
  </si>
  <si>
    <t>%UB</t>
  </si>
  <si>
    <t>%ICED</t>
  </si>
  <si>
    <t>二、银行存款</t>
  </si>
  <si>
    <t>* 操作说明：此行为表中小段起始行，不能在此行输入</t>
  </si>
  <si>
    <t>银行存款小计</t>
  </si>
  <si>
    <t xml:space="preserve">人民币  </t>
  </si>
  <si>
    <t>* 黑色字体、茶灰色底纹的行项目不能修改或删除</t>
  </si>
  <si>
    <t xml:space="preserve">美元  </t>
  </si>
  <si>
    <t xml:space="preserve">港币  </t>
  </si>
  <si>
    <t xml:space="preserve">欧元  </t>
  </si>
  <si>
    <t xml:space="preserve">日元  </t>
  </si>
  <si>
    <t xml:space="preserve">英镑  </t>
  </si>
  <si>
    <t>* 蓝色白底的行项目可修改，可删除，可在此插入行。输入前请删除 * 号</t>
  </si>
  <si>
    <t>银行存款中财务公司存款：</t>
  </si>
  <si>
    <t>银行存款中财务公司存款小计</t>
  </si>
  <si>
    <t>其中：人民币</t>
  </si>
  <si>
    <t xml:space="preserve">美元    </t>
  </si>
  <si>
    <t>* 斜体的行项目，一般不参与末行的合计</t>
  </si>
  <si>
    <t>三、其他货币资金</t>
  </si>
  <si>
    <t>其他货币资金小计</t>
  </si>
  <si>
    <t xml:space="preserve">人民币   </t>
  </si>
  <si>
    <t xml:space="preserve">美元   </t>
  </si>
  <si>
    <t xml:space="preserve">港币   </t>
  </si>
  <si>
    <t xml:space="preserve">欧元   </t>
  </si>
  <si>
    <t xml:space="preserve">日元   </t>
  </si>
  <si>
    <t xml:space="preserve">英镑   </t>
  </si>
  <si>
    <t>* 末行（合计行）下的行为尾注行，可参与合并</t>
  </si>
  <si>
    <t>NOTE_1015c</t>
  </si>
  <si>
    <t>05#RMA</t>
  </si>
  <si>
    <t>用于抵押、质押的存款</t>
  </si>
  <si>
    <t>被冻结的存款</t>
  </si>
  <si>
    <t>存放在境外的款项</t>
  </si>
  <si>
    <t>其他有潜在回收风险的款项</t>
  </si>
  <si>
    <t>存放在境外且资金汇回受到限制的款项</t>
  </si>
  <si>
    <t>5100B</t>
  </si>
  <si>
    <t>NOTE_1102a</t>
  </si>
  <si>
    <t xml:space="preserve">其中： </t>
  </si>
  <si>
    <t>指定以公允价值计量且其变动计入当期损益的金融资产</t>
  </si>
  <si>
    <t xml:space="preserve">其中：  </t>
  </si>
  <si>
    <t>NOTE_1101a</t>
  </si>
  <si>
    <t>04#A28</t>
  </si>
  <si>
    <t>05#B28</t>
  </si>
  <si>
    <t>交易性金融资产小计</t>
  </si>
  <si>
    <t xml:space="preserve">其中：债务工具投资 </t>
  </si>
  <si>
    <t xml:space="preserve">权益工具投资 </t>
  </si>
  <si>
    <t xml:space="preserve">衍生金融资产 </t>
  </si>
  <si>
    <t xml:space="preserve">其他 </t>
  </si>
  <si>
    <t>指定为以公允价值计量且其变动计入当期损益的金融资产</t>
  </si>
  <si>
    <t>指定为以公允价值计量且其变动计入当期损益的金融资产小计</t>
  </si>
  <si>
    <t xml:space="preserve">其中：债务工具投资  </t>
  </si>
  <si>
    <t xml:space="preserve">权益工具投资  </t>
  </si>
  <si>
    <t xml:space="preserve">其他  </t>
  </si>
  <si>
    <t>05#A28</t>
  </si>
  <si>
    <t>NOTE_1115a</t>
  </si>
  <si>
    <r>
      <rPr>
        <sz val="10"/>
        <color rgb="FF0000FF"/>
        <rFont val="宋体"/>
        <family val="3"/>
        <charset val="134"/>
      </rPr>
      <t>* 在</t>
    </r>
    <r>
      <rPr>
        <sz val="10"/>
        <color indexed="12"/>
        <rFont val="宋体"/>
        <family val="3"/>
        <charset val="134"/>
      </rPr>
      <t>I列选择“不适用”，则“请输入”标志会消失</t>
    </r>
  </si>
  <si>
    <t>NOTE_1121e</t>
  </si>
  <si>
    <t>04#A70</t>
  </si>
  <si>
    <t>05#A37</t>
  </si>
  <si>
    <t>06#A21</t>
  </si>
  <si>
    <t>07#B70</t>
  </si>
  <si>
    <t>08#B37</t>
  </si>
  <si>
    <t>09#B21</t>
  </si>
  <si>
    <t>期末数_账面余额</t>
  </si>
  <si>
    <t>期末数_坏账准备</t>
  </si>
  <si>
    <t>期末数_账面价值</t>
  </si>
  <si>
    <t>上年年末数_账面余额</t>
  </si>
  <si>
    <t>上年年末数_坏账准备</t>
  </si>
  <si>
    <t>上年年末数_账面价值</t>
  </si>
  <si>
    <t>账面余额</t>
  </si>
  <si>
    <t>坏账准备</t>
  </si>
  <si>
    <t>账面价值</t>
  </si>
  <si>
    <t>银行承兑汇票</t>
  </si>
  <si>
    <t>商业承兑汇票</t>
  </si>
  <si>
    <t>NOTE_1121a</t>
  </si>
  <si>
    <t>* 行数不够时可插入行。请不要使用Excel的插入功能，否则被插入的行不能被合并</t>
  </si>
  <si>
    <t>NOTE_1121b</t>
  </si>
  <si>
    <t>04#A93</t>
  </si>
  <si>
    <t>项  目</t>
  </si>
  <si>
    <t>NOTE_1121d</t>
  </si>
  <si>
    <t>04#AA9</t>
  </si>
  <si>
    <t>05#AG3</t>
  </si>
  <si>
    <t>补充资料：</t>
  </si>
  <si>
    <t>补充资料小计</t>
  </si>
  <si>
    <t>银行承兑汇票（出票人为合并范围内关联方）</t>
  </si>
  <si>
    <t>商业承兑汇票（出票人为合并范围内关联方）</t>
  </si>
  <si>
    <t>NOTE_1121c</t>
  </si>
  <si>
    <t>04#AG2</t>
  </si>
  <si>
    <t>5200B</t>
  </si>
  <si>
    <t>NOTE_1121f</t>
  </si>
  <si>
    <t>04#A11.70</t>
  </si>
  <si>
    <t>05#A11.IB</t>
  </si>
  <si>
    <t>06#A11.30</t>
  </si>
  <si>
    <t>07#A11.IG</t>
  </si>
  <si>
    <t>08#A11.17</t>
  </si>
  <si>
    <t>金额</t>
  </si>
  <si>
    <t>比例（%）</t>
  </si>
  <si>
    <t>计提比例（%）</t>
  </si>
  <si>
    <t>按单项计提坏账准备</t>
  </si>
  <si>
    <t>其中：</t>
  </si>
  <si>
    <t>按组合计提坏账准备</t>
  </si>
  <si>
    <t>其中：组合1</t>
  </si>
  <si>
    <t>组合2</t>
  </si>
  <si>
    <t>NOTE_1121g</t>
  </si>
  <si>
    <t>05#A11.30</t>
  </si>
  <si>
    <t>06#A11.IB</t>
  </si>
  <si>
    <t>07#RMA</t>
  </si>
  <si>
    <t>计提理由</t>
  </si>
  <si>
    <t>NOTE_1121h</t>
  </si>
  <si>
    <t>期末数_应收票据</t>
  </si>
  <si>
    <t>期末数_计提比例（%）</t>
  </si>
  <si>
    <t>NOTE_1121i</t>
  </si>
  <si>
    <t>04#B11</t>
  </si>
  <si>
    <t>05#U76.62</t>
  </si>
  <si>
    <t>06#U76.76</t>
  </si>
  <si>
    <t>07#U81.84</t>
  </si>
  <si>
    <t>08#U81.48</t>
  </si>
  <si>
    <t>09#U81.82</t>
  </si>
  <si>
    <t>10#A11</t>
  </si>
  <si>
    <t>上年年末余额_</t>
  </si>
  <si>
    <t>会计政策变更_</t>
  </si>
  <si>
    <t>本期期初余额_</t>
  </si>
  <si>
    <t>本期变动金额_计提</t>
  </si>
  <si>
    <t>本期变动金额_收回或转回</t>
  </si>
  <si>
    <t>本期变动金额_转销或核销</t>
  </si>
  <si>
    <t>本期期末余额_</t>
  </si>
  <si>
    <t>会计政策变更</t>
  </si>
  <si>
    <t>本期变动金额</t>
  </si>
  <si>
    <t>计提</t>
  </si>
  <si>
    <t>NOTE_1121j</t>
  </si>
  <si>
    <t>收回或转回金额</t>
  </si>
  <si>
    <t>收回方式</t>
  </si>
  <si>
    <t>NOTE_1121k</t>
  </si>
  <si>
    <t>核销金额</t>
  </si>
  <si>
    <t>NOTE_1121l</t>
  </si>
  <si>
    <t>04#RMB</t>
  </si>
  <si>
    <t>05#R71</t>
  </si>
  <si>
    <t>06#RMC</t>
  </si>
  <si>
    <t>08#RMD</t>
  </si>
  <si>
    <t>应收票据性质</t>
  </si>
  <si>
    <t>核销原因</t>
  </si>
  <si>
    <t>履行的核销程序</t>
  </si>
  <si>
    <t>款项是否由关联交易产生</t>
  </si>
  <si>
    <t>5200A</t>
  </si>
  <si>
    <t>NOTE_1122j</t>
  </si>
  <si>
    <t>1年以内小计</t>
  </si>
  <si>
    <t>1年以内</t>
  </si>
  <si>
    <t>小计</t>
  </si>
  <si>
    <t>1至2年</t>
  </si>
  <si>
    <t>2至3年</t>
  </si>
  <si>
    <t>3至4年</t>
  </si>
  <si>
    <t>4至5年</t>
  </si>
  <si>
    <t>5年以上</t>
  </si>
  <si>
    <t>减：坏账准备</t>
  </si>
  <si>
    <t>NOTE_1122p</t>
  </si>
  <si>
    <t>05#RIA</t>
  </si>
  <si>
    <t>06#R70</t>
  </si>
  <si>
    <t>07#RIB</t>
  </si>
  <si>
    <t>08#R71</t>
  </si>
  <si>
    <t>账面价值_</t>
  </si>
  <si>
    <t>NOTE_1122q</t>
  </si>
  <si>
    <t>单项金额重大并单独计提坏账准备的应收账款</t>
  </si>
  <si>
    <t>按信用风险特征组合计提坏账准备的应收账款</t>
  </si>
  <si>
    <t>单项金额不重大但单独计提坏账准备的应收账款</t>
  </si>
  <si>
    <t>NOTE_1122r</t>
  </si>
  <si>
    <t>06#RIA</t>
  </si>
  <si>
    <t>期末数_应收账款</t>
  </si>
  <si>
    <t>期末数_计提理由</t>
  </si>
  <si>
    <t>NOTE_1122s</t>
  </si>
  <si>
    <t>账龄</t>
  </si>
  <si>
    <t>1-2年</t>
  </si>
  <si>
    <t>2-3年</t>
  </si>
  <si>
    <t>3-4年</t>
  </si>
  <si>
    <t>4-5年</t>
  </si>
  <si>
    <t>NOTE_1122t</t>
  </si>
  <si>
    <t>NOTE_1122a</t>
  </si>
  <si>
    <t>期末数_账面金额</t>
  </si>
  <si>
    <t>期末数_账面金额比例(%)</t>
  </si>
  <si>
    <t>期末数_坏账准备金额</t>
  </si>
  <si>
    <t>期末数_坏账准备计提比例(%)</t>
  </si>
  <si>
    <t>期末数_净额</t>
  </si>
  <si>
    <t xml:space="preserve">种       类  </t>
  </si>
  <si>
    <t>坏账准备金额</t>
  </si>
  <si>
    <r>
      <rPr>
        <sz val="10"/>
        <rFont val="宋体"/>
        <family val="3"/>
        <charset val="134"/>
      </rPr>
      <t>坏账准备计提比例</t>
    </r>
    <r>
      <rPr>
        <sz val="10"/>
        <rFont val="Arial Narrow"/>
        <family val="2"/>
      </rPr>
      <t>(%)</t>
    </r>
  </si>
  <si>
    <t>单项金额重大并单项计提坏账准备的应收账款</t>
  </si>
  <si>
    <t>按组合计提坏账准备的应收账款</t>
  </si>
  <si>
    <t>组合小计</t>
  </si>
  <si>
    <t>账龄组合</t>
  </si>
  <si>
    <t>资产状态组合</t>
  </si>
  <si>
    <t>* 蓝色白底的行项目输入前请删除 * 号</t>
  </si>
  <si>
    <t>单项金额虽不重大但单项计提坏账准备的应收账款</t>
  </si>
  <si>
    <t>NOTE_1122b</t>
  </si>
  <si>
    <t>04#B11.70</t>
  </si>
  <si>
    <t>05#B11.IB</t>
  </si>
  <si>
    <t>06#B11.30</t>
  </si>
  <si>
    <t>07#B11.IG</t>
  </si>
  <si>
    <t>08#B11.17</t>
  </si>
  <si>
    <t>期初数_账面金额</t>
  </si>
  <si>
    <t>期初数_账面金额比例(%)</t>
  </si>
  <si>
    <t>期初数_坏账准备金额</t>
  </si>
  <si>
    <t>期初数_坏账准备计提比例(%)</t>
  </si>
  <si>
    <t>期初数_净额</t>
  </si>
  <si>
    <t>净额</t>
  </si>
  <si>
    <t>NOTE_1122g</t>
  </si>
  <si>
    <t>05#R30</t>
  </si>
  <si>
    <t>06#RIC</t>
  </si>
  <si>
    <t>07#RKA</t>
  </si>
  <si>
    <t>上年年末数_计提理由</t>
  </si>
  <si>
    <t>应收账款（按单位）</t>
  </si>
  <si>
    <t>计提比例(%)</t>
  </si>
  <si>
    <t>^</t>
  </si>
  <si>
    <t>行项目同上（本注释B）</t>
  </si>
  <si>
    <t>NOTE_1122d</t>
  </si>
  <si>
    <r>
      <rPr>
        <sz val="10"/>
        <rFont val="宋体"/>
        <family val="3"/>
        <charset val="134"/>
      </rPr>
      <t xml:space="preserve">账 </t>
    </r>
    <r>
      <rPr>
        <sz val="10"/>
        <rFont val="宋体"/>
        <family val="3"/>
        <charset val="134"/>
      </rPr>
      <t xml:space="preserve"> </t>
    </r>
    <r>
      <rPr>
        <sz val="10"/>
        <rFont val="宋体"/>
        <family val="3"/>
        <charset val="134"/>
      </rPr>
      <t>龄</t>
    </r>
  </si>
  <si>
    <t>NOTE_1122e</t>
  </si>
  <si>
    <t>07#R17</t>
  </si>
  <si>
    <t>组合名称</t>
  </si>
  <si>
    <t>*组合1</t>
  </si>
  <si>
    <t>*组合2</t>
  </si>
  <si>
    <t>*组合3</t>
  </si>
  <si>
    <t>*组合4</t>
  </si>
  <si>
    <t>*组合n</t>
  </si>
  <si>
    <t>NOTE_1122f</t>
  </si>
  <si>
    <t>06#R17</t>
  </si>
  <si>
    <t>07#RIC</t>
  </si>
  <si>
    <t>08#RKA</t>
  </si>
  <si>
    <t>注：填写具体组合名称。</t>
  </si>
  <si>
    <t>NOTE_1122x</t>
  </si>
  <si>
    <t>期初数_</t>
  </si>
  <si>
    <t>本期增加_计提</t>
  </si>
  <si>
    <t>本期增加_其他</t>
  </si>
  <si>
    <t>本期减少_转回</t>
  </si>
  <si>
    <t>本期减少_转销</t>
  </si>
  <si>
    <t>本期减少_其他</t>
  </si>
  <si>
    <t>期末数_</t>
  </si>
  <si>
    <t>本期增加</t>
  </si>
  <si>
    <t>本期减少</t>
  </si>
  <si>
    <t>转回</t>
  </si>
  <si>
    <t>转销</t>
  </si>
  <si>
    <t>坏账准备—应收账款</t>
  </si>
  <si>
    <t>%UM%TA</t>
  </si>
  <si>
    <t>NOTE_1122u</t>
  </si>
  <si>
    <t>07#R71</t>
  </si>
  <si>
    <t>08#R72</t>
  </si>
  <si>
    <t>09#R73</t>
  </si>
  <si>
    <t>10#R74</t>
  </si>
  <si>
    <t>本年年初余额_</t>
  </si>
  <si>
    <t>NOTE_1122h</t>
  </si>
  <si>
    <t>NOTE_1122v</t>
  </si>
  <si>
    <t>实际核销的应收账款</t>
  </si>
  <si>
    <t>NOTE_1122i</t>
  </si>
  <si>
    <t>04#RMF</t>
  </si>
  <si>
    <t>05#R47</t>
  </si>
  <si>
    <t>06#RKL</t>
  </si>
  <si>
    <t>07#RLQ</t>
  </si>
  <si>
    <t>08#RLD</t>
  </si>
  <si>
    <t>应收账款性质</t>
  </si>
  <si>
    <t>本期实际核销的应收账款</t>
  </si>
  <si>
    <t>NOTE_1122k</t>
  </si>
  <si>
    <t>05#RIN</t>
  </si>
  <si>
    <t>06#A30</t>
  </si>
  <si>
    <t>应收账款期末余额</t>
  </si>
  <si>
    <t>占应收账款期末余额合计数的比例(%)</t>
  </si>
  <si>
    <t>坏账准备期末余额</t>
  </si>
  <si>
    <t>按欠款方归集的应收账款期末余额前五名单位情况：</t>
  </si>
  <si>
    <t>按欠款方归集的应收账款期末余额前五名单位小计</t>
  </si>
  <si>
    <t>补充资料：合并报表范围以外前五名（以上已包含的不再列示）</t>
  </si>
  <si>
    <t>NOTE_1122m</t>
  </si>
  <si>
    <t>04#RLY</t>
  </si>
  <si>
    <t>05#RA9</t>
  </si>
  <si>
    <t>06#RB9</t>
  </si>
  <si>
    <t>金融资产转移的方式</t>
  </si>
  <si>
    <t>终止确认金额</t>
  </si>
  <si>
    <t>与终止确认相关的利得或损失</t>
  </si>
  <si>
    <t>NOTE_1122n</t>
  </si>
  <si>
    <t>04#RMA</t>
  </si>
  <si>
    <t>资产转移的方式</t>
  </si>
  <si>
    <t>继续涉入形成的资产金额</t>
  </si>
  <si>
    <t>继续涉入形成的负债金额</t>
  </si>
  <si>
    <t>资产小计</t>
  </si>
  <si>
    <t>NOTE_1122c</t>
  </si>
  <si>
    <t>04#A13</t>
  </si>
  <si>
    <t>05#AIY</t>
  </si>
  <si>
    <t>06#A15</t>
  </si>
  <si>
    <t>期末外币余额</t>
  </si>
  <si>
    <t>折算汇率</t>
  </si>
  <si>
    <t>期末折合人民币余额</t>
  </si>
  <si>
    <t>美元</t>
  </si>
  <si>
    <t>欧元</t>
  </si>
  <si>
    <t>港币</t>
  </si>
  <si>
    <t>NOTE_1122l</t>
  </si>
  <si>
    <t>05#A30</t>
  </si>
  <si>
    <t>06#B70</t>
  </si>
  <si>
    <t>07#B30</t>
  </si>
  <si>
    <t>期末账面余额</t>
  </si>
  <si>
    <t>期初账面余额</t>
  </si>
  <si>
    <t>坏账准备期初余额</t>
  </si>
  <si>
    <t>提示：该注释项应在“关联方应收应付款项”中统一披露，填写左表可按科目收集数据。</t>
  </si>
  <si>
    <t>5200C</t>
  </si>
  <si>
    <t>NOTE_1124a</t>
  </si>
  <si>
    <t>NOTE_1124b</t>
  </si>
  <si>
    <t>按单项计提减值准备</t>
  </si>
  <si>
    <t>按组合计提减值准备</t>
  </si>
  <si>
    <t>NOTE_1124c</t>
  </si>
  <si>
    <t>期末数_减值准备</t>
  </si>
  <si>
    <t>减值准备</t>
  </si>
  <si>
    <t>NOTE_1124d</t>
  </si>
  <si>
    <t>期末数_计提比例(%)</t>
  </si>
  <si>
    <t>NOTE_1124f</t>
  </si>
  <si>
    <t>NOTE_1125a</t>
  </si>
  <si>
    <t>05#A11.IA</t>
  </si>
  <si>
    <t>期末数_金额</t>
  </si>
  <si>
    <t>期末数_比例(%)</t>
  </si>
  <si>
    <t>期初数_金额</t>
  </si>
  <si>
    <t>期初数_比例(%)</t>
  </si>
  <si>
    <t>比例(%)</t>
  </si>
  <si>
    <t>3年以上</t>
  </si>
  <si>
    <t>NOTE_1125d</t>
  </si>
  <si>
    <t>05#RNB</t>
  </si>
  <si>
    <t>06#RKW</t>
  </si>
  <si>
    <t>未及时结算的原因</t>
  </si>
  <si>
    <t>NOTE_1125c</t>
  </si>
  <si>
    <t>占预付款项期末余额合计数的比例(%)</t>
  </si>
  <si>
    <t>按预付对象归集的预付款项期末余额前五名单位情况：</t>
  </si>
  <si>
    <t>按预付对象归集的预付款项期末余额前五名单位小计</t>
  </si>
  <si>
    <t>NOTE_1125e</t>
  </si>
  <si>
    <t>NOTE_1125f</t>
  </si>
  <si>
    <t>NOTE_1125x</t>
  </si>
  <si>
    <t>NOTE_1220a</t>
  </si>
  <si>
    <t>NOTE_1132a</t>
  </si>
  <si>
    <t>定期存款</t>
  </si>
  <si>
    <t>委托贷款</t>
  </si>
  <si>
    <t>债券投资</t>
  </si>
  <si>
    <t>NOTE_1132b</t>
  </si>
  <si>
    <t>05#RJT</t>
  </si>
  <si>
    <t>06#RKF</t>
  </si>
  <si>
    <t>07#RLB</t>
  </si>
  <si>
    <t>逾期时间</t>
  </si>
  <si>
    <t>逾期原因</t>
  </si>
  <si>
    <t>NOTE_1131a</t>
  </si>
  <si>
    <t>NOTE_1131b</t>
  </si>
  <si>
    <t>05#ANB</t>
  </si>
  <si>
    <t>06#RKU</t>
  </si>
  <si>
    <t>未收回的原因</t>
  </si>
  <si>
    <t>是否发生减值及其判断依据</t>
  </si>
  <si>
    <t>5200D</t>
  </si>
  <si>
    <t>NOTE_1221j</t>
  </si>
  <si>
    <t>NOTE_1221l</t>
  </si>
  <si>
    <t>NOTE_1221a</t>
  </si>
  <si>
    <t>单项金额重大并单项计提坏账准备的其他应收款</t>
  </si>
  <si>
    <t>按组合计提坏账准备的其他应收款</t>
  </si>
  <si>
    <t>单项金额虽不重大但单项计提坏账准备的其他应收款</t>
  </si>
  <si>
    <t>NOTE_1221b</t>
  </si>
  <si>
    <t>08#RMA</t>
  </si>
  <si>
    <t>未来12个月内的预期信用损失率(%)</t>
  </si>
  <si>
    <t>理由</t>
  </si>
  <si>
    <t>整个存续期预期信用损失率（%）</t>
  </si>
  <si>
    <t>NOTE_1221t</t>
  </si>
  <si>
    <t>上年年末账面余额_金额</t>
  </si>
  <si>
    <t>上年年末账面余额_比例（%）</t>
  </si>
  <si>
    <t>上年年末坏账准备_金额</t>
  </si>
  <si>
    <t>上年年末坏账准备_计提比例（%）</t>
  </si>
  <si>
    <t>单项金额重大并单独计提坏账准备的其他应收款</t>
  </si>
  <si>
    <t>按信用风险特征组合计提坏账准备的其他应收款</t>
  </si>
  <si>
    <t>单项金额不重大但单独计提坏账准备的其他应收款</t>
  </si>
  <si>
    <t>NOTE_1221g</t>
  </si>
  <si>
    <t>NOTE_1221v</t>
  </si>
  <si>
    <t>上年年末数_其他应收款</t>
  </si>
  <si>
    <t>上年年末数_计提比例（%）</t>
  </si>
  <si>
    <t>其他应收款（按单位）</t>
  </si>
  <si>
    <t>NOTE_1221w</t>
  </si>
  <si>
    <t>计提比例</t>
  </si>
  <si>
    <t>NOTE_1221y</t>
  </si>
  <si>
    <t>07#R72</t>
  </si>
  <si>
    <t>08#R73</t>
  </si>
  <si>
    <t>09#R71</t>
  </si>
  <si>
    <t>NOTE_1221d</t>
  </si>
  <si>
    <t>期初数_坏账准备</t>
  </si>
  <si>
    <t>1－2年</t>
  </si>
  <si>
    <t>2－3年</t>
  </si>
  <si>
    <t>3－4年</t>
  </si>
  <si>
    <t>4－5年</t>
  </si>
  <si>
    <t>NOTE_1221e</t>
  </si>
  <si>
    <t>NOTE_1221f</t>
  </si>
  <si>
    <t>NOTE_1221x</t>
  </si>
  <si>
    <t>坏账准备—其他应收款</t>
  </si>
  <si>
    <t>NOTE_1221h</t>
  </si>
  <si>
    <t>05#RLY</t>
  </si>
  <si>
    <t>NOTE_1221z</t>
  </si>
  <si>
    <t>实际核销的其他应收款</t>
  </si>
  <si>
    <t>NOTE_1221i</t>
  </si>
  <si>
    <t>其他应收款性质</t>
  </si>
  <si>
    <t>是否由关联交易产生</t>
  </si>
  <si>
    <t>本期实际核销的其他应收款</t>
  </si>
  <si>
    <t>NOTE_1221k</t>
  </si>
  <si>
    <t>04#RMD</t>
  </si>
  <si>
    <t>05#A70</t>
  </si>
  <si>
    <t>06#RNB</t>
  </si>
  <si>
    <t>07#RIO</t>
  </si>
  <si>
    <t>08#A30</t>
  </si>
  <si>
    <t>款项性质</t>
  </si>
  <si>
    <t>占其他应收款期末余额合计数的比例(%)</t>
  </si>
  <si>
    <t>按欠款方归集的其他应收款期末余额前五名单位情况：</t>
  </si>
  <si>
    <t>按欠款方归集的其他应收款期末余额前五名单位小计</t>
  </si>
  <si>
    <t>NOTE_1221r</t>
  </si>
  <si>
    <t>04#RMX</t>
  </si>
  <si>
    <t>06#ANB</t>
  </si>
  <si>
    <t>政府补助项目名称</t>
  </si>
  <si>
    <t>预计收取的时间、金额及依据</t>
  </si>
  <si>
    <t>NOTE_1221n</t>
  </si>
  <si>
    <t>NOTE_1221o</t>
  </si>
  <si>
    <t>06#B11</t>
  </si>
  <si>
    <t>NOTE_1221c</t>
  </si>
  <si>
    <t>NOTE_1221m</t>
  </si>
  <si>
    <t>NOTE_1400a</t>
  </si>
  <si>
    <t>05#A11.37</t>
  </si>
  <si>
    <t>06#A11.21</t>
  </si>
  <si>
    <t>07#B11.70</t>
  </si>
  <si>
    <t>08#B11.37</t>
  </si>
  <si>
    <t>09#B11.21</t>
  </si>
  <si>
    <t>期末数_跌价准备</t>
  </si>
  <si>
    <t>期初数_账面余额</t>
  </si>
  <si>
    <t>期初数_跌价准备</t>
  </si>
  <si>
    <t>期初数_账面价值</t>
  </si>
  <si>
    <t>存货种类</t>
  </si>
  <si>
    <t>跌价准备</t>
  </si>
  <si>
    <t>在产品</t>
  </si>
  <si>
    <t>建造合同形成的已完工未结算资产</t>
  </si>
  <si>
    <t>NOTE_1400b</t>
  </si>
  <si>
    <t>09#A11</t>
  </si>
  <si>
    <t>本期减少_转回或转销</t>
  </si>
  <si>
    <t>转回或转销</t>
  </si>
  <si>
    <t>NOTE_1400c</t>
  </si>
  <si>
    <t>04#RKH</t>
  </si>
  <si>
    <t>05#UKN</t>
  </si>
  <si>
    <t>06#U84</t>
  </si>
  <si>
    <t>07#U85</t>
  </si>
  <si>
    <t>确定可变现净值的具体依据</t>
  </si>
  <si>
    <t>本期转回或转销存货跌价准备的原因</t>
  </si>
  <si>
    <t>本期转回数</t>
  </si>
  <si>
    <t>本期转销数</t>
  </si>
  <si>
    <t>NOTE_1400t</t>
  </si>
  <si>
    <t>04#A42</t>
  </si>
  <si>
    <t>05#RMC</t>
  </si>
  <si>
    <t>期末余额中借款费用资本化金额</t>
  </si>
  <si>
    <t>NOTE_1400d</t>
  </si>
  <si>
    <t>04#RJD</t>
  </si>
  <si>
    <t>05#RJE</t>
  </si>
  <si>
    <t>06#R58</t>
  </si>
  <si>
    <t>07#A11</t>
  </si>
  <si>
    <t>08#B11</t>
  </si>
  <si>
    <t>09#A37</t>
  </si>
  <si>
    <t>开工时间</t>
  </si>
  <si>
    <t>预计竣工时间</t>
  </si>
  <si>
    <t>预计总投资</t>
  </si>
  <si>
    <t>期末跌价准备</t>
  </si>
  <si>
    <t>NOTE_1400e</t>
  </si>
  <si>
    <t>04#RJF</t>
  </si>
  <si>
    <t>06#U76</t>
  </si>
  <si>
    <t>07#U81</t>
  </si>
  <si>
    <t>08#A11</t>
  </si>
  <si>
    <t>竣工时间</t>
  </si>
  <si>
    <t>NOTE_1400g</t>
  </si>
  <si>
    <t>05#U76</t>
  </si>
  <si>
    <t>06#U81</t>
  </si>
  <si>
    <t>NOTE_1400h</t>
  </si>
  <si>
    <t>累计已发生成本</t>
  </si>
  <si>
    <t>累计已确认毛利</t>
  </si>
  <si>
    <t>减：预计损失</t>
  </si>
  <si>
    <t>已办理结算的金额</t>
  </si>
  <si>
    <t>建造合同形成的已完工尚未结算资产账面价值</t>
  </si>
  <si>
    <t>NOTE_1400s</t>
  </si>
  <si>
    <t>06#RMW</t>
  </si>
  <si>
    <t>担保项目</t>
  </si>
  <si>
    <t>NOTE_1400x</t>
  </si>
  <si>
    <t>08#H6</t>
  </si>
  <si>
    <t>09#H7</t>
  </si>
  <si>
    <t>10#H8</t>
  </si>
  <si>
    <t>11#MQ</t>
  </si>
  <si>
    <t>12#MR</t>
  </si>
  <si>
    <t>13#MS</t>
  </si>
  <si>
    <t>年初账面余额</t>
  </si>
  <si>
    <t>本年增加额</t>
  </si>
  <si>
    <t>本年减少额</t>
  </si>
  <si>
    <t>年末账面余额</t>
  </si>
  <si>
    <t>金额3</t>
  </si>
  <si>
    <t>文本1</t>
  </si>
  <si>
    <t>文本2</t>
  </si>
  <si>
    <t>文本3</t>
  </si>
  <si>
    <t>无需披露，供</t>
  </si>
  <si>
    <t>自定义选用</t>
  </si>
  <si>
    <t>5400C</t>
  </si>
  <si>
    <t>预计处置费用</t>
  </si>
  <si>
    <t>预计处置时间</t>
  </si>
  <si>
    <t>NOTE_1315b</t>
  </si>
  <si>
    <t>04#A21</t>
  </si>
  <si>
    <t>06#R57</t>
  </si>
  <si>
    <t>07#RJH</t>
  </si>
  <si>
    <t>%TA%^</t>
  </si>
  <si>
    <t>NOTE_1315f</t>
  </si>
  <si>
    <t>07#U48</t>
  </si>
  <si>
    <t>上年年末数_</t>
  </si>
  <si>
    <t>本期增加_</t>
  </si>
  <si>
    <t>本期减少_本期转回</t>
  </si>
  <si>
    <t>本期减少_出售</t>
  </si>
  <si>
    <t>本期期末数_</t>
  </si>
  <si>
    <t>_</t>
  </si>
  <si>
    <t>本期转回</t>
  </si>
  <si>
    <t>出售</t>
  </si>
  <si>
    <t>NOTE_1495a</t>
  </si>
  <si>
    <t>一年内到期的债权投资</t>
  </si>
  <si>
    <t>一年内到期的其他债权投资</t>
  </si>
  <si>
    <t>一年内到期的长期应收款</t>
  </si>
  <si>
    <t>5400F</t>
  </si>
  <si>
    <t>NOTE_1495b</t>
  </si>
  <si>
    <t>06#RIB</t>
  </si>
  <si>
    <t>09#RIC</t>
  </si>
  <si>
    <t>10#RID</t>
  </si>
  <si>
    <t>11#RMB</t>
  </si>
  <si>
    <t>本期期末数_面值</t>
  </si>
  <si>
    <t>本期期末数_票面利率</t>
  </si>
  <si>
    <t>本期期末数_实际利率</t>
  </si>
  <si>
    <t>本期期末数_到期日</t>
  </si>
  <si>
    <t>上年年末数_面值</t>
  </si>
  <si>
    <t>上年年末数_票面利率</t>
  </si>
  <si>
    <t>上年年末数_实际利率</t>
  </si>
  <si>
    <t>上年年末数_到期日</t>
  </si>
  <si>
    <t>面值</t>
  </si>
  <si>
    <t>票面利率</t>
  </si>
  <si>
    <t>实际利率</t>
  </si>
  <si>
    <t>到期日</t>
  </si>
  <si>
    <t>NOTE_1496a</t>
  </si>
  <si>
    <t>银行理财产品</t>
  </si>
  <si>
    <t>增值税借方余额重分类</t>
  </si>
  <si>
    <t>5400H</t>
  </si>
  <si>
    <t>NOTE_1505a</t>
  </si>
  <si>
    <t>本期期末数_账面余额</t>
  </si>
  <si>
    <t>本期期末数_减值准备</t>
  </si>
  <si>
    <t>本期期末数_账面价值</t>
  </si>
  <si>
    <t>上年年末数_减值准备</t>
  </si>
  <si>
    <t>减：一年内到期的债权投资</t>
  </si>
  <si>
    <t>NOTE_1505b</t>
  </si>
  <si>
    <t>05#RID</t>
  </si>
  <si>
    <t>09#RIB</t>
  </si>
  <si>
    <t>10#RIC</t>
  </si>
  <si>
    <t>上年年初数_面值</t>
  </si>
  <si>
    <t>上年年初数_票面利率</t>
  </si>
  <si>
    <t>上年年初数_实际利率</t>
  </si>
  <si>
    <t>上年年初数_到期日</t>
  </si>
  <si>
    <t>NOTE_1505g</t>
  </si>
  <si>
    <t>本期期末数_计提比例（%）</t>
  </si>
  <si>
    <t>NOTE_1505f</t>
  </si>
  <si>
    <t>第一阶段_未来12个月预期信用损失</t>
  </si>
  <si>
    <t>第二阶段_整个存续期预期信用损失(未发生信用减值)</t>
  </si>
  <si>
    <t>第三阶段_整个存续期预期信用损失(已发生信用减值)</t>
  </si>
  <si>
    <t>合计_</t>
  </si>
  <si>
    <t>第一阶段</t>
  </si>
  <si>
    <t>第二阶段</t>
  </si>
  <si>
    <t>第三阶段</t>
  </si>
  <si>
    <t>合计</t>
  </si>
  <si>
    <t>未来12个月预期信用损失</t>
  </si>
  <si>
    <t>整个存续期预期信用损失(未发生信用减值)</t>
  </si>
  <si>
    <t>整个存续期预期信用损失(已发生信用减值)</t>
  </si>
  <si>
    <t>本期计提</t>
  </si>
  <si>
    <t>本期转销</t>
  </si>
  <si>
    <t>本期核销</t>
  </si>
  <si>
    <t>NOTE_1505c</t>
  </si>
  <si>
    <t>07#B11</t>
  </si>
  <si>
    <t>未来12个月内预期信用损失率（%）</t>
  </si>
  <si>
    <t>NOTE_1505d</t>
  </si>
  <si>
    <t>NOTE_1505e</t>
  </si>
  <si>
    <t>NOTE_1505k</t>
  </si>
  <si>
    <t>NOTE_1503a</t>
  </si>
  <si>
    <t>05#A11.34</t>
  </si>
  <si>
    <t>08#B11.34</t>
  </si>
  <si>
    <t>期初数_减值准备</t>
  </si>
  <si>
    <t>可供出售债务工具</t>
  </si>
  <si>
    <t>可供出售权益工具</t>
  </si>
  <si>
    <t>按成本计量的</t>
  </si>
  <si>
    <t>5400Y</t>
  </si>
  <si>
    <t>可供出售金融资产分类</t>
  </si>
  <si>
    <t>已计提减值金额</t>
  </si>
  <si>
    <t>NOTE_1503e</t>
  </si>
  <si>
    <t>NOTE_1503i</t>
  </si>
  <si>
    <t>被投资单位</t>
  </si>
  <si>
    <t>NOTE_1503j</t>
  </si>
  <si>
    <t>在被投资单位持股比例(%)</t>
  </si>
  <si>
    <t>本期现金红利</t>
  </si>
  <si>
    <t>5100Y</t>
  </si>
  <si>
    <t>NOTE_1503k</t>
  </si>
  <si>
    <t>其中：从其他综合收益转入</t>
  </si>
  <si>
    <t>其中：期后公允价值回升转回</t>
  </si>
  <si>
    <t>NOTE_1503d</t>
  </si>
  <si>
    <t>05#U62</t>
  </si>
  <si>
    <t>06#UA7</t>
  </si>
  <si>
    <t>08#U84</t>
  </si>
  <si>
    <t>期初已计提减值金额</t>
  </si>
  <si>
    <t>期末已计提减值金额</t>
  </si>
  <si>
    <t>NOTE_1503g</t>
  </si>
  <si>
    <t>04#A55</t>
  </si>
  <si>
    <t>06#RIH</t>
  </si>
  <si>
    <t>07#RJX</t>
  </si>
  <si>
    <t>08#A35</t>
  </si>
  <si>
    <t>09#RKE</t>
  </si>
  <si>
    <t>可供出售权益工具项目</t>
  </si>
  <si>
    <t>投资成本</t>
  </si>
  <si>
    <t>公允价值相对于成本的下跌幅度（%）</t>
  </si>
  <si>
    <t>持续下跌时间（个月）</t>
  </si>
  <si>
    <t>未计提减值原因</t>
  </si>
  <si>
    <t>5100I</t>
  </si>
  <si>
    <t>NOTE_1508a</t>
  </si>
  <si>
    <t>07#R76</t>
  </si>
  <si>
    <t>08#R75</t>
  </si>
  <si>
    <t>11#R73</t>
  </si>
  <si>
    <t>12#R72</t>
  </si>
  <si>
    <t>13#RMC</t>
  </si>
  <si>
    <t>2019年1月1日公允价值</t>
  </si>
  <si>
    <t>本期利息调整</t>
  </si>
  <si>
    <t>本期公允价值变动</t>
  </si>
  <si>
    <t>成本</t>
  </si>
  <si>
    <t>累计公允价值变动</t>
  </si>
  <si>
    <t>累计在其他综合收益中确认的损失准备</t>
  </si>
  <si>
    <t>金融债</t>
  </si>
  <si>
    <t>企业债</t>
  </si>
  <si>
    <t>公司债</t>
  </si>
  <si>
    <t>中期票据</t>
  </si>
  <si>
    <t>次级债</t>
  </si>
  <si>
    <t>政府支持债</t>
  </si>
  <si>
    <t>地方政府债</t>
  </si>
  <si>
    <t>减：一年内到期到期的其他债权投资</t>
  </si>
  <si>
    <t>NOTE_1508b</t>
  </si>
  <si>
    <t>NOTE_1508c</t>
  </si>
  <si>
    <t>NOTE_1508g</t>
  </si>
  <si>
    <t>NOTE_1508d</t>
  </si>
  <si>
    <t>NOTE_1508e</t>
  </si>
  <si>
    <t>NOTE_1508f</t>
  </si>
  <si>
    <t>NOTE_1508k</t>
  </si>
  <si>
    <t>NOTE_1501a</t>
  </si>
  <si>
    <t>NOTE_1501d</t>
  </si>
  <si>
    <t>04#R26</t>
  </si>
  <si>
    <t>05#RIV</t>
  </si>
  <si>
    <t>06#RIZ</t>
  </si>
  <si>
    <t>07#RJR</t>
  </si>
  <si>
    <t>债券项目</t>
  </si>
  <si>
    <t>NOTE_1501e</t>
  </si>
  <si>
    <t>04#R75</t>
  </si>
  <si>
    <t>05#RIL</t>
  </si>
  <si>
    <t>重分类金额</t>
  </si>
  <si>
    <t>占重分类前持有至到期投资总额的比例(%)</t>
  </si>
  <si>
    <t>NOTE_1531a</t>
  </si>
  <si>
    <t>10#RII</t>
  </si>
  <si>
    <t>折现率区间_</t>
  </si>
  <si>
    <t>折现率区间</t>
  </si>
  <si>
    <t>融资租赁款</t>
  </si>
  <si>
    <t>其中：未实现融资收益</t>
  </si>
  <si>
    <t>应收工程款</t>
  </si>
  <si>
    <t>应收质保金</t>
  </si>
  <si>
    <t>分期收款销售商品</t>
  </si>
  <si>
    <t>分期收款提供劳务</t>
  </si>
  <si>
    <t>5600C</t>
  </si>
  <si>
    <t>NOTE_1531i</t>
  </si>
  <si>
    <t>08#RIA</t>
  </si>
  <si>
    <t>NOTE_1531j</t>
  </si>
  <si>
    <t>NOTE_1531k</t>
  </si>
  <si>
    <t>NOTE_1531m</t>
  </si>
  <si>
    <t>本期期末数_长期应收款</t>
  </si>
  <si>
    <t>本期期末数_坏账准备</t>
  </si>
  <si>
    <t>NOTE_1531p</t>
  </si>
  <si>
    <t>单项金额重大并单独计提坏账准备的长期应收款</t>
  </si>
  <si>
    <t>按信用风险特征组合计提坏账准备的长期应收款</t>
  </si>
  <si>
    <t>单项金额不重大但单独计提坏账准备的长期应收款</t>
  </si>
  <si>
    <t>NOTE_1531h</t>
  </si>
  <si>
    <t>上年年末数_长期应收款</t>
  </si>
  <si>
    <t>NOTE_1531q</t>
  </si>
  <si>
    <t>NOTE_1531g</t>
  </si>
  <si>
    <t>NOTE_1531s</t>
  </si>
  <si>
    <t>NOTE_1531b</t>
  </si>
  <si>
    <t>逾  期</t>
  </si>
  <si>
    <t>NOTE_1531c</t>
  </si>
  <si>
    <t>NOTE_1531f</t>
  </si>
  <si>
    <t>04#K70</t>
  </si>
  <si>
    <t>05#L70</t>
  </si>
  <si>
    <t>一、期初余额</t>
  </si>
  <si>
    <t>二、计入当期损益的设定受益成本</t>
  </si>
  <si>
    <t>三、计入其他综合收益的设定受益成本</t>
  </si>
  <si>
    <t>四、其他变动</t>
  </si>
  <si>
    <t>五、期末余额</t>
  </si>
  <si>
    <t>权益工具投资</t>
  </si>
  <si>
    <t>债务工具投资</t>
  </si>
  <si>
    <t>04#ANC</t>
  </si>
  <si>
    <t>05#BNC</t>
  </si>
  <si>
    <t>折现率</t>
  </si>
  <si>
    <t>死亡率</t>
  </si>
  <si>
    <t>预计平均寿命</t>
  </si>
  <si>
    <t>职工的离职率</t>
  </si>
  <si>
    <t>薪酬的预期增长率</t>
  </si>
  <si>
    <t>04#RIH</t>
  </si>
  <si>
    <t>05#UF7.ND</t>
  </si>
  <si>
    <t>06#UF7.NE</t>
  </si>
  <si>
    <t>假设的变动幅度_</t>
  </si>
  <si>
    <t>对设定受益义务现值的影响_计划负债增加</t>
  </si>
  <si>
    <t>对设定受益义务现值的影响_计划负债减少</t>
  </si>
  <si>
    <t>假设的变动幅度</t>
  </si>
  <si>
    <t>对设定受益义务现值的影响</t>
  </si>
  <si>
    <t>计划负债增加</t>
  </si>
  <si>
    <t>计划负债减少</t>
  </si>
  <si>
    <t>NOTE_1511b</t>
  </si>
  <si>
    <t>13#A11</t>
  </si>
  <si>
    <t>本期增减变动_追加投资</t>
  </si>
  <si>
    <t>本期增减变动_减少投资</t>
  </si>
  <si>
    <t>本期增减变动_权益法下确认的投资损益</t>
  </si>
  <si>
    <t>本期增减变动_其他综合收益调整</t>
  </si>
  <si>
    <t>本期增减变动_其他权益变动</t>
  </si>
  <si>
    <t>本期增减变动_宣告发放现金股利或利润</t>
  </si>
  <si>
    <t>本期增减变动_本期计提减值准备金额</t>
  </si>
  <si>
    <t>本期增减变动_本期其他增减变动（减少以“-”号填列）</t>
  </si>
  <si>
    <t>期末余额_</t>
  </si>
  <si>
    <t>减值准备期末余额_</t>
  </si>
  <si>
    <t>本期增减变动</t>
  </si>
  <si>
    <t>减值准备期末余额</t>
  </si>
  <si>
    <t>追加投资</t>
  </si>
  <si>
    <t>减少投资</t>
  </si>
  <si>
    <t>权益法下确认的投资损益</t>
  </si>
  <si>
    <t>其他综合收益调整</t>
  </si>
  <si>
    <t>其他权益变动</t>
  </si>
  <si>
    <t>宣告发放现金股利或利润</t>
  </si>
  <si>
    <t>本期计提减值准备金额</t>
  </si>
  <si>
    <t>本期其他增减变动（减少以“-”号填列）</t>
  </si>
  <si>
    <t>（一）合营企业</t>
  </si>
  <si>
    <t>合营企业小计</t>
  </si>
  <si>
    <t>（二）联营企业</t>
  </si>
  <si>
    <t>联营企业小计</t>
  </si>
  <si>
    <t>期初余额</t>
  </si>
  <si>
    <t>5100P</t>
  </si>
  <si>
    <t>NOTE_1538a</t>
  </si>
  <si>
    <t>上市权益工具投资</t>
  </si>
  <si>
    <t>非上市权益工具投资</t>
  </si>
  <si>
    <t>NOTE_1538b</t>
  </si>
  <si>
    <t>09#RMB</t>
  </si>
  <si>
    <t>本期确认的股利收入</t>
  </si>
  <si>
    <t>累计利得</t>
  </si>
  <si>
    <t>累计损失</t>
  </si>
  <si>
    <t>其他综合收益转入留存收益的金额</t>
  </si>
  <si>
    <t>指定为以公允价值计量且其变动计入其他综合收益的原因</t>
  </si>
  <si>
    <t>其他综合收益转入留存收益的原因</t>
  </si>
  <si>
    <t>5100T</t>
  </si>
  <si>
    <t>NOTE_1539a</t>
  </si>
  <si>
    <t>指定为公允价值计量且其变动计入当期损益的金融资产</t>
  </si>
  <si>
    <t>5120A</t>
  </si>
  <si>
    <t>NOTE_1521h</t>
  </si>
  <si>
    <t>房屋、建筑物</t>
  </si>
  <si>
    <t>土地使用权</t>
  </si>
  <si>
    <t>一、账面原值</t>
  </si>
  <si>
    <t xml:space="preserve">2.本期增加金额 </t>
  </si>
  <si>
    <t>（1）外购</t>
  </si>
  <si>
    <t>（3）企业合并增加</t>
  </si>
  <si>
    <t xml:space="preserve">3.本期减少金额  </t>
  </si>
  <si>
    <t xml:space="preserve">（1）处置  </t>
  </si>
  <si>
    <t xml:space="preserve">（2）其他转出  </t>
  </si>
  <si>
    <t>二、累计折旧和累计摊销</t>
  </si>
  <si>
    <t xml:space="preserve">2.本期增加金额   </t>
  </si>
  <si>
    <t>（1）计提或摊销</t>
  </si>
  <si>
    <t xml:space="preserve">3.本期减少金额   </t>
  </si>
  <si>
    <t xml:space="preserve">（1）处置   </t>
  </si>
  <si>
    <t xml:space="preserve">（2）其他转出   </t>
  </si>
  <si>
    <t>三、减值准备</t>
  </si>
  <si>
    <t>2.本期增加金额</t>
  </si>
  <si>
    <t>（1）计提</t>
  </si>
  <si>
    <t>3.本期减少金额</t>
  </si>
  <si>
    <t>（1）处置</t>
  </si>
  <si>
    <t>（2）其他转出</t>
  </si>
  <si>
    <t>四、账面价值</t>
  </si>
  <si>
    <t>05#U76.78</t>
  </si>
  <si>
    <t>07#U76.H0</t>
  </si>
  <si>
    <t>08#U76.72</t>
  </si>
  <si>
    <t>09#U81.86</t>
  </si>
  <si>
    <t>10#U81.82</t>
  </si>
  <si>
    <t>11#A11</t>
  </si>
  <si>
    <t>1.期初余额_</t>
  </si>
  <si>
    <t>2.本期增加金额_（1）购置</t>
  </si>
  <si>
    <t>2.本期增加金额_（3）企业合并增加</t>
  </si>
  <si>
    <t>4.期末余额_</t>
  </si>
  <si>
    <t>1.期初余额</t>
  </si>
  <si>
    <t>4.期末余额</t>
  </si>
  <si>
    <t>（1）购置</t>
  </si>
  <si>
    <t>一、账面原值：</t>
  </si>
  <si>
    <t>06#U76.72</t>
  </si>
  <si>
    <t>07#U81.86</t>
  </si>
  <si>
    <t>08#U81.82</t>
  </si>
  <si>
    <t>三、减值准备：</t>
  </si>
  <si>
    <t>四、账面价值：</t>
  </si>
  <si>
    <t>NOTE_1521b</t>
  </si>
  <si>
    <t>（3）公允价值变动</t>
  </si>
  <si>
    <t>NOTE_1521c</t>
  </si>
  <si>
    <t>05#RKC</t>
  </si>
  <si>
    <t>NOTE_1521s</t>
  </si>
  <si>
    <t>04#A23</t>
  </si>
  <si>
    <t>05#A41</t>
  </si>
  <si>
    <t>06#A34</t>
  </si>
  <si>
    <t>07#A21</t>
  </si>
  <si>
    <t>08#RKG</t>
  </si>
  <si>
    <t>原值</t>
  </si>
  <si>
    <t>抵押原因</t>
  </si>
  <si>
    <t>%TA</t>
  </si>
  <si>
    <t>处置</t>
  </si>
  <si>
    <t>NOTE_1611a</t>
  </si>
  <si>
    <t>5500A</t>
  </si>
  <si>
    <t>NOTE_1601k</t>
  </si>
  <si>
    <t>房屋及建筑物</t>
  </si>
  <si>
    <t>机器设备</t>
  </si>
  <si>
    <t>运输工具</t>
  </si>
  <si>
    <t>（2）在建工程转入</t>
  </si>
  <si>
    <t>二、累计折旧</t>
  </si>
  <si>
    <t>（1）处置或报废</t>
  </si>
  <si>
    <t>本年减少额_</t>
  </si>
  <si>
    <t>3.本期减少金额_（1）处置或报废</t>
  </si>
  <si>
    <t>3.本期减少金额_（2）其他减少</t>
  </si>
  <si>
    <t>（2）其他减少</t>
  </si>
  <si>
    <t>二、累计折旧：</t>
  </si>
  <si>
    <t>NOTE_1601f</t>
  </si>
  <si>
    <t>06#A23</t>
  </si>
  <si>
    <t>07#A41</t>
  </si>
  <si>
    <t>08#A34</t>
  </si>
  <si>
    <t>09#RMA</t>
  </si>
  <si>
    <t>未办妥产权证书原因</t>
  </si>
  <si>
    <t>备注（坐落地或规格）</t>
  </si>
  <si>
    <t>NOTE_1601s</t>
  </si>
  <si>
    <t>NOTE_1601x</t>
  </si>
  <si>
    <t>04#U70</t>
  </si>
  <si>
    <t>累计折旧计提数分析</t>
  </si>
  <si>
    <t>累计折旧本期计提数</t>
  </si>
  <si>
    <t>NOTE_1601b</t>
  </si>
  <si>
    <t>04#R23</t>
  </si>
  <si>
    <t>05#R41</t>
  </si>
  <si>
    <t>06#R34</t>
  </si>
  <si>
    <t>07#R22</t>
  </si>
  <si>
    <t>NOTE_1601c</t>
  </si>
  <si>
    <t>04#R52</t>
  </si>
  <si>
    <t>06#R35</t>
  </si>
  <si>
    <t>07#R53</t>
  </si>
  <si>
    <t>NOTE_1601d</t>
  </si>
  <si>
    <t>04#R53</t>
  </si>
  <si>
    <t>NOTE_1601l</t>
  </si>
  <si>
    <t>未办妥产权证书的原因</t>
  </si>
  <si>
    <t>5500B</t>
  </si>
  <si>
    <t>NOTE_1606b</t>
  </si>
  <si>
    <t>NOTE_1606a</t>
  </si>
  <si>
    <t>转入清理的原因</t>
  </si>
  <si>
    <t>NOTE_1616a</t>
  </si>
  <si>
    <t>NOTE_1604a</t>
  </si>
  <si>
    <t>06#A11.18</t>
  </si>
  <si>
    <t>09#B11.18</t>
  </si>
  <si>
    <t>期末数_账面净值</t>
  </si>
  <si>
    <t>期初数_账面净值</t>
  </si>
  <si>
    <t>5500C</t>
  </si>
  <si>
    <t>07#R73</t>
  </si>
  <si>
    <t>预算数</t>
  </si>
  <si>
    <t>本期增加金额</t>
  </si>
  <si>
    <t>本期转入固定资产金额</t>
  </si>
  <si>
    <t>本期其他减少金额</t>
  </si>
  <si>
    <t>NOTE_1604b</t>
  </si>
  <si>
    <t>06#UA6</t>
  </si>
  <si>
    <t>07#U82</t>
  </si>
  <si>
    <t>08#AB8</t>
  </si>
  <si>
    <t>09#UB8</t>
  </si>
  <si>
    <t>10#UIX</t>
  </si>
  <si>
    <t>其他减少</t>
  </si>
  <si>
    <t>利息资本化累计金额</t>
  </si>
  <si>
    <t>其中：本期利息资本化金额</t>
  </si>
  <si>
    <t>本期利息资本化率%</t>
  </si>
  <si>
    <t>工程进度</t>
  </si>
  <si>
    <t>资金来源</t>
  </si>
  <si>
    <t>NOTE_1604c</t>
  </si>
  <si>
    <t>04#RG5</t>
  </si>
  <si>
    <t>05#RIS</t>
  </si>
  <si>
    <t>06#RMV</t>
  </si>
  <si>
    <t>07#RLU</t>
  </si>
  <si>
    <t>工程累计投入占预算比例%</t>
  </si>
  <si>
    <t>NOTE_1604g</t>
  </si>
  <si>
    <t>06#RMA</t>
  </si>
  <si>
    <t>计提原因</t>
  </si>
  <si>
    <t>NOTE_1604d</t>
  </si>
  <si>
    <t>04#U62</t>
  </si>
  <si>
    <t>05#RKH</t>
  </si>
  <si>
    <t>NOTE_1621c</t>
  </si>
  <si>
    <t>06#U76.H1</t>
  </si>
  <si>
    <t>（2）自行培育</t>
  </si>
  <si>
    <t>（2）其他</t>
  </si>
  <si>
    <t>种植业</t>
  </si>
  <si>
    <t>种植业小计</t>
  </si>
  <si>
    <t>畜牧养殖业</t>
  </si>
  <si>
    <t>畜牧养殖业小计</t>
  </si>
  <si>
    <t>林业</t>
  </si>
  <si>
    <t>林业小计</t>
  </si>
  <si>
    <t>水产业</t>
  </si>
  <si>
    <t>水产业小计</t>
  </si>
  <si>
    <t>NOTE_1621b</t>
  </si>
  <si>
    <t>11#UB6</t>
  </si>
  <si>
    <t>12#A11</t>
  </si>
  <si>
    <t>期初余额_</t>
  </si>
  <si>
    <t>本期增加金额_外购</t>
  </si>
  <si>
    <t>本期增加金额_自行培育</t>
  </si>
  <si>
    <t>本期增加金额_企业合并增加</t>
  </si>
  <si>
    <t>本期增加金额_其他增加</t>
  </si>
  <si>
    <t>本期减少金额_处置</t>
  </si>
  <si>
    <t>本期减少金额_其他转出</t>
  </si>
  <si>
    <t>加：公允价值变动（减少以“-”号填列）_</t>
  </si>
  <si>
    <t>本期减少金额</t>
  </si>
  <si>
    <t>加：公允价值变动（减少以“-”号填列）</t>
  </si>
  <si>
    <t>外购</t>
  </si>
  <si>
    <t>自行培育</t>
  </si>
  <si>
    <t>企业合并增加</t>
  </si>
  <si>
    <t>其他增加</t>
  </si>
  <si>
    <t>其他转出</t>
  </si>
  <si>
    <t>5500F</t>
  </si>
  <si>
    <t>NOTE_1631b</t>
  </si>
  <si>
    <t>探明矿区权益</t>
  </si>
  <si>
    <t>未探明矿区权益</t>
  </si>
  <si>
    <t>井及相关设施</t>
  </si>
  <si>
    <t>(2)自行建造</t>
  </si>
  <si>
    <t>本期增加额</t>
  </si>
  <si>
    <t>本期减少额</t>
  </si>
  <si>
    <t>NOTE_1701a</t>
  </si>
  <si>
    <t>（2）内部研发</t>
  </si>
  <si>
    <t>专利权</t>
  </si>
  <si>
    <t>非专利技术</t>
  </si>
  <si>
    <t>二、累计摊销：</t>
  </si>
  <si>
    <t>期末，通过内部研发形成的无形资产占无形资产余额的比例</t>
  </si>
  <si>
    <t>5800A</t>
  </si>
  <si>
    <t>NOTE_1701f</t>
  </si>
  <si>
    <t>NOTE_1701e</t>
  </si>
  <si>
    <t>07#A45</t>
  </si>
  <si>
    <t>05#A45</t>
  </si>
  <si>
    <t>NOTE_1701x</t>
  </si>
  <si>
    <t>累计摊销计提数分析</t>
  </si>
  <si>
    <t>累计摊销本期计提数</t>
  </si>
  <si>
    <t>1700</t>
  </si>
  <si>
    <t>05#U76.H1</t>
  </si>
  <si>
    <t>07#U81.A2</t>
  </si>
  <si>
    <t>08#U81.A0</t>
  </si>
  <si>
    <t>10#RJZ</t>
  </si>
  <si>
    <t>11#RLM</t>
  </si>
  <si>
    <t>12#RMU</t>
  </si>
  <si>
    <t>本期增加_内部开发支出</t>
  </si>
  <si>
    <t>本期增加_其他增加</t>
  </si>
  <si>
    <t>本期减少_确认为无形资产</t>
  </si>
  <si>
    <t>本期减少_计入当期损益</t>
  </si>
  <si>
    <t>资本化开始时点_</t>
  </si>
  <si>
    <t>资本化的具体依据_</t>
  </si>
  <si>
    <t>截至期末的研发进度_</t>
  </si>
  <si>
    <t>资本化开始时点</t>
  </si>
  <si>
    <t>资本化的具体依据</t>
  </si>
  <si>
    <t>截至期末的研发进度</t>
  </si>
  <si>
    <t>内部开发支出</t>
  </si>
  <si>
    <t>确认为无形资产</t>
  </si>
  <si>
    <t>NOTE_1711a</t>
  </si>
  <si>
    <t>05#U76.H0</t>
  </si>
  <si>
    <t>本期增加_企业合并形成</t>
  </si>
  <si>
    <t>本期减少_处置</t>
  </si>
  <si>
    <t>本期减少_其他减少</t>
  </si>
  <si>
    <t>被投资单位名称或形成商誉的事项</t>
  </si>
  <si>
    <t>NOTE_1711b</t>
  </si>
  <si>
    <t>NOTE_1801a</t>
  </si>
  <si>
    <t>06#U44</t>
  </si>
  <si>
    <t>_本期增加</t>
  </si>
  <si>
    <t>本期减少_本期摊销</t>
  </si>
  <si>
    <t>本期减少_其他减少额</t>
  </si>
  <si>
    <t>本期摊销</t>
  </si>
  <si>
    <t>NOTE_1801x</t>
  </si>
  <si>
    <t>本期摊销数分析</t>
  </si>
  <si>
    <t>本期摊销数</t>
  </si>
  <si>
    <t>1811</t>
  </si>
  <si>
    <t>2901</t>
  </si>
  <si>
    <t>NOTE_1829a</t>
  </si>
  <si>
    <t>04#A11.D4</t>
  </si>
  <si>
    <t>05#A11.D0</t>
  </si>
  <si>
    <t>06#B11.D4</t>
  </si>
  <si>
    <t>07#B11.D0</t>
  </si>
  <si>
    <t>期末数_可抵扣暂时性差异</t>
  </si>
  <si>
    <t>期末数_递延所得税资产</t>
  </si>
  <si>
    <t>期初数_可抵扣暂时性差异</t>
  </si>
  <si>
    <t>期初数_递延所得税资产</t>
  </si>
  <si>
    <t>可抵扣暂时性差异</t>
  </si>
  <si>
    <t>信用减值准备</t>
  </si>
  <si>
    <t>内部交易未实现利润</t>
  </si>
  <si>
    <t>可抵扣亏损</t>
  </si>
  <si>
    <t>NOTE_1829b</t>
  </si>
  <si>
    <t>04#A11.D6</t>
  </si>
  <si>
    <t>05#A11.D1</t>
  </si>
  <si>
    <t>06#B11.D6</t>
  </si>
  <si>
    <t>07#B11.D1</t>
  </si>
  <si>
    <t>期末数_应纳税暂时性差异</t>
  </si>
  <si>
    <t>期末数_递延所得税负债</t>
  </si>
  <si>
    <t>期初数_应纳税暂时性差异</t>
  </si>
  <si>
    <t>期初数_递延所得税负债</t>
  </si>
  <si>
    <t>应纳税暂时性差异</t>
  </si>
  <si>
    <t>非同一控制企业合并资产评估增值</t>
  </si>
  <si>
    <t>可供出售金融资产公允价值变动</t>
  </si>
  <si>
    <t>1811_2901</t>
  </si>
  <si>
    <t>NOTE_1829c</t>
  </si>
  <si>
    <t>04#AD3</t>
  </si>
  <si>
    <t>05#AD2</t>
  </si>
  <si>
    <t>06#BD3</t>
  </si>
  <si>
    <t>07#BD2</t>
  </si>
  <si>
    <t>NOTE_1829e</t>
  </si>
  <si>
    <t>05#B70</t>
  </si>
  <si>
    <t>NOTE_1829f</t>
  </si>
  <si>
    <t>年       份</t>
  </si>
  <si>
    <t xml:space="preserve">20xx </t>
  </si>
  <si>
    <t xml:space="preserve">20xx  </t>
  </si>
  <si>
    <t xml:space="preserve">20xx   </t>
  </si>
  <si>
    <t xml:space="preserve">20xx    </t>
  </si>
  <si>
    <t>20xx</t>
  </si>
  <si>
    <t>NOTE_1996a</t>
  </si>
  <si>
    <t>2001</t>
  </si>
  <si>
    <t>NOTE_2001a</t>
  </si>
  <si>
    <t>质押借款</t>
  </si>
  <si>
    <t>抵押借款</t>
  </si>
  <si>
    <t>保证借款</t>
  </si>
  <si>
    <t>信用借款</t>
  </si>
  <si>
    <t>NOTE_2001d</t>
  </si>
  <si>
    <t>05#RMY</t>
  </si>
  <si>
    <t>06#RKG</t>
  </si>
  <si>
    <t>借款余额</t>
  </si>
  <si>
    <t>质押物</t>
  </si>
  <si>
    <t>质押事项说明</t>
  </si>
  <si>
    <t>NOTE_2001e</t>
  </si>
  <si>
    <t>抵押物</t>
  </si>
  <si>
    <t>抵押事项说明</t>
  </si>
  <si>
    <t>NOTE_2001f</t>
  </si>
  <si>
    <t>05#RMW</t>
  </si>
  <si>
    <t>担保人</t>
  </si>
  <si>
    <t>担保事项说明</t>
  </si>
  <si>
    <t>NOTE_2001b</t>
  </si>
  <si>
    <t>05#RIW</t>
  </si>
  <si>
    <t>06#RJT</t>
  </si>
  <si>
    <t>借款利率(年%)</t>
  </si>
  <si>
    <t>逾期利率(年%)</t>
  </si>
  <si>
    <t>NOTE_2001c</t>
  </si>
  <si>
    <t>2102</t>
  </si>
  <si>
    <t>6000C</t>
  </si>
  <si>
    <t>NOTE_2102a</t>
  </si>
  <si>
    <t>指定以公允价值计量且其变动计入当期损益的金融负债</t>
  </si>
  <si>
    <t>NOTE_2102b</t>
  </si>
  <si>
    <t>因自身信用风险变动引起的公允价值本年变动额</t>
  </si>
  <si>
    <t>因自身信用风险变动引起的公允价值累计变动额</t>
  </si>
  <si>
    <t>发行的普通债权</t>
  </si>
  <si>
    <t>2101</t>
  </si>
  <si>
    <t>NOTE_2101a</t>
  </si>
  <si>
    <t>其中：发行的交易性债券</t>
  </si>
  <si>
    <t>指定为以公允价值计量且其变动计入当期损益的金融负债</t>
  </si>
  <si>
    <t>2115</t>
  </si>
  <si>
    <t>NOTE_2115a</t>
  </si>
  <si>
    <t>2201</t>
  </si>
  <si>
    <t>NOTE_2201a</t>
  </si>
  <si>
    <t>本期末已到期未支付的应付票据总额</t>
  </si>
  <si>
    <t>2202</t>
  </si>
  <si>
    <t>NOTE_2202e</t>
  </si>
  <si>
    <t>应付货款</t>
  </si>
  <si>
    <t>应付工程款</t>
  </si>
  <si>
    <t>应付运费</t>
  </si>
  <si>
    <t>应付劳务费</t>
  </si>
  <si>
    <t>NOTE_2202f</t>
  </si>
  <si>
    <t>1年以内（含1年）</t>
  </si>
  <si>
    <t>1至2年（含2年）</t>
  </si>
  <si>
    <t>2至3年（含3年）</t>
  </si>
  <si>
    <t>NOTE_2202a</t>
  </si>
  <si>
    <t>05#RKY</t>
  </si>
  <si>
    <t>未偿还或未结转的原因</t>
  </si>
  <si>
    <t>NOTE_2202d</t>
  </si>
  <si>
    <t>NOTE_2202c</t>
  </si>
  <si>
    <t>NOTE_2202g</t>
  </si>
  <si>
    <t>06#RMD</t>
  </si>
  <si>
    <t>债权单位名称</t>
  </si>
  <si>
    <t>所欠金额</t>
  </si>
  <si>
    <t>款项性质或内容</t>
  </si>
  <si>
    <t>NOTE_2202x</t>
  </si>
  <si>
    <t>按债权单位归集的应付账款期末余额前五名情况</t>
  </si>
  <si>
    <t>按债权单位归集的应付账款期末余额前五名小计</t>
  </si>
  <si>
    <t>第六至第十名情况：</t>
  </si>
  <si>
    <t>第六至第十名小计</t>
  </si>
  <si>
    <t>2205</t>
  </si>
  <si>
    <t>NOTE_2205f</t>
  </si>
  <si>
    <t>预收货款</t>
  </si>
  <si>
    <t>预收工程款</t>
  </si>
  <si>
    <t>NOTE_2205g</t>
  </si>
  <si>
    <t>1年以上</t>
  </si>
  <si>
    <t>NOTE_2205a</t>
  </si>
  <si>
    <t>05#RKZ</t>
  </si>
  <si>
    <t>NOTE_2205h</t>
  </si>
  <si>
    <t>减：已办理结算的价款</t>
  </si>
  <si>
    <t>减：预计损失（跌价准备）</t>
  </si>
  <si>
    <t>建造合同形成的已结算未完工项目</t>
  </si>
  <si>
    <t>NOTE_2205e</t>
  </si>
  <si>
    <t>06#RJE</t>
  </si>
  <si>
    <t>07#RIU</t>
  </si>
  <si>
    <t>预售比例(%)</t>
  </si>
  <si>
    <t>NOTE_2205c</t>
  </si>
  <si>
    <t>NOTE_2205x</t>
  </si>
  <si>
    <t>按债权单位归集的预收款项期末余额前五名情况</t>
  </si>
  <si>
    <t>按债权单位归集的预收款项期末余额前五名小计</t>
  </si>
  <si>
    <t>2211</t>
  </si>
  <si>
    <t>NOTE_2211a</t>
  </si>
  <si>
    <t>一、短期薪酬</t>
  </si>
  <si>
    <t>二、离职后福利-设定提存计划</t>
  </si>
  <si>
    <t>三、辞退福利</t>
  </si>
  <si>
    <t>四、一年内到期的其他福利</t>
  </si>
  <si>
    <t>NOTE_2211b</t>
  </si>
  <si>
    <t>一、工资、奖金、津贴和补贴</t>
  </si>
  <si>
    <t>二、职工福利费</t>
  </si>
  <si>
    <t>三、社会保险费</t>
  </si>
  <si>
    <t>社会保险费小计</t>
  </si>
  <si>
    <t>社会保险费</t>
  </si>
  <si>
    <t>其中：医疗保险费</t>
  </si>
  <si>
    <t>工伤保险费</t>
  </si>
  <si>
    <t>生育保险费</t>
  </si>
  <si>
    <t>四、住房公积金</t>
  </si>
  <si>
    <t>五、工会经费和职工教育经费</t>
  </si>
  <si>
    <t>六、短期带薪缺勤</t>
  </si>
  <si>
    <t>七、短期利润分享计划</t>
  </si>
  <si>
    <t>NOTE_2211c</t>
  </si>
  <si>
    <t>离职后福利：</t>
  </si>
  <si>
    <t>离职后福利小计</t>
  </si>
  <si>
    <t>1.基本养老保险</t>
  </si>
  <si>
    <t>2.失业保险费</t>
  </si>
  <si>
    <t>3.企业年金缴费</t>
  </si>
  <si>
    <t>其他长期职工福利</t>
  </si>
  <si>
    <t>1.XXX</t>
  </si>
  <si>
    <t>2.其他</t>
  </si>
  <si>
    <t>NOTE_2211d</t>
  </si>
  <si>
    <t>工资、奖金、津贴和补贴</t>
  </si>
  <si>
    <t>职工福利费</t>
  </si>
  <si>
    <t>其中：非货币性福利</t>
  </si>
  <si>
    <t>其中：（1）基本医疗保险费</t>
  </si>
  <si>
    <t>（2）补充医疗保险费</t>
  </si>
  <si>
    <t>（3）基本养老保险费</t>
  </si>
  <si>
    <t>（4）年金缴费（补充养老保险）</t>
  </si>
  <si>
    <t>（5）失业保险费</t>
  </si>
  <si>
    <t>（6）工伤保险费</t>
  </si>
  <si>
    <t>（7）生育保险费</t>
  </si>
  <si>
    <t>住房公积金</t>
  </si>
  <si>
    <t>工会经费和职工教育经费</t>
  </si>
  <si>
    <t>辞退福利及内退补偿</t>
  </si>
  <si>
    <t>辞退福利及内退补偿小计</t>
  </si>
  <si>
    <t>其中：（1）因解除劳动关系给予的补偿</t>
  </si>
  <si>
    <t>（2）预计内退人员支出</t>
  </si>
  <si>
    <t>其他小计</t>
  </si>
  <si>
    <t>其中：以现金结算的股份支付</t>
  </si>
  <si>
    <t>NOTE_2211x</t>
  </si>
  <si>
    <t>本年计提数与相关科目发生额分析</t>
  </si>
  <si>
    <t>本年计提数</t>
  </si>
  <si>
    <t>2221</t>
  </si>
  <si>
    <t>增值税</t>
  </si>
  <si>
    <t>消费税</t>
  </si>
  <si>
    <t>企业所得税</t>
  </si>
  <si>
    <t>个人所得税</t>
  </si>
  <si>
    <t>城市维护建设税</t>
  </si>
  <si>
    <t>教育费附加</t>
  </si>
  <si>
    <t>NOTE_2221a</t>
  </si>
  <si>
    <r>
      <rPr>
        <sz val="10"/>
        <rFont val="宋体"/>
        <family val="3"/>
        <charset val="134"/>
      </rPr>
      <t>税</t>
    </r>
    <r>
      <rPr>
        <sz val="10"/>
        <rFont val="宋体"/>
        <family val="3"/>
        <charset val="134"/>
      </rPr>
      <t xml:space="preserve">       </t>
    </r>
    <r>
      <rPr>
        <sz val="10"/>
        <rFont val="宋体"/>
        <family val="3"/>
        <charset val="134"/>
      </rPr>
      <t>项</t>
    </r>
  </si>
  <si>
    <t>其他税种</t>
  </si>
  <si>
    <t>NOTE_2221x</t>
  </si>
  <si>
    <t>应交增值税</t>
  </si>
  <si>
    <t>销项税额</t>
  </si>
  <si>
    <t>进项税额</t>
  </si>
  <si>
    <t>进项转出</t>
  </si>
  <si>
    <t>已交税金</t>
  </si>
  <si>
    <t>2246</t>
  </si>
  <si>
    <t>NOTE_2246a</t>
  </si>
  <si>
    <t>2231</t>
  </si>
  <si>
    <t>NOTE_2231a</t>
  </si>
  <si>
    <t>分期付息到期还本的长期借款利息</t>
  </si>
  <si>
    <t>企业债券利息</t>
  </si>
  <si>
    <t>短期借款应付利息</t>
  </si>
  <si>
    <t>NOTE_2231b</t>
  </si>
  <si>
    <t>05#RKF</t>
  </si>
  <si>
    <t>2019年12月31日逾期金额</t>
  </si>
  <si>
    <t>2232</t>
  </si>
  <si>
    <t>NOTE_2232a</t>
  </si>
  <si>
    <t>普通股股利</t>
  </si>
  <si>
    <t>NOTE_2232b</t>
  </si>
  <si>
    <t>05#RKT</t>
  </si>
  <si>
    <t>未支付原因</t>
  </si>
  <si>
    <t>2241</t>
  </si>
  <si>
    <t>NOTE_2241e</t>
  </si>
  <si>
    <t>NOTE_2241f</t>
  </si>
  <si>
    <t>NOTE_2241c</t>
  </si>
  <si>
    <t>NOTE_2241b</t>
  </si>
  <si>
    <t>NOTE_2241g</t>
  </si>
  <si>
    <t>NOTE_2241a</t>
  </si>
  <si>
    <t>NOTE_2241x</t>
  </si>
  <si>
    <t>按债权单位归集的其他应付款期末余额前五名情况</t>
  </si>
  <si>
    <t>按债权单位归集的其他应付款期末余额前五名小计</t>
  </si>
  <si>
    <t>2315</t>
  </si>
  <si>
    <t>NOTE_2315a</t>
  </si>
  <si>
    <t>2395</t>
  </si>
  <si>
    <t>NOTE_2395a</t>
  </si>
  <si>
    <t>NOTE_2395b</t>
  </si>
  <si>
    <t>NOTE_2395e</t>
  </si>
  <si>
    <t>05#RJW</t>
  </si>
  <si>
    <t>06#RJN</t>
  </si>
  <si>
    <t>07#R95</t>
  </si>
  <si>
    <t>09#U95</t>
  </si>
  <si>
    <t>10#U65</t>
  </si>
  <si>
    <t>11#U43</t>
  </si>
  <si>
    <t>12#U94</t>
  </si>
  <si>
    <t>发行日期</t>
  </si>
  <si>
    <t>债券期限</t>
  </si>
  <si>
    <t>发行金额</t>
  </si>
  <si>
    <t>本期发行</t>
  </si>
  <si>
    <t>按面值计提利息</t>
  </si>
  <si>
    <t>溢折价摊销</t>
  </si>
  <si>
    <t>本期偿还</t>
  </si>
  <si>
    <t>NOTE_2395f</t>
  </si>
  <si>
    <t>应付融资租赁款</t>
  </si>
  <si>
    <t>2396</t>
  </si>
  <si>
    <t>NOTE_2396a</t>
  </si>
  <si>
    <t>NOTE_2396c</t>
  </si>
  <si>
    <t>本期新增补助金额</t>
  </si>
  <si>
    <t>本期计入营业外收入金额</t>
  </si>
  <si>
    <t>其他变动（减少以“-”号填列）</t>
  </si>
  <si>
    <t>%UM%TA%</t>
  </si>
  <si>
    <t>2501</t>
  </si>
  <si>
    <t>NOTE_2501a</t>
  </si>
  <si>
    <t>长期借款：</t>
  </si>
  <si>
    <t>小    计</t>
  </si>
  <si>
    <t>减：一年内到期的长期借款</t>
  </si>
  <si>
    <t>NOTE_2501c</t>
  </si>
  <si>
    <t>NOTE_2501d</t>
  </si>
  <si>
    <t>07#AC5</t>
  </si>
  <si>
    <t>其中：一年内到期金额</t>
  </si>
  <si>
    <t>NOTE_2501e</t>
  </si>
  <si>
    <t>NOTE_2501f</t>
  </si>
  <si>
    <t>2502</t>
  </si>
  <si>
    <t>NOTE_2502b</t>
  </si>
  <si>
    <t>减：一年内到期的应付债券</t>
  </si>
  <si>
    <t>NOTE_2502a</t>
  </si>
  <si>
    <t>应付债券：</t>
  </si>
  <si>
    <t>NOTE_2502d</t>
  </si>
  <si>
    <t>04#RJW</t>
  </si>
  <si>
    <t>05#RLG</t>
  </si>
  <si>
    <t>06#RIV</t>
  </si>
  <si>
    <t>07#RF8</t>
  </si>
  <si>
    <t>08#RNF</t>
  </si>
  <si>
    <t>09#R95</t>
  </si>
  <si>
    <t>10#RJS</t>
  </si>
  <si>
    <t>11#RLI</t>
  </si>
  <si>
    <t>12#RMO</t>
  </si>
  <si>
    <t>发行时间</t>
  </si>
  <si>
    <t>股利率或利息率</t>
  </si>
  <si>
    <t>发行价格</t>
  </si>
  <si>
    <t>数量</t>
  </si>
  <si>
    <t>到期日或续期情况</t>
  </si>
  <si>
    <t>转股条件</t>
  </si>
  <si>
    <t>转换情况</t>
  </si>
  <si>
    <t>NOTE_2502c</t>
  </si>
  <si>
    <t>04#B11.N1</t>
  </si>
  <si>
    <t>05#B11.21</t>
  </si>
  <si>
    <t>06#U76.N1</t>
  </si>
  <si>
    <t>07#U76.21</t>
  </si>
  <si>
    <t>08#U81.N1</t>
  </si>
  <si>
    <t>09#U81.21</t>
  </si>
  <si>
    <t>10#A11.N1</t>
  </si>
  <si>
    <t>11#A11.21</t>
  </si>
  <si>
    <t>期初数_数量</t>
  </si>
  <si>
    <t>本期增加_数量</t>
  </si>
  <si>
    <t>本期增加_账面价值</t>
  </si>
  <si>
    <t>本期减少_数量</t>
  </si>
  <si>
    <t>本期减少_账面价值</t>
  </si>
  <si>
    <t>期末数_数量</t>
  </si>
  <si>
    <t>2706</t>
  </si>
  <si>
    <t>NOTE_2706a</t>
  </si>
  <si>
    <t>2701</t>
  </si>
  <si>
    <t>NOTE_2701c</t>
  </si>
  <si>
    <t>减：一年内到期长期应付款</t>
  </si>
  <si>
    <t>NOTE_2701d</t>
  </si>
  <si>
    <t>2711</t>
  </si>
  <si>
    <t>NOTE_2711a</t>
  </si>
  <si>
    <t>08#RKB</t>
  </si>
  <si>
    <t>形成原因</t>
  </si>
  <si>
    <t>NOTE_2711b</t>
  </si>
  <si>
    <t>2715</t>
  </si>
  <si>
    <t>NOTE_2715a</t>
  </si>
  <si>
    <t>一、离职后福利-设定受益计划净负债</t>
  </si>
  <si>
    <t>二、辞退福利</t>
  </si>
  <si>
    <t>三、其他长期福利</t>
  </si>
  <si>
    <t>NOTE_2715b</t>
  </si>
  <si>
    <t>1.当期服务成本</t>
  </si>
  <si>
    <t>2.过去服务成本</t>
  </si>
  <si>
    <t>3.结算利得（损失以“－”表示）</t>
  </si>
  <si>
    <t>4、利息净额</t>
  </si>
  <si>
    <t>1.精算利得（损失以“－”表示）</t>
  </si>
  <si>
    <t>1.结算时支付的对价</t>
  </si>
  <si>
    <t>2.已支付的福利</t>
  </si>
  <si>
    <t>NOTE_2715c</t>
  </si>
  <si>
    <t>1.利息净额</t>
  </si>
  <si>
    <t>1.计划资产回报（计入利息净额的除外）</t>
  </si>
  <si>
    <t>2.资产上限影响的变动（计入利息净额的除外）</t>
  </si>
  <si>
    <t>NOTE_2715d</t>
  </si>
  <si>
    <t>NOTE_2715g</t>
  </si>
  <si>
    <t>NOTE_2715h</t>
  </si>
  <si>
    <t>2801</t>
  </si>
  <si>
    <t>NOTE_2801a</t>
  </si>
  <si>
    <t>06#RKB</t>
  </si>
  <si>
    <t>对外提供担保</t>
  </si>
  <si>
    <t>未决诉讼</t>
  </si>
  <si>
    <t>产品质量保证</t>
  </si>
  <si>
    <t>重组义务</t>
  </si>
  <si>
    <t>待执行的亏损合同</t>
  </si>
  <si>
    <t>2401</t>
  </si>
  <si>
    <t>NOTE_2401a</t>
  </si>
  <si>
    <t>NOTE_2401b</t>
  </si>
  <si>
    <t>本期计入其他收益金额</t>
  </si>
  <si>
    <t>2996</t>
  </si>
  <si>
    <t>NOTE_2996a</t>
  </si>
  <si>
    <t>NOTE_2996x</t>
  </si>
  <si>
    <t>4001</t>
  </si>
  <si>
    <t>NOTE_4001a</t>
  </si>
  <si>
    <t>04#BN2</t>
  </si>
  <si>
    <t>05#UN3</t>
  </si>
  <si>
    <t>06#UN4</t>
  </si>
  <si>
    <t>07#UN5</t>
  </si>
  <si>
    <t>08#UN6</t>
  </si>
  <si>
    <t>09#U79</t>
  </si>
  <si>
    <t>10#AN2</t>
  </si>
  <si>
    <t>期初股数（万股）_</t>
  </si>
  <si>
    <t>本期增减（+、-）_发行新股</t>
  </si>
  <si>
    <t>本期增减（+、-）_送股</t>
  </si>
  <si>
    <t>本期增减（+、-）_公积金转股</t>
  </si>
  <si>
    <t>本期增减（+、-）_其他</t>
  </si>
  <si>
    <t>本期增减（+、-）_小计</t>
  </si>
  <si>
    <t>期末股数（万股）_</t>
  </si>
  <si>
    <t>发行新股</t>
  </si>
  <si>
    <t>送股</t>
  </si>
  <si>
    <t>公积金转股</t>
  </si>
  <si>
    <t>股份总数</t>
  </si>
  <si>
    <t>NOTE_4001b</t>
  </si>
  <si>
    <t>05#B11.IA</t>
  </si>
  <si>
    <t>08#A11.70</t>
  </si>
  <si>
    <t>09#A11.IA</t>
  </si>
  <si>
    <t>年初账面余额_金额</t>
  </si>
  <si>
    <t>年初账面余额_比例(%)</t>
  </si>
  <si>
    <t>本年增加额_</t>
  </si>
  <si>
    <t>年末账面余额_金额</t>
  </si>
  <si>
    <t>年末账面余额_比例(%)</t>
  </si>
  <si>
    <t>4015</t>
  </si>
  <si>
    <t>NOTE_4015b</t>
  </si>
  <si>
    <t>NOTE_4015a</t>
  </si>
  <si>
    <t>4002</t>
  </si>
  <si>
    <t>NOTE_4002a</t>
  </si>
  <si>
    <t>资本溢价（股本溢价）</t>
  </si>
  <si>
    <t>其他资本公积</t>
  </si>
  <si>
    <t>4201</t>
  </si>
  <si>
    <t>NOTE_4201a</t>
  </si>
  <si>
    <r>
      <rPr>
        <sz val="10"/>
        <rFont val="宋体"/>
        <family val="3"/>
        <charset val="134"/>
      </rPr>
      <t>I</t>
    </r>
    <r>
      <rPr>
        <sz val="10"/>
        <rFont val="宋体"/>
        <family val="3"/>
        <charset val="134"/>
      </rPr>
      <t>S本期列示：</t>
    </r>
  </si>
  <si>
    <t>4215</t>
  </si>
  <si>
    <t>6710</t>
  </si>
  <si>
    <t>6900F</t>
  </si>
  <si>
    <t>NOTE_4215b</t>
  </si>
  <si>
    <t>本期发生金额_本期所得税前发生额</t>
  </si>
  <si>
    <t>本期发生金额_减：前期计入其他综合收益当期转入损益</t>
  </si>
  <si>
    <t>本期发生金额_减：所得税费用</t>
  </si>
  <si>
    <t>本期发生金额_税后归属于母公司</t>
  </si>
  <si>
    <t>本期发生金额_税后归属于少数股东</t>
  </si>
  <si>
    <t>本期发生金额</t>
  </si>
  <si>
    <t>本期所得税前发生额</t>
  </si>
  <si>
    <t>减：前期计入其他综合收益当期转入损益</t>
  </si>
  <si>
    <t>税后归属于母公司</t>
  </si>
  <si>
    <t>税后归属于少数股东</t>
  </si>
  <si>
    <t>一、不能重分类进损益的其他综合收益</t>
  </si>
  <si>
    <t>其中：重新计量设定受益计划变动额</t>
  </si>
  <si>
    <t>二、将重分类进损益的其他综合收益</t>
  </si>
  <si>
    <t>其中：权益法下可转损益的其他综合收益</t>
  </si>
  <si>
    <t>现金流量套期储备（现金流量套期损益的有效部分）</t>
  </si>
  <si>
    <r>
      <rPr>
        <sz val="10"/>
        <rFont val="Arial Narrow"/>
        <family val="2"/>
      </rPr>
      <t>IS</t>
    </r>
    <r>
      <rPr>
        <sz val="10"/>
        <rFont val="宋体"/>
        <family val="3"/>
        <charset val="134"/>
      </rPr>
      <t>本期列示：</t>
    </r>
  </si>
  <si>
    <t>NOTE_4215a</t>
  </si>
  <si>
    <t>1.重新计算设定受益计划变动额</t>
  </si>
  <si>
    <t>2.权益法下不能转损益的其他综合收益</t>
  </si>
  <si>
    <t>1.权益法下可转损益的其他综合收益</t>
  </si>
  <si>
    <t>2.可供出售金融资产公允价值变动损益</t>
  </si>
  <si>
    <t>3.持有至到期投资重分类为可供出售金融资产损益</t>
  </si>
  <si>
    <t>4.现金流量套期损益的有效部分</t>
  </si>
  <si>
    <t>5.外币财务报表折算差额</t>
  </si>
  <si>
    <t>4301</t>
  </si>
  <si>
    <t>NOTE_4301a</t>
  </si>
  <si>
    <t>安全生产费</t>
  </si>
  <si>
    <t>4101</t>
  </si>
  <si>
    <t>6900H</t>
  </si>
  <si>
    <t>NOTE_4101b</t>
  </si>
  <si>
    <t>法定盈余公积</t>
  </si>
  <si>
    <t>任意盈余公积</t>
  </si>
  <si>
    <t>储备基金</t>
  </si>
  <si>
    <t>企业发展基金</t>
  </si>
  <si>
    <t>NOTE_4101a</t>
  </si>
  <si>
    <t>4102</t>
  </si>
  <si>
    <t>NOTE_4102a</t>
  </si>
  <si>
    <t>4200</t>
  </si>
  <si>
    <t>NOTE_4200a</t>
  </si>
  <si>
    <t>调整前上期末未分配利润</t>
  </si>
  <si>
    <t>调整期初未分配利润合计数（调增+，调减-）</t>
  </si>
  <si>
    <t>调整后期初未分配利润</t>
  </si>
  <si>
    <t>加：本期归属于母公司所有者的净利润</t>
  </si>
  <si>
    <t>减：提取法定盈余公积</t>
  </si>
  <si>
    <t>提取任意盈余公积</t>
  </si>
  <si>
    <t>应付普通股股利</t>
  </si>
  <si>
    <t>转作股本的普通股股利</t>
  </si>
  <si>
    <t>期末未分配利润</t>
  </si>
  <si>
    <t>NOTE_4200b</t>
  </si>
  <si>
    <t>04#RC9</t>
  </si>
  <si>
    <t>影响期初未分配利润金额</t>
  </si>
  <si>
    <t>根据《企业会计准则》及其相关新规定进行追溯调整</t>
  </si>
  <si>
    <t>重大会计差错更正</t>
  </si>
  <si>
    <t>同一控制导致的合并范围变更</t>
  </si>
  <si>
    <t>6064</t>
  </si>
  <si>
    <t>报表数K/本期</t>
  </si>
  <si>
    <t>报表数L/上年</t>
  </si>
  <si>
    <t>6001</t>
  </si>
  <si>
    <t>6401</t>
  </si>
  <si>
    <t>附注列报K：</t>
  </si>
  <si>
    <t>附注列报L：</t>
  </si>
  <si>
    <t>7000A</t>
  </si>
  <si>
    <t>NOTE_6064h</t>
  </si>
  <si>
    <t>本年发生额_收入</t>
  </si>
  <si>
    <t>本年发生额_成本</t>
  </si>
  <si>
    <t>上年发生额_收入</t>
  </si>
  <si>
    <t>上年发生额_成本</t>
  </si>
  <si>
    <t>收入</t>
  </si>
  <si>
    <t>主营业务</t>
  </si>
  <si>
    <t>其他业务</t>
  </si>
  <si>
    <t>6001_6401</t>
  </si>
  <si>
    <t>NOTE_6064a</t>
  </si>
  <si>
    <t>04#K73</t>
  </si>
  <si>
    <t>05#L73</t>
  </si>
  <si>
    <t>其中：主营业务收入</t>
  </si>
  <si>
    <t>其他业务收入</t>
  </si>
  <si>
    <t>NOTE_6064b</t>
  </si>
  <si>
    <t>其中：主营业务成本</t>
  </si>
  <si>
    <t>其他业务成本</t>
  </si>
  <si>
    <t>NOTE_6064c</t>
  </si>
  <si>
    <t>04#K73.E6</t>
  </si>
  <si>
    <t>05#K73.E8</t>
  </si>
  <si>
    <t>06#L73.E6</t>
  </si>
  <si>
    <t>07#L73.E8</t>
  </si>
  <si>
    <t>本年发生额_营业收入</t>
  </si>
  <si>
    <t>本年发生额_营业成本</t>
  </si>
  <si>
    <t>上年发生额_营业收入</t>
  </si>
  <si>
    <t>上年发生额_营业成本</t>
  </si>
  <si>
    <t>NOTE_6064d</t>
  </si>
  <si>
    <t>NOTE_6064e</t>
  </si>
  <si>
    <t>NOTE_6064f</t>
  </si>
  <si>
    <t>本期发生额</t>
  </si>
  <si>
    <t>NOTE_6064g</t>
  </si>
  <si>
    <t>NOTE_6001x</t>
  </si>
  <si>
    <t>上期发生额</t>
  </si>
  <si>
    <t>NOTE_6401x</t>
  </si>
  <si>
    <t>6600</t>
  </si>
  <si>
    <t>税金及附加明细</t>
  </si>
  <si>
    <t>NOTE_6600a</t>
  </si>
  <si>
    <t>资源税</t>
  </si>
  <si>
    <t>房产税</t>
  </si>
  <si>
    <t>车船使用税</t>
  </si>
  <si>
    <t>印花税</t>
  </si>
  <si>
    <t>NOTE_6600x</t>
  </si>
  <si>
    <t>6601</t>
  </si>
  <si>
    <t>附注披露K：</t>
  </si>
  <si>
    <t>附注披露L：</t>
  </si>
  <si>
    <t>NOTE_6601a</t>
  </si>
  <si>
    <t>NOTE_6601x</t>
  </si>
  <si>
    <t>6602</t>
  </si>
  <si>
    <t>NOTE_6602a</t>
  </si>
  <si>
    <t>NOTE_6602x</t>
  </si>
  <si>
    <t>6606</t>
  </si>
  <si>
    <t>NOTE_6606a</t>
  </si>
  <si>
    <t>人工费</t>
  </si>
  <si>
    <t>材料费</t>
  </si>
  <si>
    <t>折旧费</t>
  </si>
  <si>
    <t>自行开发无形资产的摊销</t>
  </si>
  <si>
    <t>6603</t>
  </si>
  <si>
    <t>NOTE_6603a</t>
  </si>
  <si>
    <t>减：利息收入</t>
  </si>
  <si>
    <t>利息净支出</t>
  </si>
  <si>
    <t>汇兑损失</t>
  </si>
  <si>
    <t>减：汇兑收益</t>
  </si>
  <si>
    <t>汇兑净损失</t>
  </si>
  <si>
    <t>银行手续费</t>
  </si>
  <si>
    <t>NOTE_6603x</t>
  </si>
  <si>
    <t>6181</t>
  </si>
  <si>
    <t>NOTE_6181a</t>
  </si>
  <si>
    <t>补助项目（产生其他收益的来源）</t>
  </si>
  <si>
    <t>一、计入其他收益的政府补助</t>
  </si>
  <si>
    <t>其中：与递延收益相关的政府补助（与资产相关）</t>
  </si>
  <si>
    <t>与资产相关</t>
  </si>
  <si>
    <t>与递延收益相关的政府补助（与收益相关）</t>
  </si>
  <si>
    <t>与收益相关</t>
  </si>
  <si>
    <t>直接计入当期损益的政府补助（与收益相关）</t>
  </si>
  <si>
    <t>其中：个税扣缴税款手续费</t>
  </si>
  <si>
    <t>6111</t>
  </si>
  <si>
    <t>NOTE_6111a</t>
  </si>
  <si>
    <t>权益法核算的长期股权投资收益</t>
  </si>
  <si>
    <t>处置长期股权投资产生的投资收益</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</si>
  <si>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</si>
  <si>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</si>
  <si>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</si>
  <si>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</si>
  <si>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</si>
  <si>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丧失控制权后，剩余股权按公允价值重新计量产生的利得</t>
  </si>
  <si>
    <t>交易性金融资产持有期间取得的投资收益</t>
  </si>
  <si>
    <t>其他权益工具投资持有期间取得的股利收入</t>
  </si>
  <si>
    <t>债权投资持有期间取得的利息收入</t>
  </si>
  <si>
    <t>其他债权投资持有期间取得的利息收入</t>
  </si>
  <si>
    <t>处置交易性金融资产取得的投资收益</t>
  </si>
  <si>
    <t>处置其他债权投资取得的投资收益</t>
  </si>
  <si>
    <t>以摊余成本计量的金融资产终止确认收益</t>
  </si>
  <si>
    <t>6102</t>
  </si>
  <si>
    <t>7410H</t>
  </si>
  <si>
    <t>NOTE_6102a</t>
  </si>
  <si>
    <t>6101</t>
  </si>
  <si>
    <t>NOTE_6101a</t>
  </si>
  <si>
    <t>其中：指定为交易性金融资产产生的公允价值变动</t>
  </si>
  <si>
    <t>衍生金融工具产生的公允价值变动收益</t>
  </si>
  <si>
    <t>其中：指定为交易性金融负债产生的公允价值变动</t>
  </si>
  <si>
    <t>按公允价值计量的投资性房地产</t>
  </si>
  <si>
    <t>6672</t>
  </si>
  <si>
    <t>7410E</t>
  </si>
  <si>
    <t>NOTE_6672a</t>
  </si>
  <si>
    <t>应收票据坏账损失</t>
  </si>
  <si>
    <t>应收账款坏账损失</t>
  </si>
  <si>
    <t>其他应收款坏账损失</t>
  </si>
  <si>
    <t>应收款项融资减值损失</t>
  </si>
  <si>
    <t>债权投资减值损失</t>
  </si>
  <si>
    <t>其他债权投资减值损失</t>
  </si>
  <si>
    <t>长期应收款坏账损失</t>
  </si>
  <si>
    <t>6671</t>
  </si>
  <si>
    <t>NOTE_6671a</t>
  </si>
  <si>
    <t>一、坏账损失</t>
  </si>
  <si>
    <t>二、存货跌价损失</t>
  </si>
  <si>
    <t>三、可供出售金融资产减值损失</t>
  </si>
  <si>
    <t>四、持有至到期投资减值损失</t>
  </si>
  <si>
    <t>五、长期股权投资减值损失</t>
  </si>
  <si>
    <t>六、投资性房地产减值损失</t>
  </si>
  <si>
    <t>七、固定资产减值损失</t>
  </si>
  <si>
    <t>八、工程物资减值损失</t>
  </si>
  <si>
    <t>九、在建工程减值损失</t>
  </si>
  <si>
    <t>十、生产性生物资产减值损失</t>
  </si>
  <si>
    <t>十一、油气资产减值损失</t>
  </si>
  <si>
    <t>十二、无形资产减值损失</t>
  </si>
  <si>
    <t>十三、商誉减值损失</t>
  </si>
  <si>
    <t>十四、持有待售资产减值损失</t>
  </si>
  <si>
    <t>6171</t>
  </si>
  <si>
    <t>NOTE_6171a</t>
  </si>
  <si>
    <t>出售划分为持有待售的非流动资产（金融工具、长期股权投资和投资性房地产除外）或处置组（子公司和业务除外）时确认的处置利得或损失</t>
  </si>
  <si>
    <t>处置未划分为持有待售的固定资产、在建工程、生产性生物资产及无形资产的处置利得或损失</t>
  </si>
  <si>
    <t>债务重组中因处置非流动资产（金融工具、长期股权投资和投资性房地产除外）产生的利得或损失</t>
  </si>
  <si>
    <t>非货币性资产交换换出非流动资产（金融工具、长期股权投资和投资性房地产除外）产生的利得或损失</t>
  </si>
  <si>
    <t>NOTE_6710a</t>
  </si>
  <si>
    <t>06#RA1</t>
  </si>
  <si>
    <t>计入当期非经常性损益的金额</t>
  </si>
  <si>
    <t>盘盈利得</t>
  </si>
  <si>
    <t>捐赠利得</t>
  </si>
  <si>
    <t>非流动资产毁损报废利得</t>
  </si>
  <si>
    <t>NOTE_6710b</t>
  </si>
  <si>
    <t>6711</t>
  </si>
  <si>
    <t>NOTE_6711a</t>
  </si>
  <si>
    <t>公益性捐赠支出</t>
  </si>
  <si>
    <t>非常损失</t>
  </si>
  <si>
    <t>盘亏损失</t>
  </si>
  <si>
    <t>非流动资产毁损报废损失</t>
  </si>
  <si>
    <t>6791</t>
  </si>
  <si>
    <t>NOTE_6791a</t>
  </si>
  <si>
    <t>当期所得税费用</t>
  </si>
  <si>
    <t>递延所得税费用</t>
  </si>
  <si>
    <t>NOTE_6791b</t>
  </si>
  <si>
    <t>子公司适用不同税率的影响</t>
  </si>
  <si>
    <t>调整以前期间所得税的影响</t>
  </si>
  <si>
    <t>非应税收入的影响</t>
  </si>
  <si>
    <t>不可抵扣的成本、费用和损失的影响</t>
  </si>
  <si>
    <t>使用前期未确认递延所得税资产的可抵扣亏损的影响</t>
  </si>
  <si>
    <t>本期未确认递延所得税资产的可抵扣暂时性差异或可抵扣亏损的影响</t>
  </si>
  <si>
    <t>研发费用加计扣除</t>
  </si>
  <si>
    <t>NOTE_9690a</t>
  </si>
  <si>
    <t>注：左表为国企披露格式，供参考。</t>
  </si>
  <si>
    <t>耗用的原材料</t>
  </si>
  <si>
    <t>产成品及在产品的存货变动</t>
  </si>
  <si>
    <t>职工薪酬费用</t>
  </si>
  <si>
    <t>折旧费和摊销费用</t>
  </si>
  <si>
    <t>非流动资产减值损失</t>
  </si>
  <si>
    <t>支付的租金</t>
  </si>
  <si>
    <t>其他费用</t>
  </si>
  <si>
    <t>NOTE_9690b</t>
  </si>
  <si>
    <t>无须披露</t>
  </si>
  <si>
    <t>NOTE_9690c</t>
  </si>
  <si>
    <t>7400</t>
  </si>
  <si>
    <t>7046</t>
  </si>
  <si>
    <t>NOTE_7046a</t>
  </si>
  <si>
    <t>7096</t>
  </si>
  <si>
    <t>NOTE_7096a</t>
  </si>
  <si>
    <t>7146</t>
  </si>
  <si>
    <t>NOTE_7146a</t>
  </si>
  <si>
    <t>7196</t>
  </si>
  <si>
    <t>NOTE_7196a</t>
  </si>
  <si>
    <t>7246</t>
  </si>
  <si>
    <t>NOTE_7246a</t>
  </si>
  <si>
    <t>7296</t>
  </si>
  <si>
    <t>NOTE_7296a</t>
  </si>
  <si>
    <t>NOTE_7500a</t>
  </si>
  <si>
    <t>公司销售商品收到的银行承兑汇票背书转让的金额</t>
  </si>
  <si>
    <t>NOTE_7500b</t>
  </si>
  <si>
    <t>NOTE_7500c</t>
  </si>
  <si>
    <t>NOTE_7500g</t>
  </si>
  <si>
    <t>本期发生的企业合并于本期支付的现金或现金等价物</t>
  </si>
  <si>
    <t>减：购买日子公司持有的现金及现金等价物</t>
  </si>
  <si>
    <t>加：以前期间发生的企业合并于本期支付的现金或现金等价物</t>
  </si>
  <si>
    <t>取得子公司支付的现金净额</t>
  </si>
  <si>
    <t>NOTE_7500h</t>
  </si>
  <si>
    <t>本期处置子公司于本期收到的现金或现金等价物</t>
  </si>
  <si>
    <t>减：丧失控制权日子公司持有的现金及现金等价物</t>
  </si>
  <si>
    <t>加：以前期间处置子公司于本期收到的现金或现金等价物</t>
  </si>
  <si>
    <t>处置子公司收到的现金净额</t>
  </si>
  <si>
    <t>NOTE_7500e</t>
  </si>
  <si>
    <t>一、现金</t>
  </si>
  <si>
    <t>其中：库存现金</t>
  </si>
  <si>
    <t>可随时用于支付的银行存款</t>
  </si>
  <si>
    <t>可随时用于支付的其他货币资金</t>
  </si>
  <si>
    <t>可用于支付的存放中央银行款项</t>
  </si>
  <si>
    <t>存放同业款项</t>
  </si>
  <si>
    <t>拆放同业款项</t>
  </si>
  <si>
    <t>二、现金等价物</t>
  </si>
  <si>
    <t>其中：三个月内到期的债券投资</t>
  </si>
  <si>
    <t>三、期末现金及现金等价物余额</t>
  </si>
  <si>
    <t>其中：母公司或集团内子公司使用受限制的现金和现金等价物</t>
  </si>
  <si>
    <t>NOTE_7500f</t>
  </si>
  <si>
    <t>提示：此表不要求披露，可作为报表编制过程底稿选择使用</t>
  </si>
  <si>
    <t>期末货币资金</t>
  </si>
  <si>
    <t>减：使用受到限制的存款</t>
  </si>
  <si>
    <t>加：持有期限不超过三个月的国债投资</t>
  </si>
  <si>
    <t>NOTE_9314a</t>
  </si>
  <si>
    <t>对上年年末余额进行调整的“其他”项目</t>
  </si>
  <si>
    <t>1997</t>
  </si>
  <si>
    <t>NOTE_1997a</t>
  </si>
  <si>
    <t>05#RKK</t>
  </si>
  <si>
    <t>受限原因</t>
  </si>
  <si>
    <t>1704</t>
  </si>
  <si>
    <t>NOTE_1704a</t>
  </si>
  <si>
    <t>NOTE_9120m</t>
  </si>
  <si>
    <t>关  联  方</t>
  </si>
  <si>
    <t>关联交易内容</t>
  </si>
  <si>
    <t>NOTE_9120n</t>
  </si>
  <si>
    <t>NOTE_9120c</t>
  </si>
  <si>
    <t>04#RMI</t>
  </si>
  <si>
    <t>05#RMK</t>
  </si>
  <si>
    <t>06#RJO</t>
  </si>
  <si>
    <t>07#RJP</t>
  </si>
  <si>
    <t>08#RLR</t>
  </si>
  <si>
    <t>09#KC0</t>
  </si>
  <si>
    <t>NOTE_9120d</t>
  </si>
  <si>
    <t>09#KC1</t>
  </si>
  <si>
    <t>NOTE_9120e</t>
  </si>
  <si>
    <t>04#RMK</t>
  </si>
  <si>
    <t>05#KC0</t>
  </si>
  <si>
    <t>06#LC0</t>
  </si>
  <si>
    <t>承租方名称</t>
  </si>
  <si>
    <t>租赁资产种类</t>
  </si>
  <si>
    <t>NOTE_9120f</t>
  </si>
  <si>
    <t>05#KC1</t>
  </si>
  <si>
    <t>06#LC1</t>
  </si>
  <si>
    <t>出租方名称</t>
  </si>
  <si>
    <t>NOTE_9120g</t>
  </si>
  <si>
    <t>04#K93</t>
  </si>
  <si>
    <t>05#RJO</t>
  </si>
  <si>
    <t>06#RJP</t>
  </si>
  <si>
    <t>07#RLC</t>
  </si>
  <si>
    <t>被担保方</t>
  </si>
  <si>
    <t>担保金额</t>
  </si>
  <si>
    <t>担保起始日</t>
  </si>
  <si>
    <t>担保到期日</t>
  </si>
  <si>
    <t>担保是否已经履行完毕</t>
  </si>
  <si>
    <t>NOTE_9120h</t>
  </si>
  <si>
    <t>担保方</t>
  </si>
  <si>
    <t>NOTE_9120i</t>
  </si>
  <si>
    <t>04#K90</t>
  </si>
  <si>
    <t>07#RMC</t>
  </si>
  <si>
    <t>拆借金额</t>
  </si>
  <si>
    <t>起始日</t>
  </si>
  <si>
    <t>NOTE_9120j</t>
  </si>
  <si>
    <t>NOTE_9120k</t>
  </si>
  <si>
    <t>04#RME</t>
  </si>
  <si>
    <t>05#K73</t>
  </si>
  <si>
    <t>06#L73</t>
  </si>
  <si>
    <t>NOTE_9120l</t>
  </si>
  <si>
    <t>关键管理人员薪酬</t>
  </si>
  <si>
    <t>NOTE_9120o</t>
  </si>
  <si>
    <t>关联方_</t>
  </si>
  <si>
    <t>NOTE_9120p</t>
  </si>
  <si>
    <t>NOTE_9325g</t>
  </si>
  <si>
    <t>期末余额_6个月内</t>
  </si>
  <si>
    <t>期末余额_6个月-1年</t>
  </si>
  <si>
    <t>期末余额_1-2年</t>
  </si>
  <si>
    <t>期末余额_2-3年</t>
  </si>
  <si>
    <t>期末余额_3年以上</t>
  </si>
  <si>
    <t>6个月内</t>
  </si>
  <si>
    <t>6个月-1年</t>
  </si>
  <si>
    <t>NOTE_9325h</t>
  </si>
  <si>
    <t>上年年末余额_6个月内</t>
  </si>
  <si>
    <t>上年年末余额_6个月-1年</t>
  </si>
  <si>
    <t>上年年末余额_1-2年</t>
  </si>
  <si>
    <t>上年年末余额_2-3年</t>
  </si>
  <si>
    <t>上年年末余额_3年以上</t>
  </si>
  <si>
    <t>NOTE_9325i</t>
  </si>
  <si>
    <t>期末余额_1个月内</t>
  </si>
  <si>
    <t>期末余额_1个月-3个月</t>
  </si>
  <si>
    <t>期末余额_3个月-1年内</t>
  </si>
  <si>
    <t>期末余额_1年-5年内</t>
  </si>
  <si>
    <t>期末余额_5年以上</t>
  </si>
  <si>
    <t>期末余额_合计</t>
  </si>
  <si>
    <t>1个月内</t>
  </si>
  <si>
    <t>1个月-3个月</t>
  </si>
  <si>
    <t>3个月-1年内</t>
  </si>
  <si>
    <t>1年-5年内</t>
  </si>
  <si>
    <t>NOTE_9325j</t>
  </si>
  <si>
    <t>上年年末余额_1个月内</t>
  </si>
  <si>
    <t>上年年末余额_1个月-3个月</t>
  </si>
  <si>
    <t>上年年末余额_3个月-1年内</t>
  </si>
  <si>
    <t>上年年末余额_1年-5年内</t>
  </si>
  <si>
    <t>上年年末余额_5年以上</t>
  </si>
  <si>
    <t>上年年末余额_合计</t>
  </si>
  <si>
    <t>NOTE_9325k</t>
  </si>
  <si>
    <t>外币</t>
  </si>
  <si>
    <t>NOTE_9325m</t>
  </si>
  <si>
    <t>金融资产：</t>
  </si>
  <si>
    <t>金融负债：</t>
  </si>
  <si>
    <t>其他流动负债（不含递延收益）</t>
  </si>
  <si>
    <t>NOTE_9331a</t>
  </si>
  <si>
    <t>05#A27</t>
  </si>
  <si>
    <t>06#A29</t>
  </si>
  <si>
    <t>07#A71</t>
  </si>
  <si>
    <t>期末公允价值_第一层次公允价值计量</t>
  </si>
  <si>
    <t>期末公允价值_第二层次公允价值计量</t>
  </si>
  <si>
    <t>期末公允价值_第三层次公允价值计量</t>
  </si>
  <si>
    <t>期末公允价值_合计</t>
  </si>
  <si>
    <t>第一层次公允价值计量</t>
  </si>
  <si>
    <t>第二层次公允价值计量</t>
  </si>
  <si>
    <t>第三层次公允价值计量</t>
  </si>
  <si>
    <t>一、持续的公允价值计量</t>
  </si>
  <si>
    <t>（一）交易性金融资产</t>
  </si>
  <si>
    <t>1.以公允价值计量且变动计入当期损益的金融资产</t>
  </si>
  <si>
    <t>（2）权益工具投资</t>
  </si>
  <si>
    <t>（3）衍生金融资产</t>
  </si>
  <si>
    <t>2.指定以公允价值计量且其变动计入当期损益的金融资产</t>
  </si>
  <si>
    <t xml:space="preserve">（2）权益工具投资 </t>
  </si>
  <si>
    <t>（二）应收款项融资</t>
  </si>
  <si>
    <t>（三）其他债权投资</t>
  </si>
  <si>
    <t>（四）其他权益工具投资</t>
  </si>
  <si>
    <t>（五）投资性房地产</t>
  </si>
  <si>
    <t>1.出租用的土地使用权</t>
  </si>
  <si>
    <t>2.出租的建筑物</t>
  </si>
  <si>
    <t>3.持有并准备增值后转让的土地使用权</t>
  </si>
  <si>
    <t>（六）生物资产</t>
  </si>
  <si>
    <t>1.消耗性生物资产</t>
  </si>
  <si>
    <t>2.生产性生物资产</t>
  </si>
  <si>
    <t>持续以公允价值计量的资产总额</t>
  </si>
  <si>
    <t>（七）交易性金融负债</t>
  </si>
  <si>
    <t>1.发行的交易性债券</t>
  </si>
  <si>
    <t>2.衍生金融负债</t>
  </si>
  <si>
    <t>3.其他</t>
  </si>
  <si>
    <t>（八）指定为以公允价值计量且其变动计入当期损益的金融负债</t>
  </si>
  <si>
    <t>持续以公允价值计量的负债总额</t>
  </si>
  <si>
    <t>二、非持续的公允价值计量</t>
  </si>
  <si>
    <t>（一）持有待售资产</t>
  </si>
  <si>
    <t>非持续以公允价值计量的资产总额</t>
  </si>
  <si>
    <t>非持续以公允价值计量的负债总额</t>
  </si>
  <si>
    <t>NOTE_9331i</t>
  </si>
  <si>
    <t>05#RAM</t>
  </si>
  <si>
    <t>06#RBM</t>
  </si>
  <si>
    <t>内  容</t>
  </si>
  <si>
    <t>估值技术</t>
  </si>
  <si>
    <t>输入值</t>
  </si>
  <si>
    <t>衍生工具：</t>
  </si>
  <si>
    <t>现金流量折现法</t>
  </si>
  <si>
    <t>预期利率合同利率反映发行人信用风险的折现率</t>
  </si>
  <si>
    <t>NOTE_9331j</t>
  </si>
  <si>
    <t>05#RMB</t>
  </si>
  <si>
    <t>内容</t>
  </si>
  <si>
    <t>不可观察输入值</t>
  </si>
  <si>
    <t>范围（加权平均值）</t>
  </si>
  <si>
    <t>非上市股权投资</t>
  </si>
  <si>
    <t>市场法（企业价值倍数）</t>
  </si>
  <si>
    <t>EBITDA乘数收入乘数流动性折价控制权溢价</t>
  </si>
  <si>
    <t>10-15(11.3)1.5-2.0(1.7)5%-20%(17%)10%-30%(20%)</t>
  </si>
  <si>
    <t>收益法（现金流量折现法）</t>
  </si>
  <si>
    <t>加权平均资本成本长期收入增长率长期税前营业利润率流动性折价控制权溢价</t>
  </si>
  <si>
    <t>8%-16%(12.1%)2%-6%(4.2%)3%-20%(10.3%)5%-20%(17%)10%-30%(20%)</t>
  </si>
  <si>
    <t>私募股权基金投资</t>
  </si>
  <si>
    <t>净资产价值</t>
  </si>
  <si>
    <t>N/A</t>
  </si>
  <si>
    <t>债务工具投资：</t>
  </si>
  <si>
    <t>住房抵押担保证券</t>
  </si>
  <si>
    <t>提前偿付率违约概率违约损失率</t>
  </si>
  <si>
    <t>3.5%-5.5%(4.5%)5%-50%(10%)40%-100%(60%)</t>
  </si>
  <si>
    <t>担保债务凭证</t>
  </si>
  <si>
    <t>协商定价法</t>
  </si>
  <si>
    <t>所提供的报价可比性调整（%）</t>
  </si>
  <si>
    <t>20-50-10%至+15%(+5%)</t>
  </si>
  <si>
    <t>信用合同</t>
  </si>
  <si>
    <t>收益法（期权定价模型）</t>
  </si>
  <si>
    <t>波动率交易对手信用风险自身信用风险</t>
  </si>
  <si>
    <t>10%-25%0.5%-3.5%0.3%-2.0%</t>
  </si>
  <si>
    <t>投资性房地产：</t>
  </si>
  <si>
    <t>商业房地产</t>
  </si>
  <si>
    <t>长期净营业收入利润率计算资产余值所使用的利率</t>
  </si>
  <si>
    <t>18%-32%(20%)8%-12%(10%)</t>
  </si>
  <si>
    <t>市场法（上市公司比较法）</t>
  </si>
  <si>
    <t>每平方米单价</t>
  </si>
  <si>
    <t>NOTE_9331b</t>
  </si>
  <si>
    <t>06#A27</t>
  </si>
  <si>
    <t>07#A29</t>
  </si>
  <si>
    <t>金融资产小计</t>
  </si>
  <si>
    <t>有公开报价的采用权益法核算的对合营企业或联营企业的投资</t>
  </si>
  <si>
    <t>金融负债小计</t>
  </si>
  <si>
    <t>转入第三层次_</t>
  </si>
  <si>
    <t>转出第三层次_</t>
  </si>
  <si>
    <t>当期利得或损失总额_计入损益</t>
  </si>
  <si>
    <t>当期利得或损失总额_计入其他综合收益</t>
  </si>
  <si>
    <t>购买、发行、出售和结算_购入</t>
  </si>
  <si>
    <t>购买、发行、出售和结算_发行</t>
  </si>
  <si>
    <t>购买、发行、出售和结算_出售</t>
  </si>
  <si>
    <t>购买、发行、出售和结算_结算</t>
  </si>
  <si>
    <t>对于在报告期末持有的资产，计入损益的当期未实现利得或损失的变动_</t>
  </si>
  <si>
    <t>转入第三层次</t>
  </si>
  <si>
    <t>转出第三层次</t>
  </si>
  <si>
    <t>当期利得或损失总额</t>
  </si>
  <si>
    <t>购买、发行、出售和结算</t>
  </si>
  <si>
    <t>对于在报告期末持有的资产，计入损益的当期未实现利得或损失的变动</t>
  </si>
  <si>
    <t>计入损益</t>
  </si>
  <si>
    <t>计入其他综合收益</t>
  </si>
  <si>
    <t>购入</t>
  </si>
  <si>
    <t>发行</t>
  </si>
  <si>
    <t>结算</t>
  </si>
  <si>
    <t>交易性金融资产：</t>
  </si>
  <si>
    <t>出租的土地使用权</t>
  </si>
  <si>
    <t>出租的建筑物</t>
  </si>
  <si>
    <t>持有并准备增值后转让的土地使用权</t>
  </si>
  <si>
    <t>生物资产：</t>
  </si>
  <si>
    <t>NOTE_9331g</t>
  </si>
  <si>
    <t>04#C28</t>
  </si>
  <si>
    <t>05#L29</t>
  </si>
  <si>
    <t>06#L89</t>
  </si>
  <si>
    <t>07#L71.A0</t>
  </si>
  <si>
    <t>08#L71.A8</t>
  </si>
  <si>
    <t>09#LF9.78</t>
  </si>
  <si>
    <t>10#LF9.95</t>
  </si>
  <si>
    <t>11#LF9.87</t>
  </si>
  <si>
    <t>12#LF9.B5</t>
  </si>
  <si>
    <t>13#B28</t>
  </si>
  <si>
    <t>14#LH9</t>
  </si>
  <si>
    <t>上期期初余额_</t>
  </si>
  <si>
    <t>上期期末余额_</t>
  </si>
  <si>
    <t>NOTE_9371h</t>
  </si>
  <si>
    <t>08#RMB</t>
  </si>
  <si>
    <t>金额_</t>
  </si>
  <si>
    <t>资产负债表列报项目_</t>
  </si>
  <si>
    <t>计入当期损益或冲减相关成本费用损失的金额_本年度</t>
  </si>
  <si>
    <t>计入当期损益或冲减相关成本费用损失的金额_上年度</t>
  </si>
  <si>
    <t>计入当期损益或冲减相关成本费用损失的列报项目_</t>
  </si>
  <si>
    <t>资产负债表列报项目</t>
  </si>
  <si>
    <t>计入当期损益或冲减相关成本费用损失的金额</t>
  </si>
  <si>
    <t>计入当期损益或冲减相关成本费用损失的列报项目</t>
  </si>
  <si>
    <t>NOTE_9371i</t>
  </si>
  <si>
    <t>NOTE_9371j</t>
  </si>
  <si>
    <t>原因</t>
  </si>
  <si>
    <t>NOTE_9367a</t>
  </si>
  <si>
    <t>终止经营收入（A）</t>
  </si>
  <si>
    <t>减：终止经营费用（B）</t>
  </si>
  <si>
    <t>终止经营利润总额（C）</t>
  </si>
  <si>
    <t>减：终止经营所得税费用（D）</t>
  </si>
  <si>
    <t>经营活动净利润（E=C-D）</t>
  </si>
  <si>
    <t>处置收益总额（G）</t>
  </si>
  <si>
    <t>处置相关所得税费用（H）</t>
  </si>
  <si>
    <t>处置净利润（I=G-H）</t>
  </si>
  <si>
    <t>终止经营净利润（J=E+F+I）</t>
  </si>
  <si>
    <t>其中：归属于母公司股东的终止经营利润</t>
  </si>
  <si>
    <t>归属于少数股东的终止经营利润</t>
  </si>
  <si>
    <t>经营活动现金流量净额</t>
  </si>
  <si>
    <t>投资活动现金流量净额</t>
  </si>
  <si>
    <t>筹资活动现金流量净额</t>
  </si>
  <si>
    <t>NOTE_9601a</t>
  </si>
  <si>
    <t>非流动性资产处置损益</t>
  </si>
  <si>
    <t>越权审批，或无正式批准文件，或偶发性的税收返还、减免</t>
  </si>
  <si>
    <t>计入当期损益的政府补助（与公司正常经营业务密切相关，符合国家政策规定、按照一定标准定额或定量持续享受的政府补助除外）</t>
  </si>
  <si>
    <t>对非金融企业收取的资金占用费</t>
  </si>
  <si>
    <t>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</si>
  <si>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</si>
  <si>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</si>
  <si>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</si>
  <si>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</si>
  <si>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</si>
  <si>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</si>
  <si>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同一控制下企业合并产生的子公司期初至合并日的当期净损益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</si>
  <si>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</si>
  <si>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</si>
  <si>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</si>
  <si>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</si>
  <si>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</si>
  <si>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</si>
  <si>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</si>
  <si>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</si>
  <si>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非经常性损益总额</t>
  </si>
  <si>
    <t>减：非经常性损益的所得税影响数</t>
  </si>
  <si>
    <t>非经常性损益净额</t>
  </si>
  <si>
    <t>减：归属于少数股东的非经常性损益净影响数（税后）</t>
  </si>
  <si>
    <t>归属于公司普通股股东的非经常性损益</t>
  </si>
  <si>
    <t>NOTE_9601c</t>
  </si>
  <si>
    <t>04#KG4</t>
  </si>
  <si>
    <t>05#RKA</t>
  </si>
  <si>
    <t>涉及金额</t>
  </si>
  <si>
    <t>NOTE_9601b</t>
  </si>
  <si>
    <t>NOTE_9601d</t>
  </si>
  <si>
    <t>注：从下行开始的表格为</t>
  </si>
  <si>
    <r>
      <rPr>
        <b/>
        <sz val="10"/>
        <color indexed="10"/>
        <rFont val="宋体"/>
        <family val="3"/>
        <charset val="134"/>
      </rPr>
      <t>现金流量表底稿（可参与合并），非必填项，亦非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的组成部分。仅供参考！</t>
    </r>
  </si>
  <si>
    <t>7</t>
  </si>
  <si>
    <t>7001</t>
  </si>
  <si>
    <t>底稿数K：</t>
  </si>
  <si>
    <t>左列差异未统计在本页第7行差异汇总中。</t>
  </si>
  <si>
    <t>NOTE_7001x</t>
  </si>
  <si>
    <t>04#RNG</t>
  </si>
  <si>
    <t>05#K70</t>
  </si>
  <si>
    <t>加或减</t>
  </si>
  <si>
    <t>NOTE_7046x</t>
  </si>
  <si>
    <t>7051</t>
  </si>
  <si>
    <t>NOTE_7051x</t>
  </si>
  <si>
    <t>NOTE_7061x</t>
  </si>
  <si>
    <t>NOTE_7071x</t>
  </si>
  <si>
    <t>NOTE_7096x</t>
  </si>
  <si>
    <t>NOTE_7101x</t>
  </si>
  <si>
    <t>收回理财产品</t>
  </si>
  <si>
    <t>+</t>
  </si>
  <si>
    <t>处置可供出售金融资产</t>
  </si>
  <si>
    <t>收回长期股权投资</t>
  </si>
  <si>
    <t>其他科目中与投资相关部分</t>
  </si>
  <si>
    <t>NOTE_7105x</t>
  </si>
  <si>
    <t>理财产品收益</t>
  </si>
  <si>
    <t>可供出售金融资产收益</t>
  </si>
  <si>
    <t>长期股权投资分红收益</t>
  </si>
  <si>
    <t>NOTE_7111x</t>
  </si>
  <si>
    <t>固定资产原值贷方发生额</t>
  </si>
  <si>
    <t>无形资产贷方发生额</t>
  </si>
  <si>
    <t>投资性房地产中贷方发生额</t>
  </si>
  <si>
    <t>长期待摊费用贷方发生额</t>
  </si>
  <si>
    <t>在建工程贷方发生额</t>
  </si>
  <si>
    <t>剔除在建工程贷方发生额结转至固定资产的金额</t>
  </si>
  <si>
    <t>-</t>
  </si>
  <si>
    <t>累计折旧借方发生额</t>
  </si>
  <si>
    <t>无形资产摊销借方发生额</t>
  </si>
  <si>
    <t>营业外收入中处置非流动资产</t>
  </si>
  <si>
    <t>营业外支出中处置非流动资产</t>
  </si>
  <si>
    <t>往来账中与处置非流动资产相关部分</t>
  </si>
  <si>
    <t>NOTE_7151x</t>
  </si>
  <si>
    <t>固定资产借方发生额</t>
  </si>
  <si>
    <t>购建固定资产对应的进项税额</t>
  </si>
  <si>
    <t>应付账款（设备款）期初-期末</t>
  </si>
  <si>
    <t>无形资产借方发生额</t>
  </si>
  <si>
    <t>投资性房地产中借方发生额</t>
  </si>
  <si>
    <t>长期待摊费用借方发生额</t>
  </si>
  <si>
    <t>在建工程借方发生额</t>
  </si>
  <si>
    <t>剔除投资性房地产贷方发生额结转至固定资产的金额</t>
  </si>
  <si>
    <t>工程项目领用本企业商品产生的增值税销项税额</t>
  </si>
  <si>
    <t>剔除投资性房地产中本期利息资本化金额</t>
  </si>
  <si>
    <t>剔除在建工程中本期利息资本化金额</t>
  </si>
  <si>
    <t>NOTE_7161x</t>
  </si>
  <si>
    <t>购买理财产品</t>
  </si>
  <si>
    <t>取得可供出售金融资产</t>
  </si>
  <si>
    <t>对外长期股权投资</t>
  </si>
  <si>
    <t>NOTE_7211x</t>
  </si>
  <si>
    <t>短期借款贷款额</t>
  </si>
  <si>
    <t>一年内到期的长期借款贷款额</t>
  </si>
  <si>
    <t>长期借款贷款额</t>
  </si>
  <si>
    <t>其他非流动负债贷款额</t>
  </si>
  <si>
    <t>其他负债中有关筹资部分贷款额</t>
  </si>
  <si>
    <t>NOTE_7251x</t>
  </si>
  <si>
    <t>短期借款偿还额</t>
  </si>
  <si>
    <t>一年内到期的长期借款偿还额</t>
  </si>
  <si>
    <t>长期借款偿还额</t>
  </si>
  <si>
    <t>其他非流动负债偿还额</t>
  </si>
  <si>
    <t>其他负债中有关筹资部分偿还额</t>
  </si>
  <si>
    <t>NOTE_7261x</t>
  </si>
  <si>
    <t>应付利息期初</t>
  </si>
  <si>
    <t>应付利息期末</t>
  </si>
  <si>
    <t>应付利息期初—期末</t>
  </si>
  <si>
    <t>应付股利期初</t>
  </si>
  <si>
    <t>应付股利期末</t>
  </si>
  <si>
    <t>应付股利期初—期末</t>
  </si>
  <si>
    <t>利润分配-分配股利</t>
  </si>
  <si>
    <t>应交税费——所得税（股利）期初</t>
  </si>
  <si>
    <t>应交税费-所得税（股利）期末</t>
  </si>
  <si>
    <t>应交税费——所得税（股利）期初-期末</t>
  </si>
  <si>
    <t>本期利息费用化部分</t>
  </si>
  <si>
    <t>在建工程资本化利息</t>
  </si>
  <si>
    <t>存货-资本化利息</t>
  </si>
  <si>
    <t>投资性房地产资本化利息</t>
  </si>
  <si>
    <r>
      <rPr>
        <b/>
        <sz val="10"/>
        <color indexed="10"/>
        <rFont val="宋体"/>
        <family val="3"/>
        <charset val="134"/>
      </rPr>
      <t>现金流量表补充资料底稿（可参与合并），非</t>
    </r>
    <r>
      <rPr>
        <b/>
        <sz val="10"/>
        <color indexed="10"/>
        <rFont val="Arial Narrow"/>
        <family val="2"/>
      </rPr>
      <t>“</t>
    </r>
    <r>
      <rPr>
        <b/>
        <sz val="10"/>
        <color indexed="10"/>
        <rFont val="宋体"/>
        <family val="3"/>
        <charset val="134"/>
      </rPr>
      <t>财务报表项目注释</t>
    </r>
    <r>
      <rPr>
        <b/>
        <sz val="10"/>
        <color indexed="10"/>
        <rFont val="Arial Narrow"/>
        <family val="2"/>
      </rPr>
      <t>”</t>
    </r>
    <r>
      <rPr>
        <b/>
        <sz val="10"/>
        <color indexed="10"/>
        <rFont val="宋体"/>
        <family val="3"/>
        <charset val="134"/>
      </rPr>
      <t>组成部分。仅供参考！</t>
    </r>
  </si>
  <si>
    <t>NOTE_7503a</t>
  </si>
  <si>
    <t>NOTE_7505a</t>
  </si>
  <si>
    <t>固定资产折旧本年计提数</t>
  </si>
  <si>
    <t>油气资产折耗本年计提数</t>
  </si>
  <si>
    <t>生产性生物资产折旧本年计提数</t>
  </si>
  <si>
    <t>NOTE_7506a</t>
  </si>
  <si>
    <t>无形资产本年摊销额</t>
  </si>
  <si>
    <t>NOTE_7507a</t>
  </si>
  <si>
    <t>长期待摊费用本年摊销额</t>
  </si>
  <si>
    <t>NOTE_7508a</t>
  </si>
  <si>
    <t>营业外支出中处理固定资产净损失</t>
  </si>
  <si>
    <t>营业外支出中处理无形资产净损失</t>
  </si>
  <si>
    <t>营业外支出中处理其他长期资产净损失</t>
  </si>
  <si>
    <t>减：营业外收入中处理固定资产净收益</t>
  </si>
  <si>
    <t>减：营业外收入中处理无形资产净收益</t>
  </si>
  <si>
    <t>减：营业外收入中处理其他长期资产净收益</t>
  </si>
  <si>
    <t>NOTE_7509a</t>
  </si>
  <si>
    <t>营业外支出中固定资产盘亏及报废净损失</t>
  </si>
  <si>
    <t>减：营业外收入中固定资产报废净收益</t>
  </si>
  <si>
    <t>NOTE_7510a</t>
  </si>
  <si>
    <t>公允价值变动损益</t>
  </si>
  <si>
    <t>NOTE_7511a</t>
  </si>
  <si>
    <t>加：筹资活动支付的金融机构手续费</t>
  </si>
  <si>
    <t>与“汇率变动对现金的影响额”相对应的汇兑损益</t>
  </si>
  <si>
    <t>NOTE_7512a</t>
  </si>
  <si>
    <t>NOTE_7515a</t>
  </si>
  <si>
    <t>NOTE_7516a</t>
  </si>
  <si>
    <t>NOTE_7517a</t>
  </si>
  <si>
    <t>存货账面余额（年初）</t>
  </si>
  <si>
    <t>减：存货账面余额（期末）</t>
  </si>
  <si>
    <t>存货本年减少额</t>
  </si>
  <si>
    <t>减：剔除非经营性存货项目</t>
  </si>
  <si>
    <t>0SUB</t>
  </si>
  <si>
    <t>投资活动引起的存货变动</t>
  </si>
  <si>
    <t>剔除非经营性存货项目小计</t>
  </si>
  <si>
    <t>在建工程领用存货</t>
  </si>
  <si>
    <t>以存货对外投资</t>
  </si>
  <si>
    <t>其他转入长期资产的存货</t>
  </si>
  <si>
    <t>筹资活动引起的存货变动</t>
  </si>
  <si>
    <t>接受股东投资取得的存货</t>
  </si>
  <si>
    <t>存货增加数以负数填列。</t>
  </si>
  <si>
    <t>计入存货成本的借款费用</t>
  </si>
  <si>
    <t>NOTE_7518a</t>
  </si>
  <si>
    <t>应收项目本年减少：</t>
  </si>
  <si>
    <t>应收项目本年减少额小计</t>
  </si>
  <si>
    <t>减：剔除非经营性应收项目</t>
  </si>
  <si>
    <t>投资活动引起的应收项目变动</t>
  </si>
  <si>
    <t>剔除非经营性应收项目小计</t>
  </si>
  <si>
    <t>货币资金中非现金等价物</t>
  </si>
  <si>
    <t>预付账款中预付设备、工程等长期资产购置款</t>
  </si>
  <si>
    <t>其他应收款中预付长期资产购置款</t>
  </si>
  <si>
    <t>应收长期资产处置款</t>
  </si>
  <si>
    <t>应收长期投资转让款</t>
  </si>
  <si>
    <t>筹资活动引起的应收项目变动</t>
  </si>
  <si>
    <t>暂付募股费用款</t>
  </si>
  <si>
    <t>NOTE_7519a</t>
  </si>
  <si>
    <t>应付项目本年增加：</t>
  </si>
  <si>
    <t>应付项目本年增加额小计</t>
  </si>
  <si>
    <t>减：剔除非经营性应付项目</t>
  </si>
  <si>
    <t>投资活动引起的应付项目变动</t>
  </si>
  <si>
    <t>剔除非经营性应付项目小计</t>
  </si>
  <si>
    <t>应付票据中应付设备、工程等长期资产购置款</t>
  </si>
  <si>
    <t>应付账款中应付设备、工程等长期资产购置款</t>
  </si>
  <si>
    <t>其他应付款中应付设备、工程等长期资产购置款</t>
  </si>
  <si>
    <t>应付职工薪酬中工程支出数</t>
  </si>
  <si>
    <t>应付长期投资受让款</t>
  </si>
  <si>
    <t>筹资活动引起的应付项目变动</t>
  </si>
  <si>
    <t>应付募股费用</t>
  </si>
  <si>
    <t>NOTE_7523a</t>
  </si>
  <si>
    <t>点击“报表--勾稽检查--勾稽检查”，可在此汇总本表勾稽核对情况。</t>
  </si>
  <si>
    <t>附注项目</t>
  </si>
  <si>
    <t>上期差异</t>
  </si>
  <si>
    <t>现金流量表复核（一）</t>
  </si>
  <si>
    <t>审计目标：</t>
  </si>
  <si>
    <t>1.</t>
  </si>
  <si>
    <t>确定现金及现金等价物确认的合理性和一贯性；</t>
  </si>
  <si>
    <t>2.</t>
  </si>
  <si>
    <t>确定现金流量表的内容、分类、性质和数额是否正确、合理、完整；</t>
  </si>
  <si>
    <t>3.</t>
  </si>
  <si>
    <t>确定现金流量表有关项目数额与其他报表及附注勾稽关系是否正确；</t>
  </si>
  <si>
    <t>4.</t>
  </si>
  <si>
    <t>确定现金流量表各项目的披露是否恰当。</t>
  </si>
  <si>
    <t>审计程序：</t>
  </si>
  <si>
    <t>一、</t>
  </si>
  <si>
    <t>分析检查期末现金及现金等价物余额。</t>
  </si>
  <si>
    <t>检查对现金及现金等价物的界定是否符合规定，界定范围在前后会计期间是否保持一致。</t>
  </si>
  <si>
    <t>现金流量表列示：</t>
  </si>
  <si>
    <t>科目余额分析：</t>
  </si>
  <si>
    <t>现金等价物</t>
  </si>
  <si>
    <t>合             计</t>
  </si>
  <si>
    <t>与资产负债表核对，检查货币资金期末、期初余额和资产负债表的勾稽是否合理。</t>
  </si>
  <si>
    <t>货币资金期末数</t>
  </si>
  <si>
    <t>减：不作为现金及现金等价物的项目</t>
  </si>
  <si>
    <t>使用受限制的银行存款</t>
  </si>
  <si>
    <t>使用受限制的其他货币资金</t>
  </si>
  <si>
    <t>使用受限制的现金等价物</t>
  </si>
  <si>
    <t>核对现金流量表补充资料：</t>
  </si>
  <si>
    <t>（3）现金和现金等价物</t>
  </si>
  <si>
    <t>三、年末现金及现金等价物余额</t>
  </si>
  <si>
    <t>四、母公司或集团内子公司使用受限制的现金和现金等价物</t>
  </si>
  <si>
    <t>二、</t>
  </si>
  <si>
    <t>分析检查现金及现金等价物发生额</t>
  </si>
  <si>
    <t>科目发生额分析：</t>
  </si>
  <si>
    <t>本年流入（借）</t>
  </si>
  <si>
    <t>本年流出（贷）</t>
  </si>
  <si>
    <t>现金发生额：</t>
  </si>
  <si>
    <t>小       计</t>
  </si>
  <si>
    <t>现金之间的流动：</t>
  </si>
  <si>
    <t>从银行提现</t>
  </si>
  <si>
    <t>现金存入银行</t>
  </si>
  <si>
    <t>不同银行账户间互转</t>
  </si>
  <si>
    <t>本年现金净流量</t>
  </si>
  <si>
    <t>与资产负债表核对：</t>
  </si>
  <si>
    <t>货币资金期末余额</t>
  </si>
  <si>
    <t>减：货币资金年初余额</t>
  </si>
  <si>
    <t>货币资金本年增减变动</t>
  </si>
  <si>
    <t>三、</t>
  </si>
  <si>
    <t>分析检查汇率变动对现金及现金等价物的影响</t>
  </si>
  <si>
    <t>金       额</t>
  </si>
  <si>
    <t>外币库存现金因汇率波动而产生的汇兑差额</t>
  </si>
  <si>
    <t>外币银行存款因汇率波动而产生的汇兑差额</t>
  </si>
  <si>
    <t>外币其他货币资金因汇率波动而产生的汇兑差额</t>
  </si>
  <si>
    <t>与财务费用（汇兑损益）核对：</t>
  </si>
  <si>
    <t>“财务费用——汇兑差额”中与货币资金相关的发生额</t>
  </si>
  <si>
    <t>四、</t>
  </si>
  <si>
    <t xml:space="preserve">分析检查筹资活动产生的现金流量净额 </t>
  </si>
  <si>
    <t>三、筹资活动产生的现金流量</t>
  </si>
  <si>
    <t>五、</t>
  </si>
  <si>
    <t xml:space="preserve">分析检查投资活动产生的现金流量净额 </t>
  </si>
  <si>
    <t>二、投资活动产生的现金流量</t>
  </si>
  <si>
    <t>六、</t>
  </si>
  <si>
    <t xml:space="preserve">分析检查经营活动产生的现金流量净额 </t>
  </si>
  <si>
    <t>一、经营活动产生的现金流量</t>
  </si>
  <si>
    <t>由上述一至五倒轧计算：</t>
  </si>
  <si>
    <t>现金流量表复核（二）</t>
  </si>
  <si>
    <t>确定现金流量表补充资料各项目与现金流量表、其他报表及附注勾稽关系是否正确；</t>
  </si>
  <si>
    <t>确定现金流量表补充资料各项目的披露是否恰当。</t>
  </si>
  <si>
    <t>复核、验算现金流量表补充资料各项目披露金额</t>
  </si>
  <si>
    <r>
      <rPr>
        <sz val="10"/>
        <color indexed="12"/>
        <rFont val="楷体_GB2312"/>
        <charset val="134"/>
      </rPr>
      <t>注</t>
    </r>
    <r>
      <rPr>
        <sz val="10"/>
        <color indexed="12"/>
        <rFont val="Arial"/>
        <family val="2"/>
      </rPr>
      <t>1</t>
    </r>
    <r>
      <rPr>
        <sz val="10"/>
        <color indexed="12"/>
        <rFont val="楷体_GB2312"/>
        <charset val="134"/>
      </rPr>
      <t>：以下表格仅供参考，应根据企业实际情况，考虑可能的特殊因素，分析填列。</t>
    </r>
  </si>
  <si>
    <r>
      <rPr>
        <sz val="10"/>
        <color indexed="12"/>
        <rFont val="楷体_GB2312"/>
        <charset val="134"/>
      </rPr>
      <t>注</t>
    </r>
    <r>
      <rPr>
        <sz val="10"/>
        <color indexed="12"/>
        <rFont val="Arial"/>
        <family val="2"/>
      </rPr>
      <t>2</t>
    </r>
    <r>
      <rPr>
        <sz val="10"/>
        <color indexed="12"/>
        <rFont val="楷体_GB2312"/>
        <charset val="134"/>
      </rPr>
      <t>：如将以下表格录入</t>
    </r>
    <r>
      <rPr>
        <sz val="10"/>
        <color indexed="12"/>
        <rFont val="Arial"/>
        <family val="2"/>
      </rPr>
      <t>Notes</t>
    </r>
    <r>
      <rPr>
        <sz val="10"/>
        <color indexed="12"/>
        <rFont val="楷体_GB2312"/>
        <charset val="134"/>
      </rPr>
      <t>表，则可参与注释合并，便于合并现金流量表补充资料的复核。</t>
    </r>
  </si>
  <si>
    <t>方法一：根据“资产减值损失”科目的记录分析填列</t>
  </si>
  <si>
    <t>与附注核对</t>
  </si>
  <si>
    <t>方法二：根据“资产减值准备”余额分析填列</t>
  </si>
  <si>
    <t>固定资产折旧本年计提</t>
  </si>
  <si>
    <t>油气资产折耗本年计提</t>
  </si>
  <si>
    <t>生产性生物资产折旧本年计提</t>
  </si>
  <si>
    <t>无形资产本年摊销</t>
  </si>
  <si>
    <t>长期待摊费用本年摊销</t>
  </si>
  <si>
    <t>筹资活动支付的金融机构手续费</t>
  </si>
  <si>
    <t>注：CF主表中列入经营性现金流量的财务费用，如银行手续费、应收票据贴现利息等，不应在此填列。</t>
  </si>
  <si>
    <t>mergerUnitId</t>
  </si>
  <si>
    <t>repDate</t>
  </si>
  <si>
    <t>amtPreliminary</t>
  </si>
  <si>
    <t>drAmt</t>
  </si>
  <si>
    <t>crAmt</t>
  </si>
  <si>
    <t>amtAdjusted</t>
  </si>
  <si>
    <t>P1</t>
  </si>
  <si>
    <t>rowItemSnCode</t>
  </si>
  <si>
    <t>rowItemText</t>
  </si>
  <si>
    <t>colItemID</t>
  </si>
  <si>
    <t>colItemText</t>
  </si>
  <si>
    <t>noteValue</t>
  </si>
  <si>
    <t>colItemText2</t>
  </si>
  <si>
    <t>noteValue2</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</si>
  <si>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</si>
  <si>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</si>
  <si>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</si>
  <si>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</si>
  <si>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</si>
  <si>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</si>
  <si>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</si>
  <si>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</si>
  <si>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</si>
  <si>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</si>
  <si>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</si>
  <si>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</si>
  <si>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</si>
  <si>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</si>
  <si>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</si>
  <si>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</si>
  <si>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</si>
  <si>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</si>
  <si>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</si>
  <si>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</si>
  <si>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</si>
  <si>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</si>
  <si>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</si>
  <si>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</si>
  <si>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</si>
  <si>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</si>
  <si>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</si>
  <si>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</si>
  <si>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</si>
  <si>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_JRJRO</t>
  </si>
  <si>
    <t>分析程序——财务报表（用于总体复核）</t>
  </si>
  <si>
    <t>将已审财务报表与上年已审财务报表进行趋势分析和结构百分比分析（即共同比分析）</t>
  </si>
  <si>
    <t>上期已审财务报表</t>
  </si>
  <si>
    <r>
      <rPr>
        <b/>
        <sz val="10"/>
        <rFont val="宋体"/>
        <family val="3"/>
        <charset val="134"/>
      </rPr>
      <t>本期</t>
    </r>
    <r>
      <rPr>
        <b/>
        <sz val="10"/>
        <color indexed="10"/>
        <rFont val="宋体"/>
        <family val="3"/>
        <charset val="134"/>
      </rPr>
      <t>未</t>
    </r>
    <r>
      <rPr>
        <b/>
        <sz val="10"/>
        <rFont val="宋体"/>
        <family val="3"/>
        <charset val="134"/>
      </rPr>
      <t>审财务报表</t>
    </r>
  </si>
  <si>
    <t>差异一</t>
  </si>
  <si>
    <t>差异二（趋势分析）</t>
  </si>
  <si>
    <t>编号</t>
  </si>
  <si>
    <t>％</t>
  </si>
  <si>
    <t>结构百分比分析</t>
  </si>
  <si>
    <t>差异额</t>
  </si>
  <si>
    <t>差异百分比</t>
  </si>
  <si>
    <t>变动原因分析</t>
  </si>
  <si>
    <t>①</t>
  </si>
  <si>
    <t>②</t>
  </si>
  <si>
    <t>③</t>
  </si>
  <si>
    <t>④</t>
  </si>
  <si>
    <t>⑤＝④－②</t>
  </si>
  <si>
    <t>⑥＝③－①</t>
  </si>
  <si>
    <t>⑦＝⑥/①</t>
  </si>
  <si>
    <t>识别出的异常情况：</t>
  </si>
  <si>
    <t>分析程序——财务指标</t>
  </si>
  <si>
    <t>财务指标</t>
  </si>
  <si>
    <t>上期已审数</t>
  </si>
  <si>
    <r>
      <rPr>
        <b/>
        <sz val="10"/>
        <rFont val="宋体"/>
        <family val="3"/>
        <charset val="134"/>
      </rPr>
      <t>本期预算
数</t>
    </r>
    <r>
      <rPr>
        <b/>
        <sz val="10"/>
        <rFont val="Arial Narrow"/>
        <family val="2"/>
      </rPr>
      <t>/</t>
    </r>
    <r>
      <rPr>
        <b/>
        <sz val="10"/>
        <rFont val="宋体"/>
        <family val="3"/>
        <charset val="134"/>
      </rPr>
      <t>预测数</t>
    </r>
  </si>
  <si>
    <r>
      <rPr>
        <b/>
        <sz val="10"/>
        <rFont val="宋体"/>
        <family val="3"/>
        <charset val="134"/>
      </rPr>
      <t>本期</t>
    </r>
    <r>
      <rPr>
        <b/>
        <sz val="10"/>
        <color indexed="10"/>
        <rFont val="宋体"/>
        <family val="3"/>
        <charset val="134"/>
      </rPr>
      <t>未</t>
    </r>
    <r>
      <rPr>
        <b/>
        <sz val="10"/>
        <rFont val="宋体"/>
        <family val="3"/>
        <charset val="134"/>
      </rPr>
      <t>审数</t>
    </r>
  </si>
  <si>
    <t>行业指标</t>
  </si>
  <si>
    <t>提示：请录入相关补充资料（在本页下部），以完成财务指标的计算。</t>
  </si>
  <si>
    <t>获利能力</t>
  </si>
  <si>
    <t>销售毛利率</t>
  </si>
  <si>
    <r>
      <rPr>
        <sz val="10"/>
        <color indexed="12"/>
        <rFont val="楷体_GB2312"/>
        <charset val="134"/>
      </rPr>
      <t>销售毛利率</t>
    </r>
    <r>
      <rPr>
        <sz val="10"/>
        <color indexed="12"/>
        <rFont val="Arial"/>
        <family val="2"/>
      </rPr>
      <t>=[</t>
    </r>
    <r>
      <rPr>
        <sz val="10"/>
        <color indexed="12"/>
        <rFont val="楷体_GB2312"/>
        <charset val="134"/>
      </rPr>
      <t>（销售收入</t>
    </r>
    <r>
      <rPr>
        <sz val="10"/>
        <color indexed="12"/>
        <rFont val="Arial"/>
        <family val="2"/>
      </rPr>
      <t>-</t>
    </r>
    <r>
      <rPr>
        <sz val="10"/>
        <color indexed="12"/>
        <rFont val="楷体_GB2312"/>
        <charset val="134"/>
      </rPr>
      <t>销售成本）</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</si>
  <si>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营业利润率</t>
  </si>
  <si>
    <r>
      <rPr>
        <sz val="10"/>
        <color indexed="12"/>
        <rFont val="楷体_GB2312"/>
        <charset val="134"/>
      </rPr>
      <t>主营业务利润率</t>
    </r>
    <r>
      <rPr>
        <sz val="10"/>
        <color indexed="12"/>
        <rFont val="Arial"/>
        <family val="2"/>
      </rPr>
      <t>=</t>
    </r>
    <r>
      <rPr>
        <sz val="10"/>
        <color indexed="12"/>
        <rFont val="楷体_GB2312"/>
        <charset val="134"/>
      </rPr>
      <t>主营业务利润</t>
    </r>
    <r>
      <rPr>
        <sz val="10"/>
        <color indexed="12"/>
        <rFont val="Arial"/>
        <family val="2"/>
      </rPr>
      <t>÷</t>
    </r>
    <r>
      <rPr>
        <sz val="10"/>
        <color indexed="12"/>
        <rFont val="楷体_GB2312"/>
        <charset val="134"/>
      </rPr>
      <t>主营业务收入净额</t>
    </r>
    <r>
      <rPr>
        <sz val="10"/>
        <color indexed="12"/>
        <rFont val="Arial"/>
        <family val="2"/>
      </rPr>
      <t>×100</t>
    </r>
    <r>
      <rPr>
        <sz val="10"/>
        <color indexed="12"/>
        <rFont val="楷体_GB2312"/>
        <charset val="134"/>
      </rPr>
      <t>％</t>
    </r>
  </si>
  <si>
    <t>总资产报酬率</t>
  </si>
  <si>
    <r>
      <rPr>
        <sz val="10"/>
        <color indexed="12"/>
        <rFont val="楷体_GB2312"/>
        <charset val="134"/>
      </rPr>
      <t>总资产报酬率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资产总额</t>
    </r>
    <r>
      <rPr>
        <sz val="10"/>
        <color indexed="12"/>
        <rFont val="Arial"/>
        <family val="2"/>
      </rPr>
      <t xml:space="preserve"> ×100%</t>
    </r>
  </si>
  <si>
    <t>净资产收益率</t>
  </si>
  <si>
    <r>
      <rPr>
        <sz val="10"/>
        <color indexed="12"/>
        <rFont val="楷体_GB2312"/>
        <charset val="134"/>
      </rPr>
      <t>净资产收益率</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所有者（股东）权益总额</t>
    </r>
    <r>
      <rPr>
        <sz val="10"/>
        <color indexed="12"/>
        <rFont val="Arial"/>
        <family val="2"/>
      </rPr>
      <t>×100</t>
    </r>
    <r>
      <rPr>
        <sz val="10"/>
        <color indexed="12"/>
        <rFont val="楷体_GB2312"/>
        <charset val="134"/>
      </rPr>
      <t>％</t>
    </r>
  </si>
  <si>
    <t>经营能力</t>
  </si>
  <si>
    <t>应收账款周转率</t>
  </si>
  <si>
    <r>
      <rPr>
        <sz val="10"/>
        <color indexed="12"/>
        <rFont val="楷体_GB2312"/>
        <charset val="134"/>
      </rPr>
      <t>应收账款周转率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应收账款平均余额</t>
    </r>
    <r>
      <rPr>
        <sz val="10"/>
        <color indexed="12"/>
        <rFont val="Arial"/>
        <family val="2"/>
      </rPr>
      <t>×100</t>
    </r>
    <r>
      <rPr>
        <sz val="10"/>
        <color indexed="12"/>
        <rFont val="楷体_GB2312"/>
        <charset val="134"/>
      </rPr>
      <t>％</t>
    </r>
  </si>
  <si>
    <t>存货周转率</t>
  </si>
  <si>
    <r>
      <rPr>
        <sz val="10"/>
        <color indexed="12"/>
        <rFont val="楷体_GB2312"/>
        <charset val="134"/>
      </rPr>
      <t>存货周转率</t>
    </r>
    <r>
      <rPr>
        <sz val="10"/>
        <color indexed="12"/>
        <rFont val="Arial"/>
        <family val="2"/>
      </rPr>
      <t>=</t>
    </r>
    <r>
      <rPr>
        <sz val="10"/>
        <color indexed="12"/>
        <rFont val="楷体_GB2312"/>
        <charset val="134"/>
      </rPr>
      <t>主营业务成本</t>
    </r>
    <r>
      <rPr>
        <sz val="10"/>
        <color indexed="12"/>
        <rFont val="Arial"/>
        <family val="2"/>
      </rPr>
      <t>÷</t>
    </r>
    <r>
      <rPr>
        <sz val="10"/>
        <color indexed="12"/>
        <rFont val="楷体_GB2312"/>
        <charset val="134"/>
      </rPr>
      <t>存货平均余额</t>
    </r>
    <r>
      <rPr>
        <sz val="10"/>
        <color indexed="12"/>
        <rFont val="Arial"/>
        <family val="2"/>
      </rPr>
      <t>×100</t>
    </r>
    <r>
      <rPr>
        <sz val="10"/>
        <color indexed="12"/>
        <rFont val="楷体_GB2312"/>
        <charset val="134"/>
      </rPr>
      <t>％</t>
    </r>
  </si>
  <si>
    <t>总资产周转率</t>
  </si>
  <si>
    <r>
      <rPr>
        <sz val="10"/>
        <color indexed="12"/>
        <rFont val="楷体_GB2312"/>
        <charset val="134"/>
      </rPr>
      <t>总资产周转率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平均资产总额</t>
    </r>
    <r>
      <rPr>
        <sz val="10"/>
        <color indexed="12"/>
        <rFont val="Arial"/>
        <family val="2"/>
      </rPr>
      <t>×100</t>
    </r>
    <r>
      <rPr>
        <sz val="10"/>
        <color indexed="12"/>
        <rFont val="楷体_GB2312"/>
        <charset val="134"/>
      </rPr>
      <t>％</t>
    </r>
  </si>
  <si>
    <t>营运资金周转率</t>
  </si>
  <si>
    <r>
      <rPr>
        <sz val="10"/>
        <color indexed="12"/>
        <rFont val="楷体_GB2312"/>
        <charset val="134"/>
      </rPr>
      <t>营运资金周转率</t>
    </r>
    <r>
      <rPr>
        <sz val="10"/>
        <color indexed="12"/>
        <rFont val="Arial"/>
        <family val="2"/>
      </rPr>
      <t>=</t>
    </r>
    <r>
      <rPr>
        <sz val="10"/>
        <color indexed="12"/>
        <rFont val="楷体_GB2312"/>
        <charset val="134"/>
      </rPr>
      <t>主营业务收入净额</t>
    </r>
    <r>
      <rPr>
        <sz val="10"/>
        <color indexed="12"/>
        <rFont val="Arial"/>
        <family val="2"/>
      </rPr>
      <t>÷</t>
    </r>
    <r>
      <rPr>
        <sz val="10"/>
        <color indexed="12"/>
        <rFont val="楷体_GB2312"/>
        <charset val="134"/>
      </rPr>
      <t>（流动资产－流动负债）</t>
    </r>
    <r>
      <rPr>
        <sz val="10"/>
        <color indexed="12"/>
        <rFont val="Arial"/>
        <family val="2"/>
      </rPr>
      <t>×100</t>
    </r>
    <r>
      <rPr>
        <sz val="10"/>
        <color indexed="12"/>
        <rFont val="楷体_GB2312"/>
        <charset val="134"/>
      </rPr>
      <t>％</t>
    </r>
  </si>
  <si>
    <t>偿债能力</t>
  </si>
  <si>
    <t>流动比率</t>
  </si>
  <si>
    <r>
      <rPr>
        <sz val="10"/>
        <color indexed="12"/>
        <rFont val="楷体_GB2312"/>
        <charset val="134"/>
      </rPr>
      <t>流动比率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流动负债</t>
    </r>
  </si>
  <si>
    <t>速动比率</t>
  </si>
  <si>
    <r>
      <rPr>
        <sz val="10"/>
        <color indexed="12"/>
        <rFont val="楷体_GB2312"/>
        <charset val="134"/>
      </rPr>
      <t>速动比率</t>
    </r>
    <r>
      <rPr>
        <sz val="10"/>
        <color indexed="12"/>
        <rFont val="Arial"/>
        <family val="2"/>
      </rPr>
      <t>=</t>
    </r>
    <r>
      <rPr>
        <sz val="10"/>
        <color indexed="12"/>
        <rFont val="楷体_GB2312"/>
        <charset val="134"/>
      </rPr>
      <t>（流动资产</t>
    </r>
    <r>
      <rPr>
        <sz val="10"/>
        <color indexed="12"/>
        <rFont val="Arial"/>
        <family val="2"/>
      </rPr>
      <t>-</t>
    </r>
    <r>
      <rPr>
        <sz val="10"/>
        <color indexed="12"/>
        <rFont val="楷体_GB2312"/>
        <charset val="134"/>
      </rPr>
      <t>预付账款</t>
    </r>
    <r>
      <rPr>
        <sz val="10"/>
        <color indexed="12"/>
        <rFont val="Arial"/>
        <family val="2"/>
      </rPr>
      <t>-</t>
    </r>
    <r>
      <rPr>
        <sz val="10"/>
        <color indexed="12"/>
        <rFont val="楷体_GB2312"/>
        <charset val="134"/>
      </rPr>
      <t>存货</t>
    </r>
    <r>
      <rPr>
        <sz val="10"/>
        <color indexed="12"/>
        <rFont val="Arial"/>
        <family val="2"/>
      </rPr>
      <t>-</t>
    </r>
    <r>
      <rPr>
        <sz val="10"/>
        <color indexed="12"/>
        <rFont val="楷体_GB2312"/>
        <charset val="134"/>
      </rPr>
      <t>待摊费用）</t>
    </r>
    <r>
      <rPr>
        <sz val="10"/>
        <color indexed="12"/>
        <rFont val="Arial"/>
        <family val="2"/>
      </rPr>
      <t>÷</t>
    </r>
    <r>
      <rPr>
        <sz val="10"/>
        <color indexed="12"/>
        <rFont val="楷体_GB2312"/>
        <charset val="134"/>
      </rPr>
      <t>流动负债</t>
    </r>
  </si>
  <si>
    <t>现金比率</t>
  </si>
  <si>
    <r>
      <rPr>
        <sz val="10"/>
        <color indexed="12"/>
        <rFont val="楷体_GB2312"/>
        <charset val="134"/>
      </rPr>
      <t>现金比率</t>
    </r>
    <r>
      <rPr>
        <sz val="10"/>
        <color indexed="12"/>
        <rFont val="Arial"/>
        <family val="2"/>
      </rPr>
      <t>=</t>
    </r>
    <r>
      <rPr>
        <sz val="10"/>
        <color indexed="12"/>
        <rFont val="楷体_GB2312"/>
        <charset val="134"/>
      </rPr>
      <t>现金</t>
    </r>
    <r>
      <rPr>
        <sz val="10"/>
        <color indexed="12"/>
        <rFont val="Arial"/>
        <family val="2"/>
      </rPr>
      <t>÷</t>
    </r>
    <r>
      <rPr>
        <sz val="10"/>
        <color indexed="12"/>
        <rFont val="楷体_GB2312"/>
        <charset val="134"/>
      </rPr>
      <t>流动负债</t>
    </r>
  </si>
  <si>
    <t>资本结构</t>
  </si>
  <si>
    <t>资产负债率</t>
  </si>
  <si>
    <t>发展能力</t>
  </si>
  <si>
    <t>营业收入增长率</t>
  </si>
  <si>
    <r>
      <rPr>
        <sz val="10"/>
        <color indexed="12"/>
        <rFont val="楷体_GB2312"/>
        <charset val="134"/>
      </rPr>
      <t>主营业务收入增长率</t>
    </r>
    <r>
      <rPr>
        <sz val="10"/>
        <color indexed="12"/>
        <rFont val="Arial"/>
        <family val="2"/>
      </rPr>
      <t>=(</t>
    </r>
    <r>
      <rPr>
        <sz val="10"/>
        <color indexed="12"/>
        <rFont val="楷体_GB2312"/>
        <charset val="134"/>
      </rPr>
      <t>本期主营收入</t>
    </r>
    <r>
      <rPr>
        <sz val="10"/>
        <color indexed="12"/>
        <rFont val="Arial"/>
        <family val="2"/>
      </rPr>
      <t>-</t>
    </r>
    <r>
      <rPr>
        <sz val="10"/>
        <color indexed="12"/>
        <rFont val="楷体_GB2312"/>
        <charset val="134"/>
      </rPr>
      <t>上期主营收入</t>
    </r>
    <r>
      <rPr>
        <sz val="10"/>
        <color indexed="12"/>
        <rFont val="Arial"/>
        <family val="2"/>
      </rPr>
      <t>)÷</t>
    </r>
    <r>
      <rPr>
        <sz val="10"/>
        <color indexed="12"/>
        <rFont val="楷体_GB2312"/>
        <charset val="134"/>
      </rPr>
      <t>上期主营收入</t>
    </r>
    <r>
      <rPr>
        <sz val="10"/>
        <color indexed="12"/>
        <rFont val="Arial"/>
        <family val="2"/>
      </rPr>
      <t>×100</t>
    </r>
    <r>
      <rPr>
        <sz val="10"/>
        <color indexed="12"/>
        <rFont val="楷体_GB2312"/>
        <charset val="134"/>
      </rPr>
      <t>％</t>
    </r>
  </si>
  <si>
    <t>营业利润增长率</t>
  </si>
  <si>
    <r>
      <rPr>
        <sz val="10"/>
        <color indexed="12"/>
        <rFont val="楷体_GB2312"/>
        <charset val="134"/>
      </rPr>
      <t>营业利润增长率</t>
    </r>
    <r>
      <rPr>
        <sz val="10"/>
        <color indexed="12"/>
        <rFont val="Arial"/>
        <family val="2"/>
      </rPr>
      <t>=(</t>
    </r>
    <r>
      <rPr>
        <sz val="10"/>
        <color indexed="12"/>
        <rFont val="楷体_GB2312"/>
        <charset val="134"/>
      </rPr>
      <t>本期营业利润</t>
    </r>
    <r>
      <rPr>
        <sz val="10"/>
        <color indexed="12"/>
        <rFont val="Arial"/>
        <family val="2"/>
      </rPr>
      <t>-</t>
    </r>
    <r>
      <rPr>
        <sz val="10"/>
        <color indexed="12"/>
        <rFont val="楷体_GB2312"/>
        <charset val="134"/>
      </rPr>
      <t>上期营业利润</t>
    </r>
    <r>
      <rPr>
        <sz val="10"/>
        <color indexed="12"/>
        <rFont val="Arial"/>
        <family val="2"/>
      </rPr>
      <t>)÷</t>
    </r>
    <r>
      <rPr>
        <sz val="10"/>
        <color indexed="12"/>
        <rFont val="楷体_GB2312"/>
        <charset val="134"/>
      </rPr>
      <t>上期营业利润</t>
    </r>
    <r>
      <rPr>
        <sz val="10"/>
        <color indexed="12"/>
        <rFont val="Arial"/>
        <family val="2"/>
      </rPr>
      <t>×100</t>
    </r>
    <r>
      <rPr>
        <sz val="10"/>
        <color indexed="12"/>
        <rFont val="楷体_GB2312"/>
        <charset val="134"/>
      </rPr>
      <t>％</t>
    </r>
  </si>
  <si>
    <t>税后利润增长率</t>
  </si>
  <si>
    <r>
      <rPr>
        <sz val="10"/>
        <color indexed="12"/>
        <rFont val="楷体_GB2312"/>
        <charset val="134"/>
      </rPr>
      <t>税后利润增长率</t>
    </r>
    <r>
      <rPr>
        <sz val="10"/>
        <color indexed="12"/>
        <rFont val="Arial"/>
        <family val="2"/>
      </rPr>
      <t>=(</t>
    </r>
    <r>
      <rPr>
        <sz val="10"/>
        <color indexed="12"/>
        <rFont val="楷体_GB2312"/>
        <charset val="134"/>
      </rPr>
      <t>本期税后利润</t>
    </r>
    <r>
      <rPr>
        <sz val="10"/>
        <color indexed="12"/>
        <rFont val="Arial"/>
        <family val="2"/>
      </rPr>
      <t>-</t>
    </r>
    <r>
      <rPr>
        <sz val="10"/>
        <color indexed="12"/>
        <rFont val="楷体_GB2312"/>
        <charset val="134"/>
      </rPr>
      <t>上期税后利润</t>
    </r>
    <r>
      <rPr>
        <sz val="10"/>
        <color indexed="12"/>
        <rFont val="Arial"/>
        <family val="2"/>
      </rPr>
      <t>)÷</t>
    </r>
    <r>
      <rPr>
        <sz val="10"/>
        <color indexed="12"/>
        <rFont val="楷体_GB2312"/>
        <charset val="134"/>
      </rPr>
      <t>上期税后利润</t>
    </r>
    <r>
      <rPr>
        <sz val="10"/>
        <color indexed="12"/>
        <rFont val="Arial"/>
        <family val="2"/>
      </rPr>
      <t>×100</t>
    </r>
    <r>
      <rPr>
        <sz val="10"/>
        <color indexed="12"/>
        <rFont val="楷体_GB2312"/>
        <charset val="134"/>
      </rPr>
      <t>％</t>
    </r>
  </si>
  <si>
    <t>净资产增长率</t>
  </si>
  <si>
    <r>
      <rPr>
        <sz val="10"/>
        <color indexed="12"/>
        <rFont val="楷体_GB2312"/>
        <charset val="134"/>
      </rPr>
      <t>净资产增长率</t>
    </r>
    <r>
      <rPr>
        <sz val="10"/>
        <color indexed="12"/>
        <rFont val="Arial"/>
        <family val="2"/>
      </rPr>
      <t>=(</t>
    </r>
    <r>
      <rPr>
        <sz val="10"/>
        <color indexed="12"/>
        <rFont val="楷体_GB2312"/>
        <charset val="134"/>
      </rPr>
      <t>本期净资产</t>
    </r>
    <r>
      <rPr>
        <sz val="10"/>
        <color indexed="12"/>
        <rFont val="Arial"/>
        <family val="2"/>
      </rPr>
      <t>-</t>
    </r>
    <r>
      <rPr>
        <sz val="10"/>
        <color indexed="12"/>
        <rFont val="楷体_GB2312"/>
        <charset val="134"/>
      </rPr>
      <t>上期净资产</t>
    </r>
    <r>
      <rPr>
        <sz val="10"/>
        <color indexed="12"/>
        <rFont val="Arial"/>
        <family val="2"/>
      </rPr>
      <t>)÷</t>
    </r>
    <r>
      <rPr>
        <sz val="10"/>
        <color indexed="12"/>
        <rFont val="楷体_GB2312"/>
        <charset val="134"/>
      </rPr>
      <t>上期净资产</t>
    </r>
    <r>
      <rPr>
        <sz val="10"/>
        <color indexed="12"/>
        <rFont val="Arial"/>
        <family val="2"/>
      </rPr>
      <t>×100</t>
    </r>
    <r>
      <rPr>
        <sz val="10"/>
        <color indexed="12"/>
        <rFont val="楷体_GB2312"/>
        <charset val="134"/>
      </rPr>
      <t>％</t>
    </r>
  </si>
  <si>
    <t>总资产增长率</t>
  </si>
  <si>
    <r>
      <rPr>
        <sz val="10"/>
        <color indexed="12"/>
        <rFont val="楷体_GB2312"/>
        <charset val="134"/>
      </rPr>
      <t>总资产增长率</t>
    </r>
    <r>
      <rPr>
        <sz val="10"/>
        <color indexed="12"/>
        <rFont val="Arial"/>
        <family val="2"/>
      </rPr>
      <t>=(</t>
    </r>
    <r>
      <rPr>
        <sz val="10"/>
        <color indexed="12"/>
        <rFont val="楷体_GB2312"/>
        <charset val="134"/>
      </rPr>
      <t>本期总资产</t>
    </r>
    <r>
      <rPr>
        <sz val="10"/>
        <color indexed="12"/>
        <rFont val="Arial"/>
        <family val="2"/>
      </rPr>
      <t>-</t>
    </r>
    <r>
      <rPr>
        <sz val="10"/>
        <color indexed="12"/>
        <rFont val="楷体_GB2312"/>
        <charset val="134"/>
      </rPr>
      <t>上期总资产</t>
    </r>
    <r>
      <rPr>
        <sz val="10"/>
        <color indexed="12"/>
        <rFont val="Arial"/>
        <family val="2"/>
      </rPr>
      <t>)÷</t>
    </r>
    <r>
      <rPr>
        <sz val="10"/>
        <color indexed="12"/>
        <rFont val="楷体_GB2312"/>
        <charset val="134"/>
      </rPr>
      <t>上期总资产</t>
    </r>
    <r>
      <rPr>
        <sz val="10"/>
        <color indexed="12"/>
        <rFont val="Arial"/>
        <family val="2"/>
      </rPr>
      <t>×100</t>
    </r>
    <r>
      <rPr>
        <sz val="10"/>
        <color indexed="12"/>
        <rFont val="楷体_GB2312"/>
        <charset val="134"/>
      </rPr>
      <t>％</t>
    </r>
  </si>
  <si>
    <t>每股指标分析</t>
  </si>
  <si>
    <r>
      <rPr>
        <sz val="10"/>
        <color indexed="12"/>
        <rFont val="楷体_GB2312"/>
        <charset val="134"/>
      </rPr>
      <t>每股收益</t>
    </r>
    <r>
      <rPr>
        <sz val="10"/>
        <color indexed="12"/>
        <rFont val="Arial"/>
        <family val="2"/>
      </rPr>
      <t>=</t>
    </r>
    <r>
      <rPr>
        <sz val="10"/>
        <color indexed="12"/>
        <rFont val="楷体_GB2312"/>
        <charset val="134"/>
      </rPr>
      <t>净利润</t>
    </r>
    <r>
      <rPr>
        <sz val="10"/>
        <color indexed="12"/>
        <rFont val="Arial"/>
        <family val="2"/>
      </rPr>
      <t>÷</t>
    </r>
    <r>
      <rPr>
        <sz val="10"/>
        <color indexed="12"/>
        <rFont val="楷体_GB2312"/>
        <charset val="134"/>
      </rPr>
      <t>总股本</t>
    </r>
  </si>
  <si>
    <t>每股净资产</t>
  </si>
  <si>
    <r>
      <rPr>
        <sz val="10"/>
        <color indexed="12"/>
        <rFont val="楷体_GB2312"/>
        <charset val="134"/>
      </rPr>
      <t>每股净资产</t>
    </r>
    <r>
      <rPr>
        <sz val="10"/>
        <color indexed="12"/>
        <rFont val="Arial"/>
        <family val="2"/>
      </rPr>
      <t>=</t>
    </r>
    <r>
      <rPr>
        <sz val="10"/>
        <color indexed="12"/>
        <rFont val="楷体_GB2312"/>
        <charset val="134"/>
      </rPr>
      <t>净资产</t>
    </r>
    <r>
      <rPr>
        <sz val="10"/>
        <color indexed="12"/>
        <rFont val="Arial"/>
        <family val="2"/>
      </rPr>
      <t>÷</t>
    </r>
    <r>
      <rPr>
        <sz val="10"/>
        <color indexed="12"/>
        <rFont val="楷体_GB2312"/>
        <charset val="134"/>
      </rPr>
      <t>总股本</t>
    </r>
  </si>
  <si>
    <t>每股现金流量</t>
  </si>
  <si>
    <r>
      <rPr>
        <sz val="10"/>
        <color indexed="12"/>
        <rFont val="楷体_GB2312"/>
        <charset val="134"/>
      </rPr>
      <t>每股现金流量</t>
    </r>
    <r>
      <rPr>
        <sz val="10"/>
        <color indexed="12"/>
        <rFont val="Arial"/>
        <family val="2"/>
      </rPr>
      <t>=</t>
    </r>
    <r>
      <rPr>
        <sz val="10"/>
        <color indexed="12"/>
        <rFont val="楷体_GB2312"/>
        <charset val="134"/>
      </rPr>
      <t>净现金流量</t>
    </r>
    <r>
      <rPr>
        <sz val="10"/>
        <color indexed="12"/>
        <rFont val="Arial"/>
        <family val="2"/>
      </rPr>
      <t>÷</t>
    </r>
    <r>
      <rPr>
        <sz val="10"/>
        <color indexed="12"/>
        <rFont val="楷体_GB2312"/>
        <charset val="134"/>
      </rPr>
      <t>总股本</t>
    </r>
  </si>
  <si>
    <t>前1期已审数</t>
  </si>
  <si>
    <t>本期预算
数/预测数</t>
  </si>
  <si>
    <r>
      <rPr>
        <b/>
        <sz val="10"/>
        <rFont val="楷体_GB2312"/>
        <charset val="134"/>
      </rPr>
      <t>本期</t>
    </r>
    <r>
      <rPr>
        <b/>
        <sz val="10"/>
        <color indexed="10"/>
        <rFont val="楷体_GB2312"/>
        <charset val="134"/>
      </rPr>
      <t>未</t>
    </r>
    <r>
      <rPr>
        <b/>
        <sz val="10"/>
        <rFont val="楷体_GB2312"/>
        <charset val="134"/>
      </rPr>
      <t>审数</t>
    </r>
  </si>
  <si>
    <t>前2期已审数</t>
  </si>
  <si>
    <t>返回表头</t>
  </si>
  <si>
    <t>员工人数</t>
  </si>
  <si>
    <t>总股本</t>
  </si>
  <si>
    <r>
      <rPr>
        <sz val="10"/>
        <color indexed="12"/>
        <rFont val="楷体_GB2312"/>
        <charset val="134"/>
      </rPr>
      <t>请补充前</t>
    </r>
    <r>
      <rPr>
        <sz val="10"/>
        <color indexed="12"/>
        <rFont val="Arial"/>
        <family val="2"/>
      </rPr>
      <t>2</t>
    </r>
    <r>
      <rPr>
        <sz val="10"/>
        <color indexed="12"/>
        <rFont val="楷体_GB2312"/>
        <charset val="134"/>
      </rPr>
      <t>期（上期的前</t>
    </r>
    <r>
      <rPr>
        <sz val="10"/>
        <color indexed="12"/>
        <rFont val="Arial"/>
        <family val="2"/>
      </rPr>
      <t>1</t>
    </r>
    <r>
      <rPr>
        <sz val="10"/>
        <color indexed="12"/>
        <rFont val="楷体_GB2312"/>
        <charset val="134"/>
      </rPr>
      <t>期）数据</t>
    </r>
  </si>
  <si>
    <t>加：应收账款坏账准备</t>
  </si>
  <si>
    <t>应收账款账面余额</t>
  </si>
  <si>
    <t>应收账款平均余额</t>
  </si>
  <si>
    <t>加：存货跌价准备</t>
  </si>
  <si>
    <t>存货账面余额</t>
  </si>
  <si>
    <t>存货平均余额</t>
  </si>
  <si>
    <t>流动资产-预付账款-存货</t>
  </si>
  <si>
    <t>资产总额</t>
  </si>
  <si>
    <t>平均资产总额</t>
  </si>
  <si>
    <t>营运资金</t>
  </si>
  <si>
    <t>负债总额</t>
  </si>
  <si>
    <t>所有者权益(或股东权益)总额</t>
  </si>
  <si>
    <t>营业毛利</t>
  </si>
  <si>
    <t>净利润（归属母公司）</t>
  </si>
  <si>
    <t>本期已审财务报表</t>
  </si>
  <si>
    <t>总体分析：</t>
  </si>
  <si>
    <t>本期已审数</t>
  </si>
  <si>
    <t>利润构成</t>
  </si>
  <si>
    <t>生产能力</t>
  </si>
  <si>
    <t>人均收入</t>
  </si>
  <si>
    <r>
      <rPr>
        <sz val="10"/>
        <color indexed="12"/>
        <rFont val="楷体_GB2312"/>
        <charset val="134"/>
      </rPr>
      <t>人均收入</t>
    </r>
    <r>
      <rPr>
        <sz val="10"/>
        <color indexed="12"/>
        <rFont val="Arial"/>
        <family val="2"/>
      </rPr>
      <t>=</t>
    </r>
    <r>
      <rPr>
        <sz val="10"/>
        <color indexed="12"/>
        <rFont val="楷体_GB2312"/>
        <charset val="134"/>
      </rPr>
      <t>收入总额</t>
    </r>
    <r>
      <rPr>
        <sz val="10"/>
        <color indexed="12"/>
        <rFont val="Arial"/>
        <family val="2"/>
      </rPr>
      <t>÷</t>
    </r>
    <r>
      <rPr>
        <sz val="10"/>
        <color indexed="12"/>
        <rFont val="楷体_GB2312"/>
        <charset val="134"/>
      </rPr>
      <t>员工人数</t>
    </r>
  </si>
  <si>
    <t>营业费用和管理费用占收入比例</t>
  </si>
  <si>
    <r>
      <rPr>
        <sz val="10"/>
        <color indexed="12"/>
        <rFont val="楷体_GB2312"/>
        <charset val="134"/>
      </rPr>
      <t>营业费用和管理费用占收入比例</t>
    </r>
    <r>
      <rPr>
        <sz val="10"/>
        <color indexed="12"/>
        <rFont val="Arial"/>
        <family val="2"/>
      </rPr>
      <t>=</t>
    </r>
    <r>
      <rPr>
        <sz val="10"/>
        <color indexed="12"/>
        <rFont val="楷体_GB2312"/>
        <charset val="134"/>
      </rPr>
      <t>（营业费用＋管理费用）</t>
    </r>
    <r>
      <rPr>
        <sz val="10"/>
        <color indexed="12"/>
        <rFont val="Arial"/>
        <family val="2"/>
      </rPr>
      <t>÷</t>
    </r>
    <r>
      <rPr>
        <sz val="10"/>
        <color indexed="12"/>
        <rFont val="楷体_GB2312"/>
        <charset val="134"/>
      </rPr>
      <t>销售收入</t>
    </r>
    <r>
      <rPr>
        <sz val="10"/>
        <color indexed="12"/>
        <rFont val="Arial"/>
        <family val="2"/>
      </rPr>
      <t>×100</t>
    </r>
    <r>
      <rPr>
        <sz val="10"/>
        <color indexed="12"/>
        <rFont val="楷体_GB2312"/>
        <charset val="134"/>
      </rPr>
      <t>％</t>
    </r>
  </si>
  <si>
    <t>现金流量分析</t>
  </si>
  <si>
    <t>现金及现金等价物净增额</t>
  </si>
  <si>
    <t>经营活动现金流量</t>
  </si>
  <si>
    <t>销售商品收到的现金</t>
  </si>
  <si>
    <t>销售商品收到的现金占主营业务收入比例</t>
  </si>
  <si>
    <t>总结分析：</t>
  </si>
  <si>
    <t>（1）获利情况：</t>
  </si>
  <si>
    <t>（2）经营能力：</t>
  </si>
  <si>
    <t>（3）偿债能力：</t>
  </si>
  <si>
    <t>（4）发展能力：</t>
  </si>
  <si>
    <t>（5）现金流量：</t>
  </si>
  <si>
    <t>（6）每股指标：</t>
  </si>
  <si>
    <t>内部财务业绩分析</t>
  </si>
  <si>
    <t>公司各下属关键部门、分公司、 子公司等内部财务指标</t>
  </si>
  <si>
    <r>
      <rPr>
        <sz val="10"/>
        <rFont val="宋体"/>
        <family val="3"/>
        <charset val="134"/>
      </rPr>
      <t>本期预算数</t>
    </r>
  </si>
  <si>
    <t>分析程序——非财务信息</t>
  </si>
  <si>
    <t>财务信息</t>
  </si>
  <si>
    <t>非财务信息</t>
  </si>
  <si>
    <t>按内在联系分析财务信息是否合理</t>
  </si>
  <si>
    <t>可能存在的错漏报项目</t>
  </si>
  <si>
    <t>底稿索引</t>
  </si>
  <si>
    <t>总体评价：</t>
  </si>
  <si>
    <t>1122y</t>
  </si>
  <si>
    <t>1122z</t>
  </si>
  <si>
    <t>期末单项金额重大并单项计提坏账准备的应收账款</t>
  </si>
  <si>
    <t>组合中按账龄分析法计提坏账准备的应收账款</t>
  </si>
  <si>
    <t>期末单项金额重大并单项计提坏账准备的其他应收款</t>
  </si>
  <si>
    <t>与金融工具相关的风险</t>
  </si>
  <si>
    <t>公允价值的披露</t>
  </si>
  <si>
    <t>抵押资产明细项目</t>
  </si>
  <si>
    <t>类       别</t>
  </si>
  <si>
    <t>以成本计量的生产性生物资产累计折旧</t>
  </si>
  <si>
    <t>以成本计量的生产性生物资产减值准备</t>
  </si>
  <si>
    <t>以成本计量的生产性生物资产账面价值</t>
  </si>
  <si>
    <t>开发支出明细项目</t>
  </si>
  <si>
    <t>附注列报A：</t>
    <phoneticPr fontId="163" type="noConversion"/>
  </si>
  <si>
    <t>附注列报B：</t>
    <phoneticPr fontId="163" type="noConversion"/>
  </si>
  <si>
    <t>适用</t>
    <phoneticPr fontId="163" type="noConversion"/>
  </si>
  <si>
    <t>* 提示：— 表示不能填写。</t>
    <phoneticPr fontId="163" type="noConversion"/>
  </si>
  <si>
    <t>补充资料（非披露要求，根据需要填写）：</t>
    <phoneticPr fontId="163" type="noConversion"/>
  </si>
  <si>
    <t>终止确认金额</t>
    <phoneticPr fontId="163" type="noConversion"/>
  </si>
  <si>
    <t>未终止确认金额</t>
    <phoneticPr fontId="163" type="noConversion"/>
  </si>
  <si>
    <t>账面价值</t>
    <phoneticPr fontId="163" type="noConversion"/>
  </si>
  <si>
    <t>账面余额</t>
    <phoneticPr fontId="163" type="noConversion"/>
  </si>
  <si>
    <t>坏账准备</t>
    <phoneticPr fontId="163" type="noConversion"/>
  </si>
  <si>
    <t>其中：1年以内</t>
    <phoneticPr fontId="163" type="noConversion"/>
  </si>
  <si>
    <t>* 注：1年以内分项，请修改。例如：6个月以内，6个月至1年</t>
    <phoneticPr fontId="163" type="noConversion"/>
  </si>
  <si>
    <t>项       目</t>
    <phoneticPr fontId="163" type="noConversion"/>
  </si>
  <si>
    <t>类       别</t>
    <phoneticPr fontId="163" type="noConversion"/>
  </si>
  <si>
    <t>名       称</t>
    <phoneticPr fontId="163" type="noConversion"/>
  </si>
  <si>
    <t>账       龄</t>
    <phoneticPr fontId="163" type="noConversion"/>
  </si>
  <si>
    <t>适用</t>
    <phoneticPr fontId="163" type="noConversion"/>
  </si>
  <si>
    <t>其中：1年以内</t>
    <phoneticPr fontId="163" type="noConversion"/>
  </si>
  <si>
    <t>附注列报B：</t>
    <phoneticPr fontId="163" type="noConversion"/>
  </si>
  <si>
    <t>合       计</t>
    <phoneticPr fontId="163" type="noConversion"/>
  </si>
  <si>
    <t>* 注：补充资料并非披露要求，如不适用，则无须填写。</t>
    <phoneticPr fontId="163" type="noConversion"/>
  </si>
  <si>
    <t>项目（或被投资单位）</t>
    <phoneticPr fontId="163" type="noConversion"/>
  </si>
  <si>
    <t>* 注：补充资料并非披露要求，如不适用，则无须填写。</t>
    <phoneticPr fontId="163" type="noConversion"/>
  </si>
  <si>
    <t>减值准备</t>
    <phoneticPr fontId="163" type="noConversion"/>
  </si>
  <si>
    <t>*</t>
    <phoneticPr fontId="163" type="noConversion"/>
  </si>
  <si>
    <t>*</t>
    <phoneticPr fontId="163" type="noConversion"/>
  </si>
  <si>
    <t>*</t>
    <phoneticPr fontId="163" type="noConversion"/>
  </si>
  <si>
    <t>2019年12月31日账面价值</t>
    <phoneticPr fontId="163" type="noConversion"/>
  </si>
  <si>
    <t>其他</t>
    <phoneticPr fontId="163" type="noConversion"/>
  </si>
  <si>
    <t>(1)外购</t>
    <phoneticPr fontId="163" type="noConversion"/>
  </si>
  <si>
    <t xml:space="preserve">(1)处置  </t>
    <phoneticPr fontId="163" type="noConversion"/>
  </si>
  <si>
    <t xml:space="preserve">（1）计提   </t>
    <phoneticPr fontId="163" type="noConversion"/>
  </si>
  <si>
    <t xml:space="preserve">（1）计提    </t>
    <phoneticPr fontId="163" type="noConversion"/>
  </si>
  <si>
    <t>（1）计提</t>
    <phoneticPr fontId="163" type="noConversion"/>
  </si>
  <si>
    <t>(1)处置</t>
    <phoneticPr fontId="163" type="noConversion"/>
  </si>
  <si>
    <t>（5）其他增加</t>
    <phoneticPr fontId="163" type="noConversion"/>
  </si>
  <si>
    <t>（4）计提</t>
    <phoneticPr fontId="163" type="noConversion"/>
  </si>
  <si>
    <t>账面原值</t>
  </si>
  <si>
    <t>2.本期增加金额_（4）计提</t>
  </si>
  <si>
    <t>账面原值</t>
    <phoneticPr fontId="163" type="noConversion"/>
  </si>
  <si>
    <t>累计折旧</t>
    <phoneticPr fontId="163" type="noConversion"/>
  </si>
  <si>
    <t>（4）其他增加</t>
    <phoneticPr fontId="163" type="noConversion"/>
  </si>
  <si>
    <t>（3）计提</t>
    <phoneticPr fontId="163" type="noConversion"/>
  </si>
  <si>
    <t>账面原值</t>
    <phoneticPr fontId="163" type="noConversion"/>
  </si>
  <si>
    <t>种植业</t>
    <phoneticPr fontId="163" type="noConversion"/>
  </si>
  <si>
    <t>畜牧养殖业</t>
    <phoneticPr fontId="163" type="noConversion"/>
  </si>
  <si>
    <t>林业</t>
    <phoneticPr fontId="163" type="noConversion"/>
  </si>
  <si>
    <t>水产业</t>
    <phoneticPr fontId="163" type="noConversion"/>
  </si>
  <si>
    <t>累计折旧</t>
    <phoneticPr fontId="163" type="noConversion"/>
  </si>
  <si>
    <t>减值准备</t>
    <phoneticPr fontId="163" type="noConversion"/>
  </si>
  <si>
    <t>账面价值</t>
    <phoneticPr fontId="163" type="noConversion"/>
  </si>
  <si>
    <t>（5）其他增加</t>
    <phoneticPr fontId="163" type="noConversion"/>
  </si>
  <si>
    <t>（4）计提</t>
    <phoneticPr fontId="163" type="noConversion"/>
  </si>
  <si>
    <t>*5（在原值处修改清除）</t>
  </si>
  <si>
    <t>*6（在原值处修改清除）</t>
  </si>
  <si>
    <t>*7（在原值处修改清除）</t>
  </si>
  <si>
    <t>*8（在原值处修改清除）</t>
  </si>
  <si>
    <t>*9（在原值处修改清除）</t>
  </si>
  <si>
    <t>*10（在原值处修改清除）</t>
  </si>
  <si>
    <t>*11（在原值处修改清除）</t>
  </si>
  <si>
    <t>*12（在原值处修改清除）</t>
  </si>
  <si>
    <t>账面原值</t>
    <phoneticPr fontId="163" type="noConversion"/>
  </si>
  <si>
    <t>累计摊销</t>
    <phoneticPr fontId="163" type="noConversion"/>
  </si>
  <si>
    <t>减值准备</t>
    <phoneticPr fontId="163" type="noConversion"/>
  </si>
  <si>
    <t>账面价值</t>
    <phoneticPr fontId="163" type="noConversion"/>
  </si>
  <si>
    <t>*5（在原值处修改或清除）</t>
  </si>
  <si>
    <t>*6（在原值处修改或清除）</t>
  </si>
  <si>
    <t>*7（在原值处修改或清除）</t>
  </si>
  <si>
    <t>*8（在原值处修改或清除）</t>
  </si>
  <si>
    <t>*9（在原值处修改或清除）</t>
  </si>
  <si>
    <t>*种植1（在原值处修改清除）</t>
    <phoneticPr fontId="163" type="noConversion"/>
  </si>
  <si>
    <t>*种植2（在原值处修改清除）</t>
  </si>
  <si>
    <t>*畜牧1（在原值处修改清除）</t>
    <phoneticPr fontId="163" type="noConversion"/>
  </si>
  <si>
    <t>*畜牧2（在原值处修改清除）</t>
  </si>
  <si>
    <t>*林业1（在原值处修改清除）</t>
    <phoneticPr fontId="163" type="noConversion"/>
  </si>
  <si>
    <t>*林业2（在原值处修改清除）</t>
  </si>
  <si>
    <t>*水产1（在原值处修改清除）</t>
    <phoneticPr fontId="163" type="noConversion"/>
  </si>
  <si>
    <t>*水产2（在原值处修改清除）</t>
  </si>
  <si>
    <t>转入当期损益</t>
    <phoneticPr fontId="163" type="noConversion"/>
  </si>
  <si>
    <t>其他减少</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</si>
  <si>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</si>
  <si>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</si>
  <si>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</si>
  <si>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</si>
  <si>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</si>
  <si>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</si>
  <si>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</si>
  <si>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</si>
  <si>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</si>
  <si>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</si>
  <si>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</si>
  <si>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未偿还或结转的原因</t>
    <phoneticPr fontId="163" type="noConversion"/>
  </si>
  <si>
    <t>（2）存货转入</t>
    <phoneticPr fontId="163" type="noConversion"/>
  </si>
  <si>
    <t>（3）固定资产转入</t>
    <phoneticPr fontId="163" type="noConversion"/>
  </si>
  <si>
    <t>（4）在建工程转入</t>
    <phoneticPr fontId="163" type="noConversion"/>
  </si>
  <si>
    <t>（5）企业合并增加</t>
    <phoneticPr fontId="163" type="noConversion"/>
  </si>
  <si>
    <t>（6）公允价值变动</t>
    <phoneticPr fontId="163" type="noConversion"/>
  </si>
  <si>
    <t>划分为金融负债的优先股利息</t>
    <phoneticPr fontId="163" type="noConversion"/>
  </si>
  <si>
    <t>划分为金融负债的优先股利息小计</t>
  </si>
  <si>
    <t>划分为金融负债的优先股利息小计</t>
    <phoneticPr fontId="163" type="noConversion"/>
  </si>
  <si>
    <t>划分为金融负债的永续债利息</t>
    <phoneticPr fontId="163" type="noConversion"/>
  </si>
  <si>
    <t>划分为金融负债的永续债利息小计</t>
  </si>
  <si>
    <t>划分为金融负债的永续债利息小计</t>
    <phoneticPr fontId="163" type="noConversion"/>
  </si>
  <si>
    <t>其中：优先股利息-XX</t>
    <phoneticPr fontId="163" type="noConversion"/>
  </si>
  <si>
    <t>*</t>
    <phoneticPr fontId="163" type="noConversion"/>
  </si>
  <si>
    <t>划分为权益工具的优先股股利</t>
    <phoneticPr fontId="163" type="noConversion"/>
  </si>
  <si>
    <t>其中：优先股股利-XX</t>
    <phoneticPr fontId="163" type="noConversion"/>
  </si>
  <si>
    <t>划分为权益工具的优先股股利小计</t>
  </si>
  <si>
    <t>划分为权益工具的优先股股利小计</t>
    <phoneticPr fontId="163" type="noConversion"/>
  </si>
  <si>
    <t>划分为权益工具的永续债股利</t>
    <phoneticPr fontId="163" type="noConversion"/>
  </si>
  <si>
    <t>其中：永续债股利-XX</t>
    <phoneticPr fontId="163" type="noConversion"/>
  </si>
  <si>
    <t>划分为权益工具的永续债股利小计</t>
  </si>
  <si>
    <t>划分为权益工具的永续债股利小计</t>
    <phoneticPr fontId="163" type="noConversion"/>
  </si>
  <si>
    <t>*</t>
    <phoneticPr fontId="163" type="noConversion"/>
  </si>
  <si>
    <t>其中：永续债利息-XX</t>
    <phoneticPr fontId="163" type="noConversion"/>
  </si>
  <si>
    <t>与资产相关或与收益相关</t>
    <phoneticPr fontId="163" type="noConversion"/>
  </si>
  <si>
    <t>委托方或出包方名称</t>
  </si>
  <si>
    <t>受托方或承包方名称</t>
  </si>
  <si>
    <t>受托或承包资产类型</t>
  </si>
  <si>
    <t>受托或承包起始日</t>
  </si>
  <si>
    <t>受托或承包终止日</t>
  </si>
  <si>
    <t>托管收益或承包收益定价依据</t>
  </si>
  <si>
    <t>本期确认的托管收益或承包收益</t>
  </si>
  <si>
    <t>委托或出包资产类型</t>
  </si>
  <si>
    <t>委托或出包起始日</t>
  </si>
  <si>
    <t>委托或出包终止日</t>
  </si>
  <si>
    <t>托管费或出包费定价依据</t>
  </si>
  <si>
    <t>本期确认的托管费或出包费</t>
  </si>
  <si>
    <t>资产减值损失（转回）（F）</t>
    <phoneticPr fontId="163" type="noConversion"/>
  </si>
  <si>
    <t>未偿还或结转的原因</t>
    <phoneticPr fontId="163" type="noConversion"/>
  </si>
  <si>
    <t>应交税费—待转销项税额贷方余额重分类</t>
    <phoneticPr fontId="163" type="noConversion"/>
  </si>
  <si>
    <t>适用</t>
    <phoneticPr fontId="163" type="noConversion"/>
  </si>
  <si>
    <t>应收票据</t>
    <phoneticPr fontId="163" type="noConversion"/>
  </si>
  <si>
    <t>持有至到期投资</t>
    <phoneticPr fontId="163" type="noConversion"/>
  </si>
  <si>
    <t>应付账款</t>
    <phoneticPr fontId="163" type="noConversion"/>
  </si>
  <si>
    <t>其他应付款</t>
    <phoneticPr fontId="163" type="noConversion"/>
  </si>
  <si>
    <t>短期借款</t>
    <phoneticPr fontId="163" type="noConversion"/>
  </si>
  <si>
    <t>应付债券</t>
    <phoneticPr fontId="163" type="noConversion"/>
  </si>
  <si>
    <t>长期应付款</t>
    <phoneticPr fontId="163" type="noConversion"/>
  </si>
  <si>
    <t>货币资金</t>
    <phoneticPr fontId="163" type="noConversion"/>
  </si>
  <si>
    <t>应收账款</t>
    <phoneticPr fontId="163" type="noConversion"/>
  </si>
  <si>
    <t>2.本期增加金额_（2）在建工程转入</t>
  </si>
  <si>
    <t>2.本期增加金额_（5）其他增加</t>
  </si>
  <si>
    <t>* 详见《上市公司财务报表附注模板（执行新金融准则）》五、1.</t>
    <phoneticPr fontId="163" type="noConversion"/>
  </si>
  <si>
    <t>* 详见《上市公司财务报表附注模板（执行新金融准则）》五、2.</t>
    <phoneticPr fontId="163" type="noConversion"/>
  </si>
  <si>
    <t>* 详见《上市公司财务报表附注模板（执行新金融准则）》五、3.</t>
    <phoneticPr fontId="163" type="noConversion"/>
  </si>
  <si>
    <t>* 详见《上市公司财务报表附注模板（执行新金融准则）》五、4.</t>
    <phoneticPr fontId="163" type="noConversion"/>
  </si>
  <si>
    <t>* 详见《上市公司财务报表附注模板（执行新金融准则）》五、5.</t>
    <phoneticPr fontId="163" type="noConversion"/>
  </si>
  <si>
    <t>* 详见《上市公司财务报表附注模板（执行新金融准则）》五、6.</t>
    <phoneticPr fontId="163" type="noConversion"/>
  </si>
  <si>
    <t>* 详见《上市公司财务报表附注模板（执行新金融准则）》五、7.</t>
    <phoneticPr fontId="163" type="noConversion"/>
  </si>
  <si>
    <t>* 详见《上市公司财务报表附注模板（执行新金融准则）》五、8.</t>
    <phoneticPr fontId="163" type="noConversion"/>
  </si>
  <si>
    <t>* 详见《上市公司财务报表附注模板（执行新金融准则）》五、9.</t>
    <phoneticPr fontId="163" type="noConversion"/>
  </si>
  <si>
    <t>* 详见《上市公司财务报表附注模板（执行新金融准则）》五、10.</t>
    <phoneticPr fontId="163" type="noConversion"/>
  </si>
  <si>
    <t>* 详见《上市公司财务报表附注模板（执行新金融准则）》五、11.</t>
    <phoneticPr fontId="163" type="noConversion"/>
  </si>
  <si>
    <t>* 详见《上市公司财务报表附注模板（执行新金融准则）》五、12.</t>
    <phoneticPr fontId="163" type="noConversion"/>
  </si>
  <si>
    <t>* 详见《上市公司财务报表附注模板（执行新金融准则）》五、13.</t>
    <phoneticPr fontId="163" type="noConversion"/>
  </si>
  <si>
    <t>* 详见《上市公司财务报表附注模板（执行新金融准则）》五、14.</t>
    <phoneticPr fontId="163" type="noConversion"/>
  </si>
  <si>
    <t>* 详见《上市公司财务报表附注模板（执行新金融准则）》五、15.</t>
    <phoneticPr fontId="163" type="noConversion"/>
  </si>
  <si>
    <t>* 详见《上市公司财务报表附注模板（执行新金融准则）》五、16.</t>
    <phoneticPr fontId="163" type="noConversion"/>
  </si>
  <si>
    <t>* 详见《上市公司财务报表附注模板（执行新金融准则）》五、17.</t>
    <phoneticPr fontId="163" type="noConversion"/>
  </si>
  <si>
    <t>* 详见《上市公司财务报表附注模板（执行新金融准则）》五、18.</t>
    <phoneticPr fontId="163" type="noConversion"/>
  </si>
  <si>
    <t>* 详见《上市公司财务报表附注模板（执行新金融准则）》五、19.</t>
    <phoneticPr fontId="163" type="noConversion"/>
  </si>
  <si>
    <t>* 详见《上市公司财务报表附注模板（执行新金融准则）》五、20.</t>
    <phoneticPr fontId="163" type="noConversion"/>
  </si>
  <si>
    <t>* 详见《上市公司财务报表附注模板（执行新金融准则）》五、21.</t>
    <phoneticPr fontId="163" type="noConversion"/>
  </si>
  <si>
    <t>* 详见《上市公司财务报表附注模板（执行新金融准则）》五、22.</t>
    <phoneticPr fontId="163" type="noConversion"/>
  </si>
  <si>
    <t>未办妥产权证书原因</t>
    <phoneticPr fontId="163" type="noConversion"/>
  </si>
  <si>
    <t>* 详见《上市公司财务报表附注模板（执行新金融准则）》五、23.</t>
    <phoneticPr fontId="163" type="noConversion"/>
  </si>
  <si>
    <t>* 详见《上市公司财务报表附注模板（执行新金融准则）》五、24.</t>
    <phoneticPr fontId="163" type="noConversion"/>
  </si>
  <si>
    <t>* 详见《上市公司财务报表附注模板（执行新金融准则）》五、25.</t>
    <phoneticPr fontId="163" type="noConversion"/>
  </si>
  <si>
    <t>* 详见《上市公司财务报表附注模板（执行新金融准则）》五、26.</t>
    <phoneticPr fontId="163" type="noConversion"/>
  </si>
  <si>
    <t>* 详见《上市公司财务报表附注模板（执行新金融准则）》五、27.</t>
    <phoneticPr fontId="163" type="noConversion"/>
  </si>
  <si>
    <t>* 详见《上市公司财务报表附注模板（执行新金融准则）》五、28.</t>
    <phoneticPr fontId="163" type="noConversion"/>
  </si>
  <si>
    <t>* 详见《上市公司财务报表附注模板（执行新金融准则）》五、29.</t>
    <phoneticPr fontId="163" type="noConversion"/>
  </si>
  <si>
    <t>* 详见《上市公司财务报表附注模板（执行新金融准则）》五、30.</t>
    <phoneticPr fontId="163" type="noConversion"/>
  </si>
  <si>
    <t>* 详见《上市公司财务报表附注模板（执行新金融准则）》五、31.</t>
    <phoneticPr fontId="163" type="noConversion"/>
  </si>
  <si>
    <t>* 详见《上市公司财务报表附注模板（执行新金融准则）》五、32.</t>
    <phoneticPr fontId="163" type="noConversion"/>
  </si>
  <si>
    <t>* 详见《上市公司财务报表附注模板（执行新金融准则）》五、33.</t>
    <phoneticPr fontId="163" type="noConversion"/>
  </si>
  <si>
    <t>* 详见《上市公司财务报表附注模板（执行新金融准则）》五、34.</t>
    <phoneticPr fontId="163" type="noConversion"/>
  </si>
  <si>
    <t>* 详见《上市公司财务报表附注模板（执行新金融准则）》五、35.</t>
    <phoneticPr fontId="163" type="noConversion"/>
  </si>
  <si>
    <t>* 详见《上市公司财务报表附注模板（执行新金融准则）》五、36.</t>
    <phoneticPr fontId="163" type="noConversion"/>
  </si>
  <si>
    <t>* 详见《上市公司财务报表附注模板（执行新金融准则）》五、37.</t>
    <phoneticPr fontId="163" type="noConversion"/>
  </si>
  <si>
    <t>* 详见《上市公司财务报表附注模板（执行新金融准则）》五、38.</t>
    <phoneticPr fontId="163" type="noConversion"/>
  </si>
  <si>
    <t>* 详见《上市公司财务报表附注模板（执行新金融准则）》五、39.</t>
    <phoneticPr fontId="163" type="noConversion"/>
  </si>
  <si>
    <t>* 详见《上市公司财务报表附注模板（执行新金融准则）》五、40.</t>
    <phoneticPr fontId="163" type="noConversion"/>
  </si>
  <si>
    <t>* 详见《上市公司财务报表附注模板（执行新金融准则）》五、41.</t>
    <phoneticPr fontId="163" type="noConversion"/>
  </si>
  <si>
    <t>* 详见《上市公司财务报表附注模板（执行新金融准则）》五、42.</t>
    <phoneticPr fontId="163" type="noConversion"/>
  </si>
  <si>
    <t>* 详见《上市公司财务报表附注模板（执行新金融准则）》五、43.</t>
    <phoneticPr fontId="163" type="noConversion"/>
  </si>
  <si>
    <t>* 详见《上市公司财务报表附注模板（执行新金融准则）》五、44.</t>
    <phoneticPr fontId="163" type="noConversion"/>
  </si>
  <si>
    <t>* 详见《上市公司财务报表附注模板（执行新金融准则）》五、45.</t>
    <phoneticPr fontId="163" type="noConversion"/>
  </si>
  <si>
    <t>* 详见《上市公司财务报表附注模板（执行新金融准则）》五、46.</t>
    <phoneticPr fontId="163" type="noConversion"/>
  </si>
  <si>
    <t>* 详见《上市公司财务报表附注模板（执行新金融准则）》五、47.</t>
    <phoneticPr fontId="163" type="noConversion"/>
  </si>
  <si>
    <t>* 详见《上市公司财务报表附注模板（执行新金融准则）》五、48.</t>
    <phoneticPr fontId="163" type="noConversion"/>
  </si>
  <si>
    <t>* 详见《上市公司财务报表附注模板（执行新金融准则）》五、49.</t>
    <phoneticPr fontId="163" type="noConversion"/>
  </si>
  <si>
    <t>* 详见《上市公司财务报表附注模板（执行新金融准则）》五、50.</t>
    <phoneticPr fontId="163" type="noConversion"/>
  </si>
  <si>
    <t>* 详见《上市公司财务报表附注模板（执行新金融准则）》五、51.</t>
    <phoneticPr fontId="163" type="noConversion"/>
  </si>
  <si>
    <t>* 详见《上市公司财务报表附注模板（执行新金融准则）》五、52.</t>
    <phoneticPr fontId="163" type="noConversion"/>
  </si>
  <si>
    <t>* 详见《上市公司财务报表附注模板（执行新金融准则）》五、53.</t>
    <phoneticPr fontId="163" type="noConversion"/>
  </si>
  <si>
    <t>* 详见《上市公司财务报表附注模板（执行新金融准则）》五、54.</t>
    <phoneticPr fontId="163" type="noConversion"/>
  </si>
  <si>
    <t>* 详见《上市公司财务报表附注模板（执行新金融准则）》五、55.</t>
    <phoneticPr fontId="163" type="noConversion"/>
  </si>
  <si>
    <t>* 详见《上市公司财务报表附注模板（执行新金融准则）》五、56.</t>
    <phoneticPr fontId="163" type="noConversion"/>
  </si>
  <si>
    <t>* 详见《上市公司财务报表附注模板（执行新金融准则）》五、57.</t>
    <phoneticPr fontId="163" type="noConversion"/>
  </si>
  <si>
    <t>* 详见《上市公司财务报表附注模板（执行新金融准则）》五、58.</t>
    <phoneticPr fontId="163" type="noConversion"/>
  </si>
  <si>
    <t>* 详见《上市公司财务报表附注模板（执行新金融准则）》五、59.</t>
    <phoneticPr fontId="163" type="noConversion"/>
  </si>
  <si>
    <t>* 详见《上市公司财务报表附注模板（执行新金融准则）》五、60.</t>
    <phoneticPr fontId="163" type="noConversion"/>
  </si>
  <si>
    <t>* 详见《上市公司财务报表附注模板（执行新金融准则）》五、61.</t>
    <phoneticPr fontId="163" type="noConversion"/>
  </si>
  <si>
    <t>* 详见《上市公司财务报表附注模板（执行新金融准则）》五、62.</t>
    <phoneticPr fontId="163" type="noConversion"/>
  </si>
  <si>
    <t>* 详见《上市公司财务报表附注模板（执行新金融准则）》五、63.</t>
    <phoneticPr fontId="163" type="noConversion"/>
  </si>
  <si>
    <t>* 详见《上市公司财务报表附注模板（执行新金融准则）》五、64.</t>
    <phoneticPr fontId="163" type="noConversion"/>
  </si>
  <si>
    <t>* 详见《上市公司财务报表附注模板（执行新金融准则）》五、65.</t>
    <phoneticPr fontId="163" type="noConversion"/>
  </si>
  <si>
    <t>* 详见《上市公司财务报表附注模板（执行新金融准则）》五、66.</t>
    <phoneticPr fontId="163" type="noConversion"/>
  </si>
  <si>
    <t>* 详见《上市公司财务报表附注模板（执行新金融准则）》五、67.</t>
    <phoneticPr fontId="163" type="noConversion"/>
  </si>
  <si>
    <t>* 详见《上市公司财务报表附注模板（执行新金融准则）》五、68.</t>
    <phoneticPr fontId="163" type="noConversion"/>
  </si>
  <si>
    <t>* 详见《上市公司财务报表附注模板（执行新金融准则）》五、69.</t>
    <phoneticPr fontId="163" type="noConversion"/>
  </si>
  <si>
    <t>* 详见《上市公司财务报表附注模板（执行新金融准则）》五、70.</t>
    <phoneticPr fontId="163" type="noConversion"/>
  </si>
  <si>
    <t>* 详见《上市公司财务报表附注模板（执行新金融准则）》五、71.</t>
    <phoneticPr fontId="163" type="noConversion"/>
  </si>
  <si>
    <t>* 详见《上市公司财务报表附注模板（执行新金融准则）》五、72.</t>
    <phoneticPr fontId="163" type="noConversion"/>
  </si>
  <si>
    <t>* 详见《上市公司财务报表附注模板（执行新金融准则）》五、73.</t>
    <phoneticPr fontId="163" type="noConversion"/>
  </si>
  <si>
    <t>* 详见《上市公司财务报表附注模板（执行新金融准则）》五、74.</t>
    <phoneticPr fontId="163" type="noConversion"/>
  </si>
  <si>
    <t>* 详见《上市公司财务报表附注模板（执行新金融准则）》五、75.</t>
    <phoneticPr fontId="163" type="noConversion"/>
  </si>
  <si>
    <t>* 详见《上市公司财务报表附注模板（执行新金融准则）》五、76.</t>
    <phoneticPr fontId="163" type="noConversion"/>
  </si>
  <si>
    <t>* 详见《上市公司财务报表附注模板（执行新金融准则）》五、78.</t>
    <phoneticPr fontId="163" type="noConversion"/>
  </si>
  <si>
    <t>* 详见《上市公司财务报表附注模板（执行新金融准则）》五、79.</t>
    <phoneticPr fontId="163" type="noConversion"/>
  </si>
  <si>
    <t>* 详见《上市公司财务报表附注模板（执行新金融准则）》五、80.</t>
    <phoneticPr fontId="163" type="noConversion"/>
  </si>
  <si>
    <t>* 详见《上市公司财务报表附注模板（执行新金融准则）》五、81.</t>
    <phoneticPr fontId="163" type="noConversion"/>
  </si>
  <si>
    <t>* 详见《上市公司财务报表附注模板（执行新金融准则）》五、82.</t>
    <phoneticPr fontId="163" type="noConversion"/>
  </si>
  <si>
    <t>* 详见《上市公司财务报表附注模板（执行新金融准则）》五、84.</t>
    <phoneticPr fontId="163" type="noConversion"/>
  </si>
  <si>
    <t>* 详见《上市公司财务报表附注模板（执行新金融准则）》八、</t>
    <phoneticPr fontId="163" type="noConversion"/>
  </si>
  <si>
    <t>* 详见《上市公司财务报表附注模板（执行新金融准则）》九、</t>
    <phoneticPr fontId="163" type="noConversion"/>
  </si>
  <si>
    <t>* 详见《上市公司财务报表附注模板（执行新金融准则）》十、5.</t>
    <phoneticPr fontId="163" type="noConversion"/>
  </si>
  <si>
    <t>* 详见《上市公司财务报表附注模板（执行新金融准则）》十、6.</t>
    <phoneticPr fontId="163" type="noConversion"/>
  </si>
  <si>
    <t>* 详见《上市公司财务报表附注模板（执行新金融准则）》十四、5.</t>
    <phoneticPr fontId="163" type="noConversion"/>
  </si>
  <si>
    <t>* 详见《上市公司财务报表附注模板（执行新金融准则）》十六、1.</t>
    <phoneticPr fontId="163" type="noConversion"/>
  </si>
  <si>
    <t>本期增加金额</t>
    <phoneticPr fontId="163" type="noConversion"/>
  </si>
  <si>
    <t>本期减少金额</t>
    <phoneticPr fontId="163" type="noConversion"/>
  </si>
  <si>
    <t>采用成本计量模式的生产性生物资产</t>
  </si>
  <si>
    <t>合       计</t>
    <phoneticPr fontId="163" type="noConversion"/>
  </si>
  <si>
    <t>项       目</t>
    <phoneticPr fontId="163" type="noConversion"/>
  </si>
  <si>
    <t>* 请填写表格 6064a 及 6064b</t>
    <phoneticPr fontId="163" type="noConversion"/>
  </si>
  <si>
    <t xml:space="preserve">非上市股权投资 </t>
    <phoneticPr fontId="163" type="noConversion"/>
  </si>
  <si>
    <t>附注列报A：</t>
    <phoneticPr fontId="163" type="noConversion"/>
  </si>
  <si>
    <t>附注列报B：</t>
    <phoneticPr fontId="163" type="noConversion"/>
  </si>
  <si>
    <t>适用</t>
    <phoneticPr fontId="163" type="noConversion"/>
  </si>
  <si>
    <t>* 详见 &gt;&gt;</t>
    <phoneticPr fontId="163" type="noConversion"/>
  </si>
  <si>
    <r>
      <t xml:space="preserve">1704a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</si>
  <si>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Integrity Checks:   ∧</t>
    <phoneticPr fontId="163" type="noConversion"/>
  </si>
  <si>
    <r>
      <t xml:space="preserve">Integrity Checks </t>
    </r>
    <r>
      <rPr>
        <i/>
        <sz val="10"/>
        <color rgb="FF000000"/>
        <rFont val="宋体"/>
        <family val="3"/>
        <charset val="134"/>
      </rPr>
      <t>注释</t>
    </r>
    <r>
      <rPr>
        <i/>
        <sz val="10"/>
        <color rgb="FF000000"/>
        <rFont val="Arial"/>
        <family val="2"/>
      </rPr>
      <t>A:</t>
    </r>
  </si>
  <si>
    <t>NoteID</t>
  </si>
  <si>
    <r>
      <t xml:space="preserve">Integrity Checks </t>
    </r>
    <r>
      <rPr>
        <i/>
        <sz val="10"/>
        <color rgb="FF000000"/>
        <rFont val="宋体"/>
        <family val="3"/>
        <charset val="134"/>
      </rPr>
      <t/>
    </r>
    <phoneticPr fontId="163" type="noConversion"/>
  </si>
  <si>
    <t>04#A11.70</t>
    <phoneticPr fontId="163" type="noConversion"/>
  </si>
  <si>
    <t>05#A11.IB</t>
    <phoneticPr fontId="163" type="noConversion"/>
  </si>
  <si>
    <t>06#A11.30</t>
    <phoneticPr fontId="163" type="noConversion"/>
  </si>
  <si>
    <t>07#A11.IG</t>
    <phoneticPr fontId="163" type="noConversion"/>
  </si>
  <si>
    <t>08#A11.17</t>
    <phoneticPr fontId="163" type="noConversion"/>
  </si>
  <si>
    <t>2019年12月31日_账面余额</t>
    <phoneticPr fontId="163" type="noConversion"/>
  </si>
  <si>
    <t>2019年12月31日_比例（%）</t>
    <phoneticPr fontId="163" type="noConversion"/>
  </si>
  <si>
    <t>2019年12月31日_坏账准备</t>
    <phoneticPr fontId="163" type="noConversion"/>
  </si>
  <si>
    <t>2019年12月31日_计提比例（%）</t>
    <phoneticPr fontId="163" type="noConversion"/>
  </si>
  <si>
    <t>2019年12月31日_账面价值</t>
    <phoneticPr fontId="163" type="noConversion"/>
  </si>
  <si>
    <t>04#A11.70</t>
    <phoneticPr fontId="163" type="noConversion"/>
  </si>
  <si>
    <t>05#A11.30</t>
    <phoneticPr fontId="163" type="noConversion"/>
  </si>
  <si>
    <t>06#A11.IB</t>
    <phoneticPr fontId="163" type="noConversion"/>
  </si>
  <si>
    <t>07#RMA</t>
    <phoneticPr fontId="163" type="noConversion"/>
  </si>
  <si>
    <t>2019年12月31日_账面余额</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</si>
  <si>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</si>
  <si>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</si>
  <si>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</si>
  <si>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04#A11</t>
    <phoneticPr fontId="163" type="noConversion"/>
  </si>
  <si>
    <t>05#B11</t>
    <phoneticPr fontId="163" type="noConversion"/>
  </si>
  <si>
    <t>04#A11</t>
    <phoneticPr fontId="163" type="noConversion"/>
  </si>
  <si>
    <t>05#RIA</t>
    <phoneticPr fontId="163" type="noConversion"/>
  </si>
  <si>
    <t>06#R70</t>
    <phoneticPr fontId="163" type="noConversion"/>
  </si>
  <si>
    <t>07#RIB</t>
    <phoneticPr fontId="163" type="noConversion"/>
  </si>
  <si>
    <t>08#R71</t>
    <phoneticPr fontId="163" type="noConversion"/>
  </si>
  <si>
    <t>2018年12月31日_账面余额</t>
    <phoneticPr fontId="163" type="noConversion"/>
  </si>
  <si>
    <t>2018年12月31日_比例（%）</t>
    <phoneticPr fontId="163" type="noConversion"/>
  </si>
  <si>
    <t>2018年12月31日_坏账准备</t>
    <phoneticPr fontId="163" type="noConversion"/>
  </si>
  <si>
    <t>2018年12月31日_计提比例（%）</t>
    <phoneticPr fontId="163" type="noConversion"/>
  </si>
  <si>
    <t>2018年12月31日_账面价值</t>
    <phoneticPr fontId="163" type="noConversion"/>
  </si>
  <si>
    <t>04#A11</t>
    <phoneticPr fontId="163" type="noConversion"/>
  </si>
  <si>
    <t>05#B11</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</si>
  <si>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</si>
  <si>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</si>
  <si>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</si>
  <si>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</si>
  <si>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04#A11</t>
    <phoneticPr fontId="163" type="noConversion"/>
  </si>
  <si>
    <t>05#B11</t>
    <phoneticPr fontId="163" type="noConversion"/>
  </si>
  <si>
    <t>05#BIA</t>
    <phoneticPr fontId="163" type="noConversion"/>
  </si>
  <si>
    <t>04#A11</t>
    <phoneticPr fontId="163" type="noConversion"/>
  </si>
  <si>
    <t>05#B11</t>
    <phoneticPr fontId="163" type="noConversion"/>
  </si>
  <si>
    <t>06#RIA</t>
    <phoneticPr fontId="163" type="noConversion"/>
  </si>
  <si>
    <t>2018年12月31日_其他应收款</t>
    <phoneticPr fontId="163" type="noConversion"/>
  </si>
  <si>
    <t>2018年12月31日_坏账准备</t>
    <phoneticPr fontId="163" type="noConversion"/>
  </si>
  <si>
    <t>2018年12月31日_计提比例</t>
    <phoneticPr fontId="163" type="noConversion"/>
  </si>
  <si>
    <t>04#R70.12</t>
    <phoneticPr fontId="163" type="noConversion"/>
  </si>
  <si>
    <t>05#R70.76</t>
    <phoneticPr fontId="163" type="noConversion"/>
  </si>
  <si>
    <t>06#R70.81</t>
    <phoneticPr fontId="163" type="noConversion"/>
  </si>
  <si>
    <t>07#R70.19</t>
    <phoneticPr fontId="163" type="noConversion"/>
  </si>
  <si>
    <t>账面余额_2017年12月31日</t>
    <phoneticPr fontId="163" type="noConversion"/>
  </si>
  <si>
    <t>账面余额_本期增加</t>
    <phoneticPr fontId="163" type="noConversion"/>
  </si>
  <si>
    <t>账面余额_本期减少</t>
    <phoneticPr fontId="163" type="noConversion"/>
  </si>
  <si>
    <t>账面余额_2018年12月31日</t>
    <phoneticPr fontId="163" type="noConversion"/>
  </si>
  <si>
    <t>04#R34.12</t>
    <phoneticPr fontId="163" type="noConversion"/>
  </si>
  <si>
    <t>05#R34.76</t>
    <phoneticPr fontId="163" type="noConversion"/>
  </si>
  <si>
    <t>06#R34.81</t>
    <phoneticPr fontId="163" type="noConversion"/>
  </si>
  <si>
    <t>07#R34.19</t>
    <phoneticPr fontId="163" type="noConversion"/>
  </si>
  <si>
    <t>08#RIJ</t>
    <phoneticPr fontId="163" type="noConversion"/>
  </si>
  <si>
    <t>09#UF4</t>
    <phoneticPr fontId="163" type="noConversion"/>
  </si>
  <si>
    <t>减值准备_2017年12月31日</t>
    <phoneticPr fontId="163" type="noConversion"/>
  </si>
  <si>
    <t>减值准备_本期增加</t>
    <phoneticPr fontId="163" type="noConversion"/>
  </si>
  <si>
    <t>减值准备_本期减少</t>
    <phoneticPr fontId="163" type="noConversion"/>
  </si>
  <si>
    <t>减值准备_2018年12月31日</t>
    <phoneticPr fontId="163" type="noConversion"/>
  </si>
  <si>
    <t>在被投资单位持股比例(%)_</t>
    <phoneticPr fontId="163" type="noConversion"/>
  </si>
  <si>
    <t>本期现金红利_</t>
    <phoneticPr fontId="163" type="noConversion"/>
  </si>
  <si>
    <t>04#B11</t>
    <phoneticPr fontId="163" type="noConversion"/>
  </si>
  <si>
    <t>05#U76.78</t>
    <phoneticPr fontId="163" type="noConversion"/>
  </si>
  <si>
    <t>06#U76.A5</t>
    <phoneticPr fontId="163" type="noConversion"/>
  </si>
  <si>
    <t>07#U76.H0</t>
    <phoneticPr fontId="163" type="noConversion"/>
  </si>
  <si>
    <t>08#U76.A6</t>
    <phoneticPr fontId="163" type="noConversion"/>
  </si>
  <si>
    <t>09#U76.72</t>
    <phoneticPr fontId="163" type="noConversion"/>
  </si>
  <si>
    <t>10#U81.86</t>
    <phoneticPr fontId="163" type="noConversion"/>
  </si>
  <si>
    <t>11#U81.82</t>
    <phoneticPr fontId="163" type="noConversion"/>
  </si>
  <si>
    <t>12#A11</t>
    <phoneticPr fontId="163" type="noConversion"/>
  </si>
  <si>
    <t>04#B11</t>
    <phoneticPr fontId="163" type="noConversion"/>
  </si>
  <si>
    <t>05#U73</t>
    <phoneticPr fontId="163" type="noConversion"/>
  </si>
  <si>
    <t>06#U75</t>
    <phoneticPr fontId="163" type="noConversion"/>
  </si>
  <si>
    <t>07#U73.H3</t>
    <phoneticPr fontId="163" type="noConversion"/>
  </si>
  <si>
    <t>08#U73.H4</t>
    <phoneticPr fontId="163" type="noConversion"/>
  </si>
  <si>
    <t>09#U73.H5</t>
    <phoneticPr fontId="163" type="noConversion"/>
  </si>
  <si>
    <t>10#U73.H6</t>
    <phoneticPr fontId="163" type="noConversion"/>
  </si>
  <si>
    <t>11#U73.H7</t>
    <phoneticPr fontId="163" type="noConversion"/>
  </si>
  <si>
    <t>12#R72</t>
    <phoneticPr fontId="163" type="noConversion"/>
  </si>
  <si>
    <t>2018年12月31日_</t>
    <phoneticPr fontId="163" type="noConversion"/>
  </si>
  <si>
    <t>会计政策变更_</t>
    <phoneticPr fontId="163" type="noConversion"/>
  </si>
  <si>
    <t>2019年1月1日_</t>
    <phoneticPr fontId="163" type="noConversion"/>
  </si>
  <si>
    <t>本期发生金额_本期所得税前发生额</t>
    <phoneticPr fontId="163" type="noConversion"/>
  </si>
  <si>
    <t>本期发生金额_减：前期计入其他综合收益当期转入损益</t>
    <phoneticPr fontId="163" type="noConversion"/>
  </si>
  <si>
    <t>本期发生金额_减：所得税费用</t>
    <phoneticPr fontId="163" type="noConversion"/>
  </si>
  <si>
    <t>本期发生金额_税后归属于母公司</t>
    <phoneticPr fontId="163" type="noConversion"/>
  </si>
  <si>
    <t>本期发生金额_税后归属于少数股东</t>
    <phoneticPr fontId="163" type="noConversion"/>
  </si>
  <si>
    <t>2019年12月31日_</t>
    <phoneticPr fontId="163" type="noConversion"/>
  </si>
  <si>
    <t>2019年12月31日余额_外币</t>
    <phoneticPr fontId="163" type="noConversion"/>
  </si>
  <si>
    <t>NOTE_1122y</t>
  </si>
  <si>
    <t>2018年12月31日_应收账款</t>
  </si>
  <si>
    <t>2018年12月31日_坏账准备</t>
  </si>
  <si>
    <t>NOTE_1122z</t>
  </si>
  <si>
    <t>2018年12月31日_计提比例（%）</t>
  </si>
  <si>
    <t>NOTE_1124e</t>
  </si>
  <si>
    <t>适用</t>
    <phoneticPr fontId="163" type="noConversion"/>
  </si>
  <si>
    <t>附注列报A：</t>
    <phoneticPr fontId="163" type="noConversion"/>
  </si>
  <si>
    <t>附注列报B：</t>
    <phoneticPr fontId="163" type="noConversion"/>
  </si>
  <si>
    <t>2019年12月31日_其他应收款</t>
    <phoneticPr fontId="163" type="noConversion"/>
  </si>
  <si>
    <t>2019年12月31日_计提比例(%)</t>
    <phoneticPr fontId="163" type="noConversion"/>
  </si>
  <si>
    <t>04#A70</t>
    <phoneticPr fontId="163" type="noConversion"/>
  </si>
  <si>
    <t>05#R30</t>
    <phoneticPr fontId="163" type="noConversion"/>
  </si>
  <si>
    <t>06#RIC</t>
    <phoneticPr fontId="163" type="noConversion"/>
  </si>
  <si>
    <t>07#RKA</t>
    <phoneticPr fontId="163" type="noConversion"/>
  </si>
  <si>
    <t>期末余额</t>
    <phoneticPr fontId="163" type="noConversion"/>
  </si>
  <si>
    <t>其他应收款（按单位）</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</si>
  <si>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</si>
  <si>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</si>
  <si>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</si>
  <si>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</si>
  <si>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合       计</t>
    <phoneticPr fontId="163" type="noConversion"/>
  </si>
  <si>
    <t>款项性质</t>
    <phoneticPr fontId="163" type="noConversion"/>
  </si>
  <si>
    <t>项       目</t>
    <phoneticPr fontId="163" type="noConversion"/>
  </si>
  <si>
    <t>合       计</t>
    <phoneticPr fontId="163" type="noConversion"/>
  </si>
  <si>
    <t>项       目</t>
    <phoneticPr fontId="163" type="noConversion"/>
  </si>
  <si>
    <t>合       计</t>
    <phoneticPr fontId="163" type="noConversion"/>
  </si>
  <si>
    <t>项       目</t>
    <phoneticPr fontId="163" type="noConversion"/>
  </si>
  <si>
    <t>附注列报K：</t>
    <phoneticPr fontId="163" type="noConversion"/>
  </si>
  <si>
    <t>附注列报L：</t>
    <phoneticPr fontId="163" type="noConversion"/>
  </si>
  <si>
    <t>合       计</t>
    <phoneticPr fontId="163" type="noConversion"/>
  </si>
  <si>
    <t xml:space="preserve">项       目  </t>
    <phoneticPr fontId="163" type="noConversion"/>
  </si>
  <si>
    <r>
      <t xml:space="preserve">Integrity Checks:   </t>
    </r>
    <r>
      <rPr>
        <i/>
        <sz val="10"/>
        <color rgb="FF000000"/>
        <rFont val="Arial Narrow"/>
        <family val="2"/>
      </rPr>
      <t>∧</t>
    </r>
  </si>
  <si>
    <t>NoteID</t>
    <phoneticPr fontId="163" type="noConversion"/>
  </si>
  <si>
    <t>本期计提</t>
    <phoneticPr fontId="163" type="noConversion"/>
  </si>
  <si>
    <t>差异(供参考）</t>
    <phoneticPr fontId="163" type="noConversion"/>
  </si>
  <si>
    <t>1121i</t>
    <phoneticPr fontId="163" type="noConversion"/>
  </si>
  <si>
    <t>1122u</t>
    <phoneticPr fontId="163" type="noConversion"/>
  </si>
  <si>
    <t>1221y</t>
    <phoneticPr fontId="163" type="noConversion"/>
  </si>
  <si>
    <t>1124f</t>
    <phoneticPr fontId="163" type="noConversion"/>
  </si>
  <si>
    <t>1508k</t>
    <phoneticPr fontId="163" type="noConversion"/>
  </si>
  <si>
    <t>1531g</t>
    <phoneticPr fontId="163" type="noConversion"/>
  </si>
  <si>
    <r>
      <t xml:space="preserve">Integrity Checks:   </t>
    </r>
    <r>
      <rPr>
        <i/>
        <sz val="10"/>
        <color rgb="FF000000"/>
        <rFont val="宋体"/>
        <family val="3"/>
        <charset val="134"/>
      </rPr>
      <t>∧</t>
    </r>
  </si>
  <si>
    <t>差异(供参考）</t>
  </si>
  <si>
    <t>1400b</t>
    <phoneticPr fontId="163" type="noConversion"/>
  </si>
  <si>
    <t>1511b</t>
    <phoneticPr fontId="163" type="noConversion"/>
  </si>
  <si>
    <t>1521h</t>
    <phoneticPr fontId="163" type="noConversion"/>
  </si>
  <si>
    <t>1601k</t>
    <phoneticPr fontId="163" type="noConversion"/>
  </si>
  <si>
    <t>1604g</t>
    <phoneticPr fontId="163" type="noConversion"/>
  </si>
  <si>
    <t>1621c</t>
    <phoneticPr fontId="163" type="noConversion"/>
  </si>
  <si>
    <t>1631b</t>
    <phoneticPr fontId="163" type="noConversion"/>
  </si>
  <si>
    <t>1701a</t>
    <phoneticPr fontId="163" type="noConversion"/>
  </si>
  <si>
    <t>1711b</t>
    <phoneticPr fontId="163" type="noConversion"/>
  </si>
  <si>
    <t>1315f</t>
    <phoneticPr fontId="163" type="noConversion"/>
  </si>
  <si>
    <t>附注列报A：</t>
    <phoneticPr fontId="163" type="noConversion"/>
  </si>
  <si>
    <t>附注列报B：</t>
    <phoneticPr fontId="163" type="noConversion"/>
  </si>
  <si>
    <t>适用</t>
    <phoneticPr fontId="163" type="noConversion"/>
  </si>
  <si>
    <t>减：资产处置收益中处理无形资产净收益</t>
    <phoneticPr fontId="163" type="noConversion"/>
  </si>
  <si>
    <t>减：资产处置收益中处理其他长期资产净收益</t>
    <phoneticPr fontId="163" type="noConversion"/>
  </si>
  <si>
    <t>减：资产处置收益中处理固定资产净收益</t>
    <phoneticPr fontId="163" type="noConversion"/>
  </si>
  <si>
    <t>预付账款（设备款）期末-期初（或 其他非流动资产——预付设备款）</t>
    <phoneticPr fontId="163" type="noConversion"/>
  </si>
  <si>
    <t>补充资料：关键管理人员人数</t>
    <phoneticPr fontId="163" type="noConversion"/>
  </si>
  <si>
    <t>注：折算汇率</t>
    <phoneticPr fontId="163" type="noConversion"/>
  </si>
  <si>
    <t>2018年12月31日余额_外币</t>
    <phoneticPr fontId="163" type="noConversion"/>
  </si>
  <si>
    <t>2018年12月31日余额_人民币</t>
    <phoneticPr fontId="163" type="noConversion"/>
  </si>
  <si>
    <t>2019年12月31日余额_人民币</t>
    <phoneticPr fontId="163" type="noConversion"/>
  </si>
  <si>
    <t>2019年12月31日余额_注：折算汇率</t>
  </si>
  <si>
    <t>05#A12</t>
    <phoneticPr fontId="163" type="noConversion"/>
  </si>
  <si>
    <t>06#AIY</t>
    <phoneticPr fontId="163" type="noConversion"/>
  </si>
  <si>
    <t>* 注：“折算汇率”列并非披露要求，如不适用，则无须填写。</t>
    <phoneticPr fontId="163" type="noConversion"/>
  </si>
  <si>
    <t>_注：折算汇率</t>
  </si>
  <si>
    <t>05#B12</t>
    <phoneticPr fontId="163" type="noConversion"/>
  </si>
  <si>
    <t>06#BIY</t>
    <phoneticPr fontId="163" type="noConversion"/>
  </si>
  <si>
    <t>注：折算汇率</t>
    <phoneticPr fontId="163" type="noConversion"/>
  </si>
  <si>
    <t>04#B11</t>
    <phoneticPr fontId="163" type="noConversion"/>
  </si>
  <si>
    <t>注：本期增加</t>
    <phoneticPr fontId="163" type="noConversion"/>
  </si>
  <si>
    <t>注：本期减少</t>
    <phoneticPr fontId="163" type="noConversion"/>
  </si>
  <si>
    <t>* 注：“本期增加、本期减少”两列并非披露要求，如不适用，则无须填写。</t>
    <phoneticPr fontId="163" type="noConversion"/>
  </si>
  <si>
    <t>本期报表数</t>
    <phoneticPr fontId="163" type="noConversion"/>
  </si>
  <si>
    <t>差异分析</t>
    <phoneticPr fontId="163" type="noConversion"/>
  </si>
  <si>
    <t>上期报表数</t>
    <phoneticPr fontId="163" type="noConversion"/>
  </si>
  <si>
    <t>附注披露A：</t>
    <phoneticPr fontId="163" type="noConversion"/>
  </si>
  <si>
    <t>适用</t>
    <phoneticPr fontId="163" type="noConversion"/>
  </si>
  <si>
    <t>附注列报A：</t>
    <phoneticPr fontId="163" type="noConversion"/>
  </si>
  <si>
    <t>适用</t>
    <phoneticPr fontId="163" type="noConversion"/>
  </si>
  <si>
    <t>附注列报A：</t>
    <phoneticPr fontId="163" type="noConversion"/>
  </si>
  <si>
    <t>2019年12月31日_其他应收款</t>
  </si>
  <si>
    <t>2019年12月31日_坏账准备</t>
  </si>
  <si>
    <t>2019年12月31日_计提比例（%）</t>
  </si>
  <si>
    <t>04#A70</t>
    <phoneticPr fontId="163" type="noConversion"/>
  </si>
  <si>
    <t>05#R30</t>
    <phoneticPr fontId="163" type="noConversion"/>
  </si>
  <si>
    <t>06#RIC</t>
    <phoneticPr fontId="163" type="noConversion"/>
  </si>
  <si>
    <t>07#RKA</t>
    <phoneticPr fontId="163" type="noConversion"/>
  </si>
  <si>
    <t>2018年12月31日_应收账款</t>
    <phoneticPr fontId="163" type="noConversion"/>
  </si>
  <si>
    <t>2018年12月31日_坏账准备</t>
    <phoneticPr fontId="163" type="noConversion"/>
  </si>
  <si>
    <t>2018年12月31日_计提比例(%)</t>
    <phoneticPr fontId="163" type="noConversion"/>
  </si>
  <si>
    <t>2018年12月31日_计提理由</t>
    <phoneticPr fontId="163" type="noConversion"/>
  </si>
  <si>
    <t>2019年12月31日_应收账款</t>
  </si>
  <si>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</si>
  <si>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</si>
  <si>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</si>
  <si>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</si>
  <si>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</si>
  <si>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</si>
  <si>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</si>
  <si>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</si>
  <si>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</si>
  <si>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</si>
  <si>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</si>
  <si>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</si>
  <si>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</si>
  <si>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</si>
  <si>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</si>
  <si>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</si>
  <si>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</si>
  <si>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</si>
  <si>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</si>
  <si>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</si>
  <si>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</si>
  <si>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</si>
  <si>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</si>
  <si>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适用</t>
    <phoneticPr fontId="163" type="noConversion"/>
  </si>
  <si>
    <t>1121m</t>
  </si>
  <si>
    <t>外币应收票据</t>
  </si>
  <si>
    <t>1501f</t>
  </si>
  <si>
    <t>外币持有至到期投资</t>
  </si>
  <si>
    <t>2502e</t>
  </si>
  <si>
    <t>外币应付债券</t>
  </si>
  <si>
    <t>适用</t>
    <phoneticPr fontId="163" type="noConversion"/>
  </si>
  <si>
    <t>附注列报A：</t>
    <phoneticPr fontId="163" type="noConversion"/>
  </si>
  <si>
    <t>附注列报B：</t>
    <phoneticPr fontId="163" type="noConversion"/>
  </si>
  <si>
    <t>NOTE_1121m</t>
  </si>
  <si>
    <t>NOTE_1501f</t>
  </si>
  <si>
    <t>适用</t>
    <phoneticPr fontId="163" type="noConversion"/>
  </si>
  <si>
    <t>附注列报A：</t>
    <phoneticPr fontId="163" type="noConversion"/>
  </si>
  <si>
    <t>附注列报B：</t>
    <phoneticPr fontId="163" type="noConversion"/>
  </si>
  <si>
    <t>NOTE_2502e</t>
  </si>
  <si>
    <t>附注列报A：</t>
    <phoneticPr fontId="163" type="noConversion"/>
  </si>
  <si>
    <t>附注列报B：</t>
    <phoneticPr fontId="163" type="noConversion"/>
  </si>
  <si>
    <t>适用</t>
    <phoneticPr fontId="163" type="noConversion"/>
  </si>
  <si>
    <t>* 提示：该注释项应在“关联方应收应付款项”中统一披露，填写左表可按科目收集数据。</t>
    <phoneticPr fontId="163" type="noConversion"/>
  </si>
  <si>
    <t>* 提示：该注释项应在“外币货币性项目”中统一披露，填写左表可按科目收集数据。</t>
  </si>
  <si>
    <r>
      <t>9120o</t>
    </r>
    <r>
      <rPr>
        <u/>
        <sz val="10"/>
        <color indexed="12"/>
        <rFont val="Times New Roman"/>
        <family val="1"/>
      </rPr>
      <t xml:space="preserve"> </t>
    </r>
    <r>
      <rPr>
        <u/>
        <sz val="10"/>
        <color indexed="12"/>
        <rFont val="宋体"/>
        <family val="3"/>
        <charset val="134"/>
      </rPr>
      <t>（</t>
    </r>
    <r>
      <rPr>
        <u/>
        <sz val="10"/>
        <color indexed="12"/>
        <rFont val="Times New Roman"/>
        <family val="1"/>
      </rPr>
      <t>F5+Enter</t>
    </r>
    <r>
      <rPr>
        <u/>
        <sz val="10"/>
        <color indexed="12"/>
        <rFont val="宋体"/>
        <family val="3"/>
        <charset val="134"/>
      </rPr>
      <t>可返回）</t>
    </r>
    <phoneticPr fontId="163" type="noConversion"/>
  </si>
  <si>
    <t>附注列报A：</t>
    <phoneticPr fontId="163" type="noConversion"/>
  </si>
  <si>
    <t>附注列报B：</t>
    <phoneticPr fontId="163" type="noConversion"/>
  </si>
  <si>
    <t>适用</t>
    <phoneticPr fontId="163" type="noConversion"/>
  </si>
  <si>
    <t>附注列报A：</t>
    <phoneticPr fontId="163" type="noConversion"/>
  </si>
  <si>
    <t>附注列报B：</t>
    <phoneticPr fontId="163" type="noConversion"/>
  </si>
  <si>
    <t>适用</t>
    <phoneticPr fontId="163" type="noConversion"/>
  </si>
  <si>
    <t>适用</t>
    <phoneticPr fontId="163" type="noConversion"/>
  </si>
  <si>
    <r>
      <t xml:space="preserve">9120p </t>
    </r>
    <r>
      <rPr>
        <u/>
        <sz val="10"/>
        <color indexed="12"/>
        <rFont val="宋体"/>
        <family val="3"/>
        <charset val="134"/>
      </rPr>
      <t>（</t>
    </r>
    <r>
      <rPr>
        <u/>
        <sz val="10"/>
        <color indexed="12"/>
        <rFont val="Arial"/>
        <family val="2"/>
      </rPr>
      <t>F5+Enter</t>
    </r>
    <r>
      <rPr>
        <u/>
        <sz val="10"/>
        <color indexed="12"/>
        <rFont val="宋体"/>
        <family val="3"/>
        <charset val="134"/>
      </rPr>
      <t>可返回）</t>
    </r>
    <phoneticPr fontId="163" type="noConversion"/>
  </si>
  <si>
    <t>适用</t>
    <phoneticPr fontId="163" type="noConversion"/>
  </si>
  <si>
    <t>其他应收款</t>
    <phoneticPr fontId="163" type="noConversion"/>
  </si>
  <si>
    <t>计算机软件</t>
    <phoneticPr fontId="163" type="noConversion"/>
  </si>
  <si>
    <t>1539b</t>
  </si>
  <si>
    <t>1539c</t>
  </si>
  <si>
    <t>其他非流动金融资产——权益工具投资明细</t>
  </si>
  <si>
    <t>其他非流动金融资产——债务工具投资明细</t>
  </si>
  <si>
    <t>1511c</t>
  </si>
  <si>
    <t>1511d</t>
  </si>
  <si>
    <t>长期股权投资情况</t>
  </si>
  <si>
    <t>长期股权投资——对子公司投资明细</t>
  </si>
  <si>
    <t>NOTE_1539b</t>
  </si>
  <si>
    <t>适用</t>
    <phoneticPr fontId="163" type="noConversion"/>
  </si>
  <si>
    <t>附注列报A：</t>
    <phoneticPr fontId="163" type="noConversion"/>
  </si>
  <si>
    <t>附注列报B：</t>
    <phoneticPr fontId="163" type="noConversion"/>
  </si>
  <si>
    <t>NOTE_1539c</t>
  </si>
  <si>
    <t>在被投资单位持股比例（%）</t>
  </si>
  <si>
    <t>其中：债务工具投资</t>
    <phoneticPr fontId="163" type="noConversion"/>
  </si>
  <si>
    <t>权益工具投资</t>
    <phoneticPr fontId="163" type="noConversion"/>
  </si>
  <si>
    <t>衍生金融资产</t>
    <phoneticPr fontId="163" type="noConversion"/>
  </si>
  <si>
    <t xml:space="preserve">其中：债务工具投资 </t>
    <phoneticPr fontId="163" type="noConversion"/>
  </si>
  <si>
    <t xml:space="preserve">其他 </t>
    <phoneticPr fontId="163" type="noConversion"/>
  </si>
  <si>
    <t>* 提示：其中数不纳入合计行合计范围。</t>
    <phoneticPr fontId="163" type="noConversion"/>
  </si>
  <si>
    <t>* 提示：本行（无缩进非斜体，非其中数）纳入合计行合计范围。</t>
    <phoneticPr fontId="163" type="noConversion"/>
  </si>
  <si>
    <t>* 提示：本行（有缩进且斜体，为其中数）不纳入合计行合计范围。</t>
    <phoneticPr fontId="163" type="noConversion"/>
  </si>
  <si>
    <t>期货合约</t>
  </si>
  <si>
    <t>远期外汇合约</t>
  </si>
  <si>
    <t>套期工具</t>
  </si>
  <si>
    <t>* 蓝色白底的行项目仅为示例，可修改，可删除，可在此插入行。</t>
    <phoneticPr fontId="163" type="noConversion"/>
  </si>
  <si>
    <t>交易性金融工具、衍生金融工具的公允价值变动</t>
  </si>
  <si>
    <t>地方教育附加</t>
  </si>
  <si>
    <t>土地增值税</t>
  </si>
  <si>
    <t>城镇土地使用税</t>
  </si>
  <si>
    <t>资源税</t>
    <phoneticPr fontId="163" type="noConversion"/>
  </si>
  <si>
    <t>本期发生同一控制下企业合并的，被合并方在合并前实现的净利润为：　　　 元,上期被合并方实现的净利润为：　　　 元。</t>
    <phoneticPr fontId="163" type="noConversion"/>
  </si>
  <si>
    <t>5000A</t>
  </si>
  <si>
    <t>5100X_5110X</t>
  </si>
  <si>
    <t>5110X</t>
  </si>
  <si>
    <t>5400B</t>
  </si>
  <si>
    <t>应收分保准备金</t>
  </si>
  <si>
    <t>5200E</t>
  </si>
  <si>
    <t>5200F</t>
  </si>
  <si>
    <t>5300A</t>
  </si>
  <si>
    <t>5200H</t>
  </si>
  <si>
    <t>5400Z</t>
  </si>
  <si>
    <t>发放贷款和垫款</t>
  </si>
  <si>
    <t>5100H</t>
  </si>
  <si>
    <t>5100Z</t>
  </si>
  <si>
    <t>5100L</t>
  </si>
  <si>
    <t>5500D</t>
  </si>
  <si>
    <t>5500E</t>
  </si>
  <si>
    <t>5650A</t>
  </si>
  <si>
    <t>5800B</t>
  </si>
  <si>
    <t>5700A</t>
  </si>
  <si>
    <t>5950B</t>
  </si>
  <si>
    <t>5850A</t>
  </si>
  <si>
    <t>5950Z</t>
  </si>
  <si>
    <t>6000B</t>
  </si>
  <si>
    <t>6000X_6050Y</t>
  </si>
  <si>
    <t>6050Y</t>
  </si>
  <si>
    <t>6100B</t>
  </si>
  <si>
    <t>6100A</t>
  </si>
  <si>
    <t>6200C</t>
  </si>
  <si>
    <t>6200D</t>
  </si>
  <si>
    <t>6200B</t>
  </si>
  <si>
    <t>6150B</t>
  </si>
  <si>
    <t>6200E</t>
  </si>
  <si>
    <t>6200F</t>
  </si>
  <si>
    <t>6200H</t>
  </si>
  <si>
    <t>6200G</t>
  </si>
  <si>
    <t>6200I</t>
  </si>
  <si>
    <t>6200J</t>
  </si>
  <si>
    <t>6000L</t>
  </si>
  <si>
    <t>6000M</t>
  </si>
  <si>
    <t>6500B</t>
  </si>
  <si>
    <t>6000P</t>
  </si>
  <si>
    <t>6200M</t>
  </si>
  <si>
    <t>6200L</t>
  </si>
  <si>
    <t>6300A</t>
  </si>
  <si>
    <t>6400A</t>
  </si>
  <si>
    <t>6850A</t>
  </si>
  <si>
    <t>6200Z</t>
  </si>
  <si>
    <t>6900B</t>
  </si>
  <si>
    <t>6900C</t>
  </si>
  <si>
    <t>6900D</t>
  </si>
  <si>
    <t>6900E</t>
  </si>
  <si>
    <t>7410Q</t>
  </si>
  <si>
    <t>6900G</t>
  </si>
  <si>
    <t>6900N</t>
  </si>
  <si>
    <t>7100A</t>
  </si>
  <si>
    <t>提取保险责任准备金净额</t>
  </si>
  <si>
    <t>7200B</t>
  </si>
  <si>
    <t>7200C</t>
  </si>
  <si>
    <t>7200D</t>
  </si>
  <si>
    <t>7200E</t>
  </si>
  <si>
    <t>7420B</t>
  </si>
  <si>
    <t>7410B</t>
  </si>
  <si>
    <t>7400B</t>
  </si>
  <si>
    <t>其中：对联营企业和合营企业投资收益</t>
  </si>
  <si>
    <t>7410D</t>
  </si>
  <si>
    <t>7410F</t>
  </si>
  <si>
    <t>7410G</t>
  </si>
  <si>
    <t>7410L</t>
  </si>
  <si>
    <t>7410M</t>
  </si>
  <si>
    <t>7500A</t>
  </si>
  <si>
    <t>（一）按经营持续性分类</t>
  </si>
  <si>
    <t>1.持续经营净利润（净亏损以“-”号填列）</t>
  </si>
  <si>
    <t>2.终止经营净利润（净亏损以“-”号填列）</t>
  </si>
  <si>
    <t>（二）按所有权归属分类</t>
  </si>
  <si>
    <t>1.归属于母公司股东的净利润（净亏损以“-”号填列）</t>
  </si>
  <si>
    <t>2.少数股东损益（净亏损以“-”号填列）</t>
  </si>
  <si>
    <t>（一）归属于母公司所有者的其他综合收益的税后净额</t>
  </si>
  <si>
    <t>1.不能重分类进损益的其他综合收益</t>
  </si>
  <si>
    <t>2.将重分类进损益的其他综合收益</t>
  </si>
  <si>
    <t>八、每股收益</t>
  </si>
  <si>
    <t>（一）基本每股收益（元/股）</t>
  </si>
  <si>
    <t>基本每股收益（元/股）</t>
  </si>
  <si>
    <t>（二）稀释每股收益（元/股）</t>
  </si>
  <si>
    <t>稀释每股收益（元/股）</t>
  </si>
  <si>
    <t>收到再保业务现金净额</t>
  </si>
  <si>
    <t>收取利息、手续费及佣金的现金</t>
  </si>
  <si>
    <t>代理买卖证券收到的现金净额</t>
  </si>
  <si>
    <t>拆出资金净增加额</t>
  </si>
  <si>
    <t>支付利息、手续费及佣金的现金</t>
  </si>
  <si>
    <t>关联方及关联交易</t>
  </si>
  <si>
    <t>DEL</t>
  </si>
  <si>
    <t>6350B</t>
  </si>
  <si>
    <t>※DEL</t>
  </si>
  <si>
    <t>△DEL</t>
  </si>
  <si>
    <t>处置以公允价值计量且其变动计入当期损益的金融资产净增加额</t>
  </si>
  <si>
    <t>购建固定资产、无形资产和其他长期资产支付的现金</t>
  </si>
  <si>
    <t>（二）归属于少数股东的其他综合收益的税后净额</t>
  </si>
  <si>
    <t>（一）归属于母公司股东的综合收益总额</t>
  </si>
  <si>
    <t>（一）归属于母公司所有者的综合收益总额</t>
  </si>
  <si>
    <t>（二）归属于少数股东的综合收益总额</t>
  </si>
  <si>
    <t>（五）所有者权益内部结转</t>
  </si>
  <si>
    <t>单位：元</t>
    <phoneticPr fontId="163" type="noConversion"/>
  </si>
  <si>
    <t>币种：人民币</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</si>
  <si>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</si>
  <si>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</si>
  <si>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</si>
  <si>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r>
      <t>项目</t>
    </r>
    <r>
      <rPr>
        <b/>
        <sz val="12"/>
        <color indexed="9"/>
        <rFont val="Arial Unicode MS"/>
        <family val="2"/>
        <charset val="134"/>
      </rPr>
      <t>2</t>
    </r>
    <r>
      <rPr>
        <sz val="10"/>
        <rFont val="宋体"/>
        <family val="3"/>
        <charset val="134"/>
      </rPr>
      <t/>
    </r>
  </si>
  <si>
    <r>
      <t>金额</t>
    </r>
    <r>
      <rPr>
        <b/>
        <sz val="12"/>
        <color indexed="9"/>
        <rFont val="Arial Unicode MS"/>
        <family val="2"/>
        <charset val="134"/>
      </rPr>
      <t>2</t>
    </r>
    <r>
      <rPr>
        <sz val="10"/>
        <rFont val="宋体"/>
        <family val="3"/>
        <charset val="134"/>
      </rPr>
      <t/>
    </r>
  </si>
  <si>
    <t>本表内勾稽：</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</si>
  <si>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</si>
  <si>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</si>
  <si>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</si>
  <si>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 xml:space="preserve"> </t>
    <phoneticPr fontId="163" type="noConversion"/>
  </si>
  <si>
    <t>与所有者权益变动表勾稽：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</si>
  <si>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</si>
  <si>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</si>
  <si>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</si>
  <si>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</si>
  <si>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</si>
  <si>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 xml:space="preserve"> </t>
    <phoneticPr fontId="163" type="noConversion"/>
  </si>
  <si>
    <t>IS</t>
    <phoneticPr fontId="163" type="noConversion"/>
  </si>
  <si>
    <t>CE</t>
    <phoneticPr fontId="163" type="noConversion"/>
  </si>
  <si>
    <t>差       异</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</si>
  <si>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</si>
  <si>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</si>
  <si>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</si>
  <si>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</si>
  <si>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</si>
  <si>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</si>
  <si>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</si>
  <si>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</si>
  <si>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</si>
  <si>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</si>
  <si>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CF</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</si>
  <si>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</si>
  <si>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</si>
  <si>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</si>
  <si>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</si>
  <si>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</si>
  <si>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86</t>
    <phoneticPr fontId="163" type="noConversion"/>
  </si>
  <si>
    <t>87</t>
    <phoneticPr fontId="163" type="noConversion"/>
  </si>
  <si>
    <t>88</t>
    <phoneticPr fontId="163" type="noConversion"/>
  </si>
  <si>
    <t>80</t>
    <phoneticPr fontId="163" type="noConversion"/>
  </si>
  <si>
    <t>00</t>
    <phoneticPr fontId="163" type="noConversion"/>
  </si>
  <si>
    <t>单位：元   币种：人民币</t>
    <phoneticPr fontId="163" type="noConversion"/>
  </si>
  <si>
    <t>本期金额</t>
    <phoneticPr fontId="163" type="noConversion"/>
  </si>
  <si>
    <t>其他权益工具</t>
    <phoneticPr fontId="163" type="noConversion"/>
  </si>
  <si>
    <t>其他综合收益</t>
    <phoneticPr fontId="163" type="noConversion"/>
  </si>
  <si>
    <t xml:space="preserve"> </t>
    <phoneticPr fontId="163" type="noConversion"/>
  </si>
  <si>
    <t>96</t>
    <phoneticPr fontId="163" type="noConversion"/>
  </si>
  <si>
    <r>
      <t>勾稽检查</t>
    </r>
    <r>
      <rPr>
        <b/>
        <i/>
        <sz val="12"/>
        <color indexed="9"/>
        <rFont val="Arial"/>
        <family val="2"/>
      </rPr>
      <t xml:space="preserve"> Integrity Checks</t>
    </r>
    <phoneticPr fontId="163" type="noConversion"/>
  </si>
  <si>
    <t>实收资本</t>
    <phoneticPr fontId="163" type="noConversion"/>
  </si>
  <si>
    <t>差异汇总：</t>
    <phoneticPr fontId="163" type="noConversion"/>
  </si>
  <si>
    <t>本表内勾稽：</t>
    <phoneticPr fontId="163" type="noConversion"/>
  </si>
  <si>
    <t>CE</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</si>
  <si>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</si>
  <si>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</si>
  <si>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</si>
  <si>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资产负债表</t>
    <phoneticPr fontId="163" type="noConversion"/>
  </si>
  <si>
    <t>利润表</t>
    <phoneticPr fontId="163" type="noConversion"/>
  </si>
  <si>
    <t>现金流量表</t>
    <phoneticPr fontId="163" type="noConversion"/>
  </si>
  <si>
    <t>Code1</t>
    <phoneticPr fontId="163" type="noConversion"/>
  </si>
  <si>
    <t>ItemId1</t>
    <phoneticPr fontId="163" type="noConversion"/>
  </si>
  <si>
    <t>S</t>
    <phoneticPr fontId="163" type="noConversion"/>
  </si>
  <si>
    <r>
      <t>勾稽检查</t>
    </r>
    <r>
      <rPr>
        <b/>
        <i/>
        <sz val="12"/>
        <color indexed="9"/>
        <rFont val="Arial"/>
        <family val="2"/>
      </rPr>
      <t xml:space="preserve"> Integrity Checks</t>
    </r>
    <phoneticPr fontId="163" type="noConversion"/>
  </si>
  <si>
    <r>
      <t>项目</t>
    </r>
    <r>
      <rPr>
        <b/>
        <sz val="12"/>
        <color indexed="9"/>
        <rFont val="Arial Unicode MS"/>
        <family val="2"/>
        <charset val="134"/>
      </rPr>
      <t>1</t>
    </r>
    <phoneticPr fontId="163" type="noConversion"/>
  </si>
  <si>
    <r>
      <t>金额</t>
    </r>
    <r>
      <rPr>
        <b/>
        <sz val="12"/>
        <color indexed="9"/>
        <rFont val="Arial Unicode MS"/>
        <family val="2"/>
        <charset val="134"/>
      </rPr>
      <t>1</t>
    </r>
    <phoneticPr fontId="163" type="noConversion"/>
  </si>
  <si>
    <t>本表内勾稽：</t>
    <phoneticPr fontId="163" type="noConversion"/>
  </si>
  <si>
    <t>IS</t>
    <phoneticPr fontId="163" type="noConversion"/>
  </si>
  <si>
    <t>CE</t>
    <phoneticPr fontId="163" type="noConversion"/>
  </si>
  <si>
    <t>差       异</t>
    <phoneticPr fontId="163" type="noConversion"/>
  </si>
  <si>
    <t xml:space="preserve"> </t>
    <phoneticPr fontId="163" type="noConversion"/>
  </si>
  <si>
    <t>IS</t>
    <phoneticPr fontId="163" type="noConversion"/>
  </si>
  <si>
    <t>请阅读右列提示，若采用方案A，则下表数据取自TB表，不可手工填列；若采用方案B，则清除下表公式，手工填列或从CFWP表取数。</t>
    <phoneticPr fontId="163" type="noConversion"/>
  </si>
  <si>
    <t>现金流量表补充资料</t>
    <phoneticPr fontId="163" type="noConversion"/>
  </si>
  <si>
    <r>
      <t>勾稽检查</t>
    </r>
    <r>
      <rPr>
        <b/>
        <i/>
        <sz val="12"/>
        <color indexed="9"/>
        <rFont val="Arial"/>
        <family val="2"/>
      </rPr>
      <t xml:space="preserve"> Integrity Checks</t>
    </r>
    <phoneticPr fontId="163" type="noConversion"/>
  </si>
  <si>
    <t>项       目</t>
    <phoneticPr fontId="163" type="noConversion"/>
  </si>
  <si>
    <t>本表内勾稽：</t>
    <phoneticPr fontId="163" type="noConversion"/>
  </si>
  <si>
    <t>CF</t>
    <phoneticPr fontId="163" type="noConversion"/>
  </si>
  <si>
    <t>差       异</t>
    <phoneticPr fontId="163" type="noConversion"/>
  </si>
  <si>
    <t xml:space="preserve"> </t>
    <phoneticPr fontId="163" type="noConversion"/>
  </si>
  <si>
    <t>与利润表勾稽：</t>
    <phoneticPr fontId="163" type="noConversion"/>
  </si>
  <si>
    <t>IS</t>
    <phoneticPr fontId="163" type="noConversion"/>
  </si>
  <si>
    <t>81</t>
    <phoneticPr fontId="163" type="noConversion"/>
  </si>
  <si>
    <t>82</t>
    <phoneticPr fontId="163" type="noConversion"/>
  </si>
  <si>
    <t>83</t>
    <phoneticPr fontId="163" type="noConversion"/>
  </si>
  <si>
    <t>84</t>
    <phoneticPr fontId="163" type="noConversion"/>
  </si>
  <si>
    <t>85</t>
    <phoneticPr fontId="163" type="noConversion"/>
  </si>
  <si>
    <t>87</t>
    <phoneticPr fontId="163" type="noConversion"/>
  </si>
  <si>
    <t>88</t>
    <phoneticPr fontId="163" type="noConversion"/>
  </si>
  <si>
    <t>80</t>
    <phoneticPr fontId="163" type="noConversion"/>
  </si>
  <si>
    <t>本期金额</t>
    <phoneticPr fontId="163" type="noConversion"/>
  </si>
  <si>
    <t>实收资本</t>
    <phoneticPr fontId="163" type="noConversion"/>
  </si>
  <si>
    <t>差异汇总：</t>
    <phoneticPr fontId="163" type="noConversion"/>
  </si>
  <si>
    <t>上年同期金额</t>
    <phoneticPr fontId="163" type="noConversion"/>
  </si>
  <si>
    <t>与资产负债表勾稽：</t>
    <phoneticPr fontId="163" type="noConversion"/>
  </si>
  <si>
    <r>
      <t>资产负债表列示</t>
    </r>
    <r>
      <rPr>
        <sz val="10"/>
        <rFont val="Arial"/>
        <family val="2"/>
      </rPr>
      <t xml:space="preserve">     BS</t>
    </r>
    <phoneticPr fontId="163" type="noConversion"/>
  </si>
  <si>
    <t>77</t>
    <phoneticPr fontId="163" type="noConversion"/>
  </si>
  <si>
    <r>
      <rPr>
        <b/>
        <sz val="10"/>
        <rFont val="宋体"/>
        <family val="3"/>
        <charset val="134"/>
      </rPr>
      <t>附注</t>
    </r>
  </si>
  <si>
    <t>所有者权益变动表</t>
    <phoneticPr fontId="163" type="noConversion"/>
  </si>
  <si>
    <t>所有者权益变动表（续）</t>
    <phoneticPr fontId="163" type="noConversion"/>
  </si>
  <si>
    <t>所有者权益合计</t>
    <phoneticPr fontId="163" type="noConversion"/>
  </si>
  <si>
    <t>股本</t>
    <phoneticPr fontId="163" type="noConversion"/>
  </si>
  <si>
    <t>所有者权益变动表（续）</t>
  </si>
  <si>
    <t>减值准备</t>
    <phoneticPr fontId="163" type="noConversion"/>
  </si>
  <si>
    <t>减值准备</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</si>
  <si>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</si>
  <si>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</si>
  <si>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</si>
  <si>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</si>
  <si>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t>
    <phoneticPr fontId="163" type="noConversion"/>
  </si>
  <si>
    <t>转入第二阶段（转出以“-”号填列）</t>
    <phoneticPr fontId="163" type="noConversion"/>
  </si>
  <si>
    <t>转入第三阶段（转出以“-”号填列）</t>
    <phoneticPr fontId="163" type="noConversion"/>
  </si>
  <si>
    <t>转回第二阶段（转出以“-”号填列）</t>
    <phoneticPr fontId="163" type="noConversion"/>
  </si>
  <si>
    <t>适用</t>
    <phoneticPr fontId="163" type="noConversion"/>
  </si>
  <si>
    <t>附注列报A：</t>
    <phoneticPr fontId="163" type="noConversion"/>
  </si>
  <si>
    <t>附注列报B：</t>
    <phoneticPr fontId="163" type="noConversion"/>
  </si>
  <si>
    <t>NOTE_1511c</t>
  </si>
  <si>
    <t>对子公司投资</t>
  </si>
  <si>
    <t>NOTE_1511d</t>
  </si>
  <si>
    <t>本期计提减值准备</t>
  </si>
  <si>
    <t>2019年12月31日减值准备余额</t>
  </si>
  <si>
    <t>本期增加</t>
    <phoneticPr fontId="163" type="noConversion"/>
  </si>
  <si>
    <t>本期减少</t>
    <phoneticPr fontId="163" type="noConversion"/>
  </si>
  <si>
    <t>一般风险准备</t>
    <phoneticPr fontId="163" type="noConversion"/>
  </si>
  <si>
    <t>所有者权益：</t>
  </si>
  <si>
    <t>归属于母公司所有者权益合计</t>
  </si>
  <si>
    <t>所有者权益合计</t>
    <phoneticPr fontId="163" type="noConversion"/>
  </si>
  <si>
    <t>负债和所有者权益总计</t>
  </si>
  <si>
    <t>实收资本（或股本）</t>
    <phoneticPr fontId="163" type="noConversion"/>
  </si>
  <si>
    <t>1.归属于母公司所有者的净利润（净亏损以“-”号填列）</t>
  </si>
  <si>
    <t>Y</t>
    <phoneticPr fontId="163" type="noConversion"/>
  </si>
  <si>
    <t>P31</t>
  </si>
  <si>
    <t>P32</t>
  </si>
  <si>
    <t>P33</t>
  </si>
  <si>
    <t>P34</t>
  </si>
  <si>
    <t>P35</t>
  </si>
  <si>
    <t>P36</t>
  </si>
  <si>
    <t>P37</t>
  </si>
  <si>
    <t>P38</t>
  </si>
  <si>
    <t>P39</t>
  </si>
  <si>
    <t>P40</t>
  </si>
  <si>
    <t>P41</t>
  </si>
  <si>
    <t>P42</t>
  </si>
  <si>
    <t>P43</t>
  </si>
  <si>
    <t>P44</t>
  </si>
  <si>
    <t>P45</t>
  </si>
  <si>
    <t>P46</t>
  </si>
  <si>
    <t>P47</t>
  </si>
  <si>
    <t>P48</t>
  </si>
  <si>
    <t>P49</t>
  </si>
  <si>
    <t>P50</t>
  </si>
  <si>
    <t>NOTE_112202</t>
    <phoneticPr fontId="163" type="noConversion"/>
  </si>
  <si>
    <t>04#A11</t>
    <phoneticPr fontId="163" type="noConversion"/>
  </si>
  <si>
    <t>05#A12</t>
    <phoneticPr fontId="163" type="noConversion"/>
  </si>
  <si>
    <t>06#RIA</t>
    <phoneticPr fontId="163" type="noConversion"/>
  </si>
  <si>
    <t>NOTE_122103</t>
    <phoneticPr fontId="163" type="noConversion"/>
  </si>
  <si>
    <t>NOTE_122112</t>
    <phoneticPr fontId="163" type="noConversion"/>
  </si>
  <si>
    <t>NOTE_122113</t>
    <phoneticPr fontId="163" type="noConversion"/>
  </si>
  <si>
    <t>本期其他应收款坏账准备的变动情况（备选格式）</t>
  </si>
  <si>
    <t>其他应收款按坏账计提方法分类披露（三阶段模型）</t>
  </si>
  <si>
    <t>期末按组合1计提坏账准备的其他应收款（第一阶段）</t>
  </si>
  <si>
    <t>期末按单项计提坏账准备的其他应收款（第二阶段）</t>
  </si>
  <si>
    <t>期末按组合1计提坏账准备的其他应收款（第二阶段）</t>
  </si>
  <si>
    <t>期末按组合2计提坏账准备的其他应收款（第二阶段）</t>
  </si>
  <si>
    <t>期末按组合3计提坏账准备的其他应收款（第二阶段）</t>
  </si>
  <si>
    <t>期末按单项计提坏账准备的其他应收款（第三阶段）</t>
  </si>
  <si>
    <t>期末按组合1计提坏账准备的其他应收款（第三阶段）</t>
  </si>
  <si>
    <t>期末按组合2计提坏账准备的其他应收款（第三阶段）</t>
  </si>
  <si>
    <t>期末按组合3计提坏账准备的其他应收款（第三阶段）</t>
  </si>
  <si>
    <t>1531t</t>
  </si>
  <si>
    <t>期末按组合3计提坏账准备的其他应收款（第一阶段）</t>
  </si>
  <si>
    <t>期末按组合2计提坏账准备的其他应收款（第一阶段）</t>
  </si>
  <si>
    <t>期末按单项计提坏账准备的其他应收款（第一阶段）</t>
  </si>
  <si>
    <t>适用</t>
    <phoneticPr fontId="163" type="noConversion"/>
  </si>
  <si>
    <t>附注列报A：</t>
    <phoneticPr fontId="163" type="noConversion"/>
  </si>
  <si>
    <t>NOTE_122100</t>
  </si>
  <si>
    <t>06#A70</t>
    <phoneticPr fontId="163" type="noConversion"/>
  </si>
  <si>
    <t>第一阶段</t>
    <phoneticPr fontId="163" type="noConversion"/>
  </si>
  <si>
    <t>第二阶段</t>
    <phoneticPr fontId="163" type="noConversion"/>
  </si>
  <si>
    <t>第三阶段</t>
    <phoneticPr fontId="163" type="noConversion"/>
  </si>
  <si>
    <t>阶       段</t>
    <phoneticPr fontId="163" type="noConversion"/>
  </si>
  <si>
    <t>NOTE_122102</t>
  </si>
  <si>
    <t>07#A71</t>
    <phoneticPr fontId="163" type="noConversion"/>
  </si>
  <si>
    <t>08#RMA</t>
    <phoneticPr fontId="163" type="noConversion"/>
  </si>
  <si>
    <t>适用</t>
    <phoneticPr fontId="163" type="noConversion"/>
  </si>
  <si>
    <t>附注列报A：</t>
    <phoneticPr fontId="163" type="noConversion"/>
  </si>
  <si>
    <t>附注列报B：</t>
    <phoneticPr fontId="163" type="noConversion"/>
  </si>
  <si>
    <t>NOTE_122121</t>
  </si>
  <si>
    <t>NOTE_122122</t>
  </si>
  <si>
    <t>NOTE_122123</t>
  </si>
  <si>
    <t>NOTE_122124</t>
  </si>
  <si>
    <t>NOTE_122131</t>
  </si>
  <si>
    <t>NOTE_122132</t>
  </si>
  <si>
    <t>NOTE_122133</t>
  </si>
  <si>
    <t>NOTE_122134</t>
  </si>
  <si>
    <t>组合1</t>
    <phoneticPr fontId="163" type="noConversion"/>
  </si>
  <si>
    <t>组合3</t>
  </si>
  <si>
    <t>合       计</t>
    <phoneticPr fontId="163" type="noConversion"/>
  </si>
  <si>
    <t>分组标准</t>
    <phoneticPr fontId="163" type="noConversion"/>
  </si>
  <si>
    <t>* 本表供参考。请填写分组标准，例如地区+账龄、规模+账龄等。</t>
    <phoneticPr fontId="163" type="noConversion"/>
  </si>
  <si>
    <t>适用</t>
    <phoneticPr fontId="163" type="noConversion"/>
  </si>
  <si>
    <t>附注列报A：</t>
    <phoneticPr fontId="163" type="noConversion"/>
  </si>
  <si>
    <t>NOTE_1531t</t>
  </si>
  <si>
    <t>期末处于第一阶段的长期应收款坏账准备（三阶段模型）</t>
  </si>
  <si>
    <t>期末处于第二阶段的长期应收款坏账准备（三阶段模型）</t>
  </si>
  <si>
    <t>期末处于第三阶段的长期应收款坏账准备（三阶段模型）</t>
  </si>
  <si>
    <t>上期末按单项金额重大并单项计提坏账准备的长期应收款（已发生损失模型）</t>
  </si>
  <si>
    <t>上期末按组合计提坏账准备的长期应收款（已发生损失模型）</t>
  </si>
  <si>
    <t>长期应收款坏账准备的变动情况</t>
  </si>
  <si>
    <t>长期应收款坏账准备的变动情况（备选格式）</t>
  </si>
  <si>
    <t>其他债权投资减值准备的变动情况（备选格式）</t>
  </si>
  <si>
    <t>本期债权投资减值准备的变动情况（备选格式）</t>
  </si>
  <si>
    <t>分组标准</t>
    <phoneticPr fontId="163" type="noConversion"/>
  </si>
  <si>
    <t>附注列报A：</t>
    <phoneticPr fontId="163" type="noConversion"/>
  </si>
  <si>
    <t>附注列报B：</t>
    <phoneticPr fontId="163" type="noConversion"/>
  </si>
  <si>
    <t>适用</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</si>
  <si>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</si>
  <si>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</si>
  <si>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</si>
  <si>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</si>
  <si>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</si>
  <si>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</si>
  <si>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</si>
  <si>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附注列报A：</t>
    <phoneticPr fontId="163" type="noConversion"/>
  </si>
  <si>
    <t>适用</t>
    <phoneticPr fontId="163" type="noConversion"/>
  </si>
  <si>
    <t>附注列报A：</t>
    <phoneticPr fontId="163" type="noConversion"/>
  </si>
  <si>
    <t>附注列报B：</t>
    <phoneticPr fontId="163" type="noConversion"/>
  </si>
  <si>
    <t>适用</t>
    <phoneticPr fontId="163" type="noConversion"/>
  </si>
  <si>
    <t>附注列报B：</t>
    <phoneticPr fontId="163" type="noConversion"/>
  </si>
  <si>
    <t>附注列报A：</t>
    <phoneticPr fontId="163" type="noConversion"/>
  </si>
  <si>
    <t>适用</t>
    <phoneticPr fontId="163" type="noConversion"/>
  </si>
  <si>
    <t>附注列报K：</t>
    <phoneticPr fontId="163" type="noConversion"/>
  </si>
  <si>
    <t>附注列报L：</t>
    <phoneticPr fontId="163" type="noConversion"/>
  </si>
  <si>
    <t>附注列报K：</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</si>
  <si>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</si>
  <si>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</si>
  <si>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</si>
  <si>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</si>
  <si>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附注披露K：</t>
    <phoneticPr fontId="163" type="noConversion"/>
  </si>
  <si>
    <t>附注披露L：</t>
    <phoneticPr fontId="163" type="noConversion"/>
  </si>
  <si>
    <t>* 左表仅适用于未执行新金融准则的一般企业。</t>
    <phoneticPr fontId="163" type="noConversion"/>
  </si>
  <si>
    <t>转应收账款金额</t>
    <phoneticPr fontId="163" type="noConversion"/>
  </si>
  <si>
    <t>账面余额</t>
    <phoneticPr fontId="163" type="noConversion"/>
  </si>
  <si>
    <t>坏账准备</t>
    <phoneticPr fontId="163" type="noConversion"/>
  </si>
  <si>
    <t>账面价值</t>
    <phoneticPr fontId="163" type="noConversion"/>
  </si>
  <si>
    <t>实际核销的应收票据</t>
    <phoneticPr fontId="163" type="noConversion"/>
  </si>
  <si>
    <t>^</t>
    <phoneticPr fontId="163" type="noConversion"/>
  </si>
  <si>
    <t>名       称</t>
    <phoneticPr fontId="163" type="noConversion"/>
  </si>
  <si>
    <t>账  龄</t>
  </si>
  <si>
    <t>收回方式或转回原因</t>
    <phoneticPr fontId="163" type="noConversion"/>
  </si>
  <si>
    <t>* 注：补充资料并非披露要求，如不适用，则无须填写。</t>
  </si>
  <si>
    <t>种       类</t>
    <phoneticPr fontId="163" type="noConversion"/>
  </si>
  <si>
    <t>整个存续期预期信用损失率（%）</t>
    <phoneticPr fontId="163" type="noConversion"/>
  </si>
  <si>
    <t>名       称</t>
    <phoneticPr fontId="163" type="noConversion"/>
  </si>
  <si>
    <t>类       别</t>
    <phoneticPr fontId="163" type="noConversion"/>
  </si>
  <si>
    <t>账面余额</t>
    <phoneticPr fontId="163" type="noConversion"/>
  </si>
  <si>
    <t>坏账准备</t>
    <phoneticPr fontId="163" type="noConversion"/>
  </si>
  <si>
    <t>账面价值</t>
    <phoneticPr fontId="163" type="noConversion"/>
  </si>
  <si>
    <t>账       龄</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</si>
  <si>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</si>
  <si>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</si>
  <si>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</si>
  <si>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</si>
  <si>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</si>
  <si>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类       别</t>
    <phoneticPr fontId="163" type="noConversion"/>
  </si>
  <si>
    <t>类       别</t>
    <phoneticPr fontId="163" type="noConversion"/>
  </si>
  <si>
    <t>加：会计政策变更</t>
    <phoneticPr fontId="163" type="noConversion"/>
  </si>
  <si>
    <t>加：计提</t>
    <phoneticPr fontId="163" type="noConversion"/>
  </si>
  <si>
    <t>减：收回或转回</t>
    <phoneticPr fontId="163" type="noConversion"/>
  </si>
  <si>
    <t>减：转销或核销</t>
    <phoneticPr fontId="163" type="noConversion"/>
  </si>
  <si>
    <t>转入第三阶段（转出以“-”号填列）</t>
    <phoneticPr fontId="163" type="noConversion"/>
  </si>
  <si>
    <t>转回第二阶段（转出以“-”号填列）</t>
    <phoneticPr fontId="163" type="noConversion"/>
  </si>
  <si>
    <t>转入第二阶段（转出以“-”号填列）</t>
    <phoneticPr fontId="163" type="noConversion"/>
  </si>
  <si>
    <t>转回第一阶段（转出以“-”号填列）</t>
    <phoneticPr fontId="163" type="noConversion"/>
  </si>
  <si>
    <t>加：本期计提</t>
    <phoneticPr fontId="163" type="noConversion"/>
  </si>
  <si>
    <t>减：本期转回</t>
    <phoneticPr fontId="163" type="noConversion"/>
  </si>
  <si>
    <t>加：其他变动（减少以“-”号填列）</t>
    <phoneticPr fontId="163" type="noConversion"/>
  </si>
  <si>
    <t>加：计提</t>
    <phoneticPr fontId="163" type="noConversion"/>
  </si>
  <si>
    <t>备注（重分类的原因和具体情况）</t>
    <phoneticPr fontId="163" type="noConversion"/>
  </si>
  <si>
    <t>阶       段</t>
    <phoneticPr fontId="163" type="noConversion"/>
  </si>
  <si>
    <t>第一阶段</t>
    <phoneticPr fontId="163" type="noConversion"/>
  </si>
  <si>
    <t>第二阶段</t>
    <phoneticPr fontId="163" type="noConversion"/>
  </si>
  <si>
    <t>第三阶段</t>
    <phoneticPr fontId="163" type="noConversion"/>
  </si>
  <si>
    <t>类       别</t>
    <phoneticPr fontId="163" type="noConversion"/>
  </si>
  <si>
    <t>减：转销或核销</t>
    <phoneticPr fontId="163" type="noConversion"/>
  </si>
  <si>
    <r>
      <rPr>
        <sz val="10"/>
        <color rgb="FF000000"/>
        <rFont val="宋体"/>
        <family val="3"/>
        <charset val="134"/>
      </rPr>
      <t>账面原值</t>
    </r>
  </si>
  <si>
    <t>适用</t>
    <phoneticPr fontId="163" type="noConversion"/>
  </si>
  <si>
    <t>附注列报A：</t>
    <phoneticPr fontId="163" type="noConversion"/>
  </si>
  <si>
    <t>附注列报B：</t>
    <phoneticPr fontId="163" type="noConversion"/>
  </si>
  <si>
    <t>上年年末余额</t>
  </si>
  <si>
    <t>备注1</t>
  </si>
  <si>
    <t>比率1</t>
  </si>
  <si>
    <t>备注2</t>
  </si>
  <si>
    <t>比率2</t>
  </si>
  <si>
    <t>权益工具的成本/债务工具的摊余成本</t>
    <phoneticPr fontId="163" type="noConversion"/>
  </si>
  <si>
    <t>公允价值</t>
    <phoneticPr fontId="163" type="noConversion"/>
  </si>
  <si>
    <t>累计计入其他综合收益的公允价值变动金额</t>
    <phoneticPr fontId="163" type="noConversion"/>
  </si>
  <si>
    <t>已计提减值金额</t>
    <phoneticPr fontId="163" type="noConversion"/>
  </si>
  <si>
    <t>左表为 1601l 的详细版</t>
    <phoneticPr fontId="163" type="noConversion"/>
  </si>
  <si>
    <t>转入固定资产清理起始时间</t>
    <phoneticPr fontId="163" type="noConversion"/>
  </si>
  <si>
    <t>清理进展情况</t>
    <phoneticPr fontId="163" type="noConversion"/>
  </si>
  <si>
    <t>提示：“资金来源”可从下拉框选择，应区分募股资金、金融机构贷款、其他来源等</t>
    <phoneticPr fontId="163" type="noConversion"/>
  </si>
  <si>
    <t>本期计提金额</t>
    <phoneticPr fontId="163" type="noConversion"/>
  </si>
  <si>
    <t>1701g</t>
  </si>
  <si>
    <t>1701h</t>
  </si>
  <si>
    <t>无形资产抵押或担保情况</t>
  </si>
  <si>
    <t>无形资产补充资料</t>
  </si>
  <si>
    <t>适用</t>
    <phoneticPr fontId="163" type="noConversion"/>
  </si>
  <si>
    <t>附注列报A：</t>
    <phoneticPr fontId="163" type="noConversion"/>
  </si>
  <si>
    <t>附注列报B：</t>
    <phoneticPr fontId="163" type="noConversion"/>
  </si>
  <si>
    <t>NOTE_1701g</t>
  </si>
  <si>
    <t>NOTE_1701h</t>
  </si>
  <si>
    <t>担保的土地使用权</t>
    <phoneticPr fontId="163" type="noConversion"/>
  </si>
  <si>
    <t>抵押的土地使用权</t>
    <phoneticPr fontId="163" type="noConversion"/>
  </si>
  <si>
    <t>期末账面价值</t>
    <phoneticPr fontId="163" type="noConversion"/>
  </si>
  <si>
    <t>期初账面价值</t>
    <phoneticPr fontId="163" type="noConversion"/>
  </si>
  <si>
    <t>1700b</t>
  </si>
  <si>
    <t>企业合并形成的</t>
    <phoneticPr fontId="163" type="noConversion"/>
  </si>
  <si>
    <t>期末，已逾期未偿还的短期借款总额</t>
    <phoneticPr fontId="163" type="noConversion"/>
  </si>
  <si>
    <t>2019年XX月XX日，指定为以公允价值计量且其变动计入当期损益的金融负债的账面价值与按合同约定到期应支付债权人金额之间的差额</t>
    <phoneticPr fontId="163" type="noConversion"/>
  </si>
  <si>
    <t>* 尾注项目如适用，请修改为具体日期。</t>
    <phoneticPr fontId="163" type="noConversion"/>
  </si>
  <si>
    <t>2019年1-12月公允价值变动额</t>
    <phoneticPr fontId="163" type="noConversion"/>
  </si>
  <si>
    <t>* H 列中 2019年1-12月 请根据实际情况修改</t>
    <phoneticPr fontId="163" type="noConversion"/>
  </si>
  <si>
    <t>* 请修改为具体项目</t>
    <phoneticPr fontId="163" type="noConversion"/>
  </si>
  <si>
    <t>* 请设置计算公式</t>
    <phoneticPr fontId="163" type="noConversion"/>
  </si>
  <si>
    <t>补助项目</t>
    <phoneticPr fontId="163" type="noConversion"/>
  </si>
  <si>
    <t>应交税费—待转销项税额贷方余额重分类</t>
    <phoneticPr fontId="163" type="noConversion"/>
  </si>
  <si>
    <t>本期增减变动（+、-）</t>
    <phoneticPr fontId="163" type="noConversion"/>
  </si>
  <si>
    <t>投资者名称</t>
    <phoneticPr fontId="163" type="noConversion"/>
  </si>
  <si>
    <t>出资金额</t>
    <phoneticPr fontId="163" type="noConversion"/>
  </si>
  <si>
    <t>持投比例(%)</t>
    <phoneticPr fontId="163" type="noConversion"/>
  </si>
  <si>
    <t>期末余额</t>
    <phoneticPr fontId="163" type="noConversion"/>
  </si>
  <si>
    <t>期初余额</t>
    <phoneticPr fontId="163" type="noConversion"/>
  </si>
  <si>
    <t>注：本年增加额</t>
    <phoneticPr fontId="163" type="noConversion"/>
  </si>
  <si>
    <t>注：本年减少额</t>
    <phoneticPr fontId="163" type="noConversion"/>
  </si>
  <si>
    <t>* L、M 两列（浅灰色底纹）并非披露要求，请根据需要填列。</t>
    <phoneticPr fontId="163" type="noConversion"/>
  </si>
  <si>
    <t>库存股</t>
    <phoneticPr fontId="163" type="noConversion"/>
  </si>
  <si>
    <t>维简费</t>
    <phoneticPr fontId="163" type="noConversion"/>
  </si>
  <si>
    <t>其他调整</t>
    <phoneticPr fontId="163" type="noConversion"/>
  </si>
  <si>
    <t>行业（或业务）名称</t>
    <phoneticPr fontId="163" type="noConversion"/>
  </si>
  <si>
    <t>与资产相关或与收益相关</t>
    <phoneticPr fontId="163" type="noConversion"/>
  </si>
  <si>
    <t>6101b</t>
  </si>
  <si>
    <t>公允价值变动收益明细项目列示</t>
  </si>
  <si>
    <t>适用</t>
    <phoneticPr fontId="163" type="noConversion"/>
  </si>
  <si>
    <t>附注列报K：</t>
    <phoneticPr fontId="163" type="noConversion"/>
  </si>
  <si>
    <t>附注列报L：</t>
    <phoneticPr fontId="163" type="noConversion"/>
  </si>
  <si>
    <t>NOTE_6101b</t>
  </si>
  <si>
    <t>套期损益</t>
    <phoneticPr fontId="163" type="noConversion"/>
  </si>
  <si>
    <t>以公允价值计量且其变动计入当期损益的金融资产</t>
    <phoneticPr fontId="163" type="noConversion"/>
  </si>
  <si>
    <t>其中：衍生金融工具产生的公允价值变动收益</t>
    <phoneticPr fontId="163" type="noConversion"/>
  </si>
  <si>
    <t>以公允价值计量且其变动计入当期损益的金融负债</t>
    <phoneticPr fontId="163" type="noConversion"/>
  </si>
  <si>
    <t>除左述金融资产和金融负债以外，其他不以公允价值计量的金融资产和金融负债的账面价值与公允价值相差很小</t>
    <phoneticPr fontId="163" type="noConversion"/>
  </si>
  <si>
    <t>其他重要事项——终止经营</t>
  </si>
  <si>
    <t>9367b</t>
  </si>
  <si>
    <t>NOTE_9367b</t>
  </si>
  <si>
    <t>费用</t>
  </si>
  <si>
    <t>06#R71</t>
  </si>
  <si>
    <t>06#R72</t>
  </si>
  <si>
    <t>06#R73</t>
  </si>
  <si>
    <t>归属于母公司所有者的终止经营利润</t>
    <phoneticPr fontId="163" type="noConversion"/>
  </si>
  <si>
    <t>* 提示：此行数据与前表重复</t>
    <phoneticPr fontId="163" type="noConversion"/>
  </si>
  <si>
    <t>Specific</t>
  </si>
  <si>
    <t>YYYY年M月D日</t>
  </si>
  <si>
    <t>备注1</t>
    <phoneticPr fontId="163" type="noConversion"/>
  </si>
  <si>
    <t>备注3</t>
  </si>
  <si>
    <t>项       目</t>
    <phoneticPr fontId="163" type="noConversion"/>
  </si>
  <si>
    <t>已质押金额</t>
    <phoneticPr fontId="163" type="noConversion"/>
  </si>
  <si>
    <t>1121n</t>
  </si>
  <si>
    <t>期末按按组合2计提坏账准备的应收票据</t>
  </si>
  <si>
    <t>适用</t>
    <phoneticPr fontId="163" type="noConversion"/>
  </si>
  <si>
    <t>附注列报A：</t>
    <phoneticPr fontId="163" type="noConversion"/>
  </si>
  <si>
    <t>附注列报B：</t>
    <phoneticPr fontId="163" type="noConversion"/>
  </si>
  <si>
    <t>NOTE_1121n</t>
  </si>
  <si>
    <t>* 提示：若未执行新金融工具准则，且衍生金融负债单独列报的，请删除此行。</t>
    <phoneticPr fontId="163" type="noConversion"/>
  </si>
  <si>
    <t>* 提示：若未执行新金融工具准则，且衍生金融资产单独列报的，请删除此行。</t>
    <phoneticPr fontId="163" type="noConversion"/>
  </si>
  <si>
    <r>
      <rPr>
        <sz val="10"/>
        <rFont val="宋体"/>
        <family val="3"/>
        <charset val="134"/>
      </rPr>
      <t>账面余额比例</t>
    </r>
    <r>
      <rPr>
        <sz val="10"/>
        <rFont val="Arial Narrow"/>
        <family val="2"/>
      </rPr>
      <t>(%)</t>
    </r>
    <phoneticPr fontId="163" type="noConversion"/>
  </si>
  <si>
    <t>账面余额比例(%)</t>
  </si>
  <si>
    <t>是否发生减值及其判断依据</t>
    <phoneticPr fontId="163" type="noConversion"/>
  </si>
  <si>
    <t>账面余额</t>
    <phoneticPr fontId="163" type="noConversion"/>
  </si>
  <si>
    <t>账龄</t>
    <phoneticPr fontId="163" type="noConversion"/>
  </si>
  <si>
    <t>期末余额</t>
    <phoneticPr fontId="163" type="noConversion"/>
  </si>
  <si>
    <t>期初余额</t>
    <phoneticPr fontId="163" type="noConversion"/>
  </si>
  <si>
    <t>本期出售</t>
    <phoneticPr fontId="163" type="noConversion"/>
  </si>
  <si>
    <t>其中：按公允价值计量的</t>
    <phoneticPr fontId="163" type="noConversion"/>
  </si>
  <si>
    <t>* 此行将加计入合计行</t>
    <phoneticPr fontId="163" type="noConversion"/>
  </si>
  <si>
    <t>*加：</t>
    <phoneticPr fontId="163" type="noConversion"/>
  </si>
  <si>
    <t>* 其中行未加计入合计行</t>
    <phoneticPr fontId="163" type="noConversion"/>
  </si>
  <si>
    <t>* 此行将减计入合计行</t>
    <phoneticPr fontId="163" type="noConversion"/>
  </si>
  <si>
    <t>* 请注意：日期 为 2017年12月31日 和 2018年12月31日。</t>
    <phoneticPr fontId="163" type="noConversion"/>
  </si>
  <si>
    <t>账面余额</t>
    <phoneticPr fontId="163" type="noConversion"/>
  </si>
  <si>
    <t>长期应收款（按单位）</t>
    <phoneticPr fontId="163" type="noConversion"/>
  </si>
  <si>
    <t>* 左表（灰色底纹）仅供参考，如不适用，则无须填写。</t>
    <phoneticPr fontId="163" type="noConversion"/>
  </si>
  <si>
    <t>期末利率区间</t>
    <phoneticPr fontId="163" type="noConversion"/>
  </si>
  <si>
    <t>减：一年内到期的长期应付款项</t>
    <phoneticPr fontId="163" type="noConversion"/>
  </si>
  <si>
    <t>期初余额</t>
    <phoneticPr fontId="163" type="noConversion"/>
  </si>
  <si>
    <t>期末余额</t>
    <phoneticPr fontId="163" type="noConversion"/>
  </si>
  <si>
    <t>二、其他与日常活动相关且计入其他收益的项目</t>
    <phoneticPr fontId="163" type="noConversion"/>
  </si>
  <si>
    <t>按法定或适用税率计算的所得税费用</t>
    <phoneticPr fontId="163" type="noConversion"/>
  </si>
  <si>
    <t>除同公司正常经营业务相关的有效套期保值业务外，持有以交易性金融资产、衍生金融资产、交易性金融负债、衍生金融负债产生的公允价值变动损益，以及处置交易性金融资产、衍生金融资产、交易性金融负债、衍生金融负债和其他债权投资取得的投资收益</t>
    <phoneticPr fontId="163" type="noConversion"/>
  </si>
  <si>
    <t>9331k</t>
  </si>
  <si>
    <t>以公允价值计量的资产和负债的期末公允价值</t>
  </si>
  <si>
    <t>NOTE_9331k</t>
  </si>
  <si>
    <t>期末公允价值</t>
    <phoneticPr fontId="163" type="noConversion"/>
  </si>
  <si>
    <t>（一）以公允价值计量且变动计入当期损益的金融资产</t>
  </si>
  <si>
    <t>（二）可供出售金融资产</t>
  </si>
  <si>
    <t>（三）投资性房地产</t>
  </si>
  <si>
    <t>（四）生物资产</t>
  </si>
  <si>
    <t>（五）交易性金融负债</t>
  </si>
  <si>
    <t>（六）指定为以公允价值计量且其变动计入当期损益的金融负债</t>
  </si>
  <si>
    <t>1.交易性金融资产</t>
  </si>
  <si>
    <t>（3）其他</t>
  </si>
  <si>
    <t>（1）债务工具投资</t>
    <phoneticPr fontId="163" type="noConversion"/>
  </si>
  <si>
    <t xml:space="preserve">（1）债务工具投资 </t>
    <phoneticPr fontId="163" type="noConversion"/>
  </si>
  <si>
    <t>（2）权益工具投资</t>
    <phoneticPr fontId="163" type="noConversion"/>
  </si>
  <si>
    <t xml:space="preserve">（2）权益工具投资 </t>
    <phoneticPr fontId="163" type="noConversion"/>
  </si>
  <si>
    <t xml:space="preserve">（1）债务工具投资  </t>
    <phoneticPr fontId="163" type="noConversion"/>
  </si>
  <si>
    <t xml:space="preserve">（2）权益工具投资  </t>
    <phoneticPr fontId="163" type="noConversion"/>
  </si>
  <si>
    <t>其中：发行的交易性债券</t>
    <phoneticPr fontId="163" type="noConversion"/>
  </si>
  <si>
    <t>*</t>
    <phoneticPr fontId="163" type="noConversion"/>
  </si>
  <si>
    <t>6606x</t>
  </si>
  <si>
    <t>研发费用补充资料</t>
  </si>
  <si>
    <t>适用</t>
    <phoneticPr fontId="163" type="noConversion"/>
  </si>
  <si>
    <t>附注列报K：</t>
    <phoneticPr fontId="163" type="noConversion"/>
  </si>
  <si>
    <t>附注列报L：</t>
    <phoneticPr fontId="163" type="noConversion"/>
  </si>
  <si>
    <t>NOTE_6606x</t>
  </si>
  <si>
    <t>备注</t>
    <phoneticPr fontId="163" type="noConversion"/>
  </si>
  <si>
    <t>* 左表（灰色底纹）仅供参考，如不适用，则无须填写。</t>
  </si>
  <si>
    <t>长期应收款</t>
    <phoneticPr fontId="163" type="noConversion"/>
  </si>
  <si>
    <t>04#A11</t>
    <phoneticPr fontId="163" type="noConversion"/>
  </si>
  <si>
    <t>05#A12</t>
    <phoneticPr fontId="163" type="noConversion"/>
  </si>
  <si>
    <t>06#RIA</t>
    <phoneticPr fontId="163" type="noConversion"/>
  </si>
  <si>
    <t>2019年12月31日_应收账款</t>
    <phoneticPr fontId="163" type="noConversion"/>
  </si>
  <si>
    <t>2019年12月31日_坏账准备</t>
    <phoneticPr fontId="163" type="noConversion"/>
  </si>
  <si>
    <t>2019年12月31日_计提比例（%）</t>
    <phoneticPr fontId="163" type="noConversion"/>
  </si>
  <si>
    <t>账面余额</t>
    <phoneticPr fontId="163" type="noConversion"/>
  </si>
  <si>
    <t>坏账准备</t>
    <phoneticPr fontId="163" type="noConversion"/>
  </si>
  <si>
    <t>计提比例(%)</t>
    <phoneticPr fontId="163" type="noConversion"/>
  </si>
  <si>
    <t>计提理由</t>
    <phoneticPr fontId="163" type="noConversion"/>
  </si>
  <si>
    <t>07#R85</t>
    <phoneticPr fontId="163" type="noConversion"/>
  </si>
  <si>
    <t>04#RKM</t>
    <phoneticPr fontId="163" type="noConversion"/>
  </si>
  <si>
    <t>05#RMA</t>
    <phoneticPr fontId="163" type="noConversion"/>
  </si>
  <si>
    <t>04#A10</t>
    <phoneticPr fontId="163" type="noConversion"/>
  </si>
  <si>
    <t>07#B11.70</t>
    <phoneticPr fontId="163" type="noConversion"/>
  </si>
  <si>
    <t>08#B11.IA</t>
    <phoneticPr fontId="163" type="noConversion"/>
  </si>
  <si>
    <t>04#A70</t>
    <phoneticPr fontId="163" type="noConversion"/>
  </si>
  <si>
    <t>06#B70</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</si>
  <si>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</si>
  <si>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</si>
  <si>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</si>
  <si>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</si>
  <si>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</si>
  <si>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</si>
  <si>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</si>
  <si>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NOTE_122101</t>
    <phoneticPr fontId="163" type="noConversion"/>
  </si>
  <si>
    <t>06#A70</t>
    <phoneticPr fontId="163" type="noConversion"/>
  </si>
  <si>
    <t>07#A71</t>
    <phoneticPr fontId="163" type="noConversion"/>
  </si>
  <si>
    <t>NOTE_122114</t>
    <phoneticPr fontId="163" type="noConversion"/>
  </si>
  <si>
    <t>04#A11</t>
    <phoneticPr fontId="163" type="noConversion"/>
  </si>
  <si>
    <t>05#A12</t>
    <phoneticPr fontId="163" type="noConversion"/>
  </si>
  <si>
    <t>06#RIA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</si>
  <si>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</si>
  <si>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</si>
  <si>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</si>
  <si>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04#A10</t>
    <phoneticPr fontId="163" type="noConversion"/>
  </si>
  <si>
    <t>06#A70</t>
    <phoneticPr fontId="163" type="noConversion"/>
  </si>
  <si>
    <t>07#A71</t>
    <phoneticPr fontId="163" type="noConversion"/>
  </si>
  <si>
    <t>06#RMA</t>
    <phoneticPr fontId="163" type="noConversion"/>
  </si>
  <si>
    <t>06#A70</t>
    <phoneticPr fontId="163" type="noConversion"/>
  </si>
  <si>
    <t>07#A71</t>
    <phoneticPr fontId="163" type="noConversion"/>
  </si>
  <si>
    <t>04#B11</t>
    <phoneticPr fontId="163" type="noConversion"/>
  </si>
  <si>
    <t>04#U77</t>
    <phoneticPr fontId="163" type="noConversion"/>
  </si>
  <si>
    <t>05#U86</t>
    <phoneticPr fontId="163" type="noConversion"/>
  </si>
  <si>
    <t>06#UA0</t>
    <phoneticPr fontId="163" type="noConversion"/>
  </si>
  <si>
    <t>07#UB6</t>
    <phoneticPr fontId="163" type="noConversion"/>
  </si>
  <si>
    <t>08#UC8</t>
    <phoneticPr fontId="163" type="noConversion"/>
  </si>
  <si>
    <t>09#UF4</t>
    <phoneticPr fontId="163" type="noConversion"/>
  </si>
  <si>
    <t>10#U36</t>
    <phoneticPr fontId="163" type="noConversion"/>
  </si>
  <si>
    <t>11#U82</t>
    <phoneticPr fontId="163" type="noConversion"/>
  </si>
  <si>
    <t>06#A11</t>
    <phoneticPr fontId="163" type="noConversion"/>
  </si>
  <si>
    <t>07#A34</t>
    <phoneticPr fontId="163" type="noConversion"/>
  </si>
  <si>
    <t>04#U11</t>
    <phoneticPr fontId="163" type="noConversion"/>
  </si>
  <si>
    <t>05#U12</t>
    <phoneticPr fontId="163" type="noConversion"/>
  </si>
  <si>
    <t>06#U13</t>
    <phoneticPr fontId="163" type="noConversion"/>
  </si>
  <si>
    <t>07#U14</t>
    <phoneticPr fontId="163" type="noConversion"/>
  </si>
  <si>
    <t>04#A11</t>
    <phoneticPr fontId="163" type="noConversion"/>
  </si>
  <si>
    <t>05#B11</t>
    <phoneticPr fontId="163" type="noConversion"/>
  </si>
  <si>
    <t>06#RKP</t>
    <phoneticPr fontId="163" type="noConversion"/>
  </si>
  <si>
    <t>07#RKQ</t>
    <phoneticPr fontId="163" type="noConversion"/>
  </si>
  <si>
    <t>08#RKR</t>
    <phoneticPr fontId="163" type="noConversion"/>
  </si>
  <si>
    <t>NOTE_1605a</t>
    <phoneticPr fontId="163" type="noConversion"/>
  </si>
  <si>
    <t>04#B11</t>
    <phoneticPr fontId="163" type="noConversion"/>
  </si>
  <si>
    <t>05#U76.78</t>
    <phoneticPr fontId="163" type="noConversion"/>
  </si>
  <si>
    <t>06#U76.H1</t>
    <phoneticPr fontId="163" type="noConversion"/>
  </si>
  <si>
    <t>05#U76.62</t>
    <phoneticPr fontId="163" type="noConversion"/>
  </si>
  <si>
    <t>07#U76.72</t>
    <phoneticPr fontId="163" type="noConversion"/>
  </si>
  <si>
    <t>08#U81.86</t>
    <phoneticPr fontId="163" type="noConversion"/>
  </si>
  <si>
    <t>09#U81.82</t>
    <phoneticPr fontId="163" type="noConversion"/>
  </si>
  <si>
    <t>10#A11</t>
    <phoneticPr fontId="163" type="noConversion"/>
  </si>
  <si>
    <t>1.期初余额_</t>
    <phoneticPr fontId="163" type="noConversion"/>
  </si>
  <si>
    <t>2.本期增加金额_（1）外购</t>
    <phoneticPr fontId="163" type="noConversion"/>
  </si>
  <si>
    <t>2.本期增加金额_（2）自行培育</t>
    <phoneticPr fontId="163" type="noConversion"/>
  </si>
  <si>
    <t>2.本期增加金额_（3）计提</t>
    <phoneticPr fontId="163" type="noConversion"/>
  </si>
  <si>
    <t>2.本期增加金额_（4）其他增加</t>
    <phoneticPr fontId="163" type="noConversion"/>
  </si>
  <si>
    <t>3.本期减少金额_（1）处置</t>
    <phoneticPr fontId="163" type="noConversion"/>
  </si>
  <si>
    <t>3.本期减少金额_（2）其他</t>
    <phoneticPr fontId="163" type="noConversion"/>
  </si>
  <si>
    <t>4.期末余额_</t>
    <phoneticPr fontId="163" type="noConversion"/>
  </si>
  <si>
    <t>04#B11</t>
    <phoneticPr fontId="163" type="noConversion"/>
  </si>
  <si>
    <t>05#U76.78</t>
    <phoneticPr fontId="163" type="noConversion"/>
  </si>
  <si>
    <t>06#U76.H1</t>
    <phoneticPr fontId="163" type="noConversion"/>
  </si>
  <si>
    <t>07#U76.H0</t>
    <phoneticPr fontId="163" type="noConversion"/>
  </si>
  <si>
    <t>08#U76.62</t>
    <phoneticPr fontId="163" type="noConversion"/>
  </si>
  <si>
    <t>08#U76.72</t>
    <phoneticPr fontId="163" type="noConversion"/>
  </si>
  <si>
    <t>09#U81.86</t>
    <phoneticPr fontId="163" type="noConversion"/>
  </si>
  <si>
    <t>10#U81.82</t>
    <phoneticPr fontId="163" type="noConversion"/>
  </si>
  <si>
    <t>11#A11</t>
    <phoneticPr fontId="163" type="noConversion"/>
  </si>
  <si>
    <t>1.期初余额_</t>
    <phoneticPr fontId="163" type="noConversion"/>
  </si>
  <si>
    <t>2.本期增加金额_（1）购置</t>
    <phoneticPr fontId="163" type="noConversion"/>
  </si>
  <si>
    <t>2.本期增加金额_（2）内部研发</t>
    <phoneticPr fontId="163" type="noConversion"/>
  </si>
  <si>
    <t>2.本期增加金额_（3）企业合并增加</t>
    <phoneticPr fontId="163" type="noConversion"/>
  </si>
  <si>
    <t>2.本期增加金额_（5）其他增加</t>
    <phoneticPr fontId="163" type="noConversion"/>
  </si>
  <si>
    <t>3.本期减少金额_（1）处置</t>
    <phoneticPr fontId="163" type="noConversion"/>
  </si>
  <si>
    <t>3.本期减少金额_（2）其他减少</t>
    <phoneticPr fontId="163" type="noConversion"/>
  </si>
  <si>
    <t>4.期末余额_</t>
    <phoneticPr fontId="163" type="noConversion"/>
  </si>
  <si>
    <t>04#A11</t>
    <phoneticPr fontId="163" type="noConversion"/>
  </si>
  <si>
    <t>05#B11</t>
    <phoneticPr fontId="163" type="noConversion"/>
  </si>
  <si>
    <t>06#R70</t>
    <phoneticPr fontId="163" type="noConversion"/>
  </si>
  <si>
    <t>07#RMA</t>
    <phoneticPr fontId="163" type="noConversion"/>
  </si>
  <si>
    <t>08#RIA</t>
    <phoneticPr fontId="163" type="noConversion"/>
  </si>
  <si>
    <t>09#R71</t>
    <phoneticPr fontId="163" type="noConversion"/>
  </si>
  <si>
    <t>10#RMB</t>
    <phoneticPr fontId="163" type="noConversion"/>
  </si>
  <si>
    <t>11#RIB</t>
    <phoneticPr fontId="163" type="noConversion"/>
  </si>
  <si>
    <t>12#R72</t>
    <phoneticPr fontId="163" type="noConversion"/>
  </si>
  <si>
    <t>NOTE_1700b</t>
    <phoneticPr fontId="163" type="noConversion"/>
  </si>
  <si>
    <t>04#A11</t>
    <phoneticPr fontId="163" type="noConversion"/>
  </si>
  <si>
    <t>05#B11</t>
    <phoneticPr fontId="163" type="noConversion"/>
  </si>
  <si>
    <t>06#R70</t>
    <phoneticPr fontId="163" type="noConversion"/>
  </si>
  <si>
    <t>04#A70</t>
    <phoneticPr fontId="163" type="noConversion"/>
  </si>
  <si>
    <t>05#B70</t>
    <phoneticPr fontId="163" type="noConversion"/>
  </si>
  <si>
    <t>06#RMA</t>
    <phoneticPr fontId="163" type="noConversion"/>
  </si>
  <si>
    <t>06#B11</t>
    <phoneticPr fontId="163" type="noConversion"/>
  </si>
  <si>
    <t>05#AIW</t>
    <phoneticPr fontId="163" type="noConversion"/>
  </si>
  <si>
    <t>04#B11</t>
    <phoneticPr fontId="163" type="noConversion"/>
  </si>
  <si>
    <t>05#U77</t>
    <phoneticPr fontId="163" type="noConversion"/>
  </si>
  <si>
    <t>06#UA1</t>
    <phoneticPr fontId="163" type="noConversion"/>
  </si>
  <si>
    <t>07#U82</t>
    <phoneticPr fontId="163" type="noConversion"/>
  </si>
  <si>
    <t>08#A10</t>
    <phoneticPr fontId="163" type="noConversion"/>
  </si>
  <si>
    <t>09#A11</t>
    <phoneticPr fontId="163" type="noConversion"/>
  </si>
  <si>
    <t>10#RLA</t>
    <phoneticPr fontId="163" type="noConversion"/>
  </si>
  <si>
    <t>06#RIV</t>
    <phoneticPr fontId="163" type="noConversion"/>
  </si>
  <si>
    <t>07#RF8</t>
    <phoneticPr fontId="163" type="noConversion"/>
  </si>
  <si>
    <t>08#RNF</t>
    <phoneticPr fontId="163" type="noConversion"/>
  </si>
  <si>
    <t>09#R95</t>
    <phoneticPr fontId="163" type="noConversion"/>
  </si>
  <si>
    <t>10#RJS</t>
    <phoneticPr fontId="163" type="noConversion"/>
  </si>
  <si>
    <t>11#RLI</t>
    <phoneticPr fontId="163" type="noConversion"/>
  </si>
  <si>
    <t>12#RMO</t>
    <phoneticPr fontId="163" type="noConversion"/>
  </si>
  <si>
    <t>05#U76</t>
    <phoneticPr fontId="163" type="noConversion"/>
  </si>
  <si>
    <t>06#U81</t>
    <phoneticPr fontId="163" type="noConversion"/>
  </si>
  <si>
    <t>04#B11</t>
    <phoneticPr fontId="163" type="noConversion"/>
  </si>
  <si>
    <t>05#U73.D9</t>
    <phoneticPr fontId="163" type="noConversion"/>
  </si>
  <si>
    <t>06#U73.H2</t>
    <phoneticPr fontId="163" type="noConversion"/>
  </si>
  <si>
    <t>07#U73.H3</t>
    <phoneticPr fontId="163" type="noConversion"/>
  </si>
  <si>
    <t>08#U73.H4</t>
    <phoneticPr fontId="163" type="noConversion"/>
  </si>
  <si>
    <t>09#U73.H5</t>
    <phoneticPr fontId="163" type="noConversion"/>
  </si>
  <si>
    <t>10#A11</t>
    <phoneticPr fontId="163" type="noConversion"/>
  </si>
  <si>
    <t>04#U81</t>
    <phoneticPr fontId="163" type="noConversion"/>
  </si>
  <si>
    <t>05#RMA</t>
    <phoneticPr fontId="163" type="noConversion"/>
  </si>
  <si>
    <t>06#RMB</t>
    <phoneticPr fontId="163" type="noConversion"/>
  </si>
  <si>
    <t>07#RMC</t>
    <phoneticPr fontId="163" type="noConversion"/>
  </si>
  <si>
    <t>04#A11.70</t>
    <phoneticPr fontId="163" type="noConversion"/>
  </si>
  <si>
    <t>05#A11.30</t>
    <phoneticPr fontId="163" type="noConversion"/>
  </si>
  <si>
    <t>06#A11.IA</t>
    <phoneticPr fontId="163" type="noConversion"/>
  </si>
  <si>
    <t>05#RMC</t>
    <phoneticPr fontId="163" type="noConversion"/>
  </si>
  <si>
    <t>NOTE_122111</t>
    <phoneticPr fontId="163" type="noConversion"/>
  </si>
  <si>
    <t>04#A70</t>
    <phoneticPr fontId="163" type="noConversion"/>
  </si>
  <si>
    <t>05#R30</t>
    <phoneticPr fontId="163" type="noConversion"/>
  </si>
  <si>
    <t>06#RIC</t>
    <phoneticPr fontId="163" type="noConversion"/>
  </si>
  <si>
    <t>07#RKA</t>
    <phoneticPr fontId="163" type="noConversion"/>
  </si>
  <si>
    <t>2019年12月31日_其他应收款</t>
    <phoneticPr fontId="163" type="noConversion"/>
  </si>
  <si>
    <t>2019年12月31日_坏账准备</t>
    <phoneticPr fontId="163" type="noConversion"/>
  </si>
  <si>
    <t>2019年12月31日_计提比例(%)</t>
    <phoneticPr fontId="163" type="noConversion"/>
  </si>
  <si>
    <t>2019年12月31日_计提理由</t>
    <phoneticPr fontId="163" type="noConversion"/>
  </si>
  <si>
    <t>04#B11</t>
    <phoneticPr fontId="163" type="noConversion"/>
  </si>
  <si>
    <t>05#A12</t>
    <phoneticPr fontId="163" type="noConversion"/>
  </si>
  <si>
    <t>06#A13</t>
    <phoneticPr fontId="163" type="noConversion"/>
  </si>
  <si>
    <t>07#A11</t>
    <phoneticPr fontId="163" type="noConversion"/>
  </si>
  <si>
    <t>08#RIA</t>
    <phoneticPr fontId="163" type="noConversion"/>
  </si>
  <si>
    <t>09#R71</t>
    <phoneticPr fontId="163" type="noConversion"/>
  </si>
  <si>
    <t>04#B11</t>
    <phoneticPr fontId="163" type="noConversion"/>
  </si>
  <si>
    <t>05#A12</t>
    <phoneticPr fontId="163" type="noConversion"/>
  </si>
  <si>
    <t>06#A13</t>
    <phoneticPr fontId="163" type="noConversion"/>
  </si>
  <si>
    <t>07#A11</t>
    <phoneticPr fontId="163" type="noConversion"/>
  </si>
  <si>
    <t>05#U77</t>
    <phoneticPr fontId="163" type="noConversion"/>
  </si>
  <si>
    <t>06#U86</t>
    <phoneticPr fontId="163" type="noConversion"/>
  </si>
  <si>
    <t>08#U36</t>
    <phoneticPr fontId="163" type="noConversion"/>
  </si>
  <si>
    <t>09#A34</t>
    <phoneticPr fontId="163" type="noConversion"/>
  </si>
  <si>
    <t>NOTE_122104</t>
    <phoneticPr fontId="163" type="noConversion"/>
  </si>
  <si>
    <t>04#A11</t>
    <phoneticPr fontId="163" type="noConversion"/>
  </si>
  <si>
    <t>05#B11</t>
    <phoneticPr fontId="163" type="noConversion"/>
  </si>
  <si>
    <t>06#R70</t>
    <phoneticPr fontId="163" type="noConversion"/>
  </si>
  <si>
    <t>07#R71</t>
    <phoneticPr fontId="163" type="noConversion"/>
  </si>
  <si>
    <t>第一阶段_未来12个月预期信用损失</t>
    <phoneticPr fontId="163" type="noConversion"/>
  </si>
  <si>
    <t>第二阶段_整个存续期预期信用损失(未发生信用减值)</t>
    <phoneticPr fontId="163" type="noConversion"/>
  </si>
  <si>
    <t>第三阶段_整个存续期预期信用损失(已发生信用减值)</t>
    <phoneticPr fontId="163" type="noConversion"/>
  </si>
  <si>
    <t>合计_</t>
    <phoneticPr fontId="163" type="noConversion"/>
  </si>
  <si>
    <t>* 左表为备选披露格式。</t>
    <phoneticPr fontId="163" type="noConversion"/>
  </si>
  <si>
    <t>NoteID</t>
    <phoneticPr fontId="163" type="noConversion"/>
  </si>
  <si>
    <t>对联营、合营企业投资</t>
    <phoneticPr fontId="163" type="noConversion"/>
  </si>
  <si>
    <t>一年内到期的长期借款</t>
    <phoneticPr fontId="163" type="noConversion"/>
  </si>
  <si>
    <t>一年内到期的应付债券</t>
    <phoneticPr fontId="163" type="noConversion"/>
  </si>
  <si>
    <t>一年内到期的长期应付款项</t>
    <phoneticPr fontId="163" type="noConversion"/>
  </si>
  <si>
    <t>参见 &gt;</t>
    <phoneticPr fontId="163" type="noConversion"/>
  </si>
  <si>
    <t>参见 &gt;</t>
    <phoneticPr fontId="163" type="noConversion"/>
  </si>
  <si>
    <t>9371h</t>
    <phoneticPr fontId="163" type="noConversion"/>
  </si>
  <si>
    <t>9371i</t>
    <phoneticPr fontId="163" type="noConversion"/>
  </si>
  <si>
    <t>2401b</t>
    <phoneticPr fontId="163" type="noConversion"/>
  </si>
  <si>
    <r>
      <t>参见</t>
    </r>
    <r>
      <rPr>
        <sz val="10"/>
        <color rgb="FF0000FF"/>
        <rFont val="Arial Narrow"/>
        <family val="2"/>
      </rPr>
      <t xml:space="preserve"> &gt;</t>
    </r>
    <phoneticPr fontId="163" type="noConversion"/>
  </si>
  <si>
    <t>2221a</t>
    <phoneticPr fontId="163" type="noConversion"/>
  </si>
  <si>
    <t>1511b</t>
    <phoneticPr fontId="163" type="noConversion"/>
  </si>
  <si>
    <t>1505k</t>
    <phoneticPr fontId="163" type="noConversion"/>
  </si>
  <si>
    <t>L 列为期末余额-期初余额</t>
    <phoneticPr fontId="163" type="noConversion"/>
  </si>
  <si>
    <t>1124g</t>
  </si>
  <si>
    <t>1124h</t>
  </si>
  <si>
    <t>1124i</t>
  </si>
  <si>
    <t>1124j</t>
  </si>
  <si>
    <t>应收款项融资——应收票据按减值计提方法分类</t>
  </si>
  <si>
    <t>期末按单项计提减值准备的应收款项融资——应收票据</t>
  </si>
  <si>
    <t>期末按按组合1计提减值准备的应收款项融资——应收票据</t>
  </si>
  <si>
    <t>期末按按组合2计提减值准备的应收款项融资——应收票据</t>
  </si>
  <si>
    <t>应收款项融资——应收账款按减值计提方法分类</t>
  </si>
  <si>
    <t>期末按单项计提减值准备的应收款项融资——应收账款</t>
  </si>
  <si>
    <t>期末按按组合1计提减值准备的应收款项融资——应收账款</t>
  </si>
  <si>
    <t>期末按按组合2计提减值准备的应收款项融资——应收账款</t>
  </si>
  <si>
    <t>应收款项融资减值准备的变动情况</t>
  </si>
  <si>
    <t>适用</t>
    <phoneticPr fontId="163" type="noConversion"/>
  </si>
  <si>
    <t>附注列报A：</t>
    <phoneticPr fontId="163" type="noConversion"/>
  </si>
  <si>
    <t>NOTE_1124g</t>
  </si>
  <si>
    <t>NOTE_1124h</t>
  </si>
  <si>
    <t>适用</t>
    <phoneticPr fontId="163" type="noConversion"/>
  </si>
  <si>
    <t>附注列报A：</t>
    <phoneticPr fontId="163" type="noConversion"/>
  </si>
  <si>
    <t>NOTE_1124i</t>
  </si>
  <si>
    <t>NOTE_1124j</t>
  </si>
  <si>
    <t>* G列 “名称”请根据实际分组标准修改。</t>
    <phoneticPr fontId="163" type="noConversion"/>
  </si>
  <si>
    <t>计提减值准备的基础</t>
    <phoneticPr fontId="163" type="noConversion"/>
  </si>
  <si>
    <t>整个存续期预期信用损失率（%）</t>
    <phoneticPr fontId="163" type="noConversion"/>
  </si>
  <si>
    <t>备注</t>
    <phoneticPr fontId="163" type="noConversion"/>
  </si>
  <si>
    <t>计提减值准备的基础</t>
    <phoneticPr fontId="163" type="noConversion"/>
  </si>
  <si>
    <t>名       称</t>
    <phoneticPr fontId="163" type="noConversion"/>
  </si>
  <si>
    <t>计提减值准备的基础</t>
    <phoneticPr fontId="163" type="noConversion"/>
  </si>
  <si>
    <t>整个存续期预期信用损失率（%）</t>
    <phoneticPr fontId="163" type="noConversion"/>
  </si>
  <si>
    <t>减值准备</t>
    <phoneticPr fontId="163" type="noConversion"/>
  </si>
  <si>
    <t>备注</t>
    <phoneticPr fontId="163" type="noConversion"/>
  </si>
  <si>
    <t>减：一年内到期的长期应收款</t>
    <phoneticPr fontId="163" type="noConversion"/>
  </si>
  <si>
    <t>2018年12月31日_权益工具的成本/债务工具的摊余成本</t>
  </si>
  <si>
    <t>2018年12月31日_公允价值</t>
  </si>
  <si>
    <t>2018年12月31日_累计计入其他综合收益的公允价值变动金额</t>
  </si>
  <si>
    <t>2018年12月31日_已计提减值金额</t>
  </si>
  <si>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</si>
  <si>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</si>
  <si>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</si>
  <si>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</si>
  <si>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</si>
  <si>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</si>
  <si>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类       别</t>
    <phoneticPr fontId="163" type="noConversion"/>
  </si>
  <si>
    <t>计提减值准备的基础</t>
    <phoneticPr fontId="163" type="noConversion"/>
  </si>
  <si>
    <t>备注</t>
    <phoneticPr fontId="163" type="noConversion"/>
  </si>
  <si>
    <t>项       目</t>
    <phoneticPr fontId="163" type="noConversion"/>
  </si>
  <si>
    <t>合       计</t>
    <phoneticPr fontId="163" type="noConversion"/>
  </si>
  <si>
    <t>账       龄</t>
    <phoneticPr fontId="163" type="noConversion"/>
  </si>
  <si>
    <t>衍生金融资产明细项目</t>
  </si>
  <si>
    <t>名       称</t>
  </si>
  <si>
    <t>分组标准</t>
  </si>
  <si>
    <t>应收账款按坏账计提方法分类披露（按简化模型计提）</t>
  </si>
  <si>
    <t>期末按单项计提坏账准备的应收账款（简化模型）</t>
  </si>
  <si>
    <t>期末按组合1计提坏账准备的应收账款（简化模型）</t>
  </si>
  <si>
    <t>期末按组合2计提坏账准备的应收账款（简化模型）</t>
  </si>
  <si>
    <t>期末按组合3计提坏账准备的应收账款（简化模型）</t>
  </si>
  <si>
    <t>应收账款按坏账计提方法分类披露（按已发生损失模型计提）</t>
  </si>
  <si>
    <t>上期末单项金额重大并单项计提坏账准备的应收账款（已发生损失模型）</t>
  </si>
  <si>
    <t>上期末组合中按账龄分析法计提坏账准备的应收账款（已发生损失模型）</t>
  </si>
  <si>
    <t>项目（或被投资单位）</t>
  </si>
  <si>
    <t>阶       段</t>
  </si>
  <si>
    <t>期末处于第一阶段的其他应收款坏账准备（三阶段模型）</t>
  </si>
  <si>
    <t>期末处于第二阶段的其他应收款坏账准备（三阶段模型）</t>
  </si>
  <si>
    <t>期末处于第三阶段的其他应收款坏账准备（三阶段模型）</t>
  </si>
  <si>
    <t>其他应收款按坏账计提方法分类披露（已发生损失模型）</t>
  </si>
  <si>
    <t>上期末按单项金额重大并单项计提坏账准备的其他应收款（已发生损失模型）</t>
  </si>
  <si>
    <t>上期末组合中按账龄分析法计提坏账准备的其他应收款（已发生损失模型）</t>
  </si>
  <si>
    <t>债权投资按减值计提方法分类披露（三阶段模型）</t>
  </si>
  <si>
    <t>其他债权投资按减值计提方法分类披露（三阶段模型）</t>
  </si>
  <si>
    <t>本期重分类的持有至到期投资</t>
  </si>
  <si>
    <t>长期应收款按坏账计提方法分类披露（三阶段模型）</t>
  </si>
  <si>
    <t>长期应收款按坏账计提方法分类披露（已发生损失模型）</t>
  </si>
  <si>
    <t>长期应收款（按单位）</t>
  </si>
  <si>
    <t>长期应收款逾期情况分析</t>
  </si>
  <si>
    <t>长期股权投资——对联营、合营企业投资明细</t>
  </si>
  <si>
    <t>固定资产清理补充资料</t>
  </si>
  <si>
    <t>在建工程项目减值准备情况</t>
  </si>
  <si>
    <t>本期在建工程项目计提减值准备情况</t>
  </si>
  <si>
    <t>税       项</t>
  </si>
  <si>
    <t>持有待售负债明细</t>
  </si>
  <si>
    <t>一年内到期的长期借款</t>
  </si>
  <si>
    <t>一年内到期的应付债券</t>
  </si>
  <si>
    <t>一年内到期的长期应付款项</t>
  </si>
  <si>
    <t>短期应付债券的增减变动</t>
  </si>
  <si>
    <t>应付债券的增减变动（不包括划分为金融负债的优先股、永续债等其他金融工具）</t>
  </si>
  <si>
    <t>设定受益计划净负债（净资产）</t>
  </si>
  <si>
    <t>投资者名称</t>
  </si>
  <si>
    <t>投资收益明细项目</t>
  </si>
  <si>
    <t>外币货币性项目明细</t>
  </si>
  <si>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</si>
  <si>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</si>
  <si>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</si>
  <si>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</si>
  <si>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</si>
  <si>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</si>
  <si>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</si>
  <si>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</si>
  <si>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</si>
  <si>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</si>
  <si>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</si>
  <si>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</si>
  <si>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</si>
  <si>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</si>
  <si>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</si>
  <si>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</si>
  <si>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</si>
  <si>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</si>
  <si>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</si>
  <si>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</si>
  <si>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</si>
  <si>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</si>
  <si>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</si>
  <si>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</si>
  <si>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</si>
  <si>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</si>
  <si>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</si>
  <si>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</si>
  <si>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</si>
  <si>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</si>
  <si>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</si>
  <si>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</si>
  <si>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</si>
  <si>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</si>
  <si>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</si>
  <si>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</si>
  <si>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</si>
  <si>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</si>
  <si>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</si>
  <si>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</si>
  <si>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</si>
  <si>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</si>
  <si>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</si>
  <si>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</si>
  <si>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</si>
  <si>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</si>
  <si>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</si>
  <si>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</si>
  <si>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</si>
  <si>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</si>
  <si>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</si>
  <si>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</si>
  <si>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</si>
  <si>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</si>
  <si>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</si>
  <si>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</si>
  <si>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04#RMA</t>
    <phoneticPr fontId="163" type="noConversion"/>
  </si>
  <si>
    <t>05#RIA</t>
    <phoneticPr fontId="163" type="noConversion"/>
  </si>
  <si>
    <t>06#R70</t>
    <phoneticPr fontId="163" type="noConversion"/>
  </si>
  <si>
    <t>07#RMB</t>
    <phoneticPr fontId="163" type="noConversion"/>
  </si>
  <si>
    <t>2019年12月31日_计提减值准备的基础</t>
    <phoneticPr fontId="163" type="noConversion"/>
  </si>
  <si>
    <t>2019年12月31日_整个存续期预期信用损失率（%）</t>
    <phoneticPr fontId="163" type="noConversion"/>
  </si>
  <si>
    <t>2019年12月31日_减值准备</t>
    <phoneticPr fontId="163" type="noConversion"/>
  </si>
  <si>
    <t>2019年12月31日_备注</t>
    <phoneticPr fontId="163" type="noConversion"/>
  </si>
  <si>
    <t>04#R55</t>
    <phoneticPr fontId="163" type="noConversion"/>
  </si>
  <si>
    <t>05#R28</t>
    <phoneticPr fontId="163" type="noConversion"/>
  </si>
  <si>
    <t>06#RB6</t>
    <phoneticPr fontId="163" type="noConversion"/>
  </si>
  <si>
    <t>07#R36</t>
    <phoneticPr fontId="163" type="noConversion"/>
  </si>
  <si>
    <t>06#A70</t>
    <phoneticPr fontId="163" type="noConversion"/>
  </si>
  <si>
    <t>04#RMA</t>
    <phoneticPr fontId="163" type="noConversion"/>
  </si>
  <si>
    <t>08#RMB</t>
    <phoneticPr fontId="163" type="noConversion"/>
  </si>
  <si>
    <t>%NL</t>
    <phoneticPr fontId="163" type="noConversion"/>
  </si>
  <si>
    <t>%NL</t>
    <phoneticPr fontId="163" type="noConversion"/>
  </si>
  <si>
    <t>%IN</t>
    <phoneticPr fontId="163" type="noConversion"/>
  </si>
  <si>
    <t>%NL</t>
    <phoneticPr fontId="163" type="noConversion"/>
  </si>
  <si>
    <t>：</t>
    <phoneticPr fontId="163" type="noConversion"/>
  </si>
  <si>
    <t>%IN</t>
    <phoneticPr fontId="163" type="noConversion"/>
  </si>
  <si>
    <t>3A</t>
    <phoneticPr fontId="163" type="noConversion"/>
  </si>
  <si>
    <t>3A1</t>
    <phoneticPr fontId="163" type="noConversion"/>
  </si>
  <si>
    <t>3A1.1</t>
    <phoneticPr fontId="163" type="noConversion"/>
  </si>
  <si>
    <t>3A1.2</t>
    <phoneticPr fontId="163" type="noConversion"/>
  </si>
  <si>
    <t>3A1.3</t>
    <phoneticPr fontId="163" type="noConversion"/>
  </si>
  <si>
    <t>3A1.4</t>
    <phoneticPr fontId="163" type="noConversion"/>
  </si>
  <si>
    <t>3A2</t>
    <phoneticPr fontId="163" type="noConversion"/>
  </si>
  <si>
    <t>3A2.1</t>
    <phoneticPr fontId="163" type="noConversion"/>
  </si>
  <si>
    <t>3A2.2</t>
    <phoneticPr fontId="163" type="noConversion"/>
  </si>
  <si>
    <t>3A2.3</t>
    <phoneticPr fontId="163" type="noConversion"/>
  </si>
  <si>
    <t>3A2.4</t>
    <phoneticPr fontId="163" type="noConversion"/>
  </si>
  <si>
    <t>3A3</t>
    <phoneticPr fontId="163" type="noConversion"/>
  </si>
  <si>
    <t>3A3.1</t>
    <phoneticPr fontId="163" type="noConversion"/>
  </si>
  <si>
    <t>3A3.2</t>
    <phoneticPr fontId="163" type="noConversion"/>
  </si>
  <si>
    <t>3A3.3</t>
    <phoneticPr fontId="163" type="noConversion"/>
  </si>
  <si>
    <t>3A3.4</t>
    <phoneticPr fontId="163" type="noConversion"/>
  </si>
  <si>
    <t>3B</t>
    <phoneticPr fontId="163" type="noConversion"/>
  </si>
  <si>
    <t>3B1</t>
    <phoneticPr fontId="163" type="noConversion"/>
  </si>
  <si>
    <t>3B2</t>
    <phoneticPr fontId="163" type="noConversion"/>
  </si>
  <si>
    <t>%TA%^</t>
    <phoneticPr fontId="163" type="noConversion"/>
  </si>
  <si>
    <t>2.1A</t>
    <phoneticPr fontId="163" type="noConversion"/>
  </si>
  <si>
    <t>2.1B</t>
    <phoneticPr fontId="163" type="noConversion"/>
  </si>
  <si>
    <t>2.1C</t>
    <phoneticPr fontId="163" type="noConversion"/>
  </si>
  <si>
    <t>2.2A</t>
    <phoneticPr fontId="163" type="noConversion"/>
  </si>
  <si>
    <t>2.2B</t>
    <phoneticPr fontId="163" type="noConversion"/>
  </si>
  <si>
    <t>%IN</t>
    <phoneticPr fontId="163" type="noConversion"/>
  </si>
  <si>
    <t>%UB</t>
    <phoneticPr fontId="163" type="noConversion"/>
  </si>
  <si>
    <t>：</t>
    <phoneticPr fontId="163" type="noConversion"/>
  </si>
  <si>
    <t>：</t>
    <phoneticPr fontId="163" type="noConversion"/>
  </si>
  <si>
    <t>1605a</t>
    <phoneticPr fontId="163" type="noConversion"/>
  </si>
  <si>
    <t>1700b</t>
    <phoneticPr fontId="163" type="noConversion"/>
  </si>
  <si>
    <t>%TA</t>
    <phoneticPr fontId="163" type="noConversion"/>
  </si>
  <si>
    <t>八</t>
    <phoneticPr fontId="163" type="noConversion"/>
  </si>
  <si>
    <t>九</t>
    <phoneticPr fontId="163" type="noConversion"/>
  </si>
  <si>
    <t>十</t>
    <phoneticPr fontId="163" type="noConversion"/>
  </si>
  <si>
    <t>十四 5.</t>
    <phoneticPr fontId="163" type="noConversion"/>
  </si>
  <si>
    <t>十六 1.</t>
    <phoneticPr fontId="163" type="noConversion"/>
  </si>
  <si>
    <t>%ICED</t>
    <phoneticPr fontId="163" type="noConversion"/>
  </si>
  <si>
    <t>5100X_5110X</t>
    <phoneticPr fontId="163" type="noConversion"/>
  </si>
  <si>
    <t>5850A_6850A</t>
    <phoneticPr fontId="163" type="noConversion"/>
  </si>
  <si>
    <t>6000X_6050Y</t>
    <phoneticPr fontId="163" type="noConversion"/>
  </si>
  <si>
    <t>7000A_7100A</t>
    <phoneticPr fontId="163" type="noConversion"/>
  </si>
  <si>
    <t>自定义模板，上述两种模板中无</t>
    <phoneticPr fontId="163" type="noConversion"/>
  </si>
  <si>
    <t>来源A：上市公司财务报表附注模板（执行新金融准则）</t>
    <phoneticPr fontId="163" type="noConversion"/>
  </si>
  <si>
    <t>来源B：一般企业财务报表附注模版（未执行新金融准则）</t>
    <phoneticPr fontId="163" type="noConversion"/>
  </si>
  <si>
    <t>来源于A及B，上述两种模板中均有的注释小表</t>
    <phoneticPr fontId="163" type="noConversion"/>
  </si>
  <si>
    <t>自定义标识：</t>
    <phoneticPr fontId="163" type="noConversion"/>
  </si>
  <si>
    <t>新增行</t>
  </si>
  <si>
    <t>修改行</t>
  </si>
  <si>
    <t>删除行</t>
  </si>
  <si>
    <t>模板标识：</t>
    <phoneticPr fontId="163" type="noConversion"/>
  </si>
  <si>
    <t>报告期:</t>
    <phoneticPr fontId="163" type="noConversion"/>
  </si>
  <si>
    <t>8110B</t>
    <phoneticPr fontId="163" type="noConversion"/>
  </si>
  <si>
    <r>
      <t>索引号</t>
    </r>
    <r>
      <rPr>
        <b/>
        <i/>
        <sz val="11"/>
        <rFont val="Times New Roman"/>
        <family val="1"/>
      </rPr>
      <t xml:space="preserve"> </t>
    </r>
    <r>
      <rPr>
        <b/>
        <u/>
        <sz val="11"/>
        <color indexed="10"/>
        <rFont val="Arial Unicode MS"/>
        <family val="2"/>
        <charset val="134"/>
      </rPr>
      <t>9001B</t>
    </r>
    <r>
      <rPr>
        <b/>
        <i/>
        <u/>
        <sz val="11"/>
        <rFont val="Times New Roman"/>
        <family val="1"/>
      </rPr>
      <t xml:space="preserve"> </t>
    </r>
    <phoneticPr fontId="163" type="noConversion"/>
  </si>
  <si>
    <t>9075B-1</t>
  </si>
  <si>
    <r>
      <t>索引号</t>
    </r>
    <r>
      <rPr>
        <b/>
        <i/>
        <sz val="11"/>
        <rFont val="Times New Roman"/>
        <family val="1"/>
      </rPr>
      <t xml:space="preserve"> </t>
    </r>
    <r>
      <rPr>
        <b/>
        <u/>
        <sz val="11"/>
        <color indexed="10"/>
        <rFont val="Arial Unicode MS"/>
        <family val="2"/>
        <charset val="134"/>
      </rPr>
      <t xml:space="preserve">9001B </t>
    </r>
    <r>
      <rPr>
        <b/>
        <i/>
        <u/>
        <sz val="11"/>
        <rFont val="Times New Roman"/>
        <family val="1"/>
      </rPr>
      <t xml:space="preserve"> </t>
    </r>
    <phoneticPr fontId="163" type="noConversion"/>
  </si>
  <si>
    <t>9002B-1</t>
    <phoneticPr fontId="163" type="noConversion"/>
  </si>
  <si>
    <r>
      <t>索引号</t>
    </r>
    <r>
      <rPr>
        <b/>
        <i/>
        <sz val="11"/>
        <rFont val="Times New Roman"/>
        <family val="1"/>
      </rPr>
      <t xml:space="preserve"> </t>
    </r>
    <r>
      <rPr>
        <b/>
        <u/>
        <sz val="11"/>
        <color indexed="10"/>
        <rFont val="Arial"/>
        <family val="2"/>
      </rPr>
      <t>8130A-1</t>
    </r>
    <phoneticPr fontId="163" type="noConversion"/>
  </si>
  <si>
    <r>
      <t>索引号</t>
    </r>
    <r>
      <rPr>
        <b/>
        <i/>
        <sz val="11"/>
        <rFont val="Times New Roman"/>
        <family val="1"/>
      </rPr>
      <t xml:space="preserve"> </t>
    </r>
    <r>
      <rPr>
        <b/>
        <u/>
        <sz val="11"/>
        <color indexed="10"/>
        <rFont val="Arial"/>
        <family val="2"/>
      </rPr>
      <t>8130A-2</t>
    </r>
    <phoneticPr fontId="163" type="noConversion"/>
  </si>
  <si>
    <t>3000B/3000C</t>
    <phoneticPr fontId="163" type="noConversion"/>
  </si>
  <si>
    <t>3000E</t>
    <phoneticPr fontId="163" type="noConversion"/>
  </si>
  <si>
    <t>9075D</t>
    <phoneticPr fontId="163" type="noConversion"/>
  </si>
  <si>
    <t>9075E</t>
    <phoneticPr fontId="163" type="noConversion"/>
  </si>
  <si>
    <r>
      <t>Adj</t>
    </r>
    <r>
      <rPr>
        <sz val="10"/>
        <rFont val="宋体"/>
        <family val="3"/>
        <charset val="134"/>
      </rPr>
      <t>科目编码</t>
    </r>
  </si>
  <si>
    <r>
      <rPr>
        <sz val="10"/>
        <color rgb="FF0000FF"/>
        <rFont val="宋体"/>
        <family val="3"/>
        <charset val="134"/>
      </rPr>
      <t>当你从</t>
    </r>
    <r>
      <rPr>
        <sz val="10"/>
        <color rgb="FF0000FF"/>
        <rFont val="Arial"/>
        <family val="2"/>
      </rPr>
      <t xml:space="preserve"> A </t>
    </r>
    <r>
      <rPr>
        <sz val="10"/>
        <color rgb="FF0000FF"/>
        <rFont val="宋体"/>
        <family val="3"/>
        <charset val="134"/>
      </rPr>
      <t>处点击一个超级链接到</t>
    </r>
    <r>
      <rPr>
        <sz val="10"/>
        <color rgb="FF0000FF"/>
        <rFont val="Arial"/>
        <family val="2"/>
      </rPr>
      <t xml:space="preserve"> B </t>
    </r>
    <r>
      <rPr>
        <sz val="10"/>
        <color rgb="FF0000FF"/>
        <rFont val="宋体"/>
        <family val="3"/>
        <charset val="134"/>
      </rPr>
      <t>处后，如何迅速返回</t>
    </r>
    <r>
      <rPr>
        <sz val="10"/>
        <color rgb="FF0000FF"/>
        <rFont val="Arial"/>
        <family val="2"/>
      </rPr>
      <t xml:space="preserve"> A </t>
    </r>
    <r>
      <rPr>
        <sz val="10"/>
        <color rgb="FF0000FF"/>
        <rFont val="宋体"/>
        <family val="3"/>
        <charset val="134"/>
      </rPr>
      <t>处？</t>
    </r>
  </si>
  <si>
    <r>
      <rPr>
        <sz val="10"/>
        <color rgb="FF0000FF"/>
        <rFont val="宋体"/>
        <family val="3"/>
        <charset val="134"/>
      </rPr>
      <t>（</t>
    </r>
    <r>
      <rPr>
        <sz val="10"/>
        <color rgb="FF0000FF"/>
        <rFont val="Arial"/>
        <family val="2"/>
      </rPr>
      <t>F5+Enter</t>
    </r>
    <r>
      <rPr>
        <sz val="10"/>
        <color rgb="FF0000FF"/>
        <rFont val="宋体"/>
        <family val="3"/>
        <charset val="134"/>
      </rPr>
      <t>可返回）</t>
    </r>
    <r>
      <rPr>
        <sz val="10"/>
        <color rgb="FF0000FF"/>
        <rFont val="Arial"/>
        <family val="2"/>
      </rPr>
      <t xml:space="preserve"> </t>
    </r>
    <r>
      <rPr>
        <sz val="10"/>
        <color rgb="FF0000FF"/>
        <rFont val="宋体"/>
        <family val="3"/>
        <charset val="134"/>
      </rPr>
      <t>同时按</t>
    </r>
    <r>
      <rPr>
        <sz val="10"/>
        <color rgb="FF0000FF"/>
        <rFont val="Arial"/>
        <family val="2"/>
      </rPr>
      <t xml:space="preserve"> F5 </t>
    </r>
    <r>
      <rPr>
        <sz val="10"/>
        <color rgb="FF0000FF"/>
        <rFont val="宋体"/>
        <family val="3"/>
        <charset val="134"/>
      </rPr>
      <t>和</t>
    </r>
    <r>
      <rPr>
        <sz val="10"/>
        <color rgb="FF0000FF"/>
        <rFont val="Arial"/>
        <family val="2"/>
      </rPr>
      <t xml:space="preserve"> Enter </t>
    </r>
    <r>
      <rPr>
        <sz val="10"/>
        <color rgb="FF0000FF"/>
        <rFont val="宋体"/>
        <family val="3"/>
        <charset val="134"/>
      </rPr>
      <t>键可返回原处</t>
    </r>
  </si>
  <si>
    <r>
      <rPr>
        <sz val="10"/>
        <color rgb="FF0000FF"/>
        <rFont val="宋体"/>
        <family val="3"/>
        <charset val="134"/>
      </rPr>
      <t>在笔记本电脑中，有个</t>
    </r>
    <r>
      <rPr>
        <sz val="10"/>
        <color rgb="FF0000FF"/>
        <rFont val="Arial"/>
        <family val="2"/>
      </rPr>
      <t xml:space="preserve"> Fn </t>
    </r>
    <r>
      <rPr>
        <sz val="10"/>
        <color rgb="FF0000FF"/>
        <rFont val="宋体"/>
        <family val="3"/>
        <charset val="134"/>
      </rPr>
      <t>键，要让这个键保持锁定状态，</t>
    </r>
    <r>
      <rPr>
        <sz val="10"/>
        <color rgb="FF0000FF"/>
        <rFont val="Arial"/>
        <family val="2"/>
      </rPr>
      <t xml:space="preserve">F5+Enter </t>
    </r>
    <r>
      <rPr>
        <sz val="10"/>
        <color rgb="FF0000FF"/>
        <rFont val="宋体"/>
        <family val="3"/>
        <charset val="134"/>
      </rPr>
      <t>才起作用</t>
    </r>
  </si>
  <si>
    <r>
      <rPr>
        <sz val="10"/>
        <color rgb="FF0000FF"/>
        <rFont val="宋体"/>
        <family val="3"/>
        <charset val="134"/>
      </rPr>
      <t>方法：同时按住键盘</t>
    </r>
    <r>
      <rPr>
        <sz val="10"/>
        <color rgb="FF0000FF"/>
        <rFont val="Arial"/>
        <family val="2"/>
      </rPr>
      <t xml:space="preserve"> Fn </t>
    </r>
    <r>
      <rPr>
        <sz val="10"/>
        <color rgb="FF0000FF"/>
        <rFont val="宋体"/>
        <family val="3"/>
        <charset val="134"/>
      </rPr>
      <t>和</t>
    </r>
    <r>
      <rPr>
        <sz val="10"/>
        <color rgb="FF0000FF"/>
        <rFont val="Arial"/>
        <family val="2"/>
      </rPr>
      <t xml:space="preserve"> Esc </t>
    </r>
    <r>
      <rPr>
        <sz val="10"/>
        <color rgb="FF0000FF"/>
        <rFont val="宋体"/>
        <family val="3"/>
        <charset val="134"/>
      </rPr>
      <t>键，将其点亮。</t>
    </r>
  </si>
  <si>
    <t>9075C</t>
    <phoneticPr fontId="163" type="noConversion"/>
  </si>
  <si>
    <t>9075B-1</t>
    <phoneticPr fontId="163" type="noConversion"/>
  </si>
  <si>
    <t>NLV20151013</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</si>
  <si>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</si>
  <si>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</si>
  <si>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</si>
  <si>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</si>
  <si>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</si>
  <si>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t>
    <phoneticPr fontId="163" type="noConversion"/>
  </si>
  <si>
    <t>%NLH</t>
    <phoneticPr fontId="163" type="noConversion"/>
  </si>
  <si>
    <t>H_附注列报A：</t>
    <phoneticPr fontId="163" type="noConversion"/>
  </si>
  <si>
    <t>H_</t>
  </si>
  <si>
    <t>不适用</t>
    <phoneticPr fontId="163" type="noConversion"/>
  </si>
  <si>
    <t>N</t>
    <phoneticPr fontId="163" type="noConversion"/>
  </si>
  <si>
    <t>H_附注列报B：</t>
    <phoneticPr fontId="163" type="noConversion"/>
  </si>
  <si>
    <t>N</t>
    <phoneticPr fontId="163" type="noConversion"/>
  </si>
  <si>
    <t>N</t>
    <phoneticPr fontId="163" type="noConversion"/>
  </si>
  <si>
    <t>N</t>
    <phoneticPr fontId="163" type="noConversion"/>
  </si>
  <si>
    <t>%NLH</t>
    <phoneticPr fontId="163" type="noConversion"/>
  </si>
  <si>
    <t>H_附注列报B：</t>
    <phoneticPr fontId="163" type="noConversion"/>
  </si>
  <si>
    <t>H_附注列报A：</t>
    <phoneticPr fontId="163" type="noConversion"/>
  </si>
  <si>
    <t>不适用</t>
    <phoneticPr fontId="163" type="noConversion"/>
  </si>
  <si>
    <t>N</t>
    <phoneticPr fontId="163" type="noConversion"/>
  </si>
  <si>
    <t>%NLH</t>
    <phoneticPr fontId="163" type="noConversion"/>
  </si>
  <si>
    <t>H_附注列报A：</t>
    <phoneticPr fontId="163" type="noConversion"/>
  </si>
  <si>
    <t>H_附注列报B：</t>
    <phoneticPr fontId="163" type="noConversion"/>
  </si>
  <si>
    <t>不适用</t>
    <phoneticPr fontId="163" type="noConversion"/>
  </si>
  <si>
    <t>%NLH</t>
    <phoneticPr fontId="163" type="noConversion"/>
  </si>
  <si>
    <t>H_附注列报K：</t>
    <phoneticPr fontId="163" type="noConversion"/>
  </si>
  <si>
    <t>H_附注列报L：</t>
    <phoneticPr fontId="163" type="noConversion"/>
  </si>
  <si>
    <t>N</t>
    <phoneticPr fontId="163" type="noConversion"/>
  </si>
  <si>
    <t>Code1</t>
    <phoneticPr fontId="163" type="noConversion"/>
  </si>
  <si>
    <t>ItemId1</t>
    <phoneticPr fontId="163" type="noConversion"/>
  </si>
  <si>
    <t>1605a</t>
    <phoneticPr fontId="163" type="noConversion"/>
  </si>
  <si>
    <t>本年提取</t>
  </si>
  <si>
    <t>本年使用</t>
  </si>
  <si>
    <t>本年金额</t>
    <phoneticPr fontId="163" type="noConversion"/>
  </si>
  <si>
    <t>上年金额</t>
    <phoneticPr fontId="163" type="noConversion"/>
  </si>
  <si>
    <t>Y</t>
    <phoneticPr fontId="163" type="noConversion"/>
  </si>
  <si>
    <t>IND</t>
    <phoneticPr fontId="163" type="noConversion"/>
  </si>
  <si>
    <t>N</t>
    <phoneticPr fontId="163" type="noConversion"/>
  </si>
  <si>
    <t>股东</t>
    <phoneticPr fontId="163" type="noConversion"/>
  </si>
  <si>
    <t>RSM上市公司2019年报（已执行新金融准则）</t>
    <phoneticPr fontId="163" type="noConversion"/>
  </si>
  <si>
    <t>Y</t>
    <phoneticPr fontId="163" type="noConversion"/>
  </si>
  <si>
    <t>AJV20170322</t>
    <phoneticPr fontId="163" type="noConversion"/>
  </si>
  <si>
    <t>111_</t>
  </si>
  <si>
    <t>2019年度</t>
    <phoneticPr fontId="163" type="noConversion"/>
  </si>
  <si>
    <t>2018年度</t>
    <phoneticPr fontId="163" type="noConversion"/>
  </si>
  <si>
    <t>福建力菲克</t>
  </si>
  <si>
    <t>福建省力菲克药业有限公司</t>
  </si>
  <si>
    <t>孙健</t>
  </si>
  <si>
    <t>B1912_X07.LIS</t>
    <phoneticPr fontId="163" type="noConversion"/>
  </si>
  <si>
    <t>WKB</t>
    <phoneticPr fontId="163" type="noConversion"/>
  </si>
  <si>
    <t>9000A</t>
  </si>
  <si>
    <t>7231T01</t>
    <phoneticPr fontId="163" type="noConversion"/>
  </si>
  <si>
    <t>错报程序表</t>
    <phoneticPr fontId="163" type="noConversion"/>
  </si>
  <si>
    <t>序号</t>
    <phoneticPr fontId="163" type="noConversion"/>
  </si>
  <si>
    <r>
      <rPr>
        <b/>
        <sz val="10"/>
        <color indexed="23"/>
        <rFont val="宋体"/>
        <family val="3"/>
        <charset val="134"/>
      </rPr>
      <t>程序</t>
    </r>
    <phoneticPr fontId="163" type="noConversion"/>
  </si>
  <si>
    <r>
      <rPr>
        <b/>
        <sz val="10"/>
        <color indexed="23"/>
        <rFont val="宋体"/>
        <family val="3"/>
        <charset val="134"/>
      </rPr>
      <t>是否适用</t>
    </r>
    <phoneticPr fontId="163" type="noConversion"/>
  </si>
  <si>
    <r>
      <rPr>
        <b/>
        <sz val="10"/>
        <color indexed="23"/>
        <rFont val="宋体"/>
        <family val="3"/>
        <charset val="134"/>
      </rPr>
      <t>说明或索引号</t>
    </r>
    <phoneticPr fontId="163" type="noConversion"/>
  </si>
  <si>
    <r>
      <rPr>
        <b/>
        <sz val="10"/>
        <color indexed="23"/>
        <rFont val="宋体"/>
        <family val="3"/>
        <charset val="134"/>
      </rPr>
      <t>执行人</t>
    </r>
    <phoneticPr fontId="163" type="noConversion"/>
  </si>
  <si>
    <r>
      <rPr>
        <sz val="10"/>
        <rFont val="宋体"/>
        <family val="3"/>
        <charset val="134"/>
      </rPr>
      <t>确定所有的调整和重分类会计分录已被恰当地插入适当的审定表中。</t>
    </r>
    <r>
      <rPr>
        <sz val="10"/>
        <rFont val="Times New Roman"/>
        <family val="1"/>
      </rPr>
      <t>Determine that all adjusting and reclassification journal entries are properly posted to the appropriate lead schedules.</t>
    </r>
  </si>
  <si>
    <r>
      <rPr>
        <sz val="10"/>
        <rFont val="宋体"/>
        <family val="3"/>
        <charset val="134"/>
      </rPr>
      <t>考虑这些建议的审计调整是否对前中期财务报告产生影响，若有：</t>
    </r>
    <r>
      <rPr>
        <sz val="10"/>
        <rFont val="Times New Roman"/>
        <family val="1"/>
      </rPr>
      <t>Consider whether any of these proposed audit adjustments significantly impact prior-interim financial statements and, if so:</t>
    </r>
    <phoneticPr fontId="163" type="noConversion"/>
  </si>
  <si>
    <r>
      <rPr>
        <sz val="10"/>
        <color indexed="23"/>
        <rFont val="宋体"/>
        <family val="3"/>
        <charset val="134"/>
      </rPr>
      <t>（</t>
    </r>
    <r>
      <rPr>
        <sz val="10"/>
        <color indexed="23"/>
        <rFont val="Times New Roman"/>
        <family val="1"/>
      </rPr>
      <t>1</t>
    </r>
    <r>
      <rPr>
        <sz val="10"/>
        <color indexed="23"/>
        <rFont val="宋体"/>
        <family val="3"/>
        <charset val="134"/>
      </rPr>
      <t>）</t>
    </r>
    <phoneticPr fontId="163" type="noConversion"/>
  </si>
  <si>
    <r>
      <rPr>
        <sz val="10"/>
        <rFont val="宋体"/>
        <family val="3"/>
        <charset val="134"/>
      </rPr>
      <t>与项目合伙人讨论调整问题。</t>
    </r>
    <r>
      <rPr>
        <sz val="10"/>
        <rFont val="Times New Roman"/>
        <family val="1"/>
      </rPr>
      <t>Discuss adjustments with engagement partner.</t>
    </r>
    <phoneticPr fontId="163" type="noConversion"/>
  </si>
  <si>
    <r>
      <rPr>
        <sz val="10"/>
        <color indexed="23"/>
        <rFont val="宋体"/>
        <family val="3"/>
        <charset val="134"/>
      </rPr>
      <t>（</t>
    </r>
    <r>
      <rPr>
        <sz val="10"/>
        <color indexed="23"/>
        <rFont val="Times New Roman"/>
        <family val="1"/>
      </rPr>
      <t>2</t>
    </r>
    <r>
      <rPr>
        <sz val="10"/>
        <color indexed="23"/>
        <rFont val="宋体"/>
        <family val="3"/>
        <charset val="134"/>
      </rPr>
      <t>）</t>
    </r>
    <phoneticPr fontId="163" type="noConversion"/>
  </si>
  <si>
    <r>
      <rPr>
        <sz val="10"/>
        <rFont val="宋体"/>
        <family val="3"/>
        <charset val="134"/>
      </rPr>
      <t>与合适的客户人员讨论调整事宜。</t>
    </r>
    <r>
      <rPr>
        <sz val="10"/>
        <rFont val="Times New Roman"/>
        <family val="1"/>
      </rPr>
      <t>Discuss adjustments with appropriate client personnel.</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</si>
  <si>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</si>
  <si>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确定前中期报表是否需要修改</t>
    </r>
    <r>
      <rPr>
        <sz val="10"/>
        <rFont val="Times New Roman"/>
        <family val="1"/>
      </rPr>
      <t xml:space="preserve"> Determine whether prior-interim financial information should be amended.</t>
    </r>
  </si>
  <si>
    <r>
      <rPr>
        <sz val="10"/>
        <rFont val="宋体"/>
        <family val="3"/>
        <charset val="134"/>
      </rPr>
      <t>总结未更正错报，包括遗漏的披露，加总于未更正错报汇总表中。</t>
    </r>
    <r>
      <rPr>
        <sz val="10"/>
        <rFont val="Times New Roman"/>
        <family val="1"/>
      </rPr>
      <t>Summarize uncorrected misstatements, including missing disclosures, aggregated on the Summary of Unrecorded Misstatements.</t>
    </r>
    <phoneticPr fontId="163" type="noConversion"/>
  </si>
  <si>
    <r>
      <rPr>
        <sz val="10"/>
        <rFont val="宋体"/>
        <family val="3"/>
        <charset val="134"/>
      </rPr>
      <t>与适当的管理层复核未调整的错报。</t>
    </r>
    <r>
      <rPr>
        <sz val="10"/>
        <rFont val="Times New Roman"/>
        <family val="1"/>
      </rPr>
      <t>Review unrecorded misstatements with appropriate management.</t>
    </r>
    <phoneticPr fontId="163" type="noConversion"/>
  </si>
  <si>
    <r>
      <rPr>
        <sz val="10"/>
        <rFont val="宋体"/>
        <family val="3"/>
        <charset val="134"/>
      </rPr>
      <t>要求管理层记录所有讨论过的错报。</t>
    </r>
    <r>
      <rPr>
        <sz val="10"/>
        <rFont val="Times New Roman"/>
        <family val="1"/>
      </rPr>
      <t xml:space="preserve"> Request management to record all misstatements discussed.</t>
    </r>
  </si>
  <si>
    <r>
      <rPr>
        <sz val="10"/>
        <color indexed="23"/>
        <rFont val="宋体"/>
        <family val="3"/>
        <charset val="134"/>
      </rPr>
      <t>（</t>
    </r>
    <r>
      <rPr>
        <sz val="10"/>
        <color indexed="23"/>
        <rFont val="Times New Roman"/>
        <family val="1"/>
      </rPr>
      <t>3</t>
    </r>
    <r>
      <rPr>
        <sz val="10"/>
        <color indexed="23"/>
        <rFont val="宋体"/>
        <family val="3"/>
        <charset val="134"/>
      </rPr>
      <t>）</t>
    </r>
    <phoneticPr fontId="163" type="noConversion"/>
  </si>
  <si>
    <r>
      <rPr>
        <sz val="10"/>
        <rFont val="宋体"/>
        <family val="3"/>
        <charset val="134"/>
      </rPr>
      <t>对于管理层认为不重大的项目，单独或汇总评估其重要性：</t>
    </r>
    <r>
      <rPr>
        <sz val="10"/>
        <rFont val="Times New Roman"/>
        <family val="1"/>
      </rPr>
      <t>For items that management believes are immaterial and will correct in the next period, evaluate materiality individually and in the aggregate as follows:</t>
    </r>
    <phoneticPr fontId="163" type="noConversion"/>
  </si>
  <si>
    <t>a</t>
    <phoneticPr fontId="163" type="noConversion"/>
  </si>
  <si>
    <r>
      <rPr>
        <sz val="10"/>
        <rFont val="宋体"/>
        <family val="3"/>
        <charset val="134"/>
      </rPr>
      <t>了解管理层不进行更正的原因。</t>
    </r>
    <r>
      <rPr>
        <sz val="10"/>
        <rFont val="Times New Roman"/>
        <family val="1"/>
      </rPr>
      <t xml:space="preserve"> Understand management's reasons for not making the corrections.</t>
    </r>
  </si>
  <si>
    <t>b</t>
    <phoneticPr fontId="163" type="noConversion"/>
  </si>
  <si>
    <r>
      <rPr>
        <sz val="10"/>
        <rFont val="宋体"/>
        <family val="3"/>
        <charset val="134"/>
      </rPr>
      <t>确定是否单独，或在总量上，这些差异对财务报表有量化重要性。</t>
    </r>
    <r>
      <rPr>
        <sz val="10"/>
        <rFont val="Times New Roman"/>
        <family val="1"/>
      </rPr>
      <t>Determine whether individually, or in the aggregate, these differences are quantitatively material to the financial statements.</t>
    </r>
  </si>
  <si>
    <t>c</t>
    <phoneticPr fontId="163" type="noConversion"/>
  </si>
  <si>
    <r>
      <rPr>
        <sz val="10"/>
        <rFont val="宋体"/>
        <family val="3"/>
        <charset val="134"/>
      </rPr>
      <t>从质量上考虑财务报表重要性（如个别项目，小计，总计和对财务报表隐含的比率）。</t>
    </r>
    <r>
      <rPr>
        <sz val="10"/>
        <rFont val="Times New Roman"/>
        <family val="1"/>
      </rPr>
      <t>Consider the qualitative aspects of financial statement materiality (e.g. individual line items, subtotals, totals and ratios implied on the financial statements).</t>
    </r>
  </si>
  <si>
    <t>d</t>
    <phoneticPr fontId="163" type="noConversion"/>
  </si>
  <si>
    <r>
      <rPr>
        <sz val="10"/>
        <rFont val="宋体"/>
        <family val="3"/>
        <charset val="134"/>
      </rPr>
      <t>确定任何差异对财务报表来说是否性质重要。</t>
    </r>
    <r>
      <rPr>
        <sz val="10"/>
        <rFont val="Times New Roman"/>
        <family val="1"/>
      </rPr>
      <t>Determine whether any differences are qualitatively material to the financial statements.</t>
    </r>
  </si>
  <si>
    <t>e</t>
    <phoneticPr fontId="163" type="noConversion"/>
  </si>
  <si>
    <r>
      <rPr>
        <sz val="10"/>
        <rFont val="宋体"/>
        <family val="3"/>
        <charset val="134"/>
      </rPr>
      <t>如果不调整差异金额汇总是重大的话，找出个别项目作为调整分录，使不调整差异金额汇总小于财务报表的重要性水平。</t>
    </r>
    <r>
      <rPr>
        <sz val="10"/>
        <rFont val="Times New Roman"/>
        <family val="1"/>
      </rPr>
      <t>If aggregate uncorrected misstatements are material, identify individual items that should be changed to adjusting entries to bring the aggregate uncorrected misstatements within financial statement materiality.</t>
    </r>
    <phoneticPr fontId="163" type="noConversion"/>
  </si>
  <si>
    <t>f</t>
    <phoneticPr fontId="163" type="noConversion"/>
  </si>
  <si>
    <r>
      <rPr>
        <sz val="10"/>
        <rFont val="宋体"/>
        <family val="3"/>
        <charset val="134"/>
      </rPr>
      <t>考虑以前年度错报的累积影响。</t>
    </r>
    <r>
      <rPr>
        <sz val="10"/>
        <rFont val="Times New Roman"/>
        <family val="1"/>
      </rPr>
      <t>Consider the cumulative effect of misstatements from prior years.</t>
    </r>
  </si>
  <si>
    <r>
      <rPr>
        <sz val="10"/>
        <color indexed="23"/>
        <rFont val="宋体"/>
        <family val="3"/>
        <charset val="134"/>
      </rPr>
      <t>（</t>
    </r>
    <r>
      <rPr>
        <sz val="10"/>
        <color indexed="23"/>
        <rFont val="Times New Roman"/>
        <family val="1"/>
      </rPr>
      <t>4</t>
    </r>
    <r>
      <rPr>
        <sz val="10"/>
        <color indexed="23"/>
        <rFont val="宋体"/>
        <family val="3"/>
        <charset val="134"/>
      </rPr>
      <t>）</t>
    </r>
    <phoneticPr fontId="163" type="noConversion"/>
  </si>
  <si>
    <r>
      <rPr>
        <sz val="10"/>
        <rFont val="宋体"/>
        <family val="3"/>
        <charset val="134"/>
      </rPr>
      <t>确定剩下的未更正错报对财务报表是否是不重大的。</t>
    </r>
    <r>
      <rPr>
        <sz val="10"/>
        <rFont val="Times New Roman"/>
        <family val="1"/>
      </rPr>
      <t>Determine whether remaining unrecorded misstatements are immaterial to the financial statements.</t>
    </r>
  </si>
  <si>
    <r>
      <rPr>
        <sz val="10"/>
        <rFont val="宋体"/>
        <family val="3"/>
        <charset val="134"/>
      </rPr>
      <t>判断已确认错报是否存在舞弊，如果是，与项目合伙人商讨。</t>
    </r>
    <r>
      <rPr>
        <sz val="10"/>
        <rFont val="Times New Roman"/>
        <family val="1"/>
      </rPr>
      <t>Consider whether identified misstatements are an indication of fraud and if so, consult with the engagement partner.</t>
    </r>
    <phoneticPr fontId="163" type="noConversion"/>
  </si>
  <si>
    <r>
      <rPr>
        <sz val="10"/>
        <rFont val="宋体"/>
        <family val="3"/>
        <charset val="134"/>
      </rPr>
      <t>确定导致错报的控制缺陷是否在相应的内部控制缺陷评价底稿中予以评估（记录在相关的控制缺陷评估底稿）并汇总至</t>
    </r>
    <r>
      <rPr>
        <sz val="10"/>
        <rFont val="Times New Roman"/>
        <family val="1"/>
      </rPr>
      <t>“</t>
    </r>
    <r>
      <rPr>
        <sz val="10"/>
        <rFont val="宋体"/>
        <family val="3"/>
        <charset val="134"/>
      </rPr>
      <t>内部控制缺陷汇总表</t>
    </r>
    <r>
      <rPr>
        <sz val="10"/>
        <rFont val="Times New Roman"/>
        <family val="1"/>
      </rPr>
      <t>”</t>
    </r>
    <r>
      <rPr>
        <sz val="10"/>
        <rFont val="宋体"/>
        <family val="3"/>
        <charset val="134"/>
      </rPr>
      <t>中。（说明：发现非微小错报一般认为至少是一项重要缺陷，但是可能是重大缺陷。）</t>
    </r>
    <r>
      <rPr>
        <sz val="10"/>
        <rFont val="Times New Roman"/>
        <family val="1"/>
      </rPr>
      <t>Determine whether the underlying control deficiency that resulted in the identified misstatements were entered and evaluated in the Design Effectiveness - Entity-Level Controls, Design Effectiveness - Activities-Level Controls, or Additional Findings - Activities-Level Controls tool. (Note: The discovery of a non-trivial misstatement is ordinarily at least a significant deficiency, but likely to be a material weakness.)</t>
    </r>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</si>
  <si>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</si>
  <si>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</si>
  <si>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9002B</t>
  </si>
  <si>
    <t>7230T02</t>
    <phoneticPr fontId="163" type="noConversion"/>
  </si>
  <si>
    <t>未更正错报（不包括披露错报）汇总表</t>
  </si>
  <si>
    <t>未更正错报（不包括披露错报）汇总表</t>
    <phoneticPr fontId="163" type="noConversion"/>
  </si>
  <si>
    <t>科目</t>
    <phoneticPr fontId="163" type="noConversion"/>
  </si>
  <si>
    <t>错报分类</t>
    <phoneticPr fontId="163" type="noConversion"/>
  </si>
  <si>
    <t>工作底稿索引</t>
  </si>
  <si>
    <t>资产</t>
    <phoneticPr fontId="163" type="noConversion"/>
  </si>
  <si>
    <t>负债</t>
    <phoneticPr fontId="163" type="noConversion"/>
  </si>
  <si>
    <t>权益</t>
    <phoneticPr fontId="163" type="noConversion"/>
  </si>
  <si>
    <t>损益</t>
    <phoneticPr fontId="163" type="noConversion"/>
  </si>
  <si>
    <t>合计</t>
    <phoneticPr fontId="163" type="noConversion"/>
  </si>
  <si>
    <t>错报性质</t>
    <phoneticPr fontId="163" type="noConversion"/>
  </si>
  <si>
    <t>管理层不予更正的原因</t>
    <phoneticPr fontId="163" type="noConversion"/>
  </si>
  <si>
    <t>借</t>
  </si>
  <si>
    <t>贷</t>
  </si>
  <si>
    <t>一、在前期识别的影响本期的前期未更正错报</t>
    <phoneticPr fontId="163" type="noConversion"/>
  </si>
  <si>
    <t>小计</t>
    <phoneticPr fontId="163" type="noConversion"/>
  </si>
  <si>
    <t>二、在本期识别的影响本期的前期未更正错报</t>
    <phoneticPr fontId="163" type="noConversion"/>
  </si>
  <si>
    <t>三、以前期间的未更正错报合计</t>
    <phoneticPr fontId="163" type="noConversion"/>
  </si>
  <si>
    <t>四、本期未更正错报</t>
    <phoneticPr fontId="163" type="noConversion"/>
  </si>
  <si>
    <t>五、未更正错报合计</t>
    <phoneticPr fontId="163" type="noConversion"/>
  </si>
  <si>
    <t>请先考虑一下环保，再决定是否打印该页底稿</t>
    <phoneticPr fontId="163" type="noConversion"/>
  </si>
  <si>
    <t>Please consider the environment before printing this sheet.   WPE(Working Papers for EAS)@2019.09</t>
    <phoneticPr fontId="163" type="noConversion"/>
  </si>
  <si>
    <t>9002C</t>
  </si>
  <si>
    <t>7230T03</t>
    <phoneticPr fontId="163" type="noConversion"/>
  </si>
  <si>
    <t>未更正披露错报汇总表</t>
  </si>
  <si>
    <t>未更正披露错报汇总表</t>
    <phoneticPr fontId="163" type="noConversion"/>
  </si>
  <si>
    <t>错报描述</t>
    <phoneticPr fontId="163" type="noConversion"/>
  </si>
  <si>
    <t>工作底稿索引</t>
    <phoneticPr fontId="163" type="noConversion"/>
  </si>
  <si>
    <t>相关披露要求</t>
    <phoneticPr fontId="163" type="noConversion"/>
  </si>
  <si>
    <t>金额（如适用）</t>
    <phoneticPr fontId="163" type="noConversion"/>
  </si>
  <si>
    <t>错报性质</t>
    <phoneticPr fontId="163" type="noConversion"/>
  </si>
  <si>
    <t>9000B</t>
  </si>
  <si>
    <t>7230T04</t>
    <phoneticPr fontId="163" type="noConversion"/>
  </si>
  <si>
    <t>对错报性质的评价</t>
  </si>
  <si>
    <t>对错报性质的评价</t>
    <phoneticPr fontId="163" type="noConversion"/>
  </si>
  <si>
    <t>—、错报性质——错误</t>
    <phoneticPr fontId="163" type="noConversion"/>
  </si>
  <si>
    <t>导致错报的具体原因</t>
  </si>
  <si>
    <t>是否为内部控制缺陷(是/否)</t>
    <phoneticPr fontId="163" type="noConversion"/>
  </si>
  <si>
    <t>是否为值得关注的内部控制缺陷(是/否)</t>
    <phoneticPr fontId="163" type="noConversion"/>
  </si>
  <si>
    <t>缺陷评价索引号</t>
    <phoneticPr fontId="163" type="noConversion"/>
  </si>
  <si>
    <t>备注</t>
    <phoneticPr fontId="163" type="noConversion"/>
  </si>
  <si>
    <t>二、错报性质——舞弊</t>
    <phoneticPr fontId="163" type="noConversion"/>
  </si>
  <si>
    <t>三、评价舞弊对审计的影响</t>
    <phoneticPr fontId="163" type="noConversion"/>
  </si>
  <si>
    <t>1、重新评价对由于舞弊导致的重大错报风险的评估结果</t>
  </si>
  <si>
    <t>2、对审计程序的性质、时间安排和范围的影响</t>
  </si>
  <si>
    <t>3、对此前获取的审计证据的可靠性的影响</t>
    <phoneticPr fontId="163" type="noConversion"/>
  </si>
  <si>
    <t>4、对管理层声明的可靠性的影响</t>
    <phoneticPr fontId="163" type="noConversion"/>
  </si>
  <si>
    <t>9000C</t>
  </si>
  <si>
    <t>7230T05</t>
    <phoneticPr fontId="163" type="noConversion"/>
  </si>
  <si>
    <t>错报评价</t>
  </si>
  <si>
    <t>错报评价</t>
    <phoneticPr fontId="163" type="noConversion"/>
  </si>
  <si>
    <t>一、错报对审计工作的影响</t>
  </si>
  <si>
    <t>1. 错报合计</t>
    <phoneticPr fontId="163" type="noConversion"/>
  </si>
  <si>
    <t>项目</t>
    <phoneticPr fontId="163" type="noConversion"/>
  </si>
  <si>
    <t>索引号</t>
    <phoneticPr fontId="163" type="noConversion"/>
  </si>
  <si>
    <t>资产（借）</t>
    <phoneticPr fontId="163" type="noConversion"/>
  </si>
  <si>
    <t>资产（贷）</t>
    <phoneticPr fontId="163" type="noConversion"/>
  </si>
  <si>
    <t>负债（借）</t>
    <phoneticPr fontId="163" type="noConversion"/>
  </si>
  <si>
    <t>负债（贷）</t>
    <phoneticPr fontId="163" type="noConversion"/>
  </si>
  <si>
    <t>权益（借）</t>
    <phoneticPr fontId="163" type="noConversion"/>
  </si>
  <si>
    <t>权益（贷）</t>
    <phoneticPr fontId="163" type="noConversion"/>
  </si>
  <si>
    <t>损益（借）</t>
    <phoneticPr fontId="163" type="noConversion"/>
  </si>
  <si>
    <t>损益（贷）</t>
    <phoneticPr fontId="163" type="noConversion"/>
  </si>
  <si>
    <t>未更正错报合计</t>
  </si>
  <si>
    <t>已更正错报合计</t>
  </si>
  <si>
    <t>错报合计</t>
    <phoneticPr fontId="163" type="noConversion"/>
  </si>
  <si>
    <t>2. 本期财务报表整体重要性</t>
    <phoneticPr fontId="163" type="noConversion"/>
  </si>
  <si>
    <t>3. 审计过程中累积的错报合计数是否接近重要性：</t>
    <phoneticPr fontId="163" type="noConversion"/>
  </si>
  <si>
    <t>是/否</t>
  </si>
  <si>
    <t>4. 识别出的错报的性质以及错报发生的环境是否表明可能存在其他错报，并且可能存在的其他错报与审计过程中累积的错报合计起来可能是重大的：是/否</t>
    <phoneticPr fontId="163" type="noConversion"/>
  </si>
  <si>
    <t>是否需修改总体审计策略和具体审计计划</t>
    <phoneticPr fontId="163" type="noConversion"/>
  </si>
  <si>
    <t>二、未更正错报对财务报表的影响</t>
  </si>
  <si>
    <t>1、对与以前期间相关的错报的考虑</t>
    <phoneticPr fontId="163" type="noConversion"/>
  </si>
  <si>
    <t>以前期间未更正错报合计</t>
    <phoneticPr fontId="163" type="noConversion"/>
  </si>
  <si>
    <t>本期财务报表整体重要性</t>
  </si>
  <si>
    <t>与以前期间相关的未更正错报对本期财务报表的影响不重大</t>
    <phoneticPr fontId="163" type="noConversion"/>
  </si>
  <si>
    <t>或者，与以前期间相关的未更正错报对本期财务报表的影响重大，需要重述报表……</t>
    <phoneticPr fontId="163" type="noConversion"/>
  </si>
  <si>
    <t>2、对未更正错报的考虑</t>
    <phoneticPr fontId="163" type="noConversion"/>
  </si>
  <si>
    <t>未更正错报合计</t>
    <phoneticPr fontId="163" type="noConversion"/>
  </si>
  <si>
    <t>本期财务报表整体重要性</t>
    <phoneticPr fontId="163" type="noConversion"/>
  </si>
  <si>
    <t>未更正错报单独或汇总起来并不重大，或未更正错报单独或汇总起来构成重大错报</t>
    <phoneticPr fontId="163" type="noConversion"/>
  </si>
  <si>
    <t>9000D</t>
  </si>
  <si>
    <t>7230T06</t>
    <phoneticPr fontId="163" type="noConversion"/>
  </si>
  <si>
    <t>对错报的沟通</t>
  </si>
  <si>
    <t>对错报的沟通</t>
    <phoneticPr fontId="163" type="noConversion"/>
  </si>
  <si>
    <t>—、与管理层的沟通</t>
  </si>
  <si>
    <t>沟通时间</t>
  </si>
  <si>
    <t>管理层成员</t>
  </si>
  <si>
    <t>项目组成员</t>
  </si>
  <si>
    <t>沟通事项</t>
  </si>
  <si>
    <t>管理层意见</t>
    <phoneticPr fontId="163" type="noConversion"/>
  </si>
  <si>
    <t>书面声明索引</t>
  </si>
  <si>
    <t>二、与治理层的沟通</t>
  </si>
  <si>
    <t>治理层成员</t>
    <phoneticPr fontId="163" type="noConversion"/>
  </si>
  <si>
    <t>治理层意见</t>
    <phoneticPr fontId="163" type="noConversion"/>
  </si>
  <si>
    <t>索引</t>
    <phoneticPr fontId="163" type="noConversion"/>
  </si>
  <si>
    <t>管理层不予更正的原因</t>
    <phoneticPr fontId="163" type="noConversion"/>
  </si>
  <si>
    <t>Y</t>
    <phoneticPr fontId="163" type="noConversion"/>
  </si>
  <si>
    <t>前1期</t>
    <phoneticPr fontId="163" type="noConversion"/>
  </si>
  <si>
    <t>LIS,GEN</t>
  </si>
  <si>
    <t>A19,B19</t>
  </si>
  <si>
    <t xml:space="preserve">        --&gt;</t>
  </si>
  <si>
    <t>A19</t>
  </si>
  <si>
    <t>B19</t>
  </si>
  <si>
    <t>GEN</t>
  </si>
  <si>
    <t>Notes</t>
  </si>
  <si>
    <t>完成否</t>
  </si>
  <si>
    <t>编制者注</t>
  </si>
  <si>
    <t>复核意见</t>
  </si>
  <si>
    <t>跟进复核意见</t>
  </si>
  <si>
    <t>是否显示</t>
  </si>
  <si>
    <t>发送Word2</t>
  </si>
  <si>
    <t>fatherId</t>
  </si>
  <si>
    <t>sendToWord1</t>
  </si>
  <si>
    <t>companyID</t>
  </si>
  <si>
    <t>tscID</t>
  </si>
  <si>
    <t>status2</t>
  </si>
  <si>
    <t>级</t>
    <phoneticPr fontId="163" type="noConversion"/>
  </si>
  <si>
    <t>Z</t>
    <phoneticPr fontId="163" type="noConversion"/>
  </si>
  <si>
    <t>M</t>
    <phoneticPr fontId="163" type="noConversion"/>
  </si>
  <si>
    <t>S</t>
    <phoneticPr fontId="163" type="noConversion"/>
  </si>
  <si>
    <r>
      <t>库存商品较上期增加3</t>
    </r>
    <r>
      <rPr>
        <sz val="10"/>
        <rFont val="宋体"/>
        <family val="3"/>
        <charset val="134"/>
      </rPr>
      <t>00万</t>
    </r>
    <phoneticPr fontId="163" type="noConversion"/>
  </si>
  <si>
    <r>
      <t>1</t>
    </r>
    <r>
      <rPr>
        <sz val="10"/>
        <rFont val="宋体"/>
        <family val="3"/>
        <charset val="134"/>
      </rPr>
      <t>20万</t>
    </r>
    <r>
      <rPr>
        <sz val="10"/>
        <rFont val="宋体"/>
        <family val="3"/>
        <charset val="134"/>
      </rPr>
      <t>理财及针对亏损计提的所得税重分类需调整。</t>
    </r>
    <phoneticPr fontId="163" type="noConversion"/>
  </si>
  <si>
    <t>久远的研发项目是否费用化或转为无形资产，还能不能研究出来了。。。</t>
    <phoneticPr fontId="163" type="noConversion"/>
  </si>
  <si>
    <t>还计提？？？能盈利了么</t>
    <phoneticPr fontId="163" type="noConversion"/>
  </si>
  <si>
    <t>借钱买理财，缺钱还是不缺钱。。</t>
    <phoneticPr fontId="163" type="noConversion"/>
  </si>
  <si>
    <t>应付上升？关注一下主要购买的是什么？</t>
    <phoneticPr fontId="163" type="noConversion"/>
  </si>
  <si>
    <t>啥补助？与资产相关还是与收益相关，达到确认时点了么</t>
    <phoneticPr fontId="163" type="noConversion"/>
  </si>
  <si>
    <t>啥啥啥？？这是啥？？股东新投入的资金？？</t>
    <phoneticPr fontId="163" type="noConversion"/>
  </si>
  <si>
    <t>毛利率基本没变化</t>
    <phoneticPr fontId="163" type="noConversion"/>
  </si>
  <si>
    <t>费用中存在的诉讼费用，关注一下诉讼事项；费用增加是由于购买的技术转让费？关注一下购买的是什么技术，支付方式等。</t>
    <phoneticPr fontId="163" type="noConversion"/>
  </si>
  <si>
    <t>研发的内容？是否需要加计扣除？</t>
    <phoneticPr fontId="163" type="noConversion"/>
  </si>
  <si>
    <t>是否是关联资金拆借利息影响？本年度有借款不应该比上年低。</t>
    <phoneticPr fontId="163" type="noConversion"/>
  </si>
  <si>
    <t>理财利息，考虑重分类</t>
    <phoneticPr fontId="163" type="noConversion"/>
  </si>
  <si>
    <t>大量应收未收回的原因？？</t>
    <phoneticPr fontId="163" type="noConversion"/>
  </si>
  <si>
    <t>考虑重分类其他收益</t>
    <phoneticPr fontId="163" type="noConversion"/>
  </si>
  <si>
    <t>是否计算递延？亏损计提所得税？？？重算</t>
    <phoneticPr fontId="163" type="noConversion"/>
  </si>
  <si>
    <t>毛雨</t>
  </si>
  <si>
    <t>毛雨</t>
    <phoneticPr fontId="163" type="noConversion"/>
  </si>
  <si>
    <t>调整当期存货跌价准备</t>
  </si>
  <si>
    <t>存货跌价准备</t>
    <phoneticPr fontId="163" type="noConversion"/>
  </si>
  <si>
    <t>交通银行股份有限公司龙岩分行</t>
  </si>
  <si>
    <t>龙岩市新罗区东肖镇黄邦村经济开发区的工业用地及工业厂房</t>
  </si>
  <si>
    <t>首次执行新金融工具准则调整期初应收账款坏账准备</t>
  </si>
  <si>
    <t>张永洁0214</t>
    <phoneticPr fontId="163" type="noConversion"/>
  </si>
  <si>
    <t>应收账款坏账准备</t>
    <phoneticPr fontId="163" type="noConversion"/>
  </si>
  <si>
    <t>应收账款坏账准备</t>
    <phoneticPr fontId="163" type="noConversion"/>
  </si>
  <si>
    <t>职工薪酬</t>
  </si>
  <si>
    <t>交通费</t>
  </si>
  <si>
    <t>广告宣传费</t>
  </si>
  <si>
    <t>差旅费</t>
  </si>
  <si>
    <t>业务招待费</t>
  </si>
  <si>
    <t>办公费</t>
  </si>
  <si>
    <t>中介机构服务费</t>
  </si>
  <si>
    <t>存货报废</t>
  </si>
  <si>
    <t>残保金重分类至税金及附加</t>
  </si>
  <si>
    <t>电子设备及其他</t>
  </si>
  <si>
    <t>零星工程</t>
  </si>
  <si>
    <t>姜黄素产品的研发</t>
  </si>
  <si>
    <t>天雪含片产品研发</t>
  </si>
  <si>
    <t>维生素舌下含片产品研发</t>
  </si>
  <si>
    <t>增加骨密度片产品的研发</t>
  </si>
  <si>
    <t>系列营养素补充研发</t>
  </si>
  <si>
    <t>%IN</t>
    <phoneticPr fontId="163" type="noConversion"/>
  </si>
  <si>
    <t>%IN</t>
    <phoneticPr fontId="163" type="noConversion"/>
  </si>
  <si>
    <t>%IN</t>
    <phoneticPr fontId="163" type="noConversion"/>
  </si>
  <si>
    <t>抑菌剂系列产品研发</t>
  </si>
  <si>
    <t>海绵骨针护肤系列产品工艺技术的研发</t>
  </si>
  <si>
    <t>小试结束</t>
  </si>
  <si>
    <t>进场费</t>
  </si>
  <si>
    <t>广告制作费</t>
  </si>
  <si>
    <t>预付工程款</t>
  </si>
  <si>
    <t>预付房屋、设备款</t>
  </si>
  <si>
    <t>将政府补助的烧仙草研发补贴一次性计入当期损益</t>
    <phoneticPr fontId="163" type="noConversion"/>
  </si>
  <si>
    <t>其他收益</t>
    <phoneticPr fontId="163" type="noConversion"/>
  </si>
  <si>
    <t>专项应付款</t>
    <phoneticPr fontId="163" type="noConversion"/>
  </si>
  <si>
    <t>科技小巨人认定资助项目</t>
  </si>
  <si>
    <t>科技小巨人认定资助项目</t>
    <phoneticPr fontId="163" type="noConversion"/>
  </si>
  <si>
    <t>残保金</t>
    <phoneticPr fontId="163" type="noConversion"/>
  </si>
  <si>
    <t>%IN</t>
    <phoneticPr fontId="163" type="noConversion"/>
  </si>
  <si>
    <t>%IN</t>
    <phoneticPr fontId="163" type="noConversion"/>
  </si>
  <si>
    <t>龙岩市财政国库支付中心-专利奖励</t>
  </si>
  <si>
    <t>龙岩市公共就业和人才服务中心-就业见习补贴</t>
  </si>
  <si>
    <t>龙岩经济技术开发区财政局</t>
    <phoneticPr fontId="163" type="noConversion"/>
  </si>
  <si>
    <t>龙岩市财政国库支付中心-人才推介款</t>
  </si>
  <si>
    <t>龙岩经济技术开发区财政局-研发奖励</t>
    <phoneticPr fontId="163" type="noConversion"/>
  </si>
  <si>
    <t>%IN</t>
    <phoneticPr fontId="163" type="noConversion"/>
  </si>
  <si>
    <t>龙岩经济技术开发区财政局-省高新奖励</t>
    <phoneticPr fontId="163" type="noConversion"/>
  </si>
  <si>
    <t>营业外收入</t>
    <phoneticPr fontId="163" type="noConversion"/>
  </si>
  <si>
    <t>将因管理不善导致的不合格品调整至管理费用</t>
    <phoneticPr fontId="163" type="noConversion"/>
  </si>
  <si>
    <t>理财收益</t>
  </si>
  <si>
    <t>信用减值损失</t>
    <phoneticPr fontId="163" type="noConversion"/>
  </si>
  <si>
    <t>资产减值损失</t>
    <phoneticPr fontId="163" type="noConversion"/>
  </si>
  <si>
    <t>其他</t>
    <phoneticPr fontId="163" type="noConversion"/>
  </si>
  <si>
    <t>滞纳金</t>
  </si>
  <si>
    <t>罚款</t>
  </si>
  <si>
    <t>备用金</t>
  </si>
  <si>
    <t>单位往来款</t>
  </si>
  <si>
    <t>保证金</t>
  </si>
  <si>
    <t>金陵华软</t>
    <phoneticPr fontId="163" type="noConversion"/>
  </si>
  <si>
    <t>组合1：押金、保证金</t>
  </si>
  <si>
    <t>组合2：员工备用金、应收出口退税款及合并范围内关联方往来</t>
  </si>
  <si>
    <t>组合3：其他单位往来款</t>
  </si>
  <si>
    <t>预缴所得税</t>
  </si>
  <si>
    <t>押金</t>
  </si>
  <si>
    <t>质保金</t>
  </si>
  <si>
    <t>其他单位往来款</t>
  </si>
  <si>
    <t>合并范围内关联往来</t>
  </si>
  <si>
    <t>其他应收款</t>
    <phoneticPr fontId="163" type="noConversion"/>
  </si>
  <si>
    <t>递延所得税计算表</t>
    <phoneticPr fontId="163" type="noConversion"/>
  </si>
  <si>
    <r>
      <t>2018</t>
    </r>
    <r>
      <rPr>
        <b/>
        <sz val="12"/>
        <rFont val="宋体"/>
        <family val="3"/>
        <charset val="134"/>
      </rPr>
      <t>年</t>
    </r>
    <r>
      <rPr>
        <b/>
        <sz val="12"/>
        <rFont val="Arial Narrow"/>
        <family val="2"/>
      </rPr>
      <t>1-6</t>
    </r>
    <r>
      <rPr>
        <b/>
        <sz val="12"/>
        <rFont val="宋体"/>
        <family val="3"/>
        <charset val="134"/>
      </rPr>
      <t>月</t>
    </r>
    <phoneticPr fontId="163" type="noConversion"/>
  </si>
  <si>
    <r>
      <rPr>
        <b/>
        <sz val="10"/>
        <rFont val="宋体"/>
        <family val="3"/>
        <charset val="134"/>
      </rPr>
      <t>项目</t>
    </r>
    <phoneticPr fontId="163" type="noConversion"/>
  </si>
  <si>
    <r>
      <rPr>
        <b/>
        <sz val="10"/>
        <rFont val="宋体"/>
        <family val="3"/>
        <charset val="134"/>
      </rPr>
      <t>年初账面价值与计税基础差异</t>
    </r>
    <phoneticPr fontId="163" type="noConversion"/>
  </si>
  <si>
    <r>
      <rPr>
        <b/>
        <sz val="10"/>
        <rFont val="宋体"/>
        <family val="3"/>
        <charset val="134"/>
      </rPr>
      <t>年初应确认递延所得税</t>
    </r>
    <phoneticPr fontId="163" type="noConversion"/>
  </si>
  <si>
    <r>
      <rPr>
        <b/>
        <sz val="10"/>
        <rFont val="宋体"/>
        <family val="3"/>
        <charset val="134"/>
      </rPr>
      <t>年末账面价值与计税基础差异</t>
    </r>
    <phoneticPr fontId="163" type="noConversion"/>
  </si>
  <si>
    <t>年末应确认递延所得税</t>
    <phoneticPr fontId="163" type="noConversion"/>
  </si>
  <si>
    <r>
      <rPr>
        <b/>
        <sz val="10"/>
        <rFont val="宋体"/>
        <family val="3"/>
        <charset val="134"/>
      </rPr>
      <t>账面已确认金额</t>
    </r>
    <phoneticPr fontId="163" type="noConversion"/>
  </si>
  <si>
    <r>
      <rPr>
        <b/>
        <sz val="10"/>
        <rFont val="宋体"/>
        <family val="3"/>
        <charset val="134"/>
      </rPr>
      <t>应调整</t>
    </r>
    <phoneticPr fontId="163" type="noConversion"/>
  </si>
  <si>
    <r>
      <rPr>
        <b/>
        <sz val="10"/>
        <rFont val="宋体"/>
        <family val="3"/>
        <charset val="134"/>
      </rPr>
      <t>所得税率</t>
    </r>
    <phoneticPr fontId="163" type="noConversion"/>
  </si>
  <si>
    <r>
      <rPr>
        <sz val="10"/>
        <color indexed="8"/>
        <rFont val="宋体"/>
        <family val="3"/>
        <charset val="134"/>
      </rPr>
      <t>坏账准备</t>
    </r>
    <phoneticPr fontId="163" type="noConversion"/>
  </si>
  <si>
    <r>
      <rPr>
        <sz val="10"/>
        <color indexed="8"/>
        <rFont val="宋体"/>
        <family val="3"/>
        <charset val="134"/>
      </rPr>
      <t>存货跌价准备</t>
    </r>
  </si>
  <si>
    <t>预计负债</t>
    <phoneticPr fontId="163" type="noConversion"/>
  </si>
  <si>
    <t>不满足资本化条件的无形资产费用化而税法上仍确认为无形资产并计提摊销形成的差异</t>
    <phoneticPr fontId="163" type="noConversion"/>
  </si>
  <si>
    <r>
      <rPr>
        <sz val="10"/>
        <color indexed="8"/>
        <rFont val="宋体"/>
        <family val="3"/>
        <charset val="134"/>
      </rPr>
      <t>未弥补亏损</t>
    </r>
    <phoneticPr fontId="163" type="noConversion"/>
  </si>
  <si>
    <r>
      <rPr>
        <sz val="10"/>
        <color indexed="8"/>
        <rFont val="宋体"/>
        <family val="3"/>
        <charset val="134"/>
      </rPr>
      <t>递延所得税资产合计</t>
    </r>
    <phoneticPr fontId="163" type="noConversion"/>
  </si>
  <si>
    <r>
      <rPr>
        <sz val="10"/>
        <color indexed="8"/>
        <rFont val="宋体"/>
        <family val="3"/>
        <charset val="134"/>
      </rPr>
      <t>可供出售金融资产</t>
    </r>
    <phoneticPr fontId="163" type="noConversion"/>
  </si>
  <si>
    <r>
      <rPr>
        <sz val="10"/>
        <color indexed="8"/>
        <rFont val="宋体"/>
        <family val="3"/>
        <charset val="134"/>
      </rPr>
      <t>递延所得税负债合计</t>
    </r>
    <phoneticPr fontId="163" type="noConversion"/>
  </si>
  <si>
    <t>报表数</t>
    <phoneticPr fontId="163" type="noConversion"/>
  </si>
  <si>
    <t>CHECK</t>
    <phoneticPr fontId="163" type="noConversion"/>
  </si>
  <si>
    <t>变动额</t>
    <phoneticPr fontId="163" type="noConversion"/>
  </si>
  <si>
    <t>减值准备表</t>
    <phoneticPr fontId="163" type="noConversion"/>
  </si>
  <si>
    <r>
      <t>2018</t>
    </r>
    <r>
      <rPr>
        <b/>
        <sz val="12"/>
        <rFont val="宋体"/>
        <family val="3"/>
        <charset val="134"/>
      </rPr>
      <t>年</t>
    </r>
    <r>
      <rPr>
        <b/>
        <sz val="12"/>
        <rFont val="Arial Narrow"/>
        <family val="2"/>
      </rPr>
      <t>1-6</t>
    </r>
    <r>
      <rPr>
        <b/>
        <sz val="12"/>
        <rFont val="宋体"/>
        <family val="3"/>
        <charset val="134"/>
      </rPr>
      <t>月</t>
    </r>
    <phoneticPr fontId="163" type="noConversion"/>
  </si>
  <si>
    <t>单位：人民币元</t>
    <phoneticPr fontId="163" type="noConversion"/>
  </si>
  <si>
    <t>行次</t>
    <phoneticPr fontId="163" type="noConversion"/>
  </si>
  <si>
    <t>年初审定数</t>
    <phoneticPr fontId="163" type="noConversion"/>
  </si>
  <si>
    <t>年末未审余额</t>
    <phoneticPr fontId="163" type="noConversion"/>
  </si>
  <si>
    <t>本期调整借方</t>
    <phoneticPr fontId="163" type="noConversion"/>
  </si>
  <si>
    <t>本期调整贷方　</t>
    <phoneticPr fontId="163" type="noConversion"/>
  </si>
  <si>
    <t>年末审定数</t>
    <phoneticPr fontId="163" type="noConversion"/>
  </si>
  <si>
    <t>BS核对</t>
    <phoneticPr fontId="163" type="noConversion"/>
  </si>
  <si>
    <t>本年计提</t>
    <phoneticPr fontId="163" type="noConversion"/>
  </si>
  <si>
    <t>应收账款净额</t>
    <phoneticPr fontId="163" type="noConversion"/>
  </si>
  <si>
    <t>其他应收款坏账准备</t>
    <phoneticPr fontId="163" type="noConversion"/>
  </si>
  <si>
    <t>其他应收款净额</t>
    <phoneticPr fontId="163" type="noConversion"/>
  </si>
  <si>
    <t>应收票据坏账准备</t>
    <phoneticPr fontId="163" type="noConversion"/>
  </si>
  <si>
    <t>应收票据净额</t>
    <phoneticPr fontId="163" type="noConversion"/>
  </si>
  <si>
    <t>存货</t>
    <phoneticPr fontId="163" type="noConversion"/>
  </si>
  <si>
    <t>存货跌价准备</t>
    <phoneticPr fontId="163" type="noConversion"/>
  </si>
  <si>
    <t>存货净额</t>
    <phoneticPr fontId="163" type="noConversion"/>
  </si>
  <si>
    <t>坏账准备_长期应收款</t>
    <phoneticPr fontId="163" type="noConversion"/>
  </si>
  <si>
    <t>长期股权投资减值准备</t>
    <phoneticPr fontId="163" type="noConversion"/>
  </si>
  <si>
    <t>固定资产减值准备</t>
    <phoneticPr fontId="163" type="noConversion"/>
  </si>
  <si>
    <t>在建工程减值准备</t>
    <phoneticPr fontId="163" type="noConversion"/>
  </si>
  <si>
    <t>生产性生物资产减值准备</t>
    <phoneticPr fontId="163" type="noConversion"/>
  </si>
  <si>
    <t>油气资产减值准备</t>
    <phoneticPr fontId="163" type="noConversion"/>
  </si>
  <si>
    <t>无形资产减值准备</t>
    <phoneticPr fontId="163" type="noConversion"/>
  </si>
  <si>
    <t>商誉减值准备</t>
    <phoneticPr fontId="163" type="noConversion"/>
  </si>
  <si>
    <t>应纳所得税计算表</t>
    <phoneticPr fontId="163" type="noConversion"/>
  </si>
  <si>
    <r>
      <t>2018</t>
    </r>
    <r>
      <rPr>
        <b/>
        <sz val="10"/>
        <rFont val="宋体"/>
        <family val="3"/>
        <charset val="134"/>
      </rPr>
      <t>年</t>
    </r>
    <phoneticPr fontId="163" type="noConversion"/>
  </si>
  <si>
    <t>调整后利润总额</t>
  </si>
  <si>
    <t>加：纳税调整增加额</t>
    <phoneticPr fontId="163" type="noConversion"/>
  </si>
  <si>
    <t>不可抵扣坏账损失</t>
  </si>
  <si>
    <t>短期投资减值</t>
  </si>
  <si>
    <r>
      <rPr>
        <b/>
        <sz val="10"/>
        <rFont val="宋体"/>
        <family val="3"/>
        <charset val="134"/>
      </rPr>
      <t>业务招待费纳税调整计算</t>
    </r>
  </si>
  <si>
    <t>长期投资减值</t>
  </si>
  <si>
    <r>
      <rPr>
        <sz val="10"/>
        <rFont val="宋体"/>
        <family val="3"/>
        <charset val="134"/>
      </rPr>
      <t>扣除率</t>
    </r>
    <r>
      <rPr>
        <sz val="10"/>
        <rFont val="Arial Narrow"/>
        <family val="2"/>
      </rPr>
      <t>1</t>
    </r>
  </si>
  <si>
    <r>
      <rPr>
        <sz val="10"/>
        <rFont val="宋体"/>
        <family val="3"/>
        <charset val="134"/>
      </rPr>
      <t>扣除限额</t>
    </r>
    <r>
      <rPr>
        <sz val="10"/>
        <rFont val="Arial Narrow"/>
        <family val="2"/>
      </rPr>
      <t>1</t>
    </r>
  </si>
  <si>
    <r>
      <rPr>
        <sz val="10"/>
        <rFont val="宋体"/>
        <family val="3"/>
        <charset val="134"/>
      </rPr>
      <t>扣除限额</t>
    </r>
    <r>
      <rPr>
        <sz val="10"/>
        <rFont val="Arial Narrow"/>
        <family val="2"/>
      </rPr>
      <t>2</t>
    </r>
  </si>
  <si>
    <r>
      <rPr>
        <sz val="10"/>
        <rFont val="宋体"/>
        <family val="3"/>
        <charset val="134"/>
      </rPr>
      <t>纳税调整限额</t>
    </r>
  </si>
  <si>
    <r>
      <rPr>
        <sz val="10"/>
        <rFont val="宋体"/>
        <family val="3"/>
        <charset val="134"/>
      </rPr>
      <t>纳税调增金额</t>
    </r>
  </si>
  <si>
    <t>固定资产减值</t>
  </si>
  <si>
    <t>营业收入总额</t>
  </si>
  <si>
    <t>股权差额摊销</t>
  </si>
  <si>
    <t>损益科目</t>
  </si>
  <si>
    <t>业务招待费总额</t>
  </si>
  <si>
    <r>
      <rPr>
        <sz val="10"/>
        <rFont val="宋体"/>
        <family val="3"/>
        <charset val="134"/>
      </rPr>
      <t>扣除率</t>
    </r>
    <r>
      <rPr>
        <sz val="10"/>
        <rFont val="Arial Narrow"/>
        <family val="2"/>
      </rPr>
      <t>2</t>
    </r>
  </si>
  <si>
    <t>罚款、滞纳金</t>
  </si>
  <si>
    <t>业务招待费明细金额</t>
  </si>
  <si>
    <t>各种赞助支出</t>
  </si>
  <si>
    <r>
      <rPr>
        <b/>
        <sz val="10"/>
        <rFont val="宋体"/>
        <family val="3"/>
        <charset val="134"/>
      </rPr>
      <t>广告费和业务宣传费支出纳税调整计算</t>
    </r>
  </si>
  <si>
    <t>广告费和业务宣传费支出</t>
  </si>
  <si>
    <r>
      <rPr>
        <sz val="10"/>
        <rFont val="宋体"/>
        <family val="3"/>
        <charset val="134"/>
      </rPr>
      <t>项目</t>
    </r>
  </si>
  <si>
    <r>
      <rPr>
        <sz val="10"/>
        <rFont val="宋体"/>
        <family val="3"/>
        <charset val="134"/>
      </rPr>
      <t>营业收入总额</t>
    </r>
  </si>
  <si>
    <r>
      <rPr>
        <sz val="10"/>
        <rFont val="宋体"/>
        <family val="3"/>
        <charset val="134"/>
      </rPr>
      <t>扣除率</t>
    </r>
  </si>
  <si>
    <r>
      <rPr>
        <sz val="10"/>
        <rFont val="宋体"/>
        <family val="3"/>
        <charset val="134"/>
      </rPr>
      <t>税前扣除限额</t>
    </r>
  </si>
  <si>
    <r>
      <rPr>
        <sz val="10"/>
        <rFont val="宋体"/>
        <family val="3"/>
        <charset val="134"/>
      </rPr>
      <t>广告费和业务宣传费支出总额</t>
    </r>
  </si>
  <si>
    <r>
      <rPr>
        <sz val="10"/>
        <rFont val="宋体"/>
        <family val="3"/>
        <charset val="134"/>
      </rPr>
      <t>纳税调增额（含不许列支金额）</t>
    </r>
  </si>
  <si>
    <r>
      <rPr>
        <sz val="10"/>
        <rFont val="宋体"/>
        <family val="3"/>
        <charset val="134"/>
      </rPr>
      <t>结转以后年度扣除金额</t>
    </r>
  </si>
  <si>
    <t>工资支出</t>
  </si>
  <si>
    <r>
      <rPr>
        <sz val="10"/>
        <rFont val="宋体"/>
        <family val="3"/>
        <charset val="134"/>
      </rPr>
      <t>扣除计算行</t>
    </r>
  </si>
  <si>
    <t>上年结转以后年度抵扣金额</t>
  </si>
  <si>
    <t>不允许扣除的广告和宣传费</t>
  </si>
  <si>
    <t>职工教育经费</t>
  </si>
  <si>
    <r>
      <rPr>
        <sz val="10"/>
        <rFont val="宋体"/>
        <family val="3"/>
        <charset val="134"/>
      </rPr>
      <t>广告费和业务宣传费支出</t>
    </r>
  </si>
  <si>
    <t>工会经费</t>
  </si>
  <si>
    <t>其他(折旧调整）</t>
    <phoneticPr fontId="163" type="noConversion"/>
  </si>
  <si>
    <t>项目</t>
    <phoneticPr fontId="262" type="noConversion"/>
  </si>
  <si>
    <t>2019年（审计）</t>
    <phoneticPr fontId="262" type="noConversion"/>
  </si>
  <si>
    <t>不合规票据</t>
    <phoneticPr fontId="163" type="noConversion"/>
  </si>
  <si>
    <t>营业收入</t>
    <phoneticPr fontId="262" type="noConversion"/>
  </si>
  <si>
    <t>无形资产折旧年限调整</t>
  </si>
  <si>
    <t>营业费用</t>
    <phoneticPr fontId="262" type="noConversion"/>
  </si>
  <si>
    <t>5000元以下资产加速折旧调增</t>
  </si>
  <si>
    <t>管理费用</t>
    <phoneticPr fontId="262" type="noConversion"/>
  </si>
  <si>
    <t>减：纳税调整减少额</t>
    <phoneticPr fontId="163" type="noConversion"/>
  </si>
  <si>
    <t>财务费用</t>
    <phoneticPr fontId="262" type="noConversion"/>
  </si>
  <si>
    <t>免税收入</t>
  </si>
  <si>
    <t>研发费用</t>
    <phoneticPr fontId="163" type="noConversion"/>
  </si>
  <si>
    <t>联营企业分回利润</t>
  </si>
  <si>
    <t>期间费用</t>
    <phoneticPr fontId="262" type="noConversion"/>
  </si>
  <si>
    <t>国库券利息收入</t>
  </si>
  <si>
    <t>技术转让收入</t>
    <phoneticPr fontId="262" type="noConversion"/>
  </si>
  <si>
    <t>权益法核算投资收益</t>
    <phoneticPr fontId="163" type="noConversion"/>
  </si>
  <si>
    <t>分摊费用比例</t>
    <phoneticPr fontId="262" type="noConversion"/>
  </si>
  <si>
    <t>加计扣除</t>
  </si>
  <si>
    <t>分摊期间费用</t>
    <phoneticPr fontId="262" type="noConversion"/>
  </si>
  <si>
    <t>二、应纳税所得额</t>
    <phoneticPr fontId="163" type="noConversion"/>
  </si>
  <si>
    <t>相关税费</t>
    <phoneticPr fontId="262" type="noConversion"/>
  </si>
  <si>
    <t>适用税率</t>
  </si>
  <si>
    <t>期间相关费用</t>
    <phoneticPr fontId="262" type="noConversion"/>
  </si>
  <si>
    <t>应纳所得税额</t>
  </si>
  <si>
    <t>可减免所得额</t>
    <phoneticPr fontId="262" type="noConversion"/>
  </si>
  <si>
    <t>已计提所得税</t>
  </si>
  <si>
    <t>减免税额</t>
    <phoneticPr fontId="262" type="noConversion"/>
  </si>
  <si>
    <t>应调整差额</t>
  </si>
  <si>
    <t>调增税额</t>
    <phoneticPr fontId="262" type="noConversion"/>
  </si>
  <si>
    <t>现金流量表编制底稿</t>
    <phoneticPr fontId="163" type="noConversion"/>
  </si>
  <si>
    <r>
      <t>2018</t>
    </r>
    <r>
      <rPr>
        <b/>
        <sz val="12"/>
        <rFont val="宋体"/>
        <family val="3"/>
        <charset val="134"/>
      </rPr>
      <t>年度</t>
    </r>
    <phoneticPr fontId="163" type="noConversion"/>
  </si>
  <si>
    <t>y</t>
    <phoneticPr fontId="163" type="noConversion"/>
  </si>
  <si>
    <t>公式及性质</t>
    <phoneticPr fontId="163" type="noConversion"/>
  </si>
  <si>
    <t>明细</t>
    <phoneticPr fontId="163" type="noConversion"/>
  </si>
  <si>
    <t>金额</t>
    <phoneticPr fontId="163" type="noConversion"/>
  </si>
  <si>
    <t>现金及现金等价物净增加额主表与附表之差</t>
    <phoneticPr fontId="163" type="noConversion"/>
  </si>
  <si>
    <t>经营活动产生的现金流量净额主表与附表之差</t>
    <phoneticPr fontId="163" type="noConversion"/>
  </si>
  <si>
    <r>
      <t>1</t>
    </r>
    <r>
      <rPr>
        <sz val="10"/>
        <rFont val="宋体"/>
        <family val="3"/>
        <charset val="134"/>
      </rPr>
      <t>、</t>
    </r>
    <r>
      <rPr>
        <sz val="12"/>
        <rFont val="宋体"/>
        <family val="3"/>
        <charset val="134"/>
      </rPr>
      <t>销售商品、提供劳务收到的现金</t>
    </r>
    <phoneticPr fontId="163" type="noConversion"/>
  </si>
  <si>
    <t>加</t>
  </si>
  <si>
    <t>本期发生数</t>
    <phoneticPr fontId="163" type="noConversion"/>
  </si>
  <si>
    <t>本期发生数</t>
    <phoneticPr fontId="163" type="noConversion"/>
  </si>
  <si>
    <t>销项税金</t>
    <phoneticPr fontId="163" type="noConversion"/>
  </si>
  <si>
    <t>期初数</t>
    <phoneticPr fontId="163" type="noConversion"/>
  </si>
  <si>
    <t>减</t>
  </si>
  <si>
    <t>期末数</t>
    <phoneticPr fontId="163" type="noConversion"/>
  </si>
  <si>
    <t>应收票据</t>
    <phoneticPr fontId="163" type="noConversion"/>
  </si>
  <si>
    <t>票据背书</t>
    <phoneticPr fontId="163" type="noConversion"/>
  </si>
  <si>
    <t>期初数</t>
    <phoneticPr fontId="163" type="noConversion"/>
  </si>
  <si>
    <t>应收账款</t>
    <phoneticPr fontId="163" type="noConversion"/>
  </si>
  <si>
    <r>
      <t>坏账准备</t>
    </r>
    <r>
      <rPr>
        <sz val="12"/>
        <rFont val="Arial Narrow"/>
        <family val="2"/>
      </rPr>
      <t>_</t>
    </r>
    <r>
      <rPr>
        <sz val="10"/>
        <rFont val="宋体"/>
        <family val="3"/>
        <charset val="134"/>
      </rPr>
      <t>应收账款</t>
    </r>
    <phoneticPr fontId="163" type="noConversion"/>
  </si>
  <si>
    <t>减</t>
    <phoneticPr fontId="163" type="noConversion"/>
  </si>
  <si>
    <t>本期发生额</t>
    <phoneticPr fontId="163" type="noConversion"/>
  </si>
  <si>
    <t>其他应收款-关联方销售额（滨江化工）</t>
    <phoneticPr fontId="163" type="noConversion"/>
  </si>
  <si>
    <t>期末数</t>
    <phoneticPr fontId="163" type="noConversion"/>
  </si>
  <si>
    <t>坏账核销</t>
    <phoneticPr fontId="163" type="noConversion"/>
  </si>
  <si>
    <t>期末数</t>
    <phoneticPr fontId="163" type="noConversion"/>
  </si>
  <si>
    <t>预收款项</t>
    <phoneticPr fontId="163" type="noConversion"/>
  </si>
  <si>
    <t>预收款项</t>
    <phoneticPr fontId="163" type="noConversion"/>
  </si>
  <si>
    <t>小计</t>
    <phoneticPr fontId="163" type="noConversion"/>
  </si>
  <si>
    <r>
      <t>2</t>
    </r>
    <r>
      <rPr>
        <sz val="10"/>
        <rFont val="宋体"/>
        <family val="3"/>
        <charset val="134"/>
      </rPr>
      <t>、</t>
    </r>
    <r>
      <rPr>
        <sz val="12"/>
        <rFont val="宋体"/>
        <family val="3"/>
        <charset val="134"/>
      </rPr>
      <t>收到的税费返还</t>
    </r>
    <phoneticPr fontId="163" type="noConversion"/>
  </si>
  <si>
    <t>退增值税</t>
  </si>
  <si>
    <t>出口退税</t>
    <phoneticPr fontId="163" type="noConversion"/>
  </si>
  <si>
    <t>退所得税</t>
  </si>
  <si>
    <t>退其他税</t>
  </si>
  <si>
    <r>
      <t>3</t>
    </r>
    <r>
      <rPr>
        <sz val="10"/>
        <rFont val="宋体"/>
        <family val="3"/>
        <charset val="134"/>
      </rPr>
      <t>、</t>
    </r>
    <r>
      <rPr>
        <sz val="12"/>
        <rFont val="宋体"/>
        <family val="3"/>
        <charset val="134"/>
      </rPr>
      <t>收到的其他与经营活动有关的现金</t>
    </r>
    <phoneticPr fontId="163" type="noConversion"/>
  </si>
  <si>
    <t>减</t>
    <phoneticPr fontId="163" type="noConversion"/>
  </si>
  <si>
    <t>本期发生额</t>
    <phoneticPr fontId="163" type="noConversion"/>
  </si>
  <si>
    <t>营业外收入-应付账款核销</t>
    <phoneticPr fontId="163" type="noConversion"/>
  </si>
  <si>
    <t>加</t>
    <phoneticPr fontId="163" type="noConversion"/>
  </si>
  <si>
    <t>递延收益期末数</t>
    <phoneticPr fontId="163" type="noConversion"/>
  </si>
  <si>
    <t>递延收益期初数</t>
    <phoneticPr fontId="163" type="noConversion"/>
  </si>
  <si>
    <t>货币资金-其他货币资金</t>
    <phoneticPr fontId="163" type="noConversion"/>
  </si>
  <si>
    <t>财务费用-利息收入</t>
    <phoneticPr fontId="163" type="noConversion"/>
  </si>
  <si>
    <t>财务费用-利息收入-关联方利息收入</t>
  </si>
  <si>
    <r>
      <t>营业外收入</t>
    </r>
    <r>
      <rPr>
        <sz val="12"/>
        <rFont val="Arial Narrow"/>
        <family val="2"/>
      </rPr>
      <t>-</t>
    </r>
    <r>
      <rPr>
        <sz val="12"/>
        <rFont val="宋体"/>
        <family val="3"/>
        <charset val="134"/>
      </rPr>
      <t>处置固定资产收益</t>
    </r>
    <phoneticPr fontId="163" type="noConversion"/>
  </si>
  <si>
    <t>发生额</t>
    <phoneticPr fontId="163" type="noConversion"/>
  </si>
  <si>
    <r>
      <t>营业外收入</t>
    </r>
    <r>
      <rPr>
        <sz val="12"/>
        <rFont val="Arial Narrow"/>
        <family val="2"/>
      </rPr>
      <t>-</t>
    </r>
    <r>
      <rPr>
        <sz val="12"/>
        <rFont val="宋体"/>
        <family val="3"/>
        <charset val="134"/>
      </rPr>
      <t>递延收益增加减去摊销</t>
    </r>
    <phoneticPr fontId="163" type="noConversion"/>
  </si>
  <si>
    <t>债务重组收入</t>
    <phoneticPr fontId="163" type="noConversion"/>
  </si>
  <si>
    <t>营业外收入-退增值税</t>
    <phoneticPr fontId="163" type="noConversion"/>
  </si>
  <si>
    <t>本期贷方发生数</t>
    <phoneticPr fontId="163" type="noConversion"/>
  </si>
  <si>
    <t>专项应付款</t>
    <phoneticPr fontId="163" type="noConversion"/>
  </si>
  <si>
    <t>保证金收回</t>
    <phoneticPr fontId="163" type="noConversion"/>
  </si>
  <si>
    <t>应收利息</t>
    <phoneticPr fontId="163" type="noConversion"/>
  </si>
  <si>
    <t>其他应收款</t>
    <phoneticPr fontId="163" type="noConversion"/>
  </si>
  <si>
    <r>
      <t>坏账准备</t>
    </r>
    <r>
      <rPr>
        <sz val="12"/>
        <rFont val="Arial Narrow"/>
        <family val="2"/>
      </rPr>
      <t>_</t>
    </r>
    <r>
      <rPr>
        <sz val="10"/>
        <rFont val="宋体"/>
        <family val="3"/>
        <charset val="134"/>
      </rPr>
      <t>其他</t>
    </r>
    <r>
      <rPr>
        <sz val="12"/>
        <rFont val="宋体"/>
        <family val="3"/>
        <charset val="134"/>
      </rPr>
      <t>应收款</t>
    </r>
    <phoneticPr fontId="163" type="noConversion"/>
  </si>
  <si>
    <t>加</t>
    <phoneticPr fontId="163" type="noConversion"/>
  </si>
  <si>
    <t>其他应收款-土地款</t>
    <phoneticPr fontId="163" type="noConversion"/>
  </si>
  <si>
    <t>长期应收款-经营类</t>
    <phoneticPr fontId="163" type="noConversion"/>
  </si>
  <si>
    <t>其他应付款</t>
    <phoneticPr fontId="163" type="noConversion"/>
  </si>
  <si>
    <t>其他应付款-其他</t>
    <phoneticPr fontId="163" type="noConversion"/>
  </si>
  <si>
    <t>发生额</t>
    <phoneticPr fontId="163" type="noConversion"/>
  </si>
  <si>
    <t>调整其他应付款中支付的其他</t>
    <phoneticPr fontId="163" type="noConversion"/>
  </si>
  <si>
    <t>其他应收款关联方往来款</t>
    <phoneticPr fontId="163" type="noConversion"/>
  </si>
  <si>
    <t>其他应收款-保证金</t>
    <phoneticPr fontId="163" type="noConversion"/>
  </si>
  <si>
    <t>其他应收款-押金</t>
    <phoneticPr fontId="163" type="noConversion"/>
  </si>
  <si>
    <t>其他应收款-其他</t>
    <phoneticPr fontId="163" type="noConversion"/>
  </si>
  <si>
    <t>其他流动负债</t>
    <phoneticPr fontId="163" type="noConversion"/>
  </si>
  <si>
    <r>
      <t>4</t>
    </r>
    <r>
      <rPr>
        <sz val="10"/>
        <rFont val="宋体"/>
        <family val="3"/>
        <charset val="134"/>
      </rPr>
      <t>、</t>
    </r>
    <r>
      <rPr>
        <sz val="12"/>
        <rFont val="宋体"/>
        <family val="3"/>
        <charset val="134"/>
      </rPr>
      <t>购买商品、接受劳务支付的现金</t>
    </r>
    <phoneticPr fontId="163" type="noConversion"/>
  </si>
  <si>
    <t>进项税金（扣除进项转出后）</t>
    <phoneticPr fontId="163" type="noConversion"/>
  </si>
  <si>
    <t>存货</t>
    <phoneticPr fontId="163" type="noConversion"/>
  </si>
  <si>
    <t>其他应付款-关联方采购额（强盛化工）</t>
    <phoneticPr fontId="163" type="noConversion"/>
  </si>
  <si>
    <t>本期强盛支付滨江的采购款</t>
    <phoneticPr fontId="163" type="noConversion"/>
  </si>
  <si>
    <t>预付款项</t>
    <phoneticPr fontId="163" type="noConversion"/>
  </si>
  <si>
    <t>期初数</t>
    <phoneticPr fontId="163" type="noConversion"/>
  </si>
  <si>
    <t>预付款项</t>
    <phoneticPr fontId="163" type="noConversion"/>
  </si>
  <si>
    <t>应付票据</t>
    <phoneticPr fontId="163" type="noConversion"/>
  </si>
  <si>
    <t>票据背书</t>
    <phoneticPr fontId="163" type="noConversion"/>
  </si>
  <si>
    <t>应付账款</t>
    <phoneticPr fontId="163" type="noConversion"/>
  </si>
  <si>
    <t>应付账款-关联方往来款（滨江化工）</t>
    <phoneticPr fontId="163" type="noConversion"/>
  </si>
  <si>
    <t>专项储备</t>
    <phoneticPr fontId="163" type="noConversion"/>
  </si>
  <si>
    <t>预付款项-预付费用</t>
    <phoneticPr fontId="163" type="noConversion"/>
  </si>
  <si>
    <t>预付款项-预付工程及设备款</t>
    <phoneticPr fontId="163" type="noConversion"/>
  </si>
  <si>
    <t>应付账款-应付工程及设备款</t>
    <phoneticPr fontId="163" type="noConversion"/>
  </si>
  <si>
    <t>生产成本-员工薪酬</t>
    <phoneticPr fontId="163" type="noConversion"/>
  </si>
  <si>
    <t>制造费用-员工薪酬</t>
    <phoneticPr fontId="163" type="noConversion"/>
  </si>
  <si>
    <t>制造费用中的经营性租赁费/专项储备</t>
  </si>
  <si>
    <t>本期发生数</t>
  </si>
  <si>
    <t>制造费用-长期待摊费用摊销数</t>
  </si>
  <si>
    <r>
      <t>制造费用</t>
    </r>
    <r>
      <rPr>
        <sz val="12"/>
        <rFont val="Arial Narrow"/>
        <family val="2"/>
      </rPr>
      <t>-</t>
    </r>
    <r>
      <rPr>
        <sz val="12"/>
        <rFont val="宋体"/>
        <family val="3"/>
        <charset val="134"/>
      </rPr>
      <t>折旧费</t>
    </r>
    <phoneticPr fontId="163" type="noConversion"/>
  </si>
  <si>
    <r>
      <t>5</t>
    </r>
    <r>
      <rPr>
        <sz val="10"/>
        <rFont val="宋体"/>
        <family val="3"/>
        <charset val="134"/>
      </rPr>
      <t>、</t>
    </r>
    <r>
      <rPr>
        <sz val="12"/>
        <rFont val="宋体"/>
        <family val="3"/>
        <charset val="134"/>
      </rPr>
      <t>支付给职工以及为职工支付的现金</t>
    </r>
    <phoneticPr fontId="163" type="noConversion"/>
  </si>
  <si>
    <t>制造费用-员工薪酬</t>
    <phoneticPr fontId="163" type="noConversion"/>
  </si>
  <si>
    <t>销售费用-员工薪酬</t>
    <phoneticPr fontId="163" type="noConversion"/>
  </si>
  <si>
    <t>开发支出-职工薪酬</t>
    <phoneticPr fontId="163" type="noConversion"/>
  </si>
  <si>
    <t>管理费用-员工薪酬</t>
    <phoneticPr fontId="163" type="noConversion"/>
  </si>
  <si>
    <t>生产成本-员工薪酬</t>
    <phoneticPr fontId="163" type="noConversion"/>
  </si>
  <si>
    <t>应付职工薪酬</t>
    <phoneticPr fontId="163" type="noConversion"/>
  </si>
  <si>
    <t>减</t>
    <phoneticPr fontId="163" type="noConversion"/>
  </si>
  <si>
    <t>期末数</t>
    <phoneticPr fontId="163" type="noConversion"/>
  </si>
  <si>
    <t>应付职工薪酬</t>
    <phoneticPr fontId="163" type="noConversion"/>
  </si>
  <si>
    <t>差异系资本化的薪酬列示在购置长期资产中</t>
    <phoneticPr fontId="163" type="noConversion"/>
  </si>
  <si>
    <r>
      <t>6</t>
    </r>
    <r>
      <rPr>
        <sz val="10"/>
        <rFont val="宋体"/>
        <family val="3"/>
        <charset val="134"/>
      </rPr>
      <t>、</t>
    </r>
    <r>
      <rPr>
        <sz val="12"/>
        <rFont val="宋体"/>
        <family val="3"/>
        <charset val="134"/>
      </rPr>
      <t>支付的各项税费</t>
    </r>
    <phoneticPr fontId="163" type="noConversion"/>
  </si>
  <si>
    <t>本期发生数</t>
    <phoneticPr fontId="163" type="noConversion"/>
  </si>
  <si>
    <t>营业税金及附加</t>
  </si>
  <si>
    <t>管理费用-税金</t>
    <phoneticPr fontId="163" type="noConversion"/>
  </si>
  <si>
    <t>销项税金</t>
    <phoneticPr fontId="163" type="noConversion"/>
  </si>
  <si>
    <t>应交税费</t>
    <phoneticPr fontId="163" type="noConversion"/>
  </si>
  <si>
    <t>递延所得税负债</t>
    <phoneticPr fontId="163" type="noConversion"/>
  </si>
  <si>
    <t>递延所得税资产</t>
    <phoneticPr fontId="163" type="noConversion"/>
  </si>
  <si>
    <t>进项税金</t>
    <phoneticPr fontId="163" type="noConversion"/>
  </si>
  <si>
    <t>其他流动资产</t>
    <phoneticPr fontId="163" type="noConversion"/>
  </si>
  <si>
    <t>应交税费-个人所得税</t>
  </si>
  <si>
    <t>小计</t>
    <phoneticPr fontId="163" type="noConversion"/>
  </si>
  <si>
    <r>
      <t>7</t>
    </r>
    <r>
      <rPr>
        <sz val="10"/>
        <rFont val="宋体"/>
        <family val="3"/>
        <charset val="134"/>
      </rPr>
      <t>、</t>
    </r>
    <r>
      <rPr>
        <sz val="12"/>
        <rFont val="宋体"/>
        <family val="3"/>
        <charset val="134"/>
      </rPr>
      <t>支付的其他与经营活动有关的现金</t>
    </r>
    <phoneticPr fontId="163" type="noConversion"/>
  </si>
  <si>
    <r>
      <t>制造费用</t>
    </r>
    <r>
      <rPr>
        <sz val="12"/>
        <rFont val="Arial Narrow"/>
        <family val="2"/>
      </rPr>
      <t>-</t>
    </r>
    <r>
      <rPr>
        <sz val="12"/>
        <rFont val="宋体"/>
        <family val="3"/>
        <charset val="134"/>
      </rPr>
      <t>折旧费</t>
    </r>
    <phoneticPr fontId="163" type="noConversion"/>
  </si>
  <si>
    <t>本期发生数</t>
    <phoneticPr fontId="163" type="noConversion"/>
  </si>
  <si>
    <t>财务费用</t>
    <phoneticPr fontId="163" type="noConversion"/>
  </si>
  <si>
    <t>加</t>
    <phoneticPr fontId="163" type="noConversion"/>
  </si>
  <si>
    <t>期末数</t>
    <phoneticPr fontId="163" type="noConversion"/>
  </si>
  <si>
    <t>其他应收款关联方往来款</t>
    <phoneticPr fontId="163" type="noConversion"/>
  </si>
  <si>
    <t>减</t>
    <phoneticPr fontId="163" type="noConversion"/>
  </si>
  <si>
    <t>期初数</t>
    <phoneticPr fontId="163" type="noConversion"/>
  </si>
  <si>
    <t>其他应付款-其他</t>
    <phoneticPr fontId="163" type="noConversion"/>
  </si>
  <si>
    <t>其他应付款-关联方往来款（研究所）</t>
    <phoneticPr fontId="163" type="noConversion"/>
  </si>
  <si>
    <r>
      <t>长期应收款</t>
    </r>
    <r>
      <rPr>
        <sz val="12"/>
        <rFont val="Arial Narrow"/>
        <family val="2"/>
      </rPr>
      <t>-</t>
    </r>
    <r>
      <rPr>
        <sz val="10"/>
        <rFont val="宋体"/>
        <family val="3"/>
        <charset val="134"/>
      </rPr>
      <t>经营类</t>
    </r>
    <phoneticPr fontId="163" type="noConversion"/>
  </si>
  <si>
    <t>其他应收款</t>
    <phoneticPr fontId="163" type="noConversion"/>
  </si>
  <si>
    <t>其他应收款-保证金</t>
    <phoneticPr fontId="163" type="noConversion"/>
  </si>
  <si>
    <t>其他应收款-押金</t>
    <phoneticPr fontId="163" type="noConversion"/>
  </si>
  <si>
    <t>其他应收款-其他</t>
    <phoneticPr fontId="163" type="noConversion"/>
  </si>
  <si>
    <t>发生额</t>
    <phoneticPr fontId="163" type="noConversion"/>
  </si>
  <si>
    <t>其他应收款内其他调整</t>
    <phoneticPr fontId="163" type="noConversion"/>
  </si>
  <si>
    <t>预付款项-预付费用</t>
    <phoneticPr fontId="163" type="noConversion"/>
  </si>
  <si>
    <t>其他流动资产</t>
    <phoneticPr fontId="163" type="noConversion"/>
  </si>
  <si>
    <t>其他非流动负债</t>
    <phoneticPr fontId="163" type="noConversion"/>
  </si>
  <si>
    <t>其他应付款</t>
    <phoneticPr fontId="163" type="noConversion"/>
  </si>
  <si>
    <t>累计折旧-投资性房地产</t>
    <phoneticPr fontId="163" type="noConversion"/>
  </si>
  <si>
    <t>累计折旧-固定资产</t>
    <phoneticPr fontId="163" type="noConversion"/>
  </si>
  <si>
    <t>累计折旧-生产性生物资产</t>
    <phoneticPr fontId="163" type="noConversion"/>
  </si>
  <si>
    <t>累计折旧-油气资产</t>
    <phoneticPr fontId="163" type="noConversion"/>
  </si>
  <si>
    <t>累计折旧-投资性房地产</t>
    <phoneticPr fontId="163" type="noConversion"/>
  </si>
  <si>
    <t>累计折旧-固定资产</t>
    <phoneticPr fontId="163" type="noConversion"/>
  </si>
  <si>
    <t>固定资产清理折旧</t>
  </si>
  <si>
    <t>投资性房地产清理折旧</t>
    <phoneticPr fontId="163" type="noConversion"/>
  </si>
  <si>
    <t>生产性生物资产清理折旧</t>
    <phoneticPr fontId="163" type="noConversion"/>
  </si>
  <si>
    <t>油气资产清理折旧</t>
    <phoneticPr fontId="163" type="noConversion"/>
  </si>
  <si>
    <r>
      <t>销售费用</t>
    </r>
    <r>
      <rPr>
        <sz val="12"/>
        <rFont val="Arial Narrow"/>
        <family val="2"/>
      </rPr>
      <t>-</t>
    </r>
    <r>
      <rPr>
        <sz val="12"/>
        <rFont val="宋体"/>
        <family val="3"/>
        <charset val="134"/>
      </rPr>
      <t>员工薪酬</t>
    </r>
    <phoneticPr fontId="163" type="noConversion"/>
  </si>
  <si>
    <r>
      <t>管理费用</t>
    </r>
    <r>
      <rPr>
        <sz val="12"/>
        <rFont val="Arial Narrow"/>
        <family val="2"/>
      </rPr>
      <t>-</t>
    </r>
    <r>
      <rPr>
        <sz val="10"/>
        <rFont val="宋体"/>
        <family val="3"/>
        <charset val="134"/>
      </rPr>
      <t>员工薪酬</t>
    </r>
    <phoneticPr fontId="163" type="noConversion"/>
  </si>
  <si>
    <t>无形资产摊销</t>
    <phoneticPr fontId="163" type="noConversion"/>
  </si>
  <si>
    <t>长期待摊费用摊销</t>
    <phoneticPr fontId="163" type="noConversion"/>
  </si>
  <si>
    <t>开发支出摊销</t>
    <phoneticPr fontId="163" type="noConversion"/>
  </si>
  <si>
    <t>商誉摊销</t>
    <phoneticPr fontId="163" type="noConversion"/>
  </si>
  <si>
    <r>
      <t>营业外支出</t>
    </r>
    <r>
      <rPr>
        <sz val="12"/>
        <rFont val="Arial Narrow"/>
        <family val="2"/>
      </rPr>
      <t>-</t>
    </r>
    <r>
      <rPr>
        <sz val="12"/>
        <rFont val="宋体"/>
        <family val="3"/>
        <charset val="134"/>
      </rPr>
      <t>处置固定资产损失</t>
    </r>
    <phoneticPr fontId="163" type="noConversion"/>
  </si>
  <si>
    <r>
      <t>营业外支出</t>
    </r>
    <r>
      <rPr>
        <sz val="12"/>
        <rFont val="Arial Narrow"/>
        <family val="2"/>
      </rPr>
      <t>-</t>
    </r>
    <r>
      <rPr>
        <sz val="12"/>
        <rFont val="宋体"/>
        <family val="3"/>
        <charset val="134"/>
      </rPr>
      <t>固定资产报废损失</t>
    </r>
    <phoneticPr fontId="163" type="noConversion"/>
  </si>
  <si>
    <r>
      <t>营业外支出</t>
    </r>
    <r>
      <rPr>
        <sz val="12"/>
        <rFont val="Arial Narrow"/>
        <family val="2"/>
      </rPr>
      <t>-</t>
    </r>
    <r>
      <rPr>
        <sz val="12"/>
        <rFont val="宋体"/>
        <family val="3"/>
        <charset val="134"/>
      </rPr>
      <t>处置无形资产损失</t>
    </r>
    <phoneticPr fontId="163" type="noConversion"/>
  </si>
  <si>
    <t>营业外支出-处置其他非流动资产损失</t>
    <phoneticPr fontId="163" type="noConversion"/>
  </si>
  <si>
    <t>应付账款-应付工程及设备款</t>
    <phoneticPr fontId="163" type="noConversion"/>
  </si>
  <si>
    <r>
      <t>财务费用</t>
    </r>
    <r>
      <rPr>
        <sz val="12"/>
        <rFont val="Arial Narrow"/>
        <family val="2"/>
      </rPr>
      <t>-</t>
    </r>
    <r>
      <rPr>
        <sz val="12"/>
        <rFont val="宋体"/>
        <family val="3"/>
        <charset val="134"/>
      </rPr>
      <t>利息收入</t>
    </r>
    <phoneticPr fontId="163" type="noConversion"/>
  </si>
  <si>
    <r>
      <t>财务费用</t>
    </r>
    <r>
      <rPr>
        <sz val="12"/>
        <rFont val="Arial Narrow"/>
        <family val="2"/>
      </rPr>
      <t>-</t>
    </r>
    <r>
      <rPr>
        <sz val="12"/>
        <rFont val="宋体"/>
        <family val="3"/>
        <charset val="134"/>
      </rPr>
      <t>汇兑损失</t>
    </r>
    <r>
      <rPr>
        <sz val="12"/>
        <rFont val="Arial Narrow"/>
        <family val="2"/>
      </rPr>
      <t/>
    </r>
    <phoneticPr fontId="163" type="noConversion"/>
  </si>
  <si>
    <t>财务费用-汇兑收益</t>
    <phoneticPr fontId="163" type="noConversion"/>
  </si>
  <si>
    <r>
      <t xml:space="preserve"> </t>
    </r>
    <r>
      <rPr>
        <sz val="12"/>
        <rFont val="宋体"/>
        <family val="3"/>
        <charset val="134"/>
      </rPr>
      <t>管理费用</t>
    </r>
    <r>
      <rPr>
        <sz val="12"/>
        <rFont val="Arial Narrow"/>
        <family val="2"/>
      </rPr>
      <t>-</t>
    </r>
    <r>
      <rPr>
        <sz val="12"/>
        <rFont val="宋体"/>
        <family val="3"/>
        <charset val="134"/>
      </rPr>
      <t>税金</t>
    </r>
    <phoneticPr fontId="163" type="noConversion"/>
  </si>
  <si>
    <r>
      <t>8</t>
    </r>
    <r>
      <rPr>
        <sz val="10"/>
        <rFont val="宋体"/>
        <family val="3"/>
        <charset val="134"/>
      </rPr>
      <t>、</t>
    </r>
    <r>
      <rPr>
        <sz val="12"/>
        <rFont val="宋体"/>
        <family val="3"/>
        <charset val="134"/>
      </rPr>
      <t>收回投资所收到的现金</t>
    </r>
    <phoneticPr fontId="163" type="noConversion"/>
  </si>
  <si>
    <t>转让交易性金融资产收到的现金</t>
    <phoneticPr fontId="163" type="noConversion"/>
  </si>
  <si>
    <t>转让可供出售金融资产收到的现金</t>
    <phoneticPr fontId="163" type="noConversion"/>
  </si>
  <si>
    <t>转让或到期收回长期应收款收到的现金</t>
    <phoneticPr fontId="163" type="noConversion"/>
  </si>
  <si>
    <t>收回银行理财</t>
    <phoneticPr fontId="163" type="noConversion"/>
  </si>
  <si>
    <t>转让或到期收回持有至到期投资收到的现金(非股权类）</t>
    <phoneticPr fontId="163" type="noConversion"/>
  </si>
  <si>
    <r>
      <t>9</t>
    </r>
    <r>
      <rPr>
        <sz val="10"/>
        <rFont val="宋体"/>
        <family val="3"/>
        <charset val="134"/>
      </rPr>
      <t>、</t>
    </r>
    <r>
      <rPr>
        <sz val="12"/>
        <rFont val="宋体"/>
        <family val="3"/>
        <charset val="134"/>
      </rPr>
      <t>取得投资收益所收到的现金</t>
    </r>
    <phoneticPr fontId="163" type="noConversion"/>
  </si>
  <si>
    <r>
      <t>投资收益</t>
    </r>
    <r>
      <rPr>
        <sz val="12"/>
        <rFont val="Arial Narrow"/>
        <family val="2"/>
      </rPr>
      <t/>
    </r>
    <phoneticPr fontId="163" type="noConversion"/>
  </si>
  <si>
    <t>本期出售长期股权投资所取得的收益</t>
    <phoneticPr fontId="163" type="noConversion"/>
  </si>
  <si>
    <t>按权益法确认的包装材料的投资收益</t>
    <phoneticPr fontId="163" type="noConversion"/>
  </si>
  <si>
    <t>委托贷款利息</t>
    <phoneticPr fontId="163" type="noConversion"/>
  </si>
  <si>
    <t>上年其他非流动资产利息</t>
    <phoneticPr fontId="163" type="noConversion"/>
  </si>
  <si>
    <t>持有至到期投资利息</t>
    <phoneticPr fontId="163" type="noConversion"/>
  </si>
  <si>
    <t>应收利息</t>
    <phoneticPr fontId="163" type="noConversion"/>
  </si>
  <si>
    <t>财务费用-利息收入-关联方利息收入</t>
    <phoneticPr fontId="163" type="noConversion"/>
  </si>
  <si>
    <t>应收股利</t>
    <phoneticPr fontId="163" type="noConversion"/>
  </si>
  <si>
    <r>
      <t>10</t>
    </r>
    <r>
      <rPr>
        <sz val="10"/>
        <rFont val="宋体"/>
        <family val="3"/>
        <charset val="134"/>
      </rPr>
      <t>、</t>
    </r>
    <r>
      <rPr>
        <sz val="12"/>
        <rFont val="宋体"/>
        <family val="3"/>
        <charset val="134"/>
      </rPr>
      <t>处置固定资产、无形资产和其他长期资产所收回的现金净额</t>
    </r>
    <phoneticPr fontId="163" type="noConversion"/>
  </si>
  <si>
    <t>出售投资性房地产收到的现金</t>
    <phoneticPr fontId="163" type="noConversion"/>
  </si>
  <si>
    <t>出售固定资产收到的现金</t>
    <phoneticPr fontId="163" type="noConversion"/>
  </si>
  <si>
    <t>资产处置收益</t>
    <phoneticPr fontId="163" type="noConversion"/>
  </si>
  <si>
    <t>出售生产性生物资产收到的现金</t>
    <phoneticPr fontId="163" type="noConversion"/>
  </si>
  <si>
    <t>出售油气资产收到的现金</t>
    <phoneticPr fontId="163" type="noConversion"/>
  </si>
  <si>
    <t>出售无形资产收到的现金</t>
    <phoneticPr fontId="163" type="noConversion"/>
  </si>
  <si>
    <t>出售其他非流动资产收到的现金</t>
    <phoneticPr fontId="163" type="noConversion"/>
  </si>
  <si>
    <t>保险赔偿收入</t>
    <phoneticPr fontId="163" type="noConversion"/>
  </si>
  <si>
    <t>支付处置资产费用</t>
    <phoneticPr fontId="163" type="noConversion"/>
  </si>
  <si>
    <r>
      <t>11</t>
    </r>
    <r>
      <rPr>
        <sz val="10"/>
        <rFont val="宋体"/>
        <family val="3"/>
        <charset val="134"/>
      </rPr>
      <t>、</t>
    </r>
    <r>
      <rPr>
        <sz val="12"/>
        <rFont val="宋体"/>
        <family val="3"/>
        <charset val="134"/>
      </rPr>
      <t>处置子公司及其他营业单位收到的现金净额</t>
    </r>
    <r>
      <rPr>
        <sz val="12"/>
        <rFont val="Arial Narrow"/>
        <family val="2"/>
      </rPr>
      <t xml:space="preserve"> </t>
    </r>
    <phoneticPr fontId="163" type="noConversion"/>
  </si>
  <si>
    <t>转让或到期收回持有至到期收回投资收到的现金</t>
    <phoneticPr fontId="163" type="noConversion"/>
  </si>
  <si>
    <t>转让或到期收回持有至到期投资收到的现金(股权类）</t>
    <phoneticPr fontId="163" type="noConversion"/>
  </si>
  <si>
    <t>转让或到期收回长期股权投资收到的现金</t>
    <phoneticPr fontId="163" type="noConversion"/>
  </si>
  <si>
    <r>
      <t>12</t>
    </r>
    <r>
      <rPr>
        <sz val="10"/>
        <rFont val="宋体"/>
        <family val="3"/>
        <charset val="134"/>
      </rPr>
      <t>、</t>
    </r>
    <r>
      <rPr>
        <sz val="12"/>
        <rFont val="宋体"/>
        <family val="3"/>
        <charset val="134"/>
      </rPr>
      <t>收到的其他与投资活动有关的现金</t>
    </r>
    <phoneticPr fontId="163" type="noConversion"/>
  </si>
  <si>
    <t>收购股权时收购日子公司的现金</t>
    <phoneticPr fontId="163" type="noConversion"/>
  </si>
  <si>
    <t>本期收回关联方的借款</t>
    <phoneticPr fontId="163" type="noConversion"/>
  </si>
  <si>
    <t>上年其他非流动资产-理财本年处置</t>
    <phoneticPr fontId="163" type="noConversion"/>
  </si>
  <si>
    <r>
      <t>13</t>
    </r>
    <r>
      <rPr>
        <sz val="10"/>
        <rFont val="宋体"/>
        <family val="3"/>
        <charset val="134"/>
      </rPr>
      <t>、</t>
    </r>
    <r>
      <rPr>
        <sz val="12"/>
        <rFont val="宋体"/>
        <family val="3"/>
        <charset val="134"/>
      </rPr>
      <t>购建固定资产、无形资产和其他长期资产所支付的现金</t>
    </r>
    <phoneticPr fontId="163" type="noConversion"/>
  </si>
  <si>
    <t>投资性房地产</t>
    <phoneticPr fontId="163" type="noConversion"/>
  </si>
  <si>
    <t>固定资产</t>
    <phoneticPr fontId="163" type="noConversion"/>
  </si>
  <si>
    <t>在建工程</t>
    <phoneticPr fontId="163" type="noConversion"/>
  </si>
  <si>
    <t>期末数</t>
    <phoneticPr fontId="163" type="noConversion"/>
  </si>
  <si>
    <t>工程物资</t>
    <phoneticPr fontId="163" type="noConversion"/>
  </si>
  <si>
    <t>固定资产清理</t>
    <phoneticPr fontId="163" type="noConversion"/>
  </si>
  <si>
    <t>生产性生物资产</t>
    <phoneticPr fontId="163" type="noConversion"/>
  </si>
  <si>
    <t>油气资产</t>
    <phoneticPr fontId="163" type="noConversion"/>
  </si>
  <si>
    <t>无形资产</t>
    <phoneticPr fontId="163" type="noConversion"/>
  </si>
  <si>
    <t>开发支出</t>
    <phoneticPr fontId="163" type="noConversion"/>
  </si>
  <si>
    <t>商誉</t>
    <phoneticPr fontId="163" type="noConversion"/>
  </si>
  <si>
    <t>长期待摊费用</t>
    <phoneticPr fontId="163" type="noConversion"/>
  </si>
  <si>
    <t>其他非流动资产</t>
    <phoneticPr fontId="163" type="noConversion"/>
  </si>
  <si>
    <t>减</t>
    <phoneticPr fontId="163" type="noConversion"/>
  </si>
  <si>
    <t>期初数</t>
    <phoneticPr fontId="163" type="noConversion"/>
  </si>
  <si>
    <t>在建工程</t>
    <phoneticPr fontId="163" type="noConversion"/>
  </si>
  <si>
    <t>减</t>
    <phoneticPr fontId="163" type="noConversion"/>
  </si>
  <si>
    <t>期初数</t>
    <phoneticPr fontId="163" type="noConversion"/>
  </si>
  <si>
    <t>累计折旧-生产性生物资产</t>
    <phoneticPr fontId="163" type="noConversion"/>
  </si>
  <si>
    <t>累计折旧-油气资产</t>
    <phoneticPr fontId="163" type="noConversion"/>
  </si>
  <si>
    <t>投资性房地产清理原值</t>
    <phoneticPr fontId="163" type="noConversion"/>
  </si>
  <si>
    <t>固定资产清理原值</t>
    <phoneticPr fontId="163" type="noConversion"/>
  </si>
  <si>
    <t>生产性生物资产清理原值</t>
    <phoneticPr fontId="163" type="noConversion"/>
  </si>
  <si>
    <t>油气资产清理原值</t>
    <phoneticPr fontId="163" type="noConversion"/>
  </si>
  <si>
    <t>加</t>
    <phoneticPr fontId="163" type="noConversion"/>
  </si>
  <si>
    <t>本期发生额</t>
    <phoneticPr fontId="163" type="noConversion"/>
  </si>
  <si>
    <t>其他非流动资产处置损失</t>
    <phoneticPr fontId="163" type="noConversion"/>
  </si>
  <si>
    <t>本期发生数</t>
    <phoneticPr fontId="163" type="noConversion"/>
  </si>
  <si>
    <t>开发支出摊销</t>
    <phoneticPr fontId="163" type="noConversion"/>
  </si>
  <si>
    <t>商誉摊销</t>
    <phoneticPr fontId="163" type="noConversion"/>
  </si>
  <si>
    <t>长期待摊费用摊销</t>
    <phoneticPr fontId="163" type="noConversion"/>
  </si>
  <si>
    <t>其他非流动资产摊销</t>
    <phoneticPr fontId="163" type="noConversion"/>
  </si>
  <si>
    <t>预付款项-预付工程及设备款</t>
    <phoneticPr fontId="163" type="noConversion"/>
  </si>
  <si>
    <t>其他应收款-土地款</t>
    <phoneticPr fontId="163" type="noConversion"/>
  </si>
  <si>
    <t>购置固定资产、无形资产和其他长期资产支付的现金</t>
  </si>
  <si>
    <r>
      <t>14</t>
    </r>
    <r>
      <rPr>
        <sz val="10"/>
        <rFont val="宋体"/>
        <family val="3"/>
        <charset val="134"/>
      </rPr>
      <t>、</t>
    </r>
    <r>
      <rPr>
        <sz val="12"/>
        <rFont val="宋体"/>
        <family val="3"/>
        <charset val="134"/>
      </rPr>
      <t>投资所支付的现金</t>
    </r>
    <phoneticPr fontId="163" type="noConversion"/>
  </si>
  <si>
    <t>购入银行理财支付的现金</t>
    <phoneticPr fontId="163" type="noConversion"/>
  </si>
  <si>
    <t>由于银行理财产品期初为现金及现金等价物，期末为非现金等价物，故产生了实际虽为投资收回，但是体现为购入理财支付</t>
    <phoneticPr fontId="163" type="noConversion"/>
  </si>
  <si>
    <t>增加委托贷款支付的现金</t>
    <phoneticPr fontId="163" type="noConversion"/>
  </si>
  <si>
    <t>取得长期股权投资股权支付的现金</t>
    <phoneticPr fontId="163" type="noConversion"/>
  </si>
  <si>
    <t>取得持有至到期投资支付的现金(非股权类）</t>
    <phoneticPr fontId="163" type="noConversion"/>
  </si>
  <si>
    <t>小计</t>
    <phoneticPr fontId="163" type="noConversion"/>
  </si>
  <si>
    <r>
      <t>1</t>
    </r>
    <r>
      <rPr>
        <sz val="10"/>
        <rFont val="宋体"/>
        <family val="3"/>
        <charset val="134"/>
      </rPr>
      <t>5、</t>
    </r>
    <r>
      <rPr>
        <sz val="12"/>
        <rFont val="宋体"/>
        <family val="3"/>
        <charset val="134"/>
      </rPr>
      <t xml:space="preserve">取得子公司及其他营业单位支付的现金净额 </t>
    </r>
    <phoneticPr fontId="163" type="noConversion"/>
  </si>
  <si>
    <t>取得持有至到期投资支付的现金(股权类）</t>
    <phoneticPr fontId="163" type="noConversion"/>
  </si>
  <si>
    <r>
      <t>16</t>
    </r>
    <r>
      <rPr>
        <sz val="10"/>
        <rFont val="宋体"/>
        <family val="3"/>
        <charset val="134"/>
      </rPr>
      <t>、</t>
    </r>
    <r>
      <rPr>
        <sz val="12"/>
        <rFont val="宋体"/>
        <family val="3"/>
        <charset val="134"/>
      </rPr>
      <t>支付的其他与投资活动有关的现金</t>
    </r>
    <phoneticPr fontId="163" type="noConversion"/>
  </si>
  <si>
    <t>支付有关投资的其他事项的现金（关联方往来款）</t>
    <phoneticPr fontId="163" type="noConversion"/>
  </si>
  <si>
    <r>
      <t>17</t>
    </r>
    <r>
      <rPr>
        <sz val="10"/>
        <rFont val="宋体"/>
        <family val="3"/>
        <charset val="134"/>
      </rPr>
      <t>、</t>
    </r>
    <r>
      <rPr>
        <sz val="12"/>
        <rFont val="宋体"/>
        <family val="3"/>
        <charset val="134"/>
      </rPr>
      <t>吸收投资所收到的现金</t>
    </r>
    <phoneticPr fontId="163" type="noConversion"/>
  </si>
  <si>
    <t>期末数</t>
    <phoneticPr fontId="163" type="noConversion"/>
  </si>
  <si>
    <r>
      <t>资本公积</t>
    </r>
    <r>
      <rPr>
        <sz val="12"/>
        <rFont val="Arial Narrow"/>
        <family val="2"/>
      </rPr>
      <t>-</t>
    </r>
    <r>
      <rPr>
        <sz val="12"/>
        <rFont val="宋体"/>
        <family val="3"/>
        <charset val="134"/>
      </rPr>
      <t>股本溢价</t>
    </r>
    <phoneticPr fontId="163" type="noConversion"/>
  </si>
  <si>
    <t>期初数</t>
    <phoneticPr fontId="163" type="noConversion"/>
  </si>
  <si>
    <r>
      <t>18</t>
    </r>
    <r>
      <rPr>
        <sz val="10"/>
        <rFont val="宋体"/>
        <family val="3"/>
        <charset val="134"/>
      </rPr>
      <t>、</t>
    </r>
    <r>
      <rPr>
        <sz val="12"/>
        <rFont val="宋体"/>
        <family val="3"/>
        <charset val="134"/>
      </rPr>
      <t>借款所收到的现金</t>
    </r>
    <phoneticPr fontId="163" type="noConversion"/>
  </si>
  <si>
    <t>本期贷方发生数</t>
    <phoneticPr fontId="163" type="noConversion"/>
  </si>
  <si>
    <r>
      <t>短期借款</t>
    </r>
    <r>
      <rPr>
        <sz val="12"/>
        <rFont val="Arial Narrow"/>
        <family val="2"/>
      </rPr>
      <t/>
    </r>
    <phoneticPr fontId="163" type="noConversion"/>
  </si>
  <si>
    <r>
      <t>长期借款</t>
    </r>
    <r>
      <rPr>
        <sz val="12"/>
        <rFont val="Arial Narrow"/>
        <family val="2"/>
      </rPr>
      <t/>
    </r>
    <phoneticPr fontId="163" type="noConversion"/>
  </si>
  <si>
    <r>
      <t>19</t>
    </r>
    <r>
      <rPr>
        <sz val="10"/>
        <rFont val="宋体"/>
        <family val="3"/>
        <charset val="134"/>
      </rPr>
      <t>、</t>
    </r>
    <r>
      <rPr>
        <sz val="12"/>
        <rFont val="宋体"/>
        <family val="3"/>
        <charset val="134"/>
      </rPr>
      <t>收到的其他与筹资活动有关的现金</t>
    </r>
    <phoneticPr fontId="163" type="noConversion"/>
  </si>
  <si>
    <t>资本公积-捐赠收入</t>
    <phoneticPr fontId="163" type="noConversion"/>
  </si>
  <si>
    <r>
      <t>20</t>
    </r>
    <r>
      <rPr>
        <sz val="10"/>
        <rFont val="宋体"/>
        <family val="3"/>
        <charset val="134"/>
      </rPr>
      <t>、</t>
    </r>
    <r>
      <rPr>
        <sz val="12"/>
        <rFont val="宋体"/>
        <family val="3"/>
        <charset val="134"/>
      </rPr>
      <t>偿还债务所支付的现金</t>
    </r>
    <phoneticPr fontId="163" type="noConversion"/>
  </si>
  <si>
    <t>本期借方发生数</t>
    <phoneticPr fontId="163" type="noConversion"/>
  </si>
  <si>
    <t>长期借款</t>
    <phoneticPr fontId="163" type="noConversion"/>
  </si>
  <si>
    <t>一年内到期的非流动负债</t>
    <phoneticPr fontId="163" type="noConversion"/>
  </si>
  <si>
    <r>
      <t>21</t>
    </r>
    <r>
      <rPr>
        <sz val="10"/>
        <rFont val="宋体"/>
        <family val="3"/>
        <charset val="134"/>
      </rPr>
      <t>、</t>
    </r>
    <r>
      <rPr>
        <sz val="12"/>
        <rFont val="宋体"/>
        <family val="3"/>
        <charset val="134"/>
      </rPr>
      <t>分配股利、利润或偿付利息所支付的现金</t>
    </r>
    <phoneticPr fontId="163" type="noConversion"/>
  </si>
  <si>
    <t>应付股利</t>
    <phoneticPr fontId="163" type="noConversion"/>
  </si>
  <si>
    <r>
      <t>财务费用</t>
    </r>
    <r>
      <rPr>
        <sz val="12"/>
        <rFont val="Arial Narrow"/>
        <family val="2"/>
      </rPr>
      <t>-</t>
    </r>
    <r>
      <rPr>
        <sz val="10"/>
        <rFont val="宋体"/>
        <family val="3"/>
        <charset val="134"/>
      </rPr>
      <t>利息支出</t>
    </r>
    <phoneticPr fontId="163" type="noConversion"/>
  </si>
  <si>
    <t>应付利息</t>
    <phoneticPr fontId="163" type="noConversion"/>
  </si>
  <si>
    <r>
      <t>22</t>
    </r>
    <r>
      <rPr>
        <sz val="10"/>
        <rFont val="宋体"/>
        <family val="3"/>
        <charset val="134"/>
      </rPr>
      <t>、</t>
    </r>
    <r>
      <rPr>
        <sz val="12"/>
        <rFont val="宋体"/>
        <family val="3"/>
        <charset val="134"/>
      </rPr>
      <t>支付的其他与筹资活动有关的现金</t>
    </r>
    <phoneticPr fontId="163" type="noConversion"/>
  </si>
  <si>
    <r>
      <t>资本公积</t>
    </r>
    <r>
      <rPr>
        <sz val="12"/>
        <rFont val="Arial Narrow"/>
        <family val="2"/>
      </rPr>
      <t>-</t>
    </r>
    <r>
      <rPr>
        <sz val="12"/>
        <rFont val="宋体"/>
        <family val="3"/>
        <charset val="134"/>
      </rPr>
      <t>发行审计、咨询费</t>
    </r>
    <phoneticPr fontId="163" type="noConversion"/>
  </si>
  <si>
    <r>
      <t>资本公积-</t>
    </r>
    <r>
      <rPr>
        <sz val="12"/>
        <rFont val="宋体"/>
        <family val="3"/>
        <charset val="134"/>
      </rPr>
      <t>捐赠现金支出</t>
    </r>
    <phoneticPr fontId="163" type="noConversion"/>
  </si>
  <si>
    <t>递延所得税资产</t>
    <phoneticPr fontId="163" type="noConversion"/>
  </si>
  <si>
    <t>调整所得税</t>
    <phoneticPr fontId="163" type="noConversion"/>
  </si>
  <si>
    <t>所得税费用</t>
    <phoneticPr fontId="163" type="noConversion"/>
  </si>
  <si>
    <t>所得税</t>
    <phoneticPr fontId="163" type="noConversion"/>
  </si>
  <si>
    <t>其他流动资产</t>
    <phoneticPr fontId="163" type="noConversion"/>
  </si>
  <si>
    <t>收回保证金</t>
  </si>
  <si>
    <t>收到非关联单位往来款</t>
  </si>
  <si>
    <t>关联单位往来款</t>
  </si>
  <si>
    <t>管理费用、营业费用中的付现费用</t>
  </si>
  <si>
    <t>其中政府补助</t>
    <phoneticPr fontId="163" type="noConversion"/>
  </si>
  <si>
    <t>金陵华软</t>
  </si>
  <si>
    <t>收到</t>
    <phoneticPr fontId="163" type="noConversion"/>
  </si>
  <si>
    <t>投资支出</t>
    <phoneticPr fontId="163" type="noConversion"/>
  </si>
  <si>
    <t>其他应收款-金陵华软</t>
  </si>
  <si>
    <t>其他应收款-金陵华软</t>
    <phoneticPr fontId="163" type="noConversion"/>
  </si>
  <si>
    <t>减</t>
    <phoneticPr fontId="163" type="noConversion"/>
  </si>
  <si>
    <t>金陵华软</t>
    <phoneticPr fontId="163" type="noConversion"/>
  </si>
  <si>
    <t>政府补助</t>
    <phoneticPr fontId="163" type="noConversion"/>
  </si>
  <si>
    <t>员工备用金</t>
    <phoneticPr fontId="163" type="noConversion"/>
  </si>
  <si>
    <t>其他流动资产-理财</t>
  </si>
  <si>
    <t>其他流动资产-理财</t>
    <phoneticPr fontId="163" type="noConversion"/>
  </si>
  <si>
    <r>
      <t>财务费用</t>
    </r>
    <r>
      <rPr>
        <sz val="12"/>
        <rFont val="Arial Narrow"/>
        <family val="2"/>
      </rPr>
      <t>-</t>
    </r>
    <r>
      <rPr>
        <sz val="12"/>
        <rFont val="宋体"/>
        <family val="3"/>
        <charset val="134"/>
      </rPr>
      <t>利息支出</t>
    </r>
    <r>
      <rPr>
        <sz val="12"/>
        <rFont val="Arial Narrow"/>
        <family val="2"/>
      </rPr>
      <t>-</t>
    </r>
    <r>
      <rPr>
        <sz val="12"/>
        <rFont val="宋体"/>
        <family val="3"/>
        <charset val="134"/>
      </rPr>
      <t>贷款利息</t>
    </r>
    <phoneticPr fontId="163" type="noConversion"/>
  </si>
  <si>
    <t>支付</t>
    <phoneticPr fontId="163" type="noConversion"/>
  </si>
  <si>
    <t>理财</t>
    <phoneticPr fontId="163" type="noConversion"/>
  </si>
  <si>
    <t>信用减值损失重分类</t>
    <phoneticPr fontId="163" type="noConversion"/>
  </si>
  <si>
    <t>调整当期坏账准备</t>
    <phoneticPr fontId="163" type="noConversion"/>
  </si>
  <si>
    <t>政府补助重分类</t>
  </si>
  <si>
    <t>张永洁0214</t>
  </si>
  <si>
    <t>计提固定资产减值准备</t>
    <phoneticPr fontId="163" type="noConversion"/>
  </si>
  <si>
    <t>资产减值损失</t>
    <phoneticPr fontId="163" type="noConversion"/>
  </si>
  <si>
    <t>固定资产</t>
    <phoneticPr fontId="163" type="noConversion"/>
  </si>
  <si>
    <t>房屋建筑物</t>
    <phoneticPr fontId="163" type="noConversion"/>
  </si>
  <si>
    <t>股东投入</t>
    <phoneticPr fontId="163" type="noConversion"/>
  </si>
  <si>
    <t>化学品销售及贸易</t>
    <phoneticPr fontId="163" type="noConversion"/>
  </si>
  <si>
    <t>调整应付利息至金融工具原值</t>
    <phoneticPr fontId="163" type="noConversion"/>
  </si>
  <si>
    <t>短期借款</t>
    <phoneticPr fontId="163" type="noConversion"/>
  </si>
  <si>
    <t>其他应付款</t>
    <phoneticPr fontId="163" type="noConversion"/>
  </si>
  <si>
    <t>应付利息</t>
    <phoneticPr fontId="163" type="noConversion"/>
  </si>
  <si>
    <t>应收账款</t>
    <phoneticPr fontId="163" type="noConversion"/>
  </si>
  <si>
    <t>应收款项融资</t>
    <phoneticPr fontId="163" type="noConversion"/>
  </si>
  <si>
    <t>调整应收账款中的票据至应收款项融资</t>
    <phoneticPr fontId="163" type="noConversion"/>
  </si>
  <si>
    <t>应收化工业务客户</t>
  </si>
  <si>
    <t>收到业绩补偿款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</si>
</sst>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5">
    <numFmt numFmtId="44" formatCode="_ &quot;¥&quot;* #,##0.00_ ;_ &quot;¥&quot;* \-#,##0.00_ ;_ &quot;¥&quot;* &quot;-&quot;??_ ;_ @_ "/>
    <numFmt numFmtId="43" formatCode="_ * #,##0.00_ ;_ * \-#,##0.00_ ;_ * &quot;-&quot;??_ ;_ @_ "/>
    <numFmt numFmtId="176" formatCode="_(* #,##0.00_);_(* \(#,##0.00\);_(* &quot;-&quot;??_);_(@_)"/>
    <numFmt numFmtId="177" formatCode="#,##0.00_ "/>
    <numFmt numFmtId="178" formatCode="yyyy/m/d;@"/>
    <numFmt numFmtId="179" formatCode="&quot;5．&quot;@"/>
    <numFmt numFmtId="180" formatCode="&quot;4．&quot;@"/>
    <numFmt numFmtId="181" formatCode="&quot;1．&quot;@"/>
    <numFmt numFmtId="182" formatCode="0_ "/>
    <numFmt numFmtId="183" formatCode="&quot;3．&quot;@"/>
    <numFmt numFmtId="184" formatCode="&quot;2．&quot;@"/>
    <numFmt numFmtId="185" formatCode="&quot;6．&quot;@"/>
    <numFmt numFmtId="186" formatCode="&quot;其中：&quot;@"/>
    <numFmt numFmtId="187" formatCode="@\(&quot;全称&quot;\)"/>
    <numFmt numFmtId="188" formatCode="_ * #,##0_ ;_ * \-#,##0_ ;_ * &quot;—&quot;_ ;_ @_ "/>
    <numFmt numFmtId="189" formatCode="#,##0_ "/>
    <numFmt numFmtId="190" formatCode="&quot;1、&quot;@"/>
    <numFmt numFmtId="191" formatCode="&quot;2、&quot;@"/>
    <numFmt numFmtId="192" formatCode="&quot;3、&quot;@"/>
    <numFmt numFmtId="193" formatCode="&quot;4、&quot;@"/>
    <numFmt numFmtId="194" formatCode="&quot;5、&quot;@"/>
    <numFmt numFmtId="195" formatCode="&quot;6、&quot;@"/>
    <numFmt numFmtId="196" formatCode="&quot;7、&quot;@"/>
    <numFmt numFmtId="197" formatCode="&quot;8、&quot;@"/>
    <numFmt numFmtId="198" formatCode="&quot;9、&quot;@"/>
    <numFmt numFmtId="199" formatCode="&quot;10、&quot;@"/>
    <numFmt numFmtId="200" formatCode="&quot;11、&quot;@"/>
    <numFmt numFmtId="201" formatCode="_ * #,##0.00\ ;_ * \-#,##0.00\ ;_ * &quot;—&quot;_ ;_ @_ "/>
    <numFmt numFmtId="202" formatCode="0.00_ "/>
    <numFmt numFmtId="203" formatCode="&quot;客户Client:&quot;@"/>
    <numFmt numFmtId="204" formatCode="&quot;项目Subject:&quot;@"/>
    <numFmt numFmtId="205" formatCode="&quot;编制/日期Prepared by:&quot;@"/>
    <numFmt numFmtId="206" formatCode="&quot;截止日/期间Period End:&quot;@"/>
    <numFmt numFmtId="207" formatCode="&quot;复核/日期Reviewed by:&quot;@"/>
    <numFmt numFmtId="208" formatCode="0.0_ "/>
    <numFmt numFmtId="209" formatCode="0.000_ "/>
    <numFmt numFmtId="210" formatCode="0.0%"/>
    <numFmt numFmtId="211" formatCode="\ \ \ \ \ @"/>
    <numFmt numFmtId="212" formatCode="_(&quot;¥&quot;* #,##0.00_);_(&quot;¥&quot;* \(#,##0.00\);_(&quot;¥&quot;* &quot;-&quot;??_);_(@_)"/>
    <numFmt numFmtId="213" formatCode="_([$€-2]* #,##0.00_);_([$€-2]* \(#,##0.00\);_([$€-2]* &quot;-&quot;??_)"/>
    <numFmt numFmtId="214" formatCode="&quot;一、&quot;@"/>
    <numFmt numFmtId="215" formatCode="&quot;减&quot;\:&quot;@&quot;"/>
    <numFmt numFmtId="216" formatCode="_ * #,##0.000_ ;_ * \-#,##0.000_ ;_ * &quot;-&quot;??_ ;_ @_ "/>
    <numFmt numFmtId="217" formatCode="\ @"/>
    <numFmt numFmtId="218" formatCode="[$€-2]\ #,##0.00_);[Red]\([$€-2]\ #,##0.00\)"/>
  </numFmts>
  <fonts count="266">
    <font>
      <sz val="10"/>
      <name val="宋体"/>
      <charset val="134"/>
    </font>
    <font>
      <sz val="10"/>
      <name val="宋体"/>
      <family val="3"/>
      <charset val="134"/>
    </font>
    <font>
      <sz val="12"/>
      <name val="宋体"/>
      <family val="3"/>
      <charset val="134"/>
    </font>
    <font>
      <sz val="11"/>
      <name val="宋体"/>
      <family val="3"/>
      <charset val="134"/>
    </font>
    <font>
      <b/>
      <sz val="11"/>
      <name val="宋体"/>
      <family val="3"/>
      <charset val="134"/>
    </font>
    <font>
      <b/>
      <sz val="10"/>
      <name val="宋体"/>
      <family val="3"/>
      <charset val="134"/>
    </font>
    <font>
      <b/>
      <sz val="10"/>
      <name val="宋体"/>
      <family val="3"/>
      <charset val="134"/>
    </font>
    <font>
      <sz val="10"/>
      <color rgb="FFFF0000"/>
      <name val="宋体"/>
      <family val="3"/>
      <charset val="134"/>
    </font>
    <font>
      <sz val="13.5"/>
      <color rgb="FF000000"/>
      <name val="宋体"/>
      <family val="3"/>
      <charset val="134"/>
    </font>
    <font>
      <sz val="13.5"/>
      <name val="宋体"/>
      <family val="3"/>
      <charset val="134"/>
    </font>
    <font>
      <b/>
      <i/>
      <sz val="11"/>
      <color indexed="8"/>
      <name val="宋体"/>
      <family val="3"/>
      <charset val="134"/>
    </font>
    <font>
      <b/>
      <sz val="11"/>
      <color indexed="8"/>
      <name val="Times New Roman"/>
      <family val="1"/>
    </font>
    <font>
      <b/>
      <i/>
      <sz val="11"/>
      <name val="宋体"/>
      <family val="3"/>
      <charset val="134"/>
    </font>
    <font>
      <sz val="12"/>
      <color indexed="8"/>
      <name val="Times New Roman"/>
      <family val="1"/>
    </font>
    <font>
      <b/>
      <sz val="10"/>
      <color indexed="8"/>
      <name val="Arial Narrow"/>
      <family val="2"/>
    </font>
    <font>
      <b/>
      <sz val="11"/>
      <name val="黑体"/>
      <family val="3"/>
      <charset val="134"/>
    </font>
    <font>
      <sz val="10"/>
      <name val="华文行楷"/>
      <family val="3"/>
      <charset val="134"/>
    </font>
    <font>
      <sz val="10"/>
      <color indexed="8"/>
      <name val="Times New Roman"/>
      <family val="1"/>
    </font>
    <font>
      <sz val="10"/>
      <name val="Times New Roman"/>
      <family val="1"/>
    </font>
    <font>
      <b/>
      <sz val="11"/>
      <color indexed="8"/>
      <name val="宋体"/>
      <family val="3"/>
      <charset val="134"/>
    </font>
    <font>
      <sz val="13.5"/>
      <color indexed="9"/>
      <name val="宋体"/>
      <family val="3"/>
      <charset val="134"/>
    </font>
    <font>
      <b/>
      <sz val="10"/>
      <name val="Arial Narrow"/>
      <family val="2"/>
    </font>
    <font>
      <sz val="10"/>
      <name val="Arial Narrow"/>
      <family val="2"/>
    </font>
    <font>
      <b/>
      <sz val="10"/>
      <color indexed="8"/>
      <name val="宋体"/>
      <family val="3"/>
      <charset val="134"/>
    </font>
    <font>
      <sz val="10"/>
      <name val="楷体_GB2312"/>
      <charset val="134"/>
    </font>
    <font>
      <sz val="10"/>
      <name val="Arial"/>
      <family val="2"/>
    </font>
    <font>
      <u/>
      <sz val="10"/>
      <color indexed="12"/>
      <name val="楷体_GB2312"/>
      <charset val="134"/>
    </font>
    <font>
      <b/>
      <sz val="10"/>
      <color indexed="10"/>
      <name val="楷体_GB2312"/>
      <charset val="134"/>
    </font>
    <font>
      <sz val="10"/>
      <color indexed="12"/>
      <name val="楷体_GB2312"/>
      <charset val="134"/>
    </font>
    <font>
      <b/>
      <sz val="10"/>
      <color indexed="10"/>
      <name val="宋体"/>
      <family val="3"/>
      <charset val="134"/>
    </font>
    <font>
      <b/>
      <sz val="10"/>
      <name val="楷体_GB2312"/>
      <charset val="134"/>
    </font>
    <font>
      <b/>
      <sz val="10"/>
      <color indexed="10"/>
      <name val="Arial Narrow"/>
      <family val="2"/>
    </font>
    <font>
      <sz val="10"/>
      <color indexed="10"/>
      <name val="Arial Narrow"/>
      <family val="2"/>
    </font>
    <font>
      <b/>
      <i/>
      <sz val="10"/>
      <name val="宋体"/>
      <family val="3"/>
      <charset val="134"/>
    </font>
    <font>
      <b/>
      <sz val="10"/>
      <name val="Arial"/>
      <family val="2"/>
    </font>
    <font>
      <b/>
      <i/>
      <sz val="10"/>
      <name val="Arial Narrow"/>
      <family val="2"/>
    </font>
    <font>
      <b/>
      <sz val="12"/>
      <color indexed="10"/>
      <name val="Arial"/>
      <family val="2"/>
    </font>
    <font>
      <sz val="10"/>
      <color rgb="FFFFFFFF"/>
      <name val="宋体"/>
      <family val="3"/>
      <charset val="134"/>
    </font>
    <font>
      <b/>
      <i/>
      <sz val="10"/>
      <name val="华文行楷"/>
      <family val="3"/>
      <charset val="134"/>
    </font>
    <font>
      <sz val="10"/>
      <name val="Arial Unicode MS"/>
      <family val="2"/>
      <charset val="134"/>
    </font>
    <font>
      <b/>
      <u/>
      <sz val="11"/>
      <color indexed="10"/>
      <name val="Arial Narrow"/>
      <family val="2"/>
    </font>
    <font>
      <sz val="10"/>
      <color indexed="62"/>
      <name val="宋体"/>
      <family val="3"/>
      <charset val="134"/>
    </font>
    <font>
      <sz val="10"/>
      <color rgb="FF000000"/>
      <name val="宋体"/>
      <family val="3"/>
      <charset val="134"/>
    </font>
    <font>
      <b/>
      <sz val="10"/>
      <color indexed="60"/>
      <name val="宋体"/>
      <family val="3"/>
      <charset val="134"/>
    </font>
    <font>
      <b/>
      <u/>
      <sz val="10"/>
      <color indexed="12"/>
      <name val="Arial Narrow"/>
      <family val="2"/>
    </font>
    <font>
      <sz val="10"/>
      <color indexed="22"/>
      <name val="宋体"/>
      <family val="3"/>
      <charset val="134"/>
    </font>
    <font>
      <sz val="10"/>
      <color rgb="FF008000"/>
      <name val="Arial Narrow"/>
      <family val="2"/>
    </font>
    <font>
      <i/>
      <sz val="10"/>
      <color rgb="FF000000"/>
      <name val="Arial"/>
      <family val="2"/>
    </font>
    <font>
      <sz val="10"/>
      <color rgb="FF000000"/>
      <name val="楷体"/>
      <family val="3"/>
      <charset val="134"/>
    </font>
    <font>
      <sz val="10"/>
      <color rgb="FF000000"/>
      <name val="Arial Narrow"/>
      <family val="2"/>
    </font>
    <font>
      <sz val="10"/>
      <color indexed="17"/>
      <name val="Arial Narrow"/>
      <family val="2"/>
    </font>
    <font>
      <sz val="10"/>
      <name val="楷体"/>
      <family val="3"/>
      <charset val="134"/>
    </font>
    <font>
      <b/>
      <sz val="10"/>
      <color indexed="10"/>
      <name val="Arial Unicode MS"/>
      <family val="2"/>
      <charset val="134"/>
    </font>
    <font>
      <sz val="10"/>
      <color indexed="12"/>
      <name val="宋体"/>
      <family val="3"/>
      <charset val="134"/>
    </font>
    <font>
      <b/>
      <sz val="10"/>
      <color rgb="FFFF0000"/>
      <name val="宋体"/>
      <family val="3"/>
      <charset val="134"/>
    </font>
    <font>
      <sz val="10"/>
      <color rgb="FF0000FF"/>
      <name val="宋体"/>
      <family val="3"/>
      <charset val="134"/>
    </font>
    <font>
      <sz val="10"/>
      <color rgb="FFEFEBDE"/>
      <name val="宋体"/>
      <family val="3"/>
      <charset val="134"/>
    </font>
    <font>
      <sz val="10"/>
      <color theme="1"/>
      <name val="宋体"/>
      <family val="3"/>
      <charset val="134"/>
    </font>
    <font>
      <sz val="10"/>
      <color indexed="8"/>
      <name val="宋体"/>
      <family val="3"/>
      <charset val="134"/>
    </font>
    <font>
      <sz val="10"/>
      <color indexed="12"/>
      <name val="Arial Narrow"/>
      <family val="2"/>
    </font>
    <font>
      <b/>
      <sz val="10"/>
      <color rgb="FF000000"/>
      <name val="宋体"/>
      <family val="3"/>
      <charset val="134"/>
    </font>
    <font>
      <b/>
      <strike/>
      <sz val="10"/>
      <color theme="0"/>
      <name val="宋体"/>
      <family val="3"/>
      <charset val="134"/>
    </font>
    <font>
      <b/>
      <sz val="10"/>
      <color theme="0"/>
      <name val="宋体"/>
      <family val="3"/>
      <charset val="134"/>
    </font>
    <font>
      <sz val="10"/>
      <color indexed="8"/>
      <name val="Arial Narrow"/>
      <family val="2"/>
    </font>
    <font>
      <sz val="10"/>
      <color rgb="FFEFEBDE"/>
      <name val="Arial Narrow"/>
      <family val="2"/>
    </font>
    <font>
      <b/>
      <sz val="10"/>
      <color rgb="FFFF0000"/>
      <name val="Arial Narrow"/>
      <family val="2"/>
    </font>
    <font>
      <sz val="10"/>
      <color indexed="10"/>
      <name val="宋体"/>
      <family val="3"/>
      <charset val="134"/>
    </font>
    <font>
      <sz val="10"/>
      <color indexed="22"/>
      <name val="Arial Narrow"/>
      <family val="2"/>
    </font>
    <font>
      <u/>
      <sz val="12"/>
      <color indexed="12"/>
      <name val="Times New Roman"/>
      <family val="1"/>
    </font>
    <font>
      <b/>
      <i/>
      <sz val="12"/>
      <color indexed="9"/>
      <name val="Arial"/>
      <family val="2"/>
    </font>
    <font>
      <b/>
      <sz val="10"/>
      <color indexed="9"/>
      <name val="楷体"/>
      <family val="3"/>
      <charset val="134"/>
    </font>
    <font>
      <b/>
      <sz val="11"/>
      <color indexed="9"/>
      <name val="楷体"/>
      <family val="3"/>
      <charset val="134"/>
    </font>
    <font>
      <u/>
      <sz val="10"/>
      <color indexed="12"/>
      <name val="Arial Narrow"/>
      <family val="2"/>
    </font>
    <font>
      <sz val="12"/>
      <color indexed="62"/>
      <name val="Times New Roman"/>
      <family val="1"/>
    </font>
    <font>
      <sz val="13.5"/>
      <color indexed="62"/>
      <name val="宋体"/>
      <family val="3"/>
      <charset val="134"/>
    </font>
    <font>
      <sz val="10"/>
      <color indexed="62"/>
      <name val="Arial Narrow"/>
      <family val="2"/>
    </font>
    <font>
      <sz val="10"/>
      <color indexed="62"/>
      <name val="Times New Roman"/>
      <family val="1"/>
    </font>
    <font>
      <b/>
      <sz val="10"/>
      <color indexed="62"/>
      <name val="宋体"/>
      <family val="3"/>
      <charset val="134"/>
    </font>
    <font>
      <b/>
      <sz val="11"/>
      <color indexed="10"/>
      <name val="黑体"/>
      <family val="3"/>
      <charset val="134"/>
    </font>
    <font>
      <b/>
      <sz val="11"/>
      <name val="华文行楷"/>
      <family val="3"/>
      <charset val="134"/>
    </font>
    <font>
      <sz val="11"/>
      <name val="Times New Roman"/>
      <family val="1"/>
    </font>
    <font>
      <sz val="10"/>
      <color indexed="62"/>
      <name val="Arial"/>
      <family val="2"/>
    </font>
    <font>
      <b/>
      <sz val="10"/>
      <name val="微软雅黑"/>
      <family val="2"/>
      <charset val="134"/>
    </font>
    <font>
      <sz val="10"/>
      <color indexed="9"/>
      <name val="Arial Narrow"/>
      <family val="2"/>
    </font>
    <font>
      <sz val="10"/>
      <color indexed="9"/>
      <name val="宋体"/>
      <family val="3"/>
      <charset val="134"/>
    </font>
    <font>
      <b/>
      <sz val="22"/>
      <name val="宋体"/>
      <family val="3"/>
      <charset val="134"/>
    </font>
    <font>
      <sz val="12"/>
      <name val="Arial Narrow"/>
      <family val="2"/>
    </font>
    <font>
      <sz val="10"/>
      <name val="仿宋_GB2312"/>
      <family val="3"/>
      <charset val="134"/>
    </font>
    <font>
      <b/>
      <i/>
      <sz val="12"/>
      <color indexed="9"/>
      <name val="楷体_GB2312"/>
      <charset val="134"/>
    </font>
    <font>
      <b/>
      <sz val="10"/>
      <color indexed="9"/>
      <name val="楷体_GB2312"/>
      <charset val="134"/>
    </font>
    <font>
      <b/>
      <sz val="10"/>
      <color indexed="9"/>
      <name val="宋体"/>
      <family val="3"/>
      <charset val="134"/>
    </font>
    <font>
      <b/>
      <i/>
      <sz val="10"/>
      <name val="Arial"/>
      <family val="2"/>
    </font>
    <font>
      <sz val="10"/>
      <color indexed="20"/>
      <name val="Arial Narrow"/>
      <family val="2"/>
    </font>
    <font>
      <sz val="10"/>
      <color indexed="10"/>
      <name val="Arial Unicode MS"/>
      <family val="2"/>
      <charset val="134"/>
    </font>
    <font>
      <b/>
      <sz val="12"/>
      <color indexed="9"/>
      <name val="楷体_GB2312"/>
      <charset val="134"/>
    </font>
    <font>
      <b/>
      <i/>
      <sz val="10"/>
      <color indexed="9"/>
      <name val="楷体_GB2312"/>
      <charset val="134"/>
    </font>
    <font>
      <sz val="10"/>
      <color indexed="20"/>
      <name val="宋体"/>
      <family val="3"/>
      <charset val="134"/>
    </font>
    <font>
      <sz val="10"/>
      <color indexed="22"/>
      <name val="Times New Roman"/>
      <family val="1"/>
    </font>
    <font>
      <sz val="10"/>
      <color indexed="22"/>
      <name val="楷体"/>
      <family val="3"/>
      <charset val="134"/>
    </font>
    <font>
      <sz val="10"/>
      <color indexed="22"/>
      <name val="华文行楷"/>
      <family val="3"/>
      <charset val="134"/>
    </font>
    <font>
      <b/>
      <sz val="22"/>
      <color indexed="59"/>
      <name val="楷体_GB2312"/>
      <charset val="134"/>
    </font>
    <font>
      <sz val="12"/>
      <color indexed="12"/>
      <name val="微软雅黑"/>
      <family val="2"/>
      <charset val="134"/>
    </font>
    <font>
      <sz val="11"/>
      <color indexed="8"/>
      <name val="宋体"/>
      <family val="3"/>
      <charset val="134"/>
    </font>
    <font>
      <b/>
      <sz val="11"/>
      <color indexed="62"/>
      <name val="Times New Roman"/>
      <family val="1"/>
    </font>
    <font>
      <b/>
      <i/>
      <sz val="11"/>
      <color indexed="62"/>
      <name val="宋体"/>
      <family val="3"/>
      <charset val="134"/>
    </font>
    <font>
      <sz val="11"/>
      <color indexed="62"/>
      <name val="宋体"/>
      <family val="3"/>
      <charset val="134"/>
    </font>
    <font>
      <sz val="12"/>
      <color indexed="9"/>
      <name val="宋体"/>
      <family val="3"/>
      <charset val="134"/>
    </font>
    <font>
      <sz val="12"/>
      <color indexed="62"/>
      <name val="宋体"/>
      <family val="3"/>
      <charset val="134"/>
    </font>
    <font>
      <b/>
      <sz val="16"/>
      <color indexed="48"/>
      <name val="隶书"/>
      <family val="3"/>
      <charset val="134"/>
    </font>
    <font>
      <b/>
      <i/>
      <sz val="20"/>
      <color indexed="60"/>
      <name val="Arial"/>
      <family val="2"/>
    </font>
    <font>
      <b/>
      <i/>
      <sz val="20"/>
      <color indexed="62"/>
      <name val="Arial"/>
      <family val="2"/>
    </font>
    <font>
      <i/>
      <sz val="12"/>
      <color indexed="9"/>
      <name val="楷体"/>
      <family val="3"/>
      <charset val="134"/>
    </font>
    <font>
      <i/>
      <sz val="10"/>
      <color indexed="9"/>
      <name val="楷体"/>
      <family val="3"/>
      <charset val="134"/>
    </font>
    <font>
      <sz val="10"/>
      <color indexed="12"/>
      <name val="Arial"/>
      <family val="2"/>
    </font>
    <font>
      <i/>
      <sz val="9"/>
      <color indexed="9"/>
      <name val="楷体"/>
      <family val="3"/>
      <charset val="134"/>
    </font>
    <font>
      <b/>
      <i/>
      <sz val="12"/>
      <color indexed="9"/>
      <name val="楷体"/>
      <family val="3"/>
      <charset val="134"/>
    </font>
    <font>
      <sz val="10"/>
      <color indexed="12"/>
      <name val="华文行楷"/>
      <family val="3"/>
      <charset val="134"/>
    </font>
    <font>
      <sz val="10"/>
      <color indexed="12"/>
      <name val="Times New Roman"/>
      <family val="1"/>
    </font>
    <font>
      <sz val="12"/>
      <name val="楷体_GB2312"/>
      <charset val="134"/>
    </font>
    <font>
      <sz val="12"/>
      <name val="华文行楷"/>
      <family val="3"/>
      <charset val="134"/>
    </font>
    <font>
      <b/>
      <sz val="16"/>
      <name val="Times New Roman"/>
      <family val="1"/>
    </font>
    <font>
      <b/>
      <sz val="16"/>
      <color indexed="62"/>
      <name val="Times New Roman"/>
      <family val="1"/>
    </font>
    <font>
      <i/>
      <sz val="12"/>
      <color indexed="9"/>
      <name val="楷体_GB2312"/>
      <charset val="134"/>
    </font>
    <font>
      <i/>
      <sz val="12"/>
      <color indexed="62"/>
      <name val="楷体_GB2312"/>
      <charset val="134"/>
    </font>
    <font>
      <sz val="12"/>
      <name val="Arial"/>
      <family val="2"/>
    </font>
    <font>
      <i/>
      <sz val="12"/>
      <name val="Arial"/>
      <family val="2"/>
    </font>
    <font>
      <i/>
      <sz val="12"/>
      <name val="楷体_GB2312"/>
      <charset val="134"/>
    </font>
    <font>
      <u/>
      <sz val="12"/>
      <color indexed="12"/>
      <name val="宋体"/>
      <family val="3"/>
      <charset val="134"/>
    </font>
    <font>
      <i/>
      <sz val="12"/>
      <color indexed="62"/>
      <name val="Arial"/>
      <family val="2"/>
    </font>
    <font>
      <i/>
      <sz val="12"/>
      <name val="宋体"/>
      <family val="3"/>
      <charset val="134"/>
    </font>
    <font>
      <i/>
      <sz val="12"/>
      <color indexed="59"/>
      <name val="楷体_GB2312"/>
      <charset val="134"/>
    </font>
    <font>
      <b/>
      <sz val="12"/>
      <color indexed="9"/>
      <name val="楷体"/>
      <family val="3"/>
      <charset val="134"/>
    </font>
    <font>
      <sz val="12"/>
      <name val="楷体"/>
      <family val="3"/>
      <charset val="134"/>
    </font>
    <font>
      <sz val="12"/>
      <name val="Times New Roman"/>
      <family val="1"/>
    </font>
    <font>
      <b/>
      <sz val="16"/>
      <name val="楷体_GB2312"/>
      <charset val="134"/>
    </font>
    <font>
      <b/>
      <sz val="16"/>
      <color indexed="62"/>
      <name val="楷体_GB2312"/>
      <charset val="134"/>
    </font>
    <font>
      <b/>
      <i/>
      <sz val="20"/>
      <color indexed="22"/>
      <name val="Arial"/>
      <family val="2"/>
    </font>
    <font>
      <b/>
      <i/>
      <sz val="11"/>
      <color indexed="60"/>
      <name val="Arial"/>
      <family val="2"/>
    </font>
    <font>
      <sz val="12"/>
      <color indexed="10"/>
      <name val="宋体"/>
      <family val="3"/>
      <charset val="134"/>
    </font>
    <font>
      <b/>
      <sz val="10"/>
      <color indexed="60"/>
      <name val="Arial"/>
      <family val="2"/>
    </font>
    <font>
      <sz val="10"/>
      <color indexed="60"/>
      <name val="宋体"/>
      <family val="3"/>
      <charset val="134"/>
    </font>
    <font>
      <sz val="12"/>
      <color indexed="58"/>
      <name val="宋体"/>
      <family val="3"/>
      <charset val="134"/>
    </font>
    <font>
      <sz val="12"/>
      <color indexed="9"/>
      <name val="楷体_GB2312"/>
      <charset val="134"/>
    </font>
    <font>
      <i/>
      <sz val="12"/>
      <color indexed="9"/>
      <name val="Arial Unicode MS"/>
      <family val="2"/>
      <charset val="134"/>
    </font>
    <font>
      <i/>
      <sz val="12"/>
      <name val="Arial Unicode MS"/>
      <family val="2"/>
      <charset val="134"/>
    </font>
    <font>
      <sz val="11"/>
      <color indexed="20"/>
      <name val="宋体"/>
      <family val="3"/>
      <charset val="134"/>
    </font>
    <font>
      <sz val="11"/>
      <color indexed="17"/>
      <name val="宋体"/>
      <family val="3"/>
      <charset val="134"/>
    </font>
    <font>
      <b/>
      <i/>
      <sz val="11"/>
      <name val="Times New Roman"/>
      <family val="1"/>
    </font>
    <font>
      <b/>
      <u/>
      <sz val="11"/>
      <color indexed="10"/>
      <name val="Arial"/>
      <family val="2"/>
    </font>
    <font>
      <b/>
      <sz val="10"/>
      <color indexed="20"/>
      <name val="宋体"/>
      <family val="3"/>
      <charset val="134"/>
    </font>
    <font>
      <i/>
      <sz val="10"/>
      <color indexed="8"/>
      <name val="宋体"/>
      <family val="3"/>
      <charset val="134"/>
    </font>
    <font>
      <i/>
      <sz val="10"/>
      <color indexed="8"/>
      <name val="Arial"/>
      <family val="2"/>
    </font>
    <font>
      <b/>
      <u/>
      <sz val="11"/>
      <color indexed="10"/>
      <name val="Arial Unicode MS"/>
      <family val="2"/>
      <charset val="134"/>
    </font>
    <font>
      <b/>
      <i/>
      <u/>
      <sz val="11"/>
      <name val="Times New Roman"/>
      <family val="1"/>
    </font>
    <font>
      <b/>
      <sz val="12"/>
      <color indexed="9"/>
      <name val="Arial Unicode MS"/>
      <family val="2"/>
      <charset val="134"/>
    </font>
    <font>
      <b/>
      <sz val="10"/>
      <color indexed="9"/>
      <name val="Arial Unicode MS"/>
      <family val="2"/>
      <charset val="134"/>
    </font>
    <font>
      <b/>
      <sz val="9"/>
      <color indexed="12"/>
      <name val="宋体"/>
      <family val="3"/>
      <charset val="134"/>
    </font>
    <font>
      <sz val="10"/>
      <name val="宋体"/>
      <family val="3"/>
      <charset val="134"/>
    </font>
    <font>
      <b/>
      <sz val="9"/>
      <name val="宋体"/>
      <family val="3"/>
      <charset val="134"/>
    </font>
    <font>
      <sz val="9"/>
      <color indexed="10"/>
      <name val="宋体"/>
      <family val="3"/>
      <charset val="134"/>
    </font>
    <font>
      <b/>
      <sz val="9"/>
      <name val="Tahoma"/>
      <family val="2"/>
    </font>
    <font>
      <b/>
      <sz val="9"/>
      <color indexed="12"/>
      <name val="MS Gothic"/>
      <family val="3"/>
      <charset val="128"/>
    </font>
    <font>
      <b/>
      <sz val="9"/>
      <color indexed="12"/>
      <name val="Tahoma"/>
      <family val="2"/>
    </font>
    <font>
      <sz val="9"/>
      <name val="宋体"/>
      <family val="3"/>
      <charset val="134"/>
    </font>
    <font>
      <sz val="9"/>
      <name val="Tahoma"/>
      <family val="2"/>
    </font>
    <font>
      <i/>
      <sz val="10"/>
      <color rgb="FF009CDE"/>
      <name val="宋体"/>
      <family val="3"/>
      <charset val="134"/>
    </font>
    <font>
      <sz val="10"/>
      <color rgb="FF3F9C35"/>
      <name val="Arial Narrow"/>
      <family val="2"/>
    </font>
    <font>
      <sz val="10"/>
      <color rgb="FF0000FF"/>
      <name val="Arial Narrow"/>
      <family val="2"/>
    </font>
    <font>
      <sz val="10"/>
      <color rgb="FF000000"/>
      <name val="Times New Roman"/>
      <family val="1"/>
    </font>
    <font>
      <sz val="10"/>
      <color rgb="FF3F9C35"/>
      <name val="Arial"/>
      <family val="2"/>
    </font>
    <font>
      <i/>
      <sz val="10"/>
      <color rgb="FF000000"/>
      <name val="宋体"/>
      <family val="3"/>
      <charset val="134"/>
    </font>
    <font>
      <sz val="10"/>
      <color rgb="FF009CDE"/>
      <name val="Arial Narrow"/>
      <family val="2"/>
    </font>
    <font>
      <u/>
      <sz val="10"/>
      <color indexed="12"/>
      <name val="Arial"/>
      <family val="2"/>
    </font>
    <font>
      <u/>
      <sz val="10"/>
      <color indexed="12"/>
      <name val="宋体"/>
      <family val="3"/>
      <charset val="134"/>
    </font>
    <font>
      <u/>
      <sz val="10"/>
      <color rgb="FF0000FF"/>
      <name val="楷体"/>
      <family val="3"/>
      <charset val="134"/>
    </font>
    <font>
      <u/>
      <sz val="10"/>
      <color rgb="FF000000"/>
      <name val="Arial Narrow"/>
      <family val="2"/>
    </font>
    <font>
      <sz val="10"/>
      <color rgb="FF000000"/>
      <name val="Arial"/>
      <family val="2"/>
    </font>
    <font>
      <b/>
      <sz val="9"/>
      <color indexed="81"/>
      <name val="Tahoma"/>
      <family val="2"/>
    </font>
    <font>
      <i/>
      <sz val="10"/>
      <color rgb="FF000000"/>
      <name val="Arial Narrow"/>
      <family val="2"/>
    </font>
    <font>
      <sz val="10"/>
      <color rgb="FFEFEBDE"/>
      <name val="Arial"/>
      <family val="2"/>
    </font>
    <font>
      <u/>
      <sz val="10"/>
      <color indexed="12"/>
      <name val="Times New Roman"/>
      <family val="1"/>
    </font>
    <font>
      <b/>
      <sz val="10"/>
      <color indexed="81"/>
      <name val="宋体"/>
      <family val="3"/>
      <charset val="134"/>
    </font>
    <font>
      <sz val="10"/>
      <color indexed="81"/>
      <name val="宋体"/>
      <family val="3"/>
      <charset val="134"/>
    </font>
    <font>
      <sz val="10"/>
      <color indexed="81"/>
      <name val="Tahoma"/>
      <family val="2"/>
    </font>
    <font>
      <sz val="8"/>
      <name val="Arial Narrow"/>
      <family val="2"/>
    </font>
    <font>
      <sz val="10"/>
      <name val="宋体"/>
      <family val="3"/>
      <charset val="134"/>
      <scheme val="minor"/>
    </font>
    <font>
      <b/>
      <sz val="10"/>
      <name val="宋体"/>
      <family val="3"/>
      <charset val="134"/>
      <scheme val="minor"/>
    </font>
    <font>
      <b/>
      <sz val="22"/>
      <name val="宋体"/>
      <family val="3"/>
      <charset val="134"/>
      <scheme val="minor"/>
    </font>
    <font>
      <sz val="12"/>
      <name val="宋体"/>
      <family val="3"/>
      <charset val="134"/>
      <scheme val="minor"/>
    </font>
    <font>
      <sz val="10"/>
      <color indexed="17"/>
      <name val="宋体"/>
      <family val="3"/>
      <charset val="134"/>
    </font>
    <font>
      <sz val="10"/>
      <color rgb="FF000000"/>
      <name val="楷体_GB2312"/>
      <charset val="134"/>
    </font>
    <font>
      <sz val="10"/>
      <color rgb="FF009CDE"/>
      <name val="宋体"/>
      <family val="3"/>
      <charset val="134"/>
    </font>
    <font>
      <sz val="10"/>
      <color rgb="FF000000"/>
      <name val="宋体"/>
      <family val="3"/>
      <charset val="134"/>
      <scheme val="minor"/>
    </font>
    <font>
      <b/>
      <i/>
      <sz val="10"/>
      <color rgb="FFFF0000"/>
      <name val="宋体"/>
      <family val="3"/>
      <charset val="134"/>
    </font>
    <font>
      <b/>
      <sz val="10"/>
      <color rgb="FF0000FF"/>
      <name val="宋体"/>
      <family val="3"/>
      <charset val="134"/>
    </font>
    <font>
      <sz val="13.5"/>
      <color rgb="FFEFEBDE"/>
      <name val="宋体"/>
      <family val="3"/>
      <charset val="134"/>
    </font>
    <font>
      <sz val="13.5"/>
      <color rgb="FFEFEBDE"/>
      <name val="Arial Narrow"/>
      <family val="2"/>
    </font>
    <font>
      <sz val="10"/>
      <color rgb="FF63666A"/>
      <name val="Arial Narrow"/>
      <family val="2"/>
    </font>
    <font>
      <sz val="9"/>
      <color indexed="81"/>
      <name val="Tahoma"/>
      <family val="2"/>
    </font>
    <font>
      <b/>
      <sz val="9"/>
      <color indexed="81"/>
      <name val="宋体"/>
      <family val="3"/>
      <charset val="134"/>
    </font>
    <font>
      <sz val="9"/>
      <color indexed="81"/>
      <name val="宋体"/>
      <family val="3"/>
      <charset val="134"/>
    </font>
    <font>
      <b/>
      <sz val="10"/>
      <color indexed="12"/>
      <name val="楷体_GB2312"/>
      <charset val="134"/>
    </font>
    <font>
      <sz val="12"/>
      <color rgb="FFEFEBDE"/>
      <name val="Times New Roman"/>
      <family val="1"/>
    </font>
    <font>
      <sz val="10"/>
      <color rgb="FFEFEBDE"/>
      <name val="Times New Roman"/>
      <family val="1"/>
    </font>
    <font>
      <b/>
      <sz val="11"/>
      <color rgb="FFEFEBDE"/>
      <name val="宋体"/>
      <family val="3"/>
      <charset val="134"/>
    </font>
    <font>
      <sz val="11"/>
      <color rgb="FFEFEBDE"/>
      <name val="Times New Roman"/>
      <family val="1"/>
    </font>
    <font>
      <b/>
      <sz val="10"/>
      <color rgb="FFEFEBDE"/>
      <name val="宋体"/>
      <family val="3"/>
      <charset val="134"/>
    </font>
    <font>
      <b/>
      <u/>
      <sz val="11"/>
      <color rgb="FFEFEBDE"/>
      <name val="Arial Narrow"/>
      <family val="2"/>
    </font>
    <font>
      <b/>
      <i/>
      <sz val="11"/>
      <color rgb="FFEFEBDE"/>
      <name val="宋体"/>
      <family val="3"/>
      <charset val="134"/>
    </font>
    <font>
      <sz val="10"/>
      <color rgb="FF0000FF"/>
      <name val="Arial"/>
      <family val="2"/>
    </font>
    <font>
      <sz val="10"/>
      <color rgb="FFFFFFFF"/>
      <name val="Arial Narrow"/>
      <family val="2"/>
    </font>
    <font>
      <b/>
      <sz val="10"/>
      <color rgb="FFEFEBDE"/>
      <name val="Arial Narrow"/>
      <family val="2"/>
    </font>
    <font>
      <b/>
      <sz val="12"/>
      <color rgb="FFEFEBDE"/>
      <name val="楷体_GB2312"/>
      <charset val="134"/>
    </font>
    <font>
      <b/>
      <sz val="10"/>
      <color rgb="FFEFEBDE"/>
      <name val="楷体_GB2312"/>
      <charset val="134"/>
    </font>
    <font>
      <sz val="13.5"/>
      <color rgb="FFFFFFFF"/>
      <name val="宋体"/>
      <family val="3"/>
      <charset val="134"/>
    </font>
    <font>
      <i/>
      <sz val="10"/>
      <name val="宋体"/>
      <family val="3"/>
      <charset val="134"/>
    </font>
    <font>
      <sz val="10"/>
      <color rgb="FFEBF0F5"/>
      <name val="Times New Roman"/>
      <family val="1"/>
    </font>
    <font>
      <sz val="10"/>
      <color rgb="FFEBF0F5"/>
      <name val="宋体"/>
      <family val="3"/>
      <charset val="134"/>
    </font>
    <font>
      <sz val="10"/>
      <color rgb="FFEBF0F5"/>
      <name val="Arial"/>
      <family val="2"/>
    </font>
    <font>
      <sz val="12"/>
      <color rgb="FFEBF0F5"/>
      <name val="Arial"/>
      <family val="2"/>
    </font>
    <font>
      <sz val="12"/>
      <name val="隶书"/>
      <family val="3"/>
      <charset val="134"/>
    </font>
    <font>
      <sz val="10"/>
      <color rgb="FFEBF0F5"/>
      <name val="楷体"/>
      <family val="3"/>
      <charset val="134"/>
    </font>
    <font>
      <sz val="12"/>
      <color rgb="FFEBF0F5"/>
      <name val="Times New Roman"/>
      <family val="1"/>
    </font>
    <font>
      <sz val="10"/>
      <color theme="1"/>
      <name val="宋体"/>
      <family val="3"/>
      <charset val="134"/>
      <scheme val="minor"/>
    </font>
    <font>
      <sz val="10"/>
      <color rgb="FF63666A"/>
      <name val="Arial"/>
      <family val="2"/>
    </font>
    <font>
      <sz val="11"/>
      <color theme="1"/>
      <name val="宋体"/>
      <family val="3"/>
      <charset val="134"/>
      <scheme val="minor"/>
    </font>
    <font>
      <sz val="10"/>
      <color rgb="FF7030A0"/>
      <name val="Arial"/>
      <family val="2"/>
    </font>
    <font>
      <b/>
      <sz val="12"/>
      <color rgb="FFFF0000"/>
      <name val="Arial"/>
      <family val="2"/>
    </font>
    <font>
      <sz val="13.5"/>
      <color rgb="FFEBF0F5"/>
      <name val="Times New Roman"/>
      <family val="1"/>
    </font>
    <font>
      <b/>
      <sz val="10"/>
      <color rgb="FF63666A"/>
      <name val="Arial"/>
      <family val="2"/>
    </font>
    <font>
      <b/>
      <sz val="10"/>
      <color rgb="FF63666A"/>
      <name val="Times New Roman"/>
      <family val="1"/>
    </font>
    <font>
      <b/>
      <sz val="10"/>
      <color indexed="23"/>
      <name val="宋体"/>
      <family val="3"/>
      <charset val="134"/>
    </font>
    <font>
      <sz val="10"/>
      <color rgb="FF63666A"/>
      <name val="Times New Roman"/>
      <family val="1"/>
    </font>
    <font>
      <sz val="11"/>
      <color theme="1"/>
      <name val="Times New Roman"/>
      <family val="1"/>
    </font>
    <font>
      <sz val="10"/>
      <color theme="1"/>
      <name val="Times New Roman"/>
      <family val="1"/>
    </font>
    <font>
      <sz val="10"/>
      <color indexed="23"/>
      <name val="宋体"/>
      <family val="3"/>
      <charset val="134"/>
    </font>
    <font>
      <sz val="10"/>
      <color indexed="23"/>
      <name val="Times New Roman"/>
      <family val="1"/>
    </font>
    <font>
      <sz val="10"/>
      <color rgb="FF3F9C35"/>
      <name val="黑体"/>
      <family val="3"/>
      <charset val="134"/>
    </font>
    <font>
      <sz val="12"/>
      <color theme="0" tint="-4.9989318521683403E-2"/>
      <name val="Times New Roman"/>
      <family val="1"/>
    </font>
    <font>
      <sz val="10"/>
      <color indexed="8"/>
      <name val="Arial"/>
      <family val="2"/>
    </font>
    <font>
      <b/>
      <sz val="10"/>
      <name val="Times New Roman"/>
      <family val="1"/>
    </font>
    <font>
      <i/>
      <sz val="10"/>
      <name val="Times New Roman"/>
      <family val="1"/>
    </font>
    <font>
      <b/>
      <i/>
      <sz val="10"/>
      <color indexed="12"/>
      <name val="宋体"/>
      <family val="3"/>
      <charset val="134"/>
    </font>
    <font>
      <b/>
      <i/>
      <sz val="10"/>
      <color indexed="12"/>
      <name val="Times New Roman"/>
      <family val="1"/>
    </font>
    <font>
      <b/>
      <sz val="9"/>
      <color indexed="17"/>
      <name val="Tahoma"/>
      <family val="2"/>
    </font>
    <font>
      <sz val="9"/>
      <color indexed="23"/>
      <name val="Tahoma"/>
      <family val="2"/>
    </font>
    <font>
      <b/>
      <sz val="10"/>
      <color rgb="FF3F9C35"/>
      <name val="宋体"/>
      <family val="3"/>
      <charset val="134"/>
    </font>
    <font>
      <sz val="10"/>
      <color theme="1"/>
      <name val="Arial Narrow"/>
      <family val="2"/>
    </font>
    <font>
      <b/>
      <sz val="10"/>
      <color rgb="FF3F9C35"/>
      <name val="Arial"/>
      <family val="2"/>
    </font>
    <font>
      <sz val="10"/>
      <name val="Helv"/>
      <family val="2"/>
    </font>
    <font>
      <sz val="10"/>
      <color rgb="FFEBF0F5"/>
      <name val="Arial Narrow"/>
      <family val="2"/>
    </font>
    <font>
      <sz val="11"/>
      <color rgb="FF009CDE"/>
      <name val="宋体"/>
      <family val="3"/>
      <charset val="134"/>
      <scheme val="minor"/>
    </font>
    <font>
      <u/>
      <sz val="10"/>
      <color rgb="FF800080"/>
      <name val="Arial Narrow"/>
      <family val="2"/>
    </font>
    <font>
      <b/>
      <sz val="24"/>
      <name val="宋体"/>
      <family val="3"/>
      <charset val="134"/>
    </font>
    <font>
      <b/>
      <sz val="24"/>
      <name val="Arial Narrow"/>
      <family val="2"/>
    </font>
    <font>
      <b/>
      <sz val="12"/>
      <name val="Arial Narrow"/>
      <family val="2"/>
    </font>
    <font>
      <b/>
      <sz val="12"/>
      <name val="宋体"/>
      <family val="3"/>
      <charset val="134"/>
    </font>
    <font>
      <b/>
      <sz val="26"/>
      <name val="宋体"/>
      <family val="3"/>
      <charset val="134"/>
    </font>
    <font>
      <b/>
      <sz val="26"/>
      <name val="Arial Narrow"/>
      <family val="2"/>
    </font>
    <font>
      <sz val="12"/>
      <color indexed="8"/>
      <name val="宋体"/>
      <family val="3"/>
      <charset val="134"/>
    </font>
    <font>
      <b/>
      <sz val="12"/>
      <color indexed="8"/>
      <name val="宋体"/>
      <family val="3"/>
      <charset val="134"/>
    </font>
    <font>
      <sz val="11"/>
      <name val="Arial Narrow"/>
      <family val="2"/>
    </font>
    <font>
      <sz val="9"/>
      <name val="宋体"/>
      <family val="3"/>
      <charset val="134"/>
      <scheme val="minor"/>
    </font>
    <font>
      <b/>
      <sz val="11"/>
      <color theme="1"/>
      <name val="宋体"/>
      <family val="3"/>
      <charset val="134"/>
      <scheme val="minor"/>
    </font>
    <font>
      <b/>
      <sz val="20"/>
      <name val="宋体"/>
      <family val="3"/>
      <charset val="134"/>
    </font>
    <font>
      <b/>
      <sz val="20"/>
      <name val="Arial Narrow"/>
      <family val="2"/>
    </font>
  </fonts>
  <fills count="32">
    <fill>
      <patternFill patternType="none"/>
    </fill>
    <fill>
      <patternFill patternType="gray125"/>
    </fill>
    <fill>
      <patternFill patternType="solid">
        <fgColor indexed="62"/>
        <bgColor indexed="64"/>
      </patternFill>
    </fill>
    <fill>
      <patternFill patternType="solid">
        <fgColor indexed="42"/>
        <bgColor indexed="64"/>
      </patternFill>
    </fill>
    <fill>
      <patternFill patternType="solid">
        <fgColor indexed="41"/>
        <bgColor indexed="64"/>
      </patternFill>
    </fill>
    <fill>
      <patternFill patternType="solid">
        <fgColor indexed="9"/>
        <bgColor indexed="64"/>
      </patternFill>
    </fill>
    <fill>
      <patternFill patternType="solid">
        <fgColor indexed="22"/>
        <bgColor indexed="64"/>
      </patternFill>
    </fill>
    <fill>
      <patternFill patternType="solid">
        <fgColor rgb="FFC3D9FA"/>
        <bgColor indexed="64"/>
      </patternFill>
    </fill>
    <fill>
      <patternFill patternType="solid">
        <fgColor rgb="FFEFEBDE"/>
        <bgColor indexed="64"/>
      </patternFill>
    </fill>
    <fill>
      <patternFill patternType="solid">
        <fgColor rgb="FFE5E0EC"/>
        <bgColor indexed="64"/>
      </patternFill>
    </fill>
    <fill>
      <patternFill patternType="solid">
        <fgColor rgb="FFCCFFCC"/>
        <bgColor indexed="64"/>
      </patternFill>
    </fill>
    <fill>
      <patternFill patternType="solid">
        <fgColor indexed="14"/>
        <bgColor indexed="64"/>
      </patternFill>
    </fill>
    <fill>
      <patternFill patternType="solid">
        <fgColor indexed="53"/>
        <bgColor indexed="64"/>
      </patternFill>
    </fill>
    <fill>
      <patternFill patternType="solid">
        <fgColor indexed="13"/>
        <bgColor indexed="64"/>
      </patternFill>
    </fill>
    <fill>
      <patternFill patternType="solid">
        <fgColor indexed="60"/>
        <bgColor indexed="64"/>
      </patternFill>
    </fill>
    <fill>
      <patternFill patternType="solid">
        <fgColor indexed="43"/>
        <bgColor indexed="64"/>
      </patternFill>
    </fill>
    <fill>
      <patternFill patternType="solid">
        <fgColor indexed="47"/>
        <bgColor indexed="64"/>
      </patternFill>
    </fill>
    <fill>
      <patternFill patternType="solid">
        <fgColor indexed="52"/>
        <bgColor indexed="64"/>
      </patternFill>
    </fill>
    <fill>
      <patternFill patternType="solid">
        <fgColor rgb="FFEAEAEA"/>
        <bgColor indexed="64"/>
      </patternFill>
    </fill>
    <fill>
      <patternFill patternType="solid">
        <fgColor indexed="45"/>
        <bgColor indexed="64"/>
      </patternFill>
    </fill>
    <fill>
      <patternFill patternType="solid">
        <fgColor rgb="FFD8D8D8"/>
        <bgColor indexed="64"/>
      </patternFill>
    </fill>
    <fill>
      <patternFill patternType="solid">
        <fgColor rgb="FFFCD5B4"/>
        <bgColor indexed="64"/>
      </patternFill>
    </fill>
    <fill>
      <patternFill patternType="solid">
        <fgColor rgb="FF009CDE"/>
        <bgColor indexed="64"/>
      </patternFill>
    </fill>
    <fill>
      <patternFill patternType="solid">
        <fgColor rgb="FFACD4F1"/>
        <bgColor indexed="64"/>
      </patternFill>
    </fill>
    <fill>
      <patternFill patternType="solid">
        <fgColor rgb="FFEBF0F5"/>
        <bgColor indexed="64"/>
      </patternFill>
    </fill>
    <fill>
      <patternFill patternType="solid">
        <fgColor rgb="FFFFFFFF"/>
        <bgColor indexed="64"/>
      </patternFill>
    </fill>
    <fill>
      <patternFill patternType="solid">
        <fgColor rgb="FFFFFF00"/>
        <bgColor indexed="64"/>
      </patternFill>
    </fill>
    <fill>
      <patternFill patternType="solid">
        <fgColor indexed="55"/>
        <bgColor indexed="64"/>
      </patternFill>
    </fill>
    <fill>
      <patternFill patternType="solid">
        <fgColor indexed="46"/>
        <bgColor indexed="64"/>
      </patternFill>
    </fill>
    <fill>
      <patternFill patternType="solid">
        <fgColor rgb="FF92D050"/>
        <bgColor indexed="64"/>
      </patternFill>
    </fill>
    <fill>
      <patternFill patternType="solid">
        <fgColor theme="6" tint="0.59999389629810485"/>
        <bgColor indexed="64"/>
      </patternFill>
    </fill>
    <fill>
      <patternFill patternType="solid">
        <fgColor rgb="FFFF0000"/>
        <bgColor indexed="64"/>
      </patternFill>
    </fill>
  </fills>
  <borders count="370">
    <border>
      <left/>
      <right/>
      <top/>
      <bottom/>
      <diagonal/>
    </border>
    <border>
      <left/>
      <right/>
      <top/>
      <bottom style="thin">
        <color auto="1"/>
      </bottom>
      <diagonal/>
    </border>
    <border>
      <left style="double">
        <color auto="1"/>
      </left>
      <right/>
      <top/>
      <bottom/>
      <diagonal/>
    </border>
    <border>
      <left/>
      <right style="double">
        <color auto="1"/>
      </right>
      <top/>
      <bottom/>
      <diagonal/>
    </border>
    <border>
      <left/>
      <right/>
      <top style="thin">
        <color auto="1"/>
      </top>
      <bottom style="thin">
        <color auto="1"/>
      </bottom>
      <diagonal/>
    </border>
    <border>
      <left/>
      <right style="double">
        <color auto="1"/>
      </right>
      <top/>
      <bottom style="thin">
        <color auto="1"/>
      </bottom>
      <diagonal/>
    </border>
    <border>
      <left/>
      <right style="double">
        <color auto="1"/>
      </right>
      <top style="thin">
        <color auto="1"/>
      </top>
      <bottom style="thin">
        <color auto="1"/>
      </bottom>
      <diagonal/>
    </border>
    <border>
      <left/>
      <right/>
      <top/>
      <bottom style="double">
        <color auto="1"/>
      </bottom>
      <diagonal/>
    </border>
    <border>
      <left style="double">
        <color auto="1"/>
      </left>
      <right/>
      <top/>
      <bottom style="double">
        <color auto="1"/>
      </bottom>
      <diagonal/>
    </border>
    <border>
      <left/>
      <right style="double">
        <color auto="1"/>
      </right>
      <top/>
      <bottom style="double">
        <color auto="1"/>
      </bottom>
      <diagonal/>
    </border>
    <border>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top style="hair">
        <color auto="1"/>
      </top>
      <bottom style="thin">
        <color auto="1"/>
      </bottom>
      <diagonal/>
    </border>
    <border>
      <left/>
      <right/>
      <top style="thin">
        <color auto="1"/>
      </top>
      <bottom/>
      <diagonal/>
    </border>
    <border>
      <left/>
      <right/>
      <top style="thin">
        <color auto="1"/>
      </top>
      <bottom style="double">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top style="hair">
        <color auto="1"/>
      </top>
      <bottom style="thin">
        <color auto="1"/>
      </bottom>
      <diagonal/>
    </border>
    <border>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top style="thin">
        <color auto="1"/>
      </top>
      <bottom style="thin">
        <color auto="1"/>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style="hair">
        <color auto="1"/>
      </top>
      <bottom/>
      <diagonal/>
    </border>
    <border>
      <left/>
      <right/>
      <top style="thin">
        <color auto="1"/>
      </top>
      <bottom style="hair">
        <color auto="1"/>
      </bottom>
      <diagonal/>
    </border>
    <border>
      <left/>
      <right/>
      <top/>
      <bottom style="hair">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medium">
        <color auto="1"/>
      </top>
      <bottom style="thin">
        <color auto="1"/>
      </bottom>
      <diagonal/>
    </border>
    <border>
      <left/>
      <right/>
      <top style="hair">
        <color auto="1"/>
      </top>
      <bottom/>
      <diagonal/>
    </border>
    <border>
      <left/>
      <right/>
      <top style="hair">
        <color auto="1"/>
      </top>
      <bottom style="medium">
        <color auto="1"/>
      </bottom>
      <diagonal/>
    </border>
    <border>
      <left/>
      <right style="hair">
        <color auto="1"/>
      </right>
      <top style="thin">
        <color auto="1"/>
      </top>
      <bottom/>
      <diagonal/>
    </border>
    <border>
      <left style="hair">
        <color auto="1"/>
      </left>
      <right style="hair">
        <color auto="1"/>
      </right>
      <top style="thin">
        <color auto="1"/>
      </top>
      <bottom/>
      <diagonal/>
    </border>
    <border>
      <left/>
      <right style="hair">
        <color auto="1"/>
      </right>
      <top/>
      <bottom/>
      <diagonal/>
    </border>
    <border>
      <left style="hair">
        <color auto="1"/>
      </left>
      <right style="hair">
        <color auto="1"/>
      </right>
      <top/>
      <bottom/>
      <diagonal/>
    </border>
    <border>
      <left/>
      <right style="hair">
        <color auto="1"/>
      </right>
      <top/>
      <bottom style="thin">
        <color auto="1"/>
      </bottom>
      <diagonal/>
    </border>
    <border>
      <left style="hair">
        <color auto="1"/>
      </left>
      <right style="hair">
        <color auto="1"/>
      </right>
      <top/>
      <bottom style="thin">
        <color auto="1"/>
      </bottom>
      <diagonal/>
    </border>
    <border>
      <left style="hair">
        <color auto="1"/>
      </left>
      <right/>
      <top style="thin">
        <color auto="1"/>
      </top>
      <bottom/>
      <diagonal/>
    </border>
    <border>
      <left style="hair">
        <color auto="1"/>
      </left>
      <right/>
      <top/>
      <bottom/>
      <diagonal/>
    </border>
    <border>
      <left style="hair">
        <color auto="1"/>
      </left>
      <right/>
      <top/>
      <bottom style="thin">
        <color auto="1"/>
      </bottom>
      <diagonal/>
    </border>
    <border>
      <left style="hair">
        <color auto="1"/>
      </left>
      <right/>
      <top/>
      <bottom style="hair">
        <color auto="1"/>
      </bottom>
      <diagonal/>
    </border>
    <border>
      <left style="hair">
        <color auto="1"/>
      </left>
      <right style="hair">
        <color auto="1"/>
      </right>
      <top style="hair">
        <color auto="1"/>
      </top>
      <bottom/>
      <diagonal/>
    </border>
    <border>
      <left style="hair">
        <color auto="1"/>
      </left>
      <right style="hair">
        <color auto="1"/>
      </right>
      <top style="thin">
        <color auto="1"/>
      </top>
      <bottom style="double">
        <color auto="1"/>
      </bottom>
      <diagonal/>
    </border>
    <border>
      <left/>
      <right style="hair">
        <color auto="1"/>
      </right>
      <top style="hair">
        <color auto="1"/>
      </top>
      <bottom/>
      <diagonal/>
    </border>
    <border>
      <left style="hair">
        <color auto="1"/>
      </left>
      <right/>
      <top style="thin">
        <color auto="1"/>
      </top>
      <bottom style="double">
        <color auto="1"/>
      </bottom>
      <diagonal/>
    </border>
    <border>
      <left/>
      <right style="thin">
        <color indexed="45"/>
      </right>
      <top/>
      <bottom/>
      <diagonal/>
    </border>
    <border>
      <left/>
      <right style="thin">
        <color rgb="FF7E7D68"/>
      </right>
      <top style="medium">
        <color rgb="FF7E7D68"/>
      </top>
      <bottom style="thin">
        <color rgb="FF7E7D68"/>
      </bottom>
      <diagonal/>
    </border>
    <border>
      <left style="thin">
        <color rgb="FF7E7D68"/>
      </left>
      <right style="thin">
        <color rgb="FF7E7D68"/>
      </right>
      <top style="medium">
        <color rgb="FF7E7D68"/>
      </top>
      <bottom style="thin">
        <color rgb="FF7E7D68"/>
      </bottom>
      <diagonal/>
    </border>
    <border>
      <left/>
      <right style="thin">
        <color rgb="FF7E7D68"/>
      </right>
      <top style="thin">
        <color rgb="FF7E7D68"/>
      </top>
      <bottom style="thin">
        <color rgb="FF7E7D68"/>
      </bottom>
      <diagonal/>
    </border>
    <border>
      <left style="thin">
        <color rgb="FF7E7D68"/>
      </left>
      <right style="thin">
        <color rgb="FF7E7D68"/>
      </right>
      <top style="thin">
        <color rgb="FF7E7D68"/>
      </top>
      <bottom style="thin">
        <color rgb="FF7E7D68"/>
      </bottom>
      <diagonal/>
    </border>
    <border>
      <left/>
      <right style="thin">
        <color rgb="FF7E7D68"/>
      </right>
      <top style="thin">
        <color rgb="FF7E7D68"/>
      </top>
      <bottom style="medium">
        <color rgb="FF7E7D68"/>
      </bottom>
      <diagonal/>
    </border>
    <border>
      <left style="thin">
        <color rgb="FF7E7D68"/>
      </left>
      <right style="thin">
        <color rgb="FF7E7D68"/>
      </right>
      <top style="thin">
        <color rgb="FF7E7D68"/>
      </top>
      <bottom style="medium">
        <color rgb="FF7E7D68"/>
      </bottom>
      <diagonal/>
    </border>
    <border>
      <left style="medium">
        <color indexed="54"/>
      </left>
      <right/>
      <top/>
      <bottom style="medium">
        <color indexed="54"/>
      </bottom>
      <diagonal/>
    </border>
    <border>
      <left/>
      <right/>
      <top style="thin">
        <color rgb="FF4F4A76"/>
      </top>
      <bottom style="double">
        <color rgb="FF4F4A76"/>
      </bottom>
      <diagonal/>
    </border>
    <border>
      <left/>
      <right style="double">
        <color auto="1"/>
      </right>
      <top style="thin">
        <color auto="1"/>
      </top>
      <bottom style="double">
        <color auto="1"/>
      </bottom>
      <diagonal/>
    </border>
    <border>
      <left style="thin">
        <color rgb="FF7E7D68"/>
      </left>
      <right/>
      <top style="medium">
        <color rgb="FF7E7D68"/>
      </top>
      <bottom style="thin">
        <color rgb="FF7E7D68"/>
      </bottom>
      <diagonal/>
    </border>
    <border>
      <left style="thin">
        <color rgb="FF7E7D68"/>
      </left>
      <right/>
      <top style="thin">
        <color rgb="FF7E7D68"/>
      </top>
      <bottom style="thin">
        <color rgb="FF7E7D68"/>
      </bottom>
      <diagonal/>
    </border>
    <border>
      <left style="thin">
        <color rgb="FF7E7D68"/>
      </left>
      <right/>
      <top style="thin">
        <color rgb="FF7E7D68"/>
      </top>
      <bottom style="medium">
        <color rgb="FF7E7D68"/>
      </bottom>
      <diagonal/>
    </border>
    <border>
      <left style="medium">
        <color indexed="54"/>
      </left>
      <right style="medium">
        <color indexed="54"/>
      </right>
      <top/>
      <bottom style="medium">
        <color indexed="54"/>
      </bottom>
      <diagonal/>
    </border>
    <border>
      <left style="slantDashDot">
        <color rgb="FF7E7D68"/>
      </left>
      <right/>
      <top/>
      <bottom/>
      <diagonal/>
    </border>
    <border>
      <left/>
      <right style="thin">
        <color indexed="54"/>
      </right>
      <top style="medium">
        <color indexed="54"/>
      </top>
      <bottom style="thin">
        <color indexed="54"/>
      </bottom>
      <diagonal/>
    </border>
    <border>
      <left style="thin">
        <color indexed="54"/>
      </left>
      <right style="thin">
        <color indexed="54"/>
      </right>
      <top style="medium">
        <color indexed="54"/>
      </top>
      <bottom style="thin">
        <color indexed="54"/>
      </bottom>
      <diagonal/>
    </border>
    <border>
      <left/>
      <right style="thin">
        <color indexed="54"/>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54"/>
      </left>
      <right/>
      <top style="medium">
        <color indexed="54"/>
      </top>
      <bottom style="thin">
        <color indexed="54"/>
      </bottom>
      <diagonal/>
    </border>
    <border>
      <left style="thin">
        <color indexed="54"/>
      </left>
      <right/>
      <top style="thin">
        <color indexed="54"/>
      </top>
      <bottom style="thin">
        <color indexed="54"/>
      </bottom>
      <diagonal/>
    </border>
    <border>
      <left/>
      <right style="thin">
        <color indexed="54"/>
      </right>
      <top style="thin">
        <color indexed="54"/>
      </top>
      <bottom style="medium">
        <color indexed="54"/>
      </bottom>
      <diagonal/>
    </border>
    <border>
      <left style="thin">
        <color indexed="54"/>
      </left>
      <right style="thin">
        <color indexed="54"/>
      </right>
      <top style="thin">
        <color indexed="54"/>
      </top>
      <bottom style="medium">
        <color indexed="54"/>
      </bottom>
      <diagonal/>
    </border>
    <border>
      <left/>
      <right style="thin">
        <color rgb="FF7E7D68"/>
      </right>
      <top style="medium">
        <color rgb="FF7E7D68"/>
      </top>
      <bottom/>
      <diagonal/>
    </border>
    <border>
      <left/>
      <right style="thin">
        <color rgb="FF7E7D68"/>
      </right>
      <top/>
      <bottom style="thin">
        <color rgb="FF7E7D68"/>
      </bottom>
      <diagonal/>
    </border>
    <border>
      <left style="thin">
        <color indexed="54"/>
      </left>
      <right/>
      <top style="thin">
        <color indexed="54"/>
      </top>
      <bottom style="medium">
        <color indexed="54"/>
      </bottom>
      <diagonal/>
    </border>
    <border>
      <left/>
      <right style="slantDashDot">
        <color rgb="FF7E7D68"/>
      </right>
      <top/>
      <bottom/>
      <diagonal/>
    </border>
    <border>
      <left/>
      <right/>
      <top style="double">
        <color rgb="FF4F4A76"/>
      </top>
      <bottom style="thin">
        <color rgb="FF4F4A76"/>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54"/>
      </right>
      <top style="medium">
        <color indexed="54"/>
      </top>
      <bottom/>
      <diagonal/>
    </border>
    <border>
      <left/>
      <right style="thin">
        <color indexed="54"/>
      </right>
      <top/>
      <bottom style="thin">
        <color indexed="54"/>
      </bottom>
      <diagonal/>
    </border>
    <border>
      <left style="thin">
        <color rgb="FF7E7D68"/>
      </left>
      <right style="thin">
        <color rgb="FF7E7D68"/>
      </right>
      <top style="medium">
        <color rgb="FF7E7D68"/>
      </top>
      <bottom/>
      <diagonal/>
    </border>
    <border>
      <left style="thin">
        <color rgb="FF7E7D68"/>
      </left>
      <right style="thin">
        <color rgb="FF7E7D68"/>
      </right>
      <top/>
      <bottom style="thin">
        <color rgb="FF7E7D68"/>
      </bottom>
      <diagonal/>
    </border>
    <border>
      <left style="thin">
        <color indexed="54"/>
      </left>
      <right style="thin">
        <color indexed="54"/>
      </right>
      <top style="thin">
        <color indexed="54"/>
      </top>
      <bottom/>
      <diagonal/>
    </border>
    <border>
      <left style="thin">
        <color indexed="54"/>
      </left>
      <right/>
      <top style="thin">
        <color indexed="54"/>
      </top>
      <bottom/>
      <diagonal/>
    </border>
    <border>
      <left/>
      <right style="thin">
        <color indexed="54"/>
      </right>
      <top style="thin">
        <color indexed="54"/>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slantDashDot">
        <color indexed="54"/>
      </top>
      <bottom/>
      <diagonal/>
    </border>
    <border>
      <left/>
      <right style="thin">
        <color auto="1"/>
      </right>
      <top style="double">
        <color auto="1"/>
      </top>
      <bottom style="thin">
        <color auto="1"/>
      </bottom>
      <diagonal/>
    </border>
    <border>
      <left/>
      <right style="thin">
        <color auto="1"/>
      </right>
      <top/>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thin">
        <color auto="1"/>
      </left>
      <right/>
      <top style="thin">
        <color auto="1"/>
      </top>
      <bottom style="double">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double">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double">
        <color auto="1"/>
      </bottom>
      <diagonal/>
    </border>
    <border>
      <left style="medium">
        <color indexed="60"/>
      </left>
      <right/>
      <top/>
      <bottom/>
      <diagonal/>
    </border>
    <border>
      <left style="medium">
        <color indexed="60"/>
      </left>
      <right style="thin">
        <color indexed="51"/>
      </right>
      <top style="thin">
        <color indexed="60"/>
      </top>
      <bottom/>
      <diagonal/>
    </border>
    <border>
      <left style="thin">
        <color indexed="51"/>
      </left>
      <right/>
      <top style="thin">
        <color indexed="60"/>
      </top>
      <bottom style="thin">
        <color indexed="51"/>
      </bottom>
      <diagonal/>
    </border>
    <border>
      <left/>
      <right/>
      <top style="thin">
        <color indexed="60"/>
      </top>
      <bottom style="thin">
        <color indexed="51"/>
      </bottom>
      <diagonal/>
    </border>
    <border>
      <left style="medium">
        <color indexed="60"/>
      </left>
      <right style="thin">
        <color indexed="51"/>
      </right>
      <top/>
      <bottom/>
      <diagonal/>
    </border>
    <border>
      <left style="thin">
        <color indexed="51"/>
      </left>
      <right style="thin">
        <color indexed="51"/>
      </right>
      <top style="thin">
        <color indexed="51"/>
      </top>
      <bottom style="thin">
        <color indexed="51"/>
      </bottom>
      <diagonal/>
    </border>
    <border>
      <left style="medium">
        <color indexed="60"/>
      </left>
      <right style="thin">
        <color indexed="60"/>
      </right>
      <top/>
      <bottom/>
      <diagonal/>
    </border>
    <border>
      <left style="thin">
        <color indexed="60"/>
      </left>
      <right style="thin">
        <color indexed="60"/>
      </right>
      <top/>
      <bottom/>
      <diagonal/>
    </border>
    <border>
      <left style="thin">
        <color indexed="60"/>
      </left>
      <right style="thin">
        <color indexed="60"/>
      </right>
      <top style="thin">
        <color indexed="60"/>
      </top>
      <bottom style="double">
        <color indexed="60"/>
      </bottom>
      <diagonal/>
    </border>
    <border>
      <left style="medium">
        <color indexed="60"/>
      </left>
      <right style="thin">
        <color indexed="60"/>
      </right>
      <top/>
      <bottom style="medium">
        <color indexed="60"/>
      </bottom>
      <diagonal/>
    </border>
    <border>
      <left style="thin">
        <color indexed="60"/>
      </left>
      <right style="thin">
        <color indexed="60"/>
      </right>
      <top/>
      <bottom style="medium">
        <color indexed="60"/>
      </bottom>
      <diagonal/>
    </border>
    <border>
      <left/>
      <right style="thin">
        <color indexed="45"/>
      </right>
      <top style="thin">
        <color indexed="60"/>
      </top>
      <bottom style="thin">
        <color indexed="51"/>
      </bottom>
      <diagonal/>
    </border>
    <border>
      <left style="thin">
        <color indexed="51"/>
      </left>
      <right style="thin">
        <color indexed="45"/>
      </right>
      <top/>
      <bottom style="thin">
        <color indexed="51"/>
      </bottom>
      <diagonal/>
    </border>
    <border>
      <left style="thin">
        <color indexed="60"/>
      </left>
      <right style="thin">
        <color indexed="45"/>
      </right>
      <top style="thin">
        <color indexed="51"/>
      </top>
      <bottom/>
      <diagonal/>
    </border>
    <border>
      <left style="thin">
        <color indexed="60"/>
      </left>
      <right style="thin">
        <color indexed="45"/>
      </right>
      <top/>
      <bottom/>
      <diagonal/>
    </border>
    <border>
      <left style="thin">
        <color indexed="60"/>
      </left>
      <right style="thin">
        <color indexed="45"/>
      </right>
      <top style="thin">
        <color indexed="60"/>
      </top>
      <bottom style="double">
        <color indexed="60"/>
      </bottom>
      <diagonal/>
    </border>
    <border>
      <left style="thin">
        <color indexed="60"/>
      </left>
      <right style="thin">
        <color indexed="45"/>
      </right>
      <top/>
      <bottom style="medium">
        <color indexed="60"/>
      </bottom>
      <diagonal/>
    </border>
    <border>
      <left/>
      <right style="thin">
        <color indexed="60"/>
      </right>
      <top/>
      <bottom/>
      <diagonal/>
    </border>
    <border>
      <left/>
      <right style="thin">
        <color indexed="60"/>
      </right>
      <top style="thin">
        <color indexed="60"/>
      </top>
      <bottom style="double">
        <color indexed="60"/>
      </bottom>
      <diagonal/>
    </border>
    <border>
      <left/>
      <right style="thin">
        <color indexed="51"/>
      </right>
      <top style="thin">
        <color indexed="51"/>
      </top>
      <bottom style="thin">
        <color indexed="51"/>
      </bottom>
      <diagonal/>
    </border>
    <border>
      <left/>
      <right style="thin">
        <color indexed="60"/>
      </right>
      <top/>
      <bottom style="medium">
        <color indexed="60"/>
      </bottom>
      <diagonal/>
    </border>
    <border>
      <left style="thin">
        <color indexed="60"/>
      </left>
      <right style="medium">
        <color indexed="60"/>
      </right>
      <top/>
      <bottom/>
      <diagonal/>
    </border>
    <border>
      <left style="thin">
        <color indexed="60"/>
      </left>
      <right style="medium">
        <color indexed="60"/>
      </right>
      <top style="thin">
        <color indexed="60"/>
      </top>
      <bottom style="double">
        <color indexed="60"/>
      </bottom>
      <diagonal/>
    </border>
    <border>
      <left/>
      <right style="medium">
        <color indexed="60"/>
      </right>
      <top style="thin">
        <color indexed="60"/>
      </top>
      <bottom style="thin">
        <color indexed="51"/>
      </bottom>
      <diagonal/>
    </border>
    <border>
      <left/>
      <right style="medium">
        <color indexed="60"/>
      </right>
      <top/>
      <bottom style="thin">
        <color indexed="51"/>
      </bottom>
      <diagonal/>
    </border>
    <border>
      <left style="thin">
        <color indexed="60"/>
      </left>
      <right style="medium">
        <color indexed="60"/>
      </right>
      <top/>
      <bottom style="medium">
        <color indexed="60"/>
      </bottom>
      <diagonal/>
    </border>
    <border>
      <left style="medium">
        <color indexed="60"/>
      </left>
      <right/>
      <top style="medium">
        <color indexed="60"/>
      </top>
      <bottom/>
      <diagonal/>
    </border>
    <border>
      <left/>
      <right style="thin">
        <color indexed="51"/>
      </right>
      <top style="medium">
        <color indexed="60"/>
      </top>
      <bottom/>
      <diagonal/>
    </border>
    <border>
      <left style="thin">
        <color indexed="51"/>
      </left>
      <right style="thin">
        <color indexed="51"/>
      </right>
      <top style="medium">
        <color indexed="60"/>
      </top>
      <bottom/>
      <diagonal/>
    </border>
    <border>
      <left style="thin">
        <color indexed="51"/>
      </left>
      <right style="medium">
        <color indexed="60"/>
      </right>
      <top style="medium">
        <color indexed="60"/>
      </top>
      <bottom/>
      <diagonal/>
    </border>
    <border>
      <left style="medium">
        <color indexed="60"/>
      </left>
      <right/>
      <top style="thin">
        <color indexed="51"/>
      </top>
      <bottom style="thin">
        <color indexed="51"/>
      </bottom>
      <diagonal/>
    </border>
    <border>
      <left style="thin">
        <color indexed="51"/>
      </left>
      <right style="medium">
        <color indexed="60"/>
      </right>
      <top style="thin">
        <color indexed="51"/>
      </top>
      <bottom style="thin">
        <color indexed="51"/>
      </bottom>
      <diagonal/>
    </border>
    <border>
      <left style="medium">
        <color indexed="60"/>
      </left>
      <right/>
      <top style="thin">
        <color indexed="51"/>
      </top>
      <bottom style="medium">
        <color indexed="60"/>
      </bottom>
      <diagonal/>
    </border>
    <border>
      <left/>
      <right style="thin">
        <color indexed="51"/>
      </right>
      <top style="thin">
        <color indexed="51"/>
      </top>
      <bottom style="medium">
        <color indexed="60"/>
      </bottom>
      <diagonal/>
    </border>
    <border>
      <left style="thin">
        <color indexed="51"/>
      </left>
      <right style="thin">
        <color indexed="51"/>
      </right>
      <top style="thin">
        <color indexed="51"/>
      </top>
      <bottom style="medium">
        <color indexed="60"/>
      </bottom>
      <diagonal/>
    </border>
    <border>
      <left style="thin">
        <color indexed="51"/>
      </left>
      <right style="medium">
        <color indexed="60"/>
      </right>
      <top style="thin">
        <color indexed="51"/>
      </top>
      <bottom style="medium">
        <color indexed="60"/>
      </bottom>
      <diagonal/>
    </border>
    <border>
      <left/>
      <right/>
      <top style="medium">
        <color indexed="60"/>
      </top>
      <bottom/>
      <diagonal/>
    </border>
    <border>
      <left/>
      <right style="thin">
        <color indexed="60"/>
      </right>
      <top style="medium">
        <color indexed="60"/>
      </top>
      <bottom/>
      <diagonal/>
    </border>
    <border>
      <left style="thin">
        <color indexed="60"/>
      </left>
      <right style="medium">
        <color indexed="60"/>
      </right>
      <top style="medium">
        <color indexed="60"/>
      </top>
      <bottom/>
      <diagonal/>
    </border>
    <border>
      <left style="medium">
        <color indexed="60"/>
      </left>
      <right/>
      <top/>
      <bottom style="thin">
        <color indexed="60"/>
      </bottom>
      <diagonal/>
    </border>
    <border>
      <left/>
      <right/>
      <top/>
      <bottom style="thin">
        <color indexed="60"/>
      </bottom>
      <diagonal/>
    </border>
    <border>
      <left/>
      <right style="thin">
        <color indexed="60"/>
      </right>
      <top/>
      <bottom style="thin">
        <color indexed="60"/>
      </bottom>
      <diagonal/>
    </border>
    <border>
      <left style="thin">
        <color indexed="60"/>
      </left>
      <right style="medium">
        <color indexed="60"/>
      </right>
      <top/>
      <bottom style="thin">
        <color indexed="60"/>
      </bottom>
      <diagonal/>
    </border>
    <border>
      <left style="medium">
        <color indexed="60"/>
      </left>
      <right/>
      <top/>
      <bottom style="medium">
        <color indexed="60"/>
      </bottom>
      <diagonal/>
    </border>
    <border>
      <left/>
      <right/>
      <top/>
      <bottom style="medium">
        <color indexed="60"/>
      </bottom>
      <diagonal/>
    </border>
    <border>
      <left style="thin">
        <color indexed="60"/>
      </left>
      <right/>
      <top/>
      <bottom/>
      <diagonal/>
    </border>
    <border>
      <left style="thin">
        <color indexed="60"/>
      </left>
      <right/>
      <top/>
      <bottom style="medium">
        <color indexed="60"/>
      </bottom>
      <diagonal/>
    </border>
    <border>
      <left/>
      <right/>
      <top/>
      <bottom style="double">
        <color indexed="62"/>
      </bottom>
      <diagonal/>
    </border>
    <border>
      <left/>
      <right style="double">
        <color auto="1"/>
      </right>
      <top/>
      <bottom style="double">
        <color indexed="62"/>
      </bottom>
      <diagonal/>
    </border>
    <border>
      <left style="thin">
        <color indexed="62"/>
      </left>
      <right style="thin">
        <color indexed="62"/>
      </right>
      <top style="double">
        <color indexed="62"/>
      </top>
      <bottom/>
      <diagonal/>
    </border>
    <border>
      <left style="thin">
        <color indexed="62"/>
      </left>
      <right/>
      <top style="double">
        <color indexed="62"/>
      </top>
      <bottom style="thin">
        <color indexed="62"/>
      </bottom>
      <diagonal/>
    </border>
    <border>
      <left/>
      <right/>
      <top style="double">
        <color indexed="62"/>
      </top>
      <bottom style="thin">
        <color indexed="62"/>
      </bottom>
      <diagonal/>
    </border>
    <border>
      <left style="thin">
        <color indexed="62"/>
      </left>
      <right style="thin">
        <color indexed="62"/>
      </right>
      <top/>
      <bottom/>
      <diagonal/>
    </border>
    <border>
      <left style="thin">
        <color indexed="62"/>
      </left>
      <right style="thin">
        <color indexed="62"/>
      </right>
      <top style="thin">
        <color indexed="62"/>
      </top>
      <bottom/>
      <diagonal/>
    </border>
    <border>
      <left style="thin">
        <color indexed="51"/>
      </left>
      <right style="thin">
        <color indexed="51"/>
      </right>
      <top style="thin">
        <color indexed="54"/>
      </top>
      <bottom style="thin">
        <color indexed="51"/>
      </bottom>
      <diagonal/>
    </border>
    <border>
      <left/>
      <right style="double">
        <color auto="1"/>
      </right>
      <top/>
      <bottom style="double">
        <color indexed="51"/>
      </bottom>
      <diagonal/>
    </border>
    <border>
      <left/>
      <right style="thin">
        <color indexed="45"/>
      </right>
      <top style="double">
        <color indexed="62"/>
      </top>
      <bottom style="thin">
        <color indexed="62"/>
      </bottom>
      <diagonal/>
    </border>
    <border>
      <left/>
      <right/>
      <top style="double">
        <color indexed="51"/>
      </top>
      <bottom style="thin">
        <color indexed="51"/>
      </bottom>
      <diagonal/>
    </border>
    <border>
      <left/>
      <right style="thin">
        <color indexed="51"/>
      </right>
      <top style="double">
        <color indexed="51"/>
      </top>
      <bottom style="thin">
        <color indexed="51"/>
      </bottom>
      <diagonal/>
    </border>
    <border>
      <left style="thin">
        <color indexed="62"/>
      </left>
      <right style="thin">
        <color indexed="45"/>
      </right>
      <top style="thin">
        <color indexed="62"/>
      </top>
      <bottom/>
      <diagonal/>
    </border>
    <border>
      <left style="thin">
        <color indexed="51"/>
      </left>
      <right style="thin">
        <color indexed="45"/>
      </right>
      <top style="thin">
        <color indexed="51"/>
      </top>
      <bottom style="thin">
        <color indexed="51"/>
      </bottom>
      <diagonal/>
    </border>
    <border>
      <left style="medium">
        <color indexed="60"/>
      </left>
      <right style="thin">
        <color indexed="60"/>
      </right>
      <top style="medium">
        <color indexed="60"/>
      </top>
      <bottom/>
      <diagonal/>
    </border>
    <border>
      <left style="thin">
        <color indexed="62"/>
      </left>
      <right/>
      <top style="medium">
        <color indexed="60"/>
      </top>
      <bottom/>
      <diagonal/>
    </border>
    <border>
      <left/>
      <right/>
      <top style="thin">
        <color indexed="60"/>
      </top>
      <bottom style="double">
        <color indexed="60"/>
      </bottom>
      <diagonal/>
    </border>
    <border>
      <left/>
      <right style="thin">
        <color indexed="45"/>
      </right>
      <top style="medium">
        <color indexed="60"/>
      </top>
      <bottom/>
      <diagonal/>
    </border>
    <border>
      <left/>
      <right style="medium">
        <color indexed="60"/>
      </right>
      <top style="medium">
        <color indexed="60"/>
      </top>
      <bottom/>
      <diagonal/>
    </border>
    <border>
      <left style="thin">
        <color indexed="45"/>
      </left>
      <right/>
      <top/>
      <bottom/>
      <diagonal/>
    </border>
    <border>
      <left/>
      <right style="medium">
        <color indexed="60"/>
      </right>
      <top/>
      <bottom/>
      <diagonal/>
    </border>
    <border>
      <left/>
      <right style="thin">
        <color rgb="FFFF99CC"/>
      </right>
      <top/>
      <bottom/>
      <diagonal/>
    </border>
    <border>
      <left/>
      <right style="thin">
        <color rgb="FFFF99CC"/>
      </right>
      <top/>
      <bottom style="thin">
        <color indexed="60"/>
      </bottom>
      <diagonal/>
    </border>
    <border>
      <left/>
      <right style="medium">
        <color indexed="60"/>
      </right>
      <top/>
      <bottom style="thin">
        <color indexed="60"/>
      </bottom>
      <diagonal/>
    </border>
    <border>
      <left/>
      <right style="thin">
        <color rgb="FFFF99CC"/>
      </right>
      <top style="thin">
        <color indexed="60"/>
      </top>
      <bottom style="double">
        <color indexed="60"/>
      </bottom>
      <diagonal/>
    </border>
    <border>
      <left/>
      <right style="medium">
        <color indexed="60"/>
      </right>
      <top style="thin">
        <color indexed="60"/>
      </top>
      <bottom style="double">
        <color indexed="60"/>
      </bottom>
      <diagonal/>
    </border>
    <border>
      <left/>
      <right style="thin">
        <color rgb="FFFF99CC"/>
      </right>
      <top/>
      <bottom style="medium">
        <color indexed="60"/>
      </bottom>
      <diagonal/>
    </border>
    <border>
      <left/>
      <right style="medium">
        <color indexed="60"/>
      </right>
      <top/>
      <bottom style="medium">
        <color indexed="60"/>
      </bottom>
      <diagonal/>
    </border>
    <border>
      <left style="double">
        <color indexed="51"/>
      </left>
      <right style="thin">
        <color indexed="51"/>
      </right>
      <top style="double">
        <color indexed="51"/>
      </top>
      <bottom/>
      <diagonal/>
    </border>
    <border>
      <left style="thin">
        <color indexed="51"/>
      </left>
      <right/>
      <top style="double">
        <color indexed="51"/>
      </top>
      <bottom style="thin">
        <color indexed="51"/>
      </bottom>
      <diagonal/>
    </border>
    <border>
      <left style="double">
        <color indexed="51"/>
      </left>
      <right style="thin">
        <color indexed="51"/>
      </right>
      <top/>
      <bottom/>
      <diagonal/>
    </border>
    <border>
      <left style="thin">
        <color indexed="51"/>
      </left>
      <right/>
      <top style="thin">
        <color indexed="51"/>
      </top>
      <bottom style="thin">
        <color indexed="51"/>
      </bottom>
      <diagonal/>
    </border>
    <border>
      <left/>
      <right/>
      <top style="thin">
        <color indexed="51"/>
      </top>
      <bottom style="thin">
        <color indexed="51"/>
      </bottom>
      <diagonal/>
    </border>
    <border>
      <left style="double">
        <color indexed="51"/>
      </left>
      <right style="thin">
        <color indexed="51"/>
      </right>
      <top/>
      <bottom style="thin">
        <color indexed="51"/>
      </bottom>
      <diagonal/>
    </border>
    <border>
      <left style="double">
        <color indexed="51"/>
      </left>
      <right style="thin">
        <color indexed="51"/>
      </right>
      <top style="thin">
        <color indexed="51"/>
      </top>
      <bottom style="thin">
        <color indexed="51"/>
      </bottom>
      <diagonal/>
    </border>
    <border>
      <left style="double">
        <color indexed="51"/>
      </left>
      <right style="thin">
        <color indexed="51"/>
      </right>
      <top style="thin">
        <color indexed="51"/>
      </top>
      <bottom/>
      <diagonal/>
    </border>
    <border>
      <left style="thin">
        <color indexed="51"/>
      </left>
      <right style="thin">
        <color indexed="51"/>
      </right>
      <top style="thin">
        <color indexed="51"/>
      </top>
      <bottom/>
      <diagonal/>
    </border>
    <border>
      <left style="double">
        <color indexed="51"/>
      </left>
      <right style="thin">
        <color indexed="51"/>
      </right>
      <top style="thin">
        <color indexed="51"/>
      </top>
      <bottom style="double">
        <color indexed="51"/>
      </bottom>
      <diagonal/>
    </border>
    <border>
      <left style="thin">
        <color indexed="51"/>
      </left>
      <right style="thin">
        <color indexed="51"/>
      </right>
      <top style="thin">
        <color indexed="51"/>
      </top>
      <bottom style="double">
        <color indexed="51"/>
      </bottom>
      <diagonal/>
    </border>
    <border>
      <left style="thin">
        <color indexed="51"/>
      </left>
      <right style="thin">
        <color indexed="51"/>
      </right>
      <top/>
      <bottom style="thin">
        <color indexed="51"/>
      </bottom>
      <diagonal/>
    </border>
    <border>
      <left style="thin">
        <color indexed="51"/>
      </left>
      <right/>
      <top style="thin">
        <color indexed="51"/>
      </top>
      <bottom style="double">
        <color indexed="51"/>
      </bottom>
      <diagonal/>
    </border>
    <border>
      <left/>
      <right style="thin">
        <color indexed="45"/>
      </right>
      <top style="double">
        <color indexed="51"/>
      </top>
      <bottom style="thin">
        <color indexed="51"/>
      </bottom>
      <diagonal/>
    </border>
    <border>
      <left style="thin">
        <color indexed="51"/>
      </left>
      <right style="thin">
        <color indexed="45"/>
      </right>
      <top style="thin">
        <color indexed="51"/>
      </top>
      <bottom/>
      <diagonal/>
    </border>
    <border>
      <left style="thin">
        <color indexed="45"/>
      </left>
      <right/>
      <top style="thin">
        <color indexed="51"/>
      </top>
      <bottom style="thin">
        <color indexed="51"/>
      </bottom>
      <diagonal/>
    </border>
    <border>
      <left/>
      <right style="thin">
        <color indexed="51"/>
      </right>
      <top style="thin">
        <color indexed="51"/>
      </top>
      <bottom/>
      <diagonal/>
    </border>
    <border>
      <left style="thin">
        <color indexed="51"/>
      </left>
      <right style="thin">
        <color indexed="45"/>
      </right>
      <top style="thin">
        <color indexed="51"/>
      </top>
      <bottom style="double">
        <color indexed="51"/>
      </bottom>
      <diagonal/>
    </border>
    <border>
      <left/>
      <right style="double">
        <color indexed="51"/>
      </right>
      <top style="double">
        <color indexed="51"/>
      </top>
      <bottom style="thin">
        <color indexed="51"/>
      </bottom>
      <diagonal/>
    </border>
    <border>
      <left/>
      <right style="double">
        <color indexed="51"/>
      </right>
      <top style="thin">
        <color indexed="51"/>
      </top>
      <bottom/>
      <diagonal/>
    </border>
    <border>
      <left/>
      <right style="double">
        <color indexed="51"/>
      </right>
      <top/>
      <bottom style="thin">
        <color indexed="51"/>
      </bottom>
      <diagonal/>
    </border>
    <border>
      <left style="thin">
        <color indexed="51"/>
      </left>
      <right style="double">
        <color indexed="51"/>
      </right>
      <top style="thin">
        <color indexed="51"/>
      </top>
      <bottom style="thin">
        <color indexed="51"/>
      </bottom>
      <diagonal/>
    </border>
    <border>
      <left style="thin">
        <color indexed="51"/>
      </left>
      <right style="double">
        <color indexed="51"/>
      </right>
      <top style="thin">
        <color indexed="51"/>
      </top>
      <bottom/>
      <diagonal/>
    </border>
    <border>
      <left style="thin">
        <color indexed="51"/>
      </left>
      <right style="double">
        <color indexed="51"/>
      </right>
      <top style="thin">
        <color indexed="51"/>
      </top>
      <bottom style="double">
        <color indexed="51"/>
      </bottom>
      <diagonal/>
    </border>
    <border>
      <left style="double">
        <color indexed="51"/>
      </left>
      <right style="thin">
        <color indexed="51"/>
      </right>
      <top style="double">
        <color indexed="51"/>
      </top>
      <bottom style="thin">
        <color indexed="51"/>
      </bottom>
      <diagonal/>
    </border>
    <border>
      <left style="thin">
        <color indexed="51"/>
      </left>
      <right style="thin">
        <color indexed="51"/>
      </right>
      <top style="double">
        <color indexed="51"/>
      </top>
      <bottom style="thin">
        <color indexed="51"/>
      </bottom>
      <diagonal/>
    </border>
    <border>
      <left style="thin">
        <color indexed="51"/>
      </left>
      <right style="thin">
        <color indexed="45"/>
      </right>
      <top style="double">
        <color indexed="51"/>
      </top>
      <bottom style="thin">
        <color indexed="51"/>
      </bottom>
      <diagonal/>
    </border>
    <border>
      <left/>
      <right style="double">
        <color indexed="51"/>
      </right>
      <top style="thin">
        <color indexed="51"/>
      </top>
      <bottom style="thin">
        <color indexed="51"/>
      </bottom>
      <diagonal/>
    </border>
    <border>
      <left/>
      <right style="double">
        <color indexed="51"/>
      </right>
      <top style="thin">
        <color indexed="51"/>
      </top>
      <bottom style="double">
        <color indexed="51"/>
      </bottom>
      <diagonal/>
    </border>
    <border>
      <left style="thin">
        <color indexed="51"/>
      </left>
      <right style="double">
        <color indexed="51"/>
      </right>
      <top/>
      <bottom style="thin">
        <color indexed="51"/>
      </bottom>
      <diagonal/>
    </border>
    <border>
      <left style="thin">
        <color indexed="51"/>
      </left>
      <right/>
      <top/>
      <bottom style="thin">
        <color indexed="51"/>
      </bottom>
      <diagonal/>
    </border>
    <border>
      <left/>
      <right style="thin">
        <color indexed="51"/>
      </right>
      <top style="thin">
        <color indexed="51"/>
      </top>
      <bottom style="double">
        <color indexed="51"/>
      </bottom>
      <diagonal/>
    </border>
    <border>
      <left style="medium">
        <color indexed="60"/>
      </left>
      <right/>
      <top style="medium">
        <color indexed="60"/>
      </top>
      <bottom style="thin">
        <color indexed="51"/>
      </bottom>
      <diagonal/>
    </border>
    <border>
      <left/>
      <right style="thin">
        <color indexed="51"/>
      </right>
      <top style="medium">
        <color indexed="60"/>
      </top>
      <bottom style="thin">
        <color indexed="51"/>
      </bottom>
      <diagonal/>
    </border>
    <border>
      <left style="thin">
        <color indexed="51"/>
      </left>
      <right style="thin">
        <color indexed="51"/>
      </right>
      <top style="medium">
        <color indexed="60"/>
      </top>
      <bottom style="thin">
        <color indexed="51"/>
      </bottom>
      <diagonal/>
    </border>
    <border>
      <left style="thin">
        <color indexed="51"/>
      </left>
      <right style="medium">
        <color indexed="60"/>
      </right>
      <top style="medium">
        <color indexed="60"/>
      </top>
      <bottom style="thin">
        <color indexed="51"/>
      </bottom>
      <diagonal/>
    </border>
    <border>
      <left style="thin">
        <color indexed="51"/>
      </left>
      <right style="medium">
        <color indexed="60"/>
      </right>
      <top style="thin">
        <color indexed="51"/>
      </top>
      <bottom/>
      <diagonal/>
    </border>
    <border>
      <left style="thin">
        <color indexed="60"/>
      </left>
      <right style="medium">
        <color indexed="60"/>
      </right>
      <top style="thin">
        <color indexed="60"/>
      </top>
      <bottom style="medium">
        <color indexed="60"/>
      </bottom>
      <diagonal/>
    </border>
    <border>
      <left style="hair">
        <color auto="1"/>
      </left>
      <right style="thin">
        <color auto="1"/>
      </right>
      <top style="thin">
        <color auto="1"/>
      </top>
      <bottom style="hair">
        <color auto="1"/>
      </bottom>
      <diagonal/>
    </border>
    <border>
      <left style="thin">
        <color auto="1"/>
      </left>
      <right style="hair">
        <color auto="1"/>
      </right>
      <top style="thin">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style="thick">
        <color indexed="60"/>
      </left>
      <right/>
      <top style="thick">
        <color indexed="60"/>
      </top>
      <bottom/>
      <diagonal/>
    </border>
    <border>
      <left/>
      <right/>
      <top style="thick">
        <color indexed="60"/>
      </top>
      <bottom/>
      <diagonal/>
    </border>
    <border>
      <left style="thick">
        <color indexed="60"/>
      </left>
      <right/>
      <top/>
      <bottom/>
      <diagonal/>
    </border>
    <border>
      <left style="medium">
        <color indexed="48"/>
      </left>
      <right style="medium">
        <color indexed="48"/>
      </right>
      <top style="medium">
        <color indexed="48"/>
      </top>
      <bottom style="hair">
        <color indexed="48"/>
      </bottom>
      <diagonal/>
    </border>
    <border>
      <left style="medium">
        <color indexed="48"/>
      </left>
      <right style="hair">
        <color indexed="48"/>
      </right>
      <top style="medium">
        <color indexed="48"/>
      </top>
      <bottom style="hair">
        <color indexed="48"/>
      </bottom>
      <diagonal/>
    </border>
    <border>
      <left style="hair">
        <color indexed="48"/>
      </left>
      <right style="medium">
        <color indexed="48"/>
      </right>
      <top style="medium">
        <color indexed="48"/>
      </top>
      <bottom style="hair">
        <color indexed="48"/>
      </bottom>
      <diagonal/>
    </border>
    <border>
      <left style="medium">
        <color indexed="48"/>
      </left>
      <right style="medium">
        <color indexed="48"/>
      </right>
      <top style="hair">
        <color indexed="48"/>
      </top>
      <bottom style="hair">
        <color indexed="48"/>
      </bottom>
      <diagonal/>
    </border>
    <border>
      <left style="medium">
        <color indexed="48"/>
      </left>
      <right style="hair">
        <color indexed="48"/>
      </right>
      <top style="hair">
        <color indexed="48"/>
      </top>
      <bottom style="hair">
        <color indexed="48"/>
      </bottom>
      <diagonal/>
    </border>
    <border>
      <left style="hair">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medium">
        <color indexed="48"/>
      </bottom>
      <diagonal/>
    </border>
    <border>
      <left style="medium">
        <color indexed="48"/>
      </left>
      <right style="hair">
        <color indexed="48"/>
      </right>
      <top style="hair">
        <color indexed="48"/>
      </top>
      <bottom style="medium">
        <color indexed="48"/>
      </bottom>
      <diagonal/>
    </border>
    <border>
      <left style="hair">
        <color indexed="48"/>
      </left>
      <right style="medium">
        <color indexed="48"/>
      </right>
      <top style="hair">
        <color indexed="48"/>
      </top>
      <bottom style="medium">
        <color indexed="48"/>
      </bottom>
      <diagonal/>
    </border>
    <border>
      <left style="thick">
        <color indexed="60"/>
      </left>
      <right style="hair">
        <color indexed="60"/>
      </right>
      <top/>
      <bottom/>
      <diagonal/>
    </border>
    <border>
      <left style="hair">
        <color indexed="60"/>
      </left>
      <right style="hair">
        <color indexed="60"/>
      </right>
      <top/>
      <bottom/>
      <diagonal/>
    </border>
    <border>
      <left style="hair">
        <color indexed="60"/>
      </left>
      <right/>
      <top/>
      <bottom/>
      <diagonal/>
    </border>
    <border>
      <left/>
      <right style="hair">
        <color indexed="60"/>
      </right>
      <top/>
      <bottom/>
      <diagonal/>
    </border>
    <border>
      <left style="thick">
        <color indexed="60"/>
      </left>
      <right/>
      <top/>
      <bottom style="thick">
        <color indexed="60"/>
      </bottom>
      <diagonal/>
    </border>
    <border>
      <left/>
      <right/>
      <top/>
      <bottom style="thick">
        <color indexed="60"/>
      </bottom>
      <diagonal/>
    </border>
    <border>
      <left/>
      <right style="thick">
        <color indexed="60"/>
      </right>
      <top style="thick">
        <color indexed="60"/>
      </top>
      <bottom/>
      <diagonal/>
    </border>
    <border>
      <left/>
      <right style="thick">
        <color indexed="60"/>
      </right>
      <top/>
      <bottom/>
      <diagonal/>
    </border>
    <border>
      <left/>
      <right style="thick">
        <color indexed="60"/>
      </right>
      <top/>
      <bottom style="thick">
        <color indexed="60"/>
      </bottom>
      <diagonal/>
    </border>
    <border>
      <left/>
      <right/>
      <top style="double">
        <color rgb="FF888B8D"/>
      </top>
      <bottom style="thin">
        <color rgb="FF888B8D"/>
      </bottom>
      <diagonal/>
    </border>
    <border>
      <left/>
      <right/>
      <top style="thin">
        <color rgb="FF888B8D"/>
      </top>
      <bottom style="double">
        <color rgb="FF888B8D"/>
      </bottom>
      <diagonal/>
    </border>
    <border>
      <left/>
      <right/>
      <top style="double">
        <color rgb="FF888B8D"/>
      </top>
      <bottom/>
      <diagonal/>
    </border>
    <border>
      <left/>
      <right/>
      <top/>
      <bottom style="thin">
        <color rgb="FF888B8D"/>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7E7D68"/>
      </left>
      <right/>
      <top style="medium">
        <color rgb="FF7E7D68"/>
      </top>
      <bottom/>
      <diagonal/>
    </border>
    <border>
      <left style="thin">
        <color rgb="FF7E7D68"/>
      </left>
      <right/>
      <top/>
      <bottom style="thin">
        <color rgb="FF7E7D68"/>
      </bottom>
      <diagonal/>
    </border>
    <border>
      <left/>
      <right/>
      <top style="medium">
        <color rgb="FF7E7D68"/>
      </top>
      <bottom style="thin">
        <color rgb="FF7E7D68"/>
      </bottom>
      <diagonal/>
    </border>
    <border>
      <left style="thin">
        <color indexed="54"/>
      </left>
      <right/>
      <top style="medium">
        <color rgb="FF7E7D68"/>
      </top>
      <bottom style="thin">
        <color indexed="54"/>
      </bottom>
      <diagonal/>
    </border>
    <border>
      <left/>
      <right/>
      <top style="medium">
        <color rgb="FF7E7D68"/>
      </top>
      <bottom style="thin">
        <color indexed="54"/>
      </bottom>
      <diagonal/>
    </border>
    <border>
      <left/>
      <right style="thin">
        <color rgb="FF7E7D68"/>
      </right>
      <top style="medium">
        <color rgb="FF7E7D68"/>
      </top>
      <bottom style="thin">
        <color indexed="54"/>
      </bottom>
      <diagonal/>
    </border>
    <border>
      <left style="thin">
        <color rgb="FF7E7D68"/>
      </left>
      <right/>
      <top style="medium">
        <color rgb="FF7E7D68"/>
      </top>
      <bottom style="thin">
        <color indexed="54"/>
      </bottom>
      <diagonal/>
    </border>
    <border>
      <left style="thin">
        <color rgb="FF7E7D68"/>
      </left>
      <right style="thin">
        <color indexed="54"/>
      </right>
      <top style="medium">
        <color indexed="54"/>
      </top>
      <bottom/>
      <diagonal/>
    </border>
    <border>
      <left style="thin">
        <color rgb="FF7E7D68"/>
      </left>
      <right style="thin">
        <color indexed="54"/>
      </right>
      <top/>
      <bottom style="thin">
        <color indexed="54"/>
      </bottom>
      <diagonal/>
    </border>
    <border>
      <left style="thin">
        <color indexed="54"/>
      </left>
      <right style="thin">
        <color indexed="54"/>
      </right>
      <top style="medium">
        <color indexed="54"/>
      </top>
      <bottom/>
      <diagonal/>
    </border>
    <border>
      <left style="thin">
        <color indexed="54"/>
      </left>
      <right style="thin">
        <color indexed="54"/>
      </right>
      <top/>
      <bottom style="thin">
        <color indexed="54"/>
      </bottom>
      <diagonal/>
    </border>
    <border>
      <left/>
      <right/>
      <top/>
      <bottom style="thin">
        <color indexed="64"/>
      </bottom>
      <diagonal/>
    </border>
    <border>
      <left style="thin">
        <color rgb="FF7E7D68"/>
      </left>
      <right/>
      <top style="thin">
        <color rgb="FF7E7D68"/>
      </top>
      <bottom style="thin">
        <color indexed="54"/>
      </bottom>
      <diagonal/>
    </border>
    <border>
      <left style="thin">
        <color rgb="FF7E7D68"/>
      </left>
      <right/>
      <top style="thin">
        <color indexed="54"/>
      </top>
      <bottom style="thin">
        <color indexed="54"/>
      </bottom>
      <diagonal/>
    </border>
    <border>
      <left style="thin">
        <color rgb="FF7E7D68"/>
      </left>
      <right/>
      <top style="thin">
        <color indexed="54"/>
      </top>
      <bottom style="thin">
        <color rgb="FF7E7D68"/>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right/>
      <top/>
      <bottom style="thick">
        <color rgb="FF888B8D"/>
      </bottom>
      <diagonal/>
    </border>
    <border>
      <left style="thin">
        <color rgb="FF888B8D"/>
      </left>
      <right style="hair">
        <color rgb="FF888B8D"/>
      </right>
      <top style="thin">
        <color rgb="FF888B8D"/>
      </top>
      <bottom style="thin">
        <color rgb="FF888B8D"/>
      </bottom>
      <diagonal/>
    </border>
    <border>
      <left style="hair">
        <color rgb="FF888B8D"/>
      </left>
      <right style="hair">
        <color rgb="FF888B8D"/>
      </right>
      <top style="thin">
        <color rgb="FF888B8D"/>
      </top>
      <bottom style="thin">
        <color rgb="FF888B8D"/>
      </bottom>
      <diagonal/>
    </border>
    <border>
      <left style="hair">
        <color rgb="FF888B8D"/>
      </left>
      <right style="thin">
        <color rgb="FF888B8D"/>
      </right>
      <top style="thin">
        <color rgb="FF888B8D"/>
      </top>
      <bottom style="thin">
        <color rgb="FF888B8D"/>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thin">
        <color rgb="FF888B8D"/>
      </left>
      <right/>
      <top style="thin">
        <color rgb="FF888B8D"/>
      </top>
      <bottom/>
      <diagonal/>
    </border>
    <border>
      <left/>
      <right/>
      <top style="thin">
        <color rgb="FF888B8D"/>
      </top>
      <bottom/>
      <diagonal/>
    </border>
    <border>
      <left/>
      <right style="thin">
        <color rgb="FF888B8D"/>
      </right>
      <top style="thin">
        <color rgb="FF888B8D"/>
      </top>
      <bottom/>
      <diagonal/>
    </border>
    <border>
      <left style="thin">
        <color rgb="FF888B8D"/>
      </left>
      <right/>
      <top/>
      <bottom style="thin">
        <color rgb="FF888B8D"/>
      </bottom>
      <diagonal/>
    </border>
    <border>
      <left/>
      <right style="thin">
        <color rgb="FF888B8D"/>
      </right>
      <top/>
      <bottom style="thin">
        <color rgb="FF888B8D"/>
      </bottom>
      <diagonal/>
    </border>
    <border>
      <left style="thin">
        <color rgb="FF888B8D"/>
      </left>
      <right/>
      <top/>
      <bottom/>
      <diagonal/>
    </border>
    <border>
      <left/>
      <right style="thin">
        <color rgb="FF888B8D"/>
      </right>
      <top/>
      <bottom/>
      <diagonal/>
    </border>
    <border>
      <left/>
      <right/>
      <top style="thin">
        <color indexed="64"/>
      </top>
      <bottom style="hair">
        <color indexed="64"/>
      </bottom>
      <diagonal/>
    </border>
    <border>
      <left/>
      <right/>
      <top style="hair">
        <color indexed="64"/>
      </top>
      <bottom style="hair">
        <color indexed="64"/>
      </bottom>
      <diagonal/>
    </border>
    <border>
      <left/>
      <right style="hair">
        <color indexed="64"/>
      </right>
      <top/>
      <bottom/>
      <diagonal/>
    </border>
    <border>
      <left style="thin">
        <color indexed="51"/>
      </left>
      <right style="thin">
        <color indexed="45"/>
      </right>
      <top style="thin">
        <color indexed="51"/>
      </top>
      <bottom style="thin">
        <color indexed="51"/>
      </bottom>
      <diagonal/>
    </border>
    <border>
      <left style="thin">
        <color indexed="62"/>
      </left>
      <right style="thin">
        <color indexed="45"/>
      </right>
      <top style="thin">
        <color indexed="62"/>
      </top>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hair">
        <color auto="1"/>
      </bottom>
      <diagonal/>
    </border>
    <border>
      <left/>
      <right style="thin">
        <color rgb="FF888B8D"/>
      </right>
      <top style="medium">
        <color rgb="FF888B8D"/>
      </top>
      <bottom style="thin">
        <color rgb="FF888B8D"/>
      </bottom>
      <diagonal/>
    </border>
    <border>
      <left style="thin">
        <color rgb="FF888B8D"/>
      </left>
      <right style="thin">
        <color rgb="FF888B8D"/>
      </right>
      <top style="medium">
        <color rgb="FF888B8D"/>
      </top>
      <bottom style="thin">
        <color rgb="FF888B8D"/>
      </bottom>
      <diagonal/>
    </border>
    <border>
      <left style="thin">
        <color rgb="FF888B8D"/>
      </left>
      <right/>
      <top style="medium">
        <color rgb="FF888B8D"/>
      </top>
      <bottom style="thin">
        <color rgb="FF888B8D"/>
      </bottom>
      <diagonal/>
    </border>
    <border>
      <left/>
      <right style="thin">
        <color rgb="FF888B8D"/>
      </right>
      <top style="thin">
        <color rgb="FF888B8D"/>
      </top>
      <bottom style="thin">
        <color rgb="FF888B8D"/>
      </bottom>
      <diagonal/>
    </border>
    <border>
      <left style="thin">
        <color rgb="FF888B8D"/>
      </left>
      <right style="thin">
        <color rgb="FF888B8D"/>
      </right>
      <top style="thin">
        <color rgb="FF888B8D"/>
      </top>
      <bottom style="thin">
        <color rgb="FF888B8D"/>
      </bottom>
      <diagonal/>
    </border>
    <border>
      <left style="thin">
        <color rgb="FF888B8D"/>
      </left>
      <right/>
      <top style="thin">
        <color rgb="FF888B8D"/>
      </top>
      <bottom style="thin">
        <color rgb="FF888B8D"/>
      </bottom>
      <diagonal/>
    </border>
    <border>
      <left style="double">
        <color indexed="14"/>
      </left>
      <right style="thin">
        <color indexed="14"/>
      </right>
      <top style="double">
        <color indexed="14"/>
      </top>
      <bottom style="thin">
        <color indexed="14"/>
      </bottom>
      <diagonal/>
    </border>
    <border>
      <left style="thin">
        <color indexed="14"/>
      </left>
      <right style="thin">
        <color indexed="14"/>
      </right>
      <top style="double">
        <color indexed="14"/>
      </top>
      <bottom style="thin">
        <color indexed="14"/>
      </bottom>
      <diagonal/>
    </border>
    <border>
      <left style="thin">
        <color indexed="14"/>
      </left>
      <right/>
      <top style="double">
        <color indexed="14"/>
      </top>
      <bottom style="thin">
        <color indexed="14"/>
      </bottom>
      <diagonal/>
    </border>
    <border>
      <left style="thin">
        <color indexed="14"/>
      </left>
      <right style="double">
        <color indexed="14"/>
      </right>
      <top style="double">
        <color indexed="14"/>
      </top>
      <bottom style="thin">
        <color indexed="14"/>
      </bottom>
      <diagonal/>
    </border>
    <border>
      <left style="double">
        <color indexed="14"/>
      </left>
      <right style="thin">
        <color indexed="14"/>
      </right>
      <top/>
      <bottom style="thin">
        <color indexed="14"/>
      </bottom>
      <diagonal/>
    </border>
    <border>
      <left style="thin">
        <color indexed="14"/>
      </left>
      <right style="thin">
        <color indexed="14"/>
      </right>
      <top/>
      <bottom style="thin">
        <color indexed="14"/>
      </bottom>
      <diagonal/>
    </border>
    <border>
      <left style="thin">
        <color indexed="14"/>
      </left>
      <right/>
      <top/>
      <bottom style="thin">
        <color indexed="14"/>
      </bottom>
      <diagonal/>
    </border>
    <border>
      <left style="thin">
        <color indexed="14"/>
      </left>
      <right style="double">
        <color indexed="14"/>
      </right>
      <top/>
      <bottom style="thin">
        <color indexed="14"/>
      </bottom>
      <diagonal/>
    </border>
    <border>
      <left style="double">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style="thin">
        <color indexed="14"/>
      </left>
      <right/>
      <top style="thin">
        <color indexed="14"/>
      </top>
      <bottom style="thin">
        <color indexed="14"/>
      </bottom>
      <diagonal/>
    </border>
    <border>
      <left style="thin">
        <color indexed="14"/>
      </left>
      <right style="double">
        <color indexed="14"/>
      </right>
      <top style="thin">
        <color indexed="14"/>
      </top>
      <bottom style="thin">
        <color indexed="14"/>
      </bottom>
      <diagonal/>
    </border>
    <border>
      <left style="double">
        <color indexed="14"/>
      </left>
      <right style="thin">
        <color indexed="14"/>
      </right>
      <top style="thin">
        <color indexed="14"/>
      </top>
      <bottom/>
      <diagonal/>
    </border>
    <border>
      <left style="thin">
        <color indexed="14"/>
      </left>
      <right style="thin">
        <color indexed="14"/>
      </right>
      <top style="thin">
        <color indexed="14"/>
      </top>
      <bottom/>
      <diagonal/>
    </border>
    <border>
      <left style="thin">
        <color indexed="14"/>
      </left>
      <right/>
      <top style="thin">
        <color indexed="14"/>
      </top>
      <bottom/>
      <diagonal/>
    </border>
    <border>
      <left style="double">
        <color indexed="14"/>
      </left>
      <right style="thin">
        <color indexed="14"/>
      </right>
      <top style="thin">
        <color indexed="14"/>
      </top>
      <bottom style="double">
        <color indexed="14"/>
      </bottom>
      <diagonal/>
    </border>
    <border>
      <left style="thin">
        <color indexed="14"/>
      </left>
      <right style="thin">
        <color indexed="14"/>
      </right>
      <top style="thin">
        <color indexed="14"/>
      </top>
      <bottom style="double">
        <color indexed="14"/>
      </bottom>
      <diagonal/>
    </border>
    <border>
      <left style="thin">
        <color indexed="14"/>
      </left>
      <right/>
      <top style="thin">
        <color indexed="14"/>
      </top>
      <bottom style="double">
        <color indexed="14"/>
      </bottom>
      <diagonal/>
    </border>
    <border>
      <left style="thin">
        <color indexed="14"/>
      </left>
      <right style="double">
        <color indexed="14"/>
      </right>
      <top style="thin">
        <color indexed="14"/>
      </top>
      <bottom style="double">
        <color indexed="14"/>
      </bottom>
      <diagonal/>
    </border>
    <border>
      <left/>
      <right style="double">
        <color indexed="14"/>
      </right>
      <top style="double">
        <color indexed="14"/>
      </top>
      <bottom style="thin">
        <color indexed="14"/>
      </bottom>
      <diagonal/>
    </border>
    <border>
      <left/>
      <right style="double">
        <color indexed="14"/>
      </right>
      <top style="thin">
        <color indexed="14"/>
      </top>
      <bottom style="thin">
        <color indexed="14"/>
      </bottom>
      <diagonal/>
    </border>
    <border>
      <left/>
      <right style="double">
        <color indexed="14"/>
      </right>
      <top style="thin">
        <color indexed="14"/>
      </top>
      <bottom style="double">
        <color indexed="1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4"/>
      </bottom>
      <diagonal/>
    </border>
    <border>
      <left style="thin">
        <color indexed="14"/>
      </left>
      <right style="double">
        <color indexed="14"/>
      </right>
      <top style="thin">
        <color indexed="14"/>
      </top>
      <bottom style="thin">
        <color indexed="14"/>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14"/>
      </left>
      <right style="thin">
        <color indexed="14"/>
      </right>
      <top style="thin">
        <color indexed="14"/>
      </top>
      <bottom style="double">
        <color indexed="14"/>
      </bottom>
      <diagonal/>
    </border>
    <border>
      <left style="thin">
        <color indexed="14"/>
      </left>
      <right style="thin">
        <color indexed="14"/>
      </right>
      <top style="thin">
        <color indexed="14"/>
      </top>
      <bottom style="double">
        <color indexed="14"/>
      </bottom>
      <diagonal/>
    </border>
    <border>
      <left style="thin">
        <color indexed="14"/>
      </left>
      <right style="double">
        <color indexed="14"/>
      </right>
      <top style="thin">
        <color indexed="14"/>
      </top>
      <bottom style="double">
        <color indexed="14"/>
      </bottom>
      <diagonal/>
    </border>
    <border>
      <left/>
      <right style="thin">
        <color indexed="14"/>
      </right>
      <top/>
      <bottom style="thin">
        <color indexed="14"/>
      </bottom>
      <diagonal/>
    </border>
    <border>
      <left style="double">
        <color indexed="14"/>
      </left>
      <right style="thin">
        <color indexed="14"/>
      </right>
      <top/>
      <bottom/>
      <diagonal/>
    </border>
    <border>
      <left/>
      <right style="thin">
        <color indexed="14"/>
      </right>
      <top/>
      <bottom/>
      <diagonal/>
    </border>
  </borders>
  <cellStyleXfs count="157">
    <xf numFmtId="0" fontId="0" fillId="0" borderId="0">
      <alignment vertical="center"/>
    </xf>
    <xf numFmtId="0" fontId="2" fillId="0" borderId="0"/>
    <xf numFmtId="0" fontId="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68" fillId="0" borderId="0" applyNumberFormat="0" applyFill="0" applyBorder="0" applyAlignment="0" applyProtection="0">
      <alignment vertical="top"/>
      <protection locked="0"/>
    </xf>
    <xf numFmtId="0" fontId="1" fillId="0" borderId="0">
      <alignment vertical="center"/>
    </xf>
    <xf numFmtId="9" fontId="1" fillId="0" borderId="0" applyFont="0" applyFill="0" applyBorder="0" applyAlignment="0" applyProtection="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45" fillId="19" borderId="0" applyNumberFormat="0" applyBorder="0" applyAlignment="0" applyProtection="0">
      <alignment vertical="center"/>
    </xf>
    <xf numFmtId="0" fontId="145" fillId="19" borderId="0" applyNumberFormat="0" applyBorder="0" applyAlignment="0" applyProtection="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6" fontId="1" fillId="0" borderId="0" applyFont="0" applyFill="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1" fillId="0" borderId="0"/>
    <xf numFmtId="0" fontId="1" fillId="0" borderId="0"/>
    <xf numFmtId="0" fontId="1" fillId="0" borderId="0"/>
    <xf numFmtId="0" fontId="1"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6" fillId="3" borderId="0" applyNumberFormat="0" applyBorder="0" applyAlignment="0" applyProtection="0">
      <alignment vertical="center"/>
    </xf>
    <xf numFmtId="0" fontId="146" fillId="3" borderId="0" applyNumberFormat="0" applyBorder="0" applyAlignment="0" applyProtection="0">
      <alignment vertical="center"/>
    </xf>
    <xf numFmtId="0" fontId="132"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176"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43" fontId="1" fillId="0" borderId="0" applyFont="0" applyFill="0" applyBorder="0" applyAlignment="0" applyProtection="0">
      <alignment vertical="center"/>
    </xf>
    <xf numFmtId="0" fontId="133" fillId="0" borderId="0">
      <alignment vertical="center" shrinkToFit="1"/>
    </xf>
    <xf numFmtId="0" fontId="223" fillId="0" borderId="0">
      <alignment vertical="center"/>
    </xf>
    <xf numFmtId="0" fontId="225" fillId="0" borderId="0">
      <alignment vertical="center"/>
    </xf>
    <xf numFmtId="0" fontId="225" fillId="0" borderId="0">
      <alignment vertical="center"/>
    </xf>
    <xf numFmtId="0" fontId="239" fillId="0" borderId="0">
      <alignment vertical="top"/>
    </xf>
    <xf numFmtId="0" fontId="25" fillId="0" borderId="0"/>
    <xf numFmtId="43" fontId="102" fillId="0" borderId="0" applyFont="0" applyFill="0" applyBorder="0" applyAlignment="0" applyProtection="0">
      <alignment vertical="center"/>
    </xf>
    <xf numFmtId="0" fontId="249" fillId="0" borderId="0">
      <protection locked="0"/>
    </xf>
    <xf numFmtId="0" fontId="2" fillId="0" borderId="0"/>
    <xf numFmtId="0" fontId="2" fillId="0" borderId="0"/>
    <xf numFmtId="176" fontId="2" fillId="0" borderId="0" applyFont="0" applyFill="0" applyBorder="0" applyAlignment="0" applyProtection="0"/>
    <xf numFmtId="9" fontId="2" fillId="0" borderId="0" applyFont="0" applyFill="0" applyBorder="0" applyAlignment="0" applyProtection="0"/>
    <xf numFmtId="0" fontId="2" fillId="0" borderId="0">
      <alignment vertical="center"/>
    </xf>
    <xf numFmtId="0" fontId="2" fillId="0" borderId="0">
      <alignment vertical="center"/>
    </xf>
    <xf numFmtId="176" fontId="2" fillId="0" borderId="0" applyFont="0" applyFill="0" applyBorder="0" applyAlignment="0" applyProtection="0"/>
    <xf numFmtId="213" fontId="2" fillId="0" borderId="0"/>
    <xf numFmtId="176" fontId="2" fillId="0" borderId="0" applyFont="0" applyFill="0" applyBorder="0" applyAlignment="0" applyProtection="0"/>
    <xf numFmtId="213" fontId="2" fillId="0" borderId="0">
      <alignment vertical="center"/>
    </xf>
    <xf numFmtId="9" fontId="2" fillId="0" borderId="0" applyFont="0" applyFill="0" applyBorder="0" applyAlignment="0" applyProtection="0"/>
    <xf numFmtId="218" fontId="2" fillId="0" borderId="0"/>
    <xf numFmtId="182" fontId="2" fillId="0" borderId="0" applyFont="0" applyFill="0" applyBorder="0" applyAlignment="0" applyProtection="0"/>
    <xf numFmtId="182" fontId="1" fillId="0" borderId="0" applyFont="0" applyFill="0" applyBorder="0" applyAlignment="0" applyProtection="0">
      <alignment vertical="center"/>
    </xf>
    <xf numFmtId="218" fontId="2" fillId="0" borderId="0"/>
    <xf numFmtId="182" fontId="2" fillId="0" borderId="0" applyFont="0" applyFill="0" applyBorder="0" applyAlignment="0" applyProtection="0"/>
    <xf numFmtId="178" fontId="1" fillId="0" borderId="0" applyFont="0" applyFill="0" applyBorder="0" applyAlignment="0" applyProtection="0">
      <alignment vertical="center"/>
    </xf>
    <xf numFmtId="182" fontId="2" fillId="0" borderId="0" applyFont="0" applyFill="0" applyBorder="0" applyAlignment="0" applyProtection="0"/>
  </cellStyleXfs>
  <cellXfs count="3649">
    <xf numFmtId="0" fontId="0" fillId="0" borderId="0" xfId="0">
      <alignment vertical="center"/>
    </xf>
    <xf numFmtId="0" fontId="0" fillId="2" borderId="0" xfId="0" applyFill="1">
      <alignment vertical="center"/>
    </xf>
    <xf numFmtId="0" fontId="10" fillId="3" borderId="0" xfId="0" applyNumberFormat="1" applyFont="1" applyFill="1" applyBorder="1" applyAlignment="1">
      <alignment vertical="center"/>
    </xf>
    <xf numFmtId="0" fontId="0" fillId="3" borderId="1" xfId="0" applyFill="1" applyBorder="1" applyAlignment="1">
      <alignment horizontal="left" vertical="center"/>
    </xf>
    <xf numFmtId="0" fontId="11" fillId="3" borderId="2" xfId="0" applyNumberFormat="1" applyFont="1" applyFill="1" applyBorder="1" applyAlignment="1">
      <alignment vertical="center"/>
    </xf>
    <xf numFmtId="0" fontId="12" fillId="3" borderId="0" xfId="0" applyNumberFormat="1" applyFont="1" applyFill="1" applyBorder="1" applyAlignment="1">
      <alignment horizontal="center" vertical="center"/>
    </xf>
    <xf numFmtId="176" fontId="13" fillId="3" borderId="0" xfId="0" applyNumberFormat="1" applyFont="1" applyFill="1" applyBorder="1" applyAlignment="1">
      <alignment vertical="center"/>
    </xf>
    <xf numFmtId="0" fontId="10" fillId="3" borderId="3" xfId="0" applyNumberFormat="1" applyFont="1" applyFill="1" applyBorder="1" applyAlignment="1">
      <alignment horizontal="center" vertical="center"/>
    </xf>
    <xf numFmtId="0" fontId="14" fillId="3" borderId="0" xfId="0" applyNumberFormat="1" applyFont="1" applyFill="1" applyBorder="1" applyAlignment="1">
      <alignment vertical="center"/>
    </xf>
    <xf numFmtId="0" fontId="15" fillId="3" borderId="4" xfId="0" applyNumberFormat="1" applyFont="1" applyFill="1" applyBorder="1" applyAlignment="1">
      <alignment horizontal="left" vertical="center"/>
    </xf>
    <xf numFmtId="0" fontId="10" fillId="3" borderId="2" xfId="0" applyNumberFormat="1" applyFont="1" applyFill="1" applyBorder="1" applyAlignment="1">
      <alignment horizontal="center" vertical="center"/>
    </xf>
    <xf numFmtId="0" fontId="16" fillId="3" borderId="1" xfId="0" applyNumberFormat="1" applyFont="1" applyFill="1" applyBorder="1" applyAlignment="1">
      <alignment horizontal="center" vertical="center"/>
    </xf>
    <xf numFmtId="176" fontId="17" fillId="3" borderId="0" xfId="0" applyNumberFormat="1" applyFont="1" applyFill="1" applyBorder="1" applyAlignment="1">
      <alignment vertical="center"/>
    </xf>
    <xf numFmtId="178" fontId="18" fillId="3" borderId="5" xfId="0" applyNumberFormat="1" applyFont="1" applyFill="1" applyBorder="1" applyAlignment="1">
      <alignment horizontal="center" vertical="center"/>
    </xf>
    <xf numFmtId="0" fontId="12" fillId="3" borderId="0" xfId="0" applyNumberFormat="1" applyFont="1" applyFill="1" applyBorder="1" applyAlignment="1">
      <alignment horizontal="left" vertical="center"/>
    </xf>
    <xf numFmtId="178" fontId="18" fillId="3" borderId="4" xfId="0" applyNumberFormat="1" applyFont="1" applyFill="1" applyBorder="1" applyAlignment="1">
      <alignment horizontal="left" vertical="center"/>
    </xf>
    <xf numFmtId="0" fontId="16" fillId="3" borderId="4" xfId="0" applyNumberFormat="1" applyFont="1" applyFill="1" applyBorder="1" applyAlignment="1">
      <alignment vertical="center"/>
    </xf>
    <xf numFmtId="178" fontId="18" fillId="3" borderId="6" xfId="0" applyNumberFormat="1" applyFont="1" applyFill="1" applyBorder="1" applyAlignment="1">
      <alignment horizontal="center" vertical="center"/>
    </xf>
    <xf numFmtId="0" fontId="19" fillId="3" borderId="7" xfId="0" applyNumberFormat="1" applyFont="1" applyFill="1" applyBorder="1" applyAlignment="1">
      <alignment vertical="center"/>
    </xf>
    <xf numFmtId="176" fontId="13" fillId="3" borderId="7" xfId="0" applyNumberFormat="1" applyFont="1" applyFill="1" applyBorder="1" applyAlignment="1">
      <alignment vertical="center"/>
    </xf>
    <xf numFmtId="0" fontId="19" fillId="3" borderId="8" xfId="0" applyNumberFormat="1" applyFont="1" applyFill="1" applyBorder="1" applyAlignment="1">
      <alignment vertical="center"/>
    </xf>
    <xf numFmtId="0" fontId="4" fillId="3" borderId="7" xfId="0" applyNumberFormat="1" applyFont="1" applyFill="1" applyBorder="1" applyAlignment="1">
      <alignment vertical="center"/>
    </xf>
    <xf numFmtId="0" fontId="4" fillId="3" borderId="9" xfId="0" applyNumberFormat="1" applyFont="1" applyFill="1" applyBorder="1" applyAlignment="1">
      <alignment vertical="center"/>
    </xf>
    <xf numFmtId="0" fontId="0" fillId="3" borderId="0" xfId="0" applyFill="1">
      <alignment vertical="center"/>
    </xf>
    <xf numFmtId="0" fontId="20" fillId="2" borderId="0" xfId="0" applyFont="1" applyFill="1">
      <alignment vertical="center"/>
    </xf>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1" xfId="0" applyFont="1" applyFill="1" applyBorder="1" applyAlignment="1">
      <alignment horizontal="center" vertical="center"/>
    </xf>
    <xf numFmtId="0" fontId="21" fillId="3" borderId="11" xfId="0" applyFont="1" applyFill="1" applyBorder="1" applyAlignment="1">
      <alignment horizontal="center" vertical="center" wrapText="1"/>
    </xf>
    <xf numFmtId="0" fontId="6" fillId="3" borderId="11" xfId="0" applyFont="1" applyFill="1" applyBorder="1" applyAlignment="1">
      <alignment horizontal="left" vertical="center" indent="2"/>
    </xf>
    <xf numFmtId="0" fontId="9" fillId="2" borderId="0" xfId="0" applyFont="1" applyFill="1">
      <alignment vertical="center"/>
    </xf>
    <xf numFmtId="0" fontId="22" fillId="0" borderId="12" xfId="0" applyFont="1" applyFill="1" applyBorder="1" applyAlignment="1">
      <alignment horizontal="center" vertical="center" wrapText="1"/>
    </xf>
    <xf numFmtId="0" fontId="0" fillId="0" borderId="13" xfId="0" applyFont="1" applyFill="1" applyBorder="1" applyAlignment="1">
      <alignment vertical="center" wrapText="1"/>
    </xf>
    <xf numFmtId="0" fontId="22" fillId="0" borderId="13" xfId="0" applyNumberFormat="1" applyFont="1" applyFill="1" applyBorder="1" applyAlignment="1">
      <alignment vertical="center" shrinkToFit="1"/>
    </xf>
    <xf numFmtId="0" fontId="22" fillId="0" borderId="14" xfId="0" applyNumberFormat="1" applyFont="1" applyFill="1" applyBorder="1" applyAlignment="1">
      <alignment vertical="center"/>
    </xf>
    <xf numFmtId="0" fontId="0" fillId="0" borderId="13" xfId="0" applyFill="1" applyBorder="1" applyAlignment="1">
      <alignment vertical="center" wrapText="1"/>
    </xf>
    <xf numFmtId="0" fontId="22" fillId="0" borderId="15" xfId="0" applyFont="1" applyFill="1" applyBorder="1" applyAlignment="1">
      <alignment horizontal="center" vertical="center" wrapText="1"/>
    </xf>
    <xf numFmtId="0" fontId="0" fillId="0" borderId="16" xfId="0" applyFill="1" applyBorder="1" applyAlignment="1">
      <alignment vertical="center" wrapText="1"/>
    </xf>
    <xf numFmtId="0" fontId="22" fillId="0" borderId="16" xfId="0" applyNumberFormat="1" applyFont="1" applyFill="1" applyBorder="1" applyAlignment="1">
      <alignment vertical="center" shrinkToFit="1"/>
    </xf>
    <xf numFmtId="0" fontId="22" fillId="0" borderId="17" xfId="0" applyNumberFormat="1" applyFont="1" applyFill="1" applyBorder="1" applyAlignment="1">
      <alignment vertical="center"/>
    </xf>
    <xf numFmtId="0" fontId="6" fillId="0" borderId="18" xfId="0" applyFont="1" applyFill="1" applyBorder="1" applyAlignment="1">
      <alignment vertical="center"/>
    </xf>
    <xf numFmtId="0" fontId="6" fillId="0" borderId="18" xfId="0" applyFont="1" applyFill="1" applyBorder="1" applyAlignment="1">
      <alignment vertical="center" wrapText="1"/>
    </xf>
    <xf numFmtId="0" fontId="22" fillId="0" borderId="18" xfId="0" applyNumberFormat="1" applyFont="1" applyFill="1" applyBorder="1" applyAlignment="1">
      <alignment vertical="center" shrinkToFit="1"/>
    </xf>
    <xf numFmtId="0" fontId="22" fillId="0" borderId="18" xfId="0" applyNumberFormat="1" applyFont="1" applyFill="1" applyBorder="1" applyAlignment="1">
      <alignment vertical="center"/>
    </xf>
    <xf numFmtId="0" fontId="22" fillId="0" borderId="0" xfId="0" applyFont="1" applyFill="1" applyBorder="1" applyAlignment="1">
      <alignment horizontal="center" vertical="center" wrapText="1"/>
    </xf>
    <xf numFmtId="0" fontId="0" fillId="0" borderId="0" xfId="0" applyFill="1" applyBorder="1" applyAlignment="1">
      <alignment vertical="center" wrapText="1"/>
    </xf>
    <xf numFmtId="0" fontId="22" fillId="0" borderId="0" xfId="0" applyNumberFormat="1" applyFont="1" applyFill="1" applyBorder="1" applyAlignment="1">
      <alignment vertical="center" shrinkToFit="1"/>
    </xf>
    <xf numFmtId="0" fontId="22" fillId="0" borderId="0" xfId="0" applyNumberFormat="1" applyFont="1" applyFill="1" applyBorder="1" applyAlignment="1">
      <alignment vertical="center"/>
    </xf>
    <xf numFmtId="0" fontId="22" fillId="0" borderId="1" xfId="0" applyFont="1" applyFill="1" applyBorder="1" applyAlignment="1">
      <alignment horizontal="center" vertical="center" wrapText="1"/>
    </xf>
    <xf numFmtId="0" fontId="0" fillId="0" borderId="1" xfId="0" applyFill="1" applyBorder="1" applyAlignment="1">
      <alignment vertical="center" wrapText="1"/>
    </xf>
    <xf numFmtId="0" fontId="22" fillId="0" borderId="1" xfId="0" applyNumberFormat="1" applyFont="1" applyFill="1" applyBorder="1" applyAlignment="1">
      <alignment vertical="center" shrinkToFit="1"/>
    </xf>
    <xf numFmtId="0" fontId="22" fillId="0" borderId="1" xfId="0" applyNumberFormat="1" applyFont="1" applyFill="1" applyBorder="1" applyAlignment="1">
      <alignment vertical="center"/>
    </xf>
    <xf numFmtId="0" fontId="0" fillId="4" borderId="19" xfId="0" applyFill="1" applyBorder="1">
      <alignment vertical="center"/>
    </xf>
    <xf numFmtId="0" fontId="23" fillId="3" borderId="0" xfId="0" applyNumberFormat="1" applyFont="1" applyFill="1" applyBorder="1" applyAlignment="1">
      <alignment horizontal="center" vertical="center"/>
    </xf>
    <xf numFmtId="0" fontId="12" fillId="3" borderId="1" xfId="0" applyNumberFormat="1" applyFont="1" applyFill="1" applyBorder="1" applyAlignment="1">
      <alignment vertical="center"/>
    </xf>
    <xf numFmtId="0" fontId="6" fillId="3" borderId="20" xfId="0" applyFont="1" applyFill="1" applyBorder="1" applyAlignment="1">
      <alignment horizontal="center" vertical="center" wrapText="1"/>
    </xf>
    <xf numFmtId="0" fontId="0" fillId="0" borderId="21" xfId="0" applyNumberFormat="1" applyFill="1" applyBorder="1" applyAlignment="1">
      <alignment vertical="center"/>
    </xf>
    <xf numFmtId="0" fontId="0" fillId="0" borderId="22" xfId="0" applyNumberFormat="1" applyFill="1" applyBorder="1" applyAlignment="1">
      <alignment vertical="center"/>
    </xf>
    <xf numFmtId="0" fontId="0" fillId="0" borderId="18" xfId="0" applyNumberFormat="1" applyFill="1" applyBorder="1" applyAlignment="1">
      <alignment vertical="center"/>
    </xf>
    <xf numFmtId="0" fontId="0" fillId="0" borderId="0" xfId="0" applyNumberFormat="1" applyFill="1" applyBorder="1" applyAlignment="1">
      <alignment vertical="center"/>
    </xf>
    <xf numFmtId="0" fontId="0" fillId="0" borderId="1" xfId="0" applyNumberFormat="1" applyFill="1" applyBorder="1" applyAlignment="1">
      <alignment vertical="center"/>
    </xf>
    <xf numFmtId="0" fontId="19" fillId="3" borderId="0" xfId="0" applyNumberFormat="1" applyFont="1" applyFill="1" applyBorder="1" applyAlignment="1">
      <alignment vertical="center"/>
    </xf>
    <xf numFmtId="0" fontId="4" fillId="3" borderId="0" xfId="0" applyNumberFormat="1" applyFont="1" applyFill="1" applyBorder="1" applyAlignment="1">
      <alignment vertical="center"/>
    </xf>
    <xf numFmtId="0" fontId="6" fillId="3" borderId="23"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6" fillId="3" borderId="24" xfId="0" applyFont="1" applyFill="1" applyBorder="1" applyAlignment="1">
      <alignment horizontal="center" vertical="center"/>
    </xf>
    <xf numFmtId="0" fontId="21" fillId="3" borderId="24" xfId="0" applyFont="1" applyFill="1" applyBorder="1" applyAlignment="1">
      <alignment horizontal="center" vertical="center" wrapText="1"/>
    </xf>
    <xf numFmtId="0" fontId="6" fillId="3" borderId="25" xfId="0" applyFont="1" applyFill="1" applyBorder="1" applyAlignment="1">
      <alignment horizontal="left" vertical="center" indent="2"/>
    </xf>
    <xf numFmtId="0" fontId="22" fillId="0" borderId="26" xfId="0" applyFont="1" applyFill="1" applyBorder="1" applyAlignment="1">
      <alignment horizontal="center" vertical="center" wrapText="1"/>
    </xf>
    <xf numFmtId="0" fontId="6" fillId="0" borderId="27" xfId="0" applyFont="1" applyFill="1" applyBorder="1" applyAlignment="1">
      <alignment vertical="center" wrapText="1"/>
    </xf>
    <xf numFmtId="177" fontId="22" fillId="0" borderId="13" xfId="0" applyNumberFormat="1" applyFont="1" applyFill="1" applyBorder="1" applyAlignment="1" applyProtection="1">
      <alignment vertical="center" shrinkToFit="1"/>
    </xf>
    <xf numFmtId="0" fontId="24" fillId="0" borderId="20" xfId="0" applyNumberFormat="1" applyFont="1" applyFill="1" applyBorder="1" applyAlignment="1">
      <alignment vertical="center"/>
    </xf>
    <xf numFmtId="0" fontId="0" fillId="0" borderId="27" xfId="0" applyFill="1" applyBorder="1" applyAlignment="1">
      <alignment horizontal="left" vertical="center" wrapText="1" indent="1"/>
    </xf>
    <xf numFmtId="0" fontId="22" fillId="0" borderId="28" xfId="0" applyNumberFormat="1" applyFont="1" applyFill="1" applyBorder="1" applyAlignment="1">
      <alignment vertical="center"/>
    </xf>
    <xf numFmtId="0" fontId="24" fillId="0" borderId="14" xfId="0" applyNumberFormat="1" applyFont="1" applyFill="1" applyBorder="1" applyAlignment="1">
      <alignment vertical="center"/>
    </xf>
    <xf numFmtId="10" fontId="22" fillId="0" borderId="13" xfId="7" applyNumberFormat="1" applyFont="1" applyFill="1" applyBorder="1" applyAlignment="1" applyProtection="1">
      <alignment vertical="center" shrinkToFit="1"/>
    </xf>
    <xf numFmtId="0" fontId="0" fillId="0" borderId="16" xfId="0" applyFill="1" applyBorder="1" applyAlignment="1">
      <alignment horizontal="left" vertical="center" wrapText="1" indent="1"/>
    </xf>
    <xf numFmtId="0" fontId="22" fillId="0" borderId="29" xfId="0" applyFont="1" applyFill="1" applyBorder="1" applyAlignment="1">
      <alignment horizontal="center" vertical="center" wrapText="1"/>
    </xf>
    <xf numFmtId="0" fontId="6" fillId="0" borderId="30" xfId="0" applyFont="1" applyFill="1" applyBorder="1" applyAlignment="1">
      <alignment vertical="center" wrapText="1"/>
    </xf>
    <xf numFmtId="0" fontId="22" fillId="0" borderId="29" xfId="0" applyNumberFormat="1" applyFont="1" applyFill="1" applyBorder="1" applyAlignment="1">
      <alignment vertical="center" shrinkToFit="1"/>
    </xf>
    <xf numFmtId="0" fontId="22" fillId="0" borderId="29" xfId="0" applyNumberFormat="1" applyFont="1" applyFill="1" applyBorder="1" applyAlignment="1">
      <alignment vertical="center"/>
    </xf>
    <xf numFmtId="0" fontId="22" fillId="0" borderId="21" xfId="0" applyFont="1" applyFill="1" applyBorder="1" applyAlignment="1">
      <alignment horizontal="center" vertical="center" wrapText="1"/>
    </xf>
    <xf numFmtId="0" fontId="0" fillId="0" borderId="30" xfId="0" applyFill="1" applyBorder="1" applyAlignment="1">
      <alignment vertical="center" wrapText="1"/>
    </xf>
    <xf numFmtId="0" fontId="22" fillId="0" borderId="21" xfId="0" applyNumberFormat="1" applyFont="1" applyFill="1" applyBorder="1" applyAlignment="1">
      <alignment vertical="center" shrinkToFit="1"/>
    </xf>
    <xf numFmtId="0" fontId="22" fillId="0" borderId="21" xfId="0" applyNumberFormat="1" applyFont="1" applyFill="1" applyBorder="1" applyAlignment="1">
      <alignment vertical="center"/>
    </xf>
    <xf numFmtId="0" fontId="22" fillId="0" borderId="22" xfId="0" applyFont="1" applyFill="1" applyBorder="1" applyAlignment="1">
      <alignment horizontal="center" vertical="center" wrapText="1"/>
    </xf>
    <xf numFmtId="0" fontId="22" fillId="0" borderId="22" xfId="0" applyNumberFormat="1" applyFont="1" applyFill="1" applyBorder="1" applyAlignment="1">
      <alignment vertical="center" shrinkToFit="1"/>
    </xf>
    <xf numFmtId="0" fontId="22" fillId="0" borderId="22" xfId="0" applyNumberFormat="1" applyFont="1" applyFill="1" applyBorder="1" applyAlignment="1">
      <alignment vertical="center"/>
    </xf>
    <xf numFmtId="0" fontId="6" fillId="0" borderId="29" xfId="0" applyFont="1" applyFill="1" applyBorder="1" applyAlignment="1">
      <alignment vertical="center" wrapText="1"/>
    </xf>
    <xf numFmtId="0" fontId="0" fillId="0" borderId="30" xfId="0" applyFill="1" applyBorder="1" applyAlignment="1">
      <alignment vertical="center"/>
    </xf>
    <xf numFmtId="0" fontId="0" fillId="0" borderId="12" xfId="0" applyFill="1" applyBorder="1" applyAlignment="1">
      <alignment horizontal="center" vertical="center" wrapText="1"/>
    </xf>
    <xf numFmtId="0" fontId="22" fillId="0" borderId="13" xfId="0" applyNumberFormat="1" applyFont="1" applyFill="1" applyBorder="1" applyAlignment="1">
      <alignment horizontal="center" vertical="center" shrinkToFit="1"/>
    </xf>
    <xf numFmtId="0" fontId="0" fillId="0" borderId="13" xfId="0" applyNumberFormat="1" applyFont="1" applyFill="1" applyBorder="1" applyAlignment="1">
      <alignment horizontal="center" vertical="center" shrinkToFit="1"/>
    </xf>
    <xf numFmtId="0" fontId="22" fillId="0" borderId="14" xfId="0" applyNumberFormat="1" applyFont="1" applyFill="1" applyBorder="1" applyAlignment="1">
      <alignment horizontal="center" vertical="center" shrinkToFit="1"/>
    </xf>
    <xf numFmtId="0" fontId="0" fillId="0" borderId="26" xfId="0" applyFill="1" applyBorder="1" applyAlignment="1">
      <alignment vertical="center" wrapText="1"/>
    </xf>
    <xf numFmtId="0" fontId="22" fillId="0" borderId="14" xfId="0" applyNumberFormat="1" applyFont="1" applyFill="1" applyBorder="1" applyAlignment="1">
      <alignment vertical="center" shrinkToFit="1"/>
    </xf>
    <xf numFmtId="0" fontId="25" fillId="2" borderId="0" xfId="0" applyFont="1" applyFill="1">
      <alignment vertical="center"/>
    </xf>
    <xf numFmtId="0" fontId="26" fillId="2" borderId="0" xfId="5" applyFont="1" applyFill="1" applyAlignment="1" applyProtection="1">
      <alignment vertical="center"/>
    </xf>
    <xf numFmtId="0" fontId="6" fillId="3" borderId="4" xfId="0" applyFont="1" applyFill="1" applyBorder="1" applyAlignment="1">
      <alignment horizontal="center" vertical="center" wrapText="1"/>
    </xf>
    <xf numFmtId="0" fontId="27" fillId="2" borderId="0" xfId="0" applyFont="1" applyFill="1">
      <alignment vertical="center"/>
    </xf>
    <xf numFmtId="0" fontId="0" fillId="0" borderId="30" xfId="0" applyNumberFormat="1" applyFill="1" applyBorder="1" applyAlignment="1">
      <alignment vertical="center"/>
    </xf>
    <xf numFmtId="0" fontId="28" fillId="2" borderId="0" xfId="0" applyFont="1" applyFill="1">
      <alignment vertical="center"/>
    </xf>
    <xf numFmtId="0" fontId="0" fillId="0" borderId="29" xfId="0" applyNumberFormat="1" applyFill="1" applyBorder="1" applyAlignment="1">
      <alignment vertical="center"/>
    </xf>
    <xf numFmtId="0" fontId="0" fillId="3" borderId="19" xfId="0" applyFill="1" applyBorder="1">
      <alignment vertical="center"/>
    </xf>
    <xf numFmtId="0" fontId="29" fillId="3" borderId="31" xfId="0" applyFont="1" applyFill="1" applyBorder="1">
      <alignment vertical="center"/>
    </xf>
    <xf numFmtId="0" fontId="6" fillId="3" borderId="32" xfId="0" applyFont="1" applyFill="1" applyBorder="1">
      <alignment vertical="center"/>
    </xf>
    <xf numFmtId="0" fontId="30" fillId="3" borderId="32" xfId="0" applyFont="1" applyFill="1" applyBorder="1" applyAlignment="1">
      <alignment horizontal="center" vertical="center"/>
    </xf>
    <xf numFmtId="0" fontId="30" fillId="3" borderId="32" xfId="0" applyFont="1" applyFill="1" applyBorder="1" applyAlignment="1">
      <alignment horizontal="center" vertical="center" wrapText="1"/>
    </xf>
    <xf numFmtId="0" fontId="31" fillId="2" borderId="26" xfId="0" applyFont="1" applyFill="1" applyBorder="1">
      <alignment vertical="center"/>
    </xf>
    <xf numFmtId="0" fontId="0" fillId="2" borderId="27" xfId="0" applyFill="1" applyBorder="1">
      <alignment vertical="center"/>
    </xf>
    <xf numFmtId="177" fontId="22" fillId="5" borderId="27" xfId="0" applyNumberFormat="1" applyFont="1" applyFill="1" applyBorder="1">
      <alignment vertical="center"/>
    </xf>
    <xf numFmtId="177" fontId="22" fillId="5" borderId="27" xfId="0" applyNumberFormat="1" applyFont="1" applyFill="1" applyBorder="1" applyAlignment="1">
      <alignment horizontal="center" vertical="center" wrapText="1"/>
    </xf>
    <xf numFmtId="0" fontId="31" fillId="2" borderId="12" xfId="0" applyFont="1" applyFill="1" applyBorder="1">
      <alignment vertical="center"/>
    </xf>
    <xf numFmtId="0" fontId="0" fillId="2" borderId="13" xfId="0" applyFill="1" applyBorder="1">
      <alignment vertical="center"/>
    </xf>
    <xf numFmtId="177" fontId="22" fillId="5" borderId="13" xfId="0" applyNumberFormat="1" applyFont="1" applyFill="1" applyBorder="1">
      <alignment vertical="center"/>
    </xf>
    <xf numFmtId="177" fontId="22" fillId="5" borderId="13" xfId="0" applyNumberFormat="1" applyFont="1" applyFill="1" applyBorder="1" applyAlignment="1">
      <alignment horizontal="center" vertical="center" wrapText="1"/>
    </xf>
    <xf numFmtId="0" fontId="22" fillId="2" borderId="12" xfId="0" applyFont="1" applyFill="1" applyBorder="1">
      <alignment vertical="center"/>
    </xf>
    <xf numFmtId="177" fontId="22" fillId="2" borderId="13" xfId="0" applyNumberFormat="1" applyFont="1" applyFill="1" applyBorder="1" applyAlignment="1" applyProtection="1">
      <alignment vertical="center" shrinkToFit="1"/>
    </xf>
    <xf numFmtId="177" fontId="22" fillId="2" borderId="13" xfId="0" applyNumberFormat="1" applyFont="1" applyFill="1" applyBorder="1">
      <alignment vertical="center"/>
    </xf>
    <xf numFmtId="177" fontId="22" fillId="2" borderId="14" xfId="0" applyNumberFormat="1" applyFont="1" applyFill="1" applyBorder="1">
      <alignment vertical="center"/>
    </xf>
    <xf numFmtId="0" fontId="33" fillId="2" borderId="13" xfId="0" applyFont="1" applyFill="1" applyBorder="1">
      <alignment vertical="center"/>
    </xf>
    <xf numFmtId="0" fontId="22" fillId="2" borderId="34" xfId="0" applyFont="1" applyFill="1" applyBorder="1">
      <alignment vertical="center"/>
    </xf>
    <xf numFmtId="0" fontId="0" fillId="2" borderId="35" xfId="0" applyFill="1" applyBorder="1">
      <alignment vertical="center"/>
    </xf>
    <xf numFmtId="177" fontId="22" fillId="2" borderId="35" xfId="0" applyNumberFormat="1" applyFont="1" applyFill="1" applyBorder="1" applyAlignment="1" applyProtection="1">
      <alignment vertical="center" shrinkToFit="1"/>
    </xf>
    <xf numFmtId="177" fontId="22" fillId="2" borderId="21" xfId="0" applyNumberFormat="1" applyFont="1" applyFill="1" applyBorder="1">
      <alignment vertical="center"/>
    </xf>
    <xf numFmtId="176" fontId="13" fillId="3" borderId="1" xfId="0" applyNumberFormat="1" applyFont="1" applyFill="1" applyBorder="1" applyAlignment="1">
      <alignment vertical="center"/>
    </xf>
    <xf numFmtId="0" fontId="11" fillId="3" borderId="5" xfId="0" applyNumberFormat="1" applyFont="1" applyFill="1" applyBorder="1" applyAlignment="1">
      <alignment vertical="center"/>
    </xf>
    <xf numFmtId="176" fontId="13" fillId="3" borderId="4" xfId="0" applyNumberFormat="1" applyFont="1" applyFill="1" applyBorder="1" applyAlignment="1">
      <alignment vertical="center"/>
    </xf>
    <xf numFmtId="0" fontId="10" fillId="3" borderId="6" xfId="0" applyNumberFormat="1" applyFont="1" applyFill="1" applyBorder="1" applyAlignment="1">
      <alignment horizontal="center" vertical="center"/>
    </xf>
    <xf numFmtId="0" fontId="6" fillId="0" borderId="0" xfId="0" applyFont="1" applyFill="1">
      <alignment vertical="center"/>
    </xf>
    <xf numFmtId="0" fontId="0" fillId="0" borderId="0" xfId="0" applyFill="1">
      <alignment vertical="center"/>
    </xf>
    <xf numFmtId="0" fontId="6" fillId="3" borderId="40" xfId="0" applyFont="1" applyFill="1" applyBorder="1" applyAlignment="1">
      <alignment horizontal="center" vertical="center" wrapText="1"/>
    </xf>
    <xf numFmtId="0" fontId="6" fillId="3" borderId="41" xfId="0" applyFont="1" applyFill="1" applyBorder="1" applyAlignment="1">
      <alignment horizontal="center" vertical="center" wrapText="1"/>
    </xf>
    <xf numFmtId="0" fontId="6" fillId="3" borderId="11" xfId="0" applyFont="1" applyFill="1" applyBorder="1" applyAlignment="1">
      <alignment horizontal="left" vertical="center" indent="1"/>
    </xf>
    <xf numFmtId="0" fontId="6" fillId="3" borderId="42" xfId="0" applyFont="1" applyFill="1" applyBorder="1" applyAlignment="1">
      <alignment horizontal="center" vertical="center" wrapText="1"/>
    </xf>
    <xf numFmtId="0" fontId="6" fillId="3" borderId="43" xfId="0" applyFont="1" applyFill="1" applyBorder="1" applyAlignment="1">
      <alignment horizontal="center" vertical="center" wrapText="1"/>
    </xf>
    <xf numFmtId="0" fontId="24" fillId="3" borderId="13" xfId="0" applyNumberFormat="1" applyFont="1" applyFill="1" applyBorder="1" applyAlignment="1">
      <alignment horizontal="center" vertical="center" shrinkToFit="1"/>
    </xf>
    <xf numFmtId="177" fontId="24" fillId="3" borderId="13" xfId="0" applyNumberFormat="1" applyFont="1" applyFill="1" applyBorder="1" applyAlignment="1">
      <alignment horizontal="center" vertical="center" shrinkToFit="1"/>
    </xf>
    <xf numFmtId="0" fontId="24" fillId="3" borderId="13" xfId="0" applyFont="1" applyFill="1" applyBorder="1" applyAlignment="1">
      <alignment horizontal="center" vertical="center" wrapText="1"/>
    </xf>
    <xf numFmtId="178" fontId="24" fillId="3" borderId="13" xfId="0" applyNumberFormat="1" applyFont="1" applyFill="1" applyBorder="1" applyAlignment="1">
      <alignment horizontal="center" vertical="center" shrinkToFit="1"/>
    </xf>
    <xf numFmtId="0" fontId="0" fillId="3" borderId="44" xfId="0" applyFill="1" applyBorder="1" applyAlignment="1">
      <alignment horizontal="center" vertical="center" wrapText="1"/>
    </xf>
    <xf numFmtId="0" fontId="0" fillId="3" borderId="45" xfId="0" applyFill="1" applyBorder="1" applyAlignment="1">
      <alignment horizontal="center" vertical="center" wrapText="1"/>
    </xf>
    <xf numFmtId="0" fontId="24" fillId="3" borderId="16" xfId="0" applyNumberFormat="1" applyFont="1" applyFill="1" applyBorder="1" applyAlignment="1">
      <alignment horizontal="center" vertical="center" shrinkToFit="1"/>
    </xf>
    <xf numFmtId="10" fontId="24" fillId="3" borderId="16" xfId="7" applyNumberFormat="1" applyFont="1" applyFill="1" applyBorder="1" applyAlignment="1">
      <alignment horizontal="center" vertical="center" shrinkToFit="1"/>
    </xf>
    <xf numFmtId="0" fontId="24" fillId="3" borderId="16" xfId="0" applyFont="1" applyFill="1" applyBorder="1" applyAlignment="1">
      <alignment horizontal="center" vertical="center" wrapText="1"/>
    </xf>
    <xf numFmtId="178" fontId="24" fillId="3" borderId="16" xfId="0" applyNumberFormat="1" applyFont="1" applyFill="1" applyBorder="1" applyAlignment="1">
      <alignment horizontal="center" vertical="center" shrinkToFit="1"/>
    </xf>
    <xf numFmtId="0" fontId="35" fillId="0" borderId="26" xfId="0" applyFont="1" applyFill="1" applyBorder="1" applyAlignment="1" applyProtection="1">
      <alignment horizontal="center" vertical="center" wrapText="1"/>
    </xf>
    <xf numFmtId="0" fontId="33" fillId="0" borderId="27" xfId="0" applyFont="1" applyFill="1" applyBorder="1" applyAlignment="1" applyProtection="1">
      <alignment vertical="center" wrapText="1"/>
    </xf>
    <xf numFmtId="177" fontId="22" fillId="0" borderId="27" xfId="0" applyNumberFormat="1" applyFont="1" applyFill="1" applyBorder="1" applyAlignment="1" applyProtection="1">
      <alignment vertical="center" shrinkToFit="1"/>
    </xf>
    <xf numFmtId="10" fontId="22" fillId="0" borderId="27" xfId="0" applyNumberFormat="1" applyFont="1" applyFill="1" applyBorder="1" applyAlignment="1" applyProtection="1">
      <alignment vertical="center" shrinkToFit="1"/>
    </xf>
    <xf numFmtId="0" fontId="22" fillId="0" borderId="12" xfId="0" applyFont="1" applyFill="1" applyBorder="1" applyAlignment="1" applyProtection="1">
      <alignment horizontal="center" vertical="center" wrapText="1"/>
    </xf>
    <xf numFmtId="0" fontId="0" fillId="0" borderId="27" xfId="0" applyFill="1" applyBorder="1" applyAlignment="1" applyProtection="1">
      <alignment vertical="center" wrapText="1"/>
    </xf>
    <xf numFmtId="10" fontId="22" fillId="0" borderId="13" xfId="0" applyNumberFormat="1" applyFont="1" applyFill="1" applyBorder="1" applyAlignment="1" applyProtection="1">
      <alignment vertical="center" shrinkToFit="1"/>
    </xf>
    <xf numFmtId="0" fontId="6" fillId="0" borderId="27" xfId="0" applyFont="1" applyFill="1" applyBorder="1" applyAlignment="1" applyProtection="1">
      <alignment vertical="center" wrapText="1"/>
    </xf>
    <xf numFmtId="177" fontId="21" fillId="0" borderId="13" xfId="0" applyNumberFormat="1" applyFont="1" applyFill="1" applyBorder="1" applyAlignment="1" applyProtection="1">
      <alignment vertical="center" shrinkToFit="1"/>
    </xf>
    <xf numFmtId="10" fontId="21" fillId="0" borderId="13" xfId="0" applyNumberFormat="1" applyFont="1" applyFill="1" applyBorder="1" applyAlignment="1" applyProtection="1">
      <alignment vertical="center" shrinkToFit="1"/>
    </xf>
    <xf numFmtId="10" fontId="21" fillId="0" borderId="13" xfId="7" applyNumberFormat="1" applyFont="1" applyFill="1" applyBorder="1" applyAlignment="1" applyProtection="1">
      <alignment vertical="center" shrinkToFit="1"/>
    </xf>
    <xf numFmtId="0" fontId="33" fillId="3" borderId="1" xfId="0" applyNumberFormat="1" applyFont="1" applyFill="1" applyBorder="1" applyAlignment="1">
      <alignment vertical="center"/>
    </xf>
    <xf numFmtId="0" fontId="6" fillId="3" borderId="46" xfId="0" applyFont="1" applyFill="1" applyBorder="1" applyAlignment="1">
      <alignment horizontal="center" vertical="center" wrapText="1"/>
    </xf>
    <xf numFmtId="0" fontId="6" fillId="3" borderId="47" xfId="0" applyFont="1" applyFill="1" applyBorder="1" applyAlignment="1">
      <alignment horizontal="center" vertical="center" wrapText="1"/>
    </xf>
    <xf numFmtId="177" fontId="24" fillId="3" borderId="16" xfId="0" applyNumberFormat="1" applyFont="1" applyFill="1" applyBorder="1" applyAlignment="1">
      <alignment horizontal="center" vertical="center" shrinkToFit="1"/>
    </xf>
    <xf numFmtId="0" fontId="0" fillId="3" borderId="48" xfId="0" applyFill="1" applyBorder="1" applyAlignment="1">
      <alignment horizontal="center" vertical="center" wrapText="1"/>
    </xf>
    <xf numFmtId="0" fontId="0" fillId="0" borderId="49" xfId="0" applyFill="1" applyBorder="1" applyAlignment="1" applyProtection="1">
      <alignment vertical="center" wrapText="1"/>
    </xf>
    <xf numFmtId="0" fontId="0" fillId="0" borderId="14" xfId="0" applyFill="1" applyBorder="1" applyAlignment="1" applyProtection="1">
      <alignment vertical="center" wrapText="1"/>
    </xf>
    <xf numFmtId="0" fontId="6" fillId="0" borderId="27" xfId="0" applyFont="1" applyFill="1" applyBorder="1" applyAlignment="1" applyProtection="1">
      <alignment vertical="center" shrinkToFit="1"/>
    </xf>
    <xf numFmtId="0" fontId="35" fillId="0" borderId="12" xfId="0" applyFont="1" applyFill="1" applyBorder="1" applyAlignment="1" applyProtection="1">
      <alignment horizontal="center" vertical="center" wrapText="1"/>
    </xf>
    <xf numFmtId="177" fontId="22" fillId="0" borderId="16" xfId="0" applyNumberFormat="1" applyFont="1" applyFill="1" applyBorder="1" applyAlignment="1">
      <alignment vertical="center" shrinkToFit="1"/>
    </xf>
    <xf numFmtId="10" fontId="22" fillId="0" borderId="16" xfId="0" applyNumberFormat="1" applyFont="1" applyFill="1" applyBorder="1" applyAlignment="1">
      <alignment vertical="center" shrinkToFit="1"/>
    </xf>
    <xf numFmtId="0" fontId="6" fillId="0" borderId="0" xfId="0" applyFont="1" applyFill="1" applyBorder="1" applyAlignment="1">
      <alignment vertical="center" wrapText="1"/>
    </xf>
    <xf numFmtId="177" fontId="22" fillId="0" borderId="0" xfId="0" applyNumberFormat="1" applyFont="1" applyFill="1" applyBorder="1" applyAlignment="1">
      <alignment vertical="center" shrinkToFit="1"/>
    </xf>
    <xf numFmtId="10" fontId="22" fillId="0" borderId="0" xfId="0" applyNumberFormat="1" applyFont="1" applyFill="1" applyBorder="1" applyAlignment="1">
      <alignment vertical="center" shrinkToFit="1"/>
    </xf>
    <xf numFmtId="0" fontId="0" fillId="0" borderId="17" xfId="0" applyFill="1" applyBorder="1" applyAlignment="1">
      <alignment vertical="center" wrapText="1"/>
    </xf>
    <xf numFmtId="176" fontId="13" fillId="3" borderId="5" xfId="0" applyNumberFormat="1" applyFont="1" applyFill="1" applyBorder="1" applyAlignment="1">
      <alignment vertical="center"/>
    </xf>
    <xf numFmtId="176" fontId="13" fillId="3" borderId="6" xfId="0" applyNumberFormat="1" applyFont="1" applyFill="1" applyBorder="1" applyAlignment="1">
      <alignment vertical="center"/>
    </xf>
    <xf numFmtId="58" fontId="18" fillId="3" borderId="5" xfId="0" applyNumberFormat="1" applyFont="1" applyFill="1" applyBorder="1" applyAlignment="1">
      <alignment horizontal="center" vertical="center"/>
    </xf>
    <xf numFmtId="0" fontId="38" fillId="3" borderId="4" xfId="0" applyNumberFormat="1" applyFont="1" applyFill="1" applyBorder="1" applyAlignment="1">
      <alignment horizontal="center" vertical="center"/>
    </xf>
    <xf numFmtId="58" fontId="18" fillId="3" borderId="6" xfId="0" applyNumberFormat="1" applyFont="1" applyFill="1" applyBorder="1" applyAlignment="1">
      <alignment horizontal="center" vertical="center"/>
    </xf>
    <xf numFmtId="0" fontId="15" fillId="0" borderId="0" xfId="0" applyFont="1" applyFill="1" applyProtection="1">
      <alignment vertical="center"/>
      <protection locked="0"/>
    </xf>
    <xf numFmtId="0" fontId="6" fillId="0" borderId="0" xfId="0" applyFont="1" applyFill="1" applyProtection="1">
      <alignment vertical="center"/>
      <protection locked="0"/>
    </xf>
    <xf numFmtId="0" fontId="0" fillId="0" borderId="0" xfId="0" applyFill="1" applyProtection="1">
      <alignment vertical="center"/>
      <protection locked="0"/>
    </xf>
    <xf numFmtId="0" fontId="0" fillId="0" borderId="0" xfId="0" applyFont="1" applyFill="1" applyProtection="1">
      <alignment vertical="center"/>
      <protection locked="0"/>
    </xf>
    <xf numFmtId="0" fontId="9" fillId="2" borderId="0" xfId="0" applyFont="1" applyFill="1" applyProtection="1">
      <alignment vertical="center"/>
      <protection locked="0"/>
    </xf>
    <xf numFmtId="0" fontId="0" fillId="0" borderId="0" xfId="0" applyFill="1" applyAlignment="1" applyProtection="1">
      <alignment vertical="center" wrapText="1"/>
      <protection locked="0"/>
    </xf>
    <xf numFmtId="0" fontId="28" fillId="0" borderId="0" xfId="0" applyFont="1" applyFill="1" applyAlignment="1" applyProtection="1">
      <alignment vertical="center"/>
      <protection locked="0"/>
    </xf>
    <xf numFmtId="0" fontId="39" fillId="0" borderId="0" xfId="0" applyFont="1" applyFill="1" applyProtection="1">
      <alignment vertical="center"/>
      <protection locked="0"/>
    </xf>
    <xf numFmtId="0" fontId="6" fillId="0" borderId="0" xfId="0" applyFont="1" applyFill="1" applyBorder="1" applyAlignment="1" applyProtection="1">
      <alignment vertical="center" wrapText="1"/>
      <protection locked="0"/>
    </xf>
    <xf numFmtId="0" fontId="0" fillId="0" borderId="0" xfId="0" applyFill="1" applyBorder="1" applyProtection="1">
      <alignment vertical="center"/>
      <protection locked="0"/>
    </xf>
    <xf numFmtId="0" fontId="24" fillId="0" borderId="0" xfId="0" applyFont="1" applyFill="1" applyBorder="1" applyAlignment="1" applyProtection="1">
      <alignment vertical="center"/>
      <protection locked="0"/>
    </xf>
    <xf numFmtId="0" fontId="0" fillId="0" borderId="10" xfId="0" applyFont="1" applyFill="1" applyBorder="1" applyAlignment="1" applyProtection="1">
      <alignment horizontal="center" vertical="center" wrapText="1"/>
      <protection locked="0"/>
    </xf>
    <xf numFmtId="0" fontId="0" fillId="0" borderId="11" xfId="0" applyFont="1" applyFill="1" applyBorder="1" applyAlignment="1" applyProtection="1">
      <alignment horizontal="center" vertical="center"/>
      <protection locked="0"/>
    </xf>
    <xf numFmtId="0" fontId="0" fillId="0" borderId="20" xfId="0" applyFont="1" applyFill="1" applyBorder="1" applyAlignment="1" applyProtection="1">
      <alignment horizontal="center" vertical="center"/>
      <protection locked="0"/>
    </xf>
    <xf numFmtId="0" fontId="0" fillId="0" borderId="29" xfId="0" applyFill="1" applyBorder="1" applyProtection="1">
      <alignment vertical="center"/>
      <protection locked="0"/>
    </xf>
    <xf numFmtId="0" fontId="0" fillId="0" borderId="12" xfId="0" applyFill="1" applyBorder="1" applyAlignment="1" applyProtection="1">
      <alignment horizontal="left" vertical="center" wrapText="1"/>
      <protection locked="0"/>
    </xf>
    <xf numFmtId="177" fontId="22" fillId="0" borderId="13" xfId="0" applyNumberFormat="1" applyFont="1" applyFill="1" applyBorder="1" applyAlignment="1" applyProtection="1">
      <alignment vertical="center" shrinkToFit="1"/>
      <protection locked="0"/>
    </xf>
    <xf numFmtId="0" fontId="0" fillId="0" borderId="14" xfId="0" applyFill="1" applyBorder="1" applyProtection="1">
      <alignment vertical="center"/>
      <protection locked="0"/>
    </xf>
    <xf numFmtId="0" fontId="0" fillId="0" borderId="21" xfId="0" applyFill="1" applyBorder="1" applyProtection="1">
      <alignment vertical="center"/>
      <protection locked="0"/>
    </xf>
    <xf numFmtId="177" fontId="22" fillId="0" borderId="50" xfId="0" applyNumberFormat="1" applyFont="1" applyFill="1" applyBorder="1" applyAlignment="1" applyProtection="1">
      <alignment vertical="center" shrinkToFit="1"/>
      <protection locked="0"/>
    </xf>
    <xf numFmtId="0" fontId="6" fillId="0" borderId="15" xfId="0" applyFont="1" applyFill="1" applyBorder="1" applyAlignment="1" applyProtection="1">
      <alignment horizontal="center" vertical="center" wrapText="1"/>
      <protection locked="0"/>
    </xf>
    <xf numFmtId="177" fontId="22" fillId="0" borderId="51" xfId="0" applyNumberFormat="1" applyFont="1" applyFill="1" applyBorder="1" applyAlignment="1" applyProtection="1">
      <alignment vertical="center" shrinkToFit="1"/>
      <protection locked="0"/>
    </xf>
    <xf numFmtId="177" fontId="22" fillId="0" borderId="16" xfId="0" applyNumberFormat="1" applyFont="1" applyFill="1" applyBorder="1" applyAlignment="1" applyProtection="1">
      <alignment vertical="center" shrinkToFit="1"/>
      <protection locked="0"/>
    </xf>
    <xf numFmtId="0" fontId="0" fillId="0" borderId="17" xfId="0" applyFill="1" applyBorder="1" applyProtection="1">
      <alignment vertical="center"/>
      <protection locked="0"/>
    </xf>
    <xf numFmtId="0" fontId="0" fillId="0" borderId="22" xfId="0" applyFill="1" applyBorder="1" applyProtection="1">
      <alignment vertical="center"/>
      <protection locked="0"/>
    </xf>
    <xf numFmtId="0" fontId="0" fillId="0" borderId="52" xfId="0" applyFill="1" applyBorder="1" applyAlignment="1" applyProtection="1">
      <alignment horizontal="left" vertical="center" wrapText="1"/>
      <protection locked="0"/>
    </xf>
    <xf numFmtId="177" fontId="22" fillId="0" borderId="43" xfId="0" applyNumberFormat="1" applyFont="1" applyFill="1" applyBorder="1" applyAlignment="1" applyProtection="1">
      <alignment vertical="center" shrinkToFit="1"/>
      <protection locked="0"/>
    </xf>
    <xf numFmtId="0" fontId="0" fillId="0" borderId="28" xfId="0" applyFill="1" applyBorder="1" applyProtection="1">
      <alignment vertical="center"/>
      <protection locked="0"/>
    </xf>
    <xf numFmtId="0" fontId="6" fillId="0" borderId="0" xfId="0" applyFont="1" applyFill="1" applyAlignment="1" applyProtection="1">
      <alignment vertical="center" wrapText="1"/>
      <protection locked="0"/>
    </xf>
    <xf numFmtId="0" fontId="0" fillId="0" borderId="23" xfId="0" applyFont="1" applyFill="1" applyBorder="1" applyAlignment="1" applyProtection="1">
      <alignment horizontal="center" vertical="center" wrapText="1"/>
      <protection locked="0"/>
    </xf>
    <xf numFmtId="0" fontId="0" fillId="0" borderId="24" xfId="0" applyFont="1" applyFill="1" applyBorder="1" applyAlignment="1" applyProtection="1">
      <alignment horizontal="center" vertical="center"/>
      <protection locked="0"/>
    </xf>
    <xf numFmtId="0" fontId="0" fillId="0" borderId="25" xfId="0" applyFont="1" applyFill="1" applyBorder="1" applyAlignment="1" applyProtection="1">
      <alignment horizontal="center" vertical="center"/>
      <protection locked="0"/>
    </xf>
    <xf numFmtId="0" fontId="0" fillId="0" borderId="4" xfId="0" applyFill="1" applyBorder="1" applyProtection="1">
      <alignment vertical="center"/>
      <protection locked="0"/>
    </xf>
    <xf numFmtId="0" fontId="0" fillId="0" borderId="26" xfId="0" applyFill="1" applyBorder="1" applyAlignment="1" applyProtection="1">
      <alignment horizontal="left" vertical="center" wrapText="1"/>
      <protection locked="0"/>
    </xf>
    <xf numFmtId="177" fontId="22" fillId="0" borderId="27" xfId="0" applyNumberFormat="1" applyFont="1" applyFill="1" applyBorder="1" applyAlignment="1" applyProtection="1">
      <alignment vertical="center" shrinkToFit="1"/>
      <protection locked="0"/>
    </xf>
    <xf numFmtId="177" fontId="22" fillId="0" borderId="49" xfId="0" applyNumberFormat="1" applyFont="1" applyFill="1" applyBorder="1" applyAlignment="1" applyProtection="1">
      <alignment vertical="center" shrinkToFit="1"/>
      <protection locked="0"/>
    </xf>
    <xf numFmtId="0" fontId="0" fillId="0" borderId="49" xfId="0" applyFill="1" applyBorder="1" applyProtection="1">
      <alignment vertical="center"/>
      <protection locked="0"/>
    </xf>
    <xf numFmtId="0" fontId="0" fillId="0" borderId="30" xfId="0" applyFill="1" applyBorder="1" applyProtection="1">
      <alignment vertical="center"/>
      <protection locked="0"/>
    </xf>
    <xf numFmtId="177" fontId="22" fillId="0" borderId="14" xfId="0" applyNumberFormat="1" applyFont="1" applyFill="1" applyBorder="1" applyAlignment="1" applyProtection="1">
      <alignment vertical="center" shrinkToFit="1"/>
      <protection locked="0"/>
    </xf>
    <xf numFmtId="177" fontId="22" fillId="0" borderId="28" xfId="0" applyNumberFormat="1" applyFont="1" applyFill="1" applyBorder="1" applyAlignment="1" applyProtection="1">
      <alignment vertical="center" shrinkToFit="1"/>
      <protection locked="0"/>
    </xf>
    <xf numFmtId="0" fontId="0" fillId="0" borderId="38" xfId="0" applyFill="1" applyBorder="1" applyProtection="1">
      <alignment vertical="center"/>
      <protection locked="0"/>
    </xf>
    <xf numFmtId="177" fontId="22" fillId="0" borderId="17" xfId="0" applyNumberFormat="1" applyFont="1" applyFill="1" applyBorder="1" applyAlignment="1" applyProtection="1">
      <alignment vertical="center" shrinkToFit="1"/>
      <protection locked="0"/>
    </xf>
    <xf numFmtId="0" fontId="40" fillId="3" borderId="0" xfId="0" applyNumberFormat="1" applyFont="1" applyFill="1" applyBorder="1" applyAlignment="1">
      <alignment horizontal="left" vertical="center" indent="1"/>
    </xf>
    <xf numFmtId="0" fontId="33" fillId="3" borderId="0" xfId="0" applyNumberFormat="1" applyFont="1" applyFill="1" applyBorder="1" applyAlignment="1">
      <alignment vertical="center"/>
    </xf>
    <xf numFmtId="0" fontId="0" fillId="0" borderId="11" xfId="0" applyFill="1" applyBorder="1" applyAlignment="1" applyProtection="1">
      <alignment horizontal="center" vertical="center"/>
      <protection locked="0"/>
    </xf>
    <xf numFmtId="0" fontId="0" fillId="0" borderId="20" xfId="0"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0" fillId="0" borderId="29" xfId="0" applyFont="1" applyFill="1" applyBorder="1" applyAlignment="1" applyProtection="1">
      <alignment horizontal="center" vertical="center"/>
      <protection locked="0"/>
    </xf>
    <xf numFmtId="177" fontId="22" fillId="0" borderId="21" xfId="0" applyNumberFormat="1" applyFont="1" applyFill="1" applyBorder="1" applyAlignment="1" applyProtection="1">
      <alignment vertical="center" shrinkToFit="1"/>
      <protection locked="0"/>
    </xf>
    <xf numFmtId="177" fontId="22" fillId="0" borderId="53" xfId="0" applyNumberFormat="1" applyFont="1" applyFill="1" applyBorder="1" applyAlignment="1" applyProtection="1">
      <alignment vertical="center" shrinkToFit="1"/>
      <protection locked="0"/>
    </xf>
    <xf numFmtId="177" fontId="22" fillId="0" borderId="22" xfId="0" applyNumberFormat="1" applyFont="1" applyFill="1" applyBorder="1" applyAlignment="1" applyProtection="1">
      <alignment vertical="center" shrinkToFit="1"/>
      <protection locked="0"/>
    </xf>
    <xf numFmtId="0" fontId="6" fillId="0" borderId="12" xfId="0" applyFont="1" applyFill="1" applyBorder="1" applyAlignment="1" applyProtection="1">
      <alignment horizontal="left" vertical="center" wrapText="1"/>
      <protection locked="0"/>
    </xf>
    <xf numFmtId="0" fontId="0" fillId="0" borderId="12" xfId="0" applyFill="1" applyBorder="1" applyAlignment="1" applyProtection="1">
      <alignment horizontal="left" vertical="center" wrapText="1" indent="1"/>
      <protection locked="0"/>
    </xf>
    <xf numFmtId="0" fontId="28" fillId="0" borderId="14" xfId="0" applyFont="1" applyFill="1" applyBorder="1" applyProtection="1">
      <alignment vertical="center"/>
      <protection locked="0"/>
    </xf>
    <xf numFmtId="0" fontId="0" fillId="0" borderId="0" xfId="0" applyFill="1" applyBorder="1" applyAlignment="1" applyProtection="1">
      <alignment vertical="center" wrapText="1"/>
      <protection locked="0"/>
    </xf>
    <xf numFmtId="0" fontId="0" fillId="0" borderId="7" xfId="0" applyFill="1" applyBorder="1" applyProtection="1">
      <alignment vertical="center"/>
      <protection locked="0"/>
    </xf>
    <xf numFmtId="0" fontId="0" fillId="0" borderId="7" xfId="0" applyFill="1" applyBorder="1" applyAlignment="1" applyProtection="1">
      <alignment vertical="center" wrapText="1"/>
      <protection locked="0"/>
    </xf>
    <xf numFmtId="0" fontId="16" fillId="3" borderId="0" xfId="0" applyNumberFormat="1" applyFont="1" applyFill="1" applyBorder="1" applyAlignment="1">
      <alignment horizontal="center" vertical="center"/>
    </xf>
    <xf numFmtId="0" fontId="38" fillId="3" borderId="4" xfId="0" applyNumberFormat="1" applyFont="1" applyFill="1" applyBorder="1" applyAlignment="1">
      <alignment vertical="center"/>
    </xf>
    <xf numFmtId="0" fontId="38" fillId="3" borderId="0" xfId="0" applyNumberFormat="1" applyFont="1" applyFill="1" applyBorder="1" applyAlignment="1">
      <alignment vertical="center"/>
    </xf>
    <xf numFmtId="0" fontId="15" fillId="0" borderId="0" xfId="0" applyFont="1" applyFill="1">
      <alignment vertical="center"/>
    </xf>
    <xf numFmtId="0" fontId="0" fillId="0" borderId="0" xfId="0" applyFill="1" applyBorder="1">
      <alignment vertical="center"/>
    </xf>
    <xf numFmtId="0" fontId="0" fillId="0" borderId="0" xfId="0" applyFont="1" applyFill="1" applyAlignment="1">
      <alignment horizontal="left" vertical="center"/>
    </xf>
    <xf numFmtId="0" fontId="6" fillId="0" borderId="0" xfId="0" applyFont="1" applyFill="1" applyAlignment="1">
      <alignment horizontal="right" vertical="center"/>
    </xf>
    <xf numFmtId="0" fontId="34" fillId="0" borderId="0" xfId="0" applyFont="1" applyFill="1" applyBorder="1">
      <alignment vertical="center"/>
    </xf>
    <xf numFmtId="0" fontId="24" fillId="0" borderId="0" xfId="0" applyFont="1" applyFill="1" applyBorder="1" applyAlignment="1">
      <alignment horizontal="left" vertical="center" indent="1"/>
    </xf>
    <xf numFmtId="176" fontId="0" fillId="0" borderId="1" xfId="4" applyFont="1" applyFill="1" applyBorder="1">
      <alignment vertical="center"/>
    </xf>
    <xf numFmtId="0" fontId="0" fillId="0" borderId="10" xfId="0" applyFill="1" applyBorder="1" applyAlignment="1">
      <alignment horizontal="center" vertical="center"/>
    </xf>
    <xf numFmtId="0" fontId="0" fillId="0" borderId="20" xfId="0" applyFill="1" applyBorder="1" applyAlignment="1">
      <alignment horizontal="center" vertical="center"/>
    </xf>
    <xf numFmtId="0" fontId="0" fillId="0" borderId="12" xfId="0" applyFill="1" applyBorder="1">
      <alignment vertical="center"/>
    </xf>
    <xf numFmtId="177" fontId="22" fillId="0" borderId="14" xfId="0" applyNumberFormat="1" applyFont="1" applyFill="1" applyBorder="1" applyAlignment="1">
      <alignment vertical="center" shrinkToFit="1"/>
    </xf>
    <xf numFmtId="177" fontId="22" fillId="0" borderId="28" xfId="0" applyNumberFormat="1" applyFont="1" applyFill="1" applyBorder="1" applyAlignment="1">
      <alignment vertical="center" shrinkToFit="1"/>
    </xf>
    <xf numFmtId="0" fontId="0" fillId="0" borderId="15" xfId="0" applyFill="1" applyBorder="1" applyAlignment="1">
      <alignment horizontal="center" vertical="center"/>
    </xf>
    <xf numFmtId="177" fontId="22" fillId="0" borderId="53" xfId="0" applyNumberFormat="1" applyFont="1" applyFill="1" applyBorder="1" applyAlignment="1">
      <alignment vertical="center" shrinkToFit="1"/>
    </xf>
    <xf numFmtId="0" fontId="0" fillId="0" borderId="18" xfId="0" applyFill="1" applyBorder="1">
      <alignment vertical="center"/>
    </xf>
    <xf numFmtId="0" fontId="6" fillId="0" borderId="42" xfId="0" applyFont="1" applyFill="1" applyBorder="1">
      <alignment vertical="center"/>
    </xf>
    <xf numFmtId="177" fontId="22" fillId="0" borderId="47" xfId="0" applyNumberFormat="1" applyFont="1" applyFill="1" applyBorder="1" applyAlignment="1">
      <alignment vertical="center" shrinkToFit="1"/>
    </xf>
    <xf numFmtId="0" fontId="0" fillId="0" borderId="10" xfId="0" applyFill="1" applyBorder="1" applyAlignment="1">
      <alignment horizontal="left" vertical="center"/>
    </xf>
    <xf numFmtId="177" fontId="22" fillId="0" borderId="20" xfId="0" applyNumberFormat="1" applyFont="1" applyFill="1" applyBorder="1" applyAlignment="1">
      <alignment vertical="center" shrinkToFit="1"/>
    </xf>
    <xf numFmtId="0" fontId="0" fillId="0" borderId="12" xfId="0" applyFill="1" applyBorder="1" applyAlignment="1">
      <alignment horizontal="left" vertical="center" indent="2"/>
    </xf>
    <xf numFmtId="0" fontId="0" fillId="0" borderId="0" xfId="0" applyFill="1" applyAlignment="1">
      <alignment horizontal="left" vertical="center" indent="2"/>
    </xf>
    <xf numFmtId="0" fontId="0" fillId="0" borderId="11" xfId="0" applyFill="1" applyBorder="1" applyAlignment="1">
      <alignment horizontal="center" vertical="center"/>
    </xf>
    <xf numFmtId="177" fontId="22" fillId="0" borderId="13" xfId="0" applyNumberFormat="1" applyFont="1" applyFill="1" applyBorder="1" applyAlignment="1">
      <alignment vertical="center" shrinkToFit="1"/>
    </xf>
    <xf numFmtId="177" fontId="22" fillId="0" borderId="50" xfId="0" applyNumberFormat="1" applyFont="1" applyFill="1" applyBorder="1" applyAlignment="1">
      <alignment vertical="center" shrinkToFit="1"/>
    </xf>
    <xf numFmtId="177" fontId="22" fillId="0" borderId="51" xfId="0" applyNumberFormat="1" applyFont="1" applyFill="1" applyBorder="1" applyAlignment="1">
      <alignment vertical="center" shrinkToFit="1"/>
    </xf>
    <xf numFmtId="0" fontId="0" fillId="0" borderId="15" xfId="0" applyFill="1" applyBorder="1" applyAlignment="1">
      <alignment vertical="center" wrapText="1"/>
    </xf>
    <xf numFmtId="177" fontId="22" fillId="0" borderId="45" xfId="0" applyNumberFormat="1" applyFont="1" applyFill="1" applyBorder="1" applyAlignment="1">
      <alignment vertical="center" shrinkToFit="1"/>
    </xf>
    <xf numFmtId="177" fontId="22" fillId="0" borderId="48" xfId="0" applyNumberFormat="1" applyFont="1" applyFill="1" applyBorder="1" applyAlignment="1">
      <alignment vertical="center" shrinkToFit="1"/>
    </xf>
    <xf numFmtId="0" fontId="6" fillId="0" borderId="0" xfId="0" applyFont="1" applyFill="1" applyBorder="1">
      <alignment vertical="center"/>
    </xf>
    <xf numFmtId="0" fontId="0" fillId="0" borderId="12" xfId="0" applyFill="1" applyBorder="1" applyAlignment="1">
      <alignment horizontal="left" vertical="center" indent="1"/>
    </xf>
    <xf numFmtId="0" fontId="0" fillId="0" borderId="12" xfId="0" applyFont="1" applyFill="1" applyBorder="1" applyAlignment="1">
      <alignment horizontal="center" vertical="center"/>
    </xf>
    <xf numFmtId="177" fontId="22" fillId="0" borderId="27" xfId="0" applyNumberFormat="1" applyFont="1" applyFill="1" applyBorder="1" applyAlignment="1">
      <alignment vertical="center" shrinkToFit="1"/>
    </xf>
    <xf numFmtId="177" fontId="22" fillId="0" borderId="49" xfId="0" applyNumberFormat="1" applyFont="1" applyFill="1" applyBorder="1" applyAlignment="1">
      <alignment vertical="center" shrinkToFit="1"/>
    </xf>
    <xf numFmtId="0" fontId="12" fillId="3" borderId="0" xfId="0" applyNumberFormat="1" applyFont="1" applyFill="1" applyBorder="1" applyAlignment="1">
      <alignment vertical="center"/>
    </xf>
    <xf numFmtId="0" fontId="6" fillId="0" borderId="15" xfId="0" applyFont="1" applyFill="1" applyBorder="1">
      <alignment vertical="center"/>
    </xf>
    <xf numFmtId="177" fontId="22" fillId="0" borderId="0" xfId="0" applyNumberFormat="1" applyFont="1" applyFill="1" applyAlignment="1">
      <alignment vertical="center" shrinkToFit="1"/>
    </xf>
    <xf numFmtId="177" fontId="22" fillId="0" borderId="19" xfId="0" applyNumberFormat="1" applyFont="1" applyFill="1" applyBorder="1" applyAlignment="1">
      <alignment vertical="center" shrinkToFit="1"/>
    </xf>
    <xf numFmtId="176" fontId="0" fillId="0" borderId="0" xfId="4" applyFont="1" applyFill="1" applyBorder="1">
      <alignment vertical="center"/>
    </xf>
    <xf numFmtId="0" fontId="0" fillId="0" borderId="1" xfId="0" applyFill="1" applyBorder="1">
      <alignment vertical="center"/>
    </xf>
    <xf numFmtId="0" fontId="0" fillId="0" borderId="29" xfId="0" applyFill="1" applyBorder="1" applyAlignment="1">
      <alignment horizontal="center" vertical="center"/>
    </xf>
    <xf numFmtId="0" fontId="0" fillId="0" borderId="21" xfId="0" applyFill="1" applyBorder="1" applyAlignment="1">
      <alignment horizontal="left" vertical="center"/>
    </xf>
    <xf numFmtId="177" fontId="22" fillId="0" borderId="12" xfId="0" applyNumberFormat="1" applyFont="1" applyFill="1" applyBorder="1" applyAlignment="1">
      <alignment vertical="center" shrinkToFit="1"/>
    </xf>
    <xf numFmtId="0" fontId="0" fillId="0" borderId="21" xfId="0" applyFill="1" applyBorder="1" applyAlignment="1">
      <alignment horizontal="left" vertical="center" indent="2"/>
    </xf>
    <xf numFmtId="0" fontId="0" fillId="0" borderId="22" xfId="0" applyFill="1" applyBorder="1" applyAlignment="1">
      <alignment horizontal="center" vertical="center"/>
    </xf>
    <xf numFmtId="177" fontId="22" fillId="0" borderId="15" xfId="0" applyNumberFormat="1" applyFont="1" applyFill="1" applyBorder="1" applyAlignment="1">
      <alignment vertical="center" shrinkToFit="1"/>
    </xf>
    <xf numFmtId="0" fontId="0" fillId="0" borderId="0" xfId="0" applyFill="1" applyBorder="1" applyAlignment="1">
      <alignment horizontal="left" vertical="center"/>
    </xf>
    <xf numFmtId="177" fontId="22" fillId="0" borderId="1" xfId="0" applyNumberFormat="1" applyFont="1" applyFill="1" applyBorder="1" applyAlignment="1">
      <alignment vertical="center" shrinkToFit="1"/>
    </xf>
    <xf numFmtId="177" fontId="22" fillId="0" borderId="4" xfId="0" applyNumberFormat="1" applyFont="1" applyFill="1" applyBorder="1" applyAlignment="1">
      <alignment vertical="center" shrinkToFit="1"/>
    </xf>
    <xf numFmtId="0" fontId="0" fillId="0" borderId="7" xfId="0" applyFill="1" applyBorder="1">
      <alignment vertical="center"/>
    </xf>
    <xf numFmtId="177" fontId="22" fillId="0" borderId="7" xfId="0" applyNumberFormat="1" applyFont="1" applyFill="1" applyBorder="1" applyAlignment="1">
      <alignment vertical="center" shrinkToFit="1"/>
    </xf>
    <xf numFmtId="0" fontId="41" fillId="6" borderId="0" xfId="0" applyFont="1" applyFill="1">
      <alignment vertical="center"/>
    </xf>
    <xf numFmtId="0" fontId="0" fillId="6" borderId="0" xfId="0" applyFill="1">
      <alignment vertical="center"/>
    </xf>
    <xf numFmtId="0" fontId="0" fillId="0" borderId="0" xfId="0" applyFont="1">
      <alignment vertical="center"/>
    </xf>
    <xf numFmtId="0" fontId="0" fillId="6" borderId="0" xfId="0" applyFill="1" applyBorder="1">
      <alignment vertical="center"/>
    </xf>
    <xf numFmtId="0" fontId="0" fillId="6" borderId="0" xfId="0" applyFill="1" applyProtection="1">
      <alignment vertical="center"/>
      <protection locked="0"/>
    </xf>
    <xf numFmtId="0" fontId="0" fillId="6" borderId="0" xfId="0" applyFont="1" applyFill="1">
      <alignment vertical="center"/>
    </xf>
    <xf numFmtId="0" fontId="42" fillId="6" borderId="0" xfId="0" applyFont="1" applyFill="1" applyProtection="1">
      <alignment vertical="center"/>
      <protection hidden="1"/>
    </xf>
    <xf numFmtId="0" fontId="41" fillId="6" borderId="0" xfId="0" applyFont="1" applyFill="1" applyProtection="1">
      <alignment vertical="center"/>
      <protection hidden="1"/>
    </xf>
    <xf numFmtId="0" fontId="0" fillId="6" borderId="0" xfId="0" applyFill="1" applyBorder="1" applyAlignment="1" applyProtection="1">
      <alignment horizontal="left" vertical="center" indent="1"/>
      <protection hidden="1"/>
    </xf>
    <xf numFmtId="0" fontId="0" fillId="6" borderId="1" xfId="0" applyFill="1" applyBorder="1" applyAlignment="1" applyProtection="1">
      <alignment horizontal="left" vertical="center"/>
    </xf>
    <xf numFmtId="0" fontId="0" fillId="6" borderId="0" xfId="0" applyFill="1" applyBorder="1" applyAlignment="1" applyProtection="1">
      <alignment horizontal="left" vertical="center" wrapText="1" indent="1"/>
      <protection hidden="1"/>
    </xf>
    <xf numFmtId="0" fontId="6" fillId="6" borderId="4" xfId="0" applyFont="1" applyFill="1" applyBorder="1" applyAlignment="1" applyProtection="1">
      <alignment horizontal="left" vertical="center"/>
      <protection hidden="1"/>
    </xf>
    <xf numFmtId="178" fontId="18" fillId="6" borderId="4" xfId="0" applyNumberFormat="1" applyFont="1" applyFill="1" applyBorder="1" applyAlignment="1" applyProtection="1">
      <alignment horizontal="left" vertical="center"/>
    </xf>
    <xf numFmtId="0" fontId="0" fillId="6" borderId="7" xfId="0" applyFill="1" applyBorder="1" applyProtection="1">
      <alignment vertical="center"/>
      <protection hidden="1"/>
    </xf>
    <xf numFmtId="0" fontId="0" fillId="6" borderId="0" xfId="0" applyFill="1" applyProtection="1">
      <alignment vertical="center"/>
      <protection hidden="1"/>
    </xf>
    <xf numFmtId="0" fontId="43" fillId="6" borderId="0" xfId="0" applyFont="1" applyFill="1" applyAlignment="1" applyProtection="1">
      <alignment horizontal="left" vertical="center"/>
      <protection hidden="1"/>
    </xf>
    <xf numFmtId="177" fontId="44" fillId="6" borderId="54" xfId="5" applyNumberFormat="1" applyFont="1" applyFill="1" applyBorder="1" applyAlignment="1" applyProtection="1">
      <alignment vertical="center" shrinkToFit="1"/>
    </xf>
    <xf numFmtId="0" fontId="45" fillId="6" borderId="0" xfId="0" applyFont="1" applyFill="1" applyProtection="1">
      <alignment vertical="center"/>
      <protection hidden="1"/>
    </xf>
    <xf numFmtId="0" fontId="29" fillId="6" borderId="1" xfId="0" applyFont="1" applyFill="1" applyBorder="1" applyAlignment="1" applyProtection="1">
      <alignment vertical="center" wrapText="1"/>
    </xf>
    <xf numFmtId="0" fontId="0" fillId="6" borderId="1" xfId="0" applyFill="1" applyBorder="1" applyProtection="1">
      <alignment vertical="center"/>
      <protection hidden="1"/>
    </xf>
    <xf numFmtId="0" fontId="6" fillId="6" borderId="0" xfId="0" applyFont="1" applyFill="1" applyAlignment="1" applyProtection="1">
      <alignment horizontal="left" vertical="center"/>
    </xf>
    <xf numFmtId="0" fontId="42" fillId="8" borderId="57" xfId="0" applyFont="1" applyFill="1" applyBorder="1" applyAlignment="1" applyProtection="1">
      <alignment vertical="center" wrapText="1"/>
    </xf>
    <xf numFmtId="177" fontId="22" fillId="0" borderId="58" xfId="0" applyNumberFormat="1" applyFont="1" applyFill="1" applyBorder="1" applyAlignment="1" applyProtection="1">
      <alignment vertical="center" shrinkToFit="1"/>
      <protection locked="0"/>
    </xf>
    <xf numFmtId="0" fontId="42" fillId="7" borderId="59" xfId="0" applyFont="1" applyFill="1" applyBorder="1" applyAlignment="1" applyProtection="1">
      <alignment horizontal="center" vertical="center" wrapText="1"/>
    </xf>
    <xf numFmtId="177" fontId="46" fillId="7" borderId="60" xfId="0" applyNumberFormat="1" applyFont="1" applyFill="1" applyBorder="1" applyAlignment="1" applyProtection="1">
      <alignment vertical="center" shrinkToFit="1"/>
    </xf>
    <xf numFmtId="0" fontId="0" fillId="8" borderId="0" xfId="0" applyFill="1" applyAlignment="1" applyProtection="1">
      <alignment horizontal="left" vertical="center" wrapText="1" indent="2"/>
    </xf>
    <xf numFmtId="177" fontId="22" fillId="0" borderId="61" xfId="0" applyNumberFormat="1" applyFont="1" applyFill="1" applyBorder="1" applyAlignment="1" applyProtection="1">
      <alignment vertical="center" shrinkToFit="1"/>
      <protection locked="0"/>
    </xf>
    <xf numFmtId="0" fontId="0" fillId="8" borderId="0" xfId="0" applyFill="1" applyAlignment="1" applyProtection="1">
      <alignment horizontal="left" vertical="center"/>
      <protection hidden="1"/>
    </xf>
    <xf numFmtId="177" fontId="22" fillId="6" borderId="0" xfId="0" applyNumberFormat="1" applyFont="1" applyFill="1" applyAlignment="1" applyProtection="1">
      <alignment vertical="center" shrinkToFit="1"/>
      <protection hidden="1"/>
    </xf>
    <xf numFmtId="0" fontId="48" fillId="6" borderId="0" xfId="0" applyNumberFormat="1" applyFont="1" applyFill="1" applyAlignment="1" applyProtection="1">
      <alignment vertical="center" wrapText="1"/>
      <protection locked="0"/>
    </xf>
    <xf numFmtId="0" fontId="49" fillId="6" borderId="0" xfId="0" applyNumberFormat="1" applyFont="1" applyFill="1" applyAlignment="1" applyProtection="1">
      <alignment vertical="center"/>
      <protection locked="0"/>
    </xf>
    <xf numFmtId="0" fontId="0" fillId="7" borderId="58" xfId="0"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50" fillId="0" borderId="58" xfId="0" applyNumberFormat="1" applyFont="1" applyFill="1" applyBorder="1" applyAlignment="1" applyProtection="1">
      <alignment vertical="center" shrinkToFit="1"/>
      <protection locked="0"/>
    </xf>
    <xf numFmtId="0" fontId="0" fillId="6" borderId="5" xfId="0" applyFill="1" applyBorder="1" applyProtection="1">
      <alignment vertical="center"/>
      <protection hidden="1"/>
    </xf>
    <xf numFmtId="0" fontId="0" fillId="6" borderId="0" xfId="0" applyFill="1" applyBorder="1" applyProtection="1">
      <alignment vertical="center"/>
      <protection hidden="1"/>
    </xf>
    <xf numFmtId="0" fontId="0" fillId="6" borderId="0" xfId="0" applyFont="1" applyFill="1" applyBorder="1" applyAlignment="1" applyProtection="1">
      <alignment horizontal="center" vertical="center"/>
      <protection hidden="1"/>
    </xf>
    <xf numFmtId="0" fontId="0" fillId="6" borderId="3" xfId="0" applyFill="1" applyBorder="1" applyAlignment="1" applyProtection="1">
      <alignment horizontal="center" vertical="center"/>
      <protection hidden="1"/>
    </xf>
    <xf numFmtId="0" fontId="0" fillId="6" borderId="4" xfId="0" applyFill="1" applyBorder="1" applyProtection="1">
      <alignment vertical="center"/>
      <protection hidden="1"/>
    </xf>
    <xf numFmtId="0" fontId="0" fillId="6" borderId="6" xfId="0" applyFill="1" applyBorder="1" applyProtection="1">
      <alignment vertical="center"/>
      <protection hidden="1"/>
    </xf>
    <xf numFmtId="0" fontId="51" fillId="6" borderId="0" xfId="0" applyFont="1" applyFill="1" applyBorder="1" applyAlignment="1" applyProtection="1">
      <alignment horizontal="left" vertical="center" indent="1"/>
      <protection hidden="1"/>
    </xf>
    <xf numFmtId="0" fontId="16" fillId="6" borderId="1" xfId="0" applyFont="1" applyFill="1" applyBorder="1" applyAlignment="1" applyProtection="1">
      <alignment horizontal="center" vertical="center"/>
    </xf>
    <xf numFmtId="178" fontId="18" fillId="6" borderId="5" xfId="0" applyNumberFormat="1" applyFont="1" applyFill="1" applyBorder="1" applyAlignment="1" applyProtection="1">
      <alignment horizontal="center" vertical="center"/>
    </xf>
    <xf numFmtId="178" fontId="18" fillId="6" borderId="6" xfId="0" applyNumberFormat="1" applyFont="1" applyFill="1" applyBorder="1" applyAlignment="1" applyProtection="1">
      <alignment horizontal="center" vertical="center"/>
    </xf>
    <xf numFmtId="0" fontId="0" fillId="6" borderId="9" xfId="0" applyFill="1" applyBorder="1" applyProtection="1">
      <alignment vertical="center"/>
      <protection hidden="1"/>
    </xf>
    <xf numFmtId="0" fontId="0" fillId="6" borderId="63" xfId="0" applyFill="1" applyBorder="1" applyProtection="1">
      <alignment vertical="center"/>
      <protection hidden="1"/>
    </xf>
    <xf numFmtId="177" fontId="44" fillId="6" borderId="0" xfId="5" applyNumberFormat="1" applyFont="1" applyFill="1" applyAlignment="1" applyProtection="1">
      <alignment vertical="center" shrinkToFit="1"/>
    </xf>
    <xf numFmtId="177" fontId="43" fillId="6" borderId="0" xfId="0" applyNumberFormat="1" applyFont="1" applyFill="1" applyAlignment="1" applyProtection="1">
      <alignment vertical="center" shrinkToFit="1"/>
    </xf>
    <xf numFmtId="182" fontId="44" fillId="6" borderId="0" xfId="5" applyNumberFormat="1" applyFont="1" applyFill="1" applyAlignment="1" applyProtection="1">
      <alignment horizontal="center" vertical="center" shrinkToFit="1"/>
    </xf>
    <xf numFmtId="0" fontId="43" fillId="6" borderId="0" xfId="0" applyFont="1" applyFill="1">
      <alignment vertical="center"/>
    </xf>
    <xf numFmtId="182" fontId="22" fillId="6" borderId="0" xfId="0" applyNumberFormat="1" applyFont="1" applyFill="1" applyAlignment="1" applyProtection="1">
      <alignment horizontal="center" vertical="center" shrinkToFit="1"/>
    </xf>
    <xf numFmtId="0" fontId="43" fillId="6" borderId="0" xfId="0" applyFont="1" applyFill="1" applyAlignment="1" applyProtection="1">
      <alignment horizontal="left" vertical="center" indent="1"/>
      <protection hidden="1"/>
    </xf>
    <xf numFmtId="0" fontId="43" fillId="6" borderId="0" xfId="0" applyFont="1" applyFill="1" applyAlignment="1" applyProtection="1">
      <alignment horizontal="left" vertical="center" indent="1"/>
    </xf>
    <xf numFmtId="0" fontId="1" fillId="6" borderId="0" xfId="0" applyFont="1" applyFill="1" applyProtection="1">
      <alignment vertical="center"/>
      <protection hidden="1"/>
    </xf>
    <xf numFmtId="177" fontId="50" fillId="6" borderId="1" xfId="0" applyNumberFormat="1" applyFont="1" applyFill="1" applyBorder="1" applyAlignment="1" applyProtection="1">
      <alignment vertical="center" shrinkToFit="1"/>
    </xf>
    <xf numFmtId="177" fontId="22" fillId="6" borderId="1" xfId="0" applyNumberFormat="1" applyFont="1" applyFill="1" applyBorder="1" applyAlignment="1" applyProtection="1">
      <alignment vertical="center" shrinkToFit="1"/>
      <protection hidden="1"/>
    </xf>
    <xf numFmtId="0" fontId="53" fillId="6" borderId="0" xfId="0" applyFont="1" applyFill="1" applyProtection="1">
      <alignment vertical="center"/>
      <protection locked="0"/>
    </xf>
    <xf numFmtId="177" fontId="50" fillId="6" borderId="0" xfId="0" applyNumberFormat="1" applyFont="1" applyFill="1" applyAlignment="1" applyProtection="1">
      <alignment vertical="center" shrinkToFit="1"/>
    </xf>
    <xf numFmtId="177" fontId="22" fillId="6" borderId="0" xfId="0" applyNumberFormat="1" applyFont="1" applyFill="1" applyAlignment="1" applyProtection="1">
      <alignment vertical="center" shrinkToFit="1"/>
    </xf>
    <xf numFmtId="177" fontId="22" fillId="0" borderId="65" xfId="0" applyNumberFormat="1" applyFont="1" applyFill="1" applyBorder="1" applyAlignment="1" applyProtection="1">
      <alignment vertical="center" shrinkToFit="1"/>
      <protection locked="0"/>
    </xf>
    <xf numFmtId="177" fontId="46" fillId="7" borderId="66" xfId="0" applyNumberFormat="1" applyFont="1" applyFill="1" applyBorder="1" applyAlignment="1" applyProtection="1">
      <alignment vertical="center" shrinkToFit="1"/>
    </xf>
    <xf numFmtId="177" fontId="22" fillId="0" borderId="67" xfId="0" applyNumberFormat="1" applyFont="1" applyFill="1" applyBorder="1" applyAlignment="1" applyProtection="1">
      <alignment vertical="center" shrinkToFit="1"/>
      <protection locked="0"/>
    </xf>
    <xf numFmtId="177" fontId="22" fillId="6" borderId="0" xfId="0" applyNumberFormat="1" applyFont="1" applyFill="1" applyAlignment="1" applyProtection="1">
      <alignment vertical="center" shrinkToFit="1"/>
      <protection locked="0"/>
    </xf>
    <xf numFmtId="0" fontId="22" fillId="6" borderId="0" xfId="0" applyNumberFormat="1" applyFont="1" applyFill="1" applyAlignment="1" applyProtection="1">
      <alignment vertical="center"/>
      <protection locked="0"/>
    </xf>
    <xf numFmtId="177" fontId="49" fillId="6" borderId="0" xfId="0" applyNumberFormat="1" applyFont="1" applyFill="1" applyAlignment="1" applyProtection="1">
      <alignment vertical="center" shrinkToFit="1"/>
      <protection locked="0"/>
    </xf>
    <xf numFmtId="177" fontId="49" fillId="6" borderId="0" xfId="0" applyNumberFormat="1" applyFont="1" applyFill="1" applyAlignment="1" applyProtection="1">
      <alignment vertical="center" shrinkToFit="1"/>
    </xf>
    <xf numFmtId="0" fontId="54"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vertical="center"/>
      <protection locked="0"/>
    </xf>
    <xf numFmtId="0" fontId="55" fillId="6" borderId="0" xfId="0" applyFont="1" applyFill="1" applyProtection="1">
      <alignment vertical="center"/>
      <protection locked="0"/>
    </xf>
    <xf numFmtId="177" fontId="49" fillId="6" borderId="62" xfId="0" applyNumberFormat="1" applyFont="1" applyFill="1" applyBorder="1" applyAlignment="1" applyProtection="1">
      <alignment vertical="center" shrinkToFit="1"/>
      <protection locked="0"/>
    </xf>
    <xf numFmtId="0" fontId="7" fillId="6" borderId="0" xfId="0" applyNumberFormat="1" applyFont="1" applyFill="1" applyAlignment="1" applyProtection="1">
      <alignment horizontal="left" vertical="center"/>
      <protection locked="0"/>
    </xf>
    <xf numFmtId="0" fontId="0" fillId="7" borderId="58" xfId="0" applyFont="1" applyFill="1" applyBorder="1" applyAlignment="1" applyProtection="1">
      <alignment horizontal="center" vertical="center" wrapText="1"/>
      <protection hidden="1"/>
    </xf>
    <xf numFmtId="0" fontId="0" fillId="7" borderId="65" xfId="0" applyFont="1" applyFill="1" applyBorder="1" applyAlignment="1" applyProtection="1">
      <alignment horizontal="center" vertical="center" wrapText="1"/>
      <protection hidden="1"/>
    </xf>
    <xf numFmtId="0" fontId="22" fillId="0" borderId="58" xfId="0" applyNumberFormat="1" applyFont="1" applyFill="1" applyBorder="1" applyAlignment="1" applyProtection="1">
      <alignment vertical="center"/>
      <protection locked="0"/>
    </xf>
    <xf numFmtId="177" fontId="50" fillId="0" borderId="65" xfId="0" applyNumberFormat="1" applyFont="1" applyFill="1" applyBorder="1" applyAlignment="1" applyProtection="1">
      <alignment vertical="center" shrinkToFit="1"/>
      <protection locked="0"/>
    </xf>
    <xf numFmtId="0" fontId="41" fillId="6" borderId="0" xfId="0" applyFont="1" applyFill="1" applyBorder="1" applyProtection="1">
      <alignment vertical="center"/>
      <protection hidden="1"/>
    </xf>
    <xf numFmtId="0" fontId="41" fillId="6" borderId="0" xfId="0" applyFont="1" applyFill="1" applyProtection="1">
      <alignment vertical="center"/>
      <protection locked="0"/>
    </xf>
    <xf numFmtId="0" fontId="0" fillId="6" borderId="68" xfId="0" applyFill="1" applyBorder="1" applyProtection="1">
      <alignment vertical="center"/>
      <protection locked="0"/>
    </xf>
    <xf numFmtId="0" fontId="28" fillId="6" borderId="68" xfId="0" applyFont="1" applyFill="1" applyBorder="1" applyProtection="1">
      <alignment vertical="center"/>
      <protection locked="0"/>
    </xf>
    <xf numFmtId="0" fontId="45" fillId="6" borderId="0" xfId="0" applyFont="1" applyFill="1" applyBorder="1" applyProtection="1">
      <alignment vertical="center"/>
      <protection hidden="1"/>
    </xf>
    <xf numFmtId="0" fontId="0" fillId="6" borderId="0" xfId="0" applyFill="1" applyBorder="1" applyProtection="1">
      <alignment vertical="center"/>
      <protection locked="0"/>
    </xf>
    <xf numFmtId="0" fontId="0" fillId="6" borderId="0" xfId="0" applyFont="1" applyFill="1" applyProtection="1">
      <alignment vertical="center"/>
      <protection hidden="1"/>
    </xf>
    <xf numFmtId="0" fontId="56" fillId="6" borderId="0" xfId="0" applyFont="1" applyFill="1">
      <alignment vertical="center"/>
    </xf>
    <xf numFmtId="0" fontId="0" fillId="8" borderId="0" xfId="0" applyFont="1" applyFill="1" applyAlignment="1" applyProtection="1">
      <alignment horizontal="left" vertical="center" wrapText="1" indent="2"/>
    </xf>
    <xf numFmtId="0" fontId="56" fillId="6" borderId="0" xfId="0" applyFont="1" applyFill="1" applyProtection="1">
      <alignment vertical="center"/>
      <protection hidden="1"/>
    </xf>
    <xf numFmtId="0" fontId="6" fillId="6" borderId="0" xfId="0" applyFont="1" applyFill="1" applyAlignment="1" applyProtection="1">
      <alignment horizontal="left" vertical="center" wrapText="1"/>
    </xf>
    <xf numFmtId="0" fontId="42" fillId="10" borderId="55" xfId="0" applyFont="1" applyFill="1" applyBorder="1" applyAlignment="1" applyProtection="1">
      <alignment horizontal="center" vertical="center" wrapText="1"/>
      <protection hidden="1"/>
    </xf>
    <xf numFmtId="0" fontId="42" fillId="10" borderId="59" xfId="0" applyFont="1" applyFill="1" applyBorder="1" applyAlignment="1" applyProtection="1">
      <alignment horizontal="center" vertical="center" wrapText="1"/>
    </xf>
    <xf numFmtId="177" fontId="46" fillId="10" borderId="60" xfId="0" applyNumberFormat="1" applyFont="1" applyFill="1" applyBorder="1" applyAlignment="1" applyProtection="1">
      <alignment vertical="center" shrinkToFit="1"/>
    </xf>
    <xf numFmtId="0" fontId="6" fillId="6" borderId="0" xfId="0" applyFont="1" applyFill="1" applyAlignment="1" applyProtection="1">
      <alignment horizontal="left" vertical="center" wrapText="1"/>
      <protection hidden="1"/>
    </xf>
    <xf numFmtId="177" fontId="46" fillId="0" borderId="58" xfId="0" applyNumberFormat="1" applyFont="1" applyFill="1" applyBorder="1" applyAlignment="1" applyProtection="1">
      <alignment vertical="center" shrinkToFit="1"/>
      <protection locked="0"/>
    </xf>
    <xf numFmtId="0" fontId="0" fillId="3" borderId="69" xfId="0" applyFill="1" applyBorder="1" applyAlignment="1" applyProtection="1">
      <alignment horizontal="center" vertical="center" wrapText="1"/>
      <protection hidden="1"/>
    </xf>
    <xf numFmtId="0" fontId="0" fillId="3" borderId="70"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xf>
    <xf numFmtId="177" fontId="50"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xf>
    <xf numFmtId="177" fontId="22" fillId="0" borderId="72" xfId="0" applyNumberFormat="1" applyFont="1" applyFill="1" applyBorder="1" applyAlignment="1" applyProtection="1">
      <alignment vertical="center" shrinkToFit="1"/>
      <protection locked="0"/>
    </xf>
    <xf numFmtId="0" fontId="58" fillId="6" borderId="71" xfId="0" applyFont="1" applyFill="1" applyBorder="1" applyAlignment="1" applyProtection="1">
      <alignment horizontal="left" vertical="center" wrapText="1" indent="1"/>
      <protection locked="0"/>
    </xf>
    <xf numFmtId="0" fontId="58" fillId="6" borderId="71" xfId="0" applyFont="1" applyFill="1" applyBorder="1" applyAlignment="1" applyProtection="1">
      <alignment horizontal="center" vertical="center" wrapText="1"/>
    </xf>
    <xf numFmtId="177" fontId="46" fillId="0" borderId="72" xfId="0" applyNumberFormat="1" applyFont="1" applyFill="1" applyBorder="1" applyAlignment="1" applyProtection="1">
      <alignment vertical="center" shrinkToFit="1"/>
      <protection locked="0"/>
    </xf>
    <xf numFmtId="0" fontId="58" fillId="6" borderId="0" xfId="0" applyFont="1" applyFill="1" applyProtection="1">
      <alignment vertical="center"/>
      <protection hidden="1"/>
    </xf>
    <xf numFmtId="0" fontId="22" fillId="0" borderId="65" xfId="0" applyNumberFormat="1" applyFont="1" applyFill="1" applyBorder="1" applyAlignment="1" applyProtection="1">
      <alignment vertical="center"/>
      <protection locked="0"/>
    </xf>
    <xf numFmtId="0" fontId="53" fillId="6" borderId="0" xfId="0" applyFont="1" applyFill="1" applyProtection="1">
      <alignment vertical="center"/>
      <protection hidden="1"/>
    </xf>
    <xf numFmtId="0" fontId="59" fillId="6" borderId="0" xfId="0" applyNumberFormat="1" applyFont="1" applyFill="1" applyAlignment="1" applyProtection="1">
      <alignment vertical="center"/>
      <protection locked="0"/>
    </xf>
    <xf numFmtId="177" fontId="50" fillId="6" borderId="0" xfId="0" applyNumberFormat="1" applyFont="1" applyFill="1" applyAlignment="1" applyProtection="1">
      <alignment vertical="center" shrinkToFit="1"/>
      <protection locked="0"/>
    </xf>
    <xf numFmtId="0" fontId="50" fillId="6" borderId="0" xfId="0" applyNumberFormat="1" applyFont="1" applyFill="1" applyAlignment="1" applyProtection="1">
      <alignment vertical="center"/>
      <protection hidden="1"/>
    </xf>
    <xf numFmtId="0" fontId="22" fillId="6" borderId="0" xfId="0" applyNumberFormat="1" applyFont="1" applyFill="1" applyAlignment="1" applyProtection="1">
      <alignment vertical="center"/>
      <protection hidden="1"/>
    </xf>
    <xf numFmtId="177" fontId="59" fillId="0" borderId="65"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xf>
    <xf numFmtId="177" fontId="59" fillId="6" borderId="0" xfId="0" applyNumberFormat="1" applyFont="1" applyFill="1" applyAlignment="1" applyProtection="1">
      <alignment vertical="center" shrinkToFit="1"/>
      <protection hidden="1"/>
    </xf>
    <xf numFmtId="177" fontId="46" fillId="0" borderId="65" xfId="0" applyNumberFormat="1" applyFont="1" applyFill="1" applyBorder="1" applyAlignment="1" applyProtection="1">
      <alignment vertical="center" shrinkToFit="1"/>
      <protection locked="0"/>
    </xf>
    <xf numFmtId="0" fontId="0" fillId="3" borderId="70" xfId="0" applyFill="1" applyBorder="1" applyAlignment="1" applyProtection="1">
      <alignment horizontal="center" vertical="center" wrapText="1"/>
      <protection hidden="1"/>
    </xf>
    <xf numFmtId="0" fontId="0" fillId="3" borderId="73" xfId="0" applyFont="1" applyFill="1" applyBorder="1" applyAlignment="1" applyProtection="1">
      <alignment horizontal="center" vertical="center" wrapText="1"/>
      <protection hidden="1"/>
    </xf>
    <xf numFmtId="177" fontId="50" fillId="0" borderId="74" xfId="0" applyNumberFormat="1" applyFont="1" applyFill="1" applyBorder="1" applyAlignment="1" applyProtection="1">
      <alignment vertical="center" shrinkToFit="1"/>
      <protection locked="0"/>
    </xf>
    <xf numFmtId="177" fontId="22" fillId="0" borderId="74" xfId="0" applyNumberFormat="1" applyFont="1" applyFill="1" applyBorder="1" applyAlignment="1" applyProtection="1">
      <alignment vertical="center" shrinkToFit="1"/>
      <protection locked="0"/>
    </xf>
    <xf numFmtId="177" fontId="46" fillId="0" borderId="74" xfId="0" applyNumberFormat="1" applyFont="1" applyFill="1" applyBorder="1" applyAlignment="1" applyProtection="1">
      <alignment vertical="center" shrinkToFit="1"/>
      <protection locked="0"/>
    </xf>
    <xf numFmtId="0" fontId="58" fillId="3" borderId="75" xfId="0" applyFont="1" applyFill="1" applyBorder="1" applyAlignment="1" applyProtection="1">
      <alignment horizontal="center" vertical="center" wrapText="1"/>
    </xf>
    <xf numFmtId="177" fontId="46" fillId="3" borderId="76" xfId="0" applyNumberFormat="1" applyFont="1" applyFill="1" applyBorder="1" applyAlignment="1" applyProtection="1">
      <alignment vertical="center" shrinkToFit="1"/>
    </xf>
    <xf numFmtId="0" fontId="56" fillId="6" borderId="0" xfId="0" applyFont="1" applyFill="1" applyAlignment="1" applyProtection="1">
      <alignment horizontal="left" vertical="center" wrapText="1"/>
      <protection hidden="1"/>
    </xf>
    <xf numFmtId="0" fontId="42" fillId="10" borderId="56"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center" vertical="center" wrapText="1"/>
    </xf>
    <xf numFmtId="0" fontId="42" fillId="10" borderId="58" xfId="0" applyFont="1" applyFill="1" applyBorder="1" applyAlignment="1" applyProtection="1">
      <alignment horizontal="center" vertical="center" wrapText="1"/>
      <protection hidden="1"/>
    </xf>
    <xf numFmtId="0" fontId="58" fillId="6" borderId="71"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177" fontId="46" fillId="3" borderId="79" xfId="0" applyNumberFormat="1" applyFont="1" applyFill="1" applyBorder="1" applyAlignment="1" applyProtection="1">
      <alignment vertical="center" shrinkToFit="1"/>
    </xf>
    <xf numFmtId="0" fontId="42" fillId="6" borderId="0" xfId="0" applyFont="1" applyFill="1" applyProtection="1">
      <alignment vertical="center"/>
      <protection locked="0"/>
    </xf>
    <xf numFmtId="31" fontId="22" fillId="6" borderId="0" xfId="0" applyNumberFormat="1" applyFont="1" applyFill="1" applyAlignment="1" applyProtection="1">
      <alignment vertical="center"/>
      <protection locked="0"/>
    </xf>
    <xf numFmtId="31" fontId="1" fillId="6" borderId="0" xfId="0" applyNumberFormat="1" applyFont="1" applyFill="1" applyProtection="1">
      <alignment vertical="center"/>
      <protection locked="0"/>
    </xf>
    <xf numFmtId="0" fontId="42" fillId="10" borderId="64" xfId="0" applyFont="1" applyFill="1" applyBorder="1" applyAlignment="1" applyProtection="1">
      <alignment horizontal="center" vertical="center" wrapText="1"/>
      <protection hidden="1"/>
    </xf>
    <xf numFmtId="177" fontId="49" fillId="6" borderId="0" xfId="0" applyNumberFormat="1" applyFont="1" applyFill="1" applyAlignment="1" applyProtection="1">
      <alignment vertical="center" shrinkToFit="1"/>
      <protection hidden="1"/>
    </xf>
    <xf numFmtId="177" fontId="49" fillId="10" borderId="58" xfId="0" applyNumberFormat="1" applyFont="1" applyFill="1" applyBorder="1" applyAlignment="1" applyProtection="1">
      <alignment horizontal="center" vertical="center" wrapText="1" shrinkToFit="1"/>
      <protection hidden="1"/>
    </xf>
    <xf numFmtId="177" fontId="42" fillId="10" borderId="58" xfId="0" applyNumberFormat="1" applyFont="1" applyFill="1" applyBorder="1" applyAlignment="1" applyProtection="1">
      <alignment horizontal="center" vertical="center" wrapText="1" shrinkToFit="1"/>
      <protection hidden="1"/>
    </xf>
    <xf numFmtId="0" fontId="42" fillId="10" borderId="65" xfId="0" applyFont="1" applyFill="1" applyBorder="1" applyAlignment="1" applyProtection="1">
      <alignment horizontal="center" vertical="center" wrapText="1"/>
      <protection hidden="1"/>
    </xf>
    <xf numFmtId="177" fontId="59" fillId="0" borderId="58" xfId="0" applyNumberFormat="1" applyFont="1" applyFill="1" applyBorder="1" applyAlignment="1" applyProtection="1">
      <alignment vertical="center" shrinkToFit="1"/>
      <protection locked="0"/>
    </xf>
    <xf numFmtId="177" fontId="50" fillId="6" borderId="0" xfId="0" applyNumberFormat="1" applyFont="1" applyFill="1" applyAlignment="1" applyProtection="1">
      <alignment vertical="center" shrinkToFit="1"/>
      <protection hidden="1"/>
    </xf>
    <xf numFmtId="0" fontId="7" fillId="6" borderId="0" xfId="0" applyFont="1" applyFill="1" applyProtection="1">
      <alignment vertical="center"/>
      <protection locked="0"/>
    </xf>
    <xf numFmtId="177" fontId="22" fillId="8" borderId="0" xfId="0" applyNumberFormat="1" applyFont="1" applyFill="1" applyBorder="1" applyAlignment="1" applyProtection="1">
      <alignment vertical="center" shrinkToFit="1"/>
      <protection hidden="1"/>
    </xf>
    <xf numFmtId="0" fontId="50" fillId="8" borderId="0" xfId="0" applyNumberFormat="1" applyFont="1" applyFill="1" applyBorder="1" applyAlignment="1" applyProtection="1">
      <alignment vertical="center"/>
      <protection hidden="1"/>
    </xf>
    <xf numFmtId="0" fontId="22" fillId="8" borderId="0" xfId="0" applyNumberFormat="1" applyFont="1" applyFill="1" applyBorder="1" applyAlignment="1" applyProtection="1">
      <alignment vertical="center"/>
      <protection hidden="1"/>
    </xf>
    <xf numFmtId="177" fontId="49" fillId="8" borderId="0" xfId="0" applyNumberFormat="1" applyFont="1" applyFill="1" applyBorder="1" applyAlignment="1" applyProtection="1">
      <alignment vertical="center" shrinkToFit="1"/>
      <protection hidden="1"/>
    </xf>
    <xf numFmtId="0" fontId="49" fillId="8" borderId="0" xfId="0" applyNumberFormat="1" applyFont="1" applyFill="1" applyBorder="1" applyAlignment="1" applyProtection="1">
      <alignment vertical="center"/>
      <protection hidden="1"/>
    </xf>
    <xf numFmtId="0" fontId="59" fillId="0" borderId="58" xfId="0" applyNumberFormat="1" applyFont="1" applyFill="1" applyBorder="1" applyAlignment="1" applyProtection="1">
      <alignment vertical="center"/>
      <protection locked="0"/>
    </xf>
    <xf numFmtId="0" fontId="50" fillId="0" borderId="58" xfId="0" applyNumberFormat="1" applyFont="1" applyFill="1" applyBorder="1" applyAlignment="1" applyProtection="1">
      <alignment vertical="center"/>
      <protection locked="0"/>
    </xf>
    <xf numFmtId="0" fontId="59" fillId="6" borderId="0" xfId="0" applyNumberFormat="1" applyFont="1" applyFill="1" applyAlignment="1" applyProtection="1">
      <alignment vertical="center"/>
      <protection hidden="1"/>
    </xf>
    <xf numFmtId="0" fontId="42" fillId="8" borderId="0" xfId="0" applyFont="1" applyFill="1" applyBorder="1" applyProtection="1">
      <alignment vertical="center"/>
      <protection hidden="1"/>
    </xf>
    <xf numFmtId="177" fontId="49" fillId="8" borderId="0" xfId="0" applyNumberFormat="1" applyFont="1" applyFill="1" applyBorder="1" applyAlignment="1" applyProtection="1">
      <alignment horizontal="center" vertical="center" wrapText="1" shrinkToFit="1"/>
      <protection hidden="1"/>
    </xf>
    <xf numFmtId="0" fontId="42" fillId="8" borderId="0" xfId="0" applyFont="1" applyFill="1" applyBorder="1" applyAlignment="1" applyProtection="1">
      <alignment horizontal="center" vertical="center" wrapText="1"/>
      <protection hidden="1"/>
    </xf>
    <xf numFmtId="0" fontId="50" fillId="0" borderId="65" xfId="0" applyNumberFormat="1" applyFont="1" applyFill="1" applyBorder="1" applyAlignment="1" applyProtection="1">
      <alignment vertical="center"/>
      <protection locked="0"/>
    </xf>
    <xf numFmtId="0" fontId="22" fillId="8" borderId="0" xfId="0"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shrinkToFit="1"/>
      <protection locked="0"/>
    </xf>
    <xf numFmtId="0" fontId="50" fillId="8" borderId="0" xfId="0" applyNumberFormat="1" applyFont="1" applyFill="1" applyBorder="1" applyAlignment="1" applyProtection="1">
      <alignment vertical="center"/>
      <protection locked="0"/>
    </xf>
    <xf numFmtId="177" fontId="46" fillId="8" borderId="0" xfId="0" applyNumberFormat="1" applyFont="1" applyFill="1" applyBorder="1" applyAlignment="1" applyProtection="1">
      <alignment vertical="center" shrinkToFit="1"/>
    </xf>
    <xf numFmtId="0" fontId="46" fillId="7" borderId="66" xfId="0" applyNumberFormat="1" applyFont="1" applyFill="1" applyBorder="1" applyAlignment="1" applyProtection="1">
      <alignment vertical="center"/>
    </xf>
    <xf numFmtId="0" fontId="0" fillId="8" borderId="0" xfId="0" applyFill="1" applyBorder="1">
      <alignment vertical="center"/>
    </xf>
    <xf numFmtId="0" fontId="0" fillId="8" borderId="80" xfId="0" applyFill="1" applyBorder="1">
      <alignment vertical="center"/>
    </xf>
    <xf numFmtId="0" fontId="59" fillId="0" borderId="65" xfId="0" applyNumberFormat="1" applyFont="1" applyFill="1" applyBorder="1" applyAlignment="1" applyProtection="1">
      <alignment vertical="center"/>
      <protection locked="0"/>
    </xf>
    <xf numFmtId="177" fontId="59" fillId="8" borderId="0" xfId="0" applyNumberFormat="1" applyFont="1" applyFill="1" applyBorder="1" applyAlignment="1" applyProtection="1">
      <alignment vertical="center" shrinkToFit="1"/>
      <protection locked="0"/>
    </xf>
    <xf numFmtId="177" fontId="59" fillId="8" borderId="0" xfId="0" applyNumberFormat="1" applyFont="1" applyFill="1" applyBorder="1" applyAlignment="1" applyProtection="1">
      <alignment vertical="center" shrinkToFit="1"/>
      <protection hidden="1"/>
    </xf>
    <xf numFmtId="0" fontId="22" fillId="7" borderId="66" xfId="0" applyNumberFormat="1" applyFont="1" applyFill="1" applyBorder="1" applyAlignment="1" applyProtection="1">
      <alignment vertical="center"/>
      <protection locked="0"/>
    </xf>
    <xf numFmtId="177" fontId="0" fillId="7" borderId="58" xfId="0" applyNumberFormat="1" applyFont="1" applyFill="1" applyBorder="1" applyAlignment="1" applyProtection="1">
      <alignment horizontal="center" vertical="center" wrapText="1" shrinkToFit="1"/>
      <protection hidden="1"/>
    </xf>
    <xf numFmtId="0" fontId="0" fillId="6" borderId="0" xfId="0" applyFill="1" applyProtection="1">
      <alignment vertical="center"/>
    </xf>
    <xf numFmtId="0" fontId="0" fillId="11" borderId="69" xfId="0" applyFont="1" applyFill="1" applyBorder="1" applyAlignment="1" applyProtection="1">
      <alignment horizontal="center" vertical="center" wrapText="1"/>
      <protection hidden="1"/>
    </xf>
    <xf numFmtId="177" fontId="0" fillId="11" borderId="72" xfId="0" applyNumberFormat="1" applyFont="1" applyFill="1" applyBorder="1" applyAlignment="1" applyProtection="1">
      <alignment horizontal="center" vertical="center" wrapText="1" shrinkToFit="1"/>
      <protection hidden="1"/>
    </xf>
    <xf numFmtId="0" fontId="58" fillId="11" borderId="75" xfId="0" applyFont="1" applyFill="1" applyBorder="1" applyAlignment="1" applyProtection="1">
      <alignment horizontal="center" vertical="center" wrapText="1"/>
    </xf>
    <xf numFmtId="177" fontId="50" fillId="11" borderId="76" xfId="0" applyNumberFormat="1" applyFont="1" applyFill="1" applyBorder="1" applyAlignment="1" applyProtection="1">
      <alignment vertical="center" shrinkToFit="1"/>
    </xf>
    <xf numFmtId="0" fontId="47" fillId="9" borderId="81" xfId="0" applyNumberFormat="1" applyFont="1" applyFill="1" applyBorder="1" applyAlignment="1" applyProtection="1">
      <alignment horizontal="left" vertical="center"/>
    </xf>
    <xf numFmtId="0" fontId="48" fillId="9" borderId="81" xfId="0" applyNumberFormat="1" applyFont="1" applyFill="1" applyBorder="1" applyAlignment="1" applyProtection="1">
      <alignment horizontal="left" vertical="center"/>
      <protection locked="0"/>
    </xf>
    <xf numFmtId="177" fontId="49" fillId="6" borderId="0" xfId="0" applyNumberFormat="1" applyFont="1" applyFill="1" applyAlignment="1" applyProtection="1">
      <alignment horizontal="right" vertical="center" shrinkToFit="1"/>
      <protection locked="0"/>
    </xf>
    <xf numFmtId="0" fontId="48" fillId="6" borderId="62" xfId="0" applyNumberFormat="1" applyFont="1" applyFill="1" applyBorder="1" applyAlignment="1" applyProtection="1">
      <alignment horizontal="center" vertical="center"/>
      <protection locked="0"/>
    </xf>
    <xf numFmtId="177" fontId="49" fillId="6" borderId="62" xfId="0" applyNumberFormat="1" applyFont="1" applyFill="1" applyBorder="1" applyAlignment="1" applyProtection="1">
      <alignment horizontal="right" vertical="center" shrinkToFit="1"/>
      <protection locked="0"/>
    </xf>
    <xf numFmtId="0" fontId="54" fillId="6" borderId="0" xfId="0" applyNumberFormat="1" applyFont="1" applyFill="1" applyAlignment="1" applyProtection="1">
      <alignment horizontal="right" vertical="center"/>
      <protection locked="0"/>
    </xf>
    <xf numFmtId="0" fontId="48" fillId="6" borderId="0" xfId="0" applyNumberFormat="1" applyFont="1" applyFill="1" applyAlignment="1" applyProtection="1">
      <alignment horizontal="center" vertical="center"/>
    </xf>
    <xf numFmtId="0" fontId="49" fillId="6" borderId="0" xfId="0" applyNumberFormat="1" applyFont="1" applyFill="1" applyAlignment="1" applyProtection="1">
      <alignment horizontal="right" vertical="center"/>
      <protection locked="0"/>
    </xf>
    <xf numFmtId="0" fontId="0" fillId="7" borderId="58" xfId="0" applyNumberFormat="1" applyFont="1" applyFill="1" applyBorder="1" applyAlignment="1" applyProtection="1">
      <alignment horizontal="center" vertical="center" wrapText="1"/>
      <protection hidden="1"/>
    </xf>
    <xf numFmtId="49" fontId="0" fillId="7" borderId="65" xfId="0" applyNumberFormat="1" applyFont="1" applyFill="1" applyBorder="1" applyAlignment="1" applyProtection="1">
      <alignment horizontal="center" vertical="center" wrapText="1" shrinkToFit="1"/>
      <protection hidden="1"/>
    </xf>
    <xf numFmtId="0" fontId="61" fillId="0" borderId="58" xfId="64" applyFont="1" applyFill="1" applyBorder="1" applyAlignment="1" applyProtection="1">
      <alignment horizontal="left" vertical="center"/>
      <protection locked="0"/>
    </xf>
    <xf numFmtId="177" fontId="50" fillId="7" borderId="60" xfId="0" applyNumberFormat="1" applyFont="1" applyFill="1" applyBorder="1" applyAlignment="1" applyProtection="1">
      <alignment vertical="center" shrinkToFit="1"/>
    </xf>
    <xf numFmtId="0" fontId="22" fillId="7" borderId="60" xfId="0" applyNumberFormat="1" applyFont="1" applyFill="1" applyBorder="1" applyAlignment="1" applyProtection="1">
      <alignment vertical="center"/>
    </xf>
    <xf numFmtId="0" fontId="0" fillId="11" borderId="72" xfId="0" applyNumberFormat="1" applyFont="1" applyFill="1" applyBorder="1" applyAlignment="1" applyProtection="1">
      <alignment horizontal="center" vertical="center" wrapText="1"/>
      <protection hidden="1"/>
    </xf>
    <xf numFmtId="177" fontId="0" fillId="11" borderId="74" xfId="0" applyNumberFormat="1" applyFont="1" applyFill="1" applyBorder="1" applyAlignment="1" applyProtection="1">
      <alignment horizontal="center" vertical="center" wrapText="1" shrinkToFit="1"/>
      <protection hidden="1"/>
    </xf>
    <xf numFmtId="0" fontId="22" fillId="0" borderId="72" xfId="0" applyNumberFormat="1" applyFont="1" applyFill="1" applyBorder="1" applyAlignment="1" applyProtection="1">
      <alignment vertical="center"/>
      <protection locked="0"/>
    </xf>
    <xf numFmtId="0" fontId="22" fillId="11" borderId="76" xfId="0" applyNumberFormat="1" applyFont="1" applyFill="1" applyBorder="1" applyAlignment="1" applyProtection="1">
      <alignment vertical="center"/>
    </xf>
    <xf numFmtId="177" fontId="50" fillId="11" borderId="79" xfId="0" applyNumberFormat="1" applyFont="1" applyFill="1" applyBorder="1" applyAlignment="1" applyProtection="1">
      <alignment vertical="center" shrinkToFit="1"/>
    </xf>
    <xf numFmtId="0" fontId="0" fillId="8" borderId="0" xfId="0" applyFill="1" applyBorder="1" applyProtection="1">
      <alignment vertical="center"/>
      <protection locked="0"/>
    </xf>
    <xf numFmtId="0" fontId="55" fillId="8" borderId="0" xfId="0" applyFont="1" applyFill="1" applyBorder="1" applyProtection="1">
      <alignment vertical="center"/>
      <protection locked="0"/>
    </xf>
    <xf numFmtId="0" fontId="49" fillId="9" borderId="81" xfId="0" applyNumberFormat="1" applyFont="1" applyFill="1" applyBorder="1" applyAlignment="1" applyProtection="1">
      <alignment vertical="center"/>
      <protection locked="0"/>
    </xf>
    <xf numFmtId="0" fontId="54" fillId="6" borderId="0" xfId="0" applyFont="1" applyFill="1" applyAlignment="1" applyProtection="1">
      <alignment horizontal="left" vertical="center"/>
      <protection locked="0"/>
    </xf>
    <xf numFmtId="0" fontId="45" fillId="8" borderId="0" xfId="0" applyFont="1" applyFill="1" applyBorder="1" applyProtection="1">
      <alignment vertical="center"/>
      <protection hidden="1"/>
    </xf>
    <xf numFmtId="0" fontId="0" fillId="8" borderId="0" xfId="0" applyFont="1" applyFill="1" applyBorder="1" applyAlignment="1" applyProtection="1">
      <alignment vertical="center" wrapText="1"/>
      <protection hidden="1"/>
    </xf>
    <xf numFmtId="0" fontId="0" fillId="8" borderId="0" xfId="0" applyFont="1" applyFill="1" applyBorder="1" applyAlignment="1" applyProtection="1">
      <alignment horizontal="center" vertical="center" wrapText="1"/>
      <protection hidden="1"/>
    </xf>
    <xf numFmtId="0" fontId="0" fillId="8" borderId="0" xfId="0" applyFill="1" applyBorder="1" applyAlignment="1" applyProtection="1">
      <alignment horizontal="center" vertical="center" wrapText="1"/>
      <protection hidden="1"/>
    </xf>
    <xf numFmtId="0" fontId="46" fillId="0" borderId="65" xfId="0" applyNumberFormat="1" applyFont="1" applyFill="1" applyBorder="1" applyAlignment="1" applyProtection="1">
      <alignment vertical="center"/>
      <protection locked="0"/>
    </xf>
    <xf numFmtId="0" fontId="0" fillId="11" borderId="69" xfId="0"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60" fillId="6" borderId="0" xfId="0" applyFont="1" applyFill="1" applyAlignment="1" applyProtection="1">
      <alignment horizontal="left" vertical="center" wrapText="1"/>
    </xf>
    <xf numFmtId="177" fontId="22" fillId="6" borderId="0" xfId="0" applyNumberFormat="1" applyFont="1" applyFill="1" applyAlignment="1" applyProtection="1">
      <alignment horizontal="right" vertical="center" shrinkToFit="1"/>
      <protection locked="0"/>
    </xf>
    <xf numFmtId="0" fontId="50" fillId="8" borderId="0" xfId="0" applyNumberFormat="1" applyFont="1" applyFill="1" applyBorder="1" applyAlignment="1" applyProtection="1">
      <alignment vertical="center"/>
    </xf>
    <xf numFmtId="177" fontId="22" fillId="8" borderId="0" xfId="0" applyNumberFormat="1" applyFont="1" applyFill="1" applyBorder="1" applyAlignment="1" applyProtection="1">
      <alignment horizontal="right" vertical="center" shrinkToFit="1"/>
      <protection hidden="1"/>
    </xf>
    <xf numFmtId="0" fontId="49" fillId="9" borderId="81" xfId="0" applyNumberFormat="1" applyFont="1" applyFill="1" applyBorder="1" applyAlignment="1" applyProtection="1">
      <alignment horizontal="right" vertical="center"/>
      <protection locked="0"/>
    </xf>
    <xf numFmtId="0" fontId="0" fillId="11" borderId="70" xfId="0" applyFill="1" applyBorder="1" applyAlignment="1" applyProtection="1">
      <alignment horizontal="center" vertical="center" wrapText="1"/>
      <protection hidden="1"/>
    </xf>
    <xf numFmtId="177" fontId="22" fillId="0" borderId="74" xfId="0" applyNumberFormat="1" applyFont="1" applyFill="1" applyBorder="1" applyAlignment="1" applyProtection="1">
      <alignment vertical="center" shrinkToFit="1"/>
    </xf>
    <xf numFmtId="0" fontId="22" fillId="11" borderId="76" xfId="0" applyNumberFormat="1" applyFont="1" applyFill="1" applyBorder="1" applyAlignment="1" applyProtection="1">
      <alignment vertical="center"/>
      <protection locked="0"/>
    </xf>
    <xf numFmtId="177" fontId="22" fillId="0" borderId="72" xfId="0" applyNumberFormat="1" applyFont="1" applyFill="1" applyBorder="1" applyAlignment="1" applyProtection="1">
      <alignment vertical="center" shrinkToFit="1"/>
    </xf>
    <xf numFmtId="0" fontId="22" fillId="0" borderId="74" xfId="0" applyNumberFormat="1" applyFont="1" applyFill="1" applyBorder="1" applyAlignment="1" applyProtection="1">
      <alignment vertical="center"/>
      <protection locked="0"/>
    </xf>
    <xf numFmtId="177" fontId="22" fillId="6" borderId="0" xfId="62" applyNumberFormat="1" applyFont="1" applyFill="1" applyAlignment="1" applyProtection="1">
      <alignment vertical="center" shrinkToFit="1"/>
    </xf>
    <xf numFmtId="0" fontId="7" fillId="8" borderId="80" xfId="0" applyNumberFormat="1" applyFont="1" applyFill="1" applyBorder="1" applyAlignment="1">
      <alignment horizontal="left" vertical="center"/>
    </xf>
    <xf numFmtId="177" fontId="49" fillId="6" borderId="0" xfId="0" applyNumberFormat="1" applyFont="1" applyFill="1" applyBorder="1" applyAlignment="1" applyProtection="1">
      <alignment horizontal="right" vertical="center" shrinkToFit="1"/>
      <protection locked="0"/>
    </xf>
    <xf numFmtId="0" fontId="54" fillId="6" borderId="0" xfId="0" applyNumberFormat="1" applyFont="1" applyFill="1" applyBorder="1" applyAlignment="1" applyProtection="1">
      <alignment horizontal="right" vertical="center"/>
      <protection locked="0"/>
    </xf>
    <xf numFmtId="0" fontId="49" fillId="6" borderId="0" xfId="0" applyNumberFormat="1" applyFont="1" applyFill="1" applyBorder="1" applyAlignment="1" applyProtection="1">
      <alignment horizontal="right" vertical="center"/>
      <protection locked="0"/>
    </xf>
    <xf numFmtId="177" fontId="50" fillId="8" borderId="0" xfId="0" applyNumberFormat="1" applyFont="1" applyFill="1" applyBorder="1" applyAlignment="1" applyProtection="1">
      <alignment vertical="center" shrinkToFit="1"/>
    </xf>
    <xf numFmtId="0" fontId="45" fillId="6" borderId="0" xfId="0" applyFont="1" applyFill="1">
      <alignment vertical="center"/>
    </xf>
    <xf numFmtId="0" fontId="0" fillId="11" borderId="73" xfId="0" applyFill="1" applyBorder="1" applyAlignment="1" applyProtection="1">
      <alignment horizontal="center" vertical="center" wrapText="1"/>
      <protection hidden="1"/>
    </xf>
    <xf numFmtId="0" fontId="1" fillId="10" borderId="56"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177" fontId="50" fillId="3" borderId="76" xfId="0" applyNumberFormat="1" applyFont="1" applyFill="1" applyBorder="1" applyAlignment="1" applyProtection="1">
      <alignment vertical="center" shrinkToFit="1"/>
    </xf>
    <xf numFmtId="0" fontId="1" fillId="3" borderId="70" xfId="0" applyFont="1" applyFill="1" applyBorder="1" applyAlignment="1" applyProtection="1">
      <alignment horizontal="center" vertical="center" wrapText="1"/>
      <protection hidden="1"/>
    </xf>
    <xf numFmtId="0" fontId="42" fillId="8" borderId="0" xfId="0" applyFont="1" applyFill="1" applyBorder="1" applyProtection="1">
      <alignment vertical="center"/>
      <protection locked="0"/>
    </xf>
    <xf numFmtId="0" fontId="0" fillId="10" borderId="56" xfId="0"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50" fillId="10" borderId="60" xfId="0" applyNumberFormat="1" applyFont="1" applyFill="1" applyBorder="1" applyAlignment="1" applyProtection="1">
      <alignment vertical="center"/>
    </xf>
    <xf numFmtId="0" fontId="50" fillId="10" borderId="66" xfId="0" applyNumberFormat="1" applyFont="1" applyFill="1" applyBorder="1" applyAlignment="1" applyProtection="1">
      <alignment vertical="center"/>
    </xf>
    <xf numFmtId="0" fontId="0" fillId="3" borderId="73" xfId="0" applyFill="1" applyBorder="1" applyAlignment="1" applyProtection="1">
      <alignment horizontal="center" vertical="center" wrapText="1"/>
      <protection hidden="1"/>
    </xf>
    <xf numFmtId="0" fontId="22" fillId="3" borderId="76" xfId="0" applyNumberFormat="1" applyFont="1" applyFill="1" applyBorder="1" applyAlignment="1" applyProtection="1">
      <alignment vertical="center"/>
      <protection locked="0"/>
    </xf>
    <xf numFmtId="0" fontId="22" fillId="3" borderId="79" xfId="0" applyNumberFormat="1" applyFont="1" applyFill="1" applyBorder="1" applyAlignment="1" applyProtection="1">
      <alignment vertical="center"/>
      <protection locked="0"/>
    </xf>
    <xf numFmtId="0" fontId="0" fillId="3" borderId="69" xfId="0" applyFont="1" applyFill="1" applyBorder="1" applyAlignment="1" applyProtection="1">
      <alignment horizontal="center" vertical="center" wrapText="1"/>
      <protection hidden="1"/>
    </xf>
    <xf numFmtId="177" fontId="50" fillId="3" borderId="79" xfId="0" applyNumberFormat="1" applyFont="1" applyFill="1" applyBorder="1" applyAlignment="1" applyProtection="1">
      <alignment vertical="center" shrinkToFit="1"/>
    </xf>
    <xf numFmtId="0" fontId="53" fillId="8" borderId="0" xfId="0" applyFont="1" applyFill="1" applyBorder="1" applyProtection="1">
      <alignment vertical="center"/>
      <protection locked="0"/>
    </xf>
    <xf numFmtId="177" fontId="46" fillId="8" borderId="0" xfId="0" applyNumberFormat="1" applyFont="1" applyFill="1" applyBorder="1" applyAlignment="1" applyProtection="1">
      <alignment vertical="center" shrinkToFit="1"/>
      <protection locked="0"/>
    </xf>
    <xf numFmtId="0" fontId="45" fillId="6" borderId="0" xfId="0" applyFont="1" applyFill="1" applyProtection="1">
      <alignment vertical="center"/>
      <protection locked="0"/>
    </xf>
    <xf numFmtId="0" fontId="0" fillId="11" borderId="73" xfId="0" applyFont="1" applyFill="1" applyBorder="1" applyAlignment="1" applyProtection="1">
      <alignment horizontal="center" vertical="center" wrapText="1"/>
      <protection locked="0"/>
    </xf>
    <xf numFmtId="177" fontId="50" fillId="8" borderId="0" xfId="0" applyNumberFormat="1" applyFont="1" applyFill="1" applyBorder="1" applyAlignment="1" applyProtection="1">
      <alignment vertical="center" shrinkToFit="1"/>
      <protection locked="0"/>
    </xf>
    <xf numFmtId="0" fontId="62" fillId="8" borderId="0" xfId="64" applyFont="1" applyFill="1" applyBorder="1" applyAlignment="1" applyProtection="1">
      <alignment horizontal="left" vertical="center"/>
      <protection locked="0"/>
    </xf>
    <xf numFmtId="0" fontId="0" fillId="3" borderId="70" xfId="0" applyFont="1" applyFill="1" applyBorder="1" applyAlignment="1" applyProtection="1">
      <alignment horizontal="center" vertical="center" wrapText="1"/>
      <protection locked="0"/>
    </xf>
    <xf numFmtId="0" fontId="0" fillId="3" borderId="73" xfId="0" applyFont="1" applyFill="1" applyBorder="1" applyAlignment="1" applyProtection="1">
      <alignment horizontal="center" vertical="center" wrapText="1"/>
      <protection locked="0"/>
    </xf>
    <xf numFmtId="0" fontId="0" fillId="8" borderId="80" xfId="0" applyFill="1" applyBorder="1" applyProtection="1">
      <alignment vertical="center"/>
      <protection locked="0"/>
    </xf>
    <xf numFmtId="0" fontId="7" fillId="8" borderId="0" xfId="0" applyNumberFormat="1" applyFont="1" applyFill="1" applyBorder="1" applyAlignment="1" applyProtection="1">
      <alignment horizontal="left" vertical="center"/>
      <protection locked="0"/>
    </xf>
    <xf numFmtId="177" fontId="42" fillId="8" borderId="0" xfId="0" applyNumberFormat="1" applyFont="1" applyFill="1" applyBorder="1" applyAlignment="1" applyProtection="1">
      <alignment horizontal="center" vertical="center" wrapText="1" shrinkToFit="1"/>
      <protection hidden="1"/>
    </xf>
    <xf numFmtId="177" fontId="22" fillId="6" borderId="0" xfId="0" applyNumberFormat="1" applyFont="1" applyFill="1" applyAlignment="1" applyProtection="1">
      <alignment horizontal="right" vertical="center" shrinkToFit="1"/>
      <protection hidden="1"/>
    </xf>
    <xf numFmtId="177" fontId="22" fillId="6" borderId="0" xfId="0" applyNumberFormat="1" applyFont="1" applyFill="1" applyBorder="1" applyAlignment="1" applyProtection="1">
      <alignment horizontal="right" vertical="center" shrinkToFit="1"/>
      <protection hidden="1"/>
    </xf>
    <xf numFmtId="0" fontId="0" fillId="6" borderId="0" xfId="0" applyFill="1" applyAlignment="1" applyProtection="1">
      <alignment horizontal="left" vertical="center"/>
      <protection hidden="1"/>
    </xf>
    <xf numFmtId="0" fontId="63" fillId="6" borderId="0" xfId="0" applyNumberFormat="1" applyFont="1" applyFill="1" applyAlignment="1" applyProtection="1">
      <alignment vertical="center"/>
      <protection locked="0"/>
    </xf>
    <xf numFmtId="0" fontId="0" fillId="6" borderId="0" xfId="0" applyFont="1" applyFill="1" applyBorder="1" applyProtection="1">
      <alignment vertical="center"/>
      <protection hidden="1"/>
    </xf>
    <xf numFmtId="0" fontId="28" fillId="6" borderId="0" xfId="0" applyFont="1" applyFill="1" applyProtection="1">
      <alignment vertical="center"/>
      <protection locked="0"/>
    </xf>
    <xf numFmtId="0" fontId="22" fillId="6" borderId="0" xfId="0" applyNumberFormat="1" applyFont="1" applyFill="1" applyBorder="1" applyAlignment="1" applyProtection="1">
      <alignment vertical="center"/>
      <protection locked="0"/>
    </xf>
    <xf numFmtId="0" fontId="50" fillId="6" borderId="0" xfId="0" applyNumberFormat="1" applyFont="1" applyFill="1" applyBorder="1" applyAlignment="1" applyProtection="1">
      <alignment vertical="center"/>
      <protection locked="0"/>
    </xf>
    <xf numFmtId="0" fontId="29" fillId="6" borderId="1" xfId="0" applyFont="1" applyFill="1" applyBorder="1" applyAlignment="1" applyProtection="1">
      <alignment vertical="center"/>
    </xf>
    <xf numFmtId="0" fontId="29" fillId="6" borderId="0" xfId="0" applyFont="1" applyFill="1" applyBorder="1" applyAlignment="1" applyProtection="1">
      <alignment horizontal="left" vertical="center" indent="1"/>
    </xf>
    <xf numFmtId="0" fontId="28" fillId="8" borderId="0" xfId="0" applyFont="1" applyFill="1" applyBorder="1" applyProtection="1">
      <alignment vertical="center"/>
      <protection locked="0"/>
    </xf>
    <xf numFmtId="0" fontId="59" fillId="8" borderId="0" xfId="0" applyNumberFormat="1" applyFont="1" applyFill="1" applyBorder="1" applyAlignment="1" applyProtection="1">
      <alignment vertical="center"/>
      <protection locked="0"/>
    </xf>
    <xf numFmtId="177" fontId="50" fillId="6" borderId="1" xfId="0" applyNumberFormat="1" applyFont="1" applyFill="1" applyBorder="1" applyAlignment="1" applyProtection="1">
      <alignment vertical="center" shrinkToFit="1"/>
      <protection hidden="1"/>
    </xf>
    <xf numFmtId="0" fontId="0" fillId="6" borderId="1" xfId="0" applyFill="1" applyBorder="1">
      <alignment vertical="center"/>
    </xf>
    <xf numFmtId="177" fontId="22" fillId="6" borderId="1" xfId="0" applyNumberFormat="1" applyFont="1" applyFill="1" applyBorder="1" applyAlignment="1">
      <alignment vertical="center" shrinkToFit="1"/>
    </xf>
    <xf numFmtId="0" fontId="0" fillId="6" borderId="4" xfId="0" applyFill="1" applyBorder="1">
      <alignment vertical="center"/>
    </xf>
    <xf numFmtId="0" fontId="56" fillId="6" borderId="0" xfId="0" applyFont="1" applyFill="1" applyBorder="1" applyProtection="1">
      <alignment vertical="center"/>
      <protection hidden="1"/>
    </xf>
    <xf numFmtId="0" fontId="7" fillId="6" borderId="0" xfId="0" applyFont="1" applyFill="1" applyBorder="1">
      <alignment vertical="center"/>
    </xf>
    <xf numFmtId="0" fontId="22" fillId="6" borderId="0" xfId="0" applyNumberFormat="1" applyFont="1" applyFill="1" applyBorder="1" applyAlignment="1" applyProtection="1">
      <alignment vertical="center"/>
      <protection hidden="1"/>
    </xf>
    <xf numFmtId="0" fontId="50" fillId="10" borderId="66" xfId="0" applyNumberFormat="1" applyFont="1" applyFill="1" applyBorder="1" applyAlignment="1" applyProtection="1">
      <alignment vertical="center"/>
      <protection locked="0"/>
    </xf>
    <xf numFmtId="177" fontId="64" fillId="6" borderId="0" xfId="0" applyNumberFormat="1" applyFont="1" applyFill="1" applyAlignment="1" applyProtection="1">
      <alignment vertical="center" shrinkToFit="1"/>
      <protection hidden="1"/>
    </xf>
    <xf numFmtId="177" fontId="49" fillId="10" borderId="56"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horizontal="center" vertical="center" wrapText="1"/>
    </xf>
    <xf numFmtId="0" fontId="22" fillId="10" borderId="66" xfId="0" applyNumberFormat="1" applyFont="1" applyFill="1" applyBorder="1" applyAlignment="1" applyProtection="1">
      <alignment vertical="center"/>
      <protection locked="0"/>
    </xf>
    <xf numFmtId="0" fontId="46" fillId="10" borderId="60" xfId="0" applyNumberFormat="1" applyFont="1" applyFill="1" applyBorder="1" applyAlignment="1" applyProtection="1">
      <alignment vertical="center"/>
    </xf>
    <xf numFmtId="0" fontId="46" fillId="10" borderId="66" xfId="0" applyNumberFormat="1" applyFont="1" applyFill="1" applyBorder="1" applyAlignment="1" applyProtection="1">
      <alignment vertical="center"/>
    </xf>
    <xf numFmtId="0" fontId="58" fillId="6" borderId="71" xfId="0" applyFont="1" applyFill="1" applyBorder="1" applyAlignment="1" applyProtection="1">
      <alignment horizontal="left" vertical="center" wrapText="1"/>
    </xf>
    <xf numFmtId="0" fontId="0" fillId="3" borderId="72" xfId="0" applyFont="1" applyFill="1" applyBorder="1" applyAlignment="1" applyProtection="1">
      <alignment horizontal="center" vertical="center" wrapText="1"/>
      <protection hidden="1"/>
    </xf>
    <xf numFmtId="0" fontId="0" fillId="3" borderId="72" xfId="0" applyFill="1" applyBorder="1" applyAlignment="1" applyProtection="1">
      <alignment horizontal="center" vertical="center" wrapText="1"/>
      <protection hidden="1"/>
    </xf>
    <xf numFmtId="0" fontId="0" fillId="3" borderId="74" xfId="0" applyFill="1" applyBorder="1" applyAlignment="1" applyProtection="1">
      <alignment horizontal="center" vertical="center" wrapText="1"/>
      <protection hidden="1"/>
    </xf>
    <xf numFmtId="0" fontId="0" fillId="6" borderId="0" xfId="0" applyFill="1" applyAlignment="1" applyProtection="1">
      <alignment horizontal="left" vertical="center" indent="2"/>
      <protection hidden="1"/>
    </xf>
    <xf numFmtId="0" fontId="0" fillId="10" borderId="58" xfId="0" applyFont="1" applyFill="1" applyBorder="1" applyAlignment="1" applyProtection="1">
      <alignment horizontal="center" vertical="center" wrapText="1"/>
      <protection hidden="1"/>
    </xf>
    <xf numFmtId="0" fontId="0" fillId="3" borderId="70" xfId="0" applyFill="1" applyBorder="1" applyAlignment="1" applyProtection="1">
      <alignment horizontal="center" vertical="center" wrapText="1"/>
      <protection locked="0"/>
    </xf>
    <xf numFmtId="0" fontId="0" fillId="3" borderId="73" xfId="0" applyFill="1" applyBorder="1" applyAlignment="1" applyProtection="1">
      <alignment horizontal="center" vertical="center" wrapText="1"/>
      <protection locked="0"/>
    </xf>
    <xf numFmtId="177" fontId="50" fillId="0" borderId="72" xfId="0" applyNumberFormat="1" applyFont="1" applyFill="1" applyBorder="1" applyAlignment="1" applyProtection="1">
      <alignment vertical="center" shrinkToFit="1"/>
    </xf>
    <xf numFmtId="177" fontId="50" fillId="0" borderId="74" xfId="0" applyNumberFormat="1" applyFont="1" applyFill="1" applyBorder="1" applyAlignment="1" applyProtection="1">
      <alignment vertical="center" shrinkToFit="1"/>
    </xf>
    <xf numFmtId="0" fontId="0" fillId="6" borderId="0" xfId="0" applyFont="1" applyFill="1" applyProtection="1">
      <alignment vertical="center"/>
      <protection locked="0"/>
    </xf>
    <xf numFmtId="0" fontId="0" fillId="6" borderId="68" xfId="0" applyFont="1" applyFill="1" applyBorder="1" applyProtection="1">
      <alignment vertical="center"/>
      <protection locked="0"/>
    </xf>
    <xf numFmtId="0" fontId="0" fillId="6" borderId="0" xfId="0" applyFont="1" applyFill="1" applyBorder="1" applyProtection="1">
      <alignment vertical="center"/>
      <protection locked="0"/>
    </xf>
    <xf numFmtId="177" fontId="22" fillId="6" borderId="0" xfId="0" applyNumberFormat="1" applyFont="1" applyFill="1" applyBorder="1" applyAlignment="1" applyProtection="1">
      <alignment vertical="center" shrinkToFit="1"/>
      <protection hidden="1"/>
    </xf>
    <xf numFmtId="0" fontId="22" fillId="10" borderId="60" xfId="0" applyNumberFormat="1" applyFont="1" applyFill="1" applyBorder="1" applyAlignment="1" applyProtection="1">
      <alignment vertical="center"/>
      <protection locked="0"/>
    </xf>
    <xf numFmtId="0" fontId="0" fillId="8" borderId="0" xfId="0" applyFont="1" applyFill="1" applyBorder="1" applyAlignment="1">
      <alignment horizontal="center" vertical="center" wrapText="1"/>
    </xf>
    <xf numFmtId="177" fontId="22" fillId="8" borderId="0" xfId="0" applyNumberFormat="1" applyFont="1" applyFill="1" applyBorder="1" applyAlignment="1" applyProtection="1">
      <alignment vertical="center" shrinkToFit="1"/>
    </xf>
    <xf numFmtId="0" fontId="42" fillId="8" borderId="0" xfId="0" applyFont="1" applyFill="1" applyBorder="1">
      <alignment vertical="center"/>
    </xf>
    <xf numFmtId="0" fontId="0" fillId="8" borderId="0" xfId="0" applyFill="1" applyBorder="1" applyAlignment="1" applyProtection="1">
      <alignment horizontal="center" vertical="center" wrapText="1"/>
      <protection locked="0"/>
    </xf>
    <xf numFmtId="0" fontId="0" fillId="8" borderId="0" xfId="0" applyFont="1" applyFill="1" applyBorder="1" applyAlignment="1" applyProtection="1">
      <alignment horizontal="center" vertical="center" wrapText="1"/>
      <protection locked="0"/>
    </xf>
    <xf numFmtId="0" fontId="53" fillId="8" borderId="0" xfId="0" applyFont="1" applyFill="1" applyBorder="1">
      <alignment vertical="center"/>
    </xf>
    <xf numFmtId="0" fontId="55" fillId="8" borderId="0" xfId="0" applyFont="1" applyFill="1" applyBorder="1" applyProtection="1">
      <alignment vertical="center"/>
      <protection hidden="1"/>
    </xf>
    <xf numFmtId="0" fontId="55" fillId="6" borderId="0" xfId="0" applyFont="1" applyFill="1" applyProtection="1">
      <alignment vertical="center"/>
      <protection hidden="1"/>
    </xf>
    <xf numFmtId="177" fontId="22" fillId="6" borderId="67"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shrinkToFit="1"/>
      <protection hidden="1"/>
    </xf>
    <xf numFmtId="0" fontId="42" fillId="8" borderId="57" xfId="0" applyFont="1" applyFill="1" applyBorder="1" applyAlignment="1" applyProtection="1">
      <alignment horizontal="left" vertical="center" wrapText="1" indent="1"/>
      <protection locked="0"/>
    </xf>
    <xf numFmtId="0" fontId="54" fillId="6" borderId="0" xfId="0" applyFont="1" applyFill="1" applyProtection="1">
      <alignment vertical="center"/>
      <protection hidden="1"/>
    </xf>
    <xf numFmtId="0" fontId="56" fillId="8" borderId="0" xfId="0" applyFont="1" applyFill="1" applyBorder="1" applyProtection="1">
      <alignment vertical="center"/>
      <protection locked="0"/>
    </xf>
    <xf numFmtId="0" fontId="46" fillId="10" borderId="60" xfId="0" applyNumberFormat="1" applyFont="1" applyFill="1" applyBorder="1" applyAlignment="1" applyProtection="1">
      <alignment vertical="center"/>
      <protection locked="0"/>
    </xf>
    <xf numFmtId="0" fontId="0" fillId="6" borderId="0" xfId="0" applyFont="1" applyFill="1" applyBorder="1">
      <alignment vertical="center"/>
    </xf>
    <xf numFmtId="0" fontId="29" fillId="6" borderId="0" xfId="0" applyFont="1" applyFill="1" applyBorder="1" applyAlignment="1" applyProtection="1">
      <alignment horizontal="left" vertical="center" wrapText="1"/>
    </xf>
    <xf numFmtId="0" fontId="0" fillId="6" borderId="0" xfId="0" applyFont="1" applyFill="1" applyAlignment="1" applyProtection="1">
      <alignment horizontal="left" vertical="center" wrapText="1"/>
    </xf>
    <xf numFmtId="0" fontId="22" fillId="6" borderId="67" xfId="0" applyNumberFormat="1" applyFont="1" applyFill="1" applyBorder="1" applyAlignment="1" applyProtection="1">
      <alignment vertical="center"/>
      <protection locked="0"/>
    </xf>
    <xf numFmtId="0" fontId="56" fillId="6" borderId="0" xfId="0" applyFont="1" applyFill="1" applyProtection="1">
      <alignment vertical="center"/>
      <protection locked="0"/>
    </xf>
    <xf numFmtId="0" fontId="0" fillId="3" borderId="72" xfId="0" applyFont="1" applyFill="1" applyBorder="1" applyAlignment="1">
      <alignment horizontal="center" vertical="center" wrapText="1"/>
    </xf>
    <xf numFmtId="0" fontId="0" fillId="10" borderId="55" xfId="0" applyFont="1" applyFill="1" applyBorder="1" applyAlignment="1" applyProtection="1">
      <alignment horizontal="center" vertical="center" wrapText="1"/>
      <protection hidden="1"/>
    </xf>
    <xf numFmtId="0" fontId="29" fillId="6" borderId="0" xfId="0" applyFont="1" applyFill="1" applyBorder="1" applyAlignment="1" applyProtection="1">
      <alignment horizontal="left" vertical="center" wrapText="1" indent="1"/>
    </xf>
    <xf numFmtId="0" fontId="42" fillId="8" borderId="59" xfId="0" applyFont="1" applyFill="1" applyBorder="1" applyAlignment="1" applyProtection="1">
      <alignment vertical="center" wrapText="1"/>
    </xf>
    <xf numFmtId="0" fontId="0" fillId="8" borderId="0" xfId="0" applyFont="1" applyFill="1" applyBorder="1" applyProtection="1">
      <alignment vertical="center"/>
      <protection locked="0"/>
    </xf>
    <xf numFmtId="0" fontId="0" fillId="8" borderId="0" xfId="0" applyFont="1" applyFill="1" applyBorder="1">
      <alignment vertical="center"/>
    </xf>
    <xf numFmtId="0" fontId="1" fillId="10" borderId="64" xfId="0" applyFont="1" applyFill="1" applyBorder="1" applyAlignment="1" applyProtection="1">
      <alignment horizontal="center" vertical="center" wrapText="1"/>
      <protection hidden="1"/>
    </xf>
    <xf numFmtId="0" fontId="54" fillId="6" borderId="0" xfId="0" applyFont="1" applyFill="1" applyAlignment="1" applyProtection="1">
      <alignment vertical="center"/>
      <protection locked="0"/>
    </xf>
    <xf numFmtId="0" fontId="0" fillId="8" borderId="80" xfId="0" applyFont="1" applyFill="1" applyBorder="1">
      <alignment vertical="center"/>
    </xf>
    <xf numFmtId="177" fontId="50" fillId="10" borderId="60" xfId="0" applyNumberFormat="1" applyFont="1" applyFill="1" applyBorder="1" applyAlignment="1" applyProtection="1">
      <alignment vertical="center" shrinkToFit="1"/>
    </xf>
    <xf numFmtId="0" fontId="60" fillId="6" borderId="0" xfId="0" applyFont="1" applyFill="1" applyAlignment="1" applyProtection="1">
      <alignment horizontal="left" vertical="center"/>
    </xf>
    <xf numFmtId="0" fontId="41" fillId="8" borderId="0" xfId="0" applyFont="1" applyFill="1" applyBorder="1" applyProtection="1">
      <alignment vertical="center"/>
      <protection hidden="1"/>
    </xf>
    <xf numFmtId="177" fontId="50" fillId="10" borderId="66" xfId="0" applyNumberFormat="1" applyFont="1" applyFill="1" applyBorder="1" applyAlignment="1" applyProtection="1">
      <alignment vertical="center" shrinkToFit="1"/>
    </xf>
    <xf numFmtId="0" fontId="0" fillId="8" borderId="0" xfId="0" applyFont="1" applyFill="1" applyAlignment="1" applyProtection="1">
      <alignment horizontal="left" vertical="center" wrapText="1"/>
    </xf>
    <xf numFmtId="0" fontId="0" fillId="8" borderId="0" xfId="0" applyFill="1" applyAlignment="1" applyProtection="1">
      <alignment horizontal="left" vertical="center" indent="2"/>
      <protection hidden="1"/>
    </xf>
    <xf numFmtId="0" fontId="45" fillId="8" borderId="0" xfId="0" applyFont="1" applyFill="1" applyBorder="1" applyProtection="1">
      <alignment vertical="center"/>
      <protection locked="0"/>
    </xf>
    <xf numFmtId="0" fontId="42" fillId="8" borderId="57" xfId="0" applyFont="1" applyFill="1" applyBorder="1" applyAlignment="1" applyProtection="1">
      <alignment horizontal="left" vertical="center" wrapText="1" indent="1"/>
    </xf>
    <xf numFmtId="0" fontId="48" fillId="6" borderId="0" xfId="0" applyNumberFormat="1" applyFont="1" applyFill="1" applyAlignment="1" applyProtection="1">
      <alignment horizontal="left" vertical="center" wrapText="1"/>
      <protection locked="0"/>
    </xf>
    <xf numFmtId="177" fontId="49" fillId="6" borderId="0" xfId="0" applyNumberFormat="1" applyFont="1" applyFill="1" applyAlignment="1" applyProtection="1">
      <alignment horizontal="right" vertical="center" shrinkToFit="1"/>
    </xf>
    <xf numFmtId="0" fontId="1" fillId="3" borderId="73" xfId="0" applyFont="1" applyFill="1" applyBorder="1" applyAlignment="1" applyProtection="1">
      <alignment horizontal="center" vertical="center" wrapText="1"/>
      <protection hidden="1"/>
    </xf>
    <xf numFmtId="177" fontId="46" fillId="10" borderId="60" xfId="0" applyNumberFormat="1" applyFont="1" applyFill="1" applyBorder="1" applyAlignment="1" applyProtection="1">
      <alignment vertical="center" shrinkToFit="1"/>
      <protection locked="0"/>
    </xf>
    <xf numFmtId="177" fontId="46" fillId="10" borderId="66" xfId="0" applyNumberFormat="1" applyFont="1" applyFill="1" applyBorder="1" applyAlignment="1" applyProtection="1">
      <alignment vertical="center" shrinkToFit="1"/>
      <protection locked="0"/>
    </xf>
    <xf numFmtId="49" fontId="56" fillId="6" borderId="0" xfId="0" applyNumberFormat="1" applyFont="1" applyFill="1" applyProtection="1">
      <alignment vertical="center"/>
      <protection hidden="1"/>
    </xf>
    <xf numFmtId="177" fontId="49" fillId="0" borderId="58" xfId="0" applyNumberFormat="1" applyFont="1" applyFill="1" applyBorder="1" applyAlignment="1" applyProtection="1">
      <alignment vertical="center" wrapText="1" shrinkToFit="1"/>
      <protection locked="0"/>
    </xf>
    <xf numFmtId="177" fontId="49" fillId="0" borderId="65" xfId="0" applyNumberFormat="1" applyFont="1" applyFill="1" applyBorder="1" applyAlignment="1" applyProtection="1">
      <alignment vertical="center" wrapText="1" shrinkToFit="1"/>
      <protection locked="0"/>
    </xf>
    <xf numFmtId="0" fontId="56" fillId="8" borderId="0" xfId="0" applyFont="1" applyFill="1" applyBorder="1" applyProtection="1">
      <alignment vertical="center"/>
      <protection hidden="1"/>
    </xf>
    <xf numFmtId="0" fontId="7" fillId="6" borderId="0" xfId="0" applyFont="1" applyFill="1" applyBorder="1" applyProtection="1">
      <alignment vertical="center"/>
      <protection locked="0"/>
    </xf>
    <xf numFmtId="0" fontId="0" fillId="6" borderId="0" xfId="0" applyFill="1" applyAlignment="1" applyProtection="1">
      <alignment vertical="center"/>
      <protection hidden="1"/>
    </xf>
    <xf numFmtId="177" fontId="50" fillId="8" borderId="1" xfId="0" applyNumberFormat="1" applyFont="1" applyFill="1" applyBorder="1" applyAlignment="1" applyProtection="1">
      <alignment vertical="center" shrinkToFit="1"/>
    </xf>
    <xf numFmtId="0" fontId="0" fillId="6" borderId="0" xfId="0" applyFill="1" applyAlignment="1" applyProtection="1">
      <alignment vertical="center" wrapText="1"/>
      <protection locked="0"/>
    </xf>
    <xf numFmtId="0" fontId="22" fillId="8" borderId="0" xfId="0" applyNumberFormat="1" applyFont="1" applyFill="1" applyBorder="1" applyAlignment="1" applyProtection="1">
      <alignment vertical="center"/>
    </xf>
    <xf numFmtId="0" fontId="66" fillId="8" borderId="0" xfId="0" applyFont="1" applyFill="1" applyBorder="1" applyProtection="1">
      <alignment vertical="center"/>
      <protection locked="0"/>
    </xf>
    <xf numFmtId="0" fontId="45" fillId="8" borderId="0" xfId="0" applyFont="1" applyFill="1" applyBorder="1">
      <alignment vertical="center"/>
    </xf>
    <xf numFmtId="0" fontId="58" fillId="6" borderId="91" xfId="0" applyFont="1" applyFill="1" applyBorder="1" applyAlignment="1" applyProtection="1">
      <alignment vertical="center" wrapText="1"/>
    </xf>
    <xf numFmtId="177" fontId="50" fillId="0" borderId="89" xfId="0" applyNumberFormat="1" applyFont="1" applyFill="1" applyBorder="1" applyAlignment="1" applyProtection="1">
      <alignment vertical="center" shrinkToFit="1"/>
      <protection locked="0"/>
    </xf>
    <xf numFmtId="177" fontId="50" fillId="0" borderId="90" xfId="0" applyNumberFormat="1" applyFont="1" applyFill="1" applyBorder="1" applyAlignment="1" applyProtection="1">
      <alignment vertical="center" shrinkToFit="1"/>
      <protection locked="0"/>
    </xf>
    <xf numFmtId="0" fontId="22" fillId="0" borderId="65" xfId="0" applyNumberFormat="1" applyFont="1" applyFill="1" applyBorder="1" applyAlignment="1" applyProtection="1">
      <alignment vertical="center" wrapText="1"/>
      <protection locked="0"/>
    </xf>
    <xf numFmtId="0" fontId="22" fillId="0" borderId="58" xfId="0" applyNumberFormat="1" applyFont="1" applyFill="1" applyBorder="1" applyAlignment="1" applyProtection="1">
      <alignment vertical="center" wrapText="1"/>
      <protection locked="0"/>
    </xf>
    <xf numFmtId="0" fontId="42" fillId="8" borderId="57" xfId="0" applyFont="1" applyFill="1" applyBorder="1" applyAlignment="1" applyProtection="1">
      <alignment horizontal="left" vertical="center" wrapText="1"/>
      <protection locked="0"/>
    </xf>
    <xf numFmtId="0" fontId="0" fillId="6" borderId="0" xfId="0" applyFill="1" applyAlignment="1">
      <alignment vertical="center" wrapText="1"/>
    </xf>
    <xf numFmtId="0" fontId="29" fillId="13" borderId="92" xfId="0" applyFont="1" applyFill="1" applyBorder="1" applyAlignment="1" applyProtection="1">
      <alignment vertical="center"/>
    </xf>
    <xf numFmtId="0" fontId="65" fillId="13" borderId="93" xfId="0" applyNumberFormat="1" applyFont="1" applyFill="1" applyBorder="1" applyAlignment="1" applyProtection="1">
      <alignment vertical="center"/>
      <protection hidden="1"/>
    </xf>
    <xf numFmtId="0" fontId="22" fillId="13" borderId="93" xfId="0" applyNumberFormat="1" applyFont="1" applyFill="1" applyBorder="1" applyAlignment="1" applyProtection="1">
      <alignment vertical="center"/>
      <protection hidden="1"/>
    </xf>
    <xf numFmtId="0" fontId="0" fillId="13" borderId="93" xfId="0" applyFill="1" applyBorder="1" applyProtection="1">
      <alignment vertical="center"/>
      <protection locked="0"/>
    </xf>
    <xf numFmtId="0" fontId="0" fillId="13" borderId="94" xfId="0" applyFill="1" applyBorder="1">
      <alignment vertical="center"/>
    </xf>
    <xf numFmtId="0" fontId="60" fillId="8" borderId="57" xfId="0" applyFont="1" applyFill="1" applyBorder="1" applyAlignment="1" applyProtection="1">
      <alignment vertical="center" wrapText="1"/>
    </xf>
    <xf numFmtId="0" fontId="41" fillId="6" borderId="95" xfId="0" applyFont="1" applyFill="1" applyBorder="1">
      <alignment vertical="center"/>
    </xf>
    <xf numFmtId="0" fontId="0" fillId="6" borderId="95" xfId="0" applyFill="1" applyBorder="1">
      <alignment vertical="center"/>
    </xf>
    <xf numFmtId="0" fontId="68" fillId="6" borderId="0" xfId="5" applyFill="1" applyAlignment="1" applyProtection="1">
      <alignment vertical="center"/>
    </xf>
    <xf numFmtId="177" fontId="72" fillId="6" borderId="0" xfId="5" applyNumberFormat="1" applyFont="1" applyFill="1" applyAlignment="1" applyProtection="1">
      <alignment horizontal="center" vertical="center" shrinkToFit="1"/>
    </xf>
    <xf numFmtId="0" fontId="41" fillId="2" borderId="0" xfId="0" applyFont="1" applyFill="1">
      <alignment vertical="center"/>
    </xf>
    <xf numFmtId="176" fontId="13" fillId="2" borderId="0" xfId="0" applyNumberFormat="1" applyFont="1" applyFill="1" applyBorder="1" applyAlignment="1">
      <alignment vertical="center"/>
    </xf>
    <xf numFmtId="176" fontId="13" fillId="2" borderId="0" xfId="0" applyNumberFormat="1" applyFont="1" applyFill="1" applyAlignment="1">
      <alignment vertical="center"/>
    </xf>
    <xf numFmtId="176" fontId="0" fillId="2" borderId="0" xfId="0" applyNumberFormat="1" applyFill="1" applyAlignment="1">
      <alignment vertical="center"/>
    </xf>
    <xf numFmtId="0" fontId="0" fillId="2" borderId="0" xfId="0" applyFill="1" applyProtection="1">
      <alignment vertical="center"/>
      <protection locked="0"/>
    </xf>
    <xf numFmtId="0" fontId="41" fillId="2" borderId="0" xfId="0" applyFont="1" applyFill="1" applyProtection="1">
      <alignment vertical="center"/>
      <protection hidden="1"/>
    </xf>
    <xf numFmtId="0" fontId="41" fillId="2" borderId="0" xfId="0" applyFont="1" applyFill="1" applyProtection="1">
      <alignment vertical="center"/>
    </xf>
    <xf numFmtId="0" fontId="73" fillId="2" borderId="0" xfId="0" applyNumberFormat="1" applyFont="1" applyFill="1" applyBorder="1" applyAlignment="1" applyProtection="1">
      <alignment vertical="center" shrinkToFit="1"/>
      <protection hidden="1"/>
    </xf>
    <xf numFmtId="176" fontId="13" fillId="2" borderId="0" xfId="0" applyNumberFormat="1" applyFont="1" applyFill="1" applyBorder="1" applyAlignment="1" applyProtection="1">
      <alignment vertical="center"/>
      <protection hidden="1"/>
    </xf>
    <xf numFmtId="176" fontId="13" fillId="2" borderId="0" xfId="0" applyNumberFormat="1" applyFont="1" applyFill="1" applyAlignment="1" applyProtection="1">
      <alignment vertical="center"/>
      <protection hidden="1"/>
    </xf>
    <xf numFmtId="0" fontId="19" fillId="2" borderId="0" xfId="0" applyNumberFormat="1" applyFont="1" applyFill="1" applyAlignment="1" applyProtection="1">
      <alignment vertical="center"/>
      <protection hidden="1"/>
    </xf>
    <xf numFmtId="0" fontId="0" fillId="2" borderId="96" xfId="0" applyFill="1" applyBorder="1" applyAlignment="1" applyProtection="1">
      <alignment horizontal="center" vertical="center" wrapText="1"/>
      <protection hidden="1"/>
    </xf>
    <xf numFmtId="0" fontId="39" fillId="0" borderId="10" xfId="0" applyNumberFormat="1" applyFont="1" applyFill="1" applyBorder="1" applyAlignment="1" applyProtection="1">
      <alignment horizontal="center" vertical="center" shrinkToFit="1"/>
      <protection locked="0"/>
    </xf>
    <xf numFmtId="0" fontId="39" fillId="0" borderId="12" xfId="0" applyNumberFormat="1" applyFont="1" applyFill="1" applyBorder="1" applyAlignment="1" applyProtection="1">
      <alignment horizontal="center" vertical="center" shrinkToFit="1"/>
      <protection locked="0"/>
    </xf>
    <xf numFmtId="0" fontId="39" fillId="0" borderId="15" xfId="0" applyNumberFormat="1" applyFont="1" applyFill="1" applyBorder="1" applyAlignment="1" applyProtection="1">
      <alignment horizontal="center" vertical="center" shrinkToFit="1"/>
      <protection locked="0"/>
    </xf>
    <xf numFmtId="0" fontId="39" fillId="0" borderId="0" xfId="0" applyNumberFormat="1" applyFont="1" applyFill="1" applyBorder="1" applyAlignment="1" applyProtection="1">
      <alignment horizontal="center" vertical="center" shrinkToFit="1"/>
      <protection locked="0"/>
    </xf>
    <xf numFmtId="176" fontId="41" fillId="2" borderId="0" xfId="0" applyNumberFormat="1" applyFont="1" applyFill="1" applyAlignment="1" applyProtection="1">
      <alignment vertical="center"/>
      <protection hidden="1"/>
    </xf>
    <xf numFmtId="176" fontId="0" fillId="2" borderId="19" xfId="0" applyNumberFormat="1" applyFill="1" applyBorder="1" applyAlignment="1">
      <alignment vertical="center"/>
    </xf>
    <xf numFmtId="0" fontId="41" fillId="2" borderId="0" xfId="0" applyFont="1" applyFill="1" applyBorder="1" applyProtection="1">
      <alignment vertical="center"/>
      <protection hidden="1"/>
    </xf>
    <xf numFmtId="0" fontId="6" fillId="2" borderId="97" xfId="0" applyFont="1" applyFill="1" applyBorder="1" applyAlignment="1" applyProtection="1">
      <alignment horizontal="left" vertical="center" indent="1"/>
      <protection locked="0"/>
    </xf>
    <xf numFmtId="0" fontId="0" fillId="2" borderId="97" xfId="0" applyFill="1" applyBorder="1" applyProtection="1">
      <alignment vertical="center"/>
      <protection locked="0"/>
    </xf>
    <xf numFmtId="0" fontId="0" fillId="2" borderId="97" xfId="0" applyFont="1" applyFill="1" applyBorder="1" applyAlignment="1" applyProtection="1">
      <alignment horizontal="left" vertical="center" indent="2"/>
      <protection locked="0"/>
    </xf>
    <xf numFmtId="0" fontId="24" fillId="2" borderId="0" xfId="0" applyFont="1" applyFill="1" applyBorder="1" applyProtection="1">
      <alignment vertical="center"/>
      <protection locked="0"/>
    </xf>
    <xf numFmtId="0" fontId="24" fillId="2" borderId="0" xfId="0" applyFont="1" applyFill="1" applyBorder="1" applyAlignment="1" applyProtection="1">
      <alignment horizontal="left" vertical="center"/>
      <protection locked="0"/>
    </xf>
    <xf numFmtId="0" fontId="10" fillId="2" borderId="0" xfId="0" applyNumberFormat="1" applyFont="1" applyFill="1" applyBorder="1" applyAlignment="1" applyProtection="1">
      <alignment vertical="center"/>
      <protection hidden="1"/>
    </xf>
    <xf numFmtId="0" fontId="0" fillId="2" borderId="1" xfId="0" applyFill="1" applyBorder="1" applyAlignment="1" applyProtection="1">
      <alignment horizontal="left" vertical="center"/>
      <protection hidden="1"/>
    </xf>
    <xf numFmtId="176" fontId="13" fillId="2" borderId="5" xfId="0" applyNumberFormat="1" applyFont="1" applyFill="1" applyBorder="1" applyAlignment="1" applyProtection="1">
      <alignment vertical="center"/>
      <protection hidden="1"/>
    </xf>
    <xf numFmtId="0" fontId="11" fillId="2" borderId="2" xfId="0" applyNumberFormat="1" applyFont="1" applyFill="1" applyBorder="1" applyAlignment="1" applyProtection="1">
      <alignment vertical="center"/>
      <protection hidden="1"/>
    </xf>
    <xf numFmtId="0" fontId="12" fillId="2" borderId="0" xfId="0" applyNumberFormat="1" applyFont="1" applyFill="1" applyBorder="1" applyAlignment="1" applyProtection="1">
      <alignment horizontal="center" vertical="center"/>
      <protection hidden="1"/>
    </xf>
    <xf numFmtId="0" fontId="3" fillId="2" borderId="0" xfId="0" applyNumberFormat="1" applyFont="1" applyFill="1" applyBorder="1" applyAlignment="1" applyProtection="1">
      <alignment horizontal="center" vertical="center"/>
      <protection hidden="1"/>
    </xf>
    <xf numFmtId="0" fontId="10" fillId="2" borderId="3" xfId="0" applyNumberFormat="1" applyFont="1" applyFill="1" applyBorder="1" applyAlignment="1" applyProtection="1">
      <alignment horizontal="center" vertical="center"/>
      <protection hidden="1"/>
    </xf>
    <xf numFmtId="0" fontId="14" fillId="2" borderId="0" xfId="0" applyNumberFormat="1" applyFont="1" applyFill="1" applyBorder="1" applyAlignment="1" applyProtection="1">
      <alignment vertical="center"/>
      <protection hidden="1"/>
    </xf>
    <xf numFmtId="0" fontId="78" fillId="2" borderId="4" xfId="0" applyNumberFormat="1" applyFont="1" applyFill="1" applyBorder="1" applyAlignment="1" applyProtection="1">
      <alignment horizontal="left" vertical="center"/>
      <protection hidden="1"/>
    </xf>
    <xf numFmtId="176" fontId="13" fillId="2" borderId="6" xfId="0" applyNumberFormat="1" applyFont="1" applyFill="1" applyBorder="1" applyAlignment="1" applyProtection="1">
      <alignment vertical="center"/>
      <protection hidden="1"/>
    </xf>
    <xf numFmtId="0" fontId="10" fillId="2" borderId="2" xfId="0" applyNumberFormat="1" applyFont="1" applyFill="1" applyBorder="1" applyAlignment="1" applyProtection="1">
      <alignment horizontal="center" vertical="center"/>
      <protection hidden="1"/>
    </xf>
    <xf numFmtId="0" fontId="79" fillId="2" borderId="1"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horizontal="center" vertical="center"/>
      <protection locked="0"/>
    </xf>
    <xf numFmtId="178" fontId="80" fillId="2" borderId="5" xfId="0" applyNumberFormat="1" applyFont="1" applyFill="1" applyBorder="1" applyAlignment="1" applyProtection="1">
      <alignment horizontal="center" vertical="center"/>
      <protection locked="0"/>
    </xf>
    <xf numFmtId="0" fontId="12" fillId="2" borderId="0" xfId="0" applyNumberFormat="1" applyFont="1" applyFill="1" applyBorder="1" applyAlignment="1" applyProtection="1">
      <alignment horizontal="left" vertical="center"/>
      <protection locked="0"/>
    </xf>
    <xf numFmtId="178" fontId="18" fillId="2" borderId="4" xfId="0" applyNumberFormat="1" applyFont="1" applyFill="1" applyBorder="1" applyAlignment="1" applyProtection="1">
      <alignment horizontal="left" vertical="center"/>
      <protection hidden="1"/>
    </xf>
    <xf numFmtId="0" fontId="79" fillId="2" borderId="4" xfId="0" applyNumberFormat="1" applyFont="1" applyFill="1" applyBorder="1" applyAlignment="1" applyProtection="1">
      <alignment horizontal="center" vertical="center"/>
      <protection locked="0"/>
    </xf>
    <xf numFmtId="0" fontId="3" fillId="2" borderId="0" xfId="0" applyNumberFormat="1" applyFont="1" applyFill="1" applyBorder="1" applyAlignment="1" applyProtection="1">
      <alignment vertical="center"/>
      <protection locked="0"/>
    </xf>
    <xf numFmtId="0" fontId="19" fillId="2" borderId="2" xfId="0" applyNumberFormat="1" applyFont="1" applyFill="1" applyBorder="1" applyAlignment="1" applyProtection="1">
      <alignment vertical="center"/>
      <protection hidden="1"/>
    </xf>
    <xf numFmtId="0" fontId="19" fillId="2" borderId="0" xfId="0" applyNumberFormat="1" applyFont="1" applyFill="1" applyBorder="1" applyAlignment="1" applyProtection="1">
      <alignment vertical="center"/>
      <protection hidden="1"/>
    </xf>
    <xf numFmtId="0" fontId="3" fillId="2" borderId="0" xfId="0" applyNumberFormat="1" applyFont="1" applyFill="1" applyBorder="1" applyAlignment="1" applyProtection="1">
      <alignment vertical="center"/>
      <protection hidden="1"/>
    </xf>
    <xf numFmtId="0" fontId="4" fillId="2" borderId="3" xfId="0" applyNumberFormat="1" applyFont="1" applyFill="1" applyBorder="1" applyAlignment="1" applyProtection="1">
      <alignment vertical="center"/>
      <protection hidden="1"/>
    </xf>
    <xf numFmtId="0" fontId="4" fillId="2" borderId="0" xfId="0" applyNumberFormat="1" applyFont="1" applyFill="1" applyAlignment="1" applyProtection="1">
      <alignment vertical="center"/>
      <protection hidden="1"/>
    </xf>
    <xf numFmtId="0" fontId="0" fillId="2" borderId="98" xfId="0" applyFill="1" applyBorder="1" applyAlignment="1" applyProtection="1">
      <alignment horizontal="center" vertical="center" wrapText="1"/>
      <protection hidden="1"/>
    </xf>
    <xf numFmtId="0" fontId="66" fillId="2" borderId="98" xfId="0" applyFont="1" applyFill="1" applyBorder="1" applyAlignment="1" applyProtection="1">
      <alignment horizontal="center" vertical="center" wrapText="1"/>
      <protection hidden="1"/>
    </xf>
    <xf numFmtId="0" fontId="66" fillId="2" borderId="99" xfId="0" applyFont="1" applyFill="1" applyBorder="1" applyAlignment="1" applyProtection="1">
      <alignment horizontal="center" vertical="center" wrapText="1"/>
      <protection hidden="1"/>
    </xf>
    <xf numFmtId="0" fontId="25" fillId="0" borderId="10" xfId="0" applyFont="1" applyFill="1" applyBorder="1" applyAlignment="1" applyProtection="1">
      <alignment horizontal="center" vertical="center"/>
      <protection locked="0"/>
    </xf>
    <xf numFmtId="0" fontId="0" fillId="0" borderId="27" xfId="0" applyNumberFormat="1" applyFont="1" applyFill="1" applyBorder="1" applyAlignment="1" applyProtection="1">
      <alignment horizontal="left" vertical="center"/>
      <protection locked="0"/>
    </xf>
    <xf numFmtId="0" fontId="0" fillId="0" borderId="27" xfId="0" applyFill="1" applyBorder="1" applyAlignment="1" applyProtection="1">
      <alignment vertical="center" wrapText="1"/>
      <protection locked="0"/>
    </xf>
    <xf numFmtId="177" fontId="22" fillId="0" borderId="20" xfId="0" applyNumberFormat="1" applyFont="1" applyFill="1" applyBorder="1" applyAlignment="1" applyProtection="1">
      <alignment vertical="center" shrinkToFit="1"/>
      <protection locked="0"/>
    </xf>
    <xf numFmtId="0" fontId="25" fillId="0" borderId="12" xfId="0" applyFont="1" applyFill="1" applyBorder="1" applyAlignment="1" applyProtection="1">
      <alignment horizontal="center" vertical="center"/>
      <protection locked="0"/>
    </xf>
    <xf numFmtId="0" fontId="0" fillId="0" borderId="12" xfId="0" applyFont="1" applyFill="1" applyBorder="1" applyAlignment="1" applyProtection="1">
      <alignment horizontal="left" vertical="center"/>
      <protection locked="0"/>
    </xf>
    <xf numFmtId="0" fontId="0" fillId="0" borderId="13" xfId="0" applyFill="1" applyBorder="1" applyAlignment="1" applyProtection="1">
      <alignment vertical="center" wrapText="1"/>
      <protection locked="0"/>
    </xf>
    <xf numFmtId="0" fontId="25" fillId="0" borderId="15" xfId="0" applyFont="1" applyFill="1" applyBorder="1" applyAlignment="1" applyProtection="1">
      <alignment horizontal="center" vertical="center"/>
      <protection locked="0"/>
    </xf>
    <xf numFmtId="0" fontId="0" fillId="0" borderId="50" xfId="0" applyFill="1" applyBorder="1" applyAlignment="1" applyProtection="1">
      <alignment vertical="center" wrapText="1"/>
      <protection locked="0"/>
    </xf>
    <xf numFmtId="0" fontId="25"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horizontal="left" vertical="center"/>
      <protection locked="0"/>
    </xf>
    <xf numFmtId="177" fontId="22" fillId="0" borderId="0" xfId="0" applyNumberFormat="1" applyFont="1" applyFill="1" applyBorder="1" applyAlignment="1" applyProtection="1">
      <alignment vertical="center" shrinkToFit="1"/>
      <protection locked="0"/>
    </xf>
    <xf numFmtId="0" fontId="4" fillId="2" borderId="19" xfId="0" applyNumberFormat="1" applyFont="1" applyFill="1" applyBorder="1" applyAlignment="1">
      <alignment vertical="center"/>
    </xf>
    <xf numFmtId="176" fontId="6" fillId="2" borderId="19" xfId="0" applyNumberFormat="1" applyFont="1" applyFill="1" applyBorder="1" applyAlignment="1">
      <alignment vertical="center"/>
    </xf>
    <xf numFmtId="0" fontId="0" fillId="2" borderId="19" xfId="0" applyFill="1" applyBorder="1" applyAlignment="1">
      <alignment vertical="center"/>
    </xf>
    <xf numFmtId="177" fontId="21" fillId="2" borderId="19" xfId="0" applyNumberFormat="1" applyFont="1" applyFill="1" applyBorder="1" applyAlignment="1" applyProtection="1">
      <alignment vertical="center"/>
    </xf>
    <xf numFmtId="177" fontId="21" fillId="2" borderId="100" xfId="0" applyNumberFormat="1" applyFont="1" applyFill="1" applyBorder="1" applyAlignment="1" applyProtection="1">
      <alignment vertical="center"/>
    </xf>
    <xf numFmtId="0" fontId="6" fillId="2" borderId="101" xfId="0" applyFont="1" applyFill="1" applyBorder="1" applyAlignment="1" applyProtection="1">
      <alignment horizontal="left" vertical="center"/>
      <protection locked="0"/>
    </xf>
    <xf numFmtId="0" fontId="0" fillId="2" borderId="18" xfId="0" applyFill="1" applyBorder="1" applyProtection="1">
      <alignment vertical="center"/>
      <protection locked="0"/>
    </xf>
    <xf numFmtId="0" fontId="6" fillId="2" borderId="18" xfId="0" applyFont="1" applyFill="1" applyBorder="1" applyProtection="1">
      <alignment vertical="center"/>
      <protection locked="0"/>
    </xf>
    <xf numFmtId="0" fontId="0" fillId="2" borderId="102" xfId="0" applyFill="1" applyBorder="1" applyProtection="1">
      <alignment vertical="center"/>
      <protection locked="0"/>
    </xf>
    <xf numFmtId="0" fontId="0" fillId="2" borderId="103" xfId="0" applyFill="1" applyBorder="1" applyProtection="1">
      <alignment vertical="center"/>
      <protection locked="0"/>
    </xf>
    <xf numFmtId="0" fontId="0" fillId="2" borderId="0" xfId="0" applyFill="1" applyBorder="1" applyProtection="1">
      <alignment vertical="center"/>
      <protection locked="0"/>
    </xf>
    <xf numFmtId="0" fontId="0" fillId="0" borderId="0" xfId="0" applyFill="1" applyBorder="1" applyAlignment="1" applyProtection="1">
      <alignment horizontal="left" vertical="center" indent="1"/>
      <protection locked="0"/>
    </xf>
    <xf numFmtId="0" fontId="0" fillId="0" borderId="97" xfId="0" applyFill="1" applyBorder="1" applyProtection="1">
      <alignment vertical="center"/>
      <protection locked="0"/>
    </xf>
    <xf numFmtId="0" fontId="6" fillId="2" borderId="103" xfId="0" applyFont="1" applyFill="1" applyBorder="1" applyAlignment="1" applyProtection="1">
      <alignment horizontal="left" vertical="center"/>
      <protection locked="0"/>
    </xf>
    <xf numFmtId="0" fontId="6" fillId="2" borderId="0" xfId="0" applyFont="1" applyFill="1" applyBorder="1" applyAlignment="1" applyProtection="1">
      <alignment horizontal="left" vertical="center"/>
      <protection locked="0"/>
    </xf>
    <xf numFmtId="0" fontId="0" fillId="2" borderId="103" xfId="0" applyFill="1" applyBorder="1" applyAlignment="1" applyProtection="1">
      <alignment horizontal="left" vertical="center" indent="1"/>
      <protection locked="0"/>
    </xf>
    <xf numFmtId="0" fontId="0" fillId="2" borderId="0" xfId="0" applyFill="1" applyBorder="1" applyAlignment="1" applyProtection="1">
      <alignment horizontal="left" vertical="center" indent="1"/>
      <protection locked="0"/>
    </xf>
    <xf numFmtId="0" fontId="0" fillId="2" borderId="104" xfId="0" applyFill="1" applyBorder="1" applyProtection="1">
      <alignment vertical="center"/>
      <protection locked="0"/>
    </xf>
    <xf numFmtId="0" fontId="0" fillId="2" borderId="1" xfId="0" applyFill="1" applyBorder="1" applyProtection="1">
      <alignment vertical="center"/>
      <protection locked="0"/>
    </xf>
    <xf numFmtId="0" fontId="0" fillId="2" borderId="1" xfId="0" applyFill="1" applyBorder="1" applyAlignment="1" applyProtection="1">
      <alignment horizontal="left" vertical="center" indent="2"/>
      <protection locked="0"/>
    </xf>
    <xf numFmtId="0" fontId="0" fillId="2" borderId="105" xfId="0" applyFill="1" applyBorder="1" applyProtection="1">
      <alignment vertical="center"/>
      <protection locked="0"/>
    </xf>
    <xf numFmtId="0" fontId="41" fillId="2" borderId="0" xfId="0" applyFont="1" applyFill="1" applyProtection="1">
      <alignment vertical="center"/>
      <protection locked="0"/>
    </xf>
    <xf numFmtId="0" fontId="81" fillId="2" borderId="0" xfId="0" applyFont="1" applyFill="1" applyBorder="1" applyAlignment="1" applyProtection="1">
      <alignment vertical="center"/>
    </xf>
    <xf numFmtId="0" fontId="81" fillId="2" borderId="0" xfId="0" applyFont="1" applyFill="1" applyBorder="1" applyAlignment="1" applyProtection="1">
      <alignment vertical="center"/>
      <protection locked="0"/>
    </xf>
    <xf numFmtId="0" fontId="23" fillId="2" borderId="0" xfId="0" applyNumberFormat="1" applyFont="1" applyFill="1" applyBorder="1" applyAlignment="1" applyProtection="1">
      <alignment horizontal="center" vertical="center"/>
      <protection hidden="1"/>
    </xf>
    <xf numFmtId="0" fontId="23" fillId="2" borderId="0" xfId="0" applyNumberFormat="1" applyFont="1" applyFill="1" applyBorder="1" applyAlignment="1" applyProtection="1">
      <alignment horizontal="center" vertical="center"/>
      <protection locked="0"/>
    </xf>
    <xf numFmtId="0" fontId="40" fillId="2" borderId="0" xfId="0" applyNumberFormat="1" applyFont="1" applyFill="1" applyBorder="1" applyAlignment="1" applyProtection="1">
      <alignment horizontal="left" vertical="center" indent="1"/>
      <protection locked="0"/>
    </xf>
    <xf numFmtId="0" fontId="12" fillId="2" borderId="0" xfId="0" applyNumberFormat="1" applyFont="1" applyFill="1" applyBorder="1" applyAlignment="1" applyProtection="1">
      <alignment vertical="center"/>
      <protection locked="0"/>
    </xf>
    <xf numFmtId="176" fontId="13" fillId="2" borderId="0" xfId="0" applyNumberFormat="1" applyFont="1" applyFill="1" applyAlignment="1" applyProtection="1">
      <alignment vertical="center"/>
      <protection locked="0"/>
    </xf>
    <xf numFmtId="0" fontId="0" fillId="2" borderId="99" xfId="0" applyFill="1" applyBorder="1" applyAlignment="1" applyProtection="1">
      <alignment horizontal="center" vertical="center" wrapText="1"/>
      <protection hidden="1"/>
    </xf>
    <xf numFmtId="0" fontId="0" fillId="2" borderId="84" xfId="0" applyFill="1" applyBorder="1" applyAlignment="1" applyProtection="1">
      <alignment horizontal="center" vertical="center" wrapText="1"/>
      <protection hidden="1"/>
    </xf>
    <xf numFmtId="0" fontId="82" fillId="2" borderId="84" xfId="0" applyFont="1" applyFill="1" applyBorder="1" applyAlignment="1" applyProtection="1">
      <alignment horizontal="center" vertical="center" wrapText="1"/>
      <protection locked="0"/>
    </xf>
    <xf numFmtId="0" fontId="25" fillId="0" borderId="20" xfId="0" applyFont="1" applyFill="1" applyBorder="1" applyAlignment="1" applyProtection="1">
      <alignment vertical="center"/>
    </xf>
    <xf numFmtId="0" fontId="25" fillId="2" borderId="0" xfId="0" applyFont="1" applyFill="1" applyBorder="1" applyAlignment="1" applyProtection="1">
      <alignment vertical="center"/>
      <protection locked="0"/>
    </xf>
    <xf numFmtId="0" fontId="0" fillId="2" borderId="0" xfId="0" applyFont="1" applyFill="1" applyBorder="1" applyAlignment="1" applyProtection="1">
      <alignment vertical="center"/>
      <protection locked="0"/>
    </xf>
    <xf numFmtId="177" fontId="22" fillId="2" borderId="0" xfId="0" applyNumberFormat="1" applyFont="1" applyFill="1" applyBorder="1" applyAlignment="1" applyProtection="1">
      <alignment vertical="center" shrinkToFit="1"/>
      <protection locked="0"/>
    </xf>
    <xf numFmtId="0" fontId="25" fillId="0" borderId="49" xfId="0" applyFont="1" applyFill="1" applyBorder="1" applyAlignment="1" applyProtection="1">
      <alignment vertical="center"/>
    </xf>
    <xf numFmtId="176" fontId="0" fillId="2" borderId="0" xfId="0" applyNumberFormat="1" applyFill="1" applyBorder="1" applyAlignment="1" applyProtection="1">
      <alignment vertical="center"/>
      <protection locked="0"/>
    </xf>
    <xf numFmtId="177" fontId="22" fillId="2" borderId="0" xfId="0" applyNumberFormat="1" applyFont="1" applyFill="1" applyAlignment="1" applyProtection="1">
      <alignment vertical="center" shrinkToFit="1"/>
      <protection locked="0"/>
    </xf>
    <xf numFmtId="0" fontId="25" fillId="0" borderId="17" xfId="0" applyFont="1" applyFill="1" applyBorder="1" applyAlignment="1" applyProtection="1">
      <alignment vertical="center"/>
    </xf>
    <xf numFmtId="0" fontId="25" fillId="0" borderId="0" xfId="0" applyFont="1" applyFill="1" applyBorder="1" applyAlignment="1" applyProtection="1">
      <alignment vertical="center"/>
    </xf>
    <xf numFmtId="0" fontId="25" fillId="2" borderId="0" xfId="0" applyFont="1" applyFill="1" applyBorder="1" applyAlignment="1" applyProtection="1">
      <alignment vertical="center"/>
    </xf>
    <xf numFmtId="177" fontId="22" fillId="2" borderId="0" xfId="0" applyNumberFormat="1" applyFont="1" applyFill="1" applyBorder="1" applyAlignment="1" applyProtection="1">
      <alignment vertical="center" shrinkToFit="1"/>
    </xf>
    <xf numFmtId="176" fontId="0" fillId="2" borderId="0" xfId="0" applyNumberFormat="1" applyFill="1" applyBorder="1" applyAlignment="1">
      <alignment vertical="center"/>
    </xf>
    <xf numFmtId="176" fontId="13" fillId="2" borderId="0" xfId="0" applyNumberFormat="1" applyFont="1" applyFill="1" applyBorder="1" applyAlignment="1" applyProtection="1">
      <alignment vertical="center"/>
      <protection locked="0"/>
    </xf>
    <xf numFmtId="176" fontId="13" fillId="2" borderId="0" xfId="0" applyNumberFormat="1" applyFont="1" applyFill="1" applyBorder="1" applyAlignment="1" applyProtection="1">
      <alignment vertical="center"/>
    </xf>
    <xf numFmtId="0" fontId="0" fillId="2" borderId="0" xfId="0" applyFill="1" applyProtection="1">
      <alignment vertical="center"/>
    </xf>
    <xf numFmtId="177" fontId="21" fillId="15" borderId="0" xfId="0" applyNumberFormat="1" applyFont="1" applyFill="1" applyBorder="1" applyAlignment="1" applyProtection="1">
      <alignment vertical="center"/>
    </xf>
    <xf numFmtId="0" fontId="84" fillId="2" borderId="0" xfId="0" applyNumberFormat="1" applyFont="1" applyFill="1" applyBorder="1" applyAlignment="1" applyProtection="1">
      <alignment vertical="center" shrinkToFit="1"/>
      <protection locked="0"/>
    </xf>
    <xf numFmtId="0" fontId="84" fillId="2" borderId="0" xfId="0" applyNumberFormat="1" applyFont="1" applyFill="1" applyBorder="1" applyAlignment="1" applyProtection="1">
      <alignment vertical="center" shrinkToFit="1"/>
      <protection hidden="1"/>
    </xf>
    <xf numFmtId="176" fontId="13" fillId="6" borderId="0" xfId="0" applyNumberFormat="1" applyFont="1" applyFill="1" applyBorder="1" applyAlignment="1" applyProtection="1">
      <alignment vertical="center"/>
      <protection hidden="1"/>
    </xf>
    <xf numFmtId="0" fontId="19" fillId="6" borderId="0" xfId="0" applyNumberFormat="1" applyFont="1" applyFill="1" applyBorder="1" applyAlignment="1" applyProtection="1">
      <alignment vertical="center"/>
      <protection hidden="1"/>
    </xf>
    <xf numFmtId="0" fontId="0" fillId="6" borderId="96" xfId="0" applyFill="1" applyBorder="1" applyAlignment="1" applyProtection="1">
      <alignment horizontal="center" vertical="center" wrapText="1"/>
      <protection hidden="1"/>
    </xf>
    <xf numFmtId="0" fontId="39" fillId="2" borderId="0" xfId="0" applyNumberFormat="1" applyFont="1" applyFill="1" applyBorder="1" applyAlignment="1" applyProtection="1">
      <alignment horizontal="center" vertical="center" shrinkToFit="1"/>
      <protection locked="0"/>
    </xf>
    <xf numFmtId="0" fontId="0" fillId="2" borderId="0" xfId="0" applyFill="1" applyBorder="1">
      <alignment vertical="center"/>
    </xf>
    <xf numFmtId="0" fontId="10" fillId="6" borderId="0" xfId="0" applyNumberFormat="1" applyFont="1" applyFill="1" applyBorder="1" applyAlignment="1" applyProtection="1">
      <alignment vertical="center"/>
      <protection hidden="1"/>
    </xf>
    <xf numFmtId="0" fontId="0" fillId="6" borderId="1" xfId="0" applyFill="1" applyBorder="1" applyAlignment="1" applyProtection="1">
      <alignment horizontal="left" vertical="center"/>
      <protection hidden="1"/>
    </xf>
    <xf numFmtId="176" fontId="13" fillId="6" borderId="5" xfId="0" applyNumberFormat="1" applyFont="1" applyFill="1" applyBorder="1" applyAlignment="1" applyProtection="1">
      <alignment vertical="center"/>
      <protection hidden="1"/>
    </xf>
    <xf numFmtId="0" fontId="11" fillId="6" borderId="2" xfId="0" applyNumberFormat="1" applyFont="1" applyFill="1" applyBorder="1" applyAlignment="1" applyProtection="1">
      <alignment vertical="center"/>
      <protection hidden="1"/>
    </xf>
    <xf numFmtId="0" fontId="12" fillId="6" borderId="0" xfId="0" applyNumberFormat="1" applyFont="1" applyFill="1" applyBorder="1" applyAlignment="1" applyProtection="1">
      <alignment horizontal="center" vertical="center"/>
      <protection hidden="1"/>
    </xf>
    <xf numFmtId="0" fontId="3" fillId="6" borderId="0" xfId="0" applyNumberFormat="1" applyFont="1" applyFill="1" applyBorder="1" applyAlignment="1" applyProtection="1">
      <alignment horizontal="center" vertical="center"/>
      <protection hidden="1"/>
    </xf>
    <xf numFmtId="0" fontId="10" fillId="6" borderId="3" xfId="0" applyNumberFormat="1" applyFont="1" applyFill="1" applyBorder="1" applyAlignment="1" applyProtection="1">
      <alignment horizontal="center" vertical="center"/>
      <protection hidden="1"/>
    </xf>
    <xf numFmtId="0" fontId="14" fillId="6" borderId="0" xfId="0" applyNumberFormat="1" applyFont="1" applyFill="1" applyBorder="1" applyAlignment="1" applyProtection="1">
      <alignment vertical="center"/>
      <protection hidden="1"/>
    </xf>
    <xf numFmtId="0" fontId="78" fillId="6" borderId="4" xfId="0" applyNumberFormat="1" applyFont="1" applyFill="1" applyBorder="1" applyAlignment="1" applyProtection="1">
      <alignment horizontal="left" vertical="center"/>
      <protection hidden="1"/>
    </xf>
    <xf numFmtId="176" fontId="13" fillId="6" borderId="6" xfId="0" applyNumberFormat="1" applyFont="1" applyFill="1" applyBorder="1" applyAlignment="1" applyProtection="1">
      <alignment vertical="center"/>
      <protection hidden="1"/>
    </xf>
    <xf numFmtId="0" fontId="10" fillId="6" borderId="2" xfId="0" applyNumberFormat="1" applyFont="1" applyFill="1" applyBorder="1" applyAlignment="1" applyProtection="1">
      <alignment horizontal="center" vertical="center"/>
      <protection hidden="1"/>
    </xf>
    <xf numFmtId="0" fontId="79" fillId="6" borderId="1"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horizontal="center" vertical="center"/>
      <protection locked="0"/>
    </xf>
    <xf numFmtId="0" fontId="12" fillId="6" borderId="0" xfId="0" applyNumberFormat="1" applyFont="1" applyFill="1" applyBorder="1" applyAlignment="1" applyProtection="1">
      <alignment horizontal="right" vertical="center"/>
      <protection hidden="1"/>
    </xf>
    <xf numFmtId="178" fontId="18" fillId="6" borderId="4" xfId="0" applyNumberFormat="1" applyFont="1" applyFill="1" applyBorder="1" applyAlignment="1" applyProtection="1">
      <alignment horizontal="left" vertical="center"/>
      <protection hidden="1"/>
    </xf>
    <xf numFmtId="0" fontId="79" fillId="6" borderId="4" xfId="0" applyNumberFormat="1" applyFont="1" applyFill="1" applyBorder="1" applyAlignment="1" applyProtection="1">
      <alignment horizontal="center" vertical="center"/>
      <protection locked="0"/>
    </xf>
    <xf numFmtId="0" fontId="3" fillId="6" borderId="0" xfId="0" applyNumberFormat="1" applyFont="1" applyFill="1" applyBorder="1" applyAlignment="1" applyProtection="1">
      <alignment vertical="center"/>
      <protection locked="0"/>
    </xf>
    <xf numFmtId="0" fontId="19" fillId="6" borderId="0" xfId="0" applyNumberFormat="1" applyFont="1" applyFill="1" applyAlignment="1" applyProtection="1">
      <alignment vertical="center"/>
      <protection hidden="1"/>
    </xf>
    <xf numFmtId="176" fontId="13" fillId="6" borderId="0" xfId="0" applyNumberFormat="1" applyFont="1" applyFill="1" applyAlignment="1" applyProtection="1">
      <alignment vertical="center"/>
      <protection hidden="1"/>
    </xf>
    <xf numFmtId="0" fontId="19" fillId="6" borderId="2" xfId="0" applyNumberFormat="1" applyFont="1" applyFill="1" applyBorder="1" applyAlignment="1" applyProtection="1">
      <alignment vertical="center"/>
      <protection hidden="1"/>
    </xf>
    <xf numFmtId="0" fontId="3" fillId="6" borderId="0" xfId="0" applyNumberFormat="1" applyFont="1" applyFill="1" applyBorder="1" applyAlignment="1" applyProtection="1">
      <alignment vertical="center"/>
      <protection hidden="1"/>
    </xf>
    <xf numFmtId="0" fontId="4" fillId="6" borderId="3" xfId="0" applyNumberFormat="1" applyFont="1" applyFill="1" applyBorder="1" applyAlignment="1" applyProtection="1">
      <alignment vertical="center"/>
      <protection hidden="1"/>
    </xf>
    <xf numFmtId="0" fontId="4" fillId="6" borderId="0" xfId="0" applyNumberFormat="1" applyFont="1" applyFill="1" applyAlignment="1" applyProtection="1">
      <alignment vertical="center"/>
      <protection hidden="1"/>
    </xf>
    <xf numFmtId="0" fontId="0" fillId="6" borderId="98" xfId="0" applyFill="1" applyBorder="1" applyAlignment="1" applyProtection="1">
      <alignment horizontal="center" vertical="center" wrapText="1"/>
      <protection hidden="1"/>
    </xf>
    <xf numFmtId="0" fontId="0" fillId="6" borderId="99" xfId="0" applyFill="1" applyBorder="1" applyAlignment="1" applyProtection="1">
      <alignment horizontal="center" vertical="center" wrapText="1"/>
      <protection hidden="1"/>
    </xf>
    <xf numFmtId="0" fontId="25" fillId="0" borderId="26" xfId="0" applyFont="1" applyFill="1" applyBorder="1" applyAlignment="1" applyProtection="1">
      <alignment horizontal="center" vertical="center"/>
      <protection locked="0"/>
    </xf>
    <xf numFmtId="0" fontId="25" fillId="0" borderId="52" xfId="0" applyFont="1" applyFill="1" applyBorder="1" applyAlignment="1" applyProtection="1">
      <alignment horizontal="center" vertical="center"/>
      <protection locked="0"/>
    </xf>
    <xf numFmtId="0" fontId="4" fillId="6" borderId="19" xfId="0" applyNumberFormat="1" applyFont="1" applyFill="1" applyBorder="1" applyAlignment="1" applyProtection="1">
      <alignment vertical="center"/>
    </xf>
    <xf numFmtId="176" fontId="6" fillId="6" borderId="19" xfId="0" applyNumberFormat="1" applyFont="1" applyFill="1" applyBorder="1" applyAlignment="1" applyProtection="1">
      <alignment vertical="center"/>
    </xf>
    <xf numFmtId="176" fontId="0" fillId="6" borderId="19" xfId="0" applyNumberFormat="1" applyFill="1" applyBorder="1" applyAlignment="1" applyProtection="1">
      <alignment vertical="center"/>
    </xf>
    <xf numFmtId="0" fontId="0" fillId="6" borderId="19" xfId="0" applyFill="1" applyBorder="1" applyAlignment="1" applyProtection="1">
      <alignment vertical="center"/>
    </xf>
    <xf numFmtId="177" fontId="21" fillId="6" borderId="106" xfId="0" applyNumberFormat="1" applyFont="1" applyFill="1" applyBorder="1" applyAlignment="1" applyProtection="1">
      <alignment vertical="center"/>
    </xf>
    <xf numFmtId="177" fontId="21" fillId="6" borderId="19" xfId="0" applyNumberFormat="1" applyFont="1" applyFill="1" applyBorder="1" applyAlignment="1" applyProtection="1">
      <alignment vertical="center"/>
    </xf>
    <xf numFmtId="0" fontId="6" fillId="2" borderId="101" xfId="0" applyFont="1" applyFill="1" applyBorder="1" applyAlignment="1">
      <alignment horizontal="left" vertical="center" indent="1"/>
    </xf>
    <xf numFmtId="0" fontId="0" fillId="2" borderId="18" xfId="0" applyFill="1" applyBorder="1">
      <alignment vertical="center"/>
    </xf>
    <xf numFmtId="0" fontId="0" fillId="2" borderId="102" xfId="0" applyFill="1" applyBorder="1">
      <alignment vertical="center"/>
    </xf>
    <xf numFmtId="0" fontId="0" fillId="2" borderId="103" xfId="0" applyFill="1" applyBorder="1">
      <alignment vertical="center"/>
    </xf>
    <xf numFmtId="0" fontId="0" fillId="2" borderId="0" xfId="0" applyFill="1" applyBorder="1" applyAlignment="1">
      <alignment horizontal="center" vertical="center"/>
    </xf>
    <xf numFmtId="0" fontId="0" fillId="2" borderId="107" xfId="0" applyFill="1" applyBorder="1" applyAlignment="1">
      <alignment horizontal="center" vertical="center"/>
    </xf>
    <xf numFmtId="0" fontId="0" fillId="2" borderId="84" xfId="0" applyFill="1" applyBorder="1" applyAlignment="1">
      <alignment horizontal="left" vertical="center" indent="1"/>
    </xf>
    <xf numFmtId="0" fontId="0" fillId="2" borderId="108" xfId="0" applyFill="1" applyBorder="1" applyAlignment="1">
      <alignment horizontal="center" vertical="center"/>
    </xf>
    <xf numFmtId="0" fontId="0" fillId="2" borderId="97" xfId="0" applyFill="1" applyBorder="1">
      <alignment vertical="center"/>
    </xf>
    <xf numFmtId="176" fontId="22" fillId="0" borderId="102" xfId="4" applyFont="1" applyFill="1" applyBorder="1" applyAlignment="1">
      <alignment vertical="center" shrinkToFit="1"/>
    </xf>
    <xf numFmtId="0" fontId="0" fillId="0" borderId="101" xfId="0" applyFill="1" applyBorder="1">
      <alignment vertical="center"/>
    </xf>
    <xf numFmtId="176" fontId="22" fillId="0" borderId="97" xfId="4" applyFont="1" applyFill="1" applyBorder="1" applyAlignment="1">
      <alignment vertical="center" shrinkToFit="1"/>
    </xf>
    <xf numFmtId="0" fontId="0" fillId="0" borderId="103" xfId="0" applyFill="1" applyBorder="1">
      <alignment vertical="center"/>
    </xf>
    <xf numFmtId="176" fontId="22" fillId="0" borderId="105" xfId="4" applyFont="1" applyFill="1" applyBorder="1" applyAlignment="1">
      <alignment vertical="center" shrinkToFit="1"/>
    </xf>
    <xf numFmtId="0" fontId="0" fillId="0" borderId="104" xfId="0" applyFill="1" applyBorder="1">
      <alignment vertical="center"/>
    </xf>
    <xf numFmtId="0" fontId="6" fillId="2" borderId="103" xfId="0" applyFont="1" applyFill="1" applyBorder="1" applyAlignment="1">
      <alignment horizontal="left" vertical="center" indent="1"/>
    </xf>
    <xf numFmtId="0" fontId="0" fillId="2" borderId="104" xfId="0" applyFill="1" applyBorder="1">
      <alignment vertical="center"/>
    </xf>
    <xf numFmtId="0" fontId="0" fillId="2" borderId="1" xfId="0" applyFill="1" applyBorder="1" applyAlignment="1">
      <alignment horizontal="left" vertical="center" indent="1"/>
    </xf>
    <xf numFmtId="0" fontId="0" fillId="2" borderId="1" xfId="0" applyFill="1" applyBorder="1">
      <alignment vertical="center"/>
    </xf>
    <xf numFmtId="0" fontId="0" fillId="2" borderId="105" xfId="0" applyFill="1" applyBorder="1">
      <alignment vertical="center"/>
    </xf>
    <xf numFmtId="0" fontId="23" fillId="6" borderId="0" xfId="0" applyNumberFormat="1" applyFont="1" applyFill="1" applyBorder="1" applyAlignment="1" applyProtection="1">
      <alignment horizontal="center" vertical="center"/>
      <protection hidden="1"/>
    </xf>
    <xf numFmtId="0" fontId="12" fillId="6" borderId="0" xfId="0" applyNumberFormat="1" applyFont="1" applyFill="1" applyBorder="1" applyAlignment="1" applyProtection="1">
      <alignment vertical="center"/>
      <protection locked="0"/>
    </xf>
    <xf numFmtId="0" fontId="66" fillId="2" borderId="84" xfId="0" applyFont="1" applyFill="1" applyBorder="1" applyAlignment="1" applyProtection="1">
      <alignment horizontal="center" vertical="center" wrapText="1"/>
      <protection hidden="1"/>
    </xf>
    <xf numFmtId="0" fontId="39" fillId="0" borderId="10" xfId="0" applyFont="1" applyFill="1" applyBorder="1" applyAlignment="1" applyProtection="1">
      <alignment vertical="center"/>
      <protection locked="0"/>
    </xf>
    <xf numFmtId="176" fontId="0" fillId="16" borderId="18" xfId="0" applyNumberFormat="1" applyFill="1" applyBorder="1" applyAlignment="1" applyProtection="1">
      <alignment vertical="center"/>
    </xf>
    <xf numFmtId="176" fontId="0" fillId="16" borderId="1" xfId="0" applyNumberFormat="1" applyFill="1" applyBorder="1" applyAlignment="1" applyProtection="1">
      <alignment vertical="center"/>
    </xf>
    <xf numFmtId="176" fontId="0" fillId="16" borderId="19" xfId="0" applyNumberFormat="1" applyFill="1" applyBorder="1" applyAlignment="1" applyProtection="1">
      <alignment vertical="center"/>
    </xf>
    <xf numFmtId="0" fontId="15" fillId="2" borderId="4" xfId="0" applyNumberFormat="1" applyFont="1" applyFill="1" applyBorder="1" applyAlignment="1" applyProtection="1">
      <alignment horizontal="left" vertical="center"/>
      <protection hidden="1"/>
    </xf>
    <xf numFmtId="0" fontId="0" fillId="0" borderId="16" xfId="0" applyFill="1" applyBorder="1" applyAlignment="1" applyProtection="1">
      <alignment vertical="center" wrapText="1"/>
      <protection locked="0"/>
    </xf>
    <xf numFmtId="0" fontId="0" fillId="0" borderId="16" xfId="0" applyFill="1" applyBorder="1" applyAlignment="1" applyProtection="1">
      <alignment vertical="center" wrapText="1"/>
    </xf>
    <xf numFmtId="0" fontId="4" fillId="16" borderId="18" xfId="0" applyNumberFormat="1" applyFont="1" applyFill="1" applyBorder="1" applyAlignment="1" applyProtection="1">
      <alignment vertical="center"/>
    </xf>
    <xf numFmtId="176" fontId="6" fillId="16" borderId="18" xfId="0" applyNumberFormat="1" applyFont="1" applyFill="1" applyBorder="1" applyAlignment="1" applyProtection="1">
      <alignment vertical="center"/>
    </xf>
    <xf numFmtId="0" fontId="0" fillId="16" borderId="18" xfId="0" applyFill="1" applyBorder="1" applyAlignment="1" applyProtection="1">
      <alignment vertical="center"/>
    </xf>
    <xf numFmtId="177" fontId="21" fillId="16" borderId="18" xfId="0" applyNumberFormat="1" applyFont="1" applyFill="1" applyBorder="1" applyAlignment="1" applyProtection="1">
      <alignment vertical="center"/>
    </xf>
    <xf numFmtId="177" fontId="21" fillId="16" borderId="101" xfId="0" applyNumberFormat="1" applyFont="1" applyFill="1" applyBorder="1" applyAlignment="1" applyProtection="1">
      <alignment vertical="center"/>
    </xf>
    <xf numFmtId="0" fontId="4" fillId="16" borderId="1" xfId="0" applyNumberFormat="1" applyFont="1" applyFill="1" applyBorder="1" applyAlignment="1" applyProtection="1">
      <alignment vertical="center"/>
    </xf>
    <xf numFmtId="176" fontId="6" fillId="16" borderId="1" xfId="0" applyNumberFormat="1" applyFont="1" applyFill="1" applyBorder="1" applyAlignment="1" applyProtection="1">
      <alignment vertical="center"/>
    </xf>
    <xf numFmtId="0" fontId="0" fillId="16" borderId="1" xfId="0" applyFill="1" applyBorder="1" applyAlignment="1" applyProtection="1">
      <alignment vertical="center"/>
    </xf>
    <xf numFmtId="177" fontId="21" fillId="16" borderId="1" xfId="0" applyNumberFormat="1" applyFont="1" applyFill="1" applyBorder="1" applyAlignment="1" applyProtection="1">
      <alignment vertical="center"/>
    </xf>
    <xf numFmtId="177" fontId="21" fillId="16" borderId="104" xfId="0" applyNumberFormat="1" applyFont="1" applyFill="1" applyBorder="1" applyAlignment="1" applyProtection="1">
      <alignment vertical="center"/>
    </xf>
    <xf numFmtId="0" fontId="4" fillId="16" borderId="19" xfId="0" applyNumberFormat="1" applyFont="1" applyFill="1" applyBorder="1" applyAlignment="1" applyProtection="1">
      <alignment vertical="center"/>
    </xf>
    <xf numFmtId="176" fontId="6" fillId="16" borderId="19" xfId="0" applyNumberFormat="1" applyFont="1" applyFill="1" applyBorder="1" applyAlignment="1" applyProtection="1">
      <alignment vertical="center"/>
    </xf>
    <xf numFmtId="0" fontId="0" fillId="16" borderId="19" xfId="0" applyFill="1" applyBorder="1" applyAlignment="1" applyProtection="1">
      <alignment vertical="center"/>
    </xf>
    <xf numFmtId="177" fontId="21" fillId="16" borderId="19" xfId="0" applyNumberFormat="1" applyFont="1" applyFill="1" applyBorder="1" applyAlignment="1" applyProtection="1">
      <alignment vertical="center"/>
    </xf>
    <xf numFmtId="0" fontId="0" fillId="2" borderId="0" xfId="0" applyFill="1" applyBorder="1" applyAlignment="1" applyProtection="1">
      <alignment horizontal="center" vertical="center" wrapText="1"/>
      <protection hidden="1"/>
    </xf>
    <xf numFmtId="0" fontId="6" fillId="2" borderId="84" xfId="0" applyFont="1" applyFill="1" applyBorder="1" applyAlignment="1" applyProtection="1">
      <alignment horizontal="center" vertical="center"/>
      <protection hidden="1"/>
    </xf>
    <xf numFmtId="0" fontId="0" fillId="2" borderId="0" xfId="0" applyFill="1" applyProtection="1">
      <alignment vertical="center"/>
      <protection hidden="1"/>
    </xf>
    <xf numFmtId="177" fontId="22" fillId="2" borderId="82" xfId="0" applyNumberFormat="1" applyFont="1" applyFill="1" applyBorder="1" applyAlignment="1" applyProtection="1">
      <alignment vertical="center" shrinkToFit="1"/>
      <protection hidden="1"/>
    </xf>
    <xf numFmtId="177" fontId="22" fillId="2" borderId="109" xfId="0" applyNumberFormat="1" applyFont="1" applyFill="1" applyBorder="1" applyAlignment="1" applyProtection="1">
      <alignment vertical="center" shrinkToFit="1"/>
      <protection hidden="1"/>
    </xf>
    <xf numFmtId="176" fontId="0" fillId="2" borderId="0" xfId="0" applyNumberFormat="1" applyFill="1" applyAlignment="1" applyProtection="1">
      <alignment vertical="center"/>
      <protection hidden="1"/>
    </xf>
    <xf numFmtId="177" fontId="83" fillId="2" borderId="109" xfId="0" applyNumberFormat="1" applyFont="1" applyFill="1" applyBorder="1" applyAlignment="1" applyProtection="1">
      <alignment vertical="center" shrinkToFit="1"/>
      <protection hidden="1"/>
    </xf>
    <xf numFmtId="177" fontId="21" fillId="2" borderId="0" xfId="0" applyNumberFormat="1" applyFont="1" applyFill="1" applyBorder="1" applyAlignment="1" applyProtection="1">
      <alignment vertical="center"/>
      <protection hidden="1"/>
    </xf>
    <xf numFmtId="177" fontId="83" fillId="2" borderId="83" xfId="0" applyNumberFormat="1" applyFont="1" applyFill="1" applyBorder="1" applyAlignment="1" applyProtection="1">
      <alignment vertical="center" shrinkToFit="1"/>
      <protection hidden="1"/>
    </xf>
    <xf numFmtId="177" fontId="21" fillId="15" borderId="0" xfId="0" applyNumberFormat="1" applyFont="1" applyFill="1" applyBorder="1" applyAlignment="1" applyProtection="1">
      <alignment vertical="center"/>
      <protection hidden="1"/>
    </xf>
    <xf numFmtId="177" fontId="21" fillId="2" borderId="110" xfId="0" applyNumberFormat="1" applyFont="1" applyFill="1" applyBorder="1" applyAlignment="1" applyProtection="1">
      <alignment vertical="center" shrinkToFit="1"/>
      <protection hidden="1"/>
    </xf>
    <xf numFmtId="176" fontId="0" fillId="16" borderId="19" xfId="0" applyNumberFormat="1" applyFill="1" applyBorder="1" applyAlignment="1">
      <alignment vertical="center"/>
    </xf>
    <xf numFmtId="0" fontId="4" fillId="16" borderId="19" xfId="0" applyNumberFormat="1" applyFont="1" applyFill="1" applyBorder="1" applyAlignment="1">
      <alignment vertical="center"/>
    </xf>
    <xf numFmtId="176" fontId="6" fillId="16" borderId="19" xfId="0" applyNumberFormat="1" applyFont="1" applyFill="1" applyBorder="1" applyAlignment="1">
      <alignment vertical="center"/>
    </xf>
    <xf numFmtId="0" fontId="0" fillId="16" borderId="19" xfId="0" applyFill="1" applyBorder="1" applyAlignment="1">
      <alignment vertical="center"/>
    </xf>
    <xf numFmtId="177" fontId="21" fillId="16" borderId="100" xfId="0" applyNumberFormat="1" applyFont="1" applyFill="1" applyBorder="1" applyAlignment="1" applyProtection="1">
      <alignment vertical="center"/>
    </xf>
    <xf numFmtId="0" fontId="0" fillId="2" borderId="0" xfId="0" applyFill="1" applyBorder="1" applyProtection="1">
      <alignment vertical="center"/>
      <protection hidden="1"/>
    </xf>
    <xf numFmtId="0" fontId="1" fillId="5" borderId="0" xfId="25" applyFill="1">
      <alignment vertical="center"/>
    </xf>
    <xf numFmtId="0" fontId="1" fillId="5" borderId="0" xfId="25" applyFill="1" applyProtection="1">
      <alignment vertical="center"/>
      <protection locked="0"/>
    </xf>
    <xf numFmtId="0" fontId="1" fillId="0" borderId="0" xfId="25" applyFill="1">
      <alignment vertical="center"/>
    </xf>
    <xf numFmtId="0" fontId="1" fillId="0" borderId="0" xfId="25" applyFill="1" applyProtection="1">
      <alignment vertical="center"/>
    </xf>
    <xf numFmtId="0" fontId="1" fillId="0" borderId="0" xfId="25" applyFill="1" applyProtection="1">
      <alignment vertical="center"/>
      <protection locked="0"/>
    </xf>
    <xf numFmtId="0" fontId="1" fillId="0" borderId="0" xfId="25" applyFill="1" applyBorder="1" applyProtection="1">
      <alignment vertical="center"/>
      <protection locked="0"/>
    </xf>
    <xf numFmtId="0" fontId="45" fillId="2" borderId="0" xfId="0" applyFont="1" applyFill="1">
      <alignment vertical="center"/>
    </xf>
    <xf numFmtId="0" fontId="0" fillId="2" borderId="0" xfId="0" applyFont="1" applyFill="1">
      <alignment vertical="center"/>
    </xf>
    <xf numFmtId="0" fontId="45" fillId="2" borderId="0" xfId="0" applyFont="1" applyFill="1" applyProtection="1">
      <alignment vertical="center"/>
      <protection hidden="1"/>
    </xf>
    <xf numFmtId="0" fontId="0" fillId="2" borderId="0" xfId="0" applyFont="1" applyFill="1" applyProtection="1">
      <alignment vertical="center"/>
      <protection hidden="1"/>
    </xf>
    <xf numFmtId="0" fontId="0" fillId="2" borderId="0" xfId="0" applyFill="1" applyAlignment="1" applyProtection="1">
      <alignment horizontal="left" vertical="center" indent="1"/>
      <protection hidden="1"/>
    </xf>
    <xf numFmtId="0" fontId="0" fillId="2" borderId="1" xfId="0" applyFill="1" applyBorder="1" applyAlignment="1" applyProtection="1">
      <alignment horizontal="left" vertical="center" indent="1"/>
    </xf>
    <xf numFmtId="0" fontId="0" fillId="2" borderId="1" xfId="0" applyFill="1" applyBorder="1" applyProtection="1">
      <alignment vertical="center"/>
    </xf>
    <xf numFmtId="0" fontId="0" fillId="2" borderId="5" xfId="0" applyFill="1" applyBorder="1" applyProtection="1">
      <alignment vertical="center"/>
    </xf>
    <xf numFmtId="0" fontId="0" fillId="2" borderId="0" xfId="0" applyFill="1" applyAlignment="1" applyProtection="1">
      <alignment horizontal="left" vertical="center" wrapText="1" indent="1"/>
      <protection hidden="1"/>
    </xf>
    <xf numFmtId="0" fontId="34" fillId="2" borderId="4" xfId="0" applyFont="1" applyFill="1" applyBorder="1" applyAlignment="1" applyProtection="1">
      <alignment horizontal="left" vertical="center" indent="1"/>
    </xf>
    <xf numFmtId="0" fontId="0" fillId="2" borderId="4" xfId="0" applyFill="1" applyBorder="1" applyProtection="1">
      <alignment vertical="center"/>
    </xf>
    <xf numFmtId="0" fontId="0" fillId="2" borderId="6" xfId="0" applyFill="1" applyBorder="1" applyProtection="1">
      <alignment vertical="center"/>
    </xf>
    <xf numFmtId="178" fontId="18" fillId="2" borderId="4" xfId="0" applyNumberFormat="1" applyFont="1" applyFill="1" applyBorder="1" applyProtection="1">
      <alignment vertical="center"/>
    </xf>
    <xf numFmtId="0" fontId="45" fillId="2" borderId="0" xfId="0" applyFont="1" applyFill="1" applyAlignment="1" applyProtection="1">
      <alignment horizontal="left" vertical="center" wrapText="1" indent="1"/>
      <protection hidden="1"/>
    </xf>
    <xf numFmtId="178" fontId="97" fillId="2" borderId="0" xfId="0" applyNumberFormat="1" applyFont="1" applyFill="1" applyBorder="1" applyProtection="1">
      <alignment vertical="center"/>
      <protection hidden="1"/>
    </xf>
    <xf numFmtId="0" fontId="45" fillId="2" borderId="0" xfId="0" applyFont="1" applyFill="1" applyBorder="1" applyProtection="1">
      <alignment vertical="center"/>
      <protection hidden="1"/>
    </xf>
    <xf numFmtId="0" fontId="45" fillId="2" borderId="3" xfId="0" applyFont="1" applyFill="1" applyBorder="1" applyProtection="1">
      <alignment vertical="center"/>
      <protection hidden="1"/>
    </xf>
    <xf numFmtId="0" fontId="0" fillId="2" borderId="0" xfId="0" applyFont="1" applyFill="1" applyProtection="1">
      <alignment vertical="center"/>
    </xf>
    <xf numFmtId="0" fontId="41" fillId="2" borderId="0" xfId="0" applyFont="1" applyFill="1" applyAlignment="1" applyProtection="1">
      <alignment horizontal="left" vertical="center" wrapText="1" indent="1"/>
      <protection hidden="1"/>
    </xf>
    <xf numFmtId="178" fontId="41" fillId="2" borderId="0" xfId="0" applyNumberFormat="1" applyFont="1" applyFill="1" applyProtection="1">
      <alignment vertical="center"/>
      <protection hidden="1"/>
    </xf>
    <xf numFmtId="0" fontId="41" fillId="2" borderId="158" xfId="0" applyFont="1" applyFill="1" applyBorder="1" applyProtection="1">
      <alignment vertical="center"/>
      <protection hidden="1"/>
    </xf>
    <xf numFmtId="0" fontId="41" fillId="2" borderId="159" xfId="0" applyFont="1" applyFill="1" applyBorder="1" applyProtection="1">
      <alignment vertical="center"/>
      <protection hidden="1"/>
    </xf>
    <xf numFmtId="0" fontId="0" fillId="2" borderId="0" xfId="0" applyFont="1" applyFill="1" applyAlignment="1" applyProtection="1">
      <alignment horizontal="center" vertical="center"/>
    </xf>
    <xf numFmtId="0" fontId="89" fillId="14" borderId="160" xfId="0" applyFont="1" applyFill="1" applyBorder="1" applyAlignment="1" applyProtection="1">
      <alignment vertical="center" wrapText="1"/>
      <protection hidden="1"/>
    </xf>
    <xf numFmtId="0" fontId="89" fillId="14" borderId="161" xfId="0" applyFont="1" applyFill="1" applyBorder="1" applyAlignment="1" applyProtection="1">
      <alignment horizontal="left" vertical="center" indent="8"/>
      <protection hidden="1"/>
    </xf>
    <xf numFmtId="0" fontId="89" fillId="14" borderId="162" xfId="0" applyFont="1" applyFill="1" applyBorder="1" applyAlignment="1" applyProtection="1">
      <alignment horizontal="center" vertical="center"/>
      <protection hidden="1"/>
    </xf>
    <xf numFmtId="0" fontId="41" fillId="2" borderId="0" xfId="0" applyFont="1" applyFill="1" applyAlignment="1" applyProtection="1">
      <alignment horizontal="center" vertical="center"/>
    </xf>
    <xf numFmtId="0" fontId="89" fillId="14" borderId="163" xfId="0" applyFont="1" applyFill="1" applyBorder="1" applyAlignment="1" applyProtection="1">
      <alignment horizontal="center" vertical="center" wrapText="1"/>
      <protection hidden="1"/>
    </xf>
    <xf numFmtId="0" fontId="89" fillId="14" borderId="164" xfId="0" applyFont="1" applyFill="1" applyBorder="1" applyAlignment="1" applyProtection="1">
      <alignment horizontal="center" vertical="center"/>
      <protection hidden="1"/>
    </xf>
    <xf numFmtId="0" fontId="32" fillId="2" borderId="165" xfId="4" applyNumberFormat="1" applyFon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xf>
    <xf numFmtId="177" fontId="22" fillId="0" borderId="116" xfId="4" applyNumberFormat="1" applyFont="1" applyFill="1" applyBorder="1" applyAlignment="1" applyProtection="1">
      <alignment vertical="center" shrinkToFit="1"/>
    </xf>
    <xf numFmtId="0" fontId="22" fillId="2" borderId="116" xfId="4" applyNumberFormat="1" applyFont="1" applyFill="1" applyBorder="1" applyAlignment="1" applyProtection="1">
      <alignment vertical="center" wrapText="1"/>
      <protection hidden="1"/>
    </xf>
    <xf numFmtId="0" fontId="22" fillId="2" borderId="116" xfId="4" applyNumberFormat="1" applyFont="1" applyFill="1" applyBorder="1" applyAlignment="1" applyProtection="1">
      <alignment vertical="center" wrapText="1"/>
    </xf>
    <xf numFmtId="0" fontId="0" fillId="2" borderId="116" xfId="0" applyFill="1" applyBorder="1" applyAlignment="1" applyProtection="1">
      <alignment vertical="center" wrapText="1"/>
      <protection hidden="1"/>
    </xf>
    <xf numFmtId="0" fontId="0" fillId="2" borderId="116" xfId="0" applyNumberFormat="1" applyFill="1" applyBorder="1" applyAlignment="1" applyProtection="1">
      <alignment vertical="center" wrapText="1"/>
    </xf>
    <xf numFmtId="0" fontId="6" fillId="2" borderId="116" xfId="0" applyFont="1" applyFill="1" applyBorder="1" applyAlignment="1" applyProtection="1">
      <alignment vertical="center" wrapText="1"/>
      <protection hidden="1"/>
    </xf>
    <xf numFmtId="177" fontId="22" fillId="17" borderId="116" xfId="4" applyNumberFormat="1" applyFont="1" applyFill="1" applyBorder="1" applyAlignment="1" applyProtection="1">
      <alignment vertical="center" shrinkToFit="1"/>
    </xf>
    <xf numFmtId="0" fontId="45" fillId="2" borderId="0" xfId="0" applyFont="1" applyFill="1" applyProtection="1">
      <alignment vertical="center"/>
      <protection locked="0"/>
    </xf>
    <xf numFmtId="0" fontId="0" fillId="2" borderId="0" xfId="0" applyFont="1" applyFill="1" applyBorder="1" applyAlignment="1" applyProtection="1">
      <alignment horizontal="center" vertical="center"/>
      <protection hidden="1"/>
    </xf>
    <xf numFmtId="0" fontId="0" fillId="2" borderId="3" xfId="0" applyFill="1" applyBorder="1" applyAlignment="1" applyProtection="1">
      <alignment horizontal="center" vertical="center"/>
      <protection hidden="1"/>
    </xf>
    <xf numFmtId="0" fontId="51" fillId="2" borderId="0" xfId="0" applyFont="1" applyFill="1" applyBorder="1" applyAlignment="1" applyProtection="1">
      <alignment horizontal="left" vertical="center" indent="1"/>
      <protection hidden="1"/>
    </xf>
    <xf numFmtId="0" fontId="16" fillId="2" borderId="1" xfId="0" applyFont="1" applyFill="1" applyBorder="1" applyAlignment="1" applyProtection="1">
      <alignment horizontal="center" vertical="center"/>
      <protection locked="0"/>
    </xf>
    <xf numFmtId="178" fontId="18" fillId="2" borderId="5" xfId="0" applyNumberFormat="1" applyFont="1" applyFill="1" applyBorder="1" applyAlignment="1" applyProtection="1">
      <alignment horizontal="center" vertical="center"/>
      <protection locked="0"/>
    </xf>
    <xf numFmtId="178" fontId="18" fillId="2" borderId="6" xfId="0" applyNumberFormat="1" applyFont="1" applyFill="1" applyBorder="1" applyAlignment="1" applyProtection="1">
      <alignment horizontal="center" vertical="center"/>
      <protection locked="0"/>
    </xf>
    <xf numFmtId="0" fontId="0" fillId="2" borderId="4" xfId="0" applyFill="1" applyBorder="1" applyProtection="1">
      <alignment vertical="center"/>
      <protection locked="0"/>
    </xf>
    <xf numFmtId="0" fontId="98" fillId="2" borderId="0" xfId="0" applyFont="1" applyFill="1" applyBorder="1" applyAlignment="1" applyProtection="1">
      <alignment horizontal="left" vertical="center" indent="1"/>
      <protection hidden="1"/>
    </xf>
    <xf numFmtId="0" fontId="99" fillId="2" borderId="0" xfId="0" applyFont="1" applyFill="1" applyBorder="1" applyAlignment="1" applyProtection="1">
      <alignment horizontal="center" vertical="center"/>
      <protection hidden="1"/>
    </xf>
    <xf numFmtId="178" fontId="97" fillId="2" borderId="3" xfId="0" applyNumberFormat="1" applyFont="1" applyFill="1" applyBorder="1" applyAlignment="1" applyProtection="1">
      <alignment horizontal="center" vertical="center"/>
      <protection hidden="1"/>
    </xf>
    <xf numFmtId="0" fontId="45" fillId="2" borderId="0" xfId="0" applyFont="1" applyFill="1" applyAlignment="1" applyProtection="1">
      <alignment horizontal="left" vertical="center" indent="1"/>
      <protection hidden="1"/>
    </xf>
    <xf numFmtId="0" fontId="41" fillId="2" borderId="0" xfId="0" applyFont="1" applyFill="1" applyBorder="1" applyAlignment="1" applyProtection="1">
      <alignment horizontal="center" vertical="center"/>
      <protection hidden="1"/>
    </xf>
    <xf numFmtId="0" fontId="41" fillId="2" borderId="166" xfId="0" applyFont="1" applyFill="1" applyBorder="1" applyProtection="1">
      <alignment vertical="center"/>
      <protection hidden="1"/>
    </xf>
    <xf numFmtId="0" fontId="89" fillId="14" borderId="167" xfId="0" applyFont="1" applyFill="1" applyBorder="1" applyAlignment="1" applyProtection="1">
      <alignment horizontal="center" vertical="center"/>
      <protection hidden="1"/>
    </xf>
    <xf numFmtId="0" fontId="90" fillId="14" borderId="168" xfId="0" applyFont="1" applyFill="1" applyBorder="1" applyAlignment="1" applyProtection="1">
      <alignment horizontal="left" vertical="center" indent="8"/>
      <protection hidden="1"/>
    </xf>
    <xf numFmtId="0" fontId="90" fillId="14" borderId="168" xfId="0" applyFont="1" applyFill="1" applyBorder="1" applyAlignment="1" applyProtection="1">
      <alignment horizontal="center" vertical="center"/>
      <protection hidden="1"/>
    </xf>
    <xf numFmtId="0" fontId="90" fillId="14" borderId="169" xfId="0" applyFont="1" applyFill="1" applyBorder="1" applyAlignment="1" applyProtection="1">
      <alignment horizontal="center" vertical="center"/>
      <protection hidden="1"/>
    </xf>
    <xf numFmtId="0" fontId="89" fillId="14" borderId="170" xfId="0" applyFont="1" applyFill="1" applyBorder="1" applyAlignment="1" applyProtection="1">
      <alignment horizontal="center" vertical="center"/>
      <protection hidden="1"/>
    </xf>
    <xf numFmtId="0" fontId="90" fillId="14" borderId="130" xfId="0" applyFont="1" applyFill="1" applyBorder="1" applyAlignment="1" applyProtection="1">
      <alignment horizontal="center" vertical="center"/>
      <protection hidden="1"/>
    </xf>
    <xf numFmtId="0" fontId="90" fillId="14" borderId="116" xfId="0" applyFont="1" applyFill="1" applyBorder="1" applyAlignment="1" applyProtection="1">
      <alignment horizontal="center" vertical="center"/>
      <protection hidden="1"/>
    </xf>
    <xf numFmtId="177" fontId="22" fillId="17" borderId="171" xfId="4" applyNumberFormat="1" applyFont="1" applyFill="1" applyBorder="1" applyAlignment="1" applyProtection="1">
      <alignment vertical="center" shrinkToFit="1"/>
    </xf>
    <xf numFmtId="177" fontId="22" fillId="12" borderId="130" xfId="4" applyNumberFormat="1" applyFont="1" applyFill="1" applyBorder="1" applyAlignment="1" applyProtection="1">
      <alignment vertical="center" shrinkToFit="1"/>
    </xf>
    <xf numFmtId="177" fontId="22" fillId="17" borderId="130" xfId="4" applyNumberFormat="1" applyFont="1" applyFill="1" applyBorder="1" applyAlignment="1" applyProtection="1">
      <alignment vertical="center" shrinkToFit="1"/>
    </xf>
    <xf numFmtId="0" fontId="0" fillId="2" borderId="116" xfId="0" applyNumberFormat="1" applyFill="1" applyBorder="1" applyAlignment="1" applyProtection="1">
      <alignment vertical="center" wrapText="1"/>
      <protection hidden="1"/>
    </xf>
    <xf numFmtId="177" fontId="22" fillId="12"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pplyProtection="1">
      <alignment vertical="center" shrinkToFit="1"/>
      <protection locked="0"/>
    </xf>
    <xf numFmtId="177" fontId="22" fillId="0" borderId="116" xfId="4" applyNumberFormat="1" applyFont="1" applyFill="1" applyBorder="1" applyAlignment="1">
      <alignment vertical="center" shrinkToFit="1"/>
    </xf>
    <xf numFmtId="0" fontId="66" fillId="2" borderId="116" xfId="0" applyFont="1" applyFill="1" applyBorder="1" applyAlignment="1" applyProtection="1">
      <alignment vertical="center" wrapText="1"/>
      <protection hidden="1"/>
    </xf>
    <xf numFmtId="177" fontId="22" fillId="17" borderId="171" xfId="4" applyNumberFormat="1" applyFont="1" applyFill="1" applyBorder="1" applyAlignment="1" applyProtection="1">
      <alignment vertical="center" shrinkToFit="1"/>
      <protection locked="0"/>
    </xf>
    <xf numFmtId="177" fontId="22" fillId="12" borderId="130" xfId="4" applyNumberFormat="1" applyFont="1" applyFill="1" applyBorder="1" applyAlignment="1" applyProtection="1">
      <alignment vertical="center" shrinkToFit="1"/>
      <protection locked="0"/>
    </xf>
    <xf numFmtId="177" fontId="22" fillId="17" borderId="116" xfId="4" applyNumberFormat="1" applyFont="1" applyFill="1" applyBorder="1" applyAlignment="1" applyProtection="1">
      <alignment vertical="center" shrinkToFit="1"/>
      <protection locked="0"/>
    </xf>
    <xf numFmtId="0" fontId="66" fillId="2" borderId="116" xfId="0" applyFont="1" applyFill="1" applyBorder="1" applyAlignment="1" applyProtection="1">
      <alignment vertical="center" shrinkToFit="1"/>
      <protection hidden="1"/>
    </xf>
    <xf numFmtId="177" fontId="29" fillId="0" borderId="116" xfId="4" applyNumberFormat="1" applyFont="1" applyFill="1" applyBorder="1" applyAlignment="1" applyProtection="1">
      <alignment vertical="center"/>
    </xf>
    <xf numFmtId="177" fontId="31" fillId="0" borderId="116" xfId="4" applyNumberFormat="1" applyFont="1" applyFill="1" applyBorder="1" applyAlignment="1" applyProtection="1">
      <alignment vertical="center"/>
    </xf>
    <xf numFmtId="0" fontId="0" fillId="2" borderId="0" xfId="0" applyFill="1" applyBorder="1" applyAlignment="1" applyProtection="1">
      <alignment vertical="center" wrapText="1"/>
      <protection hidden="1"/>
    </xf>
    <xf numFmtId="177" fontId="22" fillId="12" borderId="0" xfId="4" applyNumberFormat="1" applyFont="1" applyFill="1" applyBorder="1" applyAlignment="1" applyProtection="1">
      <alignment vertical="center" shrinkToFit="1"/>
    </xf>
    <xf numFmtId="177" fontId="22" fillId="0" borderId="0" xfId="4" applyNumberFormat="1" applyFont="1" applyFill="1" applyBorder="1" applyAlignment="1" applyProtection="1">
      <alignment vertical="center" shrinkToFit="1"/>
    </xf>
    <xf numFmtId="0" fontId="0" fillId="2" borderId="0" xfId="0" applyNumberFormat="1" applyFill="1" applyBorder="1" applyAlignment="1" applyProtection="1">
      <alignment vertical="center" wrapText="1"/>
    </xf>
    <xf numFmtId="177" fontId="22" fillId="17" borderId="0" xfId="4" applyNumberFormat="1" applyFont="1" applyFill="1" applyBorder="1" applyAlignment="1" applyProtection="1">
      <alignment vertical="center" shrinkToFit="1"/>
    </xf>
    <xf numFmtId="0" fontId="25" fillId="2" borderId="0" xfId="0" applyFont="1" applyFill="1" applyAlignment="1" applyProtection="1">
      <alignment horizontal="center" vertical="center"/>
      <protection locked="0"/>
    </xf>
    <xf numFmtId="0" fontId="88" fillId="14" borderId="172" xfId="0" applyNumberFormat="1" applyFont="1" applyFill="1" applyBorder="1" applyAlignment="1" applyProtection="1">
      <alignment vertical="center"/>
      <protection locked="0"/>
    </xf>
    <xf numFmtId="0" fontId="70" fillId="14" borderId="173" xfId="0" applyFont="1" applyFill="1" applyBorder="1" applyAlignment="1" applyProtection="1">
      <alignment horizontal="center" vertical="center"/>
    </xf>
    <xf numFmtId="0" fontId="70" fillId="14" borderId="147" xfId="0" applyFont="1" applyFill="1" applyBorder="1" applyAlignment="1" applyProtection="1">
      <alignment horizontal="left" vertical="center"/>
      <protection locked="0"/>
    </xf>
    <xf numFmtId="0" fontId="70" fillId="14" borderId="147" xfId="0" applyFont="1" applyFill="1" applyBorder="1" applyAlignment="1" applyProtection="1">
      <alignment horizontal="center" vertical="center"/>
      <protection locked="0"/>
    </xf>
    <xf numFmtId="0" fontId="89" fillId="14" borderId="111" xfId="0" applyNumberFormat="1" applyFont="1" applyFill="1" applyBorder="1" applyAlignment="1" applyProtection="1">
      <alignment horizontal="center" vertical="center" wrapText="1"/>
      <protection locked="0"/>
    </xf>
    <xf numFmtId="0" fontId="70" fillId="14" borderId="0" xfId="0" applyFont="1" applyFill="1" applyBorder="1" applyAlignment="1" applyProtection="1">
      <alignment horizontal="center" vertical="center"/>
    </xf>
    <xf numFmtId="0" fontId="70" fillId="14" borderId="0" xfId="0" applyFont="1" applyFill="1" applyBorder="1" applyAlignment="1" applyProtection="1">
      <alignment horizontal="center" vertical="center"/>
      <protection locked="0"/>
    </xf>
    <xf numFmtId="0" fontId="0" fillId="2" borderId="111" xfId="0" applyFill="1" applyBorder="1" applyAlignment="1" applyProtection="1">
      <alignment horizontal="left" vertical="center" wrapText="1" indent="1"/>
    </xf>
    <xf numFmtId="0" fontId="0" fillId="2" borderId="111" xfId="0" applyFont="1" applyFill="1" applyBorder="1" applyAlignment="1" applyProtection="1">
      <alignment horizontal="left" vertical="center" wrapText="1" indent="1"/>
    </xf>
    <xf numFmtId="0" fontId="0" fillId="2" borderId="111" xfId="0" applyFill="1" applyBorder="1" applyAlignment="1" applyProtection="1">
      <alignment horizontal="center" vertical="center" wrapText="1"/>
      <protection locked="0"/>
    </xf>
    <xf numFmtId="177" fontId="22" fillId="2" borderId="174" xfId="0" applyNumberFormat="1" applyFont="1" applyFill="1" applyBorder="1" applyAlignment="1" applyProtection="1">
      <alignment vertical="center" shrinkToFit="1"/>
    </xf>
    <xf numFmtId="0" fontId="0" fillId="2" borderId="111" xfId="0" applyFill="1" applyBorder="1" applyAlignment="1" applyProtection="1">
      <alignment horizontal="left" vertical="center" wrapText="1"/>
      <protection locked="0"/>
    </xf>
    <xf numFmtId="0" fontId="29" fillId="2" borderId="0" xfId="0" applyNumberFormat="1" applyFont="1" applyFill="1" applyBorder="1" applyAlignment="1" applyProtection="1">
      <alignment horizontal="right" vertical="center" wrapText="1"/>
    </xf>
    <xf numFmtId="0" fontId="70" fillId="14" borderId="175" xfId="0" applyFont="1" applyFill="1" applyBorder="1" applyAlignment="1" applyProtection="1">
      <alignment horizontal="center" vertical="center"/>
    </xf>
    <xf numFmtId="0" fontId="70" fillId="14" borderId="147" xfId="0" applyFont="1" applyFill="1" applyBorder="1" applyAlignment="1" applyProtection="1">
      <alignment horizontal="center" vertical="center"/>
    </xf>
    <xf numFmtId="0" fontId="70" fillId="14" borderId="176" xfId="0" applyFont="1" applyFill="1" applyBorder="1" applyAlignment="1" applyProtection="1">
      <alignment horizontal="center" vertical="center"/>
    </xf>
    <xf numFmtId="0" fontId="70" fillId="14" borderId="54" xfId="0" applyFont="1" applyFill="1" applyBorder="1" applyAlignment="1" applyProtection="1">
      <alignment horizontal="center" vertical="center"/>
    </xf>
    <xf numFmtId="0" fontId="70" fillId="14" borderId="177" xfId="0" applyFont="1" applyFill="1" applyBorder="1" applyAlignment="1" applyProtection="1">
      <alignment horizontal="center" vertical="center"/>
    </xf>
    <xf numFmtId="0" fontId="70" fillId="14" borderId="178" xfId="0" applyFont="1" applyFill="1" applyBorder="1" applyAlignment="1" applyProtection="1">
      <alignment horizontal="center" vertical="center"/>
    </xf>
    <xf numFmtId="177" fontId="22" fillId="2" borderId="182" xfId="0" applyNumberFormat="1" applyFont="1" applyFill="1" applyBorder="1" applyAlignment="1" applyProtection="1">
      <alignment vertical="center" shrinkToFit="1"/>
    </xf>
    <xf numFmtId="177" fontId="22" fillId="2" borderId="183" xfId="0" applyNumberFormat="1" applyFont="1" applyFill="1" applyBorder="1" applyAlignment="1" applyProtection="1">
      <alignment vertical="center" shrinkToFit="1"/>
    </xf>
    <xf numFmtId="0" fontId="29" fillId="2" borderId="179" xfId="0" applyNumberFormat="1" applyFont="1" applyFill="1" applyBorder="1" applyAlignment="1" applyProtection="1">
      <alignment horizontal="right" vertical="center" wrapText="1"/>
    </xf>
    <xf numFmtId="0" fontId="29" fillId="2" borderId="178" xfId="0" applyNumberFormat="1" applyFont="1" applyFill="1" applyBorder="1" applyAlignment="1" applyProtection="1">
      <alignment horizontal="right" vertical="center" wrapText="1"/>
    </xf>
    <xf numFmtId="0" fontId="25" fillId="2" borderId="0" xfId="0" applyFont="1" applyFill="1" applyProtection="1">
      <alignment vertical="center"/>
      <protection locked="0"/>
    </xf>
    <xf numFmtId="0" fontId="0" fillId="2" borderId="0" xfId="0" applyFont="1" applyFill="1" applyProtection="1">
      <alignment vertical="center"/>
      <protection locked="0"/>
    </xf>
    <xf numFmtId="0" fontId="6" fillId="2" borderId="154" xfId="0" applyFont="1" applyFill="1" applyBorder="1" applyAlignment="1" applyProtection="1">
      <alignment horizontal="center" vertical="center" wrapText="1"/>
      <protection locked="0"/>
    </xf>
    <xf numFmtId="177" fontId="22" fillId="2" borderId="155" xfId="0" applyNumberFormat="1" applyFont="1" applyFill="1" applyBorder="1" applyAlignment="1" applyProtection="1">
      <alignment vertical="center" shrinkToFit="1"/>
    </xf>
    <xf numFmtId="177" fontId="22" fillId="2" borderId="155" xfId="0" applyNumberFormat="1" applyFont="1" applyFill="1" applyBorder="1" applyAlignment="1" applyProtection="1">
      <alignment vertical="center" shrinkToFit="1"/>
      <protection locked="0"/>
    </xf>
    <xf numFmtId="177" fontId="22" fillId="2" borderId="184" xfId="0" applyNumberFormat="1" applyFont="1" applyFill="1" applyBorder="1" applyAlignment="1" applyProtection="1">
      <alignment vertical="center" shrinkToFit="1"/>
    </xf>
    <xf numFmtId="177" fontId="22" fillId="2" borderId="185" xfId="0" applyNumberFormat="1" applyFont="1" applyFill="1" applyBorder="1" applyAlignment="1" applyProtection="1">
      <alignment vertical="center" shrinkToFit="1"/>
    </xf>
    <xf numFmtId="0" fontId="0" fillId="2" borderId="0" xfId="0" applyFill="1" applyBorder="1" applyAlignment="1">
      <alignment vertical="center"/>
    </xf>
    <xf numFmtId="49" fontId="45" fillId="2" borderId="0" xfId="0" applyNumberFormat="1" applyFont="1" applyFill="1" applyProtection="1">
      <alignment vertical="center"/>
      <protection hidden="1"/>
    </xf>
    <xf numFmtId="31" fontId="86" fillId="2" borderId="0" xfId="0" applyNumberFormat="1" applyFont="1" applyFill="1" applyAlignment="1" applyProtection="1">
      <alignment horizontal="center" vertical="center"/>
      <protection hidden="1"/>
    </xf>
    <xf numFmtId="0" fontId="6" fillId="2" borderId="0" xfId="0" applyFont="1" applyFill="1" applyProtection="1">
      <alignment vertical="center"/>
      <protection hidden="1"/>
    </xf>
    <xf numFmtId="0" fontId="90" fillId="14" borderId="186" xfId="0" applyFont="1" applyFill="1" applyBorder="1" applyProtection="1">
      <alignment vertical="center"/>
      <protection hidden="1"/>
    </xf>
    <xf numFmtId="0" fontId="89" fillId="14" borderId="187" xfId="0" applyFont="1" applyFill="1" applyBorder="1" applyAlignment="1" applyProtection="1">
      <alignment horizontal="left" vertical="center" indent="10"/>
      <protection hidden="1"/>
    </xf>
    <xf numFmtId="0" fontId="89" fillId="14" borderId="168" xfId="0" applyFont="1" applyFill="1" applyBorder="1" applyAlignment="1" applyProtection="1">
      <alignment horizontal="left" vertical="center" indent="10"/>
      <protection hidden="1"/>
    </xf>
    <xf numFmtId="0" fontId="90" fillId="14" borderId="168" xfId="0" applyFont="1" applyFill="1" applyBorder="1" applyProtection="1">
      <alignment vertical="center"/>
      <protection hidden="1"/>
    </xf>
    <xf numFmtId="0" fontId="0" fillId="14" borderId="188" xfId="0" applyFill="1" applyBorder="1" applyProtection="1">
      <alignment vertical="center"/>
      <protection hidden="1"/>
    </xf>
    <xf numFmtId="0" fontId="89" fillId="14" borderId="191" xfId="0" applyFont="1" applyFill="1" applyBorder="1" applyAlignment="1" applyProtection="1">
      <alignment horizontal="center" vertical="center"/>
      <protection hidden="1"/>
    </xf>
    <xf numFmtId="0" fontId="89" fillId="14" borderId="116" xfId="0" applyFont="1" applyFill="1" applyBorder="1" applyAlignment="1" applyProtection="1">
      <alignment horizontal="center" vertical="center" wrapText="1"/>
      <protection hidden="1"/>
    </xf>
    <xf numFmtId="0" fontId="6" fillId="12" borderId="192" xfId="0" applyFon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hidden="1"/>
    </xf>
    <xf numFmtId="0" fontId="0" fillId="13" borderId="192" xfId="0" applyFill="1" applyBorder="1" applyAlignment="1" applyProtection="1">
      <alignment horizontal="left" vertical="center" wrapText="1" indent="1"/>
      <protection hidden="1"/>
    </xf>
    <xf numFmtId="181" fontId="0" fillId="12" borderId="192" xfId="0" applyNumberFormat="1" applyFill="1" applyBorder="1" applyAlignment="1" applyProtection="1">
      <alignment horizontal="left" vertical="center" wrapText="1" indent="1"/>
      <protection hidden="1"/>
    </xf>
    <xf numFmtId="184" fontId="0" fillId="12" borderId="192" xfId="0" applyNumberFormat="1" applyFill="1" applyBorder="1" applyAlignment="1" applyProtection="1">
      <alignment horizontal="left" vertical="center" wrapText="1" indent="1"/>
      <protection hidden="1"/>
    </xf>
    <xf numFmtId="180" fontId="0" fillId="12" borderId="192" xfId="0" applyNumberFormat="1" applyFill="1" applyBorder="1" applyAlignment="1" applyProtection="1">
      <alignment horizontal="left" vertical="center" wrapText="1" indent="1"/>
      <protection hidden="1"/>
    </xf>
    <xf numFmtId="183" fontId="0" fillId="12" borderId="192" xfId="0" applyNumberFormat="1" applyFill="1" applyBorder="1" applyAlignment="1" applyProtection="1">
      <alignment horizontal="left" vertical="center" wrapText="1" indent="1"/>
      <protection hidden="1"/>
    </xf>
    <xf numFmtId="179" fontId="0" fillId="12" borderId="192" xfId="0" applyNumberFormat="1" applyFill="1" applyBorder="1" applyAlignment="1" applyProtection="1">
      <alignment horizontal="left" vertical="center" wrapText="1" indent="1"/>
      <protection hidden="1"/>
    </xf>
    <xf numFmtId="185" fontId="0" fillId="12" borderId="192" xfId="0" applyNumberFormat="1" applyFill="1" applyBorder="1" applyAlignment="1" applyProtection="1">
      <alignment horizontal="left" vertical="center" wrapText="1" indent="1"/>
      <protection hidden="1"/>
    </xf>
    <xf numFmtId="0" fontId="0" fillId="12" borderId="193" xfId="0" applyFill="1" applyBorder="1" applyAlignment="1" applyProtection="1">
      <alignment horizontal="left" vertical="center" wrapText="1" indent="1"/>
      <protection hidden="1"/>
    </xf>
    <xf numFmtId="177" fontId="22" fillId="0" borderId="194" xfId="4"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protection hidden="1"/>
    </xf>
    <xf numFmtId="177" fontId="21" fillId="0" borderId="196" xfId="4" applyNumberFormat="1" applyFont="1" applyFill="1" applyBorder="1" applyAlignment="1" applyProtection="1">
      <alignment vertical="center" shrinkToFit="1"/>
    </xf>
    <xf numFmtId="0" fontId="88" fillId="14" borderId="111" xfId="0" applyNumberFormat="1" applyFont="1" applyFill="1" applyBorder="1" applyAlignment="1" applyProtection="1">
      <alignment vertical="center"/>
      <protection hidden="1"/>
    </xf>
    <xf numFmtId="0" fontId="89" fillId="14" borderId="0" xfId="0" applyFont="1" applyFill="1" applyBorder="1" applyAlignment="1" applyProtection="1">
      <alignment horizontal="left" vertical="center" indent="10"/>
      <protection hidden="1"/>
    </xf>
    <xf numFmtId="0" fontId="90" fillId="14" borderId="0" xfId="0" applyFont="1" applyFill="1" applyBorder="1" applyProtection="1">
      <alignment vertical="center"/>
      <protection hidden="1"/>
    </xf>
    <xf numFmtId="0" fontId="6" fillId="2" borderId="111" xfId="0" applyFont="1" applyFill="1" applyBorder="1" applyAlignment="1" applyProtection="1">
      <alignment horizontal="left" vertical="center" wrapText="1"/>
      <protection hidden="1"/>
    </xf>
    <xf numFmtId="177" fontId="22" fillId="2" borderId="111" xfId="0" applyNumberFormat="1" applyFont="1" applyFill="1" applyBorder="1" applyAlignment="1" applyProtection="1">
      <alignment vertical="center" shrinkToFit="1"/>
      <protection hidden="1"/>
    </xf>
    <xf numFmtId="0" fontId="25" fillId="2" borderId="111" xfId="0" applyFont="1" applyFill="1" applyBorder="1" applyAlignment="1" applyProtection="1">
      <alignment horizontal="right" vertical="center"/>
      <protection hidden="1"/>
    </xf>
    <xf numFmtId="0" fontId="0" fillId="2" borderId="111" xfId="0" applyFill="1" applyBorder="1" applyAlignment="1" applyProtection="1">
      <alignment horizontal="center" vertical="center"/>
      <protection hidden="1"/>
    </xf>
    <xf numFmtId="0" fontId="0" fillId="2" borderId="111" xfId="0" applyFont="1" applyFill="1" applyBorder="1" applyAlignment="1" applyProtection="1">
      <alignment horizontal="center" vertical="center"/>
      <protection hidden="1"/>
    </xf>
    <xf numFmtId="0" fontId="88" fillId="14" borderId="112" xfId="0" applyNumberFormat="1" applyFont="1" applyFill="1" applyBorder="1" applyAlignment="1" applyProtection="1">
      <alignment vertical="center"/>
      <protection hidden="1"/>
    </xf>
    <xf numFmtId="0" fontId="89" fillId="14" borderId="113" xfId="0" applyFont="1" applyFill="1" applyBorder="1" applyAlignment="1" applyProtection="1">
      <alignment horizontal="left" vertical="center" indent="10"/>
      <protection hidden="1"/>
    </xf>
    <xf numFmtId="0" fontId="89" fillId="14" borderId="114" xfId="0" applyFont="1" applyFill="1" applyBorder="1" applyAlignment="1" applyProtection="1">
      <alignment horizontal="left" vertical="center" indent="10"/>
      <protection hidden="1"/>
    </xf>
    <xf numFmtId="0" fontId="90" fillId="14" borderId="114" xfId="0" applyFont="1" applyFill="1" applyBorder="1" applyProtection="1">
      <alignment vertical="center"/>
      <protection hidden="1"/>
    </xf>
    <xf numFmtId="0" fontId="89" fillId="14" borderId="115" xfId="0" applyNumberFormat="1" applyFont="1" applyFill="1" applyBorder="1" applyAlignment="1" applyProtection="1">
      <alignment horizontal="center" vertical="center"/>
      <protection hidden="1"/>
    </xf>
    <xf numFmtId="0" fontId="6" fillId="2" borderId="117" xfId="0" applyFont="1" applyFill="1" applyBorder="1" applyAlignment="1" applyProtection="1">
      <alignment vertical="center" wrapText="1"/>
      <protection hidden="1"/>
    </xf>
    <xf numFmtId="177" fontId="22" fillId="2" borderId="118" xfId="0" applyNumberFormat="1" applyFont="1" applyFill="1" applyBorder="1" applyAlignment="1" applyProtection="1">
      <alignment vertical="center" shrinkToFit="1"/>
      <protection locked="0"/>
    </xf>
    <xf numFmtId="0" fontId="25" fillId="2" borderId="117" xfId="0" applyFont="1" applyFill="1" applyBorder="1" applyAlignment="1" applyProtection="1">
      <alignment horizontal="left" vertical="center" indent="1"/>
      <protection hidden="1"/>
    </xf>
    <xf numFmtId="0" fontId="0" fillId="2" borderId="117" xfId="0" applyFont="1" applyFill="1" applyBorder="1" applyAlignment="1" applyProtection="1">
      <alignment horizontal="left" vertical="center" indent="1"/>
      <protection hidden="1"/>
    </xf>
    <xf numFmtId="0" fontId="0" fillId="2" borderId="117" xfId="0" applyFill="1" applyBorder="1" applyAlignment="1" applyProtection="1">
      <alignment horizontal="center" vertical="center"/>
      <protection hidden="1"/>
    </xf>
    <xf numFmtId="177" fontId="22" fillId="2" borderId="119" xfId="0" applyNumberFormat="1" applyFont="1" applyFill="1" applyBorder="1" applyAlignment="1" applyProtection="1">
      <alignment vertical="center" shrinkToFit="1"/>
      <protection locked="0"/>
    </xf>
    <xf numFmtId="0" fontId="0" fillId="2" borderId="120" xfId="0" applyFont="1" applyFill="1" applyBorder="1" applyProtection="1">
      <alignment vertical="center"/>
      <protection hidden="1"/>
    </xf>
    <xf numFmtId="0" fontId="29" fillId="2" borderId="121" xfId="0" applyNumberFormat="1" applyFont="1" applyFill="1" applyBorder="1" applyAlignment="1" applyProtection="1">
      <alignment horizontal="right" vertical="center" wrapText="1"/>
      <protection locked="0"/>
    </xf>
    <xf numFmtId="0" fontId="0" fillId="14" borderId="194" xfId="0" applyFill="1" applyBorder="1" applyProtection="1">
      <alignment vertical="center"/>
      <protection hidden="1"/>
    </xf>
    <xf numFmtId="0" fontId="89" fillId="14" borderId="197" xfId="0" applyFont="1" applyFill="1" applyBorder="1" applyAlignment="1" applyProtection="1">
      <alignment horizontal="center" vertical="center" wrapText="1"/>
      <protection hidden="1"/>
    </xf>
    <xf numFmtId="177" fontId="21" fillId="0" borderId="198" xfId="4" applyNumberFormat="1" applyFont="1" applyFill="1" applyBorder="1" applyAlignment="1" applyProtection="1">
      <alignment vertical="center" shrinkToFit="1"/>
    </xf>
    <xf numFmtId="0" fontId="89" fillId="14" borderId="0" xfId="0" applyFont="1" applyFill="1" applyBorder="1" applyAlignment="1" applyProtection="1">
      <alignment horizontal="left" vertical="center" indent="2"/>
      <protection hidden="1"/>
    </xf>
    <xf numFmtId="0" fontId="6" fillId="2" borderId="0" xfId="0" applyFont="1" applyFill="1" applyBorder="1" applyAlignment="1" applyProtection="1">
      <alignment vertical="center"/>
      <protection hidden="1"/>
    </xf>
    <xf numFmtId="0" fontId="0" fillId="2" borderId="0" xfId="0" applyFill="1" applyBorder="1" applyAlignment="1" applyProtection="1">
      <alignment horizontal="left" vertical="center" indent="1"/>
      <protection hidden="1"/>
    </xf>
    <xf numFmtId="0" fontId="0" fillId="2" borderId="0" xfId="0" applyFill="1" applyBorder="1" applyAlignment="1" applyProtection="1">
      <alignment horizontal="left" vertical="center" indent="2"/>
      <protection hidden="1"/>
    </xf>
    <xf numFmtId="0" fontId="90" fillId="14" borderId="199" xfId="0" applyFont="1" applyFill="1" applyBorder="1" applyProtection="1">
      <alignment vertical="center"/>
      <protection hidden="1"/>
    </xf>
    <xf numFmtId="0" fontId="89" fillId="14" borderId="168" xfId="0" applyFont="1" applyFill="1" applyBorder="1" applyAlignment="1" applyProtection="1">
      <alignment horizontal="left" vertical="center" indent="9"/>
      <protection hidden="1"/>
    </xf>
    <xf numFmtId="0" fontId="0" fillId="14" borderId="200" xfId="0" applyFill="1" applyBorder="1" applyProtection="1">
      <alignment vertical="center"/>
      <protection hidden="1"/>
    </xf>
    <xf numFmtId="0" fontId="89" fillId="14" borderId="123" xfId="0" applyFont="1" applyFill="1" applyBorder="1" applyAlignment="1" applyProtection="1">
      <alignment horizontal="center" vertical="center" wrapText="1"/>
      <protection hidden="1"/>
    </xf>
    <xf numFmtId="0" fontId="89" fillId="14" borderId="130" xfId="0" applyFont="1" applyFill="1" applyBorder="1" applyAlignment="1" applyProtection="1">
      <alignment horizontal="center" vertical="center" wrapText="1"/>
      <protection hidden="1"/>
    </xf>
    <xf numFmtId="177" fontId="21" fillId="12" borderId="171" xfId="4" applyNumberFormat="1" applyFont="1" applyFill="1" applyBorder="1" applyAlignment="1" applyProtection="1">
      <alignment vertical="center" shrinkToFit="1"/>
    </xf>
    <xf numFmtId="177" fontId="22" fillId="0" borderId="130" xfId="4" applyNumberFormat="1" applyFont="1" applyFill="1" applyBorder="1" applyAlignment="1" applyProtection="1">
      <alignment vertical="center" shrinkToFit="1"/>
      <protection locked="0"/>
    </xf>
    <xf numFmtId="177" fontId="22" fillId="0" borderId="130" xfId="4" applyNumberFormat="1" applyFont="1" applyFill="1" applyBorder="1" applyAlignment="1" applyProtection="1">
      <alignment vertical="center" shrinkToFit="1"/>
    </xf>
    <xf numFmtId="177" fontId="21" fillId="12" borderId="200" xfId="4" applyNumberFormat="1" applyFont="1" applyFill="1" applyBorder="1" applyAlignment="1" applyProtection="1">
      <alignment vertical="center" shrinkToFit="1"/>
    </xf>
    <xf numFmtId="177" fontId="22" fillId="0" borderId="202" xfId="4" applyNumberFormat="1" applyFont="1" applyFill="1" applyBorder="1" applyAlignment="1" applyProtection="1">
      <alignment vertical="center" shrinkToFit="1"/>
      <protection locked="0"/>
    </xf>
    <xf numFmtId="177" fontId="21" fillId="12" borderId="203" xfId="4" applyNumberFormat="1" applyFont="1" applyFill="1" applyBorder="1" applyAlignment="1" applyProtection="1">
      <alignment vertical="center" shrinkToFit="1"/>
    </xf>
    <xf numFmtId="0" fontId="89" fillId="14" borderId="128" xfId="0" applyFont="1" applyFill="1" applyBorder="1" applyAlignment="1" applyProtection="1">
      <alignment horizontal="center" vertical="center" wrapText="1"/>
      <protection hidden="1"/>
    </xf>
    <xf numFmtId="0" fontId="89" fillId="14" borderId="118" xfId="0" applyFont="1" applyFill="1" applyBorder="1" applyAlignment="1" applyProtection="1">
      <alignment horizontal="center" vertical="center" wrapText="1"/>
      <protection hidden="1"/>
    </xf>
    <xf numFmtId="177" fontId="22" fillId="2" borderId="128" xfId="0" applyNumberFormat="1" applyFont="1" applyFill="1" applyBorder="1" applyAlignment="1" applyProtection="1">
      <alignment vertical="center" shrinkToFit="1"/>
      <protection locked="0"/>
    </xf>
    <xf numFmtId="0" fontId="91" fillId="2" borderId="0" xfId="0" applyFont="1" applyFill="1" applyBorder="1" applyProtection="1">
      <alignment vertical="center"/>
      <protection hidden="1"/>
    </xf>
    <xf numFmtId="177" fontId="92" fillId="2" borderId="128" xfId="0" applyNumberFormat="1" applyFont="1" applyFill="1" applyBorder="1" applyAlignment="1" applyProtection="1">
      <alignment vertical="center" shrinkToFit="1"/>
      <protection locked="0"/>
    </xf>
    <xf numFmtId="177" fontId="92" fillId="2" borderId="118" xfId="0" applyNumberFormat="1" applyFont="1" applyFill="1" applyBorder="1" applyAlignment="1" applyProtection="1">
      <alignment vertical="center" shrinkToFit="1"/>
      <protection locked="0"/>
    </xf>
    <xf numFmtId="177" fontId="22" fillId="2" borderId="129" xfId="0" applyNumberFormat="1" applyFont="1" applyFill="1" applyBorder="1" applyAlignment="1" applyProtection="1">
      <alignment vertical="center" shrinkToFit="1"/>
      <protection locked="0"/>
    </xf>
    <xf numFmtId="0" fontId="29" fillId="2" borderId="128" xfId="0" applyNumberFormat="1" applyFont="1" applyFill="1" applyBorder="1" applyAlignment="1" applyProtection="1">
      <alignment horizontal="right" vertical="center" wrapText="1"/>
      <protection locked="0"/>
    </xf>
    <xf numFmtId="0" fontId="29" fillId="2" borderId="118" xfId="0" applyNumberFormat="1" applyFont="1" applyFill="1" applyBorder="1" applyAlignment="1" applyProtection="1">
      <alignment horizontal="right" vertical="center" wrapText="1"/>
      <protection locked="0"/>
    </xf>
    <xf numFmtId="0" fontId="90" fillId="14" borderId="122" xfId="0" applyFont="1" applyFill="1" applyBorder="1" applyProtection="1">
      <alignment vertical="center"/>
      <protection hidden="1"/>
    </xf>
    <xf numFmtId="0" fontId="89" fillId="14" borderId="114" xfId="0" applyFont="1" applyFill="1" applyBorder="1" applyAlignment="1" applyProtection="1">
      <alignment horizontal="left" vertical="center" indent="9"/>
      <protection hidden="1"/>
    </xf>
    <xf numFmtId="177" fontId="22" fillId="2" borderId="124" xfId="0" applyNumberFormat="1" applyFont="1" applyFill="1" applyBorder="1" applyAlignment="1" applyProtection="1">
      <alignment vertical="center" shrinkToFit="1"/>
      <protection locked="0"/>
    </xf>
    <xf numFmtId="177" fontId="22" fillId="2" borderId="125" xfId="0" applyNumberFormat="1" applyFont="1" applyFill="1" applyBorder="1" applyAlignment="1" applyProtection="1">
      <alignment vertical="center" shrinkToFit="1"/>
      <protection locked="0"/>
    </xf>
    <xf numFmtId="177" fontId="22" fillId="2" borderId="126" xfId="0" applyNumberFormat="1" applyFont="1" applyFill="1" applyBorder="1" applyAlignment="1" applyProtection="1">
      <alignment vertical="center" shrinkToFit="1"/>
      <protection locked="0"/>
    </xf>
    <xf numFmtId="0" fontId="29" fillId="2" borderId="127" xfId="0" applyNumberFormat="1" applyFont="1" applyFill="1" applyBorder="1" applyAlignment="1" applyProtection="1">
      <alignment horizontal="right" vertical="center" wrapText="1"/>
      <protection locked="0"/>
    </xf>
    <xf numFmtId="0" fontId="29" fillId="2" borderId="131" xfId="0" applyNumberFormat="1" applyFont="1" applyFill="1" applyBorder="1" applyAlignment="1" applyProtection="1">
      <alignment horizontal="right" vertical="center" wrapText="1"/>
      <protection locked="0"/>
    </xf>
    <xf numFmtId="49" fontId="45" fillId="2" borderId="0" xfId="0" applyNumberFormat="1" applyFont="1" applyFill="1" applyProtection="1">
      <alignment vertical="center"/>
      <protection locked="0"/>
    </xf>
    <xf numFmtId="0" fontId="100" fillId="2" borderId="0" xfId="0" applyFont="1" applyFill="1" applyAlignment="1" applyProtection="1">
      <alignment horizontal="center" vertical="center"/>
      <protection hidden="1"/>
    </xf>
    <xf numFmtId="0" fontId="0" fillId="2" borderId="0" xfId="0" applyFill="1" applyAlignment="1" applyProtection="1">
      <alignment horizontal="left" vertical="center" indent="2"/>
      <protection hidden="1"/>
    </xf>
    <xf numFmtId="0" fontId="90" fillId="14" borderId="204" xfId="0" applyFont="1" applyFill="1" applyBorder="1" applyProtection="1">
      <alignment vertical="center"/>
      <protection hidden="1"/>
    </xf>
    <xf numFmtId="0" fontId="0" fillId="14" borderId="205" xfId="0" applyFill="1" applyBorder="1" applyProtection="1">
      <alignment vertical="center"/>
      <protection hidden="1"/>
    </xf>
    <xf numFmtId="0" fontId="89" fillId="14" borderId="206" xfId="0" applyFont="1" applyFill="1" applyBorder="1" applyAlignment="1" applyProtection="1">
      <alignment horizontal="center" vertical="center" wrapText="1"/>
      <protection hidden="1"/>
    </xf>
    <xf numFmtId="0" fontId="0" fillId="2" borderId="0" xfId="0" applyFill="1" applyAlignment="1" applyProtection="1">
      <alignment vertical="center" wrapText="1"/>
      <protection locked="0"/>
    </xf>
    <xf numFmtId="177" fontId="22" fillId="12" borderId="207" xfId="4" applyNumberFormat="1" applyFont="1" applyFill="1" applyBorder="1" applyAlignment="1" applyProtection="1">
      <alignment vertical="center" shrinkToFit="1"/>
    </xf>
    <xf numFmtId="177" fontId="22" fillId="12" borderId="208" xfId="4" applyNumberFormat="1" applyFont="1" applyFill="1" applyBorder="1" applyAlignment="1" applyProtection="1">
      <alignment vertical="center" shrinkToFit="1"/>
    </xf>
    <xf numFmtId="177" fontId="21" fillId="12" borderId="209" xfId="4" applyNumberFormat="1" applyFont="1" applyFill="1" applyBorder="1" applyAlignment="1" applyProtection="1">
      <alignment vertical="center" shrinkToFit="1"/>
    </xf>
    <xf numFmtId="0" fontId="89" fillId="14" borderId="132" xfId="0" applyFont="1" applyFill="1" applyBorder="1" applyAlignment="1" applyProtection="1">
      <alignment horizontal="center" vertical="center" wrapText="1"/>
      <protection hidden="1"/>
    </xf>
    <xf numFmtId="0" fontId="0" fillId="2" borderId="0" xfId="0" applyFill="1" applyBorder="1" applyAlignment="1" applyProtection="1">
      <alignment vertical="center"/>
      <protection locked="0"/>
    </xf>
    <xf numFmtId="177" fontId="22" fillId="2" borderId="132" xfId="0" applyNumberFormat="1" applyFont="1" applyFill="1" applyBorder="1" applyAlignment="1" applyProtection="1">
      <alignment vertical="center" shrinkToFit="1"/>
      <protection locked="0"/>
    </xf>
    <xf numFmtId="177" fontId="92" fillId="2" borderId="132" xfId="0" applyNumberFormat="1" applyFont="1" applyFill="1" applyBorder="1" applyAlignment="1" applyProtection="1">
      <alignment vertical="center" shrinkToFit="1"/>
      <protection locked="0"/>
    </xf>
    <xf numFmtId="177" fontId="22" fillId="2" borderId="133" xfId="0" applyNumberFormat="1" applyFont="1" applyFill="1" applyBorder="1" applyAlignment="1" applyProtection="1">
      <alignment vertical="center" shrinkToFit="1"/>
      <protection locked="0"/>
    </xf>
    <xf numFmtId="0" fontId="29" fillId="2" borderId="132" xfId="0" applyNumberFormat="1" applyFont="1" applyFill="1" applyBorder="1" applyAlignment="1" applyProtection="1">
      <alignment horizontal="right" vertical="center" wrapText="1"/>
      <protection locked="0"/>
    </xf>
    <xf numFmtId="0" fontId="90" fillId="14" borderId="134" xfId="0" applyFont="1" applyFill="1" applyBorder="1" applyProtection="1">
      <alignment vertical="center"/>
      <protection hidden="1"/>
    </xf>
    <xf numFmtId="0" fontId="89" fillId="14" borderId="135" xfId="0" applyFont="1" applyFill="1" applyBorder="1" applyAlignment="1" applyProtection="1">
      <alignment horizontal="center" vertical="center" wrapText="1"/>
      <protection hidden="1"/>
    </xf>
    <xf numFmtId="0" fontId="29" fillId="2" borderId="136" xfId="0" applyNumberFormat="1" applyFont="1" applyFill="1" applyBorder="1" applyAlignment="1" applyProtection="1">
      <alignment horizontal="right" vertical="center" wrapText="1"/>
      <protection locked="0"/>
    </xf>
    <xf numFmtId="0" fontId="100" fillId="2" borderId="0" xfId="0" applyFont="1" applyFill="1" applyAlignment="1" applyProtection="1">
      <alignment horizontal="left" vertical="center" indent="12"/>
      <protection locked="0"/>
    </xf>
    <xf numFmtId="0" fontId="101" fillId="2" borderId="0" xfId="5" applyFont="1" applyFill="1" applyAlignment="1" applyProtection="1">
      <alignment vertical="center"/>
    </xf>
    <xf numFmtId="31" fontId="86" fillId="2" borderId="0" xfId="0" applyNumberFormat="1" applyFont="1" applyFill="1" applyAlignment="1" applyProtection="1">
      <alignment horizontal="left" vertical="center" indent="14"/>
      <protection hidden="1"/>
    </xf>
    <xf numFmtId="31" fontId="86" fillId="2" borderId="0" xfId="0" applyNumberFormat="1" applyFont="1" applyFill="1" applyAlignment="1" applyProtection="1">
      <alignment horizontal="left" vertical="center" indent="15"/>
      <protection hidden="1"/>
    </xf>
    <xf numFmtId="0" fontId="0" fillId="2" borderId="0" xfId="0" applyFill="1" applyAlignment="1" applyProtection="1">
      <alignment horizontal="left" vertical="center" indent="3"/>
      <protection hidden="1"/>
    </xf>
    <xf numFmtId="0" fontId="77" fillId="2" borderId="0" xfId="0" applyFont="1" applyFill="1" applyProtection="1">
      <alignment vertical="center"/>
      <protection hidden="1"/>
    </xf>
    <xf numFmtId="0" fontId="41" fillId="2" borderId="0" xfId="0" applyFont="1" applyFill="1" applyAlignment="1" applyProtection="1">
      <alignment horizontal="left" vertical="center" indent="3"/>
      <protection hidden="1"/>
    </xf>
    <xf numFmtId="0" fontId="41" fillId="2" borderId="0" xfId="0" applyFont="1" applyFill="1" applyAlignment="1" applyProtection="1">
      <alignment horizontal="left" vertical="center" indent="2"/>
      <protection hidden="1"/>
    </xf>
    <xf numFmtId="0" fontId="89" fillId="14" borderId="210" xfId="0" applyFont="1" applyFill="1" applyBorder="1" applyAlignment="1" applyProtection="1">
      <alignment horizontal="center" vertical="center"/>
      <protection hidden="1"/>
    </xf>
    <xf numFmtId="0" fontId="89" fillId="14" borderId="211" xfId="0" applyFont="1" applyFill="1" applyBorder="1" applyAlignment="1" applyProtection="1">
      <alignment horizontal="center" vertical="center"/>
      <protection hidden="1"/>
    </xf>
    <xf numFmtId="0" fontId="89" fillId="14" borderId="212" xfId="0" applyFont="1" applyFill="1" applyBorder="1" applyAlignment="1" applyProtection="1">
      <alignment horizontal="center" vertical="center"/>
      <protection hidden="1"/>
    </xf>
    <xf numFmtId="0" fontId="89" fillId="14" borderId="204" xfId="0" applyFont="1" applyFill="1" applyBorder="1" applyAlignment="1" applyProtection="1">
      <alignment horizontal="center" vertical="center" wrapText="1"/>
      <protection hidden="1"/>
    </xf>
    <xf numFmtId="0" fontId="6" fillId="12" borderId="192" xfId="0" applyFont="1" applyFill="1" applyBorder="1" applyProtection="1">
      <alignment vertical="center"/>
      <protection hidden="1"/>
    </xf>
    <xf numFmtId="49" fontId="22" fillId="12" borderId="116" xfId="0" applyNumberFormat="1" applyFont="1" applyFill="1" applyBorder="1" applyAlignment="1" applyProtection="1">
      <alignment horizontal="center" vertical="center"/>
      <protection locked="0"/>
    </xf>
    <xf numFmtId="177" fontId="22" fillId="12" borderId="171" xfId="4" applyNumberFormat="1" applyFont="1" applyFill="1" applyBorder="1" applyAlignment="1" applyProtection="1">
      <alignment vertical="center" shrinkToFit="1"/>
      <protection locked="0"/>
    </xf>
    <xf numFmtId="177" fontId="22" fillId="12" borderId="213" xfId="4" applyNumberFormat="1" applyFont="1" applyFill="1" applyBorder="1" applyAlignment="1" applyProtection="1">
      <alignment vertical="center" shrinkToFit="1"/>
      <protection locked="0"/>
    </xf>
    <xf numFmtId="0" fontId="0" fillId="12" borderId="192" xfId="0" applyFill="1" applyBorder="1" applyAlignment="1" applyProtection="1">
      <alignment horizontal="left" vertical="center" indent="1"/>
      <protection hidden="1"/>
    </xf>
    <xf numFmtId="49" fontId="22" fillId="0" borderId="116" xfId="0" applyNumberFormat="1" applyFont="1" applyFill="1" applyBorder="1" applyAlignment="1" applyProtection="1">
      <alignment horizontal="center" vertical="center"/>
      <protection locked="0"/>
    </xf>
    <xf numFmtId="177" fontId="22" fillId="0" borderId="171" xfId="4" applyNumberFormat="1" applyFont="1" applyFill="1" applyBorder="1" applyAlignment="1" applyProtection="1">
      <alignment vertical="center" shrinkToFit="1"/>
      <protection locked="0"/>
    </xf>
    <xf numFmtId="177" fontId="22" fillId="0" borderId="213" xfId="4" applyNumberFormat="1" applyFont="1" applyFill="1" applyBorder="1" applyAlignment="1" applyProtection="1">
      <alignment vertical="center" shrinkToFit="1"/>
      <protection locked="0"/>
    </xf>
    <xf numFmtId="49" fontId="22" fillId="0" borderId="116" xfId="4" applyNumberFormat="1" applyFont="1" applyFill="1" applyBorder="1" applyAlignment="1" applyProtection="1">
      <alignment horizontal="center" vertical="center" shrinkToFit="1"/>
      <protection locked="0"/>
    </xf>
    <xf numFmtId="177" fontId="22" fillId="0" borderId="171" xfId="4" applyNumberFormat="1" applyFont="1" applyFill="1" applyBorder="1" applyAlignment="1" applyProtection="1">
      <alignment vertical="center" shrinkToFit="1"/>
    </xf>
    <xf numFmtId="177" fontId="22" fillId="0" borderId="213" xfId="4" applyNumberFormat="1" applyFont="1" applyFill="1" applyBorder="1" applyAlignment="1" applyProtection="1">
      <alignment vertical="center" shrinkToFit="1"/>
    </xf>
    <xf numFmtId="0" fontId="0" fillId="12" borderId="192" xfId="0" applyFill="1" applyBorder="1" applyProtection="1">
      <alignment vertical="center"/>
      <protection hidden="1"/>
    </xf>
    <xf numFmtId="0" fontId="0" fillId="12" borderId="192" xfId="0" applyFont="1" applyFill="1" applyBorder="1" applyProtection="1">
      <alignment vertical="center"/>
      <protection hidden="1"/>
    </xf>
    <xf numFmtId="0" fontId="6" fillId="12" borderId="195" xfId="0" applyFont="1" applyFill="1" applyBorder="1" applyProtection="1">
      <alignment vertical="center"/>
      <protection hidden="1"/>
    </xf>
    <xf numFmtId="49" fontId="22" fillId="0" borderId="196" xfId="0" applyNumberFormat="1" applyFont="1" applyFill="1" applyBorder="1" applyAlignment="1" applyProtection="1">
      <alignment horizontal="center" vertical="center"/>
      <protection locked="0"/>
    </xf>
    <xf numFmtId="177" fontId="21" fillId="0" borderId="203" xfId="4" applyNumberFormat="1" applyFont="1" applyFill="1" applyBorder="1" applyAlignment="1" applyProtection="1">
      <alignment vertical="center" shrinkToFit="1"/>
      <protection locked="0"/>
    </xf>
    <xf numFmtId="177" fontId="21" fillId="0" borderId="214" xfId="4" applyNumberFormat="1" applyFont="1" applyFill="1" applyBorder="1" applyAlignment="1" applyProtection="1">
      <alignment vertical="center" shrinkToFit="1"/>
      <protection locked="0"/>
    </xf>
    <xf numFmtId="0" fontId="93" fillId="2" borderId="0" xfId="0" applyFont="1" applyFill="1" applyProtection="1">
      <alignment vertical="center"/>
      <protection locked="0"/>
    </xf>
    <xf numFmtId="0" fontId="6" fillId="2" borderId="0" xfId="0" applyFont="1" applyFill="1" applyAlignment="1" applyProtection="1">
      <alignment horizontal="right" vertical="center"/>
      <protection locked="0"/>
    </xf>
    <xf numFmtId="0" fontId="0" fillId="15" borderId="0" xfId="0" applyFill="1" applyProtection="1">
      <alignment vertical="center"/>
      <protection locked="0"/>
    </xf>
    <xf numFmtId="0" fontId="89" fillId="14" borderId="137" xfId="0" applyFont="1" applyFill="1" applyBorder="1" applyAlignment="1" applyProtection="1">
      <alignment horizontal="center" vertical="center"/>
      <protection hidden="1"/>
    </xf>
    <xf numFmtId="0" fontId="89" fillId="14" borderId="138" xfId="0" applyFont="1" applyFill="1" applyBorder="1" applyAlignment="1" applyProtection="1">
      <alignment horizontal="center" vertical="center"/>
      <protection hidden="1"/>
    </xf>
    <xf numFmtId="0" fontId="89" fillId="14" borderId="139" xfId="0" applyFont="1" applyFill="1" applyBorder="1" applyAlignment="1" applyProtection="1">
      <alignment horizontal="center" vertical="center"/>
      <protection hidden="1"/>
    </xf>
    <xf numFmtId="0" fontId="89" fillId="14" borderId="140" xfId="0" applyFont="1" applyFill="1" applyBorder="1" applyAlignment="1" applyProtection="1">
      <alignment horizontal="center" vertical="center"/>
      <protection hidden="1"/>
    </xf>
    <xf numFmtId="0" fontId="6" fillId="2" borderId="141" xfId="0" applyFont="1" applyFill="1" applyBorder="1" applyAlignment="1" applyProtection="1">
      <alignment vertical="center" wrapText="1"/>
      <protection hidden="1"/>
    </xf>
    <xf numFmtId="0" fontId="0" fillId="2" borderId="130" xfId="0" applyFill="1" applyBorder="1" applyProtection="1">
      <alignment vertical="center"/>
      <protection hidden="1"/>
    </xf>
    <xf numFmtId="177" fontId="22" fillId="0" borderId="116" xfId="0" applyNumberFormat="1" applyFont="1" applyFill="1" applyBorder="1" applyAlignment="1" applyProtection="1">
      <alignment vertical="center" shrinkToFit="1"/>
      <protection locked="0"/>
    </xf>
    <xf numFmtId="177" fontId="22" fillId="0" borderId="142" xfId="0" applyNumberFormat="1" applyFont="1" applyFill="1" applyBorder="1" applyAlignment="1" applyProtection="1">
      <alignment vertical="center" shrinkToFit="1"/>
      <protection locked="0"/>
    </xf>
    <xf numFmtId="0" fontId="0" fillId="2" borderId="141" xfId="0" applyFill="1" applyBorder="1" applyAlignment="1" applyProtection="1">
      <alignment vertical="center" wrapText="1"/>
      <protection hidden="1"/>
    </xf>
    <xf numFmtId="0" fontId="0" fillId="2" borderId="141" xfId="0" applyNumberFormat="1" applyFill="1" applyBorder="1" applyAlignment="1" applyProtection="1">
      <alignment horizontal="left" vertical="center" wrapText="1" indent="1"/>
    </xf>
    <xf numFmtId="0" fontId="0" fillId="2" borderId="141" xfId="0" applyFill="1" applyBorder="1" applyAlignment="1" applyProtection="1">
      <alignment horizontal="center" vertical="center" wrapText="1"/>
      <protection hidden="1"/>
    </xf>
    <xf numFmtId="177" fontId="21" fillId="2" borderId="116" xfId="0" applyNumberFormat="1" applyFont="1" applyFill="1" applyBorder="1" applyAlignment="1" applyProtection="1">
      <alignment vertical="center" shrinkToFit="1"/>
    </xf>
    <xf numFmtId="177" fontId="21" fillId="2" borderId="142" xfId="0" applyNumberFormat="1" applyFont="1" applyFill="1" applyBorder="1" applyAlignment="1" applyProtection="1">
      <alignment vertical="center" shrinkToFit="1"/>
    </xf>
    <xf numFmtId="0" fontId="27" fillId="15" borderId="0" xfId="0" applyFont="1" applyFill="1" applyBorder="1" applyProtection="1">
      <alignment vertical="center"/>
      <protection locked="0"/>
    </xf>
    <xf numFmtId="0" fontId="0" fillId="2" borderId="143" xfId="0" applyFill="1" applyBorder="1" applyAlignment="1" applyProtection="1">
      <alignment vertical="center" wrapText="1"/>
      <protection hidden="1"/>
    </xf>
    <xf numFmtId="0" fontId="0" fillId="2" borderId="144" xfId="0" applyFill="1" applyBorder="1" applyProtection="1">
      <alignment vertical="center"/>
      <protection hidden="1"/>
    </xf>
    <xf numFmtId="177" fontId="21" fillId="2" borderId="145" xfId="0" applyNumberFormat="1" applyFont="1" applyFill="1" applyBorder="1" applyAlignment="1" applyProtection="1">
      <alignment vertical="center" shrinkToFit="1"/>
    </xf>
    <xf numFmtId="177" fontId="21" fillId="2" borderId="146" xfId="0" applyNumberFormat="1" applyFont="1" applyFill="1" applyBorder="1" applyAlignment="1" applyProtection="1">
      <alignment vertical="center" shrinkToFit="1"/>
    </xf>
    <xf numFmtId="0" fontId="88" fillId="14" borderId="137" xfId="0" applyNumberFormat="1" applyFont="1" applyFill="1" applyBorder="1" applyAlignment="1" applyProtection="1">
      <alignment vertical="center"/>
      <protection locked="0"/>
    </xf>
    <xf numFmtId="0" fontId="88" fillId="14" borderId="147" xfId="0" applyNumberFormat="1" applyFont="1" applyFill="1" applyBorder="1" applyAlignment="1" applyProtection="1">
      <alignment vertical="center"/>
      <protection locked="0"/>
    </xf>
    <xf numFmtId="0" fontId="94" fillId="14" borderId="148" xfId="0" applyNumberFormat="1" applyFont="1" applyFill="1" applyBorder="1" applyAlignment="1" applyProtection="1">
      <alignment horizontal="center" vertical="center" wrapText="1"/>
      <protection locked="0"/>
    </xf>
    <xf numFmtId="0" fontId="94" fillId="14" borderId="149" xfId="0" applyNumberFormat="1" applyFont="1" applyFill="1" applyBorder="1" applyAlignment="1" applyProtection="1">
      <alignment horizontal="center" vertical="center" wrapText="1"/>
      <protection locked="0"/>
    </xf>
    <xf numFmtId="0" fontId="94" fillId="2" borderId="0" xfId="0" applyNumberFormat="1" applyFont="1" applyFill="1" applyBorder="1" applyAlignment="1" applyProtection="1">
      <alignment horizontal="center" vertical="center" wrapText="1"/>
      <protection locked="0"/>
    </xf>
    <xf numFmtId="0" fontId="95" fillId="14" borderId="0" xfId="0" applyNumberFormat="1" applyFont="1" applyFill="1" applyBorder="1" applyAlignment="1" applyProtection="1">
      <alignment vertical="center"/>
      <protection locked="0"/>
    </xf>
    <xf numFmtId="0" fontId="89" fillId="14" borderId="128" xfId="0" applyNumberFormat="1" applyFont="1" applyFill="1" applyBorder="1" applyAlignment="1" applyProtection="1">
      <alignment horizontal="center" vertical="center" wrapText="1"/>
      <protection locked="0"/>
    </xf>
    <xf numFmtId="0" fontId="89" fillId="14" borderId="132" xfId="0" applyNumberFormat="1" applyFont="1" applyFill="1" applyBorder="1" applyAlignment="1" applyProtection="1">
      <alignment horizontal="center" vertical="center" wrapText="1"/>
      <protection locked="0"/>
    </xf>
    <xf numFmtId="0" fontId="6" fillId="2" borderId="111" xfId="0" applyFont="1" applyFill="1" applyBorder="1" applyAlignment="1" applyProtection="1">
      <alignment vertical="center" wrapText="1"/>
      <protection hidden="1"/>
    </xf>
    <xf numFmtId="0" fontId="91" fillId="2" borderId="0" xfId="0" applyFont="1" applyFill="1" applyBorder="1" applyProtection="1">
      <alignment vertical="center"/>
      <protection locked="0"/>
    </xf>
    <xf numFmtId="0" fontId="22" fillId="2" borderId="128" xfId="0" applyNumberFormat="1" applyFont="1" applyFill="1" applyBorder="1" applyAlignment="1" applyProtection="1">
      <alignment vertical="center" wrapText="1"/>
      <protection locked="0"/>
    </xf>
    <xf numFmtId="0" fontId="0" fillId="2" borderId="111" xfId="0" applyFill="1" applyBorder="1" applyAlignment="1" applyProtection="1">
      <alignment horizontal="left" vertical="center" indent="1"/>
      <protection locked="0"/>
    </xf>
    <xf numFmtId="0" fontId="0" fillId="2" borderId="111" xfId="0" applyFont="1" applyFill="1" applyBorder="1" applyAlignment="1" applyProtection="1">
      <alignment vertical="center" wrapText="1"/>
      <protection locked="0"/>
    </xf>
    <xf numFmtId="0" fontId="6" fillId="2" borderId="111" xfId="0" applyFont="1" applyFill="1" applyBorder="1" applyAlignment="1" applyProtection="1">
      <alignment vertical="center" wrapText="1"/>
      <protection locked="0"/>
    </xf>
    <xf numFmtId="0" fontId="22" fillId="2" borderId="111" xfId="0" applyNumberFormat="1" applyFont="1" applyFill="1" applyBorder="1" applyAlignment="1" applyProtection="1">
      <alignment horizontal="left" vertical="center" wrapText="1" indent="1"/>
      <protection locked="0"/>
    </xf>
    <xf numFmtId="0" fontId="0" fillId="2" borderId="111" xfId="0" applyFill="1" applyBorder="1" applyAlignment="1" applyProtection="1">
      <alignment vertical="center" wrapText="1"/>
      <protection locked="0"/>
    </xf>
    <xf numFmtId="0" fontId="0" fillId="15" borderId="0" xfId="0" applyFill="1" applyBorder="1" applyProtection="1">
      <alignment vertical="center"/>
      <protection locked="0"/>
    </xf>
    <xf numFmtId="0" fontId="0" fillId="15" borderId="0" xfId="0" applyFill="1">
      <alignment vertical="center"/>
    </xf>
    <xf numFmtId="0" fontId="91" fillId="2" borderId="155" xfId="0" applyFont="1" applyFill="1" applyBorder="1" applyProtection="1">
      <alignment vertical="center"/>
      <protection locked="0"/>
    </xf>
    <xf numFmtId="177" fontId="22" fillId="2" borderId="131" xfId="0" applyNumberFormat="1" applyFont="1" applyFill="1" applyBorder="1" applyAlignment="1" applyProtection="1">
      <alignment vertical="center" shrinkToFit="1"/>
      <protection locked="0"/>
    </xf>
    <xf numFmtId="177" fontId="22" fillId="2" borderId="136" xfId="0" applyNumberFormat="1" applyFont="1" applyFill="1" applyBorder="1" applyAlignment="1" applyProtection="1">
      <alignment vertical="center" shrinkToFit="1"/>
      <protection locked="0"/>
    </xf>
    <xf numFmtId="0" fontId="25" fillId="2" borderId="0" xfId="0" applyFont="1" applyFill="1" applyBorder="1" applyProtection="1">
      <alignment vertical="center"/>
      <protection locked="0"/>
    </xf>
    <xf numFmtId="0" fontId="100" fillId="2" borderId="0" xfId="0" applyFont="1" applyFill="1" applyAlignment="1" applyProtection="1">
      <alignment horizontal="left" vertical="center" indent="13"/>
      <protection locked="0"/>
    </xf>
    <xf numFmtId="0" fontId="89" fillId="14" borderId="204" xfId="0" applyFont="1" applyFill="1" applyBorder="1" applyAlignment="1" applyProtection="1">
      <alignment horizontal="center" vertical="center"/>
      <protection hidden="1"/>
    </xf>
    <xf numFmtId="177" fontId="22" fillId="17" borderId="213" xfId="4" applyNumberFormat="1" applyFont="1" applyFill="1" applyBorder="1" applyAlignment="1" applyProtection="1">
      <alignment vertical="center" shrinkToFit="1"/>
      <protection locked="0"/>
    </xf>
    <xf numFmtId="49" fontId="22" fillId="0" borderId="116" xfId="0" applyNumberFormat="1" applyFont="1" applyFill="1" applyBorder="1" applyAlignment="1" applyProtection="1">
      <alignment horizontal="center" vertical="center" shrinkToFit="1"/>
      <protection locked="0"/>
    </xf>
    <xf numFmtId="0" fontId="6" fillId="12" borderId="192" xfId="0" applyFont="1" applyFill="1" applyBorder="1" applyAlignment="1" applyProtection="1">
      <alignment horizontal="left" vertical="center" wrapText="1"/>
      <protection locked="0" hidden="1"/>
    </xf>
    <xf numFmtId="0" fontId="0" fillId="12" borderId="192" xfId="0" applyNumberFormat="1" applyFill="1" applyBorder="1" applyAlignment="1" applyProtection="1">
      <alignment horizontal="left" vertical="center" wrapText="1"/>
      <protection hidden="1"/>
    </xf>
    <xf numFmtId="0" fontId="0" fillId="12" borderId="192" xfId="0" applyFill="1" applyBorder="1" applyAlignment="1" applyProtection="1">
      <alignment horizontal="left" vertical="center" wrapText="1" indent="1"/>
      <protection locked="0"/>
    </xf>
    <xf numFmtId="0" fontId="0" fillId="12" borderId="192" xfId="0" applyFill="1" applyBorder="1" applyAlignment="1" applyProtection="1">
      <alignment horizontal="left" vertical="center" wrapText="1" indent="2"/>
      <protection hidden="1"/>
    </xf>
    <xf numFmtId="0" fontId="0" fillId="12" borderId="192" xfId="0" applyNumberFormat="1" applyFill="1" applyBorder="1" applyAlignment="1" applyProtection="1">
      <alignment horizontal="left" vertical="center" wrapText="1" indent="2"/>
    </xf>
    <xf numFmtId="0" fontId="0" fillId="12" borderId="192" xfId="0" applyNumberFormat="1" applyFill="1" applyBorder="1" applyAlignment="1" applyProtection="1">
      <alignment horizontal="left" vertical="center" wrapText="1" indent="1"/>
    </xf>
    <xf numFmtId="0" fontId="6" fillId="12" borderId="192" xfId="0" applyFont="1" applyFill="1" applyBorder="1" applyAlignment="1" applyProtection="1">
      <alignment vertical="center" wrapText="1"/>
      <protection locked="0" hidden="1"/>
    </xf>
    <xf numFmtId="0" fontId="6" fillId="12" borderId="192" xfId="0" applyFont="1" applyFill="1" applyBorder="1" applyAlignment="1" applyProtection="1">
      <alignment vertical="center" wrapText="1"/>
      <protection hidden="1"/>
    </xf>
    <xf numFmtId="0" fontId="0" fillId="12" borderId="192" xfId="0" applyFont="1" applyFill="1" applyBorder="1" applyAlignment="1" applyProtection="1">
      <alignment horizontal="left" vertical="center" wrapText="1" indent="1"/>
      <protection hidden="1"/>
    </xf>
    <xf numFmtId="49" fontId="22" fillId="0" borderId="194" xfId="4" applyNumberFormat="1" applyFont="1" applyFill="1" applyBorder="1" applyAlignment="1" applyProtection="1">
      <alignment horizontal="center" vertical="center" shrinkToFit="1"/>
      <protection locked="0"/>
    </xf>
    <xf numFmtId="177" fontId="22" fillId="0" borderId="200" xfId="4" applyNumberFormat="1" applyFont="1" applyFill="1" applyBorder="1" applyAlignment="1" applyProtection="1">
      <alignment vertical="center" shrinkToFit="1"/>
      <protection locked="0"/>
    </xf>
    <xf numFmtId="177" fontId="22" fillId="0" borderId="205" xfId="4" applyNumberFormat="1" applyFont="1" applyFill="1" applyBorder="1" applyAlignment="1" applyProtection="1">
      <alignment vertical="center" shrinkToFit="1"/>
      <protection locked="0"/>
    </xf>
    <xf numFmtId="177" fontId="22" fillId="0" borderId="200" xfId="4" applyNumberFormat="1" applyFont="1" applyFill="1" applyBorder="1" applyAlignment="1" applyProtection="1">
      <alignment vertical="center" shrinkToFit="1"/>
    </xf>
    <xf numFmtId="177" fontId="22" fillId="0" borderId="205" xfId="4" applyNumberFormat="1" applyFont="1" applyFill="1" applyBorder="1" applyAlignment="1" applyProtection="1">
      <alignment vertical="center" shrinkToFit="1"/>
    </xf>
    <xf numFmtId="0" fontId="0" fillId="12" borderId="191" xfId="0" applyFill="1" applyBorder="1" applyAlignment="1" applyProtection="1">
      <alignment horizontal="left" vertical="center" wrapText="1" indent="1"/>
      <protection hidden="1"/>
    </xf>
    <xf numFmtId="0" fontId="0" fillId="0" borderId="197" xfId="0" applyFill="1" applyBorder="1" applyProtection="1">
      <alignment vertical="center"/>
      <protection locked="0"/>
    </xf>
    <xf numFmtId="177" fontId="22" fillId="0" borderId="197" xfId="0" applyNumberFormat="1" applyFont="1" applyFill="1" applyBorder="1" applyAlignment="1" applyProtection="1">
      <alignment vertical="center" shrinkToFit="1"/>
      <protection locked="0"/>
    </xf>
    <xf numFmtId="177" fontId="22" fillId="0" borderId="215" xfId="0" applyNumberFormat="1" applyFont="1" applyFill="1" applyBorder="1" applyAlignment="1" applyProtection="1">
      <alignment vertical="center" shrinkToFit="1"/>
      <protection locked="0"/>
    </xf>
    <xf numFmtId="177" fontId="22" fillId="0" borderId="216" xfId="0" applyNumberFormat="1" applyFont="1" applyFill="1" applyBorder="1" applyAlignment="1" applyProtection="1">
      <alignment vertical="center" shrinkToFit="1"/>
      <protection locked="0"/>
    </xf>
    <xf numFmtId="177" fontId="22" fillId="0" borderId="206" xfId="0" applyNumberFormat="1" applyFont="1" applyFill="1" applyBorder="1" applyAlignment="1" applyProtection="1">
      <alignment vertical="center" shrinkToFit="1"/>
      <protection locked="0"/>
    </xf>
    <xf numFmtId="0" fontId="0" fillId="12" borderId="195" xfId="0" applyFill="1" applyBorder="1" applyAlignment="1" applyProtection="1">
      <alignment horizontal="left" vertical="center" wrapText="1" indent="1"/>
      <protection hidden="1"/>
    </xf>
    <xf numFmtId="49" fontId="22" fillId="0" borderId="196" xfId="4" applyNumberFormat="1" applyFont="1" applyFill="1" applyBorder="1" applyAlignment="1" applyProtection="1">
      <alignment horizontal="center" vertical="center" shrinkToFit="1"/>
      <protection locked="0"/>
    </xf>
    <xf numFmtId="177" fontId="22" fillId="0" borderId="203" xfId="4" applyNumberFormat="1" applyFont="1" applyFill="1" applyBorder="1" applyAlignment="1" applyProtection="1">
      <alignment vertical="center" shrinkToFit="1"/>
      <protection locked="0"/>
    </xf>
    <xf numFmtId="177" fontId="22" fillId="0" borderId="214" xfId="4" applyNumberFormat="1" applyFont="1" applyFill="1" applyBorder="1" applyAlignment="1" applyProtection="1">
      <alignment vertical="center" shrinkToFit="1"/>
      <protection locked="0"/>
    </xf>
    <xf numFmtId="0" fontId="88" fillId="14" borderId="117" xfId="0" applyNumberFormat="1" applyFont="1" applyFill="1" applyBorder="1" applyAlignment="1" applyProtection="1">
      <alignment vertical="center"/>
      <protection hidden="1"/>
    </xf>
    <xf numFmtId="0" fontId="88" fillId="14" borderId="118" xfId="0" applyNumberFormat="1" applyFont="1" applyFill="1" applyBorder="1" applyAlignment="1" applyProtection="1">
      <alignment vertical="center"/>
      <protection hidden="1"/>
    </xf>
    <xf numFmtId="0" fontId="94" fillId="14" borderId="118" xfId="0" applyNumberFormat="1" applyFont="1" applyFill="1" applyBorder="1" applyAlignment="1" applyProtection="1">
      <alignment horizontal="center" vertical="center" wrapText="1"/>
      <protection hidden="1"/>
    </xf>
    <xf numFmtId="0" fontId="94" fillId="14" borderId="132" xfId="0" applyNumberFormat="1" applyFont="1" applyFill="1" applyBorder="1" applyAlignment="1" applyProtection="1">
      <alignment horizontal="center" vertical="center" wrapText="1"/>
      <protection hidden="1"/>
    </xf>
    <xf numFmtId="0" fontId="89" fillId="14" borderId="117" xfId="0" applyNumberFormat="1" applyFont="1" applyFill="1" applyBorder="1" applyAlignment="1" applyProtection="1">
      <alignment horizontal="center" vertical="center" wrapText="1"/>
      <protection hidden="1"/>
    </xf>
    <xf numFmtId="0" fontId="95" fillId="14" borderId="118" xfId="0" applyNumberFormat="1" applyFont="1" applyFill="1" applyBorder="1" applyAlignment="1" applyProtection="1">
      <alignment vertical="center"/>
      <protection hidden="1"/>
    </xf>
    <xf numFmtId="0" fontId="89" fillId="14" borderId="118" xfId="0" applyNumberFormat="1" applyFont="1" applyFill="1" applyBorder="1" applyAlignment="1" applyProtection="1">
      <alignment horizontal="center" vertical="center" wrapText="1"/>
      <protection hidden="1"/>
    </xf>
    <xf numFmtId="0" fontId="89" fillId="14" borderId="132" xfId="0" applyNumberFormat="1" applyFont="1" applyFill="1" applyBorder="1" applyAlignment="1" applyProtection="1">
      <alignment horizontal="center" vertical="center" wrapText="1"/>
      <protection hidden="1"/>
    </xf>
    <xf numFmtId="0" fontId="0" fillId="2" borderId="111" xfId="0" applyFill="1" applyBorder="1" applyAlignment="1" applyProtection="1">
      <alignment horizontal="left" vertical="center" wrapText="1" indent="1"/>
      <protection hidden="1"/>
    </xf>
    <xf numFmtId="177" fontId="22" fillId="2" borderId="128" xfId="0" applyNumberFormat="1" applyFont="1" applyFill="1" applyBorder="1" applyAlignment="1" applyProtection="1">
      <alignment vertical="center" wrapText="1"/>
      <protection locked="0"/>
    </xf>
    <xf numFmtId="177" fontId="92" fillId="2" borderId="132" xfId="0" applyNumberFormat="1" applyFont="1" applyFill="1" applyBorder="1" applyAlignment="1" applyProtection="1">
      <alignment vertical="center" wrapText="1"/>
      <protection locked="0"/>
    </xf>
    <xf numFmtId="0" fontId="0" fillId="2" borderId="111" xfId="0" applyFont="1" applyFill="1" applyBorder="1" applyAlignment="1" applyProtection="1">
      <alignment horizontal="left" vertical="center" wrapText="1" indent="1"/>
      <protection hidden="1"/>
    </xf>
    <xf numFmtId="0" fontId="0" fillId="2" borderId="111" xfId="0" applyFill="1" applyBorder="1" applyAlignment="1" applyProtection="1">
      <alignment horizontal="center" vertical="center" wrapText="1"/>
      <protection hidden="1"/>
    </xf>
    <xf numFmtId="0" fontId="0" fillId="2" borderId="111" xfId="0" applyFill="1" applyBorder="1" applyAlignment="1" applyProtection="1">
      <alignment vertical="center" wrapText="1"/>
      <protection hidden="1"/>
    </xf>
    <xf numFmtId="0" fontId="22" fillId="2" borderId="111" xfId="0" applyNumberFormat="1" applyFont="1" applyFill="1" applyBorder="1" applyAlignment="1" applyProtection="1">
      <alignment horizontal="left" vertical="center" wrapText="1" indent="1"/>
      <protection hidden="1"/>
    </xf>
    <xf numFmtId="0" fontId="33" fillId="6" borderId="0" xfId="0" applyFont="1" applyFill="1" applyBorder="1" applyProtection="1">
      <alignment vertical="center"/>
      <protection hidden="1"/>
    </xf>
    <xf numFmtId="177" fontId="22" fillId="6" borderId="128" xfId="0" applyNumberFormat="1" applyFont="1" applyFill="1" applyBorder="1" applyAlignment="1" applyProtection="1">
      <alignment vertical="center" shrinkToFit="1"/>
      <protection locked="0"/>
    </xf>
    <xf numFmtId="177" fontId="92" fillId="6" borderId="132" xfId="0" applyNumberFormat="1" applyFont="1" applyFill="1" applyBorder="1" applyAlignment="1" applyProtection="1">
      <alignment vertical="center" shrinkToFit="1"/>
      <protection locked="0"/>
    </xf>
    <xf numFmtId="0" fontId="0" fillId="2" borderId="111" xfId="0" applyFill="1" applyBorder="1" applyAlignment="1" applyProtection="1">
      <alignment horizontal="left" vertical="center" indent="1"/>
      <protection hidden="1"/>
    </xf>
    <xf numFmtId="0" fontId="91" fillId="6" borderId="0" xfId="0" applyFont="1" applyFill="1" applyBorder="1" applyProtection="1">
      <alignment vertical="center"/>
      <protection hidden="1"/>
    </xf>
    <xf numFmtId="177" fontId="22" fillId="6" borderId="129" xfId="0" applyNumberFormat="1" applyFont="1" applyFill="1" applyBorder="1" applyAlignment="1" applyProtection="1">
      <alignment vertical="center" shrinkToFit="1"/>
      <protection locked="0"/>
    </xf>
    <xf numFmtId="177" fontId="22" fillId="6" borderId="133" xfId="0" applyNumberFormat="1" applyFont="1" applyFill="1" applyBorder="1" applyAlignment="1" applyProtection="1">
      <alignment vertical="center" shrinkToFit="1"/>
      <protection locked="0"/>
    </xf>
    <xf numFmtId="0" fontId="0" fillId="2" borderId="111" xfId="0" applyFont="1" applyFill="1" applyBorder="1" applyAlignment="1" applyProtection="1">
      <alignment vertical="center" wrapText="1"/>
      <protection hidden="1"/>
    </xf>
    <xf numFmtId="0" fontId="29" fillId="6" borderId="128" xfId="0" applyNumberFormat="1" applyFont="1" applyFill="1" applyBorder="1" applyAlignment="1" applyProtection="1">
      <alignment horizontal="right" vertical="center" wrapText="1"/>
      <protection locked="0"/>
    </xf>
    <xf numFmtId="0" fontId="29" fillId="6" borderId="132" xfId="0" applyNumberFormat="1" applyFont="1" applyFill="1" applyBorder="1" applyAlignment="1" applyProtection="1">
      <alignment horizontal="right" vertical="center" wrapText="1"/>
      <protection locked="0"/>
    </xf>
    <xf numFmtId="0" fontId="6" fillId="2" borderId="154" xfId="0" applyFont="1" applyFill="1" applyBorder="1" applyAlignment="1" applyProtection="1">
      <alignment horizontal="center" vertical="center" wrapText="1"/>
      <protection hidden="1"/>
    </xf>
    <xf numFmtId="0" fontId="91" fillId="2" borderId="155" xfId="0" applyFont="1" applyFill="1" applyBorder="1" applyProtection="1">
      <alignment vertical="center"/>
      <protection hidden="1"/>
    </xf>
    <xf numFmtId="0" fontId="94" fillId="2" borderId="0" xfId="0" applyNumberFormat="1" applyFont="1" applyFill="1" applyBorder="1" applyAlignment="1" applyProtection="1">
      <alignment horizontal="center" vertical="center" wrapText="1"/>
    </xf>
    <xf numFmtId="177" fontId="22" fillId="2" borderId="0" xfId="0" applyNumberFormat="1" applyFont="1" applyFill="1" applyBorder="1" applyAlignment="1">
      <alignment vertical="center" shrinkToFit="1"/>
    </xf>
    <xf numFmtId="0" fontId="29" fillId="2" borderId="0" xfId="0" applyFont="1" applyFill="1" applyBorder="1">
      <alignment vertical="center"/>
    </xf>
    <xf numFmtId="0" fontId="100" fillId="2" borderId="0" xfId="0" applyFont="1" applyFill="1" applyAlignment="1" applyProtection="1">
      <alignment horizontal="left" vertical="center" indent="14"/>
      <protection locked="0"/>
    </xf>
    <xf numFmtId="31" fontId="86" fillId="2" borderId="0" xfId="0" applyNumberFormat="1" applyFont="1" applyFill="1" applyAlignment="1" applyProtection="1">
      <alignment horizontal="left" vertical="center" indent="15"/>
    </xf>
    <xf numFmtId="0" fontId="6" fillId="2" borderId="0" xfId="0" applyFont="1" applyFill="1" applyProtection="1">
      <alignment vertical="center"/>
    </xf>
    <xf numFmtId="0" fontId="89" fillId="14" borderId="169" xfId="0" applyFont="1" applyFill="1" applyBorder="1" applyAlignment="1" applyProtection="1">
      <alignment horizontal="center" vertical="center"/>
      <protection hidden="1"/>
    </xf>
    <xf numFmtId="0" fontId="0" fillId="12" borderId="192" xfId="0" applyFill="1" applyBorder="1" applyAlignment="1" applyProtection="1">
      <alignment horizontal="left" vertical="center" wrapText="1"/>
      <protection hidden="1"/>
    </xf>
    <xf numFmtId="49" fontId="22" fillId="12" borderId="116" xfId="0" applyNumberFormat="1" applyFont="1" applyFill="1" applyBorder="1" applyAlignment="1" applyProtection="1">
      <alignment horizontal="center" vertical="center" shrinkToFit="1"/>
      <protection locked="0"/>
    </xf>
    <xf numFmtId="49" fontId="22" fillId="0" borderId="116" xfId="0" applyNumberFormat="1" applyFont="1" applyBorder="1" applyAlignment="1" applyProtection="1">
      <alignment horizontal="center" vertical="center" shrinkToFit="1"/>
      <protection locked="0"/>
    </xf>
    <xf numFmtId="177" fontId="22" fillId="0" borderId="171" xfId="4" applyNumberFormat="1" applyFont="1" applyBorder="1" applyAlignment="1" applyProtection="1">
      <alignment vertical="center" shrinkToFit="1"/>
      <protection locked="0"/>
    </xf>
    <xf numFmtId="177" fontId="22" fillId="0" borderId="130" xfId="4" applyNumberFormat="1" applyFont="1" applyBorder="1" applyAlignment="1" applyProtection="1">
      <alignment vertical="center" shrinkToFit="1"/>
      <protection locked="0"/>
    </xf>
    <xf numFmtId="49" fontId="22" fillId="18" borderId="116" xfId="0" applyNumberFormat="1" applyFont="1" applyFill="1" applyBorder="1" applyAlignment="1" applyProtection="1">
      <alignment horizontal="center" vertical="center" shrinkToFit="1"/>
      <protection locked="0"/>
    </xf>
    <xf numFmtId="177" fontId="22" fillId="18" borderId="171" xfId="4" applyNumberFormat="1" applyFont="1" applyFill="1" applyBorder="1" applyAlignment="1" applyProtection="1">
      <alignment vertical="center" shrinkToFit="1"/>
      <protection locked="0"/>
    </xf>
    <xf numFmtId="177" fontId="22" fillId="18" borderId="130" xfId="4" applyNumberFormat="1" applyFont="1" applyFill="1" applyBorder="1" applyAlignment="1" applyProtection="1">
      <alignment vertical="center" shrinkToFit="1"/>
      <protection locked="0"/>
    </xf>
    <xf numFmtId="177" fontId="22" fillId="18" borderId="171" xfId="4" applyNumberFormat="1" applyFont="1" applyFill="1" applyBorder="1" applyAlignment="1" applyProtection="1">
      <alignment vertical="center" shrinkToFit="1"/>
    </xf>
    <xf numFmtId="177" fontId="22" fillId="18" borderId="130" xfId="4" applyNumberFormat="1" applyFont="1" applyFill="1" applyBorder="1" applyAlignment="1" applyProtection="1">
      <alignment vertical="center" shrinkToFit="1"/>
    </xf>
    <xf numFmtId="0" fontId="0" fillId="12" borderId="116" xfId="0" applyFill="1" applyBorder="1" applyAlignment="1" applyProtection="1">
      <alignment horizontal="left" vertical="center" wrapText="1"/>
      <protection hidden="1"/>
    </xf>
    <xf numFmtId="0" fontId="0" fillId="12" borderId="116" xfId="0" applyFill="1" applyBorder="1" applyAlignment="1" applyProtection="1">
      <alignment horizontal="left" vertical="center" wrapText="1" indent="1"/>
      <protection hidden="1"/>
    </xf>
    <xf numFmtId="177" fontId="22" fillId="0" borderId="213" xfId="4" applyNumberFormat="1" applyFont="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protection locked="0"/>
    </xf>
    <xf numFmtId="177" fontId="22" fillId="18" borderId="213" xfId="4" applyNumberFormat="1" applyFont="1" applyFill="1" applyBorder="1" applyAlignment="1" applyProtection="1">
      <alignment vertical="center" shrinkToFit="1"/>
    </xf>
    <xf numFmtId="0" fontId="6" fillId="17" borderId="195" xfId="0" applyFont="1" applyFill="1" applyBorder="1" applyAlignment="1" applyProtection="1">
      <alignment horizontal="center" vertical="center" wrapText="1"/>
      <protection hidden="1"/>
    </xf>
    <xf numFmtId="49" fontId="22" fillId="17" borderId="196" xfId="0" applyNumberFormat="1" applyFont="1" applyFill="1" applyBorder="1" applyAlignment="1" applyProtection="1">
      <alignment horizontal="center" vertical="center" shrinkToFit="1"/>
      <protection locked="0"/>
    </xf>
    <xf numFmtId="177" fontId="22" fillId="17" borderId="203" xfId="4" applyNumberFormat="1" applyFont="1" applyFill="1" applyBorder="1" applyAlignment="1" applyProtection="1">
      <alignment vertical="center" shrinkToFit="1"/>
    </xf>
    <xf numFmtId="177" fontId="22" fillId="17" borderId="217" xfId="4" applyNumberFormat="1" applyFont="1" applyFill="1" applyBorder="1" applyAlignment="1" applyProtection="1">
      <alignment vertical="center" shrinkToFit="1"/>
    </xf>
    <xf numFmtId="0" fontId="0" fillId="2" borderId="141" xfId="0" applyFill="1" applyBorder="1" applyAlignment="1" applyProtection="1">
      <alignment horizontal="left" vertical="center" indent="1"/>
      <protection hidden="1"/>
    </xf>
    <xf numFmtId="0" fontId="0" fillId="2" borderId="202" xfId="0" applyFill="1" applyBorder="1" applyProtection="1">
      <alignment vertical="center"/>
      <protection hidden="1"/>
    </xf>
    <xf numFmtId="177" fontId="22" fillId="0" borderId="194" xfId="0" applyNumberFormat="1" applyFont="1" applyFill="1" applyBorder="1" applyAlignment="1" applyProtection="1">
      <alignment vertical="center" shrinkToFit="1"/>
      <protection locked="0"/>
    </xf>
    <xf numFmtId="177" fontId="22" fillId="0" borderId="222" xfId="0" applyNumberFormat="1" applyFont="1" applyFill="1" applyBorder="1" applyAlignment="1" applyProtection="1">
      <alignment vertical="center" shrinkToFit="1"/>
      <protection locked="0"/>
    </xf>
    <xf numFmtId="0" fontId="6" fillId="2" borderId="143" xfId="0" applyFont="1" applyFill="1" applyBorder="1" applyAlignment="1" applyProtection="1">
      <alignment horizontal="center" vertical="center"/>
      <protection hidden="1"/>
    </xf>
    <xf numFmtId="177" fontId="22" fillId="2" borderId="145" xfId="0" applyNumberFormat="1" applyFont="1" applyFill="1" applyBorder="1" applyAlignment="1" applyProtection="1">
      <alignment vertical="center" shrinkToFit="1"/>
    </xf>
    <xf numFmtId="177" fontId="22" fillId="2" borderId="146" xfId="0" applyNumberFormat="1" applyFont="1" applyFill="1" applyBorder="1" applyAlignment="1" applyProtection="1">
      <alignment vertical="center" shrinkToFit="1"/>
    </xf>
    <xf numFmtId="0" fontId="6" fillId="2" borderId="0" xfId="0" applyFont="1" applyFill="1" applyBorder="1" applyAlignment="1" applyProtection="1">
      <alignment vertical="center" wrapText="1"/>
      <protection hidden="1"/>
    </xf>
    <xf numFmtId="0" fontId="0" fillId="2" borderId="128" xfId="0" applyFill="1" applyBorder="1" applyProtection="1">
      <alignment vertical="center"/>
      <protection hidden="1"/>
    </xf>
    <xf numFmtId="177" fontId="22" fillId="2" borderId="156" xfId="0" applyNumberFormat="1" applyFont="1" applyFill="1" applyBorder="1" applyAlignment="1" applyProtection="1">
      <alignment vertical="center" shrinkToFit="1"/>
      <protection locked="0"/>
    </xf>
    <xf numFmtId="0" fontId="0" fillId="2" borderId="156" xfId="0" applyFill="1" applyBorder="1" applyProtection="1">
      <alignment vertical="center"/>
      <protection locked="0"/>
    </xf>
    <xf numFmtId="0" fontId="96" fillId="2" borderId="111" xfId="0" applyFont="1" applyFill="1" applyBorder="1" applyAlignment="1" applyProtection="1">
      <alignment vertical="center" wrapText="1"/>
      <protection hidden="1"/>
    </xf>
    <xf numFmtId="0" fontId="96" fillId="2" borderId="0" xfId="0" applyFont="1" applyFill="1" applyBorder="1" applyAlignment="1" applyProtection="1">
      <alignment vertical="center" wrapText="1"/>
      <protection hidden="1"/>
    </xf>
    <xf numFmtId="0" fontId="96" fillId="2" borderId="111" xfId="0" applyFont="1" applyFill="1" applyBorder="1" applyAlignment="1" applyProtection="1">
      <alignment horizontal="left" vertical="center" indent="1"/>
      <protection hidden="1"/>
    </xf>
    <xf numFmtId="0" fontId="96" fillId="2" borderId="0" xfId="0" applyFont="1" applyFill="1" applyBorder="1" applyAlignment="1" applyProtection="1">
      <alignment horizontal="left" vertical="center" indent="1"/>
      <protection hidden="1"/>
    </xf>
    <xf numFmtId="0" fontId="0" fillId="2" borderId="155" xfId="0" applyFill="1" applyBorder="1" applyProtection="1">
      <alignment vertical="center"/>
      <protection hidden="1"/>
    </xf>
    <xf numFmtId="0" fontId="0" fillId="2" borderId="157" xfId="0" applyFill="1" applyBorder="1" applyProtection="1">
      <alignment vertical="center"/>
      <protection locked="0"/>
    </xf>
    <xf numFmtId="177" fontId="22" fillId="0" borderId="171" xfId="4" applyNumberFormat="1" applyFont="1" applyBorder="1" applyAlignment="1" applyProtection="1">
      <alignment vertical="center" shrinkToFit="1"/>
    </xf>
    <xf numFmtId="177" fontId="22" fillId="0" borderId="213" xfId="4" applyNumberFormat="1" applyFont="1" applyBorder="1" applyAlignment="1" applyProtection="1">
      <alignment vertical="center" shrinkToFit="1"/>
    </xf>
    <xf numFmtId="0" fontId="0" fillId="18" borderId="116" xfId="0" applyFill="1" applyBorder="1" applyAlignment="1" applyProtection="1">
      <alignment horizontal="left" vertical="center" shrinkToFit="1"/>
      <protection hidden="1"/>
    </xf>
    <xf numFmtId="0" fontId="6" fillId="17" borderId="196" xfId="0" applyFont="1" applyFill="1" applyBorder="1" applyAlignment="1" applyProtection="1">
      <alignment horizontal="left" vertical="center" wrapText="1"/>
      <protection hidden="1"/>
    </xf>
    <xf numFmtId="177" fontId="22" fillId="17" borderId="214" xfId="4" applyNumberFormat="1" applyFont="1" applyFill="1" applyBorder="1" applyAlignment="1" applyProtection="1">
      <alignment vertical="center" shrinkToFit="1"/>
    </xf>
    <xf numFmtId="0" fontId="0" fillId="2" borderId="156" xfId="0" applyFill="1" applyBorder="1" applyProtection="1">
      <alignment vertical="center"/>
      <protection hidden="1"/>
    </xf>
    <xf numFmtId="0" fontId="0" fillId="2" borderId="118" xfId="0" applyFill="1" applyBorder="1" applyProtection="1">
      <alignment vertical="center"/>
      <protection locked="0"/>
    </xf>
    <xf numFmtId="0" fontId="0" fillId="2" borderId="132" xfId="0" applyFill="1" applyBorder="1" applyProtection="1">
      <alignment vertical="center"/>
      <protection locked="0"/>
    </xf>
    <xf numFmtId="0" fontId="29" fillId="2" borderId="111" xfId="0" applyFont="1" applyFill="1" applyBorder="1" applyProtection="1">
      <alignment vertical="center"/>
      <protection locked="0"/>
    </xf>
    <xf numFmtId="0" fontId="0" fillId="2" borderId="111" xfId="0" applyFill="1" applyBorder="1" applyProtection="1">
      <alignment vertical="center"/>
      <protection locked="0"/>
    </xf>
    <xf numFmtId="0" fontId="96" fillId="2" borderId="156" xfId="0" applyFont="1" applyFill="1" applyBorder="1" applyProtection="1">
      <alignment vertical="center"/>
      <protection hidden="1"/>
    </xf>
    <xf numFmtId="0" fontId="0" fillId="2" borderId="121" xfId="0" applyFill="1" applyBorder="1" applyProtection="1">
      <alignment vertical="center"/>
      <protection locked="0"/>
    </xf>
    <xf numFmtId="177" fontId="22" fillId="2" borderId="223" xfId="0" applyNumberFormat="1" applyFont="1" applyFill="1" applyBorder="1" applyAlignment="1" applyProtection="1">
      <alignment vertical="center" shrinkToFit="1"/>
      <protection locked="0"/>
    </xf>
    <xf numFmtId="0" fontId="10" fillId="2" borderId="0" xfId="0" applyNumberFormat="1" applyFont="1" applyFill="1" applyBorder="1" applyAlignment="1">
      <alignment vertical="center"/>
    </xf>
    <xf numFmtId="0" fontId="0" fillId="2" borderId="1" xfId="0" applyFill="1" applyBorder="1" applyAlignment="1" applyProtection="1">
      <alignment horizontal="left" vertical="center"/>
      <protection locked="0"/>
    </xf>
    <xf numFmtId="176" fontId="73" fillId="2" borderId="1" xfId="0" applyNumberFormat="1" applyFont="1" applyFill="1" applyBorder="1" applyAlignment="1" applyProtection="1">
      <alignment vertical="center"/>
      <protection locked="0"/>
    </xf>
    <xf numFmtId="176" fontId="13" fillId="2" borderId="1" xfId="0" applyNumberFormat="1" applyFont="1" applyFill="1" applyBorder="1" applyAlignment="1" applyProtection="1">
      <alignment vertical="center"/>
      <protection locked="0"/>
    </xf>
    <xf numFmtId="0" fontId="11" fillId="2" borderId="5" xfId="0" applyNumberFormat="1" applyFont="1" applyFill="1" applyBorder="1" applyAlignment="1" applyProtection="1">
      <alignment vertical="center"/>
      <protection locked="0"/>
    </xf>
    <xf numFmtId="0" fontId="11" fillId="2" borderId="2" xfId="0" applyNumberFormat="1" applyFont="1" applyFill="1" applyBorder="1" applyAlignment="1">
      <alignment vertical="center"/>
    </xf>
    <xf numFmtId="0" fontId="15" fillId="2" borderId="4" xfId="0" applyNumberFormat="1" applyFont="1" applyFill="1" applyBorder="1" applyAlignment="1">
      <alignment horizontal="left" vertical="center"/>
    </xf>
    <xf numFmtId="176" fontId="73" fillId="2" borderId="4" xfId="0" applyNumberFormat="1" applyFont="1" applyFill="1" applyBorder="1" applyAlignment="1">
      <alignment vertical="center"/>
    </xf>
    <xf numFmtId="176" fontId="13" fillId="2" borderId="4" xfId="0" applyNumberFormat="1" applyFont="1" applyFill="1" applyBorder="1" applyAlignment="1">
      <alignment vertical="center"/>
    </xf>
    <xf numFmtId="0" fontId="10" fillId="2" borderId="6" xfId="0" applyNumberFormat="1" applyFont="1" applyFill="1" applyBorder="1" applyAlignment="1">
      <alignment horizontal="center" vertical="center"/>
    </xf>
    <xf numFmtId="0" fontId="10" fillId="2" borderId="2" xfId="0" applyNumberFormat="1" applyFont="1" applyFill="1" applyBorder="1" applyAlignment="1">
      <alignment horizontal="center" vertical="center"/>
    </xf>
    <xf numFmtId="178" fontId="18" fillId="2" borderId="4" xfId="0" applyNumberFormat="1" applyFont="1" applyFill="1" applyBorder="1" applyAlignment="1" applyProtection="1">
      <alignment horizontal="left" vertical="center"/>
      <protection locked="0"/>
    </xf>
    <xf numFmtId="176" fontId="73" fillId="2" borderId="4" xfId="0" applyNumberFormat="1" applyFont="1" applyFill="1" applyBorder="1" applyAlignment="1" applyProtection="1">
      <alignment vertical="center"/>
      <protection locked="0"/>
    </xf>
    <xf numFmtId="176" fontId="13" fillId="2" borderId="4" xfId="0" applyNumberFormat="1" applyFont="1" applyFill="1" applyBorder="1" applyAlignment="1" applyProtection="1">
      <alignment vertical="center"/>
      <protection locked="0"/>
    </xf>
    <xf numFmtId="0" fontId="10" fillId="2" borderId="6" xfId="0" applyNumberFormat="1" applyFont="1" applyFill="1" applyBorder="1" applyAlignment="1" applyProtection="1">
      <alignment horizontal="center" vertical="center"/>
      <protection locked="0"/>
    </xf>
    <xf numFmtId="0" fontId="102" fillId="2" borderId="7" xfId="0" applyNumberFormat="1" applyFont="1" applyFill="1" applyBorder="1" applyAlignment="1">
      <alignment vertical="center"/>
    </xf>
    <xf numFmtId="176" fontId="13" fillId="2" borderId="7" xfId="0" applyNumberFormat="1" applyFont="1" applyFill="1" applyBorder="1" applyAlignment="1">
      <alignment vertical="center"/>
    </xf>
    <xf numFmtId="176" fontId="73" fillId="2" borderId="7" xfId="0" applyNumberFormat="1" applyFont="1" applyFill="1" applyBorder="1" applyAlignment="1">
      <alignment vertical="center"/>
    </xf>
    <xf numFmtId="0" fontId="102" fillId="2" borderId="8" xfId="0" applyNumberFormat="1" applyFont="1" applyFill="1" applyBorder="1" applyAlignment="1">
      <alignment vertical="center"/>
    </xf>
    <xf numFmtId="0" fontId="6" fillId="2" borderId="10" xfId="0" applyFont="1" applyFill="1" applyBorder="1" applyAlignment="1">
      <alignment horizontal="center" vertical="center" wrapText="1"/>
    </xf>
    <xf numFmtId="0" fontId="6" fillId="2" borderId="11" xfId="0" applyFont="1" applyFill="1" applyBorder="1" applyAlignment="1">
      <alignment horizontal="center" vertical="center" wrapText="1"/>
    </xf>
    <xf numFmtId="0" fontId="77" fillId="2" borderId="11" xfId="0" applyFont="1" applyFill="1" applyBorder="1" applyAlignment="1">
      <alignment horizontal="center" vertical="center" wrapText="1"/>
    </xf>
    <xf numFmtId="0" fontId="21" fillId="2" borderId="11" xfId="0" applyFont="1" applyFill="1" applyBorder="1" applyAlignment="1">
      <alignment horizontal="center" vertical="center" wrapText="1"/>
    </xf>
    <xf numFmtId="0" fontId="6" fillId="2" borderId="224" xfId="0" applyFont="1" applyFill="1" applyBorder="1" applyAlignment="1">
      <alignment horizontal="center" vertical="center" wrapText="1"/>
    </xf>
    <xf numFmtId="0" fontId="6" fillId="2" borderId="225" xfId="0" applyFont="1" applyFill="1" applyBorder="1" applyAlignment="1">
      <alignment horizontal="center" vertical="center" wrapText="1"/>
    </xf>
    <xf numFmtId="0" fontId="75" fillId="0" borderId="13" xfId="0" applyNumberFormat="1" applyFont="1" applyFill="1" applyBorder="1" applyAlignment="1">
      <alignment vertical="center" shrinkToFit="1"/>
    </xf>
    <xf numFmtId="178" fontId="22" fillId="0" borderId="13" xfId="0" applyNumberFormat="1" applyFont="1" applyFill="1" applyBorder="1" applyAlignment="1">
      <alignment vertical="center" shrinkToFit="1"/>
    </xf>
    <xf numFmtId="0" fontId="0" fillId="0" borderId="227" xfId="0" applyFill="1" applyBorder="1" applyAlignment="1">
      <alignment vertical="center" wrapText="1"/>
    </xf>
    <xf numFmtId="0" fontId="75" fillId="0" borderId="16" xfId="0" applyNumberFormat="1" applyFont="1" applyFill="1" applyBorder="1" applyAlignment="1">
      <alignment vertical="center" shrinkToFit="1"/>
    </xf>
    <xf numFmtId="178" fontId="22" fillId="0" borderId="16" xfId="0" applyNumberFormat="1" applyFont="1" applyFill="1" applyBorder="1" applyAlignment="1">
      <alignment vertical="center" shrinkToFit="1"/>
    </xf>
    <xf numFmtId="0" fontId="0" fillId="0" borderId="229" xfId="0" applyFill="1" applyBorder="1" applyAlignment="1">
      <alignment vertical="center" wrapText="1"/>
    </xf>
    <xf numFmtId="0" fontId="0" fillId="2" borderId="19" xfId="0" applyFill="1" applyBorder="1">
      <alignment vertical="center"/>
    </xf>
    <xf numFmtId="0" fontId="41" fillId="2" borderId="19" xfId="0" applyFont="1" applyFill="1" applyBorder="1">
      <alignment vertical="center"/>
    </xf>
    <xf numFmtId="0" fontId="28" fillId="2" borderId="0" xfId="0" applyFont="1" applyFill="1" applyProtection="1">
      <alignment vertical="center"/>
      <protection locked="0"/>
    </xf>
    <xf numFmtId="0" fontId="103" fillId="2" borderId="0" xfId="0" applyNumberFormat="1" applyFont="1" applyFill="1" applyBorder="1" applyAlignment="1">
      <alignment vertical="center"/>
    </xf>
    <xf numFmtId="0" fontId="12" fillId="2" borderId="0" xfId="0" applyNumberFormat="1" applyFont="1" applyFill="1" applyBorder="1" applyAlignment="1">
      <alignment horizontal="center" vertical="center"/>
    </xf>
    <xf numFmtId="0" fontId="10" fillId="2" borderId="3" xfId="0" applyNumberFormat="1" applyFont="1" applyFill="1" applyBorder="1" applyAlignment="1">
      <alignment horizontal="center" vertical="center"/>
    </xf>
    <xf numFmtId="0" fontId="14" fillId="2" borderId="0" xfId="0" applyNumberFormat="1" applyFont="1" applyFill="1" applyBorder="1" applyAlignment="1">
      <alignment vertical="center"/>
    </xf>
    <xf numFmtId="0" fontId="23" fillId="2" borderId="0" xfId="0" applyNumberFormat="1" applyFont="1" applyFill="1" applyBorder="1" applyAlignment="1">
      <alignment horizontal="center" vertical="center"/>
    </xf>
    <xf numFmtId="0" fontId="104" fillId="2" borderId="0" xfId="0" applyNumberFormat="1" applyFont="1" applyFill="1" applyBorder="1" applyAlignment="1" applyProtection="1">
      <alignment horizontal="center" vertical="center"/>
      <protection locked="0"/>
    </xf>
    <xf numFmtId="0" fontId="16" fillId="2" borderId="1" xfId="0" applyNumberFormat="1" applyFont="1" applyFill="1" applyBorder="1" applyAlignment="1" applyProtection="1">
      <alignment horizontal="center" vertical="center"/>
      <protection locked="0"/>
    </xf>
    <xf numFmtId="176" fontId="17" fillId="2" borderId="0" xfId="0" applyNumberFormat="1" applyFont="1" applyFill="1" applyBorder="1" applyAlignment="1" applyProtection="1">
      <alignment vertical="center"/>
      <protection locked="0"/>
    </xf>
    <xf numFmtId="0" fontId="12" fillId="2" borderId="0" xfId="0" applyNumberFormat="1" applyFont="1" applyFill="1" applyBorder="1" applyAlignment="1">
      <alignment horizontal="left" vertical="center" indent="1"/>
    </xf>
    <xf numFmtId="0" fontId="16" fillId="2" borderId="4" xfId="0" applyNumberFormat="1" applyFont="1" applyFill="1" applyBorder="1" applyAlignment="1" applyProtection="1">
      <alignment horizontal="center" vertical="center"/>
      <protection locked="0"/>
    </xf>
    <xf numFmtId="0" fontId="33" fillId="2" borderId="1" xfId="0" applyNumberFormat="1" applyFont="1" applyFill="1" applyBorder="1" applyAlignment="1" applyProtection="1">
      <alignment vertical="center"/>
      <protection locked="0"/>
    </xf>
    <xf numFmtId="0" fontId="105" fillId="2" borderId="7" xfId="0" applyNumberFormat="1" applyFont="1" applyFill="1" applyBorder="1" applyAlignment="1">
      <alignment vertical="center"/>
    </xf>
    <xf numFmtId="0" fontId="3" fillId="2" borderId="7" xfId="0" applyNumberFormat="1" applyFont="1" applyFill="1" applyBorder="1" applyAlignment="1">
      <alignment vertical="center"/>
    </xf>
    <xf numFmtId="0" fontId="3" fillId="2" borderId="9" xfId="0" applyNumberFormat="1" applyFont="1" applyFill="1" applyBorder="1" applyAlignment="1">
      <alignment vertical="center"/>
    </xf>
    <xf numFmtId="0" fontId="6" fillId="2" borderId="29" xfId="0" applyFont="1" applyFill="1" applyBorder="1" applyAlignment="1">
      <alignment horizontal="center" vertical="center"/>
    </xf>
    <xf numFmtId="0" fontId="29" fillId="0" borderId="14" xfId="0" applyFont="1" applyFill="1" applyBorder="1" applyAlignment="1" applyProtection="1">
      <alignment horizontal="center" vertical="center"/>
      <protection locked="0"/>
    </xf>
    <xf numFmtId="0" fontId="10" fillId="2" borderId="0" xfId="0" applyNumberFormat="1" applyFont="1" applyFill="1" applyBorder="1" applyAlignment="1" applyProtection="1">
      <alignment vertical="center"/>
    </xf>
    <xf numFmtId="0" fontId="11" fillId="2" borderId="2" xfId="0" applyNumberFormat="1" applyFont="1" applyFill="1" applyBorder="1" applyAlignment="1" applyProtection="1">
      <alignment vertical="center"/>
    </xf>
    <xf numFmtId="0" fontId="15" fillId="2" borderId="4" xfId="0" applyNumberFormat="1" applyFont="1" applyFill="1" applyBorder="1" applyAlignment="1" applyProtection="1">
      <alignment horizontal="left" vertical="center"/>
    </xf>
    <xf numFmtId="176" fontId="13" fillId="2" borderId="4" xfId="0" applyNumberFormat="1" applyFont="1" applyFill="1" applyBorder="1" applyAlignment="1" applyProtection="1">
      <alignment vertical="center"/>
    </xf>
    <xf numFmtId="0" fontId="10" fillId="2" borderId="6" xfId="0" applyNumberFormat="1" applyFont="1" applyFill="1" applyBorder="1" applyAlignment="1" applyProtection="1">
      <alignment horizontal="center" vertical="center"/>
    </xf>
    <xf numFmtId="0" fontId="10" fillId="2" borderId="2" xfId="0" applyNumberFormat="1" applyFont="1" applyFill="1" applyBorder="1" applyAlignment="1" applyProtection="1">
      <alignment horizontal="center" vertical="center"/>
    </xf>
    <xf numFmtId="0" fontId="19" fillId="2" borderId="7" xfId="0" applyNumberFormat="1" applyFont="1" applyFill="1" applyBorder="1" applyAlignment="1" applyProtection="1">
      <alignment vertical="center"/>
    </xf>
    <xf numFmtId="176" fontId="13" fillId="2" borderId="7" xfId="0" applyNumberFormat="1" applyFont="1" applyFill="1" applyBorder="1" applyAlignment="1" applyProtection="1">
      <alignment vertical="center"/>
    </xf>
    <xf numFmtId="0" fontId="19" fillId="2" borderId="8" xfId="0" applyNumberFormat="1" applyFont="1" applyFill="1" applyBorder="1" applyAlignment="1" applyProtection="1">
      <alignment vertical="center"/>
    </xf>
    <xf numFmtId="0" fontId="102" fillId="2" borderId="0" xfId="0" applyNumberFormat="1" applyFont="1" applyFill="1" applyBorder="1" applyAlignment="1" applyProtection="1">
      <alignment vertical="center"/>
    </xf>
    <xf numFmtId="0" fontId="9" fillId="2" borderId="0" xfId="0" applyFont="1" applyFill="1" applyProtection="1">
      <alignment vertical="center"/>
    </xf>
    <xf numFmtId="0" fontId="6" fillId="2" borderId="10" xfId="0" applyFont="1" applyFill="1" applyBorder="1" applyAlignment="1" applyProtection="1">
      <alignment horizontal="center" vertical="center" wrapText="1"/>
    </xf>
    <xf numFmtId="0" fontId="6" fillId="2" borderId="11" xfId="0" applyFont="1" applyFill="1" applyBorder="1" applyAlignment="1" applyProtection="1">
      <alignment horizontal="center" vertical="center" wrapText="1"/>
    </xf>
    <xf numFmtId="0" fontId="6" fillId="2" borderId="20" xfId="0" applyFont="1" applyFill="1" applyBorder="1" applyAlignment="1" applyProtection="1">
      <alignment horizontal="center" vertical="center" wrapText="1"/>
    </xf>
    <xf numFmtId="0" fontId="6" fillId="2" borderId="225" xfId="0" applyFont="1" applyFill="1" applyBorder="1" applyAlignment="1" applyProtection="1">
      <alignment horizontal="center" vertical="center" wrapText="1"/>
    </xf>
    <xf numFmtId="0" fontId="21" fillId="2" borderId="11" xfId="0" applyFont="1" applyFill="1" applyBorder="1" applyAlignment="1" applyProtection="1">
      <alignment horizontal="center" vertical="center" wrapText="1"/>
    </xf>
    <xf numFmtId="0" fontId="0" fillId="0" borderId="13" xfId="0" applyFill="1" applyBorder="1" applyAlignment="1" applyProtection="1">
      <alignment vertical="center" wrapText="1"/>
    </xf>
    <xf numFmtId="177" fontId="22" fillId="0" borderId="227" xfId="0" applyNumberFormat="1" applyFont="1" applyFill="1" applyBorder="1" applyAlignment="1" applyProtection="1">
      <alignment vertical="center" shrinkToFit="1"/>
    </xf>
    <xf numFmtId="177" fontId="22" fillId="0" borderId="14" xfId="0" applyNumberFormat="1" applyFont="1" applyFill="1" applyBorder="1" applyAlignment="1" applyProtection="1">
      <alignment vertical="center" shrinkToFit="1"/>
    </xf>
    <xf numFmtId="0" fontId="22" fillId="0" borderId="15" xfId="0" applyFont="1" applyFill="1" applyBorder="1" applyAlignment="1" applyProtection="1">
      <alignment horizontal="center" vertical="center" wrapText="1"/>
    </xf>
    <xf numFmtId="177" fontId="22" fillId="0" borderId="229" xfId="0" applyNumberFormat="1" applyFont="1" applyFill="1" applyBorder="1" applyAlignment="1" applyProtection="1">
      <alignment vertical="center" shrinkToFit="1"/>
    </xf>
    <xf numFmtId="177" fontId="22" fillId="0" borderId="16" xfId="0" applyNumberFormat="1" applyFont="1" applyFill="1" applyBorder="1" applyAlignment="1" applyProtection="1">
      <alignment vertical="center" shrinkToFit="1"/>
    </xf>
    <xf numFmtId="0" fontId="0" fillId="2" borderId="19" xfId="0" applyFill="1" applyBorder="1" applyProtection="1">
      <alignment vertical="center"/>
    </xf>
    <xf numFmtId="0" fontId="12" fillId="2" borderId="0" xfId="0" applyNumberFormat="1" applyFont="1" applyFill="1" applyBorder="1" applyAlignment="1" applyProtection="1">
      <alignment horizontal="center" vertical="center"/>
    </xf>
    <xf numFmtId="0" fontId="10" fillId="2" borderId="3" xfId="0" applyNumberFormat="1" applyFont="1" applyFill="1" applyBorder="1" applyAlignment="1" applyProtection="1">
      <alignment horizontal="center" vertical="center"/>
    </xf>
    <xf numFmtId="0" fontId="14" fillId="2" borderId="0" xfId="0" applyNumberFormat="1" applyFont="1" applyFill="1" applyBorder="1" applyAlignment="1" applyProtection="1">
      <alignment vertical="center"/>
    </xf>
    <xf numFmtId="0" fontId="23"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vertical="center"/>
    </xf>
    <xf numFmtId="0" fontId="4" fillId="2" borderId="7" xfId="0" applyNumberFormat="1" applyFont="1" applyFill="1" applyBorder="1" applyAlignment="1" applyProtection="1">
      <alignment vertical="center"/>
    </xf>
    <xf numFmtId="0" fontId="0" fillId="2" borderId="7" xfId="0" applyFill="1" applyBorder="1" applyProtection="1">
      <alignment vertical="center"/>
    </xf>
    <xf numFmtId="0" fontId="4" fillId="2" borderId="9" xfId="0" applyNumberFormat="1" applyFont="1" applyFill="1" applyBorder="1" applyAlignment="1" applyProtection="1">
      <alignment vertical="center"/>
    </xf>
    <xf numFmtId="0" fontId="3" fillId="2" borderId="0" xfId="0" applyNumberFormat="1" applyFont="1" applyFill="1" applyBorder="1" applyAlignment="1" applyProtection="1">
      <alignment vertical="center"/>
    </xf>
    <xf numFmtId="0" fontId="6" fillId="2" borderId="224" xfId="0" applyFont="1" applyFill="1" applyBorder="1" applyAlignment="1" applyProtection="1">
      <alignment horizontal="center" vertical="center" wrapText="1"/>
    </xf>
    <xf numFmtId="0" fontId="21" fillId="2" borderId="10" xfId="0" applyFont="1" applyFill="1" applyBorder="1" applyAlignment="1" applyProtection="1">
      <alignment horizontal="center" vertical="center" wrapText="1"/>
    </xf>
    <xf numFmtId="0" fontId="6" fillId="2" borderId="29" xfId="0" applyFont="1" applyFill="1" applyBorder="1" applyAlignment="1" applyProtection="1">
      <alignment horizontal="center" vertical="center" wrapText="1"/>
    </xf>
    <xf numFmtId="0" fontId="0" fillId="2" borderId="0" xfId="0" applyFill="1" applyAlignment="1">
      <alignment vertical="center"/>
    </xf>
    <xf numFmtId="0" fontId="41" fillId="2" borderId="0" xfId="0" applyFont="1" applyFill="1" applyAlignment="1">
      <alignment vertical="center"/>
    </xf>
    <xf numFmtId="0" fontId="41"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73" fillId="2" borderId="0" xfId="0" applyFont="1" applyFill="1" applyAlignment="1" applyProtection="1">
      <alignment vertical="center" shrinkToFit="1"/>
      <protection hidden="1"/>
    </xf>
    <xf numFmtId="0" fontId="106" fillId="2" borderId="0" xfId="0" applyFont="1" applyFill="1" applyBorder="1" applyAlignment="1" applyProtection="1">
      <alignment shrinkToFit="1"/>
      <protection hidden="1"/>
    </xf>
    <xf numFmtId="0" fontId="107" fillId="2" borderId="0" xfId="0" applyFont="1" applyFill="1" applyBorder="1" applyAlignment="1" applyProtection="1">
      <alignment vertical="center" shrinkToFit="1"/>
      <protection hidden="1"/>
    </xf>
    <xf numFmtId="0" fontId="108" fillId="0" borderId="230" xfId="0" applyFont="1" applyFill="1" applyBorder="1" applyAlignment="1" applyProtection="1">
      <alignment vertical="center"/>
      <protection hidden="1"/>
    </xf>
    <xf numFmtId="0" fontId="109" fillId="0" borderId="231" xfId="0" applyFont="1" applyFill="1" applyBorder="1" applyAlignment="1" applyProtection="1">
      <alignment vertical="center"/>
      <protection hidden="1"/>
    </xf>
    <xf numFmtId="0" fontId="110" fillId="0" borderId="231" xfId="0" applyFont="1" applyFill="1" applyBorder="1" applyAlignment="1" applyProtection="1">
      <alignment vertical="center"/>
      <protection hidden="1"/>
    </xf>
    <xf numFmtId="0" fontId="73" fillId="2" borderId="0" xfId="0" applyFont="1" applyFill="1" applyBorder="1" applyAlignment="1" applyProtection="1">
      <alignment vertical="center"/>
      <protection hidden="1"/>
    </xf>
    <xf numFmtId="0" fontId="108" fillId="14" borderId="232" xfId="0" applyFont="1" applyFill="1" applyBorder="1" applyAlignment="1" applyProtection="1">
      <alignment vertical="center"/>
      <protection hidden="1"/>
    </xf>
    <xf numFmtId="0" fontId="0" fillId="14" borderId="0" xfId="0" applyFill="1" applyBorder="1" applyAlignment="1" applyProtection="1">
      <alignment vertical="center"/>
      <protection hidden="1"/>
    </xf>
    <xf numFmtId="0" fontId="41" fillId="14" borderId="0" xfId="0" applyFont="1" applyFill="1" applyBorder="1" applyAlignment="1" applyProtection="1">
      <alignment vertical="center"/>
      <protection hidden="1"/>
    </xf>
    <xf numFmtId="0" fontId="74" fillId="2" borderId="0" xfId="0" applyFont="1" applyFill="1" applyAlignment="1" applyProtection="1">
      <alignment vertical="center"/>
      <protection hidden="1"/>
    </xf>
    <xf numFmtId="187" fontId="111" fillId="14" borderId="232" xfId="0" applyNumberFormat="1" applyFont="1" applyFill="1" applyBorder="1" applyAlignment="1" applyProtection="1">
      <alignment horizontal="left" vertical="center" indent="1"/>
      <protection hidden="1"/>
    </xf>
    <xf numFmtId="0" fontId="111" fillId="14" borderId="0" xfId="0" applyNumberFormat="1" applyFont="1" applyFill="1" applyBorder="1" applyAlignment="1" applyProtection="1">
      <alignment horizontal="left" vertical="center" indent="1"/>
      <protection hidden="1"/>
    </xf>
    <xf numFmtId="178" fontId="0" fillId="6" borderId="234" xfId="0" applyNumberFormat="1" applyFont="1" applyFill="1" applyBorder="1" applyAlignment="1" applyProtection="1">
      <alignment horizontal="center" vertical="center" shrinkToFit="1"/>
      <protection hidden="1"/>
    </xf>
    <xf numFmtId="14" fontId="18" fillId="6" borderId="235" xfId="0" applyNumberFormat="1" applyFont="1" applyFill="1" applyBorder="1" applyAlignment="1" applyProtection="1">
      <alignment horizontal="center" vertical="center"/>
    </xf>
    <xf numFmtId="178" fontId="41" fillId="6" borderId="234" xfId="0" applyNumberFormat="1" applyFont="1" applyFill="1" applyBorder="1" applyAlignment="1" applyProtection="1">
      <alignment horizontal="center" vertical="center" shrinkToFit="1"/>
      <protection hidden="1"/>
    </xf>
    <xf numFmtId="178" fontId="76" fillId="6" borderId="235" xfId="0" applyNumberFormat="1" applyFont="1" applyFill="1" applyBorder="1" applyAlignment="1" applyProtection="1">
      <alignment horizontal="center" vertical="center"/>
      <protection hidden="1"/>
    </xf>
    <xf numFmtId="0" fontId="107" fillId="2" borderId="0" xfId="0" applyFont="1" applyFill="1" applyBorder="1" applyAlignment="1" applyProtection="1">
      <alignment vertical="center"/>
      <protection hidden="1"/>
    </xf>
    <xf numFmtId="0" fontId="111" fillId="14" borderId="232" xfId="0" applyFont="1" applyFill="1" applyBorder="1" applyAlignment="1" applyProtection="1">
      <alignment horizontal="left" vertical="center" indent="1"/>
      <protection hidden="1"/>
    </xf>
    <xf numFmtId="0" fontId="25" fillId="6" borderId="236" xfId="0" applyNumberFormat="1" applyFont="1" applyFill="1" applyBorder="1" applyAlignment="1" applyProtection="1">
      <alignment horizontal="left" vertical="center" indent="1"/>
    </xf>
    <xf numFmtId="178" fontId="0" fillId="6" borderId="237" xfId="0" applyNumberFormat="1" applyFont="1" applyFill="1" applyBorder="1" applyAlignment="1" applyProtection="1">
      <alignment horizontal="center" vertical="center" shrinkToFit="1"/>
      <protection hidden="1"/>
    </xf>
    <xf numFmtId="14" fontId="18" fillId="6" borderId="238" xfId="0" applyNumberFormat="1" applyFont="1" applyFill="1" applyBorder="1" applyAlignment="1" applyProtection="1">
      <alignment horizontal="center" vertical="center"/>
      <protection hidden="1"/>
    </xf>
    <xf numFmtId="178" fontId="41" fillId="6" borderId="237" xfId="0" applyNumberFormat="1" applyFont="1" applyFill="1" applyBorder="1" applyAlignment="1" applyProtection="1">
      <alignment horizontal="center" vertical="center" shrinkToFit="1"/>
      <protection hidden="1"/>
    </xf>
    <xf numFmtId="178" fontId="76" fillId="6" borderId="238" xfId="0" applyNumberFormat="1" applyFont="1" applyFill="1" applyBorder="1" applyAlignment="1" applyProtection="1">
      <alignment horizontal="center" vertical="center"/>
      <protection hidden="1"/>
    </xf>
    <xf numFmtId="0" fontId="0" fillId="6" borderId="237" xfId="0" applyFont="1" applyFill="1" applyBorder="1" applyAlignment="1" applyProtection="1">
      <alignment horizontal="center" vertical="center" wrapText="1"/>
      <protection hidden="1"/>
    </xf>
    <xf numFmtId="0" fontId="18" fillId="6" borderId="238" xfId="0" applyFont="1" applyFill="1" applyBorder="1" applyAlignment="1" applyProtection="1">
      <alignment horizontal="center" vertical="center"/>
    </xf>
    <xf numFmtId="0" fontId="76" fillId="6" borderId="238" xfId="0" applyFont="1" applyFill="1" applyBorder="1" applyAlignment="1" applyProtection="1">
      <alignment horizontal="center" vertical="center"/>
      <protection hidden="1"/>
    </xf>
    <xf numFmtId="0" fontId="112" fillId="14" borderId="232" xfId="0" applyFont="1" applyFill="1" applyBorder="1" applyAlignment="1" applyProtection="1">
      <alignment horizontal="left" vertical="center" indent="1"/>
      <protection hidden="1"/>
    </xf>
    <xf numFmtId="49" fontId="113" fillId="0" borderId="236" xfId="0" applyNumberFormat="1" applyFont="1" applyFill="1" applyBorder="1" applyAlignment="1" applyProtection="1">
      <alignment horizontal="left" vertical="center" indent="1"/>
      <protection locked="0"/>
    </xf>
    <xf numFmtId="0" fontId="18" fillId="6" borderId="238" xfId="0" applyFont="1" applyFill="1" applyBorder="1" applyAlignment="1" applyProtection="1">
      <alignment horizontal="center" vertical="center"/>
      <protection locked="0"/>
    </xf>
    <xf numFmtId="0" fontId="114" fillId="14" borderId="232" xfId="0" applyFont="1" applyFill="1" applyBorder="1" applyAlignment="1" applyProtection="1">
      <alignment horizontal="left" vertical="center" indent="1"/>
      <protection hidden="1"/>
    </xf>
    <xf numFmtId="0" fontId="115" fillId="14" borderId="0" xfId="0" applyNumberFormat="1" applyFont="1" applyFill="1" applyBorder="1" applyAlignment="1" applyProtection="1">
      <alignment horizontal="left" vertical="center" indent="1"/>
      <protection hidden="1"/>
    </xf>
    <xf numFmtId="0" fontId="116" fillId="0" borderId="237" xfId="0" applyNumberFormat="1" applyFont="1" applyFill="1" applyBorder="1" applyAlignment="1" applyProtection="1">
      <alignment horizontal="center" vertical="center"/>
      <protection locked="0"/>
    </xf>
    <xf numFmtId="178" fontId="117" fillId="0" borderId="238" xfId="0" applyNumberFormat="1" applyFont="1" applyFill="1" applyBorder="1" applyAlignment="1" applyProtection="1">
      <alignment horizontal="center" vertical="center"/>
      <protection locked="0"/>
    </xf>
    <xf numFmtId="178" fontId="0" fillId="6" borderId="237" xfId="0" applyNumberFormat="1" applyFont="1" applyFill="1" applyBorder="1" applyAlignment="1" applyProtection="1">
      <alignment horizontal="center" vertical="center"/>
      <protection locked="0"/>
    </xf>
    <xf numFmtId="178" fontId="53" fillId="0" borderId="238" xfId="0" applyNumberFormat="1" applyFont="1" applyFill="1" applyBorder="1" applyAlignment="1" applyProtection="1">
      <alignment horizontal="center" vertical="center"/>
      <protection locked="0"/>
    </xf>
    <xf numFmtId="49" fontId="113" fillId="0" borderId="239" xfId="0" applyNumberFormat="1" applyFont="1" applyFill="1" applyBorder="1" applyAlignment="1" applyProtection="1">
      <alignment horizontal="left" vertical="center" indent="1"/>
      <protection locked="0"/>
    </xf>
    <xf numFmtId="0" fontId="115" fillId="14" borderId="0" xfId="0" applyFont="1" applyFill="1" applyBorder="1" applyAlignment="1" applyProtection="1">
      <alignment horizontal="left" vertical="center" indent="1"/>
      <protection hidden="1"/>
    </xf>
    <xf numFmtId="0" fontId="116" fillId="0" borderId="240" xfId="0" applyFont="1" applyFill="1" applyBorder="1" applyAlignment="1" applyProtection="1">
      <alignment horizontal="center" vertical="center"/>
      <protection locked="0"/>
    </xf>
    <xf numFmtId="178" fontId="117" fillId="0" borderId="241" xfId="0" applyNumberFormat="1" applyFont="1" applyFill="1" applyBorder="1" applyAlignment="1" applyProtection="1">
      <alignment horizontal="center" vertical="center"/>
      <protection locked="0"/>
    </xf>
    <xf numFmtId="178" fontId="0" fillId="6" borderId="240" xfId="0" applyNumberFormat="1" applyFont="1" applyFill="1" applyBorder="1" applyAlignment="1" applyProtection="1">
      <alignment horizontal="center" vertical="center"/>
      <protection locked="0"/>
    </xf>
    <xf numFmtId="178" fontId="53" fillId="0" borderId="241" xfId="0" applyNumberFormat="1" applyFont="1" applyFill="1" applyBorder="1" applyAlignment="1" applyProtection="1">
      <alignment horizontal="center" vertical="center"/>
      <protection locked="0"/>
    </xf>
    <xf numFmtId="0" fontId="118" fillId="14" borderId="232" xfId="0" applyFont="1" applyFill="1" applyBorder="1" applyAlignment="1" applyProtection="1">
      <alignment horizontal="left" vertical="center" wrapText="1" indent="1"/>
      <protection hidden="1"/>
    </xf>
    <xf numFmtId="0" fontId="119" fillId="14" borderId="0" xfId="0" applyFont="1" applyFill="1" applyBorder="1" applyAlignment="1" applyProtection="1">
      <alignment horizontal="left" vertical="center" indent="2"/>
      <protection hidden="1"/>
    </xf>
    <xf numFmtId="0" fontId="2" fillId="0" borderId="232" xfId="0" applyFont="1" applyFill="1" applyBorder="1" applyAlignment="1" applyProtection="1">
      <alignment horizontal="justify" vertical="center" wrapText="1"/>
      <protection hidden="1"/>
    </xf>
    <xf numFmtId="0" fontId="2" fillId="0" borderId="0" xfId="0" applyFont="1" applyFill="1" applyBorder="1" applyAlignment="1" applyProtection="1">
      <alignment horizontal="justify" vertical="center" wrapText="1"/>
      <protection hidden="1"/>
    </xf>
    <xf numFmtId="0" fontId="120" fillId="0" borderId="0" xfId="0" applyFont="1" applyBorder="1" applyAlignment="1" applyProtection="1">
      <alignment horizontal="center" vertical="center"/>
      <protection hidden="1"/>
    </xf>
    <xf numFmtId="0" fontId="121" fillId="0" borderId="0" xfId="0" applyFont="1" applyBorder="1" applyAlignment="1" applyProtection="1">
      <alignment horizontal="center" vertical="center"/>
      <protection hidden="1"/>
    </xf>
    <xf numFmtId="0" fontId="69" fillId="14" borderId="232" xfId="0" applyNumberFormat="1" applyFont="1" applyFill="1" applyBorder="1" applyAlignment="1" applyProtection="1">
      <alignment horizontal="left" vertical="center" indent="1"/>
      <protection hidden="1"/>
    </xf>
    <xf numFmtId="0" fontId="122" fillId="14" borderId="0" xfId="0" applyFont="1" applyFill="1" applyBorder="1" applyAlignment="1" applyProtection="1">
      <alignment horizontal="justify" vertical="center" wrapText="1"/>
      <protection hidden="1"/>
    </xf>
    <xf numFmtId="0" fontId="88" fillId="14" borderId="0" xfId="0" applyNumberFormat="1" applyFont="1" applyFill="1" applyBorder="1" applyAlignment="1" applyProtection="1">
      <alignment vertical="center"/>
      <protection hidden="1"/>
    </xf>
    <xf numFmtId="0" fontId="122" fillId="14" borderId="0" xfId="0" applyNumberFormat="1" applyFont="1" applyFill="1" applyBorder="1" applyAlignment="1" applyProtection="1">
      <alignment horizontal="justify" vertical="center" wrapText="1"/>
      <protection hidden="1"/>
    </xf>
    <xf numFmtId="0" fontId="123" fillId="14" borderId="0" xfId="0" applyNumberFormat="1" applyFont="1" applyFill="1" applyBorder="1" applyAlignment="1" applyProtection="1">
      <alignment horizontal="justify" vertical="center" wrapText="1"/>
      <protection hidden="1"/>
    </xf>
    <xf numFmtId="0" fontId="124" fillId="0" borderId="232" xfId="0" applyNumberFormat="1" applyFont="1" applyFill="1" applyBorder="1" applyAlignment="1" applyProtection="1">
      <alignment horizontal="left" vertical="center" indent="1"/>
      <protection hidden="1"/>
    </xf>
    <xf numFmtId="0" fontId="125" fillId="0" borderId="0" xfId="0" applyFont="1" applyFill="1" applyBorder="1" applyAlignment="1" applyProtection="1">
      <alignment horizontal="justify" vertical="center" wrapText="1"/>
      <protection hidden="1"/>
    </xf>
    <xf numFmtId="0" fontId="126" fillId="0" borderId="0" xfId="0" applyFont="1" applyFill="1" applyBorder="1" applyAlignment="1" applyProtection="1">
      <alignment vertical="center"/>
      <protection hidden="1"/>
    </xf>
    <xf numFmtId="0" fontId="125" fillId="0" borderId="0" xfId="0" applyFont="1" applyBorder="1" applyAlignment="1" applyProtection="1">
      <alignment horizontal="center" vertical="center"/>
      <protection hidden="1"/>
    </xf>
    <xf numFmtId="0" fontId="127" fillId="0" borderId="0" xfId="5" applyFont="1" applyBorder="1" applyAlignment="1" applyProtection="1">
      <alignment horizontal="center" vertical="center"/>
      <protection hidden="1"/>
    </xf>
    <xf numFmtId="0" fontId="128" fillId="0" borderId="0" xfId="0" applyFont="1" applyBorder="1" applyAlignment="1" applyProtection="1">
      <alignment horizontal="center" vertical="center"/>
      <protection hidden="1"/>
    </xf>
    <xf numFmtId="0" fontId="126" fillId="0" borderId="232" xfId="0" applyNumberFormat="1" applyFont="1" applyFill="1" applyBorder="1" applyAlignment="1" applyProtection="1">
      <alignment horizontal="left" vertical="center" indent="1"/>
      <protection hidden="1"/>
    </xf>
    <xf numFmtId="0" fontId="129" fillId="0" borderId="0" xfId="0" applyFont="1" applyBorder="1" applyAlignment="1" applyProtection="1">
      <alignment horizontal="center" vertical="center"/>
      <protection hidden="1"/>
    </xf>
    <xf numFmtId="0" fontId="124" fillId="0" borderId="232" xfId="0" applyFont="1" applyFill="1" applyBorder="1" applyAlignment="1" applyProtection="1">
      <alignment horizontal="left" vertical="center" indent="1"/>
      <protection hidden="1"/>
    </xf>
    <xf numFmtId="0" fontId="125" fillId="0" borderId="232" xfId="0" applyNumberFormat="1" applyFont="1" applyFill="1" applyBorder="1" applyAlignment="1" applyProtection="1">
      <alignment horizontal="justify" vertical="center" wrapText="1"/>
      <protection hidden="1"/>
    </xf>
    <xf numFmtId="0" fontId="124" fillId="0" borderId="232" xfId="0" applyFont="1" applyBorder="1" applyAlignment="1" applyProtection="1">
      <alignment horizontal="left" vertical="center" indent="1"/>
      <protection hidden="1"/>
    </xf>
    <xf numFmtId="0" fontId="2" fillId="0" borderId="0" xfId="0" applyFont="1" applyBorder="1" applyAlignment="1" applyProtection="1">
      <alignment horizontal="center" vertical="center"/>
      <protection hidden="1"/>
    </xf>
    <xf numFmtId="0" fontId="130" fillId="0" borderId="232" xfId="0" applyFont="1" applyBorder="1" applyAlignment="1" applyProtection="1">
      <alignment horizontal="left" vertical="center" indent="1"/>
      <protection hidden="1"/>
    </xf>
    <xf numFmtId="0" fontId="115" fillId="14" borderId="232" xfId="0" applyNumberFormat="1" applyFont="1" applyFill="1" applyBorder="1" applyAlignment="1" applyProtection="1">
      <alignment horizontal="left" vertical="center" indent="1"/>
      <protection hidden="1"/>
    </xf>
    <xf numFmtId="0" fontId="131" fillId="14" borderId="232" xfId="0" applyNumberFormat="1" applyFont="1" applyFill="1" applyBorder="1" applyAlignment="1" applyProtection="1">
      <alignment horizontal="center" vertical="center"/>
      <protection hidden="1"/>
    </xf>
    <xf numFmtId="0" fontId="131" fillId="14" borderId="232" xfId="0" applyNumberFormat="1" applyFont="1" applyFill="1" applyBorder="1" applyAlignment="1" applyProtection="1">
      <alignment horizontal="left" vertical="center" indent="1"/>
      <protection hidden="1"/>
    </xf>
    <xf numFmtId="0" fontId="130" fillId="0" borderId="242" xfId="0" applyFont="1" applyBorder="1" applyAlignment="1" applyProtection="1">
      <alignment horizontal="left" vertical="center" indent="1"/>
      <protection locked="0"/>
    </xf>
    <xf numFmtId="0" fontId="132" fillId="0" borderId="243" xfId="0" applyFont="1" applyFill="1" applyBorder="1" applyAlignment="1" applyProtection="1">
      <alignment horizontal="justify" vertical="center" wrapText="1"/>
      <protection locked="0"/>
    </xf>
    <xf numFmtId="0" fontId="125" fillId="0" borderId="244" xfId="0" applyFont="1" applyFill="1" applyBorder="1" applyAlignment="1" applyProtection="1">
      <alignment horizontal="justify" vertical="center" wrapText="1"/>
      <protection locked="0"/>
    </xf>
    <xf numFmtId="0" fontId="125" fillId="0" borderId="245" xfId="0" applyFont="1" applyBorder="1" applyAlignment="1" applyProtection="1">
      <alignment horizontal="center" vertical="center"/>
      <protection locked="0"/>
    </xf>
    <xf numFmtId="0" fontId="125" fillId="0" borderId="243" xfId="0" applyFont="1" applyBorder="1" applyAlignment="1" applyProtection="1">
      <alignment horizontal="center" vertical="center"/>
      <protection locked="0"/>
    </xf>
    <xf numFmtId="0" fontId="128" fillId="0" borderId="243" xfId="0" applyFont="1" applyBorder="1" applyAlignment="1" applyProtection="1">
      <alignment horizontal="center" vertical="center"/>
      <protection locked="0"/>
    </xf>
    <xf numFmtId="0" fontId="25" fillId="0" borderId="243" xfId="0" applyFont="1" applyFill="1" applyBorder="1" applyAlignment="1" applyProtection="1">
      <alignment vertical="center" wrapText="1"/>
      <protection locked="0"/>
    </xf>
    <xf numFmtId="0" fontId="125" fillId="0" borderId="242" xfId="0" applyNumberFormat="1" applyFont="1" applyFill="1" applyBorder="1" applyAlignment="1" applyProtection="1">
      <alignment horizontal="justify" vertical="center" wrapText="1"/>
      <protection locked="0"/>
    </xf>
    <xf numFmtId="0" fontId="125" fillId="0" borderId="243" xfId="0" applyFont="1" applyFill="1" applyBorder="1" applyAlignment="1" applyProtection="1">
      <alignment horizontal="justify" vertical="center" wrapText="1"/>
      <protection locked="0"/>
    </xf>
    <xf numFmtId="0" fontId="133" fillId="14" borderId="232" xfId="0" applyNumberFormat="1" applyFont="1" applyFill="1" applyBorder="1" applyAlignment="1" applyProtection="1">
      <alignment horizontal="justify" vertical="center" wrapText="1"/>
      <protection hidden="1"/>
    </xf>
    <xf numFmtId="0" fontId="133" fillId="14" borderId="0" xfId="0" applyFont="1" applyFill="1" applyBorder="1" applyAlignment="1" applyProtection="1">
      <alignment horizontal="justify" vertical="center" wrapText="1"/>
      <protection hidden="1"/>
    </xf>
    <xf numFmtId="0" fontId="134" fillId="14" borderId="0" xfId="0" applyFont="1" applyFill="1" applyBorder="1" applyAlignment="1" applyProtection="1">
      <alignment horizontal="center" vertical="center"/>
      <protection hidden="1"/>
    </xf>
    <xf numFmtId="0" fontId="135" fillId="14" borderId="0" xfId="0" applyFont="1" applyFill="1" applyBorder="1" applyAlignment="1" applyProtection="1">
      <alignment horizontal="center" vertical="center"/>
      <protection hidden="1"/>
    </xf>
    <xf numFmtId="0" fontId="0" fillId="0" borderId="246" xfId="0" applyBorder="1" applyAlignment="1" applyProtection="1">
      <alignment vertical="center"/>
      <protection hidden="1"/>
    </xf>
    <xf numFmtId="0" fontId="0" fillId="0" borderId="247" xfId="0" applyBorder="1" applyAlignment="1" applyProtection="1">
      <alignment vertical="center"/>
      <protection hidden="1"/>
    </xf>
    <xf numFmtId="0" fontId="41" fillId="0" borderId="247" xfId="0" applyFont="1" applyBorder="1" applyAlignment="1" applyProtection="1">
      <alignment vertical="center"/>
      <protection hidden="1"/>
    </xf>
    <xf numFmtId="0" fontId="41" fillId="2" borderId="0" xfId="0" applyFont="1" applyFill="1" applyBorder="1" applyAlignment="1">
      <alignment vertical="center"/>
    </xf>
    <xf numFmtId="0" fontId="2" fillId="2" borderId="0" xfId="0" applyFont="1" applyFill="1" applyAlignment="1">
      <alignment vertical="center"/>
    </xf>
    <xf numFmtId="0" fontId="0" fillId="2" borderId="0" xfId="0" applyFill="1" applyBorder="1" applyAlignment="1" applyProtection="1">
      <alignment vertical="center"/>
      <protection hidden="1"/>
    </xf>
    <xf numFmtId="0" fontId="136" fillId="0" borderId="231" xfId="0" applyFont="1" applyFill="1" applyBorder="1" applyAlignment="1" applyProtection="1">
      <alignment vertical="center"/>
      <protection hidden="1"/>
    </xf>
    <xf numFmtId="0" fontId="137" fillId="0" borderId="231" xfId="0" applyFont="1" applyFill="1" applyBorder="1" applyAlignment="1" applyProtection="1">
      <alignment vertical="center"/>
      <protection hidden="1"/>
    </xf>
    <xf numFmtId="0" fontId="0" fillId="0" borderId="248" xfId="0" applyBorder="1" applyAlignment="1" applyProtection="1">
      <alignment vertical="center"/>
      <protection hidden="1"/>
    </xf>
    <xf numFmtId="0" fontId="41" fillId="2" borderId="0" xfId="0" applyFont="1" applyFill="1" applyBorder="1" applyAlignment="1" applyProtection="1">
      <alignment vertical="center"/>
      <protection hidden="1"/>
    </xf>
    <xf numFmtId="0" fontId="0" fillId="14" borderId="249" xfId="0" applyFill="1" applyBorder="1" applyAlignment="1" applyProtection="1">
      <alignment vertical="center"/>
      <protection hidden="1"/>
    </xf>
    <xf numFmtId="0" fontId="138" fillId="2" borderId="0" xfId="0" applyFont="1" applyFill="1" applyBorder="1" applyAlignment="1">
      <alignment vertical="center"/>
    </xf>
    <xf numFmtId="0" fontId="77" fillId="2" borderId="0" xfId="0" applyFont="1" applyFill="1" applyBorder="1" applyAlignment="1" applyProtection="1">
      <alignment vertical="center"/>
      <protection hidden="1"/>
    </xf>
    <xf numFmtId="0" fontId="111" fillId="14" borderId="0" xfId="0" applyNumberFormat="1" applyFont="1" applyFill="1" applyBorder="1" applyAlignment="1" applyProtection="1">
      <alignment horizontal="left" vertical="center"/>
      <protection hidden="1"/>
    </xf>
    <xf numFmtId="0" fontId="139" fillId="6" borderId="233" xfId="0" applyFont="1" applyFill="1" applyBorder="1" applyAlignment="1" applyProtection="1">
      <alignment horizontal="center" vertical="center"/>
      <protection hidden="1"/>
    </xf>
    <xf numFmtId="0" fontId="106" fillId="14" borderId="249" xfId="0" applyFont="1" applyFill="1" applyBorder="1" applyAlignment="1" applyProtection="1">
      <alignment vertical="center"/>
      <protection hidden="1"/>
    </xf>
    <xf numFmtId="14" fontId="139" fillId="6" borderId="236" xfId="0" applyNumberFormat="1" applyFont="1" applyFill="1" applyBorder="1" applyAlignment="1" applyProtection="1">
      <alignment horizontal="center" vertical="center"/>
      <protection hidden="1"/>
    </xf>
    <xf numFmtId="0" fontId="140" fillId="6" borderId="236" xfId="0" applyFont="1" applyFill="1" applyBorder="1" applyAlignment="1" applyProtection="1">
      <alignment vertical="center"/>
      <protection hidden="1"/>
    </xf>
    <xf numFmtId="14" fontId="141" fillId="2" borderId="0" xfId="0" applyNumberFormat="1" applyFont="1" applyFill="1" applyBorder="1" applyAlignment="1">
      <alignment vertical="center"/>
    </xf>
    <xf numFmtId="0" fontId="142" fillId="14" borderId="249" xfId="0" applyFont="1" applyFill="1" applyBorder="1" applyAlignment="1" applyProtection="1">
      <alignment vertical="center"/>
      <protection hidden="1"/>
    </xf>
    <xf numFmtId="178" fontId="41" fillId="2" borderId="0" xfId="0" applyNumberFormat="1" applyFont="1" applyFill="1" applyBorder="1" applyAlignment="1" applyProtection="1">
      <alignment vertical="center"/>
      <protection hidden="1"/>
    </xf>
    <xf numFmtId="0" fontId="143" fillId="14" borderId="249" xfId="0" applyFont="1" applyFill="1" applyBorder="1" applyAlignment="1" applyProtection="1">
      <alignment vertical="center"/>
      <protection hidden="1"/>
    </xf>
    <xf numFmtId="0" fontId="111" fillId="14" borderId="0" xfId="0" applyFont="1" applyFill="1" applyBorder="1" applyAlignment="1" applyProtection="1">
      <alignment horizontal="left" vertical="center"/>
      <protection hidden="1"/>
    </xf>
    <xf numFmtId="0" fontId="140" fillId="6" borderId="239" xfId="0" applyFont="1" applyFill="1" applyBorder="1" applyAlignment="1" applyProtection="1">
      <alignment horizontal="left" vertical="center"/>
      <protection hidden="1"/>
    </xf>
    <xf numFmtId="0" fontId="144" fillId="14" borderId="249" xfId="0" applyFont="1" applyFill="1" applyBorder="1" applyAlignment="1" applyProtection="1">
      <alignment vertical="center"/>
      <protection hidden="1"/>
    </xf>
    <xf numFmtId="0" fontId="2" fillId="0" borderId="249" xfId="0" applyFont="1" applyFill="1" applyBorder="1" applyAlignment="1" applyProtection="1">
      <alignment horizontal="justify" vertical="center" wrapText="1"/>
      <protection hidden="1"/>
    </xf>
    <xf numFmtId="14" fontId="41" fillId="2" borderId="0" xfId="0" applyNumberFormat="1" applyFont="1" applyFill="1" applyBorder="1" applyAlignment="1" applyProtection="1">
      <alignment vertical="center"/>
      <protection hidden="1"/>
    </xf>
    <xf numFmtId="0" fontId="122" fillId="14" borderId="0" xfId="0" applyFont="1" applyFill="1" applyBorder="1" applyAlignment="1" applyProtection="1">
      <alignment horizontal="center" vertical="center"/>
      <protection hidden="1"/>
    </xf>
    <xf numFmtId="0" fontId="122" fillId="14" borderId="249" xfId="0" applyFont="1" applyFill="1" applyBorder="1" applyAlignment="1" applyProtection="1">
      <alignment horizontal="justify" vertical="center" wrapText="1"/>
      <protection hidden="1"/>
    </xf>
    <xf numFmtId="0" fontId="130" fillId="0" borderId="0" xfId="0" applyFont="1" applyBorder="1" applyAlignment="1" applyProtection="1">
      <alignment horizontal="left" vertical="center"/>
      <protection hidden="1"/>
    </xf>
    <xf numFmtId="0" fontId="125" fillId="0" borderId="249" xfId="0" applyFont="1" applyFill="1" applyBorder="1" applyAlignment="1" applyProtection="1">
      <alignment horizontal="justify" vertical="center" wrapText="1"/>
      <protection hidden="1"/>
    </xf>
    <xf numFmtId="0" fontId="88" fillId="14" borderId="0" xfId="0" applyFont="1" applyFill="1" applyBorder="1" applyAlignment="1" applyProtection="1">
      <alignment horizontal="center" vertical="center"/>
      <protection hidden="1"/>
    </xf>
    <xf numFmtId="0" fontId="125" fillId="0" borderId="249" xfId="0" applyFont="1" applyFill="1" applyBorder="1" applyAlignment="1" applyProtection="1">
      <alignment horizontal="justify" vertical="center" wrapText="1"/>
      <protection locked="0"/>
    </xf>
    <xf numFmtId="0" fontId="2" fillId="14" borderId="249" xfId="0" applyFont="1" applyFill="1" applyBorder="1" applyAlignment="1" applyProtection="1">
      <alignment horizontal="justify" vertical="center" wrapText="1"/>
      <protection hidden="1"/>
    </xf>
    <xf numFmtId="0" fontId="0" fillId="0" borderId="250" xfId="0" applyBorder="1" applyAlignment="1" applyProtection="1">
      <alignment vertical="center"/>
      <protection hidden="1"/>
    </xf>
    <xf numFmtId="0" fontId="141" fillId="2" borderId="0" xfId="0" applyFont="1" applyFill="1" applyBorder="1" applyAlignment="1">
      <alignment vertical="center"/>
    </xf>
    <xf numFmtId="0" fontId="0" fillId="2" borderId="0" xfId="0" applyFont="1" applyFill="1" applyBorder="1" applyAlignment="1">
      <alignment vertical="center"/>
    </xf>
    <xf numFmtId="49" fontId="45" fillId="2" borderId="0" xfId="0" quotePrefix="1" applyNumberFormat="1" applyFont="1" applyFill="1" applyProtection="1">
      <alignment vertical="center"/>
      <protection hidden="1"/>
    </xf>
    <xf numFmtId="17" fontId="40" fillId="6" borderId="0" xfId="0" quotePrefix="1" applyNumberFormat="1" applyFont="1" applyFill="1" applyBorder="1" applyAlignment="1" applyProtection="1">
      <alignment horizontal="left" vertical="center"/>
      <protection locked="0"/>
    </xf>
    <xf numFmtId="0" fontId="1" fillId="10" borderId="56" xfId="64" quotePrefix="1" applyFont="1" applyFill="1" applyBorder="1" applyAlignment="1" applyProtection="1">
      <alignment horizontal="center" vertical="center" wrapText="1"/>
      <protection hidden="1"/>
    </xf>
    <xf numFmtId="0" fontId="1" fillId="10" borderId="64" xfId="64" quotePrefix="1" applyFont="1" applyFill="1" applyBorder="1" applyAlignment="1" applyProtection="1">
      <alignment horizontal="center" vertical="center" wrapText="1"/>
      <protection hidden="1"/>
    </xf>
    <xf numFmtId="0" fontId="1" fillId="3" borderId="73" xfId="0" quotePrefix="1" applyFont="1" applyFill="1" applyBorder="1" applyAlignment="1" applyProtection="1">
      <alignment horizontal="center" vertical="center" wrapText="1"/>
      <protection hidden="1"/>
    </xf>
    <xf numFmtId="0" fontId="34" fillId="0" borderId="0" xfId="0" quotePrefix="1" applyFont="1" applyFill="1" applyAlignment="1">
      <alignment horizontal="right" vertical="center"/>
    </xf>
    <xf numFmtId="0" fontId="34" fillId="0" borderId="0" xfId="0" quotePrefix="1" applyFont="1" applyFill="1" applyAlignment="1" applyProtection="1">
      <alignment horizontal="right" vertical="center"/>
      <protection locked="0"/>
    </xf>
    <xf numFmtId="0" fontId="165"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29" fillId="6" borderId="0" xfId="0" applyFont="1" applyFill="1" applyBorder="1" applyAlignment="1" applyProtection="1">
      <alignment horizontal="left" vertical="center"/>
    </xf>
    <xf numFmtId="0" fontId="1" fillId="8" borderId="0" xfId="0" quotePrefix="1" applyFont="1" applyFill="1" applyBorder="1" applyAlignment="1" applyProtection="1">
      <alignment horizontal="center" vertical="center" wrapText="1"/>
      <protection hidden="1"/>
    </xf>
    <xf numFmtId="0" fontId="46"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88" fontId="22" fillId="0" borderId="58" xfId="0" applyNumberFormat="1" applyFont="1" applyFill="1" applyBorder="1" applyAlignment="1" applyProtection="1">
      <alignment horizontal="right" vertical="center" shrinkToFit="1"/>
      <protection locked="0"/>
    </xf>
    <xf numFmtId="0" fontId="42" fillId="10" borderId="56" xfId="0" applyFont="1" applyFill="1" applyBorder="1" applyAlignment="1" applyProtection="1">
      <alignment horizontal="center" vertical="center" wrapText="1"/>
      <protection hidden="1"/>
    </xf>
    <xf numFmtId="177" fontId="42" fillId="10" borderId="56" xfId="0" applyNumberFormat="1" applyFont="1" applyFill="1" applyBorder="1" applyAlignment="1" applyProtection="1">
      <alignment horizontal="center" vertical="center" wrapText="1" shrinkToFit="1"/>
      <protection hidden="1"/>
    </xf>
    <xf numFmtId="0" fontId="0" fillId="10" borderId="56" xfId="0" applyFill="1" applyBorder="1" applyAlignment="1" applyProtection="1">
      <alignment horizontal="center" vertical="center" wrapText="1"/>
      <protection hidden="1"/>
    </xf>
    <xf numFmtId="0" fontId="0" fillId="10" borderId="56" xfId="0" applyFont="1"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0" fontId="42" fillId="8" borderId="57" xfId="0" applyFont="1" applyFill="1" applyBorder="1" applyAlignment="1" applyProtection="1">
      <alignment vertical="center" wrapText="1"/>
    </xf>
    <xf numFmtId="188" fontId="22" fillId="0" borderId="65" xfId="0" applyNumberFormat="1" applyFont="1" applyFill="1" applyBorder="1" applyAlignment="1" applyProtection="1">
      <alignment horizontal="right" vertical="center" shrinkToFit="1"/>
      <protection locked="0"/>
    </xf>
    <xf numFmtId="177" fontId="166" fillId="0" borderId="58" xfId="0" applyNumberFormat="1" applyFont="1" applyFill="1" applyBorder="1" applyAlignment="1" applyProtection="1">
      <alignment vertical="center" shrinkToFit="1"/>
      <protection locked="0"/>
    </xf>
    <xf numFmtId="177" fontId="166" fillId="0" borderId="65" xfId="0" applyNumberFormat="1" applyFont="1" applyFill="1" applyBorder="1" applyAlignment="1" applyProtection="1">
      <alignment vertical="center" shrinkToFit="1"/>
      <protection locked="0"/>
    </xf>
    <xf numFmtId="177" fontId="166" fillId="10" borderId="60" xfId="0" applyNumberFormat="1" applyFont="1" applyFill="1" applyBorder="1" applyAlignment="1" applyProtection="1">
      <alignment vertical="center" shrinkToFit="1"/>
    </xf>
    <xf numFmtId="177" fontId="166" fillId="10" borderId="66" xfId="0" applyNumberFormat="1" applyFont="1" applyFill="1" applyBorder="1" applyAlignment="1" applyProtection="1">
      <alignment vertical="center" shrinkToFit="1"/>
    </xf>
    <xf numFmtId="177" fontId="67" fillId="6" borderId="0" xfId="0" applyNumberFormat="1" applyFont="1" applyFill="1" applyAlignment="1" applyProtection="1">
      <alignment vertical="center" shrinkToFit="1"/>
      <protection hidden="1"/>
    </xf>
    <xf numFmtId="177" fontId="166" fillId="7" borderId="60" xfId="0" applyNumberFormat="1" applyFont="1" applyFill="1" applyBorder="1" applyAlignment="1" applyProtection="1">
      <alignment vertical="center" shrinkToFit="1"/>
    </xf>
    <xf numFmtId="177" fontId="166" fillId="7" borderId="66" xfId="0" applyNumberFormat="1" applyFont="1" applyFill="1" applyBorder="1" applyAlignment="1" applyProtection="1">
      <alignment vertical="center" shrinkToFit="1"/>
    </xf>
    <xf numFmtId="188" fontId="166" fillId="0" borderId="58" xfId="0" applyNumberFormat="1" applyFont="1" applyFill="1" applyBorder="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88" fontId="50" fillId="0" borderId="58" xfId="0" applyNumberFormat="1" applyFont="1" applyFill="1" applyBorder="1" applyAlignment="1" applyProtection="1">
      <alignment horizontal="right" vertical="center" shrinkToFit="1"/>
      <protection locked="0"/>
    </xf>
    <xf numFmtId="0" fontId="1" fillId="3" borderId="73"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10" borderId="55" xfId="0" applyFill="1" applyBorder="1" applyAlignment="1" applyProtection="1">
      <alignment horizontal="center" vertical="center" wrapText="1"/>
      <protection hidden="1"/>
    </xf>
    <xf numFmtId="0" fontId="1" fillId="3" borderId="72"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167" fillId="8" borderId="0"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177" fontId="166" fillId="0" borderId="65" xfId="0" applyNumberFormat="1" applyFont="1" applyFill="1" applyBorder="1" applyAlignment="1" applyProtection="1">
      <alignment vertical="center" wrapText="1" shrinkToFit="1"/>
      <protection locked="0"/>
    </xf>
    <xf numFmtId="177" fontId="166" fillId="10"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66" fillId="3" borderId="76" xfId="0" applyNumberFormat="1" applyFont="1" applyFill="1" applyBorder="1" applyAlignment="1" applyProtection="1">
      <alignment vertical="center" shrinkToFit="1"/>
    </xf>
    <xf numFmtId="177" fontId="166" fillId="3" borderId="79" xfId="0" applyNumberFormat="1" applyFont="1" applyFill="1" applyBorder="1" applyAlignment="1" applyProtection="1">
      <alignment vertical="center" shrinkToFit="1"/>
    </xf>
    <xf numFmtId="188" fontId="22" fillId="0" borderId="74" xfId="0" applyNumberFormat="1" applyFont="1" applyFill="1" applyBorder="1" applyAlignment="1" applyProtection="1">
      <alignment horizontal="right" vertical="center" shrinkToFit="1"/>
      <protection locked="0"/>
    </xf>
    <xf numFmtId="0" fontId="1"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168" fillId="8" borderId="57" xfId="0" applyFont="1" applyFill="1" applyBorder="1" applyAlignment="1" applyProtection="1">
      <alignment vertical="center" wrapText="1"/>
      <protection locked="0"/>
    </xf>
    <xf numFmtId="0" fontId="168" fillId="8" borderId="57" xfId="0" applyFont="1" applyFill="1" applyBorder="1" applyAlignment="1" applyProtection="1">
      <alignment vertical="center" wrapText="1"/>
    </xf>
    <xf numFmtId="0" fontId="42" fillId="8" borderId="57" xfId="0" applyFont="1" applyFill="1" applyBorder="1" applyAlignment="1" applyProtection="1">
      <alignment vertical="center" wrapText="1"/>
      <protection locked="0"/>
    </xf>
    <xf numFmtId="0" fontId="0" fillId="8" borderId="0" xfId="0" applyFill="1" applyAlignment="1" applyProtection="1">
      <alignment horizontal="left" vertical="center" wrapText="1" indent="1"/>
    </xf>
    <xf numFmtId="177" fontId="166" fillId="8" borderId="0" xfId="0" applyNumberFormat="1" applyFont="1" applyFill="1" applyBorder="1" applyAlignment="1" applyProtection="1">
      <alignment vertical="center" shrinkToFit="1"/>
    </xf>
    <xf numFmtId="0" fontId="0" fillId="8" borderId="0" xfId="0" applyFont="1" applyFill="1" applyBorder="1" applyAlignment="1" applyProtection="1">
      <alignment horizontal="center" vertical="center" wrapText="1"/>
      <protection hidden="1"/>
    </xf>
    <xf numFmtId="0" fontId="0" fillId="10" borderId="64" xfId="0" applyFill="1" applyBorder="1" applyAlignment="1" applyProtection="1">
      <alignment horizontal="center" vertical="center" wrapText="1"/>
      <protection hidden="1"/>
    </xf>
    <xf numFmtId="0" fontId="42" fillId="8" borderId="0" xfId="0" applyFont="1" applyFill="1" applyBorder="1" applyAlignment="1" applyProtection="1">
      <alignment horizontal="center" vertical="center" wrapText="1"/>
      <protection hidden="1"/>
    </xf>
    <xf numFmtId="177" fontId="42" fillId="8" borderId="0" xfId="0" applyNumberFormat="1" applyFont="1" applyFill="1" applyBorder="1" applyAlignment="1" applyProtection="1">
      <alignment horizontal="center" vertical="center" wrapText="1" shrinkToFit="1"/>
      <protection hidden="1"/>
    </xf>
    <xf numFmtId="188" fontId="22" fillId="0" borderId="65" xfId="0" applyNumberFormat="1" applyFont="1" applyFill="1" applyBorder="1" applyAlignment="1" applyProtection="1">
      <alignment horizontal="right" vertical="center"/>
      <protection locked="0"/>
    </xf>
    <xf numFmtId="0" fontId="18" fillId="10" borderId="56" xfId="0" applyFont="1" applyFill="1" applyBorder="1" applyAlignment="1" applyProtection="1">
      <alignment horizontal="center" vertical="center" wrapText="1"/>
      <protection hidden="1"/>
    </xf>
    <xf numFmtId="0" fontId="18" fillId="10" borderId="64" xfId="0" applyFont="1" applyFill="1" applyBorder="1" applyAlignment="1" applyProtection="1">
      <alignment horizontal="center" vertical="center" wrapText="1"/>
      <protection hidden="1"/>
    </xf>
    <xf numFmtId="0" fontId="1" fillId="10" borderId="55" xfId="0" applyFont="1" applyFill="1" applyBorder="1" applyAlignment="1" applyProtection="1">
      <alignment horizontal="center" vertical="center" wrapText="1"/>
      <protection hidden="1"/>
    </xf>
    <xf numFmtId="0" fontId="16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6" fillId="6" borderId="0" xfId="0" applyFont="1" applyFill="1" applyAlignment="1" applyProtection="1">
      <alignment horizontal="left" vertical="center" wrapText="1"/>
      <protection locked="0"/>
    </xf>
    <xf numFmtId="0" fontId="42" fillId="8" borderId="57" xfId="0" applyFont="1" applyFill="1" applyBorder="1" applyAlignment="1" applyProtection="1">
      <alignment vertical="center" wrapText="1"/>
      <protection locked="0"/>
    </xf>
    <xf numFmtId="0" fontId="170" fillId="8" borderId="57" xfId="0" applyFont="1" applyFill="1" applyBorder="1" applyAlignment="1" applyProtection="1">
      <alignment vertical="center" wrapText="1"/>
      <protection locked="0"/>
    </xf>
    <xf numFmtId="0" fontId="172" fillId="6" borderId="0" xfId="5" applyFont="1" applyFill="1" applyAlignment="1" applyProtection="1">
      <alignment vertical="center"/>
      <protection locked="0"/>
    </xf>
    <xf numFmtId="0" fontId="1" fillId="20" borderId="58" xfId="0" applyFont="1" applyFill="1" applyBorder="1" applyAlignment="1" applyProtection="1">
      <alignment horizontal="center" vertical="center" wrapText="1"/>
      <protection hidden="1"/>
    </xf>
    <xf numFmtId="0" fontId="1" fillId="20" borderId="65" xfId="0" applyFont="1" applyFill="1" applyBorder="1" applyAlignment="1" applyProtection="1">
      <alignment horizontal="center" vertical="center" wrapText="1"/>
      <protection hidden="1"/>
    </xf>
    <xf numFmtId="177" fontId="50" fillId="20" borderId="60" xfId="0" applyNumberFormat="1" applyFont="1" applyFill="1" applyBorder="1" applyAlignment="1" applyProtection="1">
      <alignment vertical="center" shrinkToFit="1"/>
      <protection locked="0"/>
    </xf>
    <xf numFmtId="0" fontId="22" fillId="20" borderId="60" xfId="0" applyNumberFormat="1" applyFont="1" applyFill="1" applyBorder="1" applyAlignment="1" applyProtection="1">
      <alignment vertical="center"/>
      <protection locked="0"/>
    </xf>
    <xf numFmtId="177" fontId="166" fillId="20" borderId="60" xfId="0" applyNumberFormat="1" applyFont="1" applyFill="1" applyBorder="1" applyAlignment="1" applyProtection="1">
      <alignment vertical="center" shrinkToFit="1"/>
    </xf>
    <xf numFmtId="177" fontId="166" fillId="20" borderId="66" xfId="0" applyNumberFormat="1" applyFont="1" applyFill="1" applyBorder="1" applyAlignment="1" applyProtection="1">
      <alignment vertical="center" shrinkToFit="1"/>
    </xf>
    <xf numFmtId="0" fontId="42" fillId="20" borderId="59" xfId="0" applyFont="1" applyFill="1" applyBorder="1" applyAlignment="1" applyProtection="1">
      <alignment horizontal="center" vertical="center" wrapText="1"/>
    </xf>
    <xf numFmtId="0" fontId="48" fillId="20" borderId="251" xfId="0" applyNumberFormat="1" applyFont="1" applyFill="1" applyBorder="1" applyAlignment="1" applyProtection="1">
      <alignment vertical="center" wrapText="1"/>
      <protection locked="0"/>
    </xf>
    <xf numFmtId="177" fontId="49" fillId="6" borderId="252" xfId="0" applyNumberFormat="1" applyFont="1" applyFill="1" applyBorder="1" applyAlignment="1" applyProtection="1">
      <alignment horizontal="right" vertical="center" shrinkToFit="1"/>
      <protection locked="0"/>
    </xf>
    <xf numFmtId="0" fontId="55" fillId="6" borderId="0" xfId="0" applyFont="1" applyFill="1" applyAlignment="1" applyProtection="1">
      <alignment vertical="center"/>
      <protection locked="0"/>
    </xf>
    <xf numFmtId="0" fontId="174" fillId="6" borderId="0" xfId="5" applyNumberFormat="1" applyFont="1" applyFill="1" applyAlignment="1" applyProtection="1">
      <alignment horizontal="left" vertical="center"/>
      <protection locked="0"/>
    </xf>
    <xf numFmtId="0" fontId="174" fillId="6" borderId="0" xfId="5" applyNumberFormat="1" applyFont="1" applyFill="1" applyAlignment="1" applyProtection="1">
      <alignment horizontal="left" vertical="center"/>
    </xf>
    <xf numFmtId="177" fontId="22" fillId="6" borderId="0" xfId="7" applyNumberFormat="1" applyFont="1" applyFill="1" applyAlignment="1" applyProtection="1">
      <alignment vertical="center" shrinkToFit="1"/>
    </xf>
    <xf numFmtId="0" fontId="48" fillId="20" borderId="253" xfId="0" applyNumberFormat="1" applyFont="1" applyFill="1" applyBorder="1" applyAlignment="1" applyProtection="1">
      <alignment vertical="center" wrapText="1"/>
      <protection locked="0"/>
    </xf>
    <xf numFmtId="0" fontId="49" fillId="20" borderId="254" xfId="0" applyNumberFormat="1" applyFont="1" applyFill="1" applyBorder="1" applyAlignment="1" applyProtection="1">
      <alignment vertical="center"/>
      <protection locked="0"/>
    </xf>
    <xf numFmtId="0" fontId="42" fillId="20" borderId="254" xfId="0" applyNumberFormat="1" applyFont="1" applyFill="1" applyBorder="1" applyAlignment="1" applyProtection="1">
      <alignment vertical="center"/>
      <protection locked="0"/>
    </xf>
    <xf numFmtId="0" fontId="47" fillId="6" borderId="0" xfId="0" applyNumberFormat="1" applyFont="1" applyFill="1" applyAlignment="1" applyProtection="1">
      <alignment horizontal="left" vertical="center"/>
      <protection locked="0"/>
    </xf>
    <xf numFmtId="0" fontId="172" fillId="20" borderId="253" xfId="5" applyNumberFormat="1" applyFont="1" applyFill="1" applyBorder="1" applyAlignment="1" applyProtection="1">
      <alignment vertical="center" wrapText="1"/>
      <protection locked="0"/>
    </xf>
    <xf numFmtId="177" fontId="175"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77" fontId="49" fillId="8" borderId="0" xfId="0" applyNumberFormat="1" applyFont="1" applyFill="1" applyBorder="1" applyAlignment="1" applyProtection="1">
      <alignment vertical="center" shrinkToFit="1"/>
      <protection locked="0"/>
    </xf>
    <xf numFmtId="177"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wrapText="1"/>
      <protection locked="0"/>
    </xf>
    <xf numFmtId="0" fontId="42"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vertical="center"/>
      <protection locked="0"/>
    </xf>
    <xf numFmtId="0" fontId="49" fillId="8" borderId="0" xfId="0" applyNumberFormat="1" applyFont="1" applyFill="1" applyBorder="1" applyAlignment="1" applyProtection="1">
      <alignment horizontal="right" vertical="center"/>
      <protection locked="0"/>
    </xf>
    <xf numFmtId="0" fontId="47" fillId="20" borderId="251" xfId="0" applyNumberFormat="1" applyFont="1" applyFill="1" applyBorder="1" applyAlignment="1" applyProtection="1">
      <alignment horizontal="left" vertical="center" wrapText="1"/>
    </xf>
    <xf numFmtId="0" fontId="48" fillId="20" borderId="251" xfId="0" applyNumberFormat="1" applyFont="1" applyFill="1" applyBorder="1" applyAlignment="1" applyProtection="1">
      <alignment horizontal="left" vertical="center"/>
      <protection locked="0"/>
    </xf>
    <xf numFmtId="0" fontId="49" fillId="20" borderId="251" xfId="0" applyNumberFormat="1" applyFont="1" applyFill="1" applyBorder="1" applyAlignment="1" applyProtection="1">
      <alignment vertical="center"/>
      <protection locked="0"/>
    </xf>
    <xf numFmtId="0" fontId="49" fillId="20" borderId="251" xfId="0" applyNumberFormat="1" applyFont="1" applyFill="1" applyBorder="1" applyAlignment="1" applyProtection="1">
      <alignment horizontal="right" vertical="center"/>
      <protection locked="0"/>
    </xf>
    <xf numFmtId="0" fontId="176" fillId="20" borderId="251" xfId="0" applyNumberFormat="1" applyFont="1" applyFill="1" applyBorder="1" applyAlignment="1" applyProtection="1">
      <alignment horizontal="right" vertical="center"/>
      <protection locked="0"/>
    </xf>
    <xf numFmtId="0" fontId="48" fillId="6" borderId="252" xfId="0" applyNumberFormat="1" applyFont="1" applyFill="1" applyBorder="1" applyAlignment="1" applyProtection="1">
      <alignment horizontal="center" vertical="center" wrapText="1"/>
      <protection locked="0"/>
    </xf>
    <xf numFmtId="177" fontId="49" fillId="6"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vertical="center" shrinkToFit="1"/>
      <protection locked="0"/>
    </xf>
    <xf numFmtId="177" fontId="49" fillId="8" borderId="252" xfId="0" applyNumberFormat="1" applyFont="1" applyFill="1" applyBorder="1" applyAlignment="1" applyProtection="1">
      <alignment horizontal="right" vertical="center" shrinkToFit="1"/>
      <protection locked="0"/>
    </xf>
    <xf numFmtId="0" fontId="54" fillId="8" borderId="0" xfId="0" applyNumberFormat="1" applyFont="1" applyFill="1" applyBorder="1" applyAlignment="1" applyProtection="1">
      <alignment horizontal="right" vertical="center"/>
      <protection locked="0"/>
    </xf>
    <xf numFmtId="0" fontId="48" fillId="6" borderId="0" xfId="0" applyNumberFormat="1" applyFont="1" applyFill="1" applyAlignment="1" applyProtection="1">
      <alignment horizontal="center" vertical="center" wrapText="1"/>
    </xf>
    <xf numFmtId="0" fontId="42" fillId="6" borderId="0" xfId="0" applyNumberFormat="1" applyFont="1" applyFill="1" applyBorder="1" applyAlignment="1" applyProtection="1">
      <alignment vertical="center"/>
      <protection locked="0"/>
    </xf>
    <xf numFmtId="0" fontId="47" fillId="20" borderId="251" xfId="0" applyNumberFormat="1" applyFont="1" applyFill="1" applyBorder="1" applyAlignment="1" applyProtection="1">
      <alignment horizontal="left" vertical="center"/>
    </xf>
    <xf numFmtId="0" fontId="48" fillId="6" borderId="252" xfId="0" applyNumberFormat="1" applyFont="1" applyFill="1" applyBorder="1" applyAlignment="1" applyProtection="1">
      <alignment horizontal="center" vertical="center"/>
      <protection locked="0"/>
    </xf>
    <xf numFmtId="0" fontId="42" fillId="8" borderId="57" xfId="0" applyFont="1" applyFill="1" applyBorder="1" applyAlignment="1" applyProtection="1">
      <alignment vertical="center" wrapText="1"/>
      <protection locked="0"/>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66" fillId="20" borderId="60" xfId="0" applyNumberFormat="1" applyFont="1" applyFill="1" applyBorder="1" applyAlignment="1" applyProtection="1">
      <alignment vertical="center"/>
    </xf>
    <xf numFmtId="0" fontId="166" fillId="20" borderId="66" xfId="0" applyNumberFormat="1" applyFont="1" applyFill="1" applyBorder="1" applyAlignment="1" applyProtection="1">
      <alignment vertical="center"/>
    </xf>
    <xf numFmtId="177" fontId="64" fillId="8" borderId="0" xfId="0" applyNumberFormat="1" applyFont="1" applyFill="1" applyBorder="1" applyAlignment="1" applyProtection="1">
      <alignment vertical="center" shrinkToFit="1"/>
      <protection hidden="1"/>
    </xf>
    <xf numFmtId="0" fontId="50" fillId="20" borderId="60" xfId="0" applyNumberFormat="1" applyFont="1" applyFill="1" applyBorder="1" applyAlignment="1" applyProtection="1">
      <alignment vertical="center"/>
      <protection locked="0"/>
    </xf>
    <xf numFmtId="0" fontId="50" fillId="20" borderId="66" xfId="0" applyNumberFormat="1" applyFont="1" applyFill="1" applyBorder="1" applyAlignment="1" applyProtection="1">
      <alignment vertical="center"/>
      <protection locked="0"/>
    </xf>
    <xf numFmtId="0" fontId="171"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 fillId="10" borderId="55"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177" fontId="171" fillId="6" borderId="0" xfId="0" applyNumberFormat="1" applyFont="1" applyFill="1" applyAlignment="1" applyProtection="1">
      <alignment vertical="center" shrinkToFit="1"/>
      <protection hidden="1"/>
    </xf>
    <xf numFmtId="177" fontId="171" fillId="0" borderId="58" xfId="0" applyNumberFormat="1" applyFont="1" applyFill="1" applyBorder="1" applyAlignment="1" applyProtection="1">
      <alignment vertical="center" shrinkToFit="1"/>
      <protection locked="0"/>
    </xf>
    <xf numFmtId="0" fontId="1" fillId="10" borderId="55"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8" fillId="20" borderId="251" xfId="0" applyNumberFormat="1" applyFont="1" applyFill="1" applyBorder="1" applyAlignment="1" applyProtection="1">
      <alignment horizontal="center" vertical="center" wrapText="1"/>
      <protection locked="0"/>
    </xf>
    <xf numFmtId="0" fontId="47" fillId="8" borderId="0" xfId="0" applyNumberFormat="1" applyFont="1" applyFill="1" applyBorder="1" applyAlignment="1" applyProtection="1">
      <alignment horizontal="left" vertical="center"/>
      <protection locked="0"/>
    </xf>
    <xf numFmtId="0" fontId="25" fillId="6" borderId="0" xfId="0" applyFont="1" applyFill="1">
      <alignment vertical="center"/>
    </xf>
    <xf numFmtId="0" fontId="172" fillId="6" borderId="0" xfId="5" applyFont="1" applyFill="1" applyAlignment="1" applyProtection="1">
      <alignment vertical="center"/>
    </xf>
    <xf numFmtId="177" fontId="72" fillId="6" borderId="0" xfId="5" applyNumberFormat="1" applyFont="1" applyFill="1" applyAlignment="1" applyProtection="1">
      <alignment horizontal="right" vertical="center" shrinkToFit="1"/>
    </xf>
    <xf numFmtId="0" fontId="174" fillId="8" borderId="0" xfId="5" applyNumberFormat="1" applyFont="1" applyFill="1" applyBorder="1" applyAlignment="1" applyProtection="1">
      <alignment horizontal="left" vertical="center"/>
      <protection locked="0"/>
    </xf>
    <xf numFmtId="0" fontId="22" fillId="6" borderId="0" xfId="0" applyFont="1" applyFill="1" applyAlignment="1">
      <alignment vertical="center" shrinkToFit="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74" fillId="6" borderId="0" xfId="5" applyNumberFormat="1" applyFont="1" applyFill="1" applyAlignment="1" applyProtection="1">
      <alignment horizontal="left" vertical="center"/>
      <protection hidden="1"/>
    </xf>
    <xf numFmtId="0" fontId="174" fillId="6" borderId="0" xfId="5" applyNumberFormat="1" applyFont="1" applyFill="1" applyBorder="1" applyAlignment="1" applyProtection="1">
      <alignment horizontal="left" vertical="center"/>
      <protection locked="0"/>
    </xf>
    <xf numFmtId="0" fontId="174" fillId="8" borderId="0" xfId="5" applyNumberFormat="1" applyFont="1" applyFill="1" applyBorder="1" applyAlignment="1" applyProtection="1">
      <alignment horizontal="left" vertical="center"/>
    </xf>
    <xf numFmtId="0" fontId="174" fillId="6" borderId="0" xfId="5" applyNumberFormat="1" applyFont="1" applyFill="1" applyBorder="1" applyAlignment="1" applyProtection="1">
      <alignment horizontal="left" vertical="center"/>
    </xf>
    <xf numFmtId="0" fontId="42" fillId="8" borderId="57" xfId="0" applyFont="1" applyFill="1" applyBorder="1" applyAlignment="1" applyProtection="1">
      <alignment vertical="center" wrapText="1"/>
      <protection locked="0"/>
    </xf>
    <xf numFmtId="189" fontId="22" fillId="0" borderId="61" xfId="0" applyNumberFormat="1" applyFont="1" applyFill="1" applyBorder="1" applyAlignment="1" applyProtection="1">
      <alignment vertical="center" shrinkToFit="1"/>
      <protection locked="0"/>
    </xf>
    <xf numFmtId="189" fontId="22" fillId="0" borderId="67" xfId="0" applyNumberFormat="1" applyFont="1" applyFill="1" applyBorder="1" applyAlignment="1" applyProtection="1">
      <alignment vertical="center" shrinkToFit="1"/>
      <protection locked="0"/>
    </xf>
    <xf numFmtId="0" fontId="1" fillId="8" borderId="0" xfId="0" applyFont="1" applyFill="1" applyAlignment="1" applyProtection="1">
      <alignment horizontal="left" vertical="center" wrapText="1"/>
    </xf>
    <xf numFmtId="0" fontId="165" fillId="20" borderId="65" xfId="0" applyFont="1" applyFill="1" applyBorder="1" applyAlignment="1" applyProtection="1">
      <alignment horizontal="center" vertical="center" wrapText="1"/>
      <protection hidden="1"/>
    </xf>
    <xf numFmtId="0" fontId="0" fillId="8" borderId="0" xfId="0" applyFill="1">
      <alignment vertical="center"/>
    </xf>
    <xf numFmtId="0" fontId="165" fillId="20" borderId="73" xfId="0" applyFont="1" applyFill="1" applyBorder="1" applyAlignment="1" applyProtection="1">
      <alignment horizontal="center" vertical="center" wrapText="1"/>
      <protection hidden="1"/>
    </xf>
    <xf numFmtId="0" fontId="165" fillId="20" borderId="70"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20" borderId="254" xfId="0" applyNumberFormat="1" applyFont="1" applyFill="1" applyBorder="1" applyAlignment="1" applyProtection="1">
      <alignment horizontal="center" vertical="center" wrapText="1"/>
      <protection locked="0"/>
    </xf>
    <xf numFmtId="0" fontId="22" fillId="20" borderId="66" xfId="0" applyNumberFormat="1" applyFont="1" applyFill="1" applyBorder="1" applyAlignment="1" applyProtection="1">
      <alignment vertical="center"/>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79" fillId="6" borderId="0" xfId="0" applyFont="1" applyFill="1" applyProtection="1">
      <alignment vertical="center"/>
      <protection hidden="1"/>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58" fillId="20" borderId="55" xfId="0" applyFont="1" applyFill="1" applyBorder="1" applyAlignment="1" applyProtection="1">
      <alignment horizontal="center" vertical="center" wrapText="1"/>
      <protection hidden="1"/>
    </xf>
    <xf numFmtId="0" fontId="1" fillId="20" borderId="56" xfId="0" applyFont="1"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66" fillId="20" borderId="60" xfId="0" applyNumberFormat="1" applyFont="1" applyFill="1" applyBorder="1" applyAlignment="1" applyProtection="1">
      <alignment vertical="center"/>
      <protection locked="0"/>
    </xf>
    <xf numFmtId="0" fontId="1" fillId="0" borderId="58"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176" fillId="20" borderId="56" xfId="0" quotePrefix="1"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177" fontId="49" fillId="20" borderId="56" xfId="0" quotePrefix="1" applyNumberFormat="1" applyFont="1" applyFill="1" applyBorder="1" applyAlignment="1" applyProtection="1">
      <alignment horizontal="center" vertical="center" wrapText="1" shrinkToFit="1"/>
      <protection hidden="1"/>
    </xf>
    <xf numFmtId="177" fontId="49" fillId="20" borderId="56"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177" fontId="49" fillId="20" borderId="64" xfId="0" quotePrefix="1" applyNumberFormat="1" applyFont="1" applyFill="1" applyBorder="1" applyAlignment="1" applyProtection="1">
      <alignment horizontal="center" vertical="center" wrapText="1" shrinkToFit="1"/>
      <protection hidden="1"/>
    </xf>
    <xf numFmtId="177" fontId="50" fillId="20" borderId="66" xfId="0" applyNumberFormat="1" applyFont="1" applyFill="1" applyBorder="1" applyAlignment="1" applyProtection="1">
      <alignment vertical="center" shrinkToFit="1"/>
      <protection locked="0"/>
    </xf>
    <xf numFmtId="0" fontId="42" fillId="2" borderId="0" xfId="0" applyFont="1" applyFill="1" applyProtection="1">
      <alignment vertical="center"/>
      <protection hidden="1"/>
    </xf>
    <xf numFmtId="0" fontId="8" fillId="2" borderId="0" xfId="0" applyFont="1" applyFill="1" applyProtection="1">
      <alignment vertical="center"/>
      <protection hidden="1"/>
    </xf>
    <xf numFmtId="0" fontId="42" fillId="2" borderId="0" xfId="0" applyFont="1" applyFill="1" applyBorder="1" applyAlignment="1" applyProtection="1">
      <alignment vertical="center"/>
      <protection hidden="1"/>
    </xf>
    <xf numFmtId="0" fontId="8" fillId="2" borderId="0" xfId="0" applyFont="1" applyFill="1" applyBorder="1" applyAlignment="1" applyProtection="1">
      <alignment vertical="center"/>
      <protection hidden="1"/>
    </xf>
    <xf numFmtId="0" fontId="42" fillId="2" borderId="0" xfId="0" applyFont="1" applyFill="1">
      <alignment vertical="center"/>
    </xf>
    <xf numFmtId="0" fontId="1" fillId="2" borderId="0" xfId="0" applyFont="1" applyFill="1" applyAlignment="1" applyProtection="1">
      <alignment horizontal="left" vertical="center"/>
      <protection locked="0"/>
    </xf>
    <xf numFmtId="0" fontId="0" fillId="12" borderId="116" xfId="0" applyFill="1" applyBorder="1" applyAlignment="1" applyProtection="1">
      <alignment horizontal="left" vertical="center" wrapText="1" indent="2"/>
      <protection hidden="1"/>
    </xf>
    <xf numFmtId="0" fontId="1" fillId="12" borderId="192" xfId="0" applyNumberFormat="1" applyFont="1" applyFill="1" applyBorder="1" applyAlignment="1" applyProtection="1">
      <alignment horizontal="left" vertical="center" wrapText="1"/>
      <protection hidden="1"/>
    </xf>
    <xf numFmtId="0" fontId="1" fillId="12" borderId="192" xfId="0" applyNumberFormat="1" applyFont="1" applyFill="1" applyBorder="1" applyAlignment="1" applyProtection="1">
      <alignment horizontal="left" vertical="center" wrapText="1" indent="2"/>
      <protection hidden="1"/>
    </xf>
    <xf numFmtId="0" fontId="0" fillId="2" borderId="141" xfId="0" applyFill="1" applyBorder="1" applyAlignment="1" applyProtection="1">
      <alignment horizontal="left" vertical="center" wrapText="1" indent="1"/>
      <protection hidden="1"/>
    </xf>
    <xf numFmtId="183" fontId="1" fillId="12" borderId="192" xfId="0" applyNumberFormat="1" applyFont="1" applyFill="1" applyBorder="1" applyAlignment="1" applyProtection="1">
      <alignment horizontal="left" vertical="center" indent="1" shrinkToFit="1"/>
      <protection hidden="1"/>
    </xf>
    <xf numFmtId="183" fontId="1" fillId="12" borderId="192" xfId="0" applyNumberFormat="1" applyFont="1" applyFill="1" applyBorder="1" applyAlignment="1" applyProtection="1">
      <alignment horizontal="left" vertical="center" wrapText="1" indent="1"/>
      <protection hidden="1"/>
    </xf>
    <xf numFmtId="49" fontId="22" fillId="2" borderId="0" xfId="0" applyNumberFormat="1" applyFont="1" applyFill="1" applyAlignment="1" applyProtection="1">
      <alignment vertical="center" shrinkToFit="1"/>
    </xf>
    <xf numFmtId="49" fontId="22" fillId="2" borderId="0" xfId="0" applyNumberFormat="1" applyFont="1" applyFill="1" applyAlignment="1" applyProtection="1">
      <alignment horizontal="center" vertical="center" shrinkToFit="1"/>
    </xf>
    <xf numFmtId="0" fontId="22" fillId="0" borderId="116" xfId="4" applyNumberFormat="1" applyFont="1" applyFill="1" applyBorder="1" applyAlignment="1" applyProtection="1">
      <alignment vertical="center" shrinkToFit="1"/>
    </xf>
    <xf numFmtId="0" fontId="1" fillId="0" borderId="0" xfId="19" applyFill="1" applyProtection="1">
      <alignment vertical="center"/>
    </xf>
    <xf numFmtId="0" fontId="1" fillId="0" borderId="0" xfId="19" quotePrefix="1" applyFill="1" applyProtection="1">
      <alignment vertical="center"/>
    </xf>
    <xf numFmtId="0" fontId="1" fillId="0" borderId="0" xfId="19" applyFill="1" applyProtection="1">
      <alignment vertical="center"/>
      <protection locked="0"/>
    </xf>
    <xf numFmtId="0" fontId="1" fillId="0" borderId="0" xfId="19" applyFill="1">
      <alignment vertical="center"/>
    </xf>
    <xf numFmtId="31" fontId="86" fillId="0" borderId="0" xfId="19" applyNumberFormat="1" applyFont="1" applyFill="1" applyAlignment="1" applyProtection="1">
      <alignment horizontal="left" vertical="center" indent="15"/>
    </xf>
    <xf numFmtId="0" fontId="87" fillId="0" borderId="0" xfId="19" applyFont="1" applyFill="1" applyProtection="1">
      <alignment vertical="center"/>
    </xf>
    <xf numFmtId="0" fontId="1" fillId="0" borderId="0" xfId="9" applyFill="1" applyProtection="1">
      <alignment vertical="center"/>
      <protection locked="0"/>
    </xf>
    <xf numFmtId="176" fontId="22" fillId="0" borderId="0" xfId="9" applyNumberFormat="1" applyFont="1" applyFill="1" applyProtection="1">
      <alignment vertical="center"/>
      <protection locked="0"/>
    </xf>
    <xf numFmtId="0" fontId="88" fillId="14" borderId="117" xfId="9" applyNumberFormat="1" applyFont="1" applyFill="1" applyBorder="1" applyAlignment="1" applyProtection="1">
      <alignment vertical="center"/>
    </xf>
    <xf numFmtId="0" fontId="88" fillId="14" borderId="118" xfId="9" applyNumberFormat="1" applyFont="1" applyFill="1" applyBorder="1" applyAlignment="1" applyProtection="1">
      <alignment vertical="center"/>
    </xf>
    <xf numFmtId="0" fontId="94" fillId="14" borderId="118" xfId="9" applyNumberFormat="1" applyFont="1" applyFill="1" applyBorder="1" applyAlignment="1" applyProtection="1">
      <alignment horizontal="center" vertical="center" wrapText="1"/>
    </xf>
    <xf numFmtId="0" fontId="94" fillId="14" borderId="132" xfId="9" applyNumberFormat="1" applyFont="1" applyFill="1" applyBorder="1" applyAlignment="1" applyProtection="1">
      <alignment horizontal="center" vertical="center" wrapText="1"/>
    </xf>
    <xf numFmtId="0" fontId="1" fillId="0" borderId="0" xfId="9" applyFill="1" applyBorder="1" applyProtection="1">
      <alignment vertical="center"/>
      <protection locked="0"/>
    </xf>
    <xf numFmtId="0" fontId="94" fillId="14" borderId="117" xfId="9" applyNumberFormat="1" applyFont="1" applyFill="1" applyBorder="1" applyAlignment="1" applyProtection="1">
      <alignment horizontal="center" vertical="center" wrapText="1"/>
    </xf>
    <xf numFmtId="0" fontId="94" fillId="14" borderId="118" xfId="9" applyNumberFormat="1" applyFont="1" applyFill="1" applyBorder="1" applyAlignment="1" applyProtection="1">
      <alignment horizontal="left" vertical="center" indent="2"/>
    </xf>
    <xf numFmtId="0" fontId="94" fillId="14" borderId="132" xfId="9" applyNumberFormat="1" applyFont="1" applyFill="1" applyBorder="1" applyAlignment="1" applyProtection="1">
      <alignment horizontal="left" vertical="center" indent="2"/>
    </xf>
    <xf numFmtId="0" fontId="5" fillId="2" borderId="111" xfId="9" applyFont="1" applyFill="1" applyBorder="1" applyAlignment="1" applyProtection="1">
      <alignment vertical="center" wrapText="1"/>
    </xf>
    <xf numFmtId="0" fontId="5" fillId="2" borderId="0" xfId="9" applyFont="1" applyFill="1" applyBorder="1" applyAlignment="1" applyProtection="1">
      <alignment vertical="center" wrapText="1"/>
    </xf>
    <xf numFmtId="0" fontId="1" fillId="2" borderId="128" xfId="9" applyFill="1" applyBorder="1" applyProtection="1">
      <alignment vertical="center"/>
    </xf>
    <xf numFmtId="177" fontId="22" fillId="2" borderId="156" xfId="9" applyNumberFormat="1" applyFont="1" applyFill="1" applyBorder="1" applyAlignment="1" applyProtection="1">
      <alignment vertical="center" shrinkToFit="1"/>
    </xf>
    <xf numFmtId="0" fontId="1" fillId="2" borderId="156" xfId="9" applyFill="1" applyBorder="1" applyProtection="1">
      <alignment vertical="center"/>
    </xf>
    <xf numFmtId="0" fontId="1" fillId="2" borderId="118" xfId="9" applyFill="1" applyBorder="1" applyProtection="1">
      <alignment vertical="center"/>
    </xf>
    <xf numFmtId="177" fontId="22" fillId="2" borderId="132" xfId="9" applyNumberFormat="1" applyFont="1" applyFill="1" applyBorder="1" applyAlignment="1" applyProtection="1">
      <alignment vertical="center" shrinkToFit="1"/>
    </xf>
    <xf numFmtId="0" fontId="1" fillId="2" borderId="111" xfId="25" applyFill="1" applyBorder="1" applyAlignment="1" applyProtection="1">
      <alignment vertical="center" wrapText="1"/>
    </xf>
    <xf numFmtId="0" fontId="1" fillId="2" borderId="0" xfId="25" applyFill="1" applyBorder="1" applyAlignment="1" applyProtection="1">
      <alignment vertical="center" wrapText="1"/>
    </xf>
    <xf numFmtId="0" fontId="1" fillId="2" borderId="128" xfId="25" applyFill="1" applyBorder="1" applyProtection="1">
      <alignment vertical="center"/>
    </xf>
    <xf numFmtId="0" fontId="1" fillId="2" borderId="156" xfId="25" applyFill="1" applyBorder="1" applyProtection="1">
      <alignment vertical="center"/>
    </xf>
    <xf numFmtId="0" fontId="1" fillId="2" borderId="118" xfId="25" applyFill="1" applyBorder="1" applyProtection="1">
      <alignment vertical="center"/>
    </xf>
    <xf numFmtId="0" fontId="1" fillId="2" borderId="132" xfId="25" applyFill="1" applyBorder="1" applyProtection="1">
      <alignment vertical="center"/>
    </xf>
    <xf numFmtId="0" fontId="1" fillId="2" borderId="111" xfId="25" applyFill="1" applyBorder="1" applyAlignment="1" applyProtection="1">
      <alignment horizontal="left" vertical="center" indent="1"/>
    </xf>
    <xf numFmtId="0" fontId="1" fillId="2" borderId="0" xfId="25" applyFill="1" applyBorder="1" applyAlignment="1" applyProtection="1">
      <alignment horizontal="left" vertical="center" indent="1"/>
    </xf>
    <xf numFmtId="177" fontId="22" fillId="2" borderId="156" xfId="25" applyNumberFormat="1" applyFont="1" applyFill="1" applyBorder="1" applyAlignment="1" applyProtection="1">
      <alignment vertical="center" shrinkToFit="1"/>
    </xf>
    <xf numFmtId="177" fontId="22" fillId="2" borderId="118" xfId="25" applyNumberFormat="1" applyFont="1" applyFill="1" applyBorder="1" applyAlignment="1" applyProtection="1">
      <alignment vertical="center" shrinkToFit="1"/>
    </xf>
    <xf numFmtId="177" fontId="22" fillId="2" borderId="132" xfId="25" applyNumberFormat="1" applyFont="1" applyFill="1" applyBorder="1" applyAlignment="1" applyProtection="1">
      <alignment vertical="center" shrinkToFit="1"/>
    </xf>
    <xf numFmtId="0" fontId="29" fillId="0" borderId="111" xfId="25" applyFont="1" applyFill="1" applyBorder="1" applyProtection="1">
      <alignment vertical="center"/>
    </xf>
    <xf numFmtId="0" fontId="96" fillId="2" borderId="111" xfId="25" applyFont="1" applyFill="1" applyBorder="1" applyAlignment="1" applyProtection="1">
      <alignment vertical="center" wrapText="1"/>
    </xf>
    <xf numFmtId="0" fontId="96" fillId="2" borderId="0" xfId="25" applyFont="1" applyFill="1" applyBorder="1" applyAlignment="1" applyProtection="1">
      <alignment vertical="center" wrapText="1"/>
    </xf>
    <xf numFmtId="0" fontId="1" fillId="0" borderId="111" xfId="25" applyFill="1" applyBorder="1" applyProtection="1">
      <alignment vertical="center"/>
      <protection locked="0"/>
    </xf>
    <xf numFmtId="0" fontId="96" fillId="2" borderId="154" xfId="25" applyFont="1" applyFill="1" applyBorder="1" applyAlignment="1" applyProtection="1">
      <alignment horizontal="left" vertical="center" indent="1"/>
    </xf>
    <xf numFmtId="0" fontId="96" fillId="2" borderId="155" xfId="25" applyFont="1" applyFill="1" applyBorder="1" applyAlignment="1" applyProtection="1">
      <alignment horizontal="left" vertical="center" indent="1"/>
    </xf>
    <xf numFmtId="0" fontId="1" fillId="2" borderId="131" xfId="25" applyFill="1" applyBorder="1" applyProtection="1">
      <alignment vertical="center"/>
    </xf>
    <xf numFmtId="177" fontId="22" fillId="2" borderId="157" xfId="25" applyNumberFormat="1" applyFont="1" applyFill="1" applyBorder="1" applyAlignment="1" applyProtection="1">
      <alignment vertical="center" shrinkToFit="1"/>
    </xf>
    <xf numFmtId="0" fontId="96" fillId="2" borderId="157" xfId="25" applyFont="1" applyFill="1" applyBorder="1" applyProtection="1">
      <alignment vertical="center"/>
    </xf>
    <xf numFmtId="177" fontId="22" fillId="2" borderId="121" xfId="25" applyNumberFormat="1" applyFont="1" applyFill="1" applyBorder="1" applyAlignment="1" applyProtection="1">
      <alignment vertical="center" shrinkToFit="1"/>
    </xf>
    <xf numFmtId="177" fontId="22" fillId="2" borderId="136" xfId="25" applyNumberFormat="1" applyFont="1" applyFill="1" applyBorder="1" applyAlignment="1" applyProtection="1">
      <alignment vertical="center" shrinkToFit="1"/>
    </xf>
    <xf numFmtId="0" fontId="1" fillId="0" borderId="0" xfId="19" quotePrefix="1" applyFill="1" applyProtection="1">
      <alignment vertical="center"/>
      <protection locked="0"/>
    </xf>
    <xf numFmtId="31" fontId="86" fillId="0" borderId="0" xfId="19" applyNumberFormat="1" applyFont="1" applyFill="1" applyAlignment="1" applyProtection="1">
      <alignment horizontal="left" vertical="center" indent="14"/>
    </xf>
    <xf numFmtId="0" fontId="87" fillId="0" borderId="0" xfId="19" applyFont="1" applyFill="1" applyAlignment="1" applyProtection="1">
      <alignment horizontal="left" vertical="center" indent="2"/>
    </xf>
    <xf numFmtId="0" fontId="1" fillId="0" borderId="0" xfId="26" applyFill="1" applyProtection="1">
      <alignment vertical="center"/>
      <protection locked="0"/>
    </xf>
    <xf numFmtId="0" fontId="1" fillId="0" borderId="0" xfId="26" quotePrefix="1" applyFill="1" applyProtection="1">
      <alignment vertical="center"/>
      <protection locked="0"/>
    </xf>
    <xf numFmtId="0" fontId="1" fillId="0" borderId="0" xfId="26" applyFont="1" applyFill="1" applyProtection="1">
      <alignment vertical="center"/>
      <protection locked="0"/>
    </xf>
    <xf numFmtId="0" fontId="1" fillId="0" borderId="0" xfId="26" applyFill="1" applyProtection="1">
      <alignment vertical="center"/>
    </xf>
    <xf numFmtId="0" fontId="88" fillId="14" borderId="117" xfId="26" applyNumberFormat="1" applyFont="1" applyFill="1" applyBorder="1" applyAlignment="1" applyProtection="1">
      <alignment vertical="center"/>
    </xf>
    <xf numFmtId="0" fontId="88" fillId="14" borderId="118" xfId="26" applyNumberFormat="1" applyFont="1" applyFill="1" applyBorder="1" applyAlignment="1" applyProtection="1">
      <alignment vertical="center"/>
    </xf>
    <xf numFmtId="0" fontId="94" fillId="14" borderId="118" xfId="26" applyNumberFormat="1" applyFont="1" applyFill="1" applyBorder="1" applyAlignment="1" applyProtection="1">
      <alignment horizontal="center" vertical="center" wrapText="1"/>
    </xf>
    <xf numFmtId="0" fontId="94" fillId="14" borderId="132" xfId="26" applyNumberFormat="1" applyFont="1" applyFill="1" applyBorder="1" applyAlignment="1" applyProtection="1">
      <alignment horizontal="center" vertical="center" wrapText="1"/>
    </xf>
    <xf numFmtId="0" fontId="94" fillId="0" borderId="0" xfId="26" applyNumberFormat="1" applyFont="1" applyFill="1" applyBorder="1" applyAlignment="1" applyProtection="1">
      <alignment horizontal="center" vertical="center" wrapText="1"/>
      <protection locked="0"/>
    </xf>
    <xf numFmtId="0" fontId="89" fillId="14" borderId="117" xfId="26" applyNumberFormat="1" applyFont="1" applyFill="1" applyBorder="1" applyAlignment="1" applyProtection="1">
      <alignment horizontal="center" vertical="center" wrapText="1"/>
    </xf>
    <xf numFmtId="0" fontId="95" fillId="14" borderId="118" xfId="26" applyNumberFormat="1" applyFont="1" applyFill="1" applyBorder="1" applyAlignment="1" applyProtection="1">
      <alignment vertical="center"/>
    </xf>
    <xf numFmtId="0" fontId="89" fillId="14" borderId="118" xfId="26" applyNumberFormat="1" applyFont="1" applyFill="1" applyBorder="1" applyAlignment="1" applyProtection="1">
      <alignment horizontal="center" vertical="center" wrapText="1"/>
    </xf>
    <xf numFmtId="0" fontId="89" fillId="14" borderId="132" xfId="26" applyNumberFormat="1" applyFont="1" applyFill="1" applyBorder="1" applyAlignment="1" applyProtection="1">
      <alignment horizontal="center" vertical="center" wrapText="1"/>
    </xf>
    <xf numFmtId="0" fontId="5" fillId="2" borderId="111" xfId="25" applyFont="1" applyFill="1" applyBorder="1" applyAlignment="1" applyProtection="1">
      <alignment vertical="center" wrapText="1"/>
    </xf>
    <xf numFmtId="0" fontId="91" fillId="2" borderId="0" xfId="25" applyFont="1" applyFill="1" applyBorder="1" applyProtection="1">
      <alignment vertical="center"/>
    </xf>
    <xf numFmtId="0" fontId="22" fillId="2" borderId="128" xfId="25" applyNumberFormat="1" applyFont="1" applyFill="1" applyBorder="1" applyAlignment="1" applyProtection="1">
      <alignment vertical="center" wrapText="1"/>
    </xf>
    <xf numFmtId="0" fontId="22" fillId="2" borderId="111" xfId="25" applyNumberFormat="1" applyFont="1" applyFill="1" applyBorder="1" applyAlignment="1" applyProtection="1">
      <alignment horizontal="left" vertical="center" wrapText="1" indent="1"/>
    </xf>
    <xf numFmtId="177" fontId="22" fillId="2" borderId="128" xfId="25" applyNumberFormat="1" applyFont="1" applyFill="1" applyBorder="1" applyAlignment="1" applyProtection="1">
      <alignment vertical="center" shrinkToFit="1"/>
    </xf>
    <xf numFmtId="177" fontId="92" fillId="2" borderId="132" xfId="25" applyNumberFormat="1" applyFont="1" applyFill="1" applyBorder="1" applyAlignment="1" applyProtection="1">
      <alignment vertical="center" shrinkToFit="1"/>
    </xf>
    <xf numFmtId="0" fontId="1" fillId="2" borderId="111" xfId="25" applyFill="1" applyBorder="1" applyAlignment="1" applyProtection="1">
      <alignment horizontal="center" vertical="center" wrapText="1"/>
    </xf>
    <xf numFmtId="177" fontId="22" fillId="2" borderId="129" xfId="25" applyNumberFormat="1" applyFont="1" applyFill="1" applyBorder="1" applyAlignment="1" applyProtection="1">
      <alignment vertical="center" shrinkToFit="1"/>
    </xf>
    <xf numFmtId="177" fontId="22" fillId="2" borderId="133" xfId="25" applyNumberFormat="1" applyFont="1" applyFill="1" applyBorder="1" applyAlignment="1" applyProtection="1">
      <alignment vertical="center" shrinkToFit="1"/>
    </xf>
    <xf numFmtId="0" fontId="0" fillId="2" borderId="111" xfId="25" applyFont="1" applyFill="1" applyBorder="1" applyAlignment="1" applyProtection="1">
      <alignment vertical="center" wrapText="1"/>
    </xf>
    <xf numFmtId="0" fontId="29" fillId="2" borderId="128" xfId="25" applyNumberFormat="1" applyFont="1" applyFill="1" applyBorder="1" applyAlignment="1" applyProtection="1">
      <alignment horizontal="right" vertical="center" wrapText="1"/>
    </xf>
    <xf numFmtId="0" fontId="29" fillId="2" borderId="132" xfId="25" applyNumberFormat="1" applyFont="1" applyFill="1" applyBorder="1" applyAlignment="1" applyProtection="1">
      <alignment horizontal="right" vertical="center" wrapText="1"/>
    </xf>
    <xf numFmtId="0" fontId="1" fillId="2" borderId="111" xfId="25" applyFont="1" applyFill="1" applyBorder="1" applyAlignment="1" applyProtection="1">
      <alignment vertical="center" wrapText="1"/>
    </xf>
    <xf numFmtId="0" fontId="1" fillId="0" borderId="0" xfId="25" applyFill="1" applyBorder="1" applyProtection="1">
      <alignment vertical="center"/>
    </xf>
    <xf numFmtId="0" fontId="5" fillId="2" borderId="154" xfId="25" applyFont="1" applyFill="1" applyBorder="1" applyAlignment="1" applyProtection="1">
      <alignment horizontal="center" vertical="center" wrapText="1"/>
    </xf>
    <xf numFmtId="0" fontId="91" fillId="2" borderId="155" xfId="25" applyFont="1" applyFill="1" applyBorder="1" applyProtection="1">
      <alignment vertical="center"/>
    </xf>
    <xf numFmtId="177" fontId="22" fillId="2" borderId="131" xfId="25" applyNumberFormat="1" applyFont="1" applyFill="1" applyBorder="1" applyAlignment="1" applyProtection="1">
      <alignment vertical="center" shrinkToFit="1"/>
    </xf>
    <xf numFmtId="0" fontId="25" fillId="0" borderId="0" xfId="25" applyFont="1" applyFill="1" applyProtection="1">
      <alignment vertical="center"/>
    </xf>
    <xf numFmtId="0" fontId="84" fillId="0" borderId="0" xfId="19" applyFont="1" applyFill="1" applyProtection="1">
      <alignment vertical="center"/>
      <protection locked="0"/>
    </xf>
    <xf numFmtId="176" fontId="22" fillId="0" borderId="0" xfId="19" applyNumberFormat="1" applyFont="1" applyFill="1" applyProtection="1">
      <alignment vertical="center"/>
      <protection locked="0"/>
    </xf>
    <xf numFmtId="0" fontId="93" fillId="0" borderId="0" xfId="19" applyFont="1" applyFill="1" applyProtection="1">
      <alignment vertical="center"/>
      <protection locked="0"/>
    </xf>
    <xf numFmtId="0" fontId="93" fillId="2" borderId="0" xfId="19" applyFont="1" applyFill="1" applyProtection="1">
      <alignment vertical="center"/>
      <protection locked="0"/>
    </xf>
    <xf numFmtId="0" fontId="84" fillId="2" borderId="0" xfId="19" applyFont="1" applyFill="1" applyProtection="1">
      <alignment vertical="center"/>
      <protection locked="0"/>
    </xf>
    <xf numFmtId="0" fontId="1" fillId="2" borderId="0" xfId="19" applyFill="1" applyProtection="1">
      <alignment vertical="center"/>
      <protection locked="0"/>
    </xf>
    <xf numFmtId="0" fontId="89" fillId="14" borderId="137" xfId="19" applyFont="1" applyFill="1" applyBorder="1" applyAlignment="1" applyProtection="1">
      <alignment horizontal="center" vertical="center"/>
      <protection hidden="1"/>
    </xf>
    <xf numFmtId="0" fontId="89" fillId="14" borderId="138" xfId="19" applyFont="1" applyFill="1" applyBorder="1" applyAlignment="1" applyProtection="1">
      <alignment horizontal="center" vertical="center"/>
      <protection hidden="1"/>
    </xf>
    <xf numFmtId="0" fontId="89" fillId="14" borderId="139" xfId="19" applyFont="1" applyFill="1" applyBorder="1" applyAlignment="1" applyProtection="1">
      <alignment horizontal="center" vertical="center"/>
      <protection hidden="1"/>
    </xf>
    <xf numFmtId="0" fontId="89" fillId="14" borderId="140" xfId="19" applyFont="1" applyFill="1" applyBorder="1" applyAlignment="1" applyProtection="1">
      <alignment horizontal="center" vertical="center"/>
      <protection hidden="1"/>
    </xf>
    <xf numFmtId="0" fontId="1" fillId="0" borderId="0" xfId="19" applyFill="1" applyBorder="1" applyProtection="1">
      <alignment vertical="center"/>
      <protection locked="0"/>
    </xf>
    <xf numFmtId="0" fontId="5" fillId="2" borderId="141" xfId="25" applyFont="1" applyFill="1" applyBorder="1" applyAlignment="1" applyProtection="1">
      <alignment vertical="center" wrapText="1"/>
      <protection hidden="1"/>
    </xf>
    <xf numFmtId="0" fontId="1" fillId="2" borderId="130" xfId="25" applyFill="1" applyBorder="1" applyProtection="1">
      <alignment vertical="center"/>
      <protection hidden="1"/>
    </xf>
    <xf numFmtId="177" fontId="22" fillId="0" borderId="116" xfId="25" applyNumberFormat="1" applyFont="1" applyFill="1" applyBorder="1" applyAlignment="1" applyProtection="1">
      <alignment vertical="center" shrinkToFit="1"/>
      <protection locked="0"/>
    </xf>
    <xf numFmtId="177" fontId="22" fillId="0" borderId="142" xfId="25" applyNumberFormat="1" applyFont="1" applyFill="1" applyBorder="1" applyAlignment="1" applyProtection="1">
      <alignment vertical="center" shrinkToFit="1"/>
      <protection locked="0"/>
    </xf>
    <xf numFmtId="0" fontId="1" fillId="2" borderId="141" xfId="25" applyFill="1" applyBorder="1" applyAlignment="1" applyProtection="1">
      <alignment vertical="center" wrapText="1"/>
      <protection hidden="1"/>
    </xf>
    <xf numFmtId="0" fontId="1" fillId="2" borderId="141" xfId="25" applyFill="1" applyBorder="1" applyAlignment="1" applyProtection="1">
      <alignment horizontal="center" vertical="center" wrapText="1"/>
      <protection hidden="1"/>
    </xf>
    <xf numFmtId="177" fontId="21" fillId="2" borderId="116" xfId="25" applyNumberFormat="1" applyFont="1" applyFill="1" applyBorder="1" applyAlignment="1" applyProtection="1">
      <alignment vertical="center" shrinkToFit="1"/>
    </xf>
    <xf numFmtId="177" fontId="21" fillId="2" borderId="142" xfId="25" applyNumberFormat="1" applyFont="1" applyFill="1" applyBorder="1" applyAlignment="1" applyProtection="1">
      <alignment vertical="center" shrinkToFit="1"/>
    </xf>
    <xf numFmtId="0" fontId="1" fillId="2" borderId="143" xfId="25" applyFill="1" applyBorder="1" applyAlignment="1" applyProtection="1">
      <alignment vertical="center" wrapText="1"/>
      <protection hidden="1"/>
    </xf>
    <xf numFmtId="0" fontId="1" fillId="2" borderId="144" xfId="25" applyFill="1" applyBorder="1" applyProtection="1">
      <alignment vertical="center"/>
      <protection hidden="1"/>
    </xf>
    <xf numFmtId="177" fontId="21" fillId="2" borderId="145" xfId="25" applyNumberFormat="1" applyFont="1" applyFill="1" applyBorder="1" applyAlignment="1" applyProtection="1">
      <alignment vertical="center" shrinkToFit="1"/>
    </xf>
    <xf numFmtId="177" fontId="21" fillId="2" borderId="146" xfId="25" applyNumberFormat="1" applyFont="1" applyFill="1" applyBorder="1" applyAlignment="1" applyProtection="1">
      <alignment vertical="center" shrinkToFit="1"/>
    </xf>
    <xf numFmtId="0" fontId="1" fillId="2" borderId="0" xfId="19" applyFill="1" applyBorder="1" applyAlignment="1" applyProtection="1">
      <alignment vertical="center" wrapText="1"/>
      <protection hidden="1"/>
    </xf>
    <xf numFmtId="0" fontId="1" fillId="2" borderId="0" xfId="19" applyFill="1" applyBorder="1" applyProtection="1">
      <alignment vertical="center"/>
      <protection hidden="1"/>
    </xf>
    <xf numFmtId="177" fontId="21" fillId="2" borderId="0" xfId="19" applyNumberFormat="1" applyFont="1" applyFill="1" applyBorder="1" applyAlignment="1" applyProtection="1">
      <alignment vertical="center" shrinkToFit="1"/>
    </xf>
    <xf numFmtId="0" fontId="88" fillId="14" borderId="137" xfId="25" applyNumberFormat="1" applyFont="1" applyFill="1" applyBorder="1" applyAlignment="1" applyProtection="1">
      <alignment vertical="center"/>
      <protection locked="0"/>
    </xf>
    <xf numFmtId="0" fontId="88" fillId="14" borderId="147" xfId="25" applyNumberFormat="1" applyFont="1" applyFill="1" applyBorder="1" applyAlignment="1" applyProtection="1">
      <alignment vertical="center"/>
      <protection locked="0"/>
    </xf>
    <xf numFmtId="0" fontId="94" fillId="14" borderId="148" xfId="25" applyNumberFormat="1" applyFont="1" applyFill="1" applyBorder="1" applyAlignment="1" applyProtection="1">
      <alignment horizontal="center" vertical="center" wrapText="1"/>
      <protection locked="0"/>
    </xf>
    <xf numFmtId="0" fontId="94" fillId="14" borderId="149" xfId="25" applyNumberFormat="1" applyFont="1" applyFill="1" applyBorder="1" applyAlignment="1" applyProtection="1">
      <alignment horizontal="center" vertical="center" wrapText="1"/>
      <protection locked="0"/>
    </xf>
    <xf numFmtId="0" fontId="94" fillId="0" borderId="0" xfId="25" applyNumberFormat="1" applyFont="1" applyFill="1" applyBorder="1" applyAlignment="1" applyProtection="1">
      <alignment horizontal="center" vertical="center" wrapText="1"/>
      <protection locked="0"/>
    </xf>
    <xf numFmtId="0" fontId="89" fillId="14" borderId="150" xfId="25" applyNumberFormat="1" applyFont="1" applyFill="1" applyBorder="1" applyAlignment="1" applyProtection="1">
      <alignment horizontal="center" vertical="center" wrapText="1"/>
      <protection locked="0"/>
    </xf>
    <xf numFmtId="0" fontId="95" fillId="14" borderId="151" xfId="25" applyNumberFormat="1" applyFont="1" applyFill="1" applyBorder="1" applyAlignment="1" applyProtection="1">
      <alignment vertical="center"/>
      <protection locked="0"/>
    </xf>
    <xf numFmtId="0" fontId="89" fillId="14" borderId="152" xfId="25" applyNumberFormat="1" applyFont="1" applyFill="1" applyBorder="1" applyAlignment="1" applyProtection="1">
      <alignment horizontal="center" vertical="center" wrapText="1"/>
      <protection locked="0"/>
    </xf>
    <xf numFmtId="0" fontId="89" fillId="14" borderId="153" xfId="25" applyNumberFormat="1" applyFont="1" applyFill="1" applyBorder="1" applyAlignment="1" applyProtection="1">
      <alignment horizontal="center" vertical="center" wrapText="1"/>
      <protection locked="0"/>
    </xf>
    <xf numFmtId="0" fontId="5" fillId="2" borderId="111" xfId="25" applyFont="1" applyFill="1" applyBorder="1" applyAlignment="1" applyProtection="1">
      <alignment vertical="center" wrapText="1"/>
      <protection hidden="1"/>
    </xf>
    <xf numFmtId="0" fontId="91" fillId="2" borderId="0" xfId="25" applyFont="1" applyFill="1" applyBorder="1" applyProtection="1">
      <alignment vertical="center"/>
      <protection locked="0"/>
    </xf>
    <xf numFmtId="0" fontId="22" fillId="2" borderId="128" xfId="25" applyNumberFormat="1" applyFont="1" applyFill="1" applyBorder="1" applyAlignment="1" applyProtection="1">
      <alignment vertical="center" wrapText="1"/>
      <protection locked="0"/>
    </xf>
    <xf numFmtId="177" fontId="2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left" vertical="center" indent="1"/>
      <protection locked="0"/>
    </xf>
    <xf numFmtId="177" fontId="22" fillId="2" borderId="128" xfId="25" applyNumberFormat="1" applyFont="1" applyFill="1" applyBorder="1" applyAlignment="1" applyProtection="1">
      <alignment vertical="center" shrinkToFit="1"/>
      <protection locked="0"/>
    </xf>
    <xf numFmtId="177" fontId="92" fillId="2" borderId="132" xfId="25" applyNumberFormat="1" applyFont="1" applyFill="1" applyBorder="1" applyAlignment="1" applyProtection="1">
      <alignment vertical="center" shrinkToFit="1"/>
      <protection locked="0"/>
    </xf>
    <xf numFmtId="0" fontId="1" fillId="2" borderId="111" xfId="25" applyFill="1" applyBorder="1" applyAlignment="1" applyProtection="1">
      <alignment horizontal="center" vertical="center" wrapText="1"/>
      <protection locked="0"/>
    </xf>
    <xf numFmtId="177" fontId="22" fillId="2" borderId="129" xfId="25" applyNumberFormat="1" applyFont="1" applyFill="1" applyBorder="1" applyAlignment="1" applyProtection="1">
      <alignment vertical="center" shrinkToFit="1"/>
      <protection locked="0"/>
    </xf>
    <xf numFmtId="177" fontId="22" fillId="2" borderId="133" xfId="25" applyNumberFormat="1" applyFont="1" applyFill="1" applyBorder="1" applyAlignment="1" applyProtection="1">
      <alignment vertical="center" shrinkToFit="1"/>
      <protection locked="0"/>
    </xf>
    <xf numFmtId="0" fontId="0" fillId="2" borderId="111" xfId="25" applyFont="1" applyFill="1" applyBorder="1" applyAlignment="1" applyProtection="1">
      <alignment vertical="center" wrapText="1"/>
      <protection locked="0"/>
    </xf>
    <xf numFmtId="0" fontId="29" fillId="2" borderId="128" xfId="25" applyNumberFormat="1" applyFont="1" applyFill="1" applyBorder="1" applyAlignment="1" applyProtection="1">
      <alignment horizontal="right" vertical="center" wrapText="1"/>
      <protection locked="0"/>
    </xf>
    <xf numFmtId="0" fontId="29" fillId="2" borderId="132" xfId="25" applyNumberFormat="1" applyFont="1" applyFill="1" applyBorder="1" applyAlignment="1" applyProtection="1">
      <alignment horizontal="right" vertical="center" wrapText="1"/>
      <protection locked="0"/>
    </xf>
    <xf numFmtId="0" fontId="5" fillId="2" borderId="111" xfId="25" applyFont="1" applyFill="1" applyBorder="1" applyAlignment="1" applyProtection="1">
      <alignment vertical="center" wrapText="1"/>
      <protection locked="0"/>
    </xf>
    <xf numFmtId="0" fontId="22" fillId="2" borderId="111" xfId="25" applyNumberFormat="1" applyFont="1" applyFill="1" applyBorder="1" applyAlignment="1" applyProtection="1">
      <alignment horizontal="left" vertical="center" wrapText="1" indent="1"/>
      <protection locked="0"/>
    </xf>
    <xf numFmtId="0" fontId="5" fillId="2" borderId="154" xfId="25" applyFont="1" applyFill="1" applyBorder="1" applyAlignment="1" applyProtection="1">
      <alignment horizontal="center" vertical="center" wrapText="1"/>
      <protection locked="0"/>
    </xf>
    <xf numFmtId="0" fontId="91" fillId="2" borderId="155" xfId="25" applyFont="1" applyFill="1" applyBorder="1" applyProtection="1">
      <alignment vertical="center"/>
      <protection locked="0"/>
    </xf>
    <xf numFmtId="177" fontId="22" fillId="2" borderId="131" xfId="25" applyNumberFormat="1" applyFont="1" applyFill="1" applyBorder="1" applyAlignment="1" applyProtection="1">
      <alignment vertical="center" shrinkToFit="1"/>
      <protection locked="0"/>
    </xf>
    <xf numFmtId="177" fontId="22" fillId="2" borderId="136" xfId="25" applyNumberFormat="1" applyFont="1" applyFill="1" applyBorder="1" applyAlignment="1" applyProtection="1">
      <alignment vertical="center" shrinkToFit="1"/>
      <protection locked="0"/>
    </xf>
    <xf numFmtId="0" fontId="25" fillId="0" borderId="0" xfId="25" applyFont="1" applyFill="1" applyBorder="1" applyProtection="1">
      <alignment vertical="center"/>
      <protection locked="0"/>
    </xf>
    <xf numFmtId="0" fontId="37" fillId="5" borderId="0" xfId="19" applyFont="1" applyFill="1" applyProtection="1">
      <alignment vertical="center"/>
      <protection hidden="1"/>
    </xf>
    <xf numFmtId="0" fontId="37" fillId="5" borderId="0" xfId="19" quotePrefix="1" applyFont="1" applyFill="1" applyProtection="1">
      <alignment vertical="center"/>
      <protection hidden="1"/>
    </xf>
    <xf numFmtId="0" fontId="37" fillId="5" borderId="0" xfId="19" applyFont="1" applyFill="1" applyProtection="1">
      <alignment vertical="center"/>
      <protection locked="0"/>
    </xf>
    <xf numFmtId="0" fontId="37" fillId="5" borderId="0" xfId="19" applyFont="1" applyFill="1">
      <alignment vertical="center"/>
    </xf>
    <xf numFmtId="49" fontId="37" fillId="5" borderId="0" xfId="19" quotePrefix="1" applyNumberFormat="1" applyFont="1" applyFill="1" applyProtection="1">
      <alignment vertical="center"/>
      <protection hidden="1"/>
    </xf>
    <xf numFmtId="49" fontId="37" fillId="5" borderId="0" xfId="19" applyNumberFormat="1" applyFont="1" applyFill="1" applyProtection="1">
      <alignment vertical="center"/>
      <protection hidden="1"/>
    </xf>
    <xf numFmtId="49" fontId="37" fillId="5" borderId="0" xfId="19" applyNumberFormat="1" applyFont="1" applyFill="1" applyProtection="1">
      <alignment vertical="center"/>
      <protection locked="0"/>
    </xf>
    <xf numFmtId="0" fontId="1" fillId="5" borderId="0" xfId="19" applyFill="1" applyProtection="1">
      <alignment vertical="center"/>
      <protection locked="0"/>
    </xf>
    <xf numFmtId="0" fontId="1" fillId="5" borderId="0" xfId="19" applyFill="1">
      <alignment vertical="center"/>
    </xf>
    <xf numFmtId="31" fontId="86" fillId="5" borderId="0" xfId="19" applyNumberFormat="1" applyFont="1" applyFill="1" applyAlignment="1" applyProtection="1">
      <alignment horizontal="center"/>
    </xf>
    <xf numFmtId="0" fontId="1" fillId="5" borderId="0" xfId="19" applyFill="1" applyAlignment="1" applyProtection="1">
      <alignment vertical="center" wrapText="1"/>
      <protection locked="0"/>
    </xf>
    <xf numFmtId="0" fontId="88" fillId="14" borderId="111" xfId="25" applyNumberFormat="1" applyFont="1" applyFill="1" applyBorder="1" applyAlignment="1" applyProtection="1">
      <alignment vertical="center"/>
    </xf>
    <xf numFmtId="0" fontId="89" fillId="14" borderId="0" xfId="25" applyFont="1" applyFill="1" applyBorder="1" applyAlignment="1" applyProtection="1">
      <alignment horizontal="left" vertical="center" indent="10"/>
    </xf>
    <xf numFmtId="0" fontId="90" fillId="14" borderId="0" xfId="25" applyFont="1" applyFill="1" applyBorder="1" applyProtection="1">
      <alignment vertical="center"/>
    </xf>
    <xf numFmtId="0" fontId="89" fillId="14" borderId="0" xfId="25" applyFont="1" applyFill="1" applyBorder="1" applyAlignment="1" applyProtection="1">
      <alignment horizontal="left" vertical="center" indent="2"/>
    </xf>
    <xf numFmtId="0" fontId="89" fillId="14" borderId="128" xfId="25" applyFont="1" applyFill="1" applyBorder="1" applyAlignment="1" applyProtection="1">
      <alignment horizontal="center" vertical="center" wrapText="1"/>
    </xf>
    <xf numFmtId="0" fontId="89" fillId="14" borderId="118" xfId="25" applyFont="1" applyFill="1" applyBorder="1" applyAlignment="1" applyProtection="1">
      <alignment horizontal="center" vertical="center" wrapText="1"/>
    </xf>
    <xf numFmtId="0" fontId="89" fillId="14" borderId="132" xfId="25" applyFont="1" applyFill="1" applyBorder="1" applyAlignment="1" applyProtection="1">
      <alignment horizontal="center" vertical="center" wrapText="1"/>
    </xf>
    <xf numFmtId="0" fontId="5" fillId="2" borderId="111" xfId="25" applyFont="1" applyFill="1" applyBorder="1" applyAlignment="1" applyProtection="1">
      <alignment horizontal="left" vertical="center" wrapText="1"/>
    </xf>
    <xf numFmtId="0" fontId="1" fillId="2" borderId="0" xfId="25" applyFill="1" applyBorder="1" applyProtection="1">
      <alignment vertical="center"/>
    </xf>
    <xf numFmtId="0" fontId="5" fillId="2" borderId="0" xfId="25" applyFont="1" applyFill="1" applyBorder="1" applyAlignment="1" applyProtection="1">
      <alignment vertical="center"/>
    </xf>
    <xf numFmtId="0" fontId="1" fillId="2" borderId="0" xfId="25" applyFill="1" applyProtection="1">
      <alignment vertical="center"/>
    </xf>
    <xf numFmtId="177" fontId="22" fillId="2" borderId="111" xfId="25" applyNumberFormat="1" applyFont="1" applyFill="1" applyBorder="1" applyAlignment="1" applyProtection="1">
      <alignment vertical="center" shrinkToFit="1"/>
    </xf>
    <xf numFmtId="0" fontId="25" fillId="2" borderId="111" xfId="25" applyFont="1" applyFill="1" applyBorder="1" applyAlignment="1" applyProtection="1">
      <alignment horizontal="right" vertical="center"/>
    </xf>
    <xf numFmtId="177" fontId="92" fillId="2" borderId="128" xfId="25" applyNumberFormat="1" applyFont="1" applyFill="1" applyBorder="1" applyAlignment="1" applyProtection="1">
      <alignment vertical="center" shrinkToFit="1"/>
    </xf>
    <xf numFmtId="177" fontId="92" fillId="2" borderId="118" xfId="25" applyNumberFormat="1" applyFont="1" applyFill="1" applyBorder="1" applyAlignment="1" applyProtection="1">
      <alignment vertical="center" shrinkToFit="1"/>
    </xf>
    <xf numFmtId="0" fontId="0" fillId="2" borderId="111" xfId="25" applyFont="1" applyFill="1" applyBorder="1" applyAlignment="1" applyProtection="1">
      <alignment horizontal="center" vertical="center"/>
    </xf>
    <xf numFmtId="0" fontId="1" fillId="2" borderId="0" xfId="25" applyFill="1" applyBorder="1" applyAlignment="1" applyProtection="1">
      <alignment horizontal="left" vertical="center" indent="2"/>
    </xf>
    <xf numFmtId="177" fontId="22" fillId="2" borderId="119" xfId="25" applyNumberFormat="1" applyFont="1" applyFill="1" applyBorder="1" applyAlignment="1" applyProtection="1">
      <alignment vertical="center" shrinkToFit="1"/>
    </xf>
    <xf numFmtId="0" fontId="29" fillId="2" borderId="118" xfId="25" applyNumberFormat="1" applyFont="1" applyFill="1" applyBorder="1" applyAlignment="1" applyProtection="1">
      <alignment horizontal="right" vertical="center" wrapText="1"/>
    </xf>
    <xf numFmtId="0" fontId="88" fillId="14" borderId="112" xfId="25" applyNumberFormat="1" applyFont="1" applyFill="1" applyBorder="1" applyAlignment="1" applyProtection="1">
      <alignment vertical="center"/>
    </xf>
    <xf numFmtId="0" fontId="89" fillId="14" borderId="113" xfId="25" applyFont="1" applyFill="1" applyBorder="1" applyAlignment="1" applyProtection="1">
      <alignment horizontal="left" vertical="center" indent="10"/>
    </xf>
    <xf numFmtId="0" fontId="89" fillId="14" borderId="114" xfId="25" applyFont="1" applyFill="1" applyBorder="1" applyAlignment="1" applyProtection="1">
      <alignment horizontal="left" vertical="center" indent="10"/>
    </xf>
    <xf numFmtId="0" fontId="90" fillId="14" borderId="114" xfId="25" applyFont="1" applyFill="1" applyBorder="1" applyProtection="1">
      <alignment vertical="center"/>
    </xf>
    <xf numFmtId="0" fontId="90" fillId="14" borderId="122" xfId="25" applyFont="1" applyFill="1" applyBorder="1" applyProtection="1">
      <alignment vertical="center"/>
    </xf>
    <xf numFmtId="0" fontId="89" fillId="14" borderId="114" xfId="25" applyFont="1" applyFill="1" applyBorder="1" applyAlignment="1" applyProtection="1">
      <alignment horizontal="left" vertical="center" indent="9"/>
    </xf>
    <xf numFmtId="0" fontId="90" fillId="14" borderId="134" xfId="25" applyFont="1" applyFill="1" applyBorder="1" applyProtection="1">
      <alignment vertical="center"/>
    </xf>
    <xf numFmtId="0" fontId="89" fillId="14" borderId="115" xfId="25" applyNumberFormat="1" applyFont="1" applyFill="1" applyBorder="1" applyAlignment="1" applyProtection="1">
      <alignment horizontal="center" vertical="center"/>
    </xf>
    <xf numFmtId="0" fontId="89" fillId="14" borderId="116" xfId="25" applyFont="1" applyFill="1" applyBorder="1" applyAlignment="1" applyProtection="1">
      <alignment horizontal="center" vertical="center" wrapText="1"/>
    </xf>
    <xf numFmtId="0" fontId="89" fillId="14" borderId="123" xfId="25" applyFont="1" applyFill="1" applyBorder="1" applyAlignment="1" applyProtection="1">
      <alignment horizontal="center" vertical="center" wrapText="1"/>
    </xf>
    <xf numFmtId="0" fontId="89" fillId="14" borderId="130" xfId="25" applyFont="1" applyFill="1" applyBorder="1" applyAlignment="1" applyProtection="1">
      <alignment horizontal="center" vertical="center" wrapText="1"/>
    </xf>
    <xf numFmtId="0" fontId="89" fillId="14" borderId="135" xfId="25" applyFont="1" applyFill="1" applyBorder="1" applyAlignment="1" applyProtection="1">
      <alignment horizontal="center" vertical="center" wrapText="1"/>
    </xf>
    <xf numFmtId="0" fontId="5" fillId="2" borderId="117" xfId="25" applyFont="1" applyFill="1" applyBorder="1" applyAlignment="1" applyProtection="1">
      <alignment vertical="center" wrapText="1"/>
    </xf>
    <xf numFmtId="177" fontId="22" fillId="2" borderId="124" xfId="25" applyNumberFormat="1" applyFont="1" applyFill="1" applyBorder="1" applyAlignment="1" applyProtection="1">
      <alignment vertical="center" shrinkToFit="1"/>
    </xf>
    <xf numFmtId="0" fontId="25" fillId="2" borderId="117" xfId="25" applyFont="1" applyFill="1" applyBorder="1" applyAlignment="1" applyProtection="1">
      <alignment horizontal="left" vertical="center" indent="1"/>
    </xf>
    <xf numFmtId="177" fontId="22" fillId="2" borderId="125" xfId="25" applyNumberFormat="1" applyFont="1" applyFill="1" applyBorder="1" applyAlignment="1" applyProtection="1">
      <alignment vertical="center" shrinkToFit="1"/>
    </xf>
    <xf numFmtId="0" fontId="1" fillId="2" borderId="117" xfId="25" applyFont="1" applyFill="1" applyBorder="1" applyAlignment="1" applyProtection="1">
      <alignment horizontal="left" vertical="center" indent="1"/>
    </xf>
    <xf numFmtId="0" fontId="1" fillId="2" borderId="117" xfId="25" applyFill="1" applyBorder="1" applyAlignment="1" applyProtection="1">
      <alignment horizontal="center" vertical="center"/>
    </xf>
    <xf numFmtId="177" fontId="22" fillId="2" borderId="126" xfId="25" applyNumberFormat="1" applyFont="1" applyFill="1" applyBorder="1" applyAlignment="1" applyProtection="1">
      <alignment vertical="center" shrinkToFit="1"/>
    </xf>
    <xf numFmtId="0" fontId="0" fillId="2" borderId="120" xfId="25" applyFont="1" applyFill="1" applyBorder="1" applyProtection="1">
      <alignment vertical="center"/>
    </xf>
    <xf numFmtId="0" fontId="29" fillId="2" borderId="121" xfId="25" applyNumberFormat="1" applyFont="1" applyFill="1" applyBorder="1" applyAlignment="1" applyProtection="1">
      <alignment horizontal="right" vertical="center" wrapText="1"/>
    </xf>
    <xf numFmtId="0" fontId="29" fillId="2" borderId="127" xfId="25" applyNumberFormat="1" applyFont="1" applyFill="1" applyBorder="1" applyAlignment="1" applyProtection="1">
      <alignment horizontal="right" vertical="center" wrapText="1"/>
    </xf>
    <xf numFmtId="0" fontId="29" fillId="2" borderId="131" xfId="25" applyNumberFormat="1" applyFont="1" applyFill="1" applyBorder="1" applyAlignment="1" applyProtection="1">
      <alignment horizontal="right" vertical="center" wrapText="1"/>
    </xf>
    <xf numFmtId="0" fontId="29" fillId="2" borderId="136" xfId="25" applyNumberFormat="1" applyFont="1" applyFill="1" applyBorder="1" applyAlignment="1" applyProtection="1">
      <alignment horizontal="right" vertical="center" wrapText="1"/>
    </xf>
    <xf numFmtId="0" fontId="1" fillId="0" borderId="0" xfId="6" applyFill="1" applyProtection="1">
      <alignment vertical="center"/>
      <protection locked="0"/>
    </xf>
    <xf numFmtId="0" fontId="1" fillId="0" borderId="0" xfId="6" applyFill="1">
      <alignment vertical="center"/>
    </xf>
    <xf numFmtId="43" fontId="22" fillId="0" borderId="0" xfId="6" applyNumberFormat="1" applyFont="1" applyFill="1" applyProtection="1">
      <alignment vertical="center"/>
      <protection locked="0"/>
    </xf>
    <xf numFmtId="0" fontId="88" fillId="14" borderId="117" xfId="6" applyNumberFormat="1" applyFont="1" applyFill="1" applyBorder="1" applyAlignment="1" applyProtection="1">
      <alignment vertical="center"/>
    </xf>
    <xf numFmtId="0" fontId="88" fillId="14" borderId="118" xfId="6" applyNumberFormat="1" applyFont="1" applyFill="1" applyBorder="1" applyAlignment="1" applyProtection="1">
      <alignment vertical="center"/>
    </xf>
    <xf numFmtId="0" fontId="94" fillId="14" borderId="118" xfId="6" applyNumberFormat="1" applyFont="1" applyFill="1" applyBorder="1" applyAlignment="1" applyProtection="1">
      <alignment horizontal="center" vertical="center" wrapText="1"/>
    </xf>
    <xf numFmtId="0" fontId="94" fillId="14" borderId="132" xfId="6" applyNumberFormat="1" applyFont="1" applyFill="1" applyBorder="1" applyAlignment="1" applyProtection="1">
      <alignment horizontal="center" vertical="center" wrapText="1"/>
    </xf>
    <xf numFmtId="0" fontId="1" fillId="0" borderId="0" xfId="6" applyFill="1" applyBorder="1" applyProtection="1">
      <alignment vertical="center"/>
      <protection locked="0"/>
    </xf>
    <xf numFmtId="0" fontId="94" fillId="14" borderId="117" xfId="6" applyNumberFormat="1" applyFont="1" applyFill="1" applyBorder="1" applyAlignment="1" applyProtection="1">
      <alignment horizontal="center" vertical="center" wrapText="1"/>
    </xf>
    <xf numFmtId="0" fontId="94" fillId="14" borderId="118" xfId="6" applyNumberFormat="1" applyFont="1" applyFill="1" applyBorder="1" applyAlignment="1" applyProtection="1">
      <alignment horizontal="left" vertical="center" indent="2"/>
    </xf>
    <xf numFmtId="0" fontId="94" fillId="14" borderId="132" xfId="6" applyNumberFormat="1" applyFont="1" applyFill="1" applyBorder="1" applyAlignment="1" applyProtection="1">
      <alignment horizontal="left" vertical="center" indent="2"/>
    </xf>
    <xf numFmtId="0" fontId="5" fillId="2" borderId="111" xfId="6" applyFont="1" applyFill="1" applyBorder="1" applyAlignment="1" applyProtection="1">
      <alignment vertical="center" wrapText="1"/>
    </xf>
    <xf numFmtId="0" fontId="5" fillId="2" borderId="0" xfId="6" applyFont="1" applyFill="1" applyBorder="1" applyAlignment="1" applyProtection="1">
      <alignment vertical="center" wrapText="1"/>
    </xf>
    <xf numFmtId="0" fontId="1" fillId="2" borderId="128" xfId="6" applyFill="1" applyBorder="1" applyProtection="1">
      <alignment vertical="center"/>
    </xf>
    <xf numFmtId="177" fontId="22" fillId="2" borderId="156" xfId="6" applyNumberFormat="1" applyFont="1" applyFill="1" applyBorder="1" applyAlignment="1" applyProtection="1">
      <alignment vertical="center" shrinkToFit="1"/>
    </xf>
    <xf numFmtId="0" fontId="1" fillId="2" borderId="156" xfId="6" applyFill="1" applyBorder="1" applyProtection="1">
      <alignment vertical="center"/>
    </xf>
    <xf numFmtId="0" fontId="1" fillId="2" borderId="118" xfId="6" applyFill="1" applyBorder="1" applyProtection="1">
      <alignment vertical="center"/>
    </xf>
    <xf numFmtId="177" fontId="22" fillId="2" borderId="132" xfId="6" applyNumberFormat="1" applyFont="1" applyFill="1" applyBorder="1" applyAlignment="1" applyProtection="1">
      <alignment vertical="center" shrinkToFit="1"/>
    </xf>
    <xf numFmtId="0" fontId="1" fillId="2" borderId="111" xfId="6" applyFill="1" applyBorder="1" applyAlignment="1" applyProtection="1">
      <alignment vertical="center" wrapText="1"/>
    </xf>
    <xf numFmtId="0" fontId="1" fillId="2" borderId="0" xfId="6" applyFill="1" applyBorder="1" applyAlignment="1" applyProtection="1">
      <alignment vertical="center" wrapText="1"/>
    </xf>
    <xf numFmtId="0" fontId="1" fillId="2" borderId="132" xfId="6" applyFill="1" applyBorder="1" applyProtection="1">
      <alignment vertical="center"/>
    </xf>
    <xf numFmtId="0" fontId="1" fillId="2" borderId="111" xfId="6" applyFill="1" applyBorder="1" applyAlignment="1" applyProtection="1">
      <alignment horizontal="left" vertical="center" indent="1"/>
    </xf>
    <xf numFmtId="0" fontId="1" fillId="2" borderId="0" xfId="6" applyFill="1" applyBorder="1" applyAlignment="1" applyProtection="1">
      <alignment horizontal="left" vertical="center" indent="1"/>
    </xf>
    <xf numFmtId="177" fontId="22" fillId="2" borderId="118" xfId="6" applyNumberFormat="1" applyFont="1" applyFill="1" applyBorder="1" applyAlignment="1" applyProtection="1">
      <alignment vertical="center" shrinkToFit="1"/>
    </xf>
    <xf numFmtId="0" fontId="29" fillId="0" borderId="111" xfId="6" applyFont="1" applyFill="1" applyBorder="1" applyProtection="1">
      <alignment vertical="center"/>
    </xf>
    <xf numFmtId="0" fontId="96" fillId="2" borderId="111" xfId="6" applyFont="1" applyFill="1" applyBorder="1" applyAlignment="1" applyProtection="1">
      <alignment vertical="center" wrapText="1"/>
    </xf>
    <xf numFmtId="0" fontId="96" fillId="2" borderId="0" xfId="6" applyFont="1" applyFill="1" applyBorder="1" applyAlignment="1" applyProtection="1">
      <alignment vertical="center" wrapText="1"/>
    </xf>
    <xf numFmtId="0" fontId="1" fillId="0" borderId="111" xfId="6" applyFill="1" applyBorder="1" applyProtection="1">
      <alignment vertical="center"/>
      <protection locked="0"/>
    </xf>
    <xf numFmtId="0" fontId="96" fillId="2" borderId="154" xfId="6" applyFont="1" applyFill="1" applyBorder="1" applyAlignment="1" applyProtection="1">
      <alignment horizontal="left" vertical="center" indent="1"/>
    </xf>
    <xf numFmtId="0" fontId="96" fillId="2" borderId="155" xfId="6" applyFont="1" applyFill="1" applyBorder="1" applyAlignment="1" applyProtection="1">
      <alignment horizontal="left" vertical="center" indent="1"/>
    </xf>
    <xf numFmtId="0" fontId="1" fillId="2" borderId="131" xfId="6" applyFill="1" applyBorder="1" applyProtection="1">
      <alignment vertical="center"/>
    </xf>
    <xf numFmtId="177" fontId="22" fillId="2" borderId="157" xfId="6" applyNumberFormat="1" applyFont="1" applyFill="1" applyBorder="1" applyAlignment="1" applyProtection="1">
      <alignment vertical="center" shrinkToFit="1"/>
    </xf>
    <xf numFmtId="0" fontId="96" fillId="2" borderId="157" xfId="6" applyFont="1" applyFill="1" applyBorder="1" applyProtection="1">
      <alignment vertical="center"/>
    </xf>
    <xf numFmtId="177" fontId="22" fillId="2" borderId="121" xfId="6" applyNumberFormat="1" applyFont="1" applyFill="1" applyBorder="1" applyAlignment="1" applyProtection="1">
      <alignment vertical="center" shrinkToFit="1"/>
    </xf>
    <xf numFmtId="177" fontId="22" fillId="2" borderId="136" xfId="6" applyNumberFormat="1" applyFont="1" applyFill="1" applyBorder="1" applyAlignment="1" applyProtection="1">
      <alignment vertical="center" shrinkToFit="1"/>
    </xf>
    <xf numFmtId="0" fontId="1" fillId="0" borderId="0" xfId="6" applyFont="1" applyFill="1" applyProtection="1">
      <alignment vertical="center"/>
      <protection locked="0"/>
    </xf>
    <xf numFmtId="0" fontId="1" fillId="0" borderId="0" xfId="6" quotePrefix="1" applyFont="1" applyFill="1" applyProtection="1">
      <alignment vertical="center"/>
      <protection locked="0"/>
    </xf>
    <xf numFmtId="0" fontId="1" fillId="0" borderId="0" xfId="6" applyFont="1" applyFill="1" applyProtection="1">
      <alignment vertical="center"/>
    </xf>
    <xf numFmtId="0" fontId="94" fillId="0" borderId="0" xfId="6" applyNumberFormat="1" applyFont="1" applyFill="1" applyBorder="1" applyAlignment="1" applyProtection="1">
      <alignment horizontal="center" vertical="center" wrapText="1"/>
      <protection locked="0"/>
    </xf>
    <xf numFmtId="0" fontId="89" fillId="14" borderId="117" xfId="6" applyNumberFormat="1" applyFont="1" applyFill="1" applyBorder="1" applyAlignment="1" applyProtection="1">
      <alignment horizontal="center" vertical="center" wrapText="1"/>
    </xf>
    <xf numFmtId="0" fontId="95" fillId="14" borderId="118" xfId="6" applyNumberFormat="1" applyFont="1" applyFill="1" applyBorder="1" applyAlignment="1" applyProtection="1">
      <alignment vertical="center"/>
    </xf>
    <xf numFmtId="0" fontId="89" fillId="14" borderId="118" xfId="6" applyNumberFormat="1" applyFont="1" applyFill="1" applyBorder="1" applyAlignment="1" applyProtection="1">
      <alignment horizontal="center" vertical="center" wrapText="1"/>
    </xf>
    <xf numFmtId="0" fontId="89" fillId="14" borderId="132" xfId="6" applyNumberFormat="1" applyFont="1" applyFill="1" applyBorder="1" applyAlignment="1" applyProtection="1">
      <alignment horizontal="center" vertical="center" wrapText="1"/>
    </xf>
    <xf numFmtId="0" fontId="91" fillId="2" borderId="0" xfId="6" applyFont="1" applyFill="1" applyBorder="1" applyProtection="1">
      <alignment vertical="center"/>
    </xf>
    <xf numFmtId="0" fontId="22" fillId="2" borderId="128" xfId="6" applyNumberFormat="1" applyFont="1" applyFill="1" applyBorder="1" applyAlignment="1" applyProtection="1">
      <alignment vertical="center" wrapText="1"/>
    </xf>
    <xf numFmtId="0" fontId="1" fillId="0" borderId="0" xfId="6" applyFont="1" applyFill="1" applyBorder="1" applyProtection="1">
      <alignment vertical="center"/>
      <protection locked="0"/>
    </xf>
    <xf numFmtId="0" fontId="1" fillId="2" borderId="111" xfId="6" applyFont="1" applyFill="1" applyBorder="1" applyAlignment="1" applyProtection="1">
      <alignment horizontal="left" vertical="center" wrapText="1" indent="1"/>
    </xf>
    <xf numFmtId="0" fontId="22" fillId="2" borderId="111" xfId="6" applyNumberFormat="1" applyFont="1" applyFill="1" applyBorder="1" applyAlignment="1" applyProtection="1">
      <alignment horizontal="left" vertical="center" wrapText="1" indent="1"/>
    </xf>
    <xf numFmtId="177" fontId="22" fillId="2" borderId="128" xfId="6" applyNumberFormat="1" applyFont="1" applyFill="1" applyBorder="1" applyAlignment="1" applyProtection="1">
      <alignment vertical="center" shrinkToFit="1"/>
    </xf>
    <xf numFmtId="177" fontId="92" fillId="2" borderId="132" xfId="6" applyNumberFormat="1" applyFont="1" applyFill="1" applyBorder="1" applyAlignment="1" applyProtection="1">
      <alignment vertical="center" shrinkToFit="1"/>
    </xf>
    <xf numFmtId="0" fontId="1" fillId="2" borderId="111" xfId="6" applyFont="1" applyFill="1" applyBorder="1" applyAlignment="1" applyProtection="1">
      <alignment horizontal="left" vertical="center" indent="1"/>
    </xf>
    <xf numFmtId="0" fontId="1" fillId="2" borderId="111" xfId="6" applyFont="1" applyFill="1" applyBorder="1" applyAlignment="1" applyProtection="1">
      <alignment horizontal="center" vertical="center" wrapText="1"/>
    </xf>
    <xf numFmtId="177" fontId="22" fillId="2" borderId="129" xfId="6" applyNumberFormat="1" applyFont="1" applyFill="1" applyBorder="1" applyAlignment="1" applyProtection="1">
      <alignment vertical="center" shrinkToFit="1"/>
    </xf>
    <xf numFmtId="177" fontId="22" fillId="2" borderId="133" xfId="6" applyNumberFormat="1" applyFont="1" applyFill="1" applyBorder="1" applyAlignment="1" applyProtection="1">
      <alignment vertical="center" shrinkToFit="1"/>
    </xf>
    <xf numFmtId="0" fontId="1" fillId="2" borderId="111" xfId="6" applyFont="1" applyFill="1" applyBorder="1" applyAlignment="1" applyProtection="1">
      <alignment vertical="center" wrapText="1"/>
    </xf>
    <xf numFmtId="0" fontId="29" fillId="2" borderId="128" xfId="6" applyNumberFormat="1" applyFont="1" applyFill="1" applyBorder="1" applyAlignment="1" applyProtection="1">
      <alignment horizontal="right" vertical="center" wrapText="1"/>
    </xf>
    <xf numFmtId="0" fontId="29" fillId="2" borderId="132" xfId="6" applyNumberFormat="1" applyFont="1" applyFill="1" applyBorder="1" applyAlignment="1" applyProtection="1">
      <alignment horizontal="right" vertical="center" wrapText="1"/>
    </xf>
    <xf numFmtId="0" fontId="1" fillId="0" borderId="0" xfId="6" applyFont="1" applyFill="1" applyBorder="1" applyProtection="1">
      <alignment vertical="center"/>
    </xf>
    <xf numFmtId="0" fontId="5" fillId="2" borderId="154" xfId="6" applyFont="1" applyFill="1" applyBorder="1" applyAlignment="1" applyProtection="1">
      <alignment horizontal="center" vertical="center" wrapText="1"/>
    </xf>
    <xf numFmtId="0" fontId="91" fillId="2" borderId="155" xfId="6" applyFont="1" applyFill="1" applyBorder="1" applyProtection="1">
      <alignment vertical="center"/>
    </xf>
    <xf numFmtId="177" fontId="22" fillId="2" borderId="131" xfId="6" applyNumberFormat="1" applyFont="1" applyFill="1" applyBorder="1" applyAlignment="1" applyProtection="1">
      <alignment vertical="center" shrinkToFit="1"/>
    </xf>
    <xf numFmtId="0" fontId="25" fillId="0" borderId="0" xfId="6" applyFont="1" applyFill="1" applyProtection="1">
      <alignment vertical="center"/>
    </xf>
    <xf numFmtId="0" fontId="84" fillId="0" borderId="0" xfId="25" applyFont="1" applyFill="1" applyProtection="1">
      <alignment vertical="center"/>
      <protection locked="0"/>
    </xf>
    <xf numFmtId="43" fontId="22" fillId="0" borderId="0" xfId="19" applyNumberFormat="1" applyFont="1" applyFill="1" applyProtection="1">
      <alignment vertical="center"/>
      <protection locked="0"/>
    </xf>
    <xf numFmtId="0" fontId="93" fillId="0" borderId="0" xfId="25" applyFont="1" applyFill="1" applyProtection="1">
      <alignment vertical="center"/>
      <protection locked="0"/>
    </xf>
    <xf numFmtId="0" fontId="93" fillId="2" borderId="0" xfId="6" applyFont="1" applyFill="1" applyProtection="1">
      <alignment vertical="center"/>
      <protection locked="0"/>
    </xf>
    <xf numFmtId="0" fontId="84" fillId="2" borderId="0" xfId="6" applyFont="1" applyFill="1" applyProtection="1">
      <alignment vertical="center"/>
      <protection locked="0"/>
    </xf>
    <xf numFmtId="0" fontId="1" fillId="2" borderId="0" xfId="6" applyFill="1" applyProtection="1">
      <alignment vertical="center"/>
      <protection locked="0"/>
    </xf>
    <xf numFmtId="0" fontId="89" fillId="14" borderId="137" xfId="6" applyFont="1" applyFill="1" applyBorder="1" applyAlignment="1" applyProtection="1">
      <alignment horizontal="center" vertical="center"/>
      <protection hidden="1"/>
    </xf>
    <xf numFmtId="0" fontId="89" fillId="14" borderId="138" xfId="6" applyFont="1" applyFill="1" applyBorder="1" applyAlignment="1" applyProtection="1">
      <alignment horizontal="center" vertical="center"/>
      <protection hidden="1"/>
    </xf>
    <xf numFmtId="0" fontId="89" fillId="14" borderId="139" xfId="6" applyFont="1" applyFill="1" applyBorder="1" applyAlignment="1" applyProtection="1">
      <alignment horizontal="center" vertical="center"/>
      <protection hidden="1"/>
    </xf>
    <xf numFmtId="0" fontId="89" fillId="14" borderId="140" xfId="6" applyFont="1" applyFill="1" applyBorder="1" applyAlignment="1" applyProtection="1">
      <alignment horizontal="center" vertical="center"/>
      <protection hidden="1"/>
    </xf>
    <xf numFmtId="0" fontId="5" fillId="2" borderId="141" xfId="6" applyFont="1" applyFill="1" applyBorder="1" applyAlignment="1" applyProtection="1">
      <alignment vertical="center" wrapText="1"/>
      <protection hidden="1"/>
    </xf>
    <xf numFmtId="0" fontId="1" fillId="2" borderId="130" xfId="6" applyFill="1" applyBorder="1" applyProtection="1">
      <alignment vertical="center"/>
      <protection hidden="1"/>
    </xf>
    <xf numFmtId="177" fontId="22" fillId="0" borderId="116" xfId="6" applyNumberFormat="1" applyFont="1" applyFill="1" applyBorder="1" applyAlignment="1" applyProtection="1">
      <alignment vertical="center" shrinkToFit="1"/>
      <protection locked="0"/>
    </xf>
    <xf numFmtId="177" fontId="22" fillId="0" borderId="142" xfId="6" applyNumberFormat="1" applyFont="1" applyFill="1" applyBorder="1" applyAlignment="1" applyProtection="1">
      <alignment vertical="center" shrinkToFit="1"/>
      <protection locked="0"/>
    </xf>
    <xf numFmtId="0" fontId="1" fillId="2" borderId="141" xfId="6" applyFill="1" applyBorder="1" applyAlignment="1" applyProtection="1">
      <alignment vertical="center" wrapText="1"/>
      <protection hidden="1"/>
    </xf>
    <xf numFmtId="0" fontId="1" fillId="2" borderId="141" xfId="6" applyFill="1" applyBorder="1" applyAlignment="1" applyProtection="1">
      <alignment horizontal="center" vertical="center" wrapText="1"/>
      <protection hidden="1"/>
    </xf>
    <xf numFmtId="177" fontId="21" fillId="2" borderId="116" xfId="6" applyNumberFormat="1" applyFont="1" applyFill="1" applyBorder="1" applyAlignment="1" applyProtection="1">
      <alignment vertical="center" shrinkToFit="1"/>
    </xf>
    <xf numFmtId="177" fontId="21" fillId="2" borderId="142" xfId="6" applyNumberFormat="1" applyFont="1" applyFill="1" applyBorder="1" applyAlignment="1" applyProtection="1">
      <alignment vertical="center" shrinkToFit="1"/>
    </xf>
    <xf numFmtId="0" fontId="1" fillId="2" borderId="143" xfId="6" applyFill="1" applyBorder="1" applyAlignment="1" applyProtection="1">
      <alignment vertical="center" wrapText="1"/>
      <protection hidden="1"/>
    </xf>
    <xf numFmtId="0" fontId="1" fillId="2" borderId="144" xfId="6" applyFill="1" applyBorder="1" applyProtection="1">
      <alignment vertical="center"/>
      <protection hidden="1"/>
    </xf>
    <xf numFmtId="177" fontId="21" fillId="2" borderId="145" xfId="6" applyNumberFormat="1" applyFont="1" applyFill="1" applyBorder="1" applyAlignment="1" applyProtection="1">
      <alignment vertical="center" shrinkToFit="1"/>
    </xf>
    <xf numFmtId="177" fontId="21" fillId="2" borderId="146" xfId="6" applyNumberFormat="1" applyFont="1" applyFill="1" applyBorder="1" applyAlignment="1" applyProtection="1">
      <alignment vertical="center" shrinkToFit="1"/>
    </xf>
    <xf numFmtId="0" fontId="1" fillId="2" borderId="0" xfId="6" applyFill="1" applyBorder="1" applyAlignment="1" applyProtection="1">
      <alignment vertical="center" wrapText="1"/>
      <protection hidden="1"/>
    </xf>
    <xf numFmtId="0" fontId="1" fillId="2" borderId="0" xfId="6" applyFill="1" applyBorder="1" applyProtection="1">
      <alignment vertical="center"/>
      <protection hidden="1"/>
    </xf>
    <xf numFmtId="177" fontId="21" fillId="2" borderId="0" xfId="6" applyNumberFormat="1" applyFont="1" applyFill="1" applyBorder="1" applyAlignment="1" applyProtection="1">
      <alignment vertical="center" shrinkToFit="1"/>
    </xf>
    <xf numFmtId="0" fontId="88" fillId="14" borderId="137" xfId="6" applyNumberFormat="1" applyFont="1" applyFill="1" applyBorder="1" applyAlignment="1" applyProtection="1">
      <alignment vertical="center"/>
      <protection locked="0"/>
    </xf>
    <xf numFmtId="0" fontId="88" fillId="14" borderId="147" xfId="6" applyNumberFormat="1" applyFont="1" applyFill="1" applyBorder="1" applyAlignment="1" applyProtection="1">
      <alignment vertical="center"/>
      <protection locked="0"/>
    </xf>
    <xf numFmtId="0" fontId="94" fillId="14" borderId="148" xfId="6" applyNumberFormat="1" applyFont="1" applyFill="1" applyBorder="1" applyAlignment="1" applyProtection="1">
      <alignment horizontal="center" vertical="center" wrapText="1"/>
      <protection locked="0"/>
    </xf>
    <xf numFmtId="0" fontId="94" fillId="14" borderId="149" xfId="6" applyNumberFormat="1" applyFont="1" applyFill="1" applyBorder="1" applyAlignment="1" applyProtection="1">
      <alignment horizontal="center" vertical="center" wrapText="1"/>
      <protection locked="0"/>
    </xf>
    <xf numFmtId="0" fontId="89" fillId="14" borderId="150" xfId="6" applyNumberFormat="1" applyFont="1" applyFill="1" applyBorder="1" applyAlignment="1" applyProtection="1">
      <alignment horizontal="center" vertical="center" wrapText="1"/>
      <protection locked="0"/>
    </xf>
    <xf numFmtId="0" fontId="95" fillId="14" borderId="151" xfId="6" applyNumberFormat="1" applyFont="1" applyFill="1" applyBorder="1" applyAlignment="1" applyProtection="1">
      <alignment vertical="center"/>
      <protection locked="0"/>
    </xf>
    <xf numFmtId="0" fontId="89" fillId="14" borderId="152" xfId="6" applyNumberFormat="1" applyFont="1" applyFill="1" applyBorder="1" applyAlignment="1" applyProtection="1">
      <alignment horizontal="center" vertical="center" wrapText="1"/>
      <protection locked="0"/>
    </xf>
    <xf numFmtId="0" fontId="89" fillId="14" borderId="153" xfId="6" applyNumberFormat="1" applyFont="1" applyFill="1" applyBorder="1" applyAlignment="1" applyProtection="1">
      <alignment horizontal="center" vertical="center" wrapText="1"/>
      <protection locked="0"/>
    </xf>
    <xf numFmtId="0" fontId="5" fillId="2" borderId="111" xfId="6" applyFont="1" applyFill="1" applyBorder="1" applyAlignment="1" applyProtection="1">
      <alignment vertical="center" wrapText="1"/>
      <protection hidden="1"/>
    </xf>
    <xf numFmtId="0" fontId="91" fillId="2" borderId="0" xfId="6" applyFont="1" applyFill="1" applyBorder="1" applyProtection="1">
      <alignment vertical="center"/>
      <protection locked="0"/>
    </xf>
    <xf numFmtId="0" fontId="22" fillId="2" borderId="128" xfId="6" applyNumberFormat="1" applyFont="1" applyFill="1" applyBorder="1" applyAlignment="1" applyProtection="1">
      <alignment vertical="center" wrapText="1"/>
      <protection locked="0"/>
    </xf>
    <xf numFmtId="177" fontId="2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left" vertical="center" indent="1"/>
      <protection locked="0"/>
    </xf>
    <xf numFmtId="177" fontId="22" fillId="2" borderId="128" xfId="6" applyNumberFormat="1" applyFont="1" applyFill="1" applyBorder="1" applyAlignment="1" applyProtection="1">
      <alignment vertical="center" shrinkToFit="1"/>
      <protection locked="0"/>
    </xf>
    <xf numFmtId="177" fontId="92" fillId="2" borderId="132" xfId="6" applyNumberFormat="1" applyFont="1" applyFill="1" applyBorder="1" applyAlignment="1" applyProtection="1">
      <alignment vertical="center" shrinkToFit="1"/>
      <protection locked="0"/>
    </xf>
    <xf numFmtId="0" fontId="1" fillId="2" borderId="111" xfId="6" applyFill="1" applyBorder="1" applyAlignment="1" applyProtection="1">
      <alignment horizontal="center" vertical="center" wrapText="1"/>
      <protection locked="0"/>
    </xf>
    <xf numFmtId="177" fontId="22" fillId="2" borderId="129" xfId="6" applyNumberFormat="1" applyFont="1" applyFill="1" applyBorder="1" applyAlignment="1" applyProtection="1">
      <alignment vertical="center" shrinkToFit="1"/>
      <protection locked="0"/>
    </xf>
    <xf numFmtId="177" fontId="22" fillId="2" borderId="133" xfId="6" applyNumberFormat="1" applyFont="1" applyFill="1" applyBorder="1" applyAlignment="1" applyProtection="1">
      <alignment vertical="center" shrinkToFit="1"/>
      <protection locked="0"/>
    </xf>
    <xf numFmtId="0" fontId="1" fillId="2" borderId="111" xfId="6" applyFill="1" applyBorder="1" applyAlignment="1" applyProtection="1">
      <alignment vertical="center" wrapText="1"/>
      <protection locked="0"/>
    </xf>
    <xf numFmtId="0" fontId="29" fillId="2" borderId="128" xfId="6" applyNumberFormat="1" applyFont="1" applyFill="1" applyBorder="1" applyAlignment="1" applyProtection="1">
      <alignment horizontal="right" vertical="center" wrapText="1"/>
      <protection locked="0"/>
    </xf>
    <xf numFmtId="0" fontId="29" fillId="2" borderId="132" xfId="6" applyNumberFormat="1" applyFont="1" applyFill="1" applyBorder="1" applyAlignment="1" applyProtection="1">
      <alignment horizontal="right" vertical="center" wrapText="1"/>
      <protection locked="0"/>
    </xf>
    <xf numFmtId="0" fontId="5" fillId="2" borderId="111" xfId="6" applyFont="1" applyFill="1" applyBorder="1" applyAlignment="1" applyProtection="1">
      <alignment vertical="center" wrapText="1"/>
      <protection locked="0"/>
    </xf>
    <xf numFmtId="0" fontId="22" fillId="2" borderId="111" xfId="6" applyNumberFormat="1" applyFont="1" applyFill="1" applyBorder="1" applyAlignment="1" applyProtection="1">
      <alignment horizontal="left" vertical="center" wrapText="1" indent="1"/>
      <protection locked="0"/>
    </xf>
    <xf numFmtId="0" fontId="5" fillId="2" borderId="154" xfId="6" applyFont="1" applyFill="1" applyBorder="1" applyAlignment="1" applyProtection="1">
      <alignment horizontal="center" vertical="center" wrapText="1"/>
      <protection locked="0"/>
    </xf>
    <xf numFmtId="0" fontId="91" fillId="2" borderId="155" xfId="6" applyFont="1" applyFill="1" applyBorder="1" applyProtection="1">
      <alignment vertical="center"/>
      <protection locked="0"/>
    </xf>
    <xf numFmtId="177" fontId="22" fillId="2" borderId="131" xfId="6" applyNumberFormat="1" applyFont="1" applyFill="1" applyBorder="1" applyAlignment="1" applyProtection="1">
      <alignment vertical="center" shrinkToFit="1"/>
      <protection locked="0"/>
    </xf>
    <xf numFmtId="177" fontId="22" fillId="2" borderId="136" xfId="6" applyNumberFormat="1" applyFont="1" applyFill="1" applyBorder="1" applyAlignment="1" applyProtection="1">
      <alignment vertical="center" shrinkToFit="1"/>
      <protection locked="0"/>
    </xf>
    <xf numFmtId="0" fontId="25" fillId="0" borderId="0" xfId="6" applyFont="1" applyFill="1" applyBorder="1" applyProtection="1">
      <alignment vertical="center"/>
      <protection locked="0"/>
    </xf>
    <xf numFmtId="0" fontId="1" fillId="5" borderId="0" xfId="25" applyFont="1" applyFill="1" applyProtection="1">
      <alignment vertical="center"/>
      <protection locked="0"/>
    </xf>
    <xf numFmtId="0" fontId="88" fillId="14" borderId="111" xfId="6" applyNumberFormat="1" applyFont="1" applyFill="1" applyBorder="1" applyAlignment="1" applyProtection="1">
      <alignment vertical="center"/>
    </xf>
    <xf numFmtId="0" fontId="89" fillId="14" borderId="0" xfId="6" applyFont="1" applyFill="1" applyBorder="1" applyAlignment="1" applyProtection="1">
      <alignment horizontal="left" vertical="center" indent="10"/>
    </xf>
    <xf numFmtId="0" fontId="90" fillId="14" borderId="0" xfId="6" applyFont="1" applyFill="1" applyBorder="1" applyProtection="1">
      <alignment vertical="center"/>
    </xf>
    <xf numFmtId="0" fontId="89" fillId="14" borderId="0" xfId="6" applyFont="1" applyFill="1" applyBorder="1" applyAlignment="1" applyProtection="1">
      <alignment horizontal="left" vertical="center" indent="2"/>
    </xf>
    <xf numFmtId="0" fontId="89" fillId="14" borderId="128" xfId="6" applyFont="1" applyFill="1" applyBorder="1" applyAlignment="1" applyProtection="1">
      <alignment horizontal="center" vertical="center" wrapText="1"/>
    </xf>
    <xf numFmtId="0" fontId="89" fillId="14" borderId="118" xfId="6" applyFont="1" applyFill="1" applyBorder="1" applyAlignment="1" applyProtection="1">
      <alignment horizontal="center" vertical="center" wrapText="1"/>
    </xf>
    <xf numFmtId="0" fontId="89" fillId="14" borderId="132" xfId="6" applyFont="1" applyFill="1" applyBorder="1" applyAlignment="1" applyProtection="1">
      <alignment horizontal="center" vertical="center" wrapText="1"/>
    </xf>
    <xf numFmtId="0" fontId="1" fillId="5" borderId="0" xfId="6" applyFill="1" applyProtection="1">
      <alignment vertical="center"/>
      <protection locked="0"/>
    </xf>
    <xf numFmtId="0" fontId="1" fillId="5" borderId="0" xfId="6" applyFill="1">
      <alignment vertical="center"/>
    </xf>
    <xf numFmtId="0" fontId="5" fillId="2" borderId="111" xfId="6" applyFont="1" applyFill="1" applyBorder="1" applyAlignment="1" applyProtection="1">
      <alignment horizontal="left" vertical="center" wrapText="1"/>
    </xf>
    <xf numFmtId="0" fontId="1" fillId="2" borderId="0" xfId="6" applyFont="1" applyFill="1" applyBorder="1" applyProtection="1">
      <alignment vertical="center"/>
    </xf>
    <xf numFmtId="0" fontId="5" fillId="2" borderId="0" xfId="6" applyFont="1" applyFill="1" applyBorder="1" applyAlignment="1" applyProtection="1">
      <alignment vertical="center"/>
    </xf>
    <xf numFmtId="0" fontId="1" fillId="2" borderId="0" xfId="6" applyFont="1" applyFill="1" applyProtection="1">
      <alignment vertical="center"/>
    </xf>
    <xf numFmtId="177" fontId="22" fillId="2" borderId="111" xfId="6" applyNumberFormat="1" applyFont="1" applyFill="1" applyBorder="1" applyAlignment="1" applyProtection="1">
      <alignment vertical="center" shrinkToFit="1"/>
    </xf>
    <xf numFmtId="0" fontId="1" fillId="2" borderId="0" xfId="6" applyFont="1" applyFill="1" applyBorder="1" applyAlignment="1" applyProtection="1">
      <alignment horizontal="left" vertical="center" indent="1"/>
    </xf>
    <xf numFmtId="0" fontId="25" fillId="2" borderId="111" xfId="6" applyFont="1" applyFill="1" applyBorder="1" applyAlignment="1" applyProtection="1">
      <alignment horizontal="right" vertical="center"/>
    </xf>
    <xf numFmtId="177" fontId="92" fillId="2" borderId="128" xfId="6" applyNumberFormat="1" applyFont="1" applyFill="1" applyBorder="1" applyAlignment="1" applyProtection="1">
      <alignment vertical="center" shrinkToFit="1"/>
    </xf>
    <xf numFmtId="177" fontId="92" fillId="2" borderId="118" xfId="6" applyNumberFormat="1" applyFont="1" applyFill="1" applyBorder="1" applyAlignment="1" applyProtection="1">
      <alignment vertical="center" shrinkToFit="1"/>
    </xf>
    <xf numFmtId="0" fontId="1" fillId="2" borderId="111" xfId="6" applyFont="1" applyFill="1" applyBorder="1" applyAlignment="1" applyProtection="1">
      <alignment horizontal="center" vertical="center"/>
    </xf>
    <xf numFmtId="0" fontId="1" fillId="2" borderId="0" xfId="6" applyFont="1" applyFill="1" applyBorder="1" applyAlignment="1" applyProtection="1">
      <alignment horizontal="left" vertical="center" indent="2"/>
    </xf>
    <xf numFmtId="177" fontId="22" fillId="2" borderId="119" xfId="6" applyNumberFormat="1" applyFont="1" applyFill="1" applyBorder="1" applyAlignment="1" applyProtection="1">
      <alignment vertical="center" shrinkToFit="1"/>
    </xf>
    <xf numFmtId="0" fontId="29" fillId="2" borderId="118" xfId="6" applyNumberFormat="1" applyFont="1" applyFill="1" applyBorder="1" applyAlignment="1" applyProtection="1">
      <alignment horizontal="right" vertical="center" wrapText="1"/>
    </xf>
    <xf numFmtId="0" fontId="88" fillId="14" borderId="112" xfId="6" applyNumberFormat="1" applyFont="1" applyFill="1" applyBorder="1" applyAlignment="1" applyProtection="1">
      <alignment vertical="center"/>
    </xf>
    <xf numFmtId="0" fontId="89" fillId="14" borderId="113" xfId="6" applyFont="1" applyFill="1" applyBorder="1" applyAlignment="1" applyProtection="1">
      <alignment horizontal="left" vertical="center" indent="10"/>
    </xf>
    <xf numFmtId="0" fontId="89" fillId="14" borderId="114" xfId="6" applyFont="1" applyFill="1" applyBorder="1" applyAlignment="1" applyProtection="1">
      <alignment horizontal="left" vertical="center" indent="10"/>
    </xf>
    <xf numFmtId="0" fontId="90" fillId="14" borderId="114" xfId="6" applyFont="1" applyFill="1" applyBorder="1" applyProtection="1">
      <alignment vertical="center"/>
    </xf>
    <xf numFmtId="0" fontId="90" fillId="14" borderId="122" xfId="6" applyFont="1" applyFill="1" applyBorder="1" applyProtection="1">
      <alignment vertical="center"/>
    </xf>
    <xf numFmtId="0" fontId="89" fillId="14" borderId="114" xfId="6" applyFont="1" applyFill="1" applyBorder="1" applyAlignment="1" applyProtection="1">
      <alignment horizontal="left" vertical="center" indent="9"/>
    </xf>
    <xf numFmtId="0" fontId="90" fillId="14" borderId="134" xfId="6" applyFont="1" applyFill="1" applyBorder="1" applyProtection="1">
      <alignment vertical="center"/>
    </xf>
    <xf numFmtId="0" fontId="89" fillId="14" borderId="115" xfId="6" applyNumberFormat="1" applyFont="1" applyFill="1" applyBorder="1" applyAlignment="1" applyProtection="1">
      <alignment horizontal="center" vertical="center"/>
    </xf>
    <xf numFmtId="0" fontId="89" fillId="14" borderId="116" xfId="6" applyFont="1" applyFill="1" applyBorder="1" applyAlignment="1" applyProtection="1">
      <alignment horizontal="center" vertical="center" wrapText="1"/>
    </xf>
    <xf numFmtId="0" fontId="89" fillId="14" borderId="123" xfId="6" applyFont="1" applyFill="1" applyBorder="1" applyAlignment="1" applyProtection="1">
      <alignment horizontal="center" vertical="center" wrapText="1"/>
    </xf>
    <xf numFmtId="0" fontId="89" fillId="14" borderId="130" xfId="6" applyFont="1" applyFill="1" applyBorder="1" applyAlignment="1" applyProtection="1">
      <alignment horizontal="center" vertical="center" wrapText="1"/>
    </xf>
    <xf numFmtId="0" fontId="89" fillId="14" borderId="135" xfId="6" applyFont="1" applyFill="1" applyBorder="1" applyAlignment="1" applyProtection="1">
      <alignment horizontal="center" vertical="center" wrapText="1"/>
    </xf>
    <xf numFmtId="0" fontId="5" fillId="2" borderId="117" xfId="6" applyFont="1" applyFill="1" applyBorder="1" applyAlignment="1" applyProtection="1">
      <alignment vertical="center" wrapText="1"/>
    </xf>
    <xf numFmtId="177" fontId="22" fillId="2" borderId="124" xfId="6" applyNumberFormat="1" applyFont="1" applyFill="1" applyBorder="1" applyAlignment="1" applyProtection="1">
      <alignment vertical="center" shrinkToFit="1"/>
    </xf>
    <xf numFmtId="0" fontId="25" fillId="2" borderId="117" xfId="6" applyFont="1" applyFill="1" applyBorder="1" applyAlignment="1" applyProtection="1">
      <alignment horizontal="left" vertical="center" indent="1"/>
    </xf>
    <xf numFmtId="177" fontId="22" fillId="2" borderId="125" xfId="6" applyNumberFormat="1" applyFont="1" applyFill="1" applyBorder="1" applyAlignment="1" applyProtection="1">
      <alignment vertical="center" shrinkToFit="1"/>
    </xf>
    <xf numFmtId="0" fontId="1" fillId="2" borderId="117" xfId="6" applyFont="1" applyFill="1" applyBorder="1" applyAlignment="1" applyProtection="1">
      <alignment horizontal="left" vertical="center" indent="1"/>
    </xf>
    <xf numFmtId="0" fontId="1" fillId="2" borderId="117" xfId="6" applyFont="1" applyFill="1" applyBorder="1" applyAlignment="1" applyProtection="1">
      <alignment horizontal="center" vertical="center"/>
    </xf>
    <xf numFmtId="177" fontId="22" fillId="2" borderId="126" xfId="6" applyNumberFormat="1" applyFont="1" applyFill="1" applyBorder="1" applyAlignment="1" applyProtection="1">
      <alignment vertical="center" shrinkToFit="1"/>
    </xf>
    <xf numFmtId="0" fontId="1" fillId="2" borderId="120" xfId="6" applyFont="1" applyFill="1" applyBorder="1" applyProtection="1">
      <alignment vertical="center"/>
    </xf>
    <xf numFmtId="0" fontId="29" fillId="2" borderId="121" xfId="6" applyNumberFormat="1" applyFont="1" applyFill="1" applyBorder="1" applyAlignment="1" applyProtection="1">
      <alignment horizontal="right" vertical="center" wrapText="1"/>
    </xf>
    <xf numFmtId="0" fontId="29" fillId="2" borderId="127" xfId="6" applyNumberFormat="1" applyFont="1" applyFill="1" applyBorder="1" applyAlignment="1" applyProtection="1">
      <alignment horizontal="right" vertical="center" wrapText="1"/>
    </xf>
    <xf numFmtId="0" fontId="29" fillId="2" borderId="131" xfId="6" applyNumberFormat="1" applyFont="1" applyFill="1" applyBorder="1" applyAlignment="1" applyProtection="1">
      <alignment horizontal="right" vertical="center" wrapText="1"/>
    </xf>
    <xf numFmtId="0" fontId="29" fillId="2" borderId="136" xfId="6" applyNumberFormat="1" applyFont="1" applyFill="1" applyBorder="1" applyAlignment="1" applyProtection="1">
      <alignment horizontal="right" vertical="center" wrapText="1"/>
    </xf>
    <xf numFmtId="0" fontId="5" fillId="0" borderId="0" xfId="19" applyFont="1" applyFill="1" applyProtection="1">
      <alignment vertical="center"/>
    </xf>
    <xf numFmtId="0" fontId="1" fillId="0" borderId="0" xfId="19" applyFont="1" applyFill="1" applyProtection="1">
      <alignment vertical="center"/>
    </xf>
    <xf numFmtId="0" fontId="185" fillId="0" borderId="0" xfId="6" applyFont="1" applyFill="1" applyProtection="1">
      <alignment vertical="center"/>
    </xf>
    <xf numFmtId="0" fontId="185" fillId="0" borderId="255" xfId="6" applyFont="1" applyFill="1" applyBorder="1" applyAlignment="1" applyProtection="1">
      <alignment horizontal="left" vertical="center" wrapText="1"/>
    </xf>
    <xf numFmtId="49" fontId="184" fillId="0" borderId="255" xfId="6" applyNumberFormat="1" applyFont="1" applyFill="1" applyBorder="1" applyAlignment="1" applyProtection="1">
      <alignment horizontal="center" vertical="center" shrinkToFit="1"/>
      <protection locked="0"/>
    </xf>
    <xf numFmtId="177" fontId="22" fillId="0" borderId="255" xfId="118" applyNumberFormat="1" applyFont="1" applyFill="1" applyBorder="1" applyAlignment="1" applyProtection="1">
      <alignment vertical="center" shrinkToFit="1"/>
    </xf>
    <xf numFmtId="177" fontId="22" fillId="0" borderId="255" xfId="118" applyNumberFormat="1" applyFont="1" applyFill="1" applyBorder="1" applyAlignment="1" applyProtection="1">
      <alignment vertical="center" shrinkToFit="1"/>
      <protection locked="0"/>
    </xf>
    <xf numFmtId="0" fontId="185" fillId="0" borderId="255" xfId="6" applyFont="1" applyFill="1" applyBorder="1" applyAlignment="1" applyProtection="1">
      <alignment horizontal="left" vertical="center" wrapText="1" indent="1"/>
    </xf>
    <xf numFmtId="0" fontId="185" fillId="0" borderId="255" xfId="6" applyFont="1" applyFill="1" applyBorder="1" applyAlignment="1" applyProtection="1">
      <alignment horizontal="left" vertical="center" wrapText="1" indent="2"/>
    </xf>
    <xf numFmtId="0" fontId="186" fillId="0" borderId="255" xfId="6" applyFont="1" applyFill="1" applyBorder="1" applyAlignment="1" applyProtection="1">
      <alignment horizontal="left" vertical="center" wrapText="1"/>
    </xf>
    <xf numFmtId="0" fontId="185" fillId="0" borderId="255" xfId="6" applyFont="1" applyFill="1" applyBorder="1" applyAlignment="1" applyProtection="1">
      <alignment horizontal="left" vertical="center" wrapText="1"/>
      <protection locked="0"/>
    </xf>
    <xf numFmtId="0" fontId="185" fillId="0" borderId="255" xfId="6" applyFont="1" applyFill="1" applyBorder="1" applyAlignment="1" applyProtection="1">
      <alignment horizontal="left" vertical="center" wrapText="1" indent="1"/>
      <protection locked="0"/>
    </xf>
    <xf numFmtId="0" fontId="185" fillId="0" borderId="255" xfId="6" applyFont="1" applyFill="1" applyBorder="1" applyAlignment="1" applyProtection="1">
      <alignment horizontal="left" vertical="center" wrapText="1" indent="2"/>
      <protection locked="0"/>
    </xf>
    <xf numFmtId="0" fontId="186" fillId="0" borderId="255" xfId="6" applyFont="1" applyFill="1" applyBorder="1" applyAlignment="1" applyProtection="1">
      <alignment horizontal="left" vertical="center" wrapText="1"/>
      <protection locked="0"/>
    </xf>
    <xf numFmtId="0" fontId="5" fillId="0" borderId="257" xfId="6" applyFont="1" applyFill="1" applyBorder="1" applyAlignment="1" applyProtection="1">
      <alignment horizontal="center" vertical="center"/>
    </xf>
    <xf numFmtId="0" fontId="5" fillId="0" borderId="258" xfId="6" applyFont="1" applyFill="1" applyBorder="1" applyAlignment="1" applyProtection="1">
      <alignment horizontal="center" vertical="center"/>
    </xf>
    <xf numFmtId="0" fontId="185" fillId="0" borderId="260" xfId="6" applyFont="1" applyFill="1" applyBorder="1" applyAlignment="1" applyProtection="1">
      <alignment horizontal="left" vertical="center" wrapText="1"/>
    </xf>
    <xf numFmtId="177" fontId="22" fillId="0" borderId="261" xfId="118"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xf>
    <xf numFmtId="0" fontId="185" fillId="0" borderId="260" xfId="6" applyFont="1" applyFill="1" applyBorder="1" applyAlignment="1" applyProtection="1">
      <alignment horizontal="left" vertical="center" wrapText="1" indent="2"/>
    </xf>
    <xf numFmtId="0" fontId="186" fillId="0" borderId="260" xfId="6" applyFont="1" applyFill="1" applyBorder="1" applyAlignment="1" applyProtection="1">
      <alignment horizontal="left" vertical="center" wrapText="1"/>
    </xf>
    <xf numFmtId="49" fontId="184" fillId="0" borderId="263" xfId="6" applyNumberFormat="1" applyFont="1" applyFill="1" applyBorder="1" applyAlignment="1" applyProtection="1">
      <alignment horizontal="center" vertical="center" shrinkToFit="1"/>
      <protection locked="0"/>
    </xf>
    <xf numFmtId="177" fontId="21" fillId="0" borderId="263" xfId="118" applyNumberFormat="1" applyFont="1" applyFill="1" applyBorder="1" applyAlignment="1" applyProtection="1">
      <alignment vertical="center" shrinkToFit="1"/>
    </xf>
    <xf numFmtId="177" fontId="21" fillId="0" borderId="263" xfId="118" applyNumberFormat="1" applyFont="1" applyFill="1" applyBorder="1" applyAlignment="1" applyProtection="1">
      <alignment vertical="center" shrinkToFit="1"/>
      <protection locked="0"/>
    </xf>
    <xf numFmtId="0" fontId="186" fillId="0" borderId="263" xfId="6" applyFont="1" applyFill="1" applyBorder="1" applyAlignment="1" applyProtection="1">
      <alignment horizontal="left" vertical="center" wrapText="1"/>
      <protection locked="0"/>
    </xf>
    <xf numFmtId="177" fontId="21" fillId="0" borderId="264" xfId="118" applyNumberFormat="1" applyFont="1" applyFill="1" applyBorder="1" applyAlignment="1" applyProtection="1">
      <alignment vertical="center" shrinkToFit="1"/>
      <protection locked="0"/>
    </xf>
    <xf numFmtId="0" fontId="186" fillId="0" borderId="0" xfId="19" applyFont="1" applyFill="1" applyProtection="1">
      <alignment vertical="center"/>
    </xf>
    <xf numFmtId="0" fontId="185" fillId="0" borderId="0" xfId="19" applyFont="1" applyFill="1" applyProtection="1">
      <alignment vertical="center"/>
    </xf>
    <xf numFmtId="0" fontId="185" fillId="0" borderId="0" xfId="19" applyFont="1" applyFill="1" applyAlignment="1" applyProtection="1">
      <alignment horizontal="left" vertical="center" indent="3"/>
    </xf>
    <xf numFmtId="0" fontId="185" fillId="0" borderId="0" xfId="19" applyFont="1" applyFill="1" applyAlignment="1" applyProtection="1">
      <alignment horizontal="left" vertical="center" indent="2"/>
    </xf>
    <xf numFmtId="0" fontId="185" fillId="0" borderId="0" xfId="25" applyFont="1" applyFill="1" applyProtection="1">
      <alignment vertical="center"/>
    </xf>
    <xf numFmtId="0" fontId="186" fillId="0" borderId="257" xfId="6" applyFont="1" applyFill="1" applyBorder="1" applyAlignment="1" applyProtection="1">
      <alignment horizontal="center" vertical="center"/>
    </xf>
    <xf numFmtId="0" fontId="21" fillId="0" borderId="258" xfId="6" applyFont="1" applyFill="1" applyBorder="1" applyAlignment="1" applyProtection="1">
      <alignment horizontal="center" vertical="center"/>
    </xf>
    <xf numFmtId="0" fontId="186" fillId="0" borderId="258" xfId="6" applyFont="1" applyFill="1" applyBorder="1" applyAlignment="1" applyProtection="1">
      <alignment horizontal="center" vertical="center"/>
    </xf>
    <xf numFmtId="0" fontId="186" fillId="0" borderId="259" xfId="6" applyFont="1" applyFill="1" applyBorder="1" applyAlignment="1" applyProtection="1">
      <alignment horizontal="center" vertical="center"/>
    </xf>
    <xf numFmtId="0" fontId="186" fillId="0" borderId="260" xfId="6" applyNumberFormat="1" applyFont="1" applyFill="1" applyBorder="1" applyAlignment="1" applyProtection="1">
      <alignment horizontal="left" vertical="center" wrapText="1"/>
    </xf>
    <xf numFmtId="49" fontId="22" fillId="0" borderId="255" xfId="6"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xf>
    <xf numFmtId="177" fontId="22" fillId="0" borderId="261" xfId="119" applyNumberFormat="1" applyFont="1" applyFill="1" applyBorder="1" applyAlignment="1" applyProtection="1">
      <alignment vertical="center" shrinkToFit="1"/>
      <protection locked="0"/>
    </xf>
    <xf numFmtId="0" fontId="185" fillId="0" borderId="260" xfId="6" applyNumberFormat="1" applyFont="1" applyFill="1" applyBorder="1" applyAlignment="1" applyProtection="1">
      <alignment horizontal="left" vertical="center" wrapText="1"/>
    </xf>
    <xf numFmtId="49" fontId="22" fillId="0" borderId="255" xfId="119" applyNumberFormat="1" applyFont="1" applyFill="1" applyBorder="1" applyAlignment="1" applyProtection="1">
      <alignment horizontal="center" vertical="center" shrinkToFit="1"/>
      <protection locked="0"/>
    </xf>
    <xf numFmtId="177" fontId="22" fillId="0" borderId="255" xfId="119" applyNumberFormat="1" applyFont="1" applyFill="1" applyBorder="1" applyAlignment="1" applyProtection="1">
      <alignment vertical="center" shrinkToFit="1"/>
      <protection locked="0"/>
    </xf>
    <xf numFmtId="0" fontId="185" fillId="0" borderId="260" xfId="6" applyFont="1" applyFill="1" applyBorder="1" applyAlignment="1" applyProtection="1">
      <alignment horizontal="left" vertical="center" wrapText="1" indent="1"/>
      <protection locked="0"/>
    </xf>
    <xf numFmtId="0" fontId="186" fillId="0" borderId="260" xfId="6" applyFont="1" applyFill="1" applyBorder="1" applyAlignment="1" applyProtection="1">
      <alignment vertical="center" wrapText="1"/>
      <protection locked="0"/>
    </xf>
    <xf numFmtId="0" fontId="186" fillId="0" borderId="260" xfId="6" applyFont="1" applyFill="1" applyBorder="1" applyAlignment="1" applyProtection="1">
      <alignment vertical="center" wrapText="1"/>
    </xf>
    <xf numFmtId="190" fontId="185" fillId="0" borderId="260" xfId="6" applyNumberFormat="1" applyFont="1" applyFill="1" applyBorder="1" applyAlignment="1" applyProtection="1">
      <alignment horizontal="left" vertical="center" wrapText="1" indent="1"/>
    </xf>
    <xf numFmtId="191" fontId="185" fillId="0" borderId="260" xfId="6" applyNumberFormat="1" applyFont="1" applyFill="1" applyBorder="1" applyAlignment="1" applyProtection="1">
      <alignment horizontal="left" vertical="center" wrapText="1" indent="1"/>
    </xf>
    <xf numFmtId="192" fontId="185" fillId="0" borderId="260" xfId="6" applyNumberFormat="1" applyFont="1" applyFill="1" applyBorder="1" applyAlignment="1" applyProtection="1">
      <alignment horizontal="left" vertical="center" wrapText="1" indent="1"/>
    </xf>
    <xf numFmtId="193" fontId="185" fillId="0" borderId="260" xfId="6" applyNumberFormat="1" applyFont="1" applyFill="1" applyBorder="1" applyAlignment="1" applyProtection="1">
      <alignment horizontal="left" vertical="center" wrapText="1" indent="1"/>
    </xf>
    <xf numFmtId="194" fontId="185" fillId="0" borderId="260" xfId="6" applyNumberFormat="1" applyFont="1" applyFill="1" applyBorder="1" applyAlignment="1" applyProtection="1">
      <alignment horizontal="left" vertical="center" wrapText="1" indent="1"/>
    </xf>
    <xf numFmtId="195" fontId="185" fillId="0" borderId="260" xfId="6" applyNumberFormat="1" applyFont="1" applyFill="1" applyBorder="1" applyAlignment="1" applyProtection="1">
      <alignment horizontal="left" vertical="center" wrapText="1" indent="1"/>
    </xf>
    <xf numFmtId="196" fontId="185" fillId="0" borderId="260" xfId="6" applyNumberFormat="1" applyFont="1" applyFill="1" applyBorder="1" applyAlignment="1" applyProtection="1">
      <alignment horizontal="left" vertical="center" wrapText="1" indent="1"/>
    </xf>
    <xf numFmtId="197" fontId="185" fillId="0" borderId="260" xfId="6" applyNumberFormat="1" applyFont="1" applyFill="1" applyBorder="1" applyAlignment="1" applyProtection="1">
      <alignment horizontal="left" vertical="center" wrapText="1" indent="1"/>
    </xf>
    <xf numFmtId="198" fontId="185" fillId="0" borderId="260" xfId="6" applyNumberFormat="1" applyFont="1" applyFill="1" applyBorder="1" applyAlignment="1" applyProtection="1">
      <alignment horizontal="left" vertical="center" wrapText="1" indent="1"/>
    </xf>
    <xf numFmtId="199" fontId="185" fillId="0" borderId="260" xfId="6" applyNumberFormat="1" applyFont="1" applyFill="1" applyBorder="1" applyAlignment="1" applyProtection="1">
      <alignment horizontal="left" vertical="center" wrapText="1" indent="1"/>
    </xf>
    <xf numFmtId="200" fontId="185" fillId="0" borderId="260" xfId="6" applyNumberFormat="1" applyFont="1" applyFill="1" applyBorder="1" applyAlignment="1" applyProtection="1">
      <alignment horizontal="left" vertical="center" wrapText="1" indent="1"/>
    </xf>
    <xf numFmtId="0" fontId="185" fillId="0" borderId="262" xfId="6" applyFont="1" applyFill="1" applyBorder="1" applyAlignment="1" applyProtection="1">
      <alignment horizontal="left" vertical="center" wrapText="1" indent="1"/>
    </xf>
    <xf numFmtId="49" fontId="22" fillId="0" borderId="263" xfId="119" applyNumberFormat="1" applyFont="1" applyFill="1" applyBorder="1" applyAlignment="1" applyProtection="1">
      <alignment horizontal="center" vertical="center" shrinkToFit="1"/>
      <protection locked="0"/>
    </xf>
    <xf numFmtId="177" fontId="22" fillId="0" borderId="263" xfId="119" applyNumberFormat="1" applyFont="1" applyFill="1" applyBorder="1" applyAlignment="1" applyProtection="1">
      <alignment vertical="center" shrinkToFit="1"/>
    </xf>
    <xf numFmtId="177" fontId="22" fillId="0" borderId="264" xfId="119" applyNumberFormat="1" applyFont="1" applyFill="1" applyBorder="1" applyAlignment="1" applyProtection="1">
      <alignment vertical="center" shrinkToFit="1"/>
      <protection locked="0"/>
    </xf>
    <xf numFmtId="0" fontId="186" fillId="0" borderId="257" xfId="25" applyFont="1" applyFill="1" applyBorder="1" applyAlignment="1" applyProtection="1">
      <alignment horizontal="center" vertical="center"/>
    </xf>
    <xf numFmtId="0" fontId="186" fillId="0" borderId="258" xfId="25" applyFont="1" applyFill="1" applyBorder="1" applyAlignment="1" applyProtection="1">
      <alignment horizontal="center" vertical="center"/>
    </xf>
    <xf numFmtId="0" fontId="186" fillId="0" borderId="259" xfId="25" applyFont="1" applyFill="1" applyBorder="1" applyAlignment="1" applyProtection="1">
      <alignment horizontal="center" vertical="center"/>
    </xf>
    <xf numFmtId="0" fontId="186" fillId="0" borderId="260" xfId="25" applyFont="1" applyFill="1" applyBorder="1" applyProtection="1">
      <alignment vertical="center"/>
    </xf>
    <xf numFmtId="49" fontId="87" fillId="0" borderId="255" xfId="25" applyNumberFormat="1" applyFont="1" applyFill="1" applyBorder="1" applyAlignment="1" applyProtection="1">
      <alignment horizontal="center" vertical="center"/>
      <protection locked="0"/>
    </xf>
    <xf numFmtId="177" fontId="22" fillId="0" borderId="255" xfId="120" applyNumberFormat="1" applyFont="1" applyFill="1" applyBorder="1" applyAlignment="1" applyProtection="1">
      <alignment vertical="center" shrinkToFit="1"/>
    </xf>
    <xf numFmtId="177" fontId="22" fillId="0" borderId="261" xfId="120"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indent="1"/>
    </xf>
    <xf numFmtId="0" fontId="185" fillId="0" borderId="260" xfId="25" applyFont="1" applyFill="1" applyBorder="1" applyProtection="1">
      <alignment vertical="center"/>
    </xf>
    <xf numFmtId="0" fontId="186" fillId="0" borderId="262" xfId="25" applyFont="1" applyFill="1" applyBorder="1" applyProtection="1">
      <alignment vertical="center"/>
    </xf>
    <xf numFmtId="49" fontId="87" fillId="0" borderId="263" xfId="25" applyNumberFormat="1" applyFont="1" applyFill="1" applyBorder="1" applyAlignment="1" applyProtection="1">
      <alignment horizontal="center" vertical="center"/>
      <protection locked="0"/>
    </xf>
    <xf numFmtId="177" fontId="22" fillId="0" borderId="263" xfId="120" applyNumberFormat="1" applyFont="1" applyFill="1" applyBorder="1" applyAlignment="1" applyProtection="1">
      <alignment vertical="center" shrinkToFit="1"/>
    </xf>
    <xf numFmtId="177" fontId="22" fillId="0" borderId="264" xfId="120" applyNumberFormat="1" applyFont="1" applyFill="1" applyBorder="1" applyAlignment="1" applyProtection="1">
      <alignment vertical="center" shrinkToFit="1"/>
      <protection locked="0"/>
    </xf>
    <xf numFmtId="0" fontId="187" fillId="5" borderId="0" xfId="19" applyFont="1" applyFill="1" applyAlignment="1" applyProtection="1">
      <alignment horizontal="center" vertical="center"/>
      <protection locked="0"/>
    </xf>
    <xf numFmtId="0" fontId="187" fillId="5" borderId="0" xfId="19" applyFont="1" applyFill="1" applyAlignment="1" applyProtection="1">
      <alignment horizontal="left" vertical="center"/>
      <protection locked="0"/>
    </xf>
    <xf numFmtId="31" fontId="188" fillId="5" borderId="0" xfId="19" applyNumberFormat="1" applyFont="1" applyFill="1" applyAlignment="1" applyProtection="1">
      <alignment horizontal="center" vertical="center"/>
    </xf>
    <xf numFmtId="0" fontId="185" fillId="5" borderId="0" xfId="19" applyFont="1" applyFill="1" applyProtection="1">
      <alignment vertical="center"/>
    </xf>
    <xf numFmtId="31" fontId="188" fillId="5" borderId="0" xfId="19" applyNumberFormat="1" applyFont="1" applyFill="1" applyAlignment="1" applyProtection="1">
      <alignment horizontal="left" vertical="center"/>
    </xf>
    <xf numFmtId="0" fontId="186" fillId="5" borderId="0" xfId="25" applyFont="1" applyFill="1" applyProtection="1">
      <alignment vertical="center"/>
    </xf>
    <xf numFmtId="0" fontId="185" fillId="5" borderId="0" xfId="25" applyFont="1" applyFill="1" applyAlignment="1" applyProtection="1">
      <alignment horizontal="left" vertical="center"/>
    </xf>
    <xf numFmtId="0" fontId="185" fillId="5" borderId="0" xfId="25" applyFont="1" applyFill="1" applyProtection="1">
      <alignment vertical="center"/>
    </xf>
    <xf numFmtId="0" fontId="185" fillId="5" borderId="0" xfId="25" applyFont="1" applyFill="1" applyAlignment="1" applyProtection="1">
      <alignment horizontal="left" vertical="center" indent="2"/>
    </xf>
    <xf numFmtId="0" fontId="185" fillId="5" borderId="255" xfId="25" applyFont="1" applyFill="1" applyBorder="1" applyAlignment="1" applyProtection="1">
      <alignment horizontal="center" vertical="center" wrapText="1"/>
      <protection locked="0"/>
    </xf>
    <xf numFmtId="0" fontId="186" fillId="5" borderId="260" xfId="25" applyFont="1" applyFill="1" applyBorder="1" applyAlignment="1" applyProtection="1">
      <alignment horizontal="left" vertical="center" wrapText="1"/>
    </xf>
    <xf numFmtId="177" fontId="22" fillId="5" borderId="255" xfId="120" applyNumberFormat="1" applyFont="1" applyFill="1" applyBorder="1" applyAlignment="1" applyProtection="1">
      <alignment vertical="center" shrinkToFit="1"/>
    </xf>
    <xf numFmtId="177" fontId="22" fillId="5" borderId="255"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protection locked="0"/>
    </xf>
    <xf numFmtId="0" fontId="185" fillId="5" borderId="260" xfId="25" applyFont="1" applyFill="1" applyBorder="1" applyAlignment="1" applyProtection="1">
      <alignment horizontal="left" vertical="center" wrapText="1" indent="1"/>
    </xf>
    <xf numFmtId="0" fontId="185" fillId="5" borderId="260" xfId="25" applyFont="1" applyFill="1" applyBorder="1" applyAlignment="1" applyProtection="1">
      <alignment horizontal="left" vertical="center" indent="1" shrinkToFit="1"/>
    </xf>
    <xf numFmtId="181" fontId="185" fillId="5" borderId="260" xfId="25" applyNumberFormat="1" applyFont="1" applyFill="1" applyBorder="1" applyAlignment="1" applyProtection="1">
      <alignment horizontal="left" vertical="center" wrapText="1" indent="1"/>
    </xf>
    <xf numFmtId="184" fontId="185" fillId="5" borderId="260" xfId="25" applyNumberFormat="1" applyFont="1" applyFill="1" applyBorder="1" applyAlignment="1" applyProtection="1">
      <alignment horizontal="left" vertical="center" wrapText="1" indent="1"/>
    </xf>
    <xf numFmtId="183" fontId="185" fillId="5" borderId="260" xfId="25" applyNumberFormat="1" applyFont="1" applyFill="1" applyBorder="1" applyAlignment="1" applyProtection="1">
      <alignment horizontal="left" vertical="center" wrapText="1" indent="1"/>
    </xf>
    <xf numFmtId="180" fontId="185" fillId="5" borderId="260" xfId="25" applyNumberFormat="1" applyFont="1" applyFill="1" applyBorder="1" applyAlignment="1" applyProtection="1">
      <alignment horizontal="left" vertical="center" wrapText="1" indent="1"/>
    </xf>
    <xf numFmtId="179" fontId="185" fillId="5" borderId="260" xfId="25" applyNumberFormat="1" applyFont="1" applyFill="1" applyBorder="1" applyAlignment="1" applyProtection="1">
      <alignment horizontal="left" vertical="center" wrapText="1" indent="1"/>
    </xf>
    <xf numFmtId="185" fontId="185" fillId="5" borderId="260" xfId="25" applyNumberFormat="1" applyFont="1" applyFill="1" applyBorder="1" applyAlignment="1" applyProtection="1">
      <alignment horizontal="left" vertical="center" wrapText="1" indent="1"/>
    </xf>
    <xf numFmtId="0" fontId="186" fillId="5" borderId="262" xfId="25" applyFont="1" applyFill="1" applyBorder="1" applyAlignment="1" applyProtection="1">
      <alignment horizontal="left" vertical="center" wrapText="1"/>
    </xf>
    <xf numFmtId="177" fontId="22" fillId="5" borderId="263" xfId="120" applyNumberFormat="1" applyFont="1" applyFill="1" applyBorder="1" applyAlignment="1" applyProtection="1">
      <alignment vertical="center" shrinkToFit="1"/>
    </xf>
    <xf numFmtId="177" fontId="22" fillId="5" borderId="263" xfId="120" applyNumberFormat="1" applyFont="1" applyFill="1" applyBorder="1" applyAlignment="1" applyProtection="1">
      <alignment vertical="center" shrinkToFit="1"/>
      <protection locked="0"/>
    </xf>
    <xf numFmtId="177" fontId="21" fillId="5" borderId="264" xfId="120" applyNumberFormat="1" applyFont="1" applyFill="1" applyBorder="1" applyAlignment="1" applyProtection="1">
      <alignment vertical="center" shrinkToFit="1"/>
      <protection locked="0"/>
    </xf>
    <xf numFmtId="0" fontId="185" fillId="5" borderId="265" xfId="25" applyFont="1" applyFill="1" applyBorder="1" applyAlignment="1" applyProtection="1">
      <alignment horizontal="center" vertical="center"/>
    </xf>
    <xf numFmtId="177" fontId="22" fillId="5" borderId="256" xfId="120" applyNumberFormat="1" applyFont="1" applyFill="1" applyBorder="1" applyAlignment="1" applyProtection="1">
      <alignment vertical="center" shrinkToFit="1"/>
      <protection locked="0"/>
    </xf>
    <xf numFmtId="177" fontId="22" fillId="5" borderId="267" xfId="120" applyNumberFormat="1" applyFont="1" applyFill="1" applyBorder="1" applyAlignment="1" applyProtection="1">
      <alignment vertical="center" shrinkToFit="1"/>
      <protection locked="0"/>
    </xf>
    <xf numFmtId="177" fontId="22" fillId="5" borderId="261" xfId="120" applyNumberFormat="1" applyFont="1" applyFill="1" applyBorder="1" applyAlignment="1" applyProtection="1">
      <alignment vertical="center" shrinkToFit="1"/>
    </xf>
    <xf numFmtId="177" fontId="21" fillId="5" borderId="264" xfId="120" applyNumberFormat="1" applyFont="1" applyFill="1" applyBorder="1" applyAlignment="1" applyProtection="1">
      <alignment vertical="center" shrinkToFit="1"/>
    </xf>
    <xf numFmtId="0" fontId="187" fillId="5" borderId="0" xfId="19" applyFont="1" applyFill="1" applyAlignment="1" applyProtection="1">
      <alignment horizontal="left" vertical="center" indent="1"/>
      <protection locked="0"/>
    </xf>
    <xf numFmtId="31" fontId="86" fillId="5" borderId="0" xfId="19" applyNumberFormat="1" applyFont="1" applyFill="1" applyAlignment="1" applyProtection="1">
      <alignment horizontal="left" indent="1"/>
    </xf>
    <xf numFmtId="0" fontId="21" fillId="0" borderId="259" xfId="6" applyFont="1" applyFill="1" applyBorder="1" applyAlignment="1" applyProtection="1">
      <alignment horizontal="center" vertical="center"/>
    </xf>
    <xf numFmtId="0" fontId="185" fillId="0" borderId="0" xfId="9" applyFont="1" applyFill="1" applyProtection="1">
      <alignment vertical="center"/>
    </xf>
    <xf numFmtId="0" fontId="186" fillId="0" borderId="257" xfId="9" applyFont="1" applyFill="1" applyBorder="1" applyAlignment="1" applyProtection="1">
      <alignment horizontal="center" vertical="center"/>
    </xf>
    <xf numFmtId="0" fontId="21" fillId="0" borderId="258" xfId="9" applyFont="1" applyFill="1" applyBorder="1" applyAlignment="1" applyProtection="1">
      <alignment horizontal="center" vertical="center"/>
    </xf>
    <xf numFmtId="0" fontId="186" fillId="0" borderId="258" xfId="9" applyFont="1" applyFill="1" applyBorder="1" applyAlignment="1" applyProtection="1">
      <alignment horizontal="center" vertical="center"/>
    </xf>
    <xf numFmtId="0" fontId="185" fillId="0" borderId="260" xfId="25" applyFont="1" applyFill="1" applyBorder="1" applyAlignment="1" applyProtection="1">
      <alignment horizontal="left" vertical="center" wrapText="1"/>
    </xf>
    <xf numFmtId="49" fontId="184" fillId="0" borderId="255" xfId="25" applyNumberFormat="1" applyFont="1" applyFill="1" applyBorder="1" applyAlignment="1" applyProtection="1">
      <alignment horizontal="center" vertical="center" shrinkToFit="1"/>
      <protection locked="0"/>
    </xf>
    <xf numFmtId="177" fontId="22" fillId="0" borderId="255" xfId="98" applyNumberFormat="1" applyFont="1" applyFill="1" applyBorder="1" applyAlignment="1" applyProtection="1">
      <alignment vertical="center" shrinkToFit="1"/>
    </xf>
    <xf numFmtId="177" fontId="22" fillId="0" borderId="255" xfId="98" applyNumberFormat="1" applyFont="1" applyFill="1" applyBorder="1" applyAlignment="1" applyProtection="1">
      <alignment vertical="center" shrinkToFit="1"/>
      <protection locked="0"/>
    </xf>
    <xf numFmtId="0" fontId="185" fillId="0" borderId="255" xfId="25" applyFont="1" applyFill="1" applyBorder="1" applyAlignment="1" applyProtection="1">
      <alignment horizontal="left" vertical="center" wrapText="1"/>
    </xf>
    <xf numFmtId="177" fontId="22" fillId="0" borderId="261" xfId="98" applyNumberFormat="1" applyFont="1" applyFill="1" applyBorder="1" applyAlignment="1" applyProtection="1">
      <alignment vertical="center" shrinkToFit="1"/>
      <protection locked="0"/>
    </xf>
    <xf numFmtId="0" fontId="185" fillId="0" borderId="260" xfId="25" applyFont="1" applyFill="1" applyBorder="1" applyAlignment="1" applyProtection="1">
      <alignment horizontal="left" vertical="center" wrapText="1" indent="1"/>
    </xf>
    <xf numFmtId="0" fontId="185" fillId="0" borderId="255" xfId="25" applyFont="1" applyFill="1" applyBorder="1" applyAlignment="1" applyProtection="1">
      <alignment horizontal="left" vertical="center" wrapText="1" indent="1"/>
    </xf>
    <xf numFmtId="0" fontId="185" fillId="0" borderId="260" xfId="25" applyFont="1" applyFill="1" applyBorder="1" applyAlignment="1" applyProtection="1">
      <alignment horizontal="left" vertical="center" wrapText="1" indent="2"/>
    </xf>
    <xf numFmtId="0" fontId="185" fillId="0" borderId="255" xfId="25" applyFont="1" applyFill="1" applyBorder="1" applyAlignment="1" applyProtection="1">
      <alignment horizontal="left" vertical="center" wrapText="1" indent="2"/>
    </xf>
    <xf numFmtId="0" fontId="186" fillId="0" borderId="260" xfId="25" applyFont="1" applyFill="1" applyBorder="1" applyAlignment="1" applyProtection="1">
      <alignment horizontal="left" vertical="center" wrapText="1"/>
    </xf>
    <xf numFmtId="0" fontId="186" fillId="0" borderId="255" xfId="25" applyFont="1" applyFill="1" applyBorder="1" applyAlignment="1" applyProtection="1">
      <alignment horizontal="left" vertical="center" wrapText="1"/>
    </xf>
    <xf numFmtId="0" fontId="185" fillId="0" borderId="255" xfId="25" applyFont="1" applyFill="1" applyBorder="1" applyAlignment="1" applyProtection="1">
      <alignment horizontal="left" vertical="center" wrapText="1"/>
      <protection locked="0"/>
    </xf>
    <xf numFmtId="0" fontId="185" fillId="0" borderId="255" xfId="25" applyFont="1" applyFill="1" applyBorder="1" applyAlignment="1" applyProtection="1">
      <alignment horizontal="left" vertical="center" wrapText="1" indent="1"/>
      <protection locked="0"/>
    </xf>
    <xf numFmtId="0" fontId="185" fillId="0" borderId="255" xfId="25" applyFont="1" applyFill="1" applyBorder="1" applyAlignment="1" applyProtection="1">
      <alignment horizontal="left" vertical="center" wrapText="1" indent="2"/>
      <protection locked="0"/>
    </xf>
    <xf numFmtId="0" fontId="186" fillId="0" borderId="255" xfId="25" applyFont="1" applyFill="1" applyBorder="1" applyAlignment="1" applyProtection="1">
      <alignment horizontal="left" vertical="center" wrapText="1"/>
      <protection locked="0"/>
    </xf>
    <xf numFmtId="49" fontId="184" fillId="0" borderId="263" xfId="25" applyNumberFormat="1" applyFont="1" applyFill="1" applyBorder="1" applyAlignment="1" applyProtection="1">
      <alignment horizontal="center" vertical="center" shrinkToFit="1"/>
      <protection locked="0"/>
    </xf>
    <xf numFmtId="177" fontId="21" fillId="0" borderId="263" xfId="98" applyNumberFormat="1" applyFont="1" applyFill="1" applyBorder="1" applyAlignment="1" applyProtection="1">
      <alignment vertical="center" shrinkToFit="1"/>
    </xf>
    <xf numFmtId="177" fontId="21" fillId="0" borderId="263" xfId="98" applyNumberFormat="1" applyFont="1" applyFill="1" applyBorder="1" applyAlignment="1" applyProtection="1">
      <alignment vertical="center" shrinkToFit="1"/>
      <protection locked="0"/>
    </xf>
    <xf numFmtId="0" fontId="186" fillId="0" borderId="263" xfId="25" applyFont="1" applyFill="1" applyBorder="1" applyAlignment="1" applyProtection="1">
      <alignment horizontal="left" vertical="center" wrapText="1"/>
      <protection locked="0"/>
    </xf>
    <xf numFmtId="177" fontId="21" fillId="0" borderId="264" xfId="98" applyNumberFormat="1" applyFont="1" applyFill="1" applyBorder="1" applyAlignment="1" applyProtection="1">
      <alignment vertical="center" shrinkToFit="1"/>
      <protection locked="0"/>
    </xf>
    <xf numFmtId="0" fontId="21" fillId="0" borderId="259" xfId="9" applyFont="1" applyFill="1" applyBorder="1" applyAlignment="1" applyProtection="1">
      <alignment horizontal="center" vertical="center"/>
    </xf>
    <xf numFmtId="31" fontId="188" fillId="0" borderId="0" xfId="19" applyNumberFormat="1" applyFont="1" applyFill="1" applyAlignment="1" applyProtection="1">
      <alignment horizontal="left" vertical="center" indent="14"/>
    </xf>
    <xf numFmtId="0" fontId="186" fillId="0" borderId="260" xfId="35" applyFont="1" applyFill="1" applyBorder="1" applyAlignment="1" applyProtection="1">
      <alignment vertical="center"/>
    </xf>
    <xf numFmtId="49" fontId="22" fillId="0" borderId="255" xfId="93" applyNumberFormat="1" applyFont="1" applyFill="1" applyBorder="1" applyAlignment="1" applyProtection="1">
      <alignment horizontal="center" vertical="center" shrinkToFit="1"/>
      <protection locked="0"/>
    </xf>
    <xf numFmtId="177" fontId="22" fillId="0" borderId="255" xfId="93" applyNumberFormat="1" applyFont="1" applyFill="1" applyBorder="1" applyAlignment="1" applyProtection="1">
      <alignment vertical="center" shrinkToFit="1"/>
    </xf>
    <xf numFmtId="177" fontId="22" fillId="0" borderId="261" xfId="93" applyNumberFormat="1" applyFont="1" applyFill="1" applyBorder="1" applyAlignment="1" applyProtection="1">
      <alignment vertical="center" shrinkToFit="1"/>
      <protection locked="0"/>
    </xf>
    <xf numFmtId="0" fontId="185" fillId="0" borderId="260" xfId="26" applyFont="1" applyFill="1" applyBorder="1" applyAlignment="1" applyProtection="1">
      <alignment horizontal="left" vertical="center" wrapText="1" indent="1"/>
    </xf>
    <xf numFmtId="49" fontId="22" fillId="0" borderId="255" xfId="98" applyNumberFormat="1" applyFont="1" applyFill="1" applyBorder="1" applyAlignment="1" applyProtection="1">
      <alignment horizontal="center" vertical="center" shrinkToFit="1"/>
      <protection locked="0"/>
    </xf>
    <xf numFmtId="0" fontId="185" fillId="0" borderId="260" xfId="26" applyFont="1" applyFill="1" applyBorder="1" applyAlignment="1" applyProtection="1">
      <alignment horizontal="left" vertical="center" wrapText="1" indent="2"/>
    </xf>
    <xf numFmtId="0" fontId="186" fillId="0" borderId="260" xfId="35" applyFont="1" applyFill="1" applyBorder="1" applyAlignment="1" applyProtection="1">
      <alignment horizontal="left" vertical="center" wrapText="1"/>
    </xf>
    <xf numFmtId="0" fontId="185" fillId="0" borderId="260" xfId="26" applyFont="1" applyFill="1" applyBorder="1" applyAlignment="1" applyProtection="1">
      <alignment horizontal="left" vertical="center" wrapText="1" indent="3"/>
    </xf>
    <xf numFmtId="0" fontId="185" fillId="0" borderId="260" xfId="26" applyFont="1" applyFill="1" applyBorder="1" applyAlignment="1" applyProtection="1">
      <alignment horizontal="left" vertical="center" wrapText="1" indent="2"/>
      <protection locked="0"/>
    </xf>
    <xf numFmtId="0" fontId="186" fillId="0" borderId="260" xfId="35" applyFont="1" applyFill="1" applyBorder="1" applyAlignment="1" applyProtection="1">
      <alignment vertical="center" wrapText="1"/>
      <protection locked="0"/>
    </xf>
    <xf numFmtId="177" fontId="22" fillId="0" borderId="255" xfId="93" applyNumberFormat="1" applyFont="1" applyFill="1" applyBorder="1" applyAlignment="1" applyProtection="1">
      <alignment vertical="center" shrinkToFit="1"/>
      <protection locked="0"/>
    </xf>
    <xf numFmtId="0" fontId="186" fillId="0" borderId="260" xfId="35" applyFont="1" applyFill="1" applyBorder="1" applyAlignment="1" applyProtection="1">
      <alignment vertical="center" wrapText="1"/>
    </xf>
    <xf numFmtId="0" fontId="185" fillId="0" borderId="260" xfId="35" applyFont="1" applyFill="1" applyBorder="1" applyAlignment="1" applyProtection="1">
      <alignment horizontal="left" vertical="center" wrapText="1" indent="1"/>
    </xf>
    <xf numFmtId="0" fontId="186" fillId="0" borderId="260" xfId="26" applyFont="1" applyFill="1" applyBorder="1" applyAlignment="1" applyProtection="1">
      <alignment vertical="center" wrapText="1"/>
    </xf>
    <xf numFmtId="0" fontId="185" fillId="0" borderId="262" xfId="26" applyFont="1" applyFill="1" applyBorder="1" applyAlignment="1" applyProtection="1">
      <alignment horizontal="left" vertical="center" wrapText="1" indent="1"/>
    </xf>
    <xf numFmtId="49" fontId="22" fillId="0" borderId="263" xfId="98" applyNumberFormat="1" applyFont="1" applyFill="1" applyBorder="1" applyAlignment="1" applyProtection="1">
      <alignment horizontal="center" vertical="center" shrinkToFit="1"/>
      <protection locked="0"/>
    </xf>
    <xf numFmtId="177" fontId="22" fillId="0" borderId="263" xfId="98" applyNumberFormat="1" applyFont="1" applyFill="1" applyBorder="1" applyAlignment="1" applyProtection="1">
      <alignment vertical="center" shrinkToFit="1"/>
      <protection locked="0"/>
    </xf>
    <xf numFmtId="177" fontId="22" fillId="0" borderId="264" xfId="98" applyNumberFormat="1" applyFont="1" applyFill="1" applyBorder="1" applyAlignment="1" applyProtection="1">
      <alignment vertical="center" shrinkToFit="1"/>
      <protection locked="0"/>
    </xf>
    <xf numFmtId="31" fontId="188" fillId="0" borderId="0" xfId="19" applyNumberFormat="1" applyFont="1" applyFill="1" applyAlignment="1" applyProtection="1">
      <alignment horizontal="left" vertical="center" indent="15"/>
    </xf>
    <xf numFmtId="0" fontId="186" fillId="0" borderId="257" xfId="19" applyFont="1" applyFill="1" applyBorder="1" applyAlignment="1" applyProtection="1">
      <alignment horizontal="center" vertical="center"/>
    </xf>
    <xf numFmtId="0" fontId="21" fillId="0" borderId="258" xfId="19" applyFont="1" applyFill="1" applyBorder="1" applyAlignment="1" applyProtection="1">
      <alignment horizontal="center" vertical="center"/>
    </xf>
    <xf numFmtId="49" fontId="22" fillId="0" borderId="255" xfId="25" applyNumberFormat="1" applyFont="1" applyFill="1" applyBorder="1" applyAlignment="1" applyProtection="1">
      <alignment horizontal="center" vertical="center"/>
      <protection locked="0"/>
    </xf>
    <xf numFmtId="49" fontId="22" fillId="0" borderId="263" xfId="25" applyNumberFormat="1" applyFont="1" applyFill="1" applyBorder="1" applyAlignment="1" applyProtection="1">
      <alignment horizontal="center" vertical="center"/>
      <protection locked="0"/>
    </xf>
    <xf numFmtId="177" fontId="22" fillId="0" borderId="263"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xf>
    <xf numFmtId="177" fontId="22" fillId="5" borderId="255"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protection locked="0"/>
    </xf>
    <xf numFmtId="177" fontId="22" fillId="5" borderId="263" xfId="98" applyNumberFormat="1" applyFont="1" applyFill="1" applyBorder="1" applyAlignment="1" applyProtection="1">
      <alignment vertical="center" shrinkToFit="1"/>
      <protection locked="0"/>
    </xf>
    <xf numFmtId="177" fontId="21" fillId="5" borderId="264" xfId="98" applyNumberFormat="1" applyFont="1" applyFill="1" applyBorder="1" applyAlignment="1" applyProtection="1">
      <alignment vertical="center" shrinkToFit="1"/>
      <protection locked="0"/>
    </xf>
    <xf numFmtId="0" fontId="185" fillId="5" borderId="265"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0" borderId="268" xfId="25" applyFont="1" applyFill="1" applyBorder="1" applyProtection="1">
      <alignment vertical="center"/>
    </xf>
    <xf numFmtId="0" fontId="185" fillId="5" borderId="268" xfId="19" applyFont="1" applyFill="1" applyBorder="1" applyProtection="1">
      <alignment vertical="center"/>
    </xf>
    <xf numFmtId="177" fontId="22" fillId="5" borderId="256" xfId="98" applyNumberFormat="1" applyFont="1" applyFill="1" applyBorder="1" applyAlignment="1" applyProtection="1">
      <alignment vertical="center" shrinkToFit="1"/>
      <protection locked="0"/>
    </xf>
    <xf numFmtId="177" fontId="22" fillId="5" borderId="267" xfId="98" applyNumberFormat="1" applyFont="1" applyFill="1" applyBorder="1" applyAlignment="1" applyProtection="1">
      <alignment vertical="center" shrinkToFit="1"/>
      <protection locked="0"/>
    </xf>
    <xf numFmtId="177" fontId="22" fillId="5" borderId="261" xfId="98" applyNumberFormat="1" applyFont="1" applyFill="1" applyBorder="1" applyAlignment="1" applyProtection="1">
      <alignment vertical="center" shrinkToFit="1"/>
    </xf>
    <xf numFmtId="177" fontId="22" fillId="5" borderId="263" xfId="98" applyNumberFormat="1" applyFont="1" applyFill="1" applyBorder="1" applyAlignment="1" applyProtection="1">
      <alignment vertical="center" shrinkToFit="1"/>
    </xf>
    <xf numFmtId="177" fontId="21" fillId="5" borderId="264" xfId="98" applyNumberFormat="1" applyFont="1" applyFill="1" applyBorder="1" applyAlignment="1" applyProtection="1">
      <alignment vertical="center" shrinkToFit="1"/>
    </xf>
    <xf numFmtId="186" fontId="22" fillId="2" borderId="116" xfId="4" applyNumberFormat="1" applyFont="1" applyFill="1" applyBorder="1" applyAlignment="1" applyProtection="1">
      <alignment horizontal="left" vertical="center" wrapText="1" indent="1"/>
      <protection hidden="1"/>
    </xf>
    <xf numFmtId="49" fontId="21" fillId="2" borderId="0" xfId="0" applyNumberFormat="1" applyFont="1" applyFill="1" applyAlignment="1" applyProtection="1">
      <alignment vertical="center" shrinkToFit="1"/>
    </xf>
    <xf numFmtId="0" fontId="5" fillId="2" borderId="116" xfId="0" applyFont="1" applyFill="1" applyBorder="1" applyAlignment="1" applyProtection="1">
      <alignment vertical="center" wrapText="1"/>
      <protection hidden="1"/>
    </xf>
    <xf numFmtId="186" fontId="0" fillId="2" borderId="116" xfId="0" applyNumberFormat="1" applyFill="1" applyBorder="1" applyAlignment="1" applyProtection="1">
      <alignment horizontal="left" vertical="center" wrapText="1" indent="1"/>
      <protection hidden="1"/>
    </xf>
    <xf numFmtId="0" fontId="1" fillId="2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185" fillId="20" borderId="56" xfId="0" applyFont="1" applyFill="1" applyBorder="1" applyAlignment="1" applyProtection="1">
      <alignment horizontal="center" vertical="center" wrapText="1"/>
      <protection hidden="1"/>
    </xf>
    <xf numFmtId="0" fontId="185" fillId="20" borderId="64" xfId="0" applyFont="1" applyFill="1" applyBorder="1" applyAlignment="1" applyProtection="1">
      <alignment horizontal="center" vertical="center" wrapText="1"/>
      <protection hidden="1"/>
    </xf>
    <xf numFmtId="0" fontId="189" fillId="8" borderId="0" xfId="0" applyNumberFormat="1" applyFont="1" applyFill="1" applyBorder="1" applyAlignment="1" applyProtection="1">
      <alignment vertical="center"/>
      <protection locked="0"/>
    </xf>
    <xf numFmtId="0" fontId="55" fillId="8" borderId="0" xfId="0" applyNumberFormat="1" applyFont="1" applyFill="1" applyBorder="1" applyAlignment="1" applyProtection="1">
      <alignment vertical="center"/>
      <protection locked="0"/>
    </xf>
    <xf numFmtId="0" fontId="1" fillId="8" borderId="0" xfId="0" applyFont="1" applyFill="1" applyBorder="1" applyProtection="1">
      <alignment vertical="center"/>
      <protection locked="0"/>
    </xf>
    <xf numFmtId="0" fontId="0" fillId="2" borderId="116" xfId="0" applyFill="1" applyBorder="1" applyAlignment="1" applyProtection="1">
      <alignment horizontal="left" vertical="center" wrapText="1" indent="1"/>
      <protection hidden="1"/>
    </xf>
    <xf numFmtId="0" fontId="0" fillId="2" borderId="116" xfId="0" applyNumberFormat="1" applyFill="1" applyBorder="1" applyAlignment="1" applyProtection="1">
      <alignment horizontal="left" vertical="center" wrapText="1" indent="1"/>
    </xf>
    <xf numFmtId="177" fontId="72" fillId="2" borderId="0" xfId="5" applyNumberFormat="1" applyFont="1" applyFill="1" applyBorder="1" applyAlignment="1" applyProtection="1">
      <alignment horizontal="right" vertical="center" shrinkToFit="1"/>
    </xf>
    <xf numFmtId="177" fontId="72" fillId="2" borderId="179" xfId="5" applyNumberFormat="1" applyFont="1" applyFill="1" applyBorder="1" applyAlignment="1" applyProtection="1">
      <alignment horizontal="right" vertical="center" shrinkToFit="1"/>
    </xf>
    <xf numFmtId="177" fontId="72" fillId="2" borderId="178" xfId="5" applyNumberFormat="1" applyFont="1" applyFill="1" applyBorder="1" applyAlignment="1" applyProtection="1">
      <alignment horizontal="right" vertical="center" shrinkToFit="1"/>
    </xf>
    <xf numFmtId="177" fontId="72" fillId="2" borderId="151" xfId="5" applyNumberFormat="1" applyFont="1" applyFill="1" applyBorder="1" applyAlignment="1" applyProtection="1">
      <alignment horizontal="right" vertical="center" shrinkToFit="1"/>
    </xf>
    <xf numFmtId="177" fontId="72" fillId="2" borderId="180" xfId="5" applyNumberFormat="1" applyFont="1" applyFill="1" applyBorder="1" applyAlignment="1" applyProtection="1">
      <alignment horizontal="right" vertical="center" shrinkToFit="1"/>
    </xf>
    <xf numFmtId="177" fontId="72" fillId="2" borderId="181" xfId="5" applyNumberFormat="1" applyFont="1" applyFill="1" applyBorder="1" applyAlignment="1" applyProtection="1">
      <alignment horizontal="right" vertical="center" shrinkToFit="1"/>
    </xf>
    <xf numFmtId="177" fontId="72" fillId="2" borderId="0" xfId="5" applyNumberFormat="1" applyFont="1" applyFill="1" applyAlignment="1" applyProtection="1">
      <alignment horizontal="right" vertical="center" shrinkToFit="1"/>
    </xf>
    <xf numFmtId="177" fontId="1" fillId="6" borderId="0" xfId="0" applyNumberFormat="1" applyFont="1" applyFill="1" applyAlignment="1" applyProtection="1">
      <alignment vertical="center" shrinkToFit="1"/>
      <protection locked="0"/>
    </xf>
    <xf numFmtId="0" fontId="1" fillId="0" borderId="65" xfId="0" applyNumberFormat="1" applyFont="1" applyFill="1" applyBorder="1" applyAlignment="1" applyProtection="1">
      <alignment vertical="center"/>
      <protection locked="0"/>
    </xf>
    <xf numFmtId="0" fontId="42" fillId="20" borderId="58"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166" fillId="20" borderId="66" xfId="0" applyNumberFormat="1" applyFont="1" applyFill="1" applyBorder="1" applyAlignment="1" applyProtection="1">
      <alignment vertical="center"/>
      <protection locked="0"/>
    </xf>
    <xf numFmtId="177" fontId="50" fillId="8" borderId="0" xfId="0" applyNumberFormat="1" applyFont="1" applyFill="1" applyAlignment="1" applyProtection="1">
      <alignment vertical="center" shrinkToFit="1"/>
      <protection locked="0"/>
    </xf>
    <xf numFmtId="177" fontId="22" fillId="8" borderId="0" xfId="0" applyNumberFormat="1" applyFont="1" applyFill="1" applyAlignment="1" applyProtection="1">
      <alignment vertical="center" shrinkToFit="1"/>
      <protection locked="0"/>
    </xf>
    <xf numFmtId="0" fontId="0" fillId="8" borderId="0" xfId="0" applyFill="1" applyProtection="1">
      <alignment vertical="center"/>
      <protection hidden="1"/>
    </xf>
    <xf numFmtId="0" fontId="42" fillId="8" borderId="57" xfId="0" applyFont="1" applyFill="1" applyBorder="1" applyAlignment="1" applyProtection="1">
      <alignment vertical="center" wrapText="1"/>
      <protection locked="0"/>
    </xf>
    <xf numFmtId="0" fontId="46" fillId="20" borderId="66" xfId="0" applyNumberFormat="1" applyFont="1" applyFill="1" applyBorder="1" applyAlignment="1" applyProtection="1">
      <alignment vertical="center"/>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0" fontId="56" fillId="6" borderId="0" xfId="0" applyFont="1" applyFill="1" applyAlignment="1" applyProtection="1">
      <alignment horizontal="left" vertical="center" wrapText="1"/>
      <protection locked="0"/>
    </xf>
    <xf numFmtId="0" fontId="42" fillId="10" borderId="56" xfId="64" quotePrefix="1" applyFont="1" applyFill="1" applyBorder="1" applyAlignment="1" applyProtection="1">
      <alignment horizontal="center" vertical="center" wrapText="1"/>
      <protection hidden="1"/>
    </xf>
    <xf numFmtId="0" fontId="42" fillId="10" borderId="64" xfId="64" quotePrefix="1" applyFont="1" applyFill="1" applyBorder="1" applyAlignment="1" applyProtection="1">
      <alignment horizontal="center" vertical="center" wrapText="1"/>
      <protection hidden="1"/>
    </xf>
    <xf numFmtId="0" fontId="56" fillId="6" borderId="0" xfId="0" applyFont="1" applyFill="1" applyAlignment="1" applyProtection="1">
      <alignment horizontal="left" vertical="center"/>
      <protection locked="0"/>
    </xf>
    <xf numFmtId="0" fontId="42" fillId="10" borderId="55" xfId="0" applyFont="1" applyFill="1" applyBorder="1" applyAlignment="1" applyProtection="1">
      <alignment horizontal="center" vertical="center" wrapText="1"/>
      <protection locked="0"/>
    </xf>
    <xf numFmtId="0" fontId="45" fillId="6" borderId="0" xfId="0" applyFont="1" applyFill="1" applyAlignment="1" applyProtection="1">
      <alignment horizontal="left" vertical="center"/>
      <protection locked="0"/>
    </xf>
    <xf numFmtId="0" fontId="42" fillId="7"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64" quotePrefix="1" applyFont="1" applyFill="1" applyBorder="1" applyAlignment="1" applyProtection="1">
      <alignment horizontal="center" vertical="center" wrapText="1"/>
      <protection hidden="1"/>
    </xf>
    <xf numFmtId="0" fontId="42" fillId="21" borderId="64" xfId="64" quotePrefix="1" applyFont="1" applyFill="1" applyBorder="1" applyAlignment="1" applyProtection="1">
      <alignment horizontal="center" vertical="center" wrapText="1"/>
      <protection hidden="1"/>
    </xf>
    <xf numFmtId="0" fontId="42" fillId="21" borderId="59" xfId="0" applyFont="1" applyFill="1" applyBorder="1" applyAlignment="1" applyProtection="1">
      <alignment horizontal="center" vertical="center" wrapText="1"/>
    </xf>
    <xf numFmtId="177" fontId="166" fillId="21" borderId="60" xfId="0" applyNumberFormat="1" applyFont="1" applyFill="1" applyBorder="1" applyAlignment="1" applyProtection="1">
      <alignment vertical="center" shrinkToFit="1"/>
    </xf>
    <xf numFmtId="177" fontId="166" fillId="21" borderId="66" xfId="0" applyNumberFormat="1" applyFont="1" applyFill="1" applyBorder="1" applyAlignment="1" applyProtection="1">
      <alignment vertical="center" shrinkToFit="1"/>
    </xf>
    <xf numFmtId="0" fontId="42" fillId="21" borderId="58" xfId="0" applyFont="1" applyFill="1" applyBorder="1" applyAlignment="1" applyProtection="1">
      <alignment horizontal="center" vertical="center" wrapText="1"/>
      <protection hidden="1"/>
    </xf>
    <xf numFmtId="177" fontId="49" fillId="21" borderId="58" xfId="0" applyNumberFormat="1" applyFont="1" applyFill="1" applyBorder="1" applyAlignment="1" applyProtection="1">
      <alignment horizontal="center" vertical="center" wrapText="1" shrinkToFit="1"/>
      <protection hidden="1"/>
    </xf>
    <xf numFmtId="177" fontId="42" fillId="21" borderId="58"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9" fillId="21" borderId="60" xfId="0" applyNumberFormat="1" applyFont="1" applyFill="1" applyBorder="1" applyAlignment="1" applyProtection="1">
      <alignment vertical="center"/>
      <protection locked="0"/>
    </xf>
    <xf numFmtId="0" fontId="166" fillId="21" borderId="60" xfId="0" applyNumberFormat="1" applyFont="1" applyFill="1" applyBorder="1" applyAlignment="1" applyProtection="1">
      <alignment vertical="center"/>
    </xf>
    <xf numFmtId="177" fontId="42" fillId="21" borderId="65" xfId="0" applyNumberFormat="1" applyFont="1" applyFill="1" applyBorder="1" applyAlignment="1" applyProtection="1">
      <alignment horizontal="center" vertical="center" wrapText="1" shrinkToFit="1"/>
      <protection hidden="1"/>
    </xf>
    <xf numFmtId="0" fontId="49"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177" fontId="42" fillId="21" borderId="64" xfId="0" applyNumberFormat="1" applyFont="1" applyFill="1" applyBorder="1" applyAlignment="1" applyProtection="1">
      <alignment horizontal="center" vertical="center" wrapText="1" shrinkToFit="1"/>
      <protection hidden="1"/>
    </xf>
    <xf numFmtId="0" fontId="42" fillId="6" borderId="0" xfId="0" applyFont="1" applyFill="1" applyAlignment="1" applyProtection="1">
      <alignment horizontal="left" vertical="center" wrapText="1"/>
      <protection locked="0"/>
    </xf>
    <xf numFmtId="177" fontId="172" fillId="8" borderId="0" xfId="5" applyNumberFormat="1" applyFont="1" applyFill="1" applyBorder="1" applyAlignment="1" applyProtection="1">
      <alignment horizontal="right" vertical="center" shrinkToFit="1"/>
      <protection locked="0"/>
    </xf>
    <xf numFmtId="177" fontId="72" fillId="6" borderId="0" xfId="5" applyNumberFormat="1" applyFont="1" applyFill="1" applyAlignment="1" applyProtection="1">
      <alignment horizontal="right" vertical="center" shrinkToFit="1"/>
      <protection locked="0"/>
    </xf>
    <xf numFmtId="177" fontId="59" fillId="6" borderId="0" xfId="0" applyNumberFormat="1" applyFont="1" applyFill="1" applyAlignment="1" applyProtection="1">
      <alignment horizontal="right" vertical="center" shrinkToFit="1"/>
      <protection hidden="1"/>
    </xf>
    <xf numFmtId="0" fontId="54" fillId="8" borderId="0" xfId="0" applyNumberFormat="1" applyFont="1" applyFill="1" applyBorder="1" applyAlignment="1" applyProtection="1">
      <alignment horizontal="left" vertical="center"/>
      <protection locked="0"/>
    </xf>
    <xf numFmtId="0" fontId="1" fillId="8" borderId="57" xfId="0" applyFont="1" applyFill="1" applyBorder="1" applyAlignment="1" applyProtection="1">
      <alignment vertical="center" wrapText="1"/>
      <protection locked="0"/>
    </xf>
    <xf numFmtId="0" fontId="174" fillId="8" borderId="0" xfId="5" applyNumberFormat="1" applyFont="1" applyFill="1" applyBorder="1" applyAlignment="1" applyProtection="1">
      <alignment horizontal="left" vertical="center"/>
      <protection hidden="1"/>
    </xf>
    <xf numFmtId="177" fontId="49" fillId="8" borderId="0" xfId="0" applyNumberFormat="1" applyFont="1" applyFill="1" applyBorder="1" applyAlignment="1" applyProtection="1">
      <alignment vertical="center" shrinkToFit="1"/>
    </xf>
    <xf numFmtId="0" fontId="54" fillId="8" borderId="0" xfId="0" applyNumberFormat="1" applyFont="1" applyFill="1" applyBorder="1" applyAlignment="1" applyProtection="1">
      <alignment horizontal="left" vertical="center"/>
      <protection locked="0" hidden="1"/>
    </xf>
    <xf numFmtId="177" fontId="50" fillId="6" borderId="0" xfId="0" applyNumberFormat="1" applyFont="1" applyFill="1" applyAlignment="1" applyProtection="1">
      <alignment horizontal="right" vertical="center" shrinkToFit="1"/>
      <protection hidden="1"/>
    </xf>
    <xf numFmtId="0" fontId="49" fillId="10" borderId="66" xfId="0" applyNumberFormat="1" applyFont="1" applyFill="1" applyBorder="1" applyAlignment="1" applyProtection="1">
      <alignment vertical="center"/>
      <protection locked="0"/>
    </xf>
    <xf numFmtId="0" fontId="49" fillId="10" borderId="60" xfId="0" applyNumberFormat="1" applyFont="1" applyFill="1" applyBorder="1" applyAlignment="1" applyProtection="1">
      <alignment vertical="center"/>
      <protection locked="0"/>
    </xf>
    <xf numFmtId="0" fontId="0" fillId="8" borderId="0" xfId="0" applyFont="1" applyFill="1" applyAlignment="1" applyProtection="1">
      <alignment horizontal="left" vertical="center" indent="2"/>
    </xf>
    <xf numFmtId="0" fontId="0" fillId="8" borderId="0" xfId="0" applyFont="1" applyFill="1" applyAlignment="1" applyProtection="1">
      <alignment horizontal="left" vertical="center" indent="2"/>
      <protection hidden="1"/>
    </xf>
    <xf numFmtId="0" fontId="55" fillId="6" borderId="0" xfId="0" applyFont="1" applyFill="1">
      <alignment vertical="center"/>
    </xf>
    <xf numFmtId="0" fontId="166" fillId="0" borderId="58" xfId="0" applyNumberFormat="1" applyFont="1" applyFill="1" applyBorder="1" applyAlignment="1" applyProtection="1">
      <alignment vertical="center"/>
      <protection locked="0"/>
    </xf>
    <xf numFmtId="0" fontId="49" fillId="20" borderId="66" xfId="0" applyNumberFormat="1" applyFont="1" applyFill="1" applyBorder="1" applyAlignment="1" applyProtection="1">
      <alignment vertical="center"/>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9" fillId="0" borderId="58" xfId="0" applyNumberFormat="1" applyFont="1" applyFill="1" applyBorder="1" applyAlignment="1" applyProtection="1">
      <alignment vertical="center" shrinkToFit="1"/>
      <protection locked="0"/>
    </xf>
    <xf numFmtId="0" fontId="49" fillId="0" borderId="65" xfId="0" applyNumberFormat="1" applyFont="1" applyFill="1" applyBorder="1" applyAlignment="1" applyProtection="1">
      <alignment vertical="center"/>
      <protection locked="0"/>
    </xf>
    <xf numFmtId="201" fontId="22" fillId="0" borderId="58" xfId="0" applyNumberFormat="1" applyFont="1" applyFill="1" applyBorder="1" applyAlignment="1" applyProtection="1">
      <alignment horizontal="right" vertical="center" shrinkToFit="1"/>
      <protection locked="0"/>
    </xf>
    <xf numFmtId="201" fontId="46" fillId="0" borderId="58" xfId="0" applyNumberFormat="1" applyFont="1" applyFill="1" applyBorder="1" applyAlignment="1" applyProtection="1">
      <alignment horizontal="right" vertical="center" shrinkToFit="1"/>
      <protection locked="0"/>
    </xf>
    <xf numFmtId="0" fontId="0" fillId="10" borderId="58"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10" borderId="64" xfId="0" applyNumberFormat="1" applyFont="1" applyFill="1" applyBorder="1" applyAlignment="1" applyProtection="1">
      <alignment horizontal="center" vertical="center" wrapText="1" shrinkToFit="1"/>
      <protection hidden="1"/>
    </xf>
    <xf numFmtId="0" fontId="0" fillId="10" borderId="58" xfId="0"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177" fontId="49" fillId="0" borderId="65" xfId="0" applyNumberFormat="1" applyFont="1" applyFill="1" applyBorder="1" applyAlignment="1" applyProtection="1">
      <alignment vertical="center" shrinkToFit="1"/>
      <protection locked="0"/>
    </xf>
    <xf numFmtId="201" fontId="49" fillId="0" borderId="65" xfId="0" applyNumberFormat="1" applyFont="1" applyFill="1" applyBorder="1" applyAlignment="1" applyProtection="1">
      <alignment horizontal="right" vertical="center" shrinkToFit="1"/>
      <protection locked="0"/>
    </xf>
    <xf numFmtId="0" fontId="49" fillId="0" borderId="58" xfId="0" applyNumberFormat="1" applyFont="1" applyFill="1" applyBorder="1" applyAlignment="1" applyProtection="1">
      <alignment vertical="center"/>
      <protection locked="0"/>
    </xf>
    <xf numFmtId="201" fontId="49" fillId="0" borderId="58" xfId="0" applyNumberFormat="1" applyFont="1" applyFill="1" applyBorder="1" applyAlignment="1" applyProtection="1">
      <alignment horizontal="right" vertical="center" shrinkToFi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9" fillId="0" borderId="66" xfId="0" applyNumberFormat="1" applyFont="1" applyFill="1" applyBorder="1" applyAlignment="1" applyProtection="1">
      <alignment vertical="center"/>
      <protection locked="0"/>
    </xf>
    <xf numFmtId="0" fontId="42" fillId="21" borderId="55" xfId="0" applyFont="1" applyFill="1" applyBorder="1" applyAlignment="1" applyProtection="1">
      <alignment horizontal="center" vertical="center" wrapText="1"/>
      <protection hidden="1"/>
    </xf>
    <xf numFmtId="0" fontId="1" fillId="21" borderId="56" xfId="64" quotePrefix="1" applyFont="1" applyFill="1" applyBorder="1" applyAlignment="1" applyProtection="1">
      <alignment horizontal="center" vertical="center" wrapText="1"/>
      <protection hidden="1"/>
    </xf>
    <xf numFmtId="0" fontId="1" fillId="21" borderId="64" xfId="64" quotePrefix="1" applyFont="1" applyFill="1" applyBorder="1" applyAlignment="1" applyProtection="1">
      <alignment horizontal="center" vertical="center" wrapText="1"/>
      <protection hidden="1"/>
    </xf>
    <xf numFmtId="177" fontId="49" fillId="21" borderId="60" xfId="0" applyNumberFormat="1" applyFont="1" applyFill="1" applyBorder="1" applyAlignment="1" applyProtection="1">
      <alignment vertical="center" shrinkToFit="1"/>
      <protection locked="0"/>
    </xf>
    <xf numFmtId="177" fontId="49" fillId="21" borderId="66" xfId="0" applyNumberFormat="1" applyFont="1" applyFill="1" applyBorder="1" applyAlignment="1" applyProtection="1">
      <alignment vertical="center" shrinkToFit="1"/>
      <protection locked="0"/>
    </xf>
    <xf numFmtId="0" fontId="42" fillId="21" borderId="56" xfId="64" applyFont="1" applyFill="1" applyBorder="1" applyAlignment="1" applyProtection="1">
      <alignment horizontal="center" vertical="center" wrapText="1"/>
      <protection hidden="1"/>
    </xf>
    <xf numFmtId="177" fontId="49" fillId="21" borderId="56" xfId="0"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0" fontId="166" fillId="21" borderId="66" xfId="0" applyNumberFormat="1" applyFont="1" applyFill="1" applyBorder="1" applyAlignment="1" applyProtection="1">
      <alignment vertical="center"/>
    </xf>
    <xf numFmtId="177" fontId="49" fillId="21" borderId="65" xfId="0" applyNumberFormat="1" applyFont="1" applyFill="1" applyBorder="1" applyAlignment="1" applyProtection="1">
      <alignment horizontal="center" vertical="center" wrapText="1" shrinkToFit="1"/>
      <protection hidden="1"/>
    </xf>
    <xf numFmtId="0" fontId="169" fillId="6" borderId="0" xfId="0" applyFont="1" applyFill="1" applyAlignment="1" applyProtection="1">
      <alignment horizontal="left" vertical="center"/>
      <protection hidden="1"/>
    </xf>
    <xf numFmtId="0" fontId="49" fillId="20" borderId="60" xfId="0" applyNumberFormat="1" applyFont="1" applyFill="1" applyBorder="1" applyAlignment="1" applyProtection="1">
      <alignment vertical="center"/>
      <protection locked="0"/>
    </xf>
    <xf numFmtId="177" fontId="49" fillId="0" borderId="60" xfId="0" applyNumberFormat="1" applyFont="1" applyFill="1" applyBorder="1" applyAlignment="1" applyProtection="1">
      <alignment vertical="center" shrinkToFit="1"/>
      <protection locked="0"/>
    </xf>
    <xf numFmtId="0" fontId="0" fillId="10" borderId="72" xfId="0" applyFont="1" applyFill="1" applyBorder="1" applyAlignment="1" applyProtection="1">
      <alignment horizontal="center" vertical="center" wrapText="1"/>
      <protection hidden="1"/>
    </xf>
    <xf numFmtId="0" fontId="0" fillId="10" borderId="72" xfId="0" applyFill="1" applyBorder="1" applyAlignment="1" applyProtection="1">
      <alignment horizontal="center" vertical="center" wrapText="1"/>
      <protection hidden="1"/>
    </xf>
    <xf numFmtId="0" fontId="0" fillId="10" borderId="74" xfId="0" applyFill="1" applyBorder="1" applyAlignment="1" applyProtection="1">
      <alignment horizontal="center" vertical="center" wrapText="1"/>
      <protection hidden="1"/>
    </xf>
    <xf numFmtId="188" fontId="46" fillId="21" borderId="60" xfId="0" applyNumberFormat="1" applyFont="1" applyFill="1" applyBorder="1" applyAlignment="1" applyProtection="1">
      <alignment horizontal="right" vertical="center" shrinkToFit="1"/>
    </xf>
    <xf numFmtId="188" fontId="50" fillId="21" borderId="60" xfId="0" applyNumberFormat="1" applyFont="1" applyFill="1" applyBorder="1" applyAlignment="1" applyProtection="1">
      <alignment horizontal="right" vertical="center"/>
      <protection locked="0"/>
    </xf>
    <xf numFmtId="188" fontId="166"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protection locked="0"/>
    </xf>
    <xf numFmtId="177" fontId="46" fillId="21" borderId="60" xfId="0" applyNumberFormat="1" applyFont="1" applyFill="1" applyBorder="1" applyAlignment="1" applyProtection="1">
      <alignment vertical="center" shrinkToFit="1"/>
    </xf>
    <xf numFmtId="188" fontId="22" fillId="21" borderId="60" xfId="0" applyNumberFormat="1" applyFont="1" applyFill="1" applyBorder="1" applyAlignment="1" applyProtection="1">
      <alignment horizontal="right" vertical="center" shrinkToFit="1"/>
    </xf>
    <xf numFmtId="188" fontId="22" fillId="21" borderId="66" xfId="0" applyNumberFormat="1" applyFont="1" applyFill="1" applyBorder="1" applyAlignment="1" applyProtection="1">
      <alignment horizontal="right" vertical="center" shrinkToFit="1"/>
    </xf>
    <xf numFmtId="14" fontId="42" fillId="21" borderId="59" xfId="0" applyNumberFormat="1" applyFont="1" applyFill="1" applyBorder="1" applyAlignment="1" applyProtection="1">
      <alignment horizontal="center" vertical="center" wrapText="1"/>
    </xf>
    <xf numFmtId="201" fontId="22" fillId="0" borderId="72" xfId="0" applyNumberFormat="1" applyFont="1" applyFill="1" applyBorder="1" applyAlignment="1" applyProtection="1">
      <alignment horizontal="right" vertical="center" shrinkToFit="1"/>
      <protection locked="0"/>
    </xf>
    <xf numFmtId="0" fontId="58" fillId="10" borderId="75" xfId="0" applyFont="1" applyFill="1" applyBorder="1" applyAlignment="1" applyProtection="1">
      <alignment horizontal="center" vertical="center" wrapText="1"/>
    </xf>
    <xf numFmtId="177" fontId="46" fillId="10" borderId="76" xfId="0" applyNumberFormat="1" applyFont="1" applyFill="1" applyBorder="1" applyAlignment="1" applyProtection="1">
      <alignment vertical="center" shrinkToFit="1"/>
    </xf>
    <xf numFmtId="177" fontId="46" fillId="10" borderId="79" xfId="0" applyNumberFormat="1" applyFont="1" applyFill="1" applyBorder="1" applyAlignment="1" applyProtection="1">
      <alignment vertical="center" shrinkToFit="1"/>
    </xf>
    <xf numFmtId="0" fontId="42" fillId="21" borderId="58" xfId="0" quotePrefix="1" applyFont="1" applyFill="1" applyBorder="1" applyAlignment="1" applyProtection="1">
      <alignment horizontal="center" vertical="center" wrapText="1"/>
      <protection hidden="1"/>
    </xf>
    <xf numFmtId="0" fontId="42" fillId="21" borderId="65" xfId="0" quotePrefix="1" applyFont="1" applyFill="1" applyBorder="1" applyAlignment="1" applyProtection="1">
      <alignment horizontal="center" vertical="center" wrapText="1"/>
      <protection hidden="1"/>
    </xf>
    <xf numFmtId="201" fontId="166" fillId="0" borderId="58" xfId="0" applyNumberFormat="1" applyFont="1" applyFill="1" applyBorder="1" applyAlignment="1" applyProtection="1">
      <alignment horizontal="right" vertical="center" shrinkToFit="1"/>
      <protection locked="0"/>
    </xf>
    <xf numFmtId="201" fontId="49" fillId="21" borderId="60" xfId="0" applyNumberFormat="1" applyFont="1" applyFill="1" applyBorder="1" applyAlignment="1" applyProtection="1">
      <alignment horizontal="right" vertical="center" shrinkToFit="1"/>
      <protection locked="0"/>
    </xf>
    <xf numFmtId="201" fontId="49" fillId="0" borderId="58" xfId="0" applyNumberFormat="1" applyFont="1" applyFill="1" applyBorder="1" applyAlignment="1" applyProtection="1">
      <alignment horizontal="right" vertical="center"/>
      <protection locked="0"/>
    </xf>
    <xf numFmtId="201" fontId="49" fillId="0" borderId="65" xfId="0" applyNumberFormat="1" applyFont="1" applyFill="1" applyBorder="1" applyAlignment="1" applyProtection="1">
      <alignment horizontal="right" vertical="center"/>
      <protection locked="0"/>
    </xf>
    <xf numFmtId="201" fontId="49" fillId="21" borderId="60" xfId="0" applyNumberFormat="1" applyFont="1" applyFill="1" applyBorder="1" applyAlignment="1" applyProtection="1">
      <alignment horizontal="right" vertical="center"/>
      <protection locked="0"/>
    </xf>
    <xf numFmtId="201" fontId="49" fillId="21" borderId="66" xfId="0" applyNumberFormat="1" applyFont="1" applyFill="1" applyBorder="1" applyAlignment="1" applyProtection="1">
      <alignment horizontal="right" vertical="center"/>
      <protection locked="0"/>
    </xf>
    <xf numFmtId="177" fontId="175" fillId="0" borderId="58" xfId="5" applyNumberFormat="1" applyFont="1" applyFill="1" applyBorder="1" applyAlignment="1" applyProtection="1">
      <alignment vertical="center" shrinkToFit="1"/>
      <protection locked="0"/>
    </xf>
    <xf numFmtId="177" fontId="46" fillId="21" borderId="66" xfId="0" applyNumberFormat="1" applyFont="1" applyFill="1" applyBorder="1" applyAlignment="1" applyProtection="1">
      <alignment vertical="center" shrinkToFit="1"/>
    </xf>
    <xf numFmtId="0" fontId="58" fillId="6" borderId="0" xfId="0" applyFont="1" applyFill="1" applyProtection="1">
      <alignment vertical="center"/>
      <protection locked="0"/>
    </xf>
    <xf numFmtId="0" fontId="157" fillId="10" borderId="58" xfId="0" applyFont="1" applyFill="1" applyBorder="1" applyAlignment="1" applyProtection="1">
      <alignment horizontal="center" vertical="center" wrapText="1"/>
      <protection hidden="1"/>
    </xf>
    <xf numFmtId="0" fontId="60" fillId="10" borderId="59" xfId="0" applyFont="1" applyFill="1" applyBorder="1" applyAlignment="1" applyProtection="1">
      <alignment horizontal="left" vertical="center" wrapText="1"/>
    </xf>
    <xf numFmtId="177" fontId="49" fillId="21" borderId="64" xfId="0" quotePrefix="1" applyNumberFormat="1" applyFont="1" applyFill="1" applyBorder="1" applyAlignment="1" applyProtection="1">
      <alignment horizontal="center" vertical="center" wrapText="1" shrinkToFit="1"/>
      <protection hidden="1"/>
    </xf>
    <xf numFmtId="201" fontId="50" fillId="0" borderId="58" xfId="0" applyNumberFormat="1" applyFont="1" applyFill="1" applyBorder="1" applyAlignment="1" applyProtection="1">
      <alignment horizontal="right" vertical="center" shrinkToFit="1"/>
      <protection locked="0"/>
    </xf>
    <xf numFmtId="201" fontId="22" fillId="0" borderId="65" xfId="0" applyNumberFormat="1" applyFont="1" applyFill="1" applyBorder="1" applyAlignment="1" applyProtection="1">
      <alignment horizontal="right" vertical="center" shrinkToFit="1"/>
      <protection locked="0"/>
    </xf>
    <xf numFmtId="0" fontId="42" fillId="21" borderId="55"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7"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7" borderId="64" xfId="0" applyFont="1" applyFill="1" applyBorder="1" applyAlignment="1" applyProtection="1">
      <alignment horizontal="center" vertical="center" wrapText="1"/>
      <protection hidden="1"/>
    </xf>
    <xf numFmtId="0" fontId="176" fillId="20" borderId="56"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0" fillId="10" borderId="58" xfId="0" applyFont="1" applyFill="1" applyBorder="1" applyAlignment="1" applyProtection="1">
      <alignment horizontal="center" vertical="center" wrapText="1"/>
      <protection hidden="1"/>
    </xf>
    <xf numFmtId="0" fontId="1" fillId="10" borderId="58" xfId="0"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9" fillId="0" borderId="60" xfId="0" applyNumberFormat="1" applyFont="1" applyFill="1" applyBorder="1" applyAlignment="1" applyProtection="1">
      <alignment vertical="center"/>
      <protection locked="0"/>
    </xf>
    <xf numFmtId="177" fontId="49" fillId="10" borderId="60" xfId="0" applyNumberFormat="1" applyFont="1" applyFill="1" applyBorder="1" applyAlignment="1" applyProtection="1">
      <alignment vertical="center" shrinkToFit="1"/>
      <protection locked="0"/>
    </xf>
    <xf numFmtId="0" fontId="166" fillId="10" borderId="60" xfId="0" applyNumberFormat="1" applyFont="1" applyFill="1" applyBorder="1" applyAlignment="1" applyProtection="1">
      <alignment vertical="center"/>
    </xf>
    <xf numFmtId="0" fontId="49" fillId="7" borderId="66" xfId="0" applyNumberFormat="1" applyFont="1" applyFill="1" applyBorder="1" applyAlignment="1" applyProtection="1">
      <alignment vertical="center"/>
      <protection locked="0"/>
    </xf>
    <xf numFmtId="188" fontId="22" fillId="10" borderId="60" xfId="0" applyNumberFormat="1" applyFont="1" applyFill="1" applyBorder="1" applyAlignment="1" applyProtection="1">
      <alignment horizontal="right" vertical="center" shrinkToFit="1"/>
    </xf>
    <xf numFmtId="0" fontId="42" fillId="10" borderId="59" xfId="0" applyFont="1" applyFill="1" applyBorder="1" applyAlignment="1" applyProtection="1">
      <alignment vertical="center" wrapText="1"/>
    </xf>
    <xf numFmtId="0" fontId="42" fillId="10" borderId="59" xfId="0" applyFont="1" applyFill="1" applyBorder="1" applyAlignment="1" applyProtection="1">
      <alignment horizontal="left" vertical="center" wrapText="1"/>
    </xf>
    <xf numFmtId="188" fontId="166" fillId="10" borderId="60" xfId="0" applyNumberFormat="1" applyFont="1" applyFill="1" applyBorder="1" applyAlignment="1" applyProtection="1">
      <alignment horizontal="right" vertical="center" shrinkToFit="1"/>
    </xf>
    <xf numFmtId="177" fontId="49" fillId="0" borderId="66" xfId="0" applyNumberFormat="1" applyFont="1" applyFill="1" applyBorder="1" applyAlignment="1" applyProtection="1">
      <alignment vertical="center" shrinkToFit="1"/>
      <protection locked="0"/>
    </xf>
    <xf numFmtId="0" fontId="1" fillId="6" borderId="0" xfId="0" applyFont="1" applyFill="1" applyAlignment="1" applyProtection="1">
      <alignment horizontal="left" vertical="center" wrapText="1"/>
    </xf>
    <xf numFmtId="0" fontId="0" fillId="20" borderId="55" xfId="0" applyFill="1" applyBorder="1" applyAlignment="1" applyProtection="1">
      <alignment horizontal="center" vertical="center" wrapText="1"/>
      <protection hidden="1"/>
    </xf>
    <xf numFmtId="0" fontId="0" fillId="20" borderId="56" xfId="0" applyFont="1" applyFill="1" applyBorder="1" applyAlignment="1" applyProtection="1">
      <alignment horizontal="center" vertical="center" wrapText="1"/>
      <protection hidden="1"/>
    </xf>
    <xf numFmtId="0" fontId="0" fillId="20" borderId="64" xfId="0" applyFill="1" applyBorder="1" applyAlignment="1" applyProtection="1">
      <alignment horizontal="center" vertical="center" wrapText="1"/>
      <protection hidden="1"/>
    </xf>
    <xf numFmtId="177" fontId="49" fillId="20" borderId="64" xfId="0" applyNumberFormat="1" applyFont="1" applyFill="1" applyBorder="1" applyAlignment="1" applyProtection="1">
      <alignment horizontal="center" vertical="center" wrapText="1" shrinkToFit="1"/>
      <protection hidden="1"/>
    </xf>
    <xf numFmtId="177" fontId="42" fillId="20" borderId="56" xfId="0" applyNumberFormat="1" applyFont="1" applyFill="1" applyBorder="1" applyAlignment="1" applyProtection="1">
      <alignment horizontal="center" vertical="center" wrapText="1" shrinkToFit="1"/>
      <protection hidden="1"/>
    </xf>
    <xf numFmtId="177" fontId="46" fillId="20" borderId="60" xfId="0" applyNumberFormat="1" applyFont="1" applyFill="1" applyBorder="1" applyAlignment="1" applyProtection="1">
      <alignment vertical="center" shrinkToFit="1"/>
    </xf>
    <xf numFmtId="0" fontId="50" fillId="20" borderId="66" xfId="0" applyNumberFormat="1" applyFont="1" applyFill="1" applyBorder="1" applyAlignment="1" applyProtection="1">
      <alignment vertical="center"/>
    </xf>
    <xf numFmtId="0" fontId="0" fillId="20" borderId="55" xfId="0" applyFont="1" applyFill="1" applyBorder="1" applyAlignment="1" applyProtection="1">
      <alignment horizontal="center" vertical="center" wrapText="1"/>
      <protection hidden="1"/>
    </xf>
    <xf numFmtId="0" fontId="0" fillId="20" borderId="64" xfId="0" applyFont="1" applyFill="1" applyBorder="1" applyAlignment="1" applyProtection="1">
      <alignment horizontal="center" vertical="center" wrapText="1"/>
      <protection hidden="1"/>
    </xf>
    <xf numFmtId="177" fontId="22" fillId="6" borderId="67" xfId="0" applyNumberFormat="1" applyFont="1" applyFill="1" applyBorder="1" applyAlignment="1" applyProtection="1">
      <alignment vertical="center"/>
      <protection locked="0"/>
    </xf>
    <xf numFmtId="0" fontId="55" fillId="6" borderId="0" xfId="0" applyFont="1" applyFill="1" applyAlignment="1" applyProtection="1">
      <alignment horizontal="left" vertical="center" wrapText="1"/>
      <protection locked="0"/>
    </xf>
    <xf numFmtId="0" fontId="55" fillId="21" borderId="56" xfId="0" applyFont="1" applyFill="1" applyBorder="1" applyAlignment="1" applyProtection="1">
      <alignment horizontal="center" vertical="center" wrapText="1"/>
      <protection locked="0"/>
    </xf>
    <xf numFmtId="0" fontId="0" fillId="20" borderId="56" xfId="0" applyFill="1" applyBorder="1" applyAlignment="1" applyProtection="1">
      <alignment horizontal="center" vertical="center" wrapText="1"/>
      <protection hidden="1"/>
    </xf>
    <xf numFmtId="177" fontId="46" fillId="20" borderId="66" xfId="0" applyNumberFormat="1" applyFont="1" applyFill="1" applyBorder="1" applyAlignment="1" applyProtection="1">
      <alignment vertical="center" shrinkToFit="1"/>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8"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59" xfId="0" applyFont="1" applyFill="1" applyBorder="1" applyAlignment="1" applyProtection="1">
      <alignment vertical="center" wrapText="1"/>
    </xf>
    <xf numFmtId="177" fontId="166" fillId="21" borderId="60" xfId="0" applyNumberFormat="1" applyFont="1" applyFill="1" applyBorder="1" applyAlignment="1" applyProtection="1">
      <alignment vertical="center" shrinkToFit="1"/>
      <protection locked="0"/>
    </xf>
    <xf numFmtId="177" fontId="166" fillId="21" borderId="66" xfId="0" applyNumberFormat="1" applyFont="1" applyFill="1" applyBorder="1" applyAlignment="1" applyProtection="1">
      <alignment vertical="center" shrinkToFit="1"/>
      <protection locked="0"/>
    </xf>
    <xf numFmtId="0" fontId="168" fillId="21" borderId="56" xfId="0" applyFont="1" applyFill="1" applyBorder="1" applyAlignment="1" applyProtection="1">
      <alignment horizontal="center" vertical="center" wrapText="1"/>
      <protection hidden="1"/>
    </xf>
    <xf numFmtId="0" fontId="168" fillId="21" borderId="64"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177" fontId="42" fillId="7" borderId="58" xfId="0" applyNumberFormat="1" applyFont="1" applyFill="1" applyBorder="1" applyAlignment="1" applyProtection="1">
      <alignment horizontal="center" vertical="center" wrapText="1" shrinkToFit="1"/>
      <protection hidden="1"/>
    </xf>
    <xf numFmtId="0" fontId="42" fillId="7" borderId="55" xfId="0" applyFont="1" applyFill="1" applyBorder="1" applyAlignment="1" applyProtection="1">
      <alignment horizontal="center" vertical="center" wrapText="1"/>
      <protection locked="0"/>
    </xf>
    <xf numFmtId="0" fontId="166" fillId="7" borderId="60" xfId="0" applyNumberFormat="1" applyFont="1" applyFill="1" applyBorder="1" applyAlignment="1" applyProtection="1">
      <alignment vertical="center"/>
    </xf>
    <xf numFmtId="177" fontId="166" fillId="20" borderId="60" xfId="0" applyNumberFormat="1" applyFont="1" applyFill="1" applyBorder="1" applyAlignment="1" applyProtection="1">
      <alignment vertical="center" shrinkToFit="1"/>
      <protection locked="0"/>
    </xf>
    <xf numFmtId="177" fontId="166" fillId="20" borderId="66" xfId="0" applyNumberFormat="1" applyFont="1" applyFill="1" applyBorder="1" applyAlignment="1" applyProtection="1">
      <alignment vertical="center" shrinkToFit="1"/>
      <protection locked="0"/>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5" xfId="0" applyFont="1" applyFill="1" applyBorder="1" applyAlignment="1" applyProtection="1">
      <alignment horizontal="center" vertical="center" wrapText="1"/>
      <protection locked="0"/>
    </xf>
    <xf numFmtId="0" fontId="42" fillId="21" borderId="65"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7" fillId="6" borderId="0" xfId="0" applyFont="1" applyFill="1" applyAlignment="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177" fontId="49" fillId="10" borderId="65" xfId="0" applyNumberFormat="1" applyFont="1" applyFill="1" applyBorder="1" applyAlignment="1" applyProtection="1">
      <alignment horizontal="center" vertical="center" wrapText="1" shrinkToFit="1"/>
      <protection hidden="1"/>
    </xf>
    <xf numFmtId="0" fontId="42" fillId="10" borderId="64" xfId="0" applyFont="1" applyFill="1" applyBorder="1" applyAlignment="1" applyProtection="1">
      <alignment horizontal="center" vertical="center" wrapText="1"/>
      <protection hidden="1"/>
    </xf>
    <xf numFmtId="177" fontId="49" fillId="21" borderId="64" xfId="0" applyNumberFormat="1" applyFont="1" applyFill="1" applyBorder="1" applyAlignment="1" applyProtection="1">
      <alignment horizontal="center" vertical="center" wrapText="1" shrinkToFit="1"/>
      <protection hidden="1"/>
    </xf>
    <xf numFmtId="0" fontId="168" fillId="10" borderId="58" xfId="0" applyFont="1" applyFill="1" applyBorder="1" applyAlignment="1" applyProtection="1">
      <alignment horizontal="center" vertical="center" wrapText="1"/>
      <protection hidden="1"/>
    </xf>
    <xf numFmtId="0" fontId="168" fillId="10" borderId="65" xfId="0" applyFont="1" applyFill="1" applyBorder="1" applyAlignment="1" applyProtection="1">
      <alignment horizontal="center" vertical="center" wrapText="1"/>
      <protection hidden="1"/>
    </xf>
    <xf numFmtId="0" fontId="1" fillId="3" borderId="70" xfId="0" quotePrefix="1"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56" xfId="0" quotePrefix="1" applyFont="1" applyFill="1" applyBorder="1" applyAlignment="1" applyProtection="1">
      <alignment horizontal="center" vertical="center" wrapText="1"/>
      <protection hidden="1"/>
    </xf>
    <xf numFmtId="0" fontId="42" fillId="20" borderId="56" xfId="0" quotePrefix="1"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177" fontId="49" fillId="10" borderId="66" xfId="0" applyNumberFormat="1" applyFont="1" applyFill="1" applyBorder="1" applyAlignment="1" applyProtection="1">
      <alignment vertical="center" shrinkToFit="1"/>
      <protection locked="0"/>
    </xf>
    <xf numFmtId="0" fontId="1" fillId="21" borderId="55" xfId="0"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21" borderId="64" xfId="0" applyFont="1" applyFill="1" applyBorder="1" applyAlignment="1" applyProtection="1">
      <alignment horizontal="center" vertical="center" wrapText="1"/>
      <protection hidden="1"/>
    </xf>
    <xf numFmtId="177" fontId="46" fillId="21" borderId="60" xfId="0" applyNumberFormat="1" applyFont="1" applyFill="1" applyBorder="1" applyAlignment="1" applyProtection="1">
      <alignment vertical="center" shrinkToFit="1"/>
      <protection locked="0"/>
    </xf>
    <xf numFmtId="0" fontId="22" fillId="21" borderId="60" xfId="0" applyNumberFormat="1" applyFont="1" applyFill="1" applyBorder="1" applyAlignment="1" applyProtection="1">
      <alignment vertical="center"/>
      <protection locked="0"/>
    </xf>
    <xf numFmtId="177" fontId="46" fillId="21" borderId="66" xfId="0" applyNumberFormat="1" applyFont="1" applyFill="1" applyBorder="1" applyAlignment="1" applyProtection="1">
      <alignment vertical="center" shrinkToFit="1"/>
      <protection locked="0"/>
    </xf>
    <xf numFmtId="0" fontId="46" fillId="21" borderId="66" xfId="0" applyNumberFormat="1" applyFont="1" applyFill="1" applyBorder="1" applyAlignment="1" applyProtection="1">
      <alignment vertical="center"/>
      <protection locked="0"/>
    </xf>
    <xf numFmtId="0" fontId="166" fillId="21" borderId="66" xfId="0" applyNumberFormat="1" applyFont="1" applyFill="1" applyBorder="1" applyAlignment="1" applyProtection="1">
      <alignment vertical="center"/>
      <protection locked="0"/>
    </xf>
    <xf numFmtId="0" fontId="42" fillId="21" borderId="58" xfId="0" applyFont="1" applyFill="1" applyBorder="1" applyAlignment="1" applyProtection="1">
      <alignment horizontal="center" vertical="center" wrapText="1"/>
      <protection locked="0"/>
    </xf>
    <xf numFmtId="177" fontId="49" fillId="21" borderId="58" xfId="0" applyNumberFormat="1" applyFont="1" applyFill="1" applyBorder="1" applyAlignment="1" applyProtection="1">
      <alignment horizontal="center" vertical="center" wrapText="1" shrinkToFit="1"/>
      <protection locked="0"/>
    </xf>
    <xf numFmtId="177" fontId="49" fillId="21" borderId="65" xfId="0" applyNumberFormat="1" applyFont="1" applyFill="1" applyBorder="1" applyAlignment="1" applyProtection="1">
      <alignment horizontal="center" vertical="center" wrapText="1" shrinkToFit="1"/>
      <protection locked="0"/>
    </xf>
    <xf numFmtId="0" fontId="42" fillId="21" borderId="65" xfId="0" applyFont="1" applyFill="1" applyBorder="1" applyAlignment="1" applyProtection="1">
      <alignment horizontal="center" vertical="center" wrapText="1"/>
      <protection locked="0"/>
    </xf>
    <xf numFmtId="0" fontId="49" fillId="0" borderId="65" xfId="0" applyNumberFormat="1" applyFont="1" applyFill="1" applyBorder="1" applyAlignment="1" applyProtection="1">
      <alignment vertical="center" wrapText="1"/>
      <protection locked="0"/>
    </xf>
    <xf numFmtId="0" fontId="46" fillId="21" borderId="60" xfId="0" applyNumberFormat="1" applyFont="1" applyFill="1" applyBorder="1" applyAlignment="1" applyProtection="1">
      <alignment vertical="center"/>
      <protection locked="0"/>
    </xf>
    <xf numFmtId="0" fontId="50" fillId="21" borderId="66" xfId="0" applyNumberFormat="1" applyFont="1" applyFill="1" applyBorder="1" applyAlignment="1" applyProtection="1">
      <alignment vertical="center"/>
      <protection locked="0"/>
    </xf>
    <xf numFmtId="0" fontId="0" fillId="21" borderId="58" xfId="0" applyFont="1" applyFill="1" applyBorder="1" applyAlignment="1" applyProtection="1">
      <alignment horizontal="center" vertical="center" wrapText="1"/>
      <protection hidden="1"/>
    </xf>
    <xf numFmtId="0" fontId="0" fillId="21" borderId="55" xfId="0" applyFill="1" applyBorder="1" applyAlignment="1" applyProtection="1">
      <alignment horizontal="center" vertical="center" wrapText="1"/>
      <protection hidden="1"/>
    </xf>
    <xf numFmtId="0" fontId="0" fillId="21" borderId="56"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177" fontId="22" fillId="21" borderId="60" xfId="0" applyNumberFormat="1" applyFont="1" applyFill="1" applyBorder="1" applyAlignment="1" applyProtection="1">
      <alignment vertical="center" shrinkToFit="1"/>
      <protection locked="0"/>
    </xf>
    <xf numFmtId="177" fontId="22" fillId="21" borderId="66" xfId="0" applyNumberFormat="1" applyFont="1" applyFill="1" applyBorder="1" applyAlignment="1" applyProtection="1">
      <alignment vertical="center" shrinkToFit="1"/>
      <protection locked="0"/>
    </xf>
    <xf numFmtId="31" fontId="42" fillId="10" borderId="56" xfId="0" quotePrefix="1" applyNumberFormat="1" applyFont="1" applyFill="1" applyBorder="1" applyAlignment="1" applyProtection="1">
      <alignment horizontal="center" vertical="center" wrapText="1"/>
      <protection hidden="1"/>
    </xf>
    <xf numFmtId="31" fontId="42" fillId="10" borderId="64" xfId="0" quotePrefix="1" applyNumberFormat="1" applyFont="1" applyFill="1" applyBorder="1" applyAlignment="1" applyProtection="1">
      <alignment horizontal="center" vertical="center" wrapText="1"/>
      <protection hidden="1"/>
    </xf>
    <xf numFmtId="0" fontId="22" fillId="21" borderId="66" xfId="0" applyNumberFormat="1" applyFont="1" applyFill="1" applyBorder="1" applyAlignment="1" applyProtection="1">
      <alignment vertical="center"/>
      <protection locked="0"/>
    </xf>
    <xf numFmtId="0" fontId="60" fillId="21" borderId="59" xfId="0" applyFont="1" applyFill="1" applyBorder="1" applyAlignment="1" applyProtection="1">
      <alignment horizontal="center" vertical="center" wrapText="1"/>
    </xf>
    <xf numFmtId="0" fontId="69" fillId="22" borderId="0" xfId="0" applyNumberFormat="1" applyFont="1" applyFill="1" applyBorder="1" applyAlignment="1" applyProtection="1">
      <alignment vertical="center"/>
      <protection hidden="1"/>
    </xf>
    <xf numFmtId="0" fontId="70" fillId="22" borderId="0" xfId="0" applyFont="1" applyFill="1" applyBorder="1" applyAlignment="1" applyProtection="1">
      <alignment horizontal="left" vertical="center" indent="10"/>
      <protection hidden="1"/>
    </xf>
    <xf numFmtId="0" fontId="51" fillId="22" borderId="0" xfId="0" applyFont="1" applyFill="1" applyBorder="1">
      <alignment vertical="center"/>
    </xf>
    <xf numFmtId="0" fontId="71" fillId="22" borderId="0" xfId="0" applyNumberFormat="1" applyFont="1" applyFill="1" applyBorder="1" applyAlignment="1" applyProtection="1">
      <alignment horizontal="center" vertical="center" wrapText="1"/>
      <protection hidden="1"/>
    </xf>
    <xf numFmtId="0" fontId="89" fillId="22" borderId="218" xfId="0" applyFont="1" applyFill="1" applyBorder="1" applyAlignment="1" applyProtection="1">
      <alignment horizontal="center" vertical="center"/>
      <protection hidden="1"/>
    </xf>
    <xf numFmtId="0" fontId="89" fillId="22" borderId="219" xfId="0" applyFont="1" applyFill="1" applyBorder="1" applyAlignment="1" applyProtection="1">
      <alignment horizontal="center" vertical="center"/>
      <protection hidden="1"/>
    </xf>
    <xf numFmtId="0" fontId="89" fillId="22" borderId="220" xfId="0" applyFont="1" applyFill="1" applyBorder="1" applyAlignment="1" applyProtection="1">
      <alignment horizontal="center" vertical="center"/>
      <protection hidden="1"/>
    </xf>
    <xf numFmtId="0" fontId="89" fillId="22" borderId="221" xfId="0" applyFont="1" applyFill="1" applyBorder="1" applyAlignment="1" applyProtection="1">
      <alignment horizontal="center" vertical="center"/>
      <protection hidden="1"/>
    </xf>
    <xf numFmtId="0" fontId="88" fillId="22" borderId="111" xfId="0" applyNumberFormat="1" applyFont="1" applyFill="1" applyBorder="1" applyAlignment="1" applyProtection="1">
      <alignment vertical="center"/>
      <protection hidden="1"/>
    </xf>
    <xf numFmtId="0" fontId="88" fillId="22" borderId="0" xfId="0" applyNumberFormat="1" applyFont="1" applyFill="1" applyBorder="1" applyAlignment="1" applyProtection="1">
      <alignment vertical="center"/>
      <protection hidden="1"/>
    </xf>
    <xf numFmtId="0" fontId="94" fillId="22" borderId="0" xfId="0" applyNumberFormat="1" applyFont="1" applyFill="1" applyBorder="1" applyAlignment="1" applyProtection="1">
      <alignment horizontal="center" vertical="center" wrapText="1"/>
      <protection hidden="1"/>
    </xf>
    <xf numFmtId="0" fontId="94" fillId="22" borderId="178" xfId="0" applyNumberFormat="1" applyFont="1" applyFill="1" applyBorder="1" applyAlignment="1" applyProtection="1">
      <alignment horizontal="center" vertical="center" wrapText="1"/>
      <protection hidden="1"/>
    </xf>
    <xf numFmtId="0" fontId="89" fillId="22" borderId="111"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center" vertical="center" wrapText="1"/>
      <protection hidden="1"/>
    </xf>
    <xf numFmtId="0" fontId="89" fillId="22" borderId="0" xfId="0" applyNumberFormat="1" applyFont="1" applyFill="1" applyBorder="1" applyAlignment="1" applyProtection="1">
      <alignment horizontal="left" vertical="center" indent="2"/>
      <protection hidden="1"/>
    </xf>
    <xf numFmtId="0" fontId="89" fillId="22" borderId="178" xfId="0" applyNumberFormat="1" applyFont="1" applyFill="1" applyBorder="1" applyAlignment="1" applyProtection="1">
      <alignment horizontal="left" vertical="center" indent="2"/>
      <protection hidden="1"/>
    </xf>
    <xf numFmtId="0" fontId="192" fillId="21" borderId="56" xfId="0" applyFont="1" applyFill="1" applyBorder="1" applyAlignment="1" applyProtection="1">
      <alignment horizontal="center" vertical="center" wrapText="1"/>
      <protection hidden="1"/>
    </xf>
    <xf numFmtId="0" fontId="192" fillId="21" borderId="64"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20" borderId="55" xfId="0" applyFont="1" applyFill="1" applyBorder="1" applyAlignment="1" applyProtection="1">
      <alignment horizontal="center" vertical="center" wrapText="1"/>
      <protection locked="0"/>
    </xf>
    <xf numFmtId="0" fontId="42" fillId="10" borderId="56" xfId="0" quotePrefix="1"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0" fillId="21" borderId="56" xfId="0"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10"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65" xfId="0" applyFont="1"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157" fillId="21" borderId="64" xfId="0" applyFont="1" applyFill="1" applyBorder="1" applyAlignment="1" applyProtection="1">
      <alignment horizontal="center" vertical="center" wrapText="1"/>
      <protection hidden="1"/>
    </xf>
    <xf numFmtId="0" fontId="157" fillId="21" borderId="56" xfId="0" applyFont="1" applyFill="1" applyBorder="1" applyAlignment="1" applyProtection="1">
      <alignment horizontal="center" vertical="center" wrapText="1"/>
      <protection hidden="1"/>
    </xf>
    <xf numFmtId="0" fontId="42" fillId="10" borderId="56" xfId="64" quotePrefix="1" applyFont="1" applyFill="1" applyBorder="1" applyAlignment="1" applyProtection="1">
      <alignment horizontal="center" vertical="center" wrapText="1"/>
      <protection locked="0"/>
    </xf>
    <xf numFmtId="0" fontId="42" fillId="10" borderId="64" xfId="64" quotePrefix="1"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locked="0"/>
    </xf>
    <xf numFmtId="0" fontId="42" fillId="21" borderId="55" xfId="0" applyFont="1" applyFill="1" applyBorder="1" applyAlignment="1" applyProtection="1">
      <alignment horizontal="center" vertical="center" wrapText="1"/>
      <protection locked="0"/>
    </xf>
    <xf numFmtId="0" fontId="42" fillId="7" borderId="56"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8" borderId="57" xfId="0" applyFont="1" applyFill="1" applyBorder="1" applyAlignment="1" applyProtection="1">
      <alignment vertical="center" wrapText="1"/>
      <protection locked="0"/>
    </xf>
    <xf numFmtId="0" fontId="42" fillId="7" borderId="55" xfId="0" applyFont="1" applyFill="1" applyBorder="1" applyAlignment="1" applyProtection="1">
      <alignment horizontal="center" vertical="center" wrapText="1"/>
      <protection locked="0"/>
    </xf>
    <xf numFmtId="0" fontId="42" fillId="20" borderId="55" xfId="0" applyFont="1" applyFill="1" applyBorder="1" applyAlignment="1" applyProtection="1">
      <alignment horizontal="center" vertical="center" wrapText="1"/>
      <protection locked="0"/>
    </xf>
    <xf numFmtId="0" fontId="42" fillId="21" borderId="56" xfId="0" quotePrefix="1"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1" fillId="7" borderId="58" xfId="0" applyNumberFormat="1" applyFont="1" applyFill="1" applyBorder="1" applyAlignment="1" applyProtection="1">
      <alignment horizontal="center" vertical="center" wrapText="1"/>
      <protection hidden="1"/>
    </xf>
    <xf numFmtId="177" fontId="1" fillId="11" borderId="72" xfId="0" applyNumberFormat="1" applyFont="1" applyFill="1" applyBorder="1" applyAlignment="1" applyProtection="1">
      <alignment horizontal="center" vertical="center" wrapText="1" shrinkToFit="1"/>
      <protection hidden="1"/>
    </xf>
    <xf numFmtId="0" fontId="1" fillId="11" borderId="72" xfId="0" applyNumberFormat="1" applyFont="1" applyFill="1" applyBorder="1" applyAlignment="1" applyProtection="1">
      <alignment horizontal="center" vertical="center" wrapText="1"/>
      <protection hidden="1"/>
    </xf>
    <xf numFmtId="0" fontId="42" fillId="7" borderId="65" xfId="0" applyFont="1" applyFill="1" applyBorder="1" applyAlignment="1" applyProtection="1">
      <alignment horizontal="center" vertical="center" wrapText="1"/>
      <protection hidden="1"/>
    </xf>
    <xf numFmtId="0" fontId="190" fillId="20" borderId="64" xfId="0" applyFont="1" applyFill="1" applyBorder="1" applyAlignment="1" applyProtection="1">
      <alignment horizontal="center" vertical="center" wrapText="1"/>
      <protection hidden="1"/>
    </xf>
    <xf numFmtId="0" fontId="42" fillId="21" borderId="64" xfId="0" quotePrefix="1" applyFont="1" applyFill="1" applyBorder="1" applyAlignment="1" applyProtection="1">
      <alignment horizontal="center" vertical="center" wrapText="1"/>
      <protection locked="0"/>
    </xf>
    <xf numFmtId="0" fontId="1" fillId="11" borderId="70" xfId="0" applyFont="1" applyFill="1" applyBorder="1" applyAlignment="1" applyProtection="1">
      <alignment horizontal="center" vertical="center" wrapText="1"/>
      <protection hidden="1"/>
    </xf>
    <xf numFmtId="0" fontId="1" fillId="20" borderId="70" xfId="0" applyFont="1" applyFill="1" applyBorder="1" applyAlignment="1" applyProtection="1">
      <alignment horizontal="center" vertical="center" wrapText="1"/>
      <protection hidden="1"/>
    </xf>
    <xf numFmtId="177" fontId="50" fillId="20" borderId="76" xfId="0" applyNumberFormat="1" applyFont="1" applyFill="1" applyBorder="1" applyAlignment="1" applyProtection="1">
      <alignment vertical="center" shrinkToFit="1"/>
    </xf>
    <xf numFmtId="0" fontId="0" fillId="6" borderId="282" xfId="0" applyFill="1" applyBorder="1">
      <alignment vertical="center"/>
    </xf>
    <xf numFmtId="0" fontId="42" fillId="20" borderId="55" xfId="0" applyFont="1" applyFill="1" applyBorder="1" applyAlignment="1" applyProtection="1">
      <alignment horizontal="center" vertical="center" wrapText="1"/>
      <protection locked="0"/>
    </xf>
    <xf numFmtId="0" fontId="42" fillId="21" borderId="58"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locked="0"/>
    </xf>
    <xf numFmtId="0" fontId="42" fillId="7" borderId="58" xfId="0"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0" fillId="21" borderId="64" xfId="0" applyFont="1" applyFill="1" applyBorder="1" applyAlignment="1" applyProtection="1">
      <alignment horizontal="center" vertical="center" wrapText="1"/>
      <protection hidden="1"/>
    </xf>
    <xf numFmtId="0" fontId="22" fillId="21" borderId="76" xfId="0" applyNumberFormat="1" applyFont="1" applyFill="1" applyBorder="1" applyAlignment="1" applyProtection="1">
      <alignment vertical="center"/>
      <protection locked="0"/>
    </xf>
    <xf numFmtId="0" fontId="22" fillId="21" borderId="79" xfId="0" applyNumberFormat="1" applyFont="1" applyFill="1" applyBorder="1" applyAlignment="1" applyProtection="1">
      <alignment vertical="center"/>
      <protection locked="0"/>
    </xf>
    <xf numFmtId="0" fontId="42" fillId="10" borderId="64" xfId="0" quotePrefix="1" applyFont="1" applyFill="1" applyBorder="1" applyAlignment="1" applyProtection="1">
      <alignment horizontal="center" vertical="center" wrapText="1"/>
      <protection locked="0"/>
    </xf>
    <xf numFmtId="177" fontId="166" fillId="10" borderId="66"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protection locked="0"/>
    </xf>
    <xf numFmtId="202" fontId="166" fillId="21" borderId="60" xfId="0" applyNumberFormat="1" applyFont="1" applyFill="1" applyBorder="1" applyAlignment="1" applyProtection="1">
      <alignment vertical="center"/>
    </xf>
    <xf numFmtId="202" fontId="22" fillId="0" borderId="58" xfId="0" applyNumberFormat="1" applyFont="1" applyFill="1" applyBorder="1" applyAlignment="1" applyProtection="1">
      <alignment vertical="center" shrinkToFit="1"/>
      <protection locked="0"/>
    </xf>
    <xf numFmtId="202" fontId="166" fillId="0" borderId="58" xfId="0" applyNumberFormat="1" applyFont="1" applyFill="1" applyBorder="1" applyAlignment="1" applyProtection="1">
      <alignment vertical="center" shrinkToFit="1"/>
      <protection locked="0"/>
    </xf>
    <xf numFmtId="202" fontId="166" fillId="0" borderId="65" xfId="0" applyNumberFormat="1" applyFont="1" applyFill="1" applyBorder="1" applyAlignment="1" applyProtection="1">
      <alignment vertical="center" shrinkToFit="1"/>
      <protection locked="0"/>
    </xf>
    <xf numFmtId="202" fontId="22" fillId="0" borderId="65" xfId="0" applyNumberFormat="1" applyFont="1" applyFill="1" applyBorder="1" applyAlignment="1" applyProtection="1">
      <alignment vertical="center" shrinkToFit="1"/>
      <protection locked="0"/>
    </xf>
    <xf numFmtId="0" fontId="1" fillId="21" borderId="58" xfId="0" applyFont="1" applyFill="1" applyBorder="1" applyAlignment="1" applyProtection="1">
      <alignment horizontal="center" vertical="center" wrapText="1"/>
      <protection hidden="1"/>
    </xf>
    <xf numFmtId="202" fontId="50" fillId="21" borderId="60" xfId="0" applyNumberFormat="1" applyFont="1" applyFill="1" applyBorder="1" applyAlignment="1" applyProtection="1">
      <alignment vertical="center" shrinkToFit="1"/>
      <protection locked="0"/>
    </xf>
    <xf numFmtId="202" fontId="50" fillId="21" borderId="66" xfId="0" applyNumberFormat="1" applyFont="1" applyFill="1" applyBorder="1" applyAlignment="1" applyProtection="1">
      <alignment vertical="center" shrinkToFit="1"/>
      <protection locked="0"/>
    </xf>
    <xf numFmtId="202" fontId="166" fillId="10" borderId="60" xfId="0" applyNumberFormat="1" applyFont="1" applyFill="1" applyBorder="1" applyAlignment="1" applyProtection="1">
      <alignment vertical="center" shrinkToFit="1"/>
    </xf>
    <xf numFmtId="202" fontId="49" fillId="0" borderId="58" xfId="0" applyNumberFormat="1" applyFont="1" applyFill="1" applyBorder="1" applyAlignment="1" applyProtection="1">
      <alignment vertical="center" shrinkToFit="1"/>
      <protection locked="0"/>
    </xf>
    <xf numFmtId="0" fontId="42" fillId="10" borderId="56" xfId="0" applyFont="1" applyFill="1" applyBorder="1" applyAlignment="1" applyProtection="1">
      <alignment horizontal="center" vertical="center" wrapText="1"/>
      <protection locked="0"/>
    </xf>
    <xf numFmtId="0" fontId="42" fillId="10" borderId="64" xfId="0" applyFont="1" applyFill="1" applyBorder="1" applyAlignment="1" applyProtection="1">
      <alignment horizontal="center" vertical="center" wrapText="1"/>
      <protection locked="0"/>
    </xf>
    <xf numFmtId="0" fontId="0" fillId="10" borderId="69" xfId="0" applyFill="1" applyBorder="1" applyAlignment="1" applyProtection="1">
      <alignment horizontal="center" vertical="center" wrapText="1"/>
      <protection hidden="1"/>
    </xf>
    <xf numFmtId="0" fontId="0" fillId="10" borderId="70" xfId="0" applyFill="1" applyBorder="1" applyAlignment="1" applyProtection="1">
      <alignment horizontal="center" vertical="center" wrapText="1"/>
      <protection hidden="1"/>
    </xf>
    <xf numFmtId="0" fontId="0" fillId="10" borderId="73" xfId="0"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locked="0"/>
    </xf>
    <xf numFmtId="0" fontId="58" fillId="6" borderId="71" xfId="0" applyFont="1" applyFill="1" applyBorder="1" applyAlignment="1" applyProtection="1">
      <alignment horizontal="left" vertical="center" wrapText="1"/>
      <protection locked="0"/>
    </xf>
    <xf numFmtId="0" fontId="0" fillId="21" borderId="69" xfId="0" applyFill="1" applyBorder="1" applyAlignment="1" applyProtection="1">
      <alignment horizontal="center" vertical="center" wrapText="1"/>
      <protection hidden="1"/>
    </xf>
    <xf numFmtId="0" fontId="0" fillId="21" borderId="73" xfId="0" applyFill="1" applyBorder="1" applyAlignment="1" applyProtection="1">
      <alignment horizontal="center" vertical="center" wrapText="1"/>
      <protection hidden="1"/>
    </xf>
    <xf numFmtId="0" fontId="58" fillId="21" borderId="75" xfId="0" applyFont="1" applyFill="1" applyBorder="1" applyAlignment="1" applyProtection="1">
      <alignment horizontal="center" vertical="center" wrapText="1"/>
    </xf>
    <xf numFmtId="177" fontId="50" fillId="21" borderId="79" xfId="0" applyNumberFormat="1" applyFont="1" applyFill="1" applyBorder="1" applyAlignment="1" applyProtection="1">
      <alignment vertical="center" shrinkToFit="1"/>
      <protection locked="0"/>
    </xf>
    <xf numFmtId="0" fontId="60" fillId="21" borderId="59" xfId="0" applyFont="1" applyFill="1" applyBorder="1" applyAlignment="1" applyProtection="1">
      <alignment vertical="center" wrapText="1"/>
    </xf>
    <xf numFmtId="0" fontId="42" fillId="10"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10" borderId="58" xfId="0" applyFont="1" applyFill="1" applyBorder="1" applyAlignment="1" applyProtection="1">
      <alignment horizontal="center" vertical="center" wrapText="1"/>
      <protection hidden="1"/>
    </xf>
    <xf numFmtId="0" fontId="7" fillId="8" borderId="0" xfId="0" applyFont="1" applyFill="1" applyProtection="1">
      <alignment vertical="center"/>
      <protection locked="0"/>
    </xf>
    <xf numFmtId="0" fontId="42" fillId="7" borderId="59" xfId="0" applyFont="1" applyFill="1" applyBorder="1" applyAlignment="1" applyProtection="1">
      <alignment vertical="center" wrapText="1"/>
    </xf>
    <xf numFmtId="177" fontId="49" fillId="7" borderId="66" xfId="0" applyNumberFormat="1" applyFont="1" applyFill="1" applyBorder="1" applyAlignment="1" applyProtection="1">
      <alignment vertical="center" shrinkToFit="1"/>
      <protection locked="0"/>
    </xf>
    <xf numFmtId="177" fontId="49" fillId="7" borderId="60" xfId="0" applyNumberFormat="1" applyFont="1" applyFill="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177" fontId="171" fillId="6" borderId="0" xfId="0" applyNumberFormat="1" applyFont="1" applyFill="1" applyAlignment="1" applyProtection="1">
      <alignment horizontal="right" vertical="center" shrinkToFit="1"/>
      <protection hidden="1"/>
    </xf>
    <xf numFmtId="177" fontId="54" fillId="8" borderId="0" xfId="0" applyNumberFormat="1" applyFont="1" applyFill="1" applyBorder="1" applyAlignment="1" applyProtection="1">
      <alignment horizontal="left" vertical="center" shrinkToFit="1"/>
      <protection locked="0" hidden="1"/>
    </xf>
    <xf numFmtId="177" fontId="54" fillId="6" borderId="0" xfId="0" applyNumberFormat="1" applyFont="1" applyFill="1" applyAlignment="1" applyProtection="1">
      <alignment horizontal="left" vertical="center" shrinkToFit="1"/>
      <protection locked="0"/>
    </xf>
    <xf numFmtId="49" fontId="49" fillId="6" borderId="0" xfId="0" applyNumberFormat="1" applyFont="1" applyFill="1" applyAlignment="1" applyProtection="1">
      <alignment horizontal="right" vertical="center" shrinkToFit="1"/>
      <protection locked="0"/>
    </xf>
    <xf numFmtId="177" fontId="172" fillId="6" borderId="0" xfId="5" applyNumberFormat="1" applyFont="1" applyFill="1" applyAlignment="1" applyProtection="1">
      <alignment horizontal="right" vertical="center" shrinkToFit="1"/>
      <protection locked="0"/>
    </xf>
    <xf numFmtId="0" fontId="42" fillId="8" borderId="57" xfId="0" applyFont="1" applyFill="1" applyBorder="1" applyAlignment="1" applyProtection="1">
      <alignment vertical="center" wrapText="1"/>
      <protection locked="0"/>
    </xf>
    <xf numFmtId="1" fontId="172" fillId="6"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vertical="center" wrapText="1"/>
      <protection locked="0"/>
    </xf>
    <xf numFmtId="0" fontId="7" fillId="6" borderId="0" xfId="0" applyNumberFormat="1" applyFont="1" applyFill="1" applyAlignment="1" applyProtection="1">
      <alignment horizontal="right" vertical="center"/>
      <protection locked="0"/>
    </xf>
    <xf numFmtId="182" fontId="49" fillId="8" borderId="0" xfId="0" applyNumberFormat="1" applyFont="1" applyFill="1" applyBorder="1" applyAlignment="1" applyProtection="1">
      <alignment horizontal="right" vertical="center" shrinkToFit="1"/>
      <protection locked="0"/>
    </xf>
    <xf numFmtId="1" fontId="172" fillId="8" borderId="0" xfId="5" applyNumberFormat="1" applyFont="1" applyFill="1" applyBorder="1" applyAlignment="1" applyProtection="1">
      <alignment horizontal="right" vertical="center" shrinkToFit="1"/>
      <protection locked="0"/>
    </xf>
    <xf numFmtId="182" fontId="49" fillId="6" borderId="0" xfId="0" applyNumberFormat="1" applyFont="1" applyFill="1" applyAlignment="1" applyProtection="1">
      <alignment horizontal="right" vertical="center" shrinkToFit="1"/>
      <protection locked="0"/>
    </xf>
    <xf numFmtId="1" fontId="49" fillId="6" borderId="0" xfId="0" applyNumberFormat="1" applyFont="1" applyFill="1" applyAlignment="1" applyProtection="1">
      <alignment horizontal="right" vertical="center" shrinkToFit="1"/>
      <protection locked="0"/>
    </xf>
    <xf numFmtId="1" fontId="49" fillId="8" borderId="0" xfId="0" applyNumberFormat="1" applyFont="1" applyFill="1" applyBorder="1" applyAlignment="1" applyProtection="1">
      <alignment horizontal="right" vertical="center" shrinkToFit="1"/>
      <protection locked="0"/>
    </xf>
    <xf numFmtId="0" fontId="42" fillId="6" borderId="0" xfId="0" applyNumberFormat="1" applyFont="1" applyFill="1" applyAlignment="1" applyProtection="1">
      <alignment horizontal="left" vertical="center"/>
      <protection locked="0"/>
    </xf>
    <xf numFmtId="0" fontId="42" fillId="6" borderId="0" xfId="0" applyNumberFormat="1" applyFont="1" applyFill="1" applyAlignment="1" applyProtection="1">
      <alignment horizontal="right" vertical="center"/>
      <protection locked="0"/>
    </xf>
    <xf numFmtId="0" fontId="42" fillId="20" borderId="251" xfId="0" applyNumberFormat="1" applyFont="1" applyFill="1" applyBorder="1" applyAlignment="1" applyProtection="1">
      <alignment horizontal="left" vertical="center"/>
      <protection locked="0"/>
    </xf>
    <xf numFmtId="0" fontId="42" fillId="20" borderId="251" xfId="0" applyNumberFormat="1" applyFont="1" applyFill="1" applyBorder="1" applyAlignment="1" applyProtection="1">
      <alignment horizontal="right" vertical="center"/>
      <protection locked="0"/>
    </xf>
    <xf numFmtId="177" fontId="49" fillId="6" borderId="0" xfId="0" applyNumberFormat="1" applyFont="1" applyFill="1" applyAlignment="1" applyProtection="1">
      <alignment horizontal="left" vertical="center" shrinkToFit="1"/>
      <protection locked="0"/>
    </xf>
    <xf numFmtId="177" fontId="49" fillId="6" borderId="252" xfId="0" applyNumberFormat="1" applyFont="1" applyFill="1" applyBorder="1" applyAlignment="1" applyProtection="1">
      <alignment horizontal="left" vertical="center" shrinkToFit="1"/>
      <protection locked="0"/>
    </xf>
    <xf numFmtId="177" fontId="49" fillId="6" borderId="0" xfId="0" applyNumberFormat="1" applyFont="1" applyFill="1" applyAlignment="1" applyProtection="1">
      <alignment horizontal="left" vertical="center" shrinkToFit="1"/>
    </xf>
    <xf numFmtId="0" fontId="42" fillId="8" borderId="0" xfId="0" applyNumberFormat="1" applyFont="1" applyFill="1" applyAlignment="1" applyProtection="1">
      <alignment vertical="center"/>
      <protection locked="0"/>
    </xf>
    <xf numFmtId="177" fontId="49" fillId="8" borderId="0" xfId="0" applyNumberFormat="1" applyFont="1" applyFill="1" applyAlignment="1" applyProtection="1">
      <alignment horizontal="right" vertical="center" shrinkToFit="1"/>
      <protection locked="0"/>
    </xf>
    <xf numFmtId="1" fontId="49" fillId="8" borderId="0" xfId="0" applyNumberFormat="1" applyFont="1" applyFill="1" applyAlignment="1" applyProtection="1">
      <alignment horizontal="right" vertical="center" shrinkToFit="1"/>
      <protection locked="0"/>
    </xf>
    <xf numFmtId="1" fontId="172" fillId="8" borderId="0" xfId="5" applyNumberFormat="1" applyFont="1" applyFill="1" applyAlignment="1" applyProtection="1">
      <alignment horizontal="right" vertical="center" shrinkToFit="1"/>
      <protection locked="0"/>
    </xf>
    <xf numFmtId="0" fontId="54" fillId="8" borderId="0" xfId="0" applyFont="1" applyFill="1" applyBorder="1" applyAlignment="1" applyProtection="1">
      <alignment horizontal="left" vertical="center"/>
      <protection locked="0"/>
    </xf>
    <xf numFmtId="177" fontId="49" fillId="8" borderId="0" xfId="0" applyNumberFormat="1" applyFont="1" applyFill="1" applyAlignment="1" applyProtection="1">
      <alignment vertical="center" shrinkToFit="1"/>
    </xf>
    <xf numFmtId="0" fontId="54" fillId="8" borderId="0" xfId="0" applyFont="1" applyFill="1" applyAlignment="1" applyProtection="1">
      <alignment horizontal="left" vertical="center"/>
      <protection locked="0"/>
    </xf>
    <xf numFmtId="177" fontId="50" fillId="8" borderId="0" xfId="0" applyNumberFormat="1" applyFont="1" applyFill="1" applyBorder="1" applyAlignment="1" applyProtection="1">
      <alignment horizontal="right" vertical="center" shrinkToFit="1"/>
      <protection hidden="1"/>
    </xf>
    <xf numFmtId="177" fontId="72" fillId="8" borderId="0" xfId="5" applyNumberFormat="1" applyFont="1" applyFill="1" applyBorder="1" applyAlignment="1" applyProtection="1">
      <alignment horizontal="right" vertical="center" shrinkToFit="1"/>
      <protection locked="0"/>
    </xf>
    <xf numFmtId="0" fontId="47" fillId="8" borderId="0" xfId="0" applyNumberFormat="1" applyFont="1" applyFill="1" applyAlignment="1" applyProtection="1">
      <alignment horizontal="left" vertical="center"/>
      <protection locked="0"/>
    </xf>
    <xf numFmtId="177" fontId="72" fillId="8" borderId="0" xfId="5" applyNumberFormat="1" applyFont="1" applyFill="1" applyAlignment="1" applyProtection="1">
      <alignment horizontal="right" vertical="center" shrinkToFit="1"/>
      <protection locked="0"/>
    </xf>
    <xf numFmtId="0" fontId="176" fillId="20" borderId="251" xfId="0" applyNumberFormat="1" applyFont="1" applyFill="1" applyBorder="1" applyAlignment="1" applyProtection="1">
      <alignment horizontal="center" vertical="center" wrapText="1"/>
      <protection locked="0"/>
    </xf>
    <xf numFmtId="0" fontId="48" fillId="20" borderId="251" xfId="0" applyNumberFormat="1" applyFont="1" applyFill="1" applyBorder="1" applyAlignment="1" applyProtection="1">
      <alignment horizontal="center" vertical="center"/>
      <protection locked="0"/>
    </xf>
    <xf numFmtId="0" fontId="42" fillId="20" borderId="55" xfId="0"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6" borderId="252" xfId="0" applyNumberFormat="1" applyFont="1" applyFill="1" applyBorder="1" applyAlignment="1" applyProtection="1">
      <alignment vertical="center"/>
      <protection locked="0"/>
    </xf>
    <xf numFmtId="1" fontId="172" fillId="6" borderId="0" xfId="5" applyNumberFormat="1" applyFont="1" applyFill="1" applyAlignment="1" applyProtection="1">
      <alignment horizontal="right" vertical="center"/>
      <protection locked="0"/>
    </xf>
    <xf numFmtId="0" fontId="176" fillId="6" borderId="0" xfId="0" applyNumberFormat="1" applyFont="1" applyFill="1" applyAlignment="1" applyProtection="1">
      <alignment horizontal="center" vertical="center"/>
      <protection locked="0"/>
    </xf>
    <xf numFmtId="0" fontId="176" fillId="6" borderId="252" xfId="0" applyNumberFormat="1" applyFont="1" applyFill="1" applyBorder="1" applyAlignment="1" applyProtection="1">
      <alignment horizontal="center" vertical="center"/>
      <protection locked="0"/>
    </xf>
    <xf numFmtId="1" fontId="172" fillId="6" borderId="0" xfId="5" applyNumberFormat="1" applyFont="1" applyFill="1" applyBorder="1" applyAlignment="1" applyProtection="1">
      <alignment horizontal="right" vertical="center"/>
      <protection locked="0"/>
    </xf>
    <xf numFmtId="177" fontId="72" fillId="6" borderId="0" xfId="5" applyNumberFormat="1" applyFont="1" applyFill="1" applyBorder="1" applyAlignment="1" applyProtection="1">
      <alignment horizontal="right" vertical="center" shrinkToFit="1"/>
      <protection locked="0"/>
    </xf>
    <xf numFmtId="177" fontId="54" fillId="6" borderId="0" xfId="0" applyNumberFormat="1" applyFont="1" applyFill="1" applyAlignment="1" applyProtection="1">
      <alignment horizontal="left" vertical="center" shrinkToFit="1"/>
      <protection locked="0" hidden="1"/>
    </xf>
    <xf numFmtId="1" fontId="172" fillId="6" borderId="0" xfId="5" applyNumberFormat="1" applyFont="1" applyFill="1" applyAlignment="1" applyProtection="1">
      <alignment horizontal="left" vertical="center"/>
    </xf>
    <xf numFmtId="0" fontId="55" fillId="8" borderId="0" xfId="0" applyFont="1" applyFill="1" applyProtection="1">
      <alignment vertical="center"/>
      <protection locked="0"/>
    </xf>
    <xf numFmtId="1" fontId="172" fillId="8" borderId="0" xfId="5" applyNumberFormat="1" applyFont="1" applyFill="1" applyAlignment="1" applyProtection="1">
      <alignment horizontal="left" vertical="center"/>
    </xf>
    <xf numFmtId="1" fontId="172" fillId="8" borderId="0" xfId="5" applyNumberFormat="1" applyFont="1" applyFill="1" applyBorder="1" applyAlignment="1" applyProtection="1">
      <alignment horizontal="left" vertical="center"/>
      <protection locked="0"/>
    </xf>
    <xf numFmtId="177" fontId="55" fillId="6" borderId="0" xfId="0" applyNumberFormat="1" applyFont="1" applyFill="1" applyAlignment="1" applyProtection="1">
      <alignment vertical="center" shrinkToFit="1"/>
      <protection locked="0"/>
    </xf>
    <xf numFmtId="0" fontId="174" fillId="8" borderId="0" xfId="5" applyNumberFormat="1" applyFont="1" applyFill="1" applyAlignment="1" applyProtection="1">
      <alignment horizontal="left" vertical="center"/>
    </xf>
    <xf numFmtId="1" fontId="172" fillId="6" borderId="0" xfId="5" applyNumberFormat="1" applyFont="1" applyFill="1" applyAlignment="1" applyProtection="1">
      <alignment horizontal="left" vertical="center"/>
      <protection locked="0"/>
    </xf>
    <xf numFmtId="0" fontId="42" fillId="20" borderId="59" xfId="0" applyFont="1" applyFill="1" applyBorder="1" applyAlignment="1" applyProtection="1">
      <alignment vertical="center" wrapText="1"/>
    </xf>
    <xf numFmtId="177" fontId="49" fillId="20" borderId="60" xfId="0" applyNumberFormat="1" applyFont="1" applyFill="1" applyBorder="1" applyAlignment="1" applyProtection="1">
      <alignment vertical="center" shrinkToFit="1"/>
      <protection locked="0"/>
    </xf>
    <xf numFmtId="177" fontId="22" fillId="10" borderId="60" xfId="0" applyNumberFormat="1" applyFont="1" applyFill="1" applyBorder="1" applyAlignment="1" applyProtection="1">
      <alignment vertical="center" shrinkToFit="1"/>
      <protection locked="0"/>
    </xf>
    <xf numFmtId="177" fontId="22" fillId="10" borderId="66" xfId="0" applyNumberFormat="1" applyFont="1" applyFill="1" applyBorder="1" applyAlignment="1" applyProtection="1">
      <alignment vertical="center" shrinkToFit="1"/>
      <protection locked="0"/>
    </xf>
    <xf numFmtId="0" fontId="58" fillId="10" borderId="75" xfId="0" applyFont="1" applyFill="1" applyBorder="1" applyAlignment="1" applyProtection="1">
      <alignment vertical="center" wrapText="1"/>
    </xf>
    <xf numFmtId="177" fontId="22" fillId="10" borderId="76" xfId="0" applyNumberFormat="1" applyFont="1" applyFill="1" applyBorder="1" applyAlignment="1" applyProtection="1">
      <alignment vertical="center" shrinkToFit="1"/>
      <protection locked="0"/>
    </xf>
    <xf numFmtId="177" fontId="22" fillId="10" borderId="79" xfId="0" applyNumberFormat="1" applyFont="1" applyFill="1" applyBorder="1" applyAlignment="1" applyProtection="1">
      <alignment vertical="center" shrinkToFit="1"/>
      <protection locked="0"/>
    </xf>
    <xf numFmtId="0" fontId="1" fillId="6" borderId="0" xfId="0" applyFont="1" applyFill="1" applyProtection="1">
      <alignment vertical="center"/>
      <protection locked="0"/>
    </xf>
    <xf numFmtId="0" fontId="42" fillId="21" borderId="55" xfId="0" applyFont="1" applyFill="1" applyBorder="1" applyAlignment="1" applyProtection="1">
      <alignment horizontal="center" vertical="center" wrapText="1"/>
      <protection locked="0"/>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177" fontId="42" fillId="21" borderId="65" xfId="0" applyNumberFormat="1" applyFont="1" applyFill="1" applyBorder="1" applyAlignment="1" applyProtection="1">
      <alignment horizontal="center" vertical="center" wrapText="1" shrinkToFit="1"/>
      <protection hidden="1"/>
    </xf>
    <xf numFmtId="0" fontId="42" fillId="21" borderId="65" xfId="0"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0" borderId="58" xfId="0" applyFont="1" applyFill="1" applyBorder="1" applyAlignment="1" applyProtection="1">
      <alignment horizontal="center" vertical="center" wrapText="1"/>
      <protection hidden="1"/>
    </xf>
    <xf numFmtId="201" fontId="22" fillId="0" borderId="283" xfId="0" applyNumberFormat="1" applyFont="1" applyFill="1" applyBorder="1" applyAlignment="1" applyProtection="1">
      <alignment horizontal="right" vertical="center" shrinkToFit="1"/>
      <protection locked="0"/>
    </xf>
    <xf numFmtId="201" fontId="22" fillId="0" borderId="284" xfId="0" applyNumberFormat="1" applyFont="1" applyFill="1" applyBorder="1" applyAlignment="1" applyProtection="1">
      <alignment horizontal="right" vertical="center" shrinkToFit="1"/>
      <protection locked="0"/>
    </xf>
    <xf numFmtId="201" fontId="22" fillId="0" borderId="285" xfId="0" applyNumberFormat="1" applyFont="1" applyFill="1" applyBorder="1" applyAlignment="1" applyProtection="1">
      <alignment horizontal="right" vertical="center" shrinkToFit="1"/>
      <protection locked="0"/>
    </xf>
    <xf numFmtId="177" fontId="42" fillId="20" borderId="65" xfId="0" applyNumberFormat="1" applyFont="1" applyFill="1" applyBorder="1" applyAlignment="1" applyProtection="1">
      <alignment horizontal="center" vertical="center" wrapText="1" shrinkToFit="1"/>
      <protection hidden="1"/>
    </xf>
    <xf numFmtId="0" fontId="171" fillId="6" borderId="0" xfId="0" applyNumberFormat="1" applyFont="1" applyFill="1" applyAlignment="1" applyProtection="1">
      <alignment vertical="center"/>
      <protection hidden="1"/>
    </xf>
    <xf numFmtId="0" fontId="166" fillId="6" borderId="0" xfId="0" applyNumberFormat="1" applyFont="1" applyFill="1" applyAlignment="1" applyProtection="1">
      <alignment vertical="center"/>
      <protection hidden="1"/>
    </xf>
    <xf numFmtId="0" fontId="42" fillId="8" borderId="80" xfId="0" applyNumberFormat="1" applyFont="1" applyFill="1" applyBorder="1" applyAlignment="1" applyProtection="1">
      <alignment vertical="center"/>
      <protection locked="0"/>
    </xf>
    <xf numFmtId="0" fontId="176" fillId="8" borderId="80" xfId="0" applyNumberFormat="1" applyFont="1" applyFill="1" applyBorder="1" applyAlignment="1" applyProtection="1">
      <alignment horizontal="center" vertical="center"/>
      <protection locked="0"/>
    </xf>
    <xf numFmtId="0" fontId="48" fillId="20" borderId="253" xfId="0" applyNumberFormat="1" applyFont="1" applyFill="1" applyBorder="1" applyAlignment="1" applyProtection="1">
      <alignment horizontal="center" vertical="center" wrapText="1"/>
      <protection locked="0"/>
    </xf>
    <xf numFmtId="0" fontId="176" fillId="20" borderId="253"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wrapText="1"/>
      <protection locked="0"/>
    </xf>
    <xf numFmtId="0" fontId="48" fillId="20" borderId="254" xfId="0" applyNumberFormat="1" applyFont="1" applyFill="1" applyBorder="1" applyAlignment="1" applyProtection="1">
      <alignment horizontal="center" vertical="center"/>
      <protection locked="0"/>
    </xf>
    <xf numFmtId="0" fontId="176" fillId="20" borderId="254" xfId="0" applyNumberFormat="1" applyFont="1" applyFill="1" applyBorder="1" applyAlignment="1" applyProtection="1">
      <alignment horizontal="center" vertical="center"/>
      <protection locked="0"/>
    </xf>
    <xf numFmtId="0" fontId="176" fillId="8" borderId="252" xfId="0" applyNumberFormat="1" applyFont="1" applyFill="1" applyBorder="1" applyAlignment="1" applyProtection="1">
      <alignment horizontal="center" vertical="center"/>
      <protection locked="0"/>
    </xf>
    <xf numFmtId="1" fontId="172" fillId="8" borderId="80" xfId="5" applyNumberFormat="1" applyFont="1" applyFill="1" applyBorder="1" applyAlignment="1" applyProtection="1">
      <alignment horizontal="right" vertical="center"/>
      <protection locked="0"/>
    </xf>
    <xf numFmtId="0" fontId="42" fillId="21" borderId="64" xfId="64" applyFont="1" applyFill="1" applyBorder="1" applyAlignment="1" applyProtection="1">
      <alignment horizontal="center" vertical="center" wrapText="1"/>
      <protection hidden="1"/>
    </xf>
    <xf numFmtId="177" fontId="22" fillId="8" borderId="0" xfId="0" applyNumberFormat="1" applyFont="1" applyFill="1" applyAlignment="1" applyProtection="1">
      <alignment vertical="center" shrinkToFit="1"/>
    </xf>
    <xf numFmtId="0" fontId="193" fillId="8" borderId="0" xfId="0" applyNumberFormat="1" applyFont="1" applyFill="1" applyAlignment="1" applyProtection="1">
      <alignment horizontal="left" vertical="center"/>
      <protection locked="0"/>
    </xf>
    <xf numFmtId="0" fontId="42" fillId="21" borderId="55" xfId="0" applyFont="1" applyFill="1" applyBorder="1" applyAlignment="1" applyProtection="1">
      <alignment horizontal="center" vertical="center" wrapText="1"/>
      <protection locked="0"/>
    </xf>
    <xf numFmtId="0" fontId="1" fillId="6" borderId="0" xfId="0" applyFont="1" applyFill="1">
      <alignment vertical="center"/>
    </xf>
    <xf numFmtId="0" fontId="195" fillId="6" borderId="0" xfId="0" applyFont="1" applyFill="1" applyProtection="1">
      <alignment vertical="center"/>
      <protection hidden="1"/>
    </xf>
    <xf numFmtId="0" fontId="196" fillId="6" borderId="0" xfId="0" applyNumberFormat="1" applyFont="1" applyFill="1" applyAlignment="1" applyProtection="1">
      <alignment horizontal="right" vertical="center"/>
      <protection hidden="1"/>
    </xf>
    <xf numFmtId="0" fontId="56" fillId="6" borderId="0" xfId="0" applyFont="1" applyFill="1" applyProtection="1">
      <alignment vertical="center"/>
    </xf>
    <xf numFmtId="0" fontId="56" fillId="6" borderId="0" xfId="0" quotePrefix="1" applyFont="1" applyFill="1" applyProtection="1">
      <alignment vertical="center"/>
      <protection hidden="1"/>
    </xf>
    <xf numFmtId="0" fontId="56" fillId="6" borderId="0" xfId="0" applyFont="1" applyFill="1" applyBorder="1">
      <alignment vertical="center"/>
    </xf>
    <xf numFmtId="0" fontId="195" fillId="6" borderId="0" xfId="0" applyFont="1" applyFill="1">
      <alignment vertical="center"/>
    </xf>
    <xf numFmtId="49" fontId="56" fillId="6" borderId="0" xfId="0" quotePrefix="1" applyNumberFormat="1" applyFont="1" applyFill="1" applyProtection="1">
      <alignment vertical="center"/>
      <protection hidden="1"/>
    </xf>
    <xf numFmtId="0" fontId="56" fillId="6" borderId="0" xfId="0" applyFont="1" applyFill="1" applyAlignment="1" applyProtection="1">
      <alignment vertical="center" shrinkToFit="1"/>
    </xf>
    <xf numFmtId="0" fontId="56" fillId="6" borderId="0" xfId="0" applyFont="1" applyFill="1" applyBorder="1" applyProtection="1">
      <alignment vertical="center"/>
    </xf>
    <xf numFmtId="177" fontId="64" fillId="6" borderId="0" xfId="0" applyNumberFormat="1" applyFont="1" applyFill="1" applyAlignment="1" applyProtection="1">
      <alignment vertical="center" shrinkToFit="1"/>
    </xf>
    <xf numFmtId="14" fontId="22" fillId="6" borderId="286" xfId="0" applyNumberFormat="1" applyFont="1" applyFill="1" applyBorder="1" applyProtection="1">
      <alignment vertical="center"/>
      <protection hidden="1"/>
    </xf>
    <xf numFmtId="14" fontId="22" fillId="6" borderId="289" xfId="0" applyNumberFormat="1" applyFont="1" applyFill="1" applyBorder="1" applyProtection="1">
      <alignment vertical="center"/>
      <protection hidden="1"/>
    </xf>
    <xf numFmtId="14" fontId="22" fillId="6" borderId="290" xfId="0" applyNumberFormat="1" applyFont="1" applyFill="1" applyBorder="1" applyProtection="1">
      <alignment vertical="center"/>
      <protection hidden="1"/>
    </xf>
    <xf numFmtId="0" fontId="55" fillId="6" borderId="68" xfId="0" applyFont="1" applyFill="1" applyBorder="1" applyProtection="1">
      <alignment vertical="center"/>
      <protection locked="0"/>
    </xf>
    <xf numFmtId="0" fontId="22" fillId="6" borderId="287" xfId="0" applyFont="1" applyFill="1" applyBorder="1" applyProtection="1">
      <alignment vertical="center"/>
      <protection hidden="1"/>
    </xf>
    <xf numFmtId="0" fontId="22" fillId="6" borderId="288" xfId="0" applyFont="1" applyFill="1" applyBorder="1" applyProtection="1">
      <alignment vertical="center"/>
      <protection hidden="1"/>
    </xf>
    <xf numFmtId="0" fontId="22" fillId="6" borderId="0" xfId="0" applyFont="1" applyFill="1" applyBorder="1" applyProtection="1">
      <alignment vertical="center"/>
      <protection hidden="1"/>
    </xf>
    <xf numFmtId="0" fontId="22" fillId="6" borderId="97" xfId="0" applyFont="1" applyFill="1" applyBorder="1" applyProtection="1">
      <alignment vertical="center"/>
      <protection hidden="1"/>
    </xf>
    <xf numFmtId="0" fontId="22" fillId="6" borderId="282" xfId="0" applyFont="1" applyFill="1" applyBorder="1" applyProtection="1">
      <alignment vertical="center"/>
      <protection hidden="1"/>
    </xf>
    <xf numFmtId="0" fontId="22" fillId="6" borderId="291" xfId="0" applyFont="1" applyFill="1" applyBorder="1" applyProtection="1">
      <alignment vertical="center"/>
      <protection hidden="1"/>
    </xf>
    <xf numFmtId="0" fontId="197" fillId="23" borderId="0" xfId="0" applyFont="1" applyFill="1" applyBorder="1" applyProtection="1">
      <alignment vertical="center"/>
      <protection locked="0"/>
    </xf>
    <xf numFmtId="0" fontId="0" fillId="21" borderId="0" xfId="0" applyFill="1" applyBorder="1" applyProtection="1">
      <alignment vertical="center"/>
      <protection locked="0"/>
    </xf>
    <xf numFmtId="0" fontId="0" fillId="7" borderId="0" xfId="0" applyFill="1" applyBorder="1" applyProtection="1">
      <alignment vertical="center"/>
      <protection locked="0"/>
    </xf>
    <xf numFmtId="0" fontId="0" fillId="10" borderId="0" xfId="0" applyFill="1" applyBorder="1" applyProtection="1">
      <alignment vertical="center"/>
      <protection locked="0"/>
    </xf>
    <xf numFmtId="0" fontId="0" fillId="20" borderId="0" xfId="0" applyFill="1" applyBorder="1" applyProtection="1">
      <alignment vertical="center"/>
      <protection locked="0"/>
    </xf>
    <xf numFmtId="0" fontId="194" fillId="6" borderId="0" xfId="0" applyFont="1" applyFill="1" applyBorder="1" applyProtection="1">
      <alignment vertical="center"/>
      <protection hidden="1"/>
    </xf>
    <xf numFmtId="0" fontId="201" fillId="6" borderId="68" xfId="0" applyFont="1" applyFill="1" applyBorder="1" applyProtection="1">
      <alignment vertical="center"/>
      <protection locked="0"/>
    </xf>
    <xf numFmtId="0" fontId="194" fillId="6" borderId="0" xfId="0" applyFont="1" applyFill="1" applyAlignment="1">
      <alignment horizontal="right" vertical="center"/>
    </xf>
    <xf numFmtId="177" fontId="44" fillId="6" borderId="0" xfId="5" applyNumberFormat="1" applyFont="1" applyFill="1" applyBorder="1" applyAlignment="1" applyProtection="1">
      <alignment horizontal="left" vertical="center" shrinkToFit="1"/>
      <protection hidden="1"/>
    </xf>
    <xf numFmtId="0" fontId="52" fillId="6" borderId="1" xfId="0" applyFont="1" applyFill="1" applyBorder="1" applyProtection="1">
      <alignment vertical="center"/>
      <protection hidden="1"/>
    </xf>
    <xf numFmtId="0" fontId="52" fillId="2" borderId="1" xfId="0" applyFont="1" applyFill="1" applyBorder="1" applyAlignment="1" applyProtection="1">
      <alignment horizontal="center" vertical="center"/>
      <protection locked="0"/>
    </xf>
    <xf numFmtId="0" fontId="36" fillId="3" borderId="1" xfId="0" applyNumberFormat="1" applyFont="1" applyFill="1" applyBorder="1" applyAlignment="1">
      <alignment horizontal="center" vertical="center"/>
    </xf>
    <xf numFmtId="49" fontId="36" fillId="3" borderId="1" xfId="0" quotePrefix="1" applyNumberFormat="1" applyFont="1" applyFill="1" applyBorder="1" applyAlignment="1">
      <alignment horizontal="left" vertical="center"/>
    </xf>
    <xf numFmtId="0" fontId="36" fillId="3" borderId="1" xfId="0" applyNumberFormat="1" applyFont="1" applyFill="1" applyBorder="1" applyAlignment="1">
      <alignment vertical="center"/>
    </xf>
    <xf numFmtId="0" fontId="36" fillId="3" borderId="1" xfId="0" quotePrefix="1" applyNumberFormat="1" applyFont="1" applyFill="1" applyBorder="1" applyAlignment="1">
      <alignment horizontal="left" vertical="center"/>
    </xf>
    <xf numFmtId="0" fontId="56" fillId="2" borderId="0" xfId="0" applyFont="1" applyFill="1" applyProtection="1">
      <alignment vertical="center"/>
      <protection hidden="1"/>
    </xf>
    <xf numFmtId="176" fontId="202" fillId="2" borderId="0" xfId="0" applyNumberFormat="1" applyFont="1" applyFill="1" applyBorder="1" applyAlignment="1" applyProtection="1">
      <alignment vertical="center"/>
      <protection hidden="1"/>
    </xf>
    <xf numFmtId="176" fontId="202" fillId="2" borderId="0" xfId="0" applyNumberFormat="1" applyFont="1" applyFill="1" applyAlignment="1" applyProtection="1">
      <alignment vertical="center"/>
      <protection hidden="1"/>
    </xf>
    <xf numFmtId="0" fontId="195" fillId="2" borderId="0" xfId="0" applyFont="1" applyFill="1" applyProtection="1">
      <alignment vertical="center"/>
      <protection hidden="1"/>
    </xf>
    <xf numFmtId="0" fontId="203" fillId="2" borderId="0" xfId="0" quotePrefix="1" applyNumberFormat="1" applyFont="1" applyFill="1" applyBorder="1" applyAlignment="1" applyProtection="1">
      <alignment vertical="center" shrinkToFit="1"/>
      <protection hidden="1"/>
    </xf>
    <xf numFmtId="0" fontId="56" fillId="2" borderId="0" xfId="0" applyFont="1" applyFill="1">
      <alignment vertical="center"/>
    </xf>
    <xf numFmtId="0" fontId="202" fillId="2" borderId="0" xfId="0" applyNumberFormat="1" applyFont="1" applyFill="1" applyBorder="1" applyAlignment="1" applyProtection="1">
      <alignment vertical="center" shrinkToFit="1"/>
      <protection hidden="1"/>
    </xf>
    <xf numFmtId="0" fontId="204" fillId="2" borderId="0" xfId="0" applyNumberFormat="1" applyFont="1" applyFill="1" applyBorder="1" applyAlignment="1" applyProtection="1">
      <alignment vertical="center"/>
      <protection hidden="1"/>
    </xf>
    <xf numFmtId="0" fontId="56" fillId="2" borderId="0" xfId="0" applyFont="1" applyFill="1" applyAlignment="1" applyProtection="1">
      <alignment vertical="center" wrapText="1"/>
      <protection hidden="1"/>
    </xf>
    <xf numFmtId="0" fontId="56" fillId="2" borderId="0" xfId="0" applyFont="1" applyFill="1" applyBorder="1" applyAlignment="1" applyProtection="1">
      <alignment horizontal="center" vertical="center" wrapText="1"/>
      <protection hidden="1"/>
    </xf>
    <xf numFmtId="0" fontId="64" fillId="2" borderId="0" xfId="0" applyNumberFormat="1" applyFont="1" applyFill="1" applyBorder="1" applyAlignment="1" applyProtection="1">
      <alignment horizontal="center" vertical="center" shrinkToFit="1"/>
      <protection hidden="1"/>
    </xf>
    <xf numFmtId="176" fontId="56" fillId="2" borderId="0" xfId="0" applyNumberFormat="1" applyFont="1" applyFill="1" applyAlignment="1" applyProtection="1">
      <alignment vertical="center"/>
      <protection hidden="1"/>
    </xf>
    <xf numFmtId="0" fontId="205" fillId="2" borderId="0" xfId="0" applyNumberFormat="1" applyFont="1" applyFill="1" applyBorder="1" applyAlignment="1" applyProtection="1">
      <alignment vertical="center"/>
      <protection hidden="1"/>
    </xf>
    <xf numFmtId="0" fontId="206" fillId="2" borderId="0" xfId="0" applyNumberFormat="1" applyFont="1" applyFill="1" applyBorder="1" applyAlignment="1" applyProtection="1">
      <alignment vertical="center"/>
      <protection hidden="1"/>
    </xf>
    <xf numFmtId="0" fontId="56" fillId="2" borderId="0" xfId="0" applyFont="1" applyFill="1" applyBorder="1" applyProtection="1">
      <alignment vertical="center"/>
      <protection hidden="1"/>
    </xf>
    <xf numFmtId="0" fontId="56" fillId="2" borderId="0" xfId="0" applyFont="1" applyFill="1" applyBorder="1" applyAlignment="1" applyProtection="1">
      <alignment horizontal="left" vertical="center" indent="1"/>
      <protection hidden="1"/>
    </xf>
    <xf numFmtId="0" fontId="56" fillId="2" borderId="0" xfId="0" applyFont="1" applyFill="1" applyProtection="1">
      <alignment vertical="center"/>
      <protection locked="0"/>
    </xf>
    <xf numFmtId="0" fontId="206" fillId="2" borderId="0" xfId="0" applyNumberFormat="1" applyFont="1" applyFill="1" applyBorder="1" applyAlignment="1" applyProtection="1">
      <alignment horizontal="center" vertical="center"/>
      <protection hidden="1"/>
    </xf>
    <xf numFmtId="176" fontId="202" fillId="2" borderId="0" xfId="0" applyNumberFormat="1" applyFont="1" applyFill="1" applyBorder="1" applyAlignment="1" applyProtection="1">
      <alignment vertical="center"/>
      <protection locked="0"/>
    </xf>
    <xf numFmtId="0" fontId="207" fillId="2" borderId="0" xfId="0" applyNumberFormat="1" applyFont="1" applyFill="1" applyBorder="1" applyAlignment="1" applyProtection="1">
      <alignment horizontal="left" vertical="center" indent="1"/>
      <protection locked="0"/>
    </xf>
    <xf numFmtId="176" fontId="202" fillId="2" borderId="0" xfId="0" applyNumberFormat="1" applyFont="1" applyFill="1" applyAlignment="1" applyProtection="1">
      <alignment vertical="center"/>
      <protection locked="0"/>
    </xf>
    <xf numFmtId="0" fontId="208" fillId="2" borderId="0" xfId="0" applyNumberFormat="1" applyFont="1" applyFill="1" applyBorder="1" applyAlignment="1" applyProtection="1">
      <alignment vertical="center"/>
      <protection locked="0"/>
    </xf>
    <xf numFmtId="0" fontId="56" fillId="2" borderId="84" xfId="0" applyFont="1" applyFill="1" applyBorder="1" applyAlignment="1" applyProtection="1">
      <alignment horizontal="center" vertical="center" wrapText="1"/>
      <protection hidden="1"/>
    </xf>
    <xf numFmtId="0" fontId="179" fillId="2" borderId="0" xfId="0" applyFont="1" applyFill="1" applyBorder="1" applyAlignment="1" applyProtection="1">
      <alignment vertical="center"/>
    </xf>
    <xf numFmtId="0" fontId="56" fillId="2" borderId="0" xfId="0" applyFont="1" applyFill="1" applyProtection="1">
      <alignment vertical="center"/>
    </xf>
    <xf numFmtId="177" fontId="64" fillId="2" borderId="0" xfId="0" applyNumberFormat="1" applyFont="1" applyFill="1" applyAlignment="1" applyProtection="1">
      <alignment vertical="center" shrinkToFit="1"/>
      <protection locked="0"/>
    </xf>
    <xf numFmtId="176" fontId="56" fillId="2" borderId="0" xfId="0" applyNumberFormat="1" applyFont="1" applyFill="1" applyBorder="1" applyAlignment="1">
      <alignment vertical="center"/>
    </xf>
    <xf numFmtId="177" fontId="64" fillId="2" borderId="0" xfId="0" applyNumberFormat="1" applyFont="1" applyFill="1" applyBorder="1" applyAlignment="1" applyProtection="1">
      <alignment vertical="center" shrinkToFit="1"/>
      <protection locked="0"/>
    </xf>
    <xf numFmtId="0" fontId="56" fillId="2" borderId="0" xfId="0" applyFont="1" applyFill="1" applyBorder="1" applyProtection="1">
      <alignment vertical="center"/>
      <protection locked="0"/>
    </xf>
    <xf numFmtId="0" fontId="22" fillId="2" borderId="0" xfId="0" applyFont="1" applyFill="1" applyAlignment="1" applyProtection="1">
      <alignment vertical="center" wrapText="1"/>
      <protection hidden="1"/>
    </xf>
    <xf numFmtId="0" fontId="22" fillId="2" borderId="0" xfId="0" applyFont="1" applyFill="1" applyAlignment="1" applyProtection="1">
      <alignment vertical="center" shrinkToFit="1"/>
      <protection hidden="1"/>
    </xf>
    <xf numFmtId="0" fontId="75" fillId="2" borderId="0" xfId="0" applyFont="1" applyFill="1" applyAlignment="1" applyProtection="1">
      <alignment vertical="center" shrinkToFit="1"/>
      <protection hidden="1"/>
    </xf>
    <xf numFmtId="176" fontId="75" fillId="2" borderId="0" xfId="0" applyNumberFormat="1" applyFont="1" applyFill="1" applyAlignment="1" applyProtection="1">
      <alignment vertical="center" shrinkToFit="1"/>
      <protection hidden="1"/>
    </xf>
    <xf numFmtId="176" fontId="22" fillId="2" borderId="0" xfId="0" applyNumberFormat="1" applyFont="1" applyFill="1" applyAlignment="1" applyProtection="1">
      <alignment vertical="center" shrinkToFit="1"/>
      <protection hidden="1"/>
    </xf>
    <xf numFmtId="0" fontId="203" fillId="2" borderId="0" xfId="0" applyNumberFormat="1" applyFont="1" applyFill="1" applyBorder="1" applyAlignment="1" applyProtection="1">
      <alignment vertical="center" shrinkToFit="1"/>
      <protection hidden="1"/>
    </xf>
    <xf numFmtId="0" fontId="56" fillId="2" borderId="0" xfId="0" applyFont="1" applyFill="1" applyBorder="1">
      <alignment vertical="center"/>
    </xf>
    <xf numFmtId="177" fontId="64" fillId="2" borderId="0" xfId="0" applyNumberFormat="1" applyFont="1" applyFill="1" applyAlignment="1" applyProtection="1">
      <alignment vertical="center" shrinkToFit="1"/>
    </xf>
    <xf numFmtId="0" fontId="1" fillId="6" borderId="233" xfId="0" applyFont="1" applyFill="1" applyBorder="1" applyAlignment="1" applyProtection="1">
      <alignment horizontal="left" vertical="center" wrapText="1" indent="1"/>
    </xf>
    <xf numFmtId="201" fontId="22" fillId="0" borderId="116" xfId="4" applyNumberFormat="1" applyFont="1" applyFill="1" applyBorder="1" applyAlignment="1" applyProtection="1">
      <alignment horizontal="right" vertical="center" shrinkToFit="1"/>
      <protection locked="0"/>
    </xf>
    <xf numFmtId="0" fontId="209" fillId="2" borderId="0" xfId="0" applyFont="1" applyFill="1" applyProtection="1">
      <alignment vertical="center"/>
      <protection locked="0"/>
    </xf>
    <xf numFmtId="0" fontId="36" fillId="3" borderId="1" xfId="0" applyNumberFormat="1" applyFont="1" applyFill="1" applyBorder="1" applyAlignment="1">
      <alignment horizontal="left" vertical="center" indent="1"/>
    </xf>
    <xf numFmtId="0" fontId="36" fillId="2" borderId="1" xfId="0" quotePrefix="1" applyNumberFormat="1" applyFont="1" applyFill="1" applyBorder="1" applyAlignment="1" applyProtection="1">
      <alignment horizontal="center" vertical="center"/>
      <protection locked="0"/>
    </xf>
    <xf numFmtId="0" fontId="37" fillId="0" borderId="0" xfId="0" applyFont="1" applyFill="1">
      <alignment vertical="center"/>
    </xf>
    <xf numFmtId="49" fontId="37" fillId="0" borderId="0" xfId="0" applyNumberFormat="1" applyFont="1" applyFill="1">
      <alignment vertical="center"/>
    </xf>
    <xf numFmtId="0" fontId="37" fillId="0" borderId="0" xfId="0" applyNumberFormat="1" applyFont="1" applyFill="1" applyAlignment="1">
      <alignment vertical="center"/>
    </xf>
    <xf numFmtId="0" fontId="37" fillId="0" borderId="0" xfId="0" applyNumberFormat="1" applyFont="1" applyFill="1" applyAlignment="1"/>
    <xf numFmtId="0" fontId="37" fillId="0" borderId="0" xfId="0" applyNumberFormat="1" applyFont="1" applyFill="1">
      <alignment vertical="center"/>
    </xf>
    <xf numFmtId="0" fontId="37" fillId="0" borderId="0" xfId="0" applyFont="1" applyFill="1" applyAlignment="1"/>
    <xf numFmtId="0" fontId="37" fillId="0" borderId="0" xfId="19" applyFont="1" applyFill="1">
      <alignment vertical="center"/>
    </xf>
    <xf numFmtId="0" fontId="37" fillId="0" borderId="0" xfId="19" applyNumberFormat="1" applyFont="1" applyFill="1">
      <alignment vertical="center"/>
    </xf>
    <xf numFmtId="0" fontId="37" fillId="0" borderId="0" xfId="0" applyFont="1" applyFill="1" applyAlignment="1">
      <alignment vertical="center"/>
    </xf>
    <xf numFmtId="0" fontId="37" fillId="0" borderId="0" xfId="100" applyNumberFormat="1" applyFont="1"/>
    <xf numFmtId="0" fontId="37" fillId="0" borderId="0" xfId="0" applyNumberFormat="1" applyFont="1" applyAlignment="1"/>
    <xf numFmtId="0" fontId="37" fillId="0" borderId="0" xfId="19" applyNumberFormat="1" applyFont="1">
      <alignment vertical="center"/>
    </xf>
    <xf numFmtId="0" fontId="37" fillId="0" borderId="0" xfId="81" applyNumberFormat="1" applyFont="1"/>
    <xf numFmtId="0" fontId="37" fillId="0" borderId="0" xfId="90" applyNumberFormat="1" applyFont="1"/>
    <xf numFmtId="0" fontId="210" fillId="0" borderId="0" xfId="0" applyNumberFormat="1" applyFont="1" applyFill="1" applyAlignment="1">
      <alignment vertical="center"/>
    </xf>
    <xf numFmtId="0" fontId="37" fillId="0" borderId="0" xfId="0" applyFont="1">
      <alignment vertical="center"/>
    </xf>
    <xf numFmtId="22" fontId="37" fillId="0" borderId="0" xfId="0" applyNumberFormat="1" applyFont="1">
      <alignment vertical="center"/>
    </xf>
    <xf numFmtId="14" fontId="37" fillId="0" borderId="0" xfId="0" applyNumberFormat="1" applyFont="1">
      <alignment vertical="center"/>
    </xf>
    <xf numFmtId="49" fontId="56" fillId="2" borderId="0" xfId="0" applyNumberFormat="1" applyFont="1" applyFill="1" applyProtection="1">
      <alignment vertical="center"/>
      <protection hidden="1"/>
    </xf>
    <xf numFmtId="49" fontId="195" fillId="2" borderId="0" xfId="0" applyNumberFormat="1" applyFont="1" applyFill="1" applyProtection="1">
      <alignment vertical="center"/>
      <protection hidden="1"/>
    </xf>
    <xf numFmtId="0" fontId="56" fillId="2" borderId="0" xfId="0" applyNumberFormat="1" applyFont="1" applyFill="1" applyProtection="1">
      <alignment vertical="center"/>
      <protection hidden="1"/>
    </xf>
    <xf numFmtId="0" fontId="56" fillId="2" borderId="0" xfId="0" applyFont="1" applyFill="1" applyBorder="1" applyAlignment="1" applyProtection="1">
      <alignment vertical="center"/>
      <protection hidden="1"/>
    </xf>
    <xf numFmtId="0" fontId="195" fillId="2" borderId="0" xfId="0" applyFont="1" applyFill="1" applyBorder="1" applyAlignment="1" applyProtection="1">
      <alignment vertical="center"/>
      <protection hidden="1"/>
    </xf>
    <xf numFmtId="0" fontId="195" fillId="2" borderId="0" xfId="0" applyNumberFormat="1" applyFont="1" applyFill="1" applyProtection="1">
      <alignment vertical="center"/>
      <protection hidden="1"/>
    </xf>
    <xf numFmtId="0" fontId="211" fillId="14" borderId="211" xfId="0" applyFont="1" applyFill="1" applyBorder="1" applyAlignment="1" applyProtection="1">
      <alignment horizontal="center" vertical="center"/>
      <protection hidden="1"/>
    </xf>
    <xf numFmtId="49" fontId="56" fillId="12" borderId="116" xfId="0" applyNumberFormat="1" applyFont="1" applyFill="1" applyBorder="1" applyProtection="1">
      <alignment vertical="center"/>
      <protection hidden="1"/>
    </xf>
    <xf numFmtId="49" fontId="56" fillId="0" borderId="116" xfId="0" applyNumberFormat="1" applyFont="1" applyBorder="1" applyProtection="1">
      <alignment vertical="center"/>
      <protection hidden="1"/>
    </xf>
    <xf numFmtId="49" fontId="56" fillId="17" borderId="116" xfId="0" applyNumberFormat="1" applyFont="1" applyFill="1" applyBorder="1" applyProtection="1">
      <alignment vertical="center"/>
      <protection hidden="1"/>
    </xf>
    <xf numFmtId="49" fontId="56" fillId="0" borderId="116" xfId="0" applyNumberFormat="1" applyFont="1" applyBorder="1" applyAlignment="1" applyProtection="1">
      <alignment vertical="center" shrinkToFit="1"/>
      <protection hidden="1"/>
    </xf>
    <xf numFmtId="49" fontId="56" fillId="18" borderId="116" xfId="0" applyNumberFormat="1" applyFont="1" applyFill="1" applyBorder="1" applyProtection="1">
      <alignment vertical="center"/>
      <protection hidden="1"/>
    </xf>
    <xf numFmtId="49" fontId="56" fillId="17" borderId="196" xfId="0" applyNumberFormat="1" applyFont="1" applyFill="1" applyBorder="1" applyProtection="1">
      <alignment vertical="center"/>
      <protection hidden="1"/>
    </xf>
    <xf numFmtId="0" fontId="212" fillId="22" borderId="0" xfId="0" applyNumberFormat="1" applyFont="1" applyFill="1" applyBorder="1" applyAlignment="1" applyProtection="1">
      <alignment horizontal="center" vertical="center" wrapText="1"/>
      <protection hidden="1"/>
    </xf>
    <xf numFmtId="0" fontId="213" fillId="22" borderId="0" xfId="0" applyNumberFormat="1" applyFont="1" applyFill="1" applyBorder="1" applyAlignment="1" applyProtection="1">
      <alignment horizontal="center" vertical="center" wrapText="1"/>
      <protection hidden="1"/>
    </xf>
    <xf numFmtId="177" fontId="64" fillId="2" borderId="128" xfId="0" applyNumberFormat="1" applyFont="1" applyFill="1" applyBorder="1" applyAlignment="1" applyProtection="1">
      <alignment vertical="center" shrinkToFit="1"/>
      <protection locked="0"/>
    </xf>
    <xf numFmtId="0" fontId="56" fillId="2" borderId="128" xfId="0" applyFont="1" applyFill="1" applyBorder="1" applyProtection="1">
      <alignment vertical="center"/>
      <protection locked="0"/>
    </xf>
    <xf numFmtId="0" fontId="56" fillId="2" borderId="131" xfId="0" applyFont="1" applyFill="1" applyBorder="1" applyProtection="1">
      <alignment vertical="center"/>
      <protection locked="0"/>
    </xf>
    <xf numFmtId="49" fontId="56" fillId="2" borderId="0" xfId="0" applyNumberFormat="1" applyFont="1" applyFill="1" applyAlignment="1" applyProtection="1">
      <alignment vertical="center" shrinkToFit="1"/>
      <protection hidden="1"/>
    </xf>
    <xf numFmtId="49" fontId="64" fillId="2" borderId="0" xfId="0" applyNumberFormat="1" applyFont="1" applyFill="1" applyAlignment="1" applyProtection="1">
      <alignment vertical="center" shrinkToFit="1"/>
    </xf>
    <xf numFmtId="0" fontId="56" fillId="2" borderId="178" xfId="0" applyFont="1" applyFill="1" applyBorder="1" applyAlignment="1" applyProtection="1">
      <alignment vertical="center"/>
      <protection hidden="1"/>
    </xf>
    <xf numFmtId="0" fontId="195" fillId="2" borderId="0" xfId="0" applyFont="1" applyFill="1">
      <alignment vertical="center"/>
    </xf>
    <xf numFmtId="182" fontId="56" fillId="2" borderId="0" xfId="0" applyNumberFormat="1" applyFont="1" applyFill="1" applyProtection="1">
      <alignment vertical="center"/>
      <protection hidden="1"/>
    </xf>
    <xf numFmtId="0" fontId="56" fillId="2" borderId="0" xfId="0" quotePrefix="1" applyFont="1" applyFill="1" applyProtection="1">
      <alignment vertical="center"/>
      <protection hidden="1"/>
    </xf>
    <xf numFmtId="49" fontId="56" fillId="2" borderId="0" xfId="0" quotePrefix="1" applyNumberFormat="1" applyFont="1" applyFill="1" applyProtection="1">
      <alignment vertical="center"/>
      <protection hidden="1"/>
    </xf>
    <xf numFmtId="0" fontId="37" fillId="5" borderId="0" xfId="19" quotePrefix="1" applyFont="1" applyFill="1" applyAlignment="1" applyProtection="1">
      <alignment vertical="center" shrinkToFit="1"/>
      <protection hidden="1"/>
    </xf>
    <xf numFmtId="0" fontId="37" fillId="5" borderId="0" xfId="25" applyFont="1" applyFill="1" applyProtection="1">
      <alignment vertical="center"/>
      <protection hidden="1"/>
    </xf>
    <xf numFmtId="0" fontId="214" fillId="5" borderId="0" xfId="25" applyFont="1" applyFill="1" applyProtection="1">
      <alignment vertical="center"/>
      <protection hidden="1"/>
    </xf>
    <xf numFmtId="49" fontId="37" fillId="5" borderId="0" xfId="25" quotePrefix="1" applyNumberFormat="1" applyFont="1" applyFill="1" applyProtection="1">
      <alignment vertical="center"/>
      <protection hidden="1"/>
    </xf>
    <xf numFmtId="49" fontId="37" fillId="5" borderId="0" xfId="25" applyNumberFormat="1" applyFont="1" applyFill="1" applyProtection="1">
      <alignment vertical="center"/>
      <protection hidden="1"/>
    </xf>
    <xf numFmtId="0" fontId="214" fillId="5" borderId="0" xfId="19" applyFont="1" applyFill="1" applyProtection="1">
      <alignment vertical="center"/>
      <protection hidden="1"/>
    </xf>
    <xf numFmtId="0" fontId="37" fillId="0" borderId="0" xfId="19" applyFont="1" applyFill="1" applyProtection="1">
      <alignment vertical="center"/>
      <protection hidden="1"/>
    </xf>
    <xf numFmtId="0" fontId="37" fillId="0" borderId="0" xfId="19" applyFont="1" applyFill="1" applyProtection="1">
      <alignment vertical="center"/>
    </xf>
    <xf numFmtId="0" fontId="214" fillId="0" borderId="0" xfId="25" applyFont="1" applyFill="1" applyProtection="1">
      <alignment vertical="center"/>
      <protection hidden="1"/>
    </xf>
    <xf numFmtId="182" fontId="37" fillId="0" borderId="0" xfId="16" applyNumberFormat="1" applyFont="1" applyFill="1" applyAlignment="1" applyProtection="1">
      <alignment vertical="center"/>
    </xf>
    <xf numFmtId="182" fontId="37" fillId="0" borderId="0" xfId="25" applyNumberFormat="1" applyFont="1" applyFill="1" applyProtection="1">
      <alignment vertical="center"/>
    </xf>
    <xf numFmtId="0" fontId="214" fillId="0" borderId="0" xfId="19" applyFont="1" applyFill="1" applyProtection="1">
      <alignment vertical="center"/>
    </xf>
    <xf numFmtId="0" fontId="214" fillId="0" borderId="0" xfId="19" applyFont="1" applyFill="1" applyProtection="1">
      <alignment vertical="center"/>
      <protection hidden="1"/>
    </xf>
    <xf numFmtId="0" fontId="214" fillId="0" borderId="0" xfId="25" applyFont="1" applyFill="1">
      <alignment vertical="center"/>
    </xf>
    <xf numFmtId="0" fontId="214" fillId="0" borderId="0" xfId="19" applyFont="1" applyFill="1">
      <alignment vertical="center"/>
    </xf>
    <xf numFmtId="182" fontId="37" fillId="0" borderId="0" xfId="19" applyNumberFormat="1" applyFont="1" applyFill="1" applyProtection="1">
      <alignment vertical="center"/>
    </xf>
    <xf numFmtId="182" fontId="37" fillId="0" borderId="0" xfId="25" applyNumberFormat="1" applyFont="1" applyFill="1" applyProtection="1">
      <alignment vertical="center"/>
      <protection hidden="1"/>
    </xf>
    <xf numFmtId="0" fontId="37" fillId="0" borderId="0" xfId="25" applyFont="1" applyFill="1" applyProtection="1">
      <alignment vertical="center"/>
      <protection hidden="1"/>
    </xf>
    <xf numFmtId="0" fontId="37" fillId="0" borderId="0" xfId="25" applyFont="1" applyFill="1" applyProtection="1">
      <alignment vertical="center"/>
    </xf>
    <xf numFmtId="0" fontId="214" fillId="0" borderId="0" xfId="26" applyFont="1" applyFill="1" applyProtection="1">
      <alignment vertical="center"/>
      <protection hidden="1"/>
    </xf>
    <xf numFmtId="49" fontId="37" fillId="0" borderId="0" xfId="35" applyNumberFormat="1" applyFont="1" applyFill="1" applyAlignment="1" applyProtection="1">
      <alignment vertical="center"/>
    </xf>
    <xf numFmtId="49" fontId="210" fillId="0" borderId="0" xfId="6" applyNumberFormat="1" applyFont="1" applyFill="1" applyProtection="1">
      <alignment vertical="center"/>
    </xf>
    <xf numFmtId="49" fontId="37" fillId="0" borderId="0" xfId="6" applyNumberFormat="1" applyFont="1" applyFill="1" applyProtection="1">
      <alignment vertical="center"/>
    </xf>
    <xf numFmtId="49" fontId="37" fillId="0" borderId="0" xfId="26" applyNumberFormat="1" applyFont="1" applyFill="1" applyProtection="1">
      <alignment vertical="center"/>
    </xf>
    <xf numFmtId="49" fontId="210" fillId="0" borderId="0" xfId="26" applyNumberFormat="1" applyFont="1" applyFill="1" applyAlignment="1" applyProtection="1">
      <alignment vertical="center" shrinkToFit="1"/>
    </xf>
    <xf numFmtId="49" fontId="210" fillId="0" borderId="0" xfId="6" applyNumberFormat="1" applyFont="1" applyFill="1" applyAlignment="1" applyProtection="1">
      <alignment vertical="center" shrinkToFit="1"/>
    </xf>
    <xf numFmtId="182" fontId="37" fillId="0" borderId="0" xfId="26" applyNumberFormat="1" applyFont="1" applyFill="1" applyProtection="1">
      <alignment vertical="center"/>
    </xf>
    <xf numFmtId="0" fontId="37" fillId="0" borderId="0" xfId="26" applyFont="1" applyFill="1" applyProtection="1">
      <alignment vertical="center"/>
      <protection hidden="1"/>
    </xf>
    <xf numFmtId="0" fontId="214" fillId="0" borderId="0" xfId="26" applyFont="1" applyFill="1" applyProtection="1">
      <alignment vertical="center"/>
    </xf>
    <xf numFmtId="0" fontId="214" fillId="0" borderId="0" xfId="6" applyFont="1" applyFill="1" applyProtection="1">
      <alignment vertical="center"/>
      <protection hidden="1"/>
    </xf>
    <xf numFmtId="182" fontId="37" fillId="0" borderId="0" xfId="6" applyNumberFormat="1" applyFont="1" applyFill="1" applyProtection="1">
      <alignment vertical="center"/>
    </xf>
    <xf numFmtId="0" fontId="37" fillId="0" borderId="0" xfId="26" applyFont="1" applyFill="1" applyProtection="1">
      <alignment vertical="center"/>
    </xf>
    <xf numFmtId="0" fontId="37" fillId="0" borderId="0" xfId="26" applyFont="1" applyFill="1" applyBorder="1" applyAlignment="1" applyProtection="1">
      <alignment vertical="center"/>
      <protection hidden="1"/>
    </xf>
    <xf numFmtId="0" fontId="214" fillId="0" borderId="0" xfId="26" applyFont="1" applyFill="1" applyBorder="1" applyAlignment="1" applyProtection="1">
      <alignment vertical="center"/>
    </xf>
    <xf numFmtId="0" fontId="214" fillId="0" borderId="0" xfId="26" applyFont="1" applyFill="1" applyBorder="1" applyAlignment="1" applyProtection="1">
      <alignment vertical="center"/>
      <protection hidden="1"/>
    </xf>
    <xf numFmtId="0" fontId="37" fillId="0" borderId="0" xfId="26" applyFont="1" applyFill="1" applyBorder="1" applyAlignment="1" applyProtection="1">
      <alignment vertical="center"/>
    </xf>
    <xf numFmtId="0" fontId="37" fillId="0" borderId="0" xfId="9" applyFont="1" applyFill="1" applyProtection="1">
      <alignment vertical="center"/>
      <protection hidden="1"/>
    </xf>
    <xf numFmtId="49" fontId="37" fillId="0" borderId="0" xfId="25" applyNumberFormat="1" applyFont="1" applyFill="1" applyProtection="1">
      <alignment vertical="center"/>
      <protection hidden="1"/>
    </xf>
    <xf numFmtId="49" fontId="37" fillId="0" borderId="0" xfId="25" applyNumberFormat="1" applyFont="1" applyFill="1" applyBorder="1" applyProtection="1">
      <alignment vertical="center"/>
      <protection hidden="1"/>
    </xf>
    <xf numFmtId="49" fontId="37" fillId="0" borderId="0" xfId="12" applyNumberFormat="1" applyFont="1" applyFill="1" applyAlignment="1" applyProtection="1">
      <alignment vertical="center"/>
      <protection hidden="1"/>
    </xf>
    <xf numFmtId="49" fontId="37" fillId="0" borderId="0" xfId="12" applyNumberFormat="1" applyFont="1" applyFill="1" applyBorder="1" applyAlignment="1" applyProtection="1">
      <alignment vertical="center"/>
      <protection hidden="1"/>
    </xf>
    <xf numFmtId="49" fontId="37" fillId="0" borderId="0" xfId="25" applyNumberFormat="1" applyFont="1" applyFill="1" applyBorder="1" applyAlignment="1" applyProtection="1">
      <alignment vertical="center" shrinkToFit="1"/>
      <protection hidden="1"/>
    </xf>
    <xf numFmtId="49" fontId="214" fillId="0" borderId="0" xfId="9" applyNumberFormat="1" applyFont="1" applyFill="1" applyProtection="1">
      <alignment vertical="center"/>
      <protection hidden="1"/>
    </xf>
    <xf numFmtId="0" fontId="214" fillId="0" borderId="0" xfId="9" applyFont="1" applyFill="1" applyBorder="1" applyAlignment="1" applyProtection="1">
      <alignment vertical="center"/>
      <protection hidden="1"/>
    </xf>
    <xf numFmtId="0" fontId="37" fillId="5" borderId="0" xfId="6" applyFont="1" applyFill="1" applyProtection="1">
      <alignment vertical="center"/>
      <protection hidden="1"/>
    </xf>
    <xf numFmtId="0" fontId="214" fillId="5" borderId="0" xfId="6" applyFont="1" applyFill="1" applyProtection="1">
      <alignment vertical="center"/>
      <protection hidden="1"/>
    </xf>
    <xf numFmtId="49" fontId="37" fillId="5" borderId="0" xfId="6" quotePrefix="1" applyNumberFormat="1" applyFont="1" applyFill="1" applyProtection="1">
      <alignment vertical="center"/>
      <protection hidden="1"/>
    </xf>
    <xf numFmtId="49" fontId="37" fillId="0" borderId="0" xfId="25" applyNumberFormat="1" applyFont="1" applyFill="1" applyProtection="1">
      <alignment vertical="center"/>
    </xf>
    <xf numFmtId="0" fontId="214" fillId="0" borderId="0" xfId="25" applyFont="1" applyFill="1" applyProtection="1">
      <alignment vertical="center"/>
    </xf>
    <xf numFmtId="0" fontId="37" fillId="0" borderId="0" xfId="6" applyFont="1" applyFill="1" applyProtection="1">
      <alignment vertical="center"/>
    </xf>
    <xf numFmtId="0" fontId="214" fillId="0" borderId="0" xfId="6" applyFont="1" applyFill="1">
      <alignment vertical="center"/>
    </xf>
    <xf numFmtId="0" fontId="37" fillId="0" borderId="0" xfId="6" applyFont="1" applyFill="1" applyProtection="1">
      <alignment vertical="center"/>
      <protection hidden="1"/>
    </xf>
    <xf numFmtId="0" fontId="214" fillId="0" borderId="0" xfId="6" applyFont="1" applyFill="1" applyProtection="1">
      <alignment vertical="center"/>
    </xf>
    <xf numFmtId="0" fontId="37" fillId="0" borderId="0" xfId="6" applyFont="1" applyFill="1" applyBorder="1" applyAlignment="1" applyProtection="1">
      <alignment vertical="center"/>
      <protection hidden="1"/>
    </xf>
    <xf numFmtId="0" fontId="214" fillId="0" borderId="0" xfId="6" applyFont="1" applyFill="1" applyBorder="1" applyAlignment="1" applyProtection="1">
      <alignment vertical="center"/>
    </xf>
    <xf numFmtId="0" fontId="214" fillId="0" borderId="0" xfId="6" applyFont="1" applyFill="1" applyBorder="1" applyAlignment="1" applyProtection="1">
      <alignment vertical="center"/>
      <protection hidden="1"/>
    </xf>
    <xf numFmtId="0" fontId="37" fillId="0" borderId="0" xfId="6" applyFont="1" applyFill="1" applyBorder="1" applyAlignment="1" applyProtection="1">
      <alignment vertical="center"/>
    </xf>
    <xf numFmtId="49" fontId="37" fillId="0" borderId="0" xfId="6" applyNumberFormat="1" applyFont="1" applyFill="1" applyProtection="1">
      <alignment vertical="center"/>
      <protection hidden="1"/>
    </xf>
    <xf numFmtId="49" fontId="37" fillId="0" borderId="0" xfId="6" applyNumberFormat="1" applyFont="1" applyFill="1" applyBorder="1" applyProtection="1">
      <alignment vertical="center"/>
      <protection hidden="1"/>
    </xf>
    <xf numFmtId="49" fontId="214" fillId="0" borderId="0" xfId="6" applyNumberFormat="1" applyFont="1" applyFill="1" applyProtection="1">
      <alignment vertical="center"/>
      <protection hidden="1"/>
    </xf>
    <xf numFmtId="0" fontId="186" fillId="0" borderId="262" xfId="6" applyFont="1" applyFill="1" applyBorder="1" applyAlignment="1" applyProtection="1">
      <alignment horizontal="left" vertical="center" wrapText="1"/>
    </xf>
    <xf numFmtId="0" fontId="186" fillId="0" borderId="262" xfId="25" applyFont="1" applyFill="1" applyBorder="1" applyAlignment="1" applyProtection="1">
      <alignment horizontal="left" vertical="center" wrapText="1"/>
    </xf>
    <xf numFmtId="0" fontId="185" fillId="5" borderId="293" xfId="25" applyFont="1" applyFill="1" applyBorder="1" applyProtection="1">
      <alignment vertical="center"/>
    </xf>
    <xf numFmtId="0" fontId="185" fillId="5" borderId="292" xfId="25" applyFont="1" applyFill="1" applyBorder="1" applyAlignment="1" applyProtection="1">
      <alignment horizontal="center" vertical="center"/>
    </xf>
    <xf numFmtId="0" fontId="185" fillId="5" borderId="293" xfId="19" applyFont="1" applyFill="1" applyBorder="1" applyProtection="1">
      <alignment vertical="center"/>
    </xf>
    <xf numFmtId="0" fontId="185" fillId="5" borderId="292" xfId="19" applyFont="1" applyFill="1" applyBorder="1" applyAlignment="1" applyProtection="1">
      <alignment horizontal="center" vertical="center"/>
    </xf>
    <xf numFmtId="0" fontId="216" fillId="24" borderId="0" xfId="131" applyFont="1" applyFill="1" applyBorder="1" applyAlignment="1" applyProtection="1">
      <alignment vertical="center" shrinkToFit="1"/>
    </xf>
    <xf numFmtId="0" fontId="217" fillId="24" borderId="0" xfId="16" applyFont="1" applyFill="1" applyBorder="1" applyAlignment="1" applyProtection="1">
      <alignment shrinkToFit="1"/>
    </xf>
    <xf numFmtId="0" fontId="218" fillId="24" borderId="0" xfId="16" applyFont="1" applyFill="1" applyBorder="1" applyAlignment="1" applyProtection="1">
      <alignment shrinkToFit="1"/>
    </xf>
    <xf numFmtId="0" fontId="217" fillId="24" borderId="0" xfId="16" applyFont="1" applyFill="1" applyBorder="1" applyAlignment="1" applyProtection="1">
      <alignment shrinkToFit="1"/>
      <protection locked="0"/>
    </xf>
    <xf numFmtId="0" fontId="216" fillId="24" borderId="0" xfId="131" applyFont="1" applyFill="1" applyBorder="1" applyAlignment="1" applyProtection="1">
      <alignment vertical="center" shrinkToFit="1"/>
      <protection locked="0"/>
    </xf>
    <xf numFmtId="0" fontId="217" fillId="24" borderId="0" xfId="131" applyFont="1" applyFill="1" applyBorder="1" applyAlignment="1" applyProtection="1">
      <alignment vertical="center"/>
      <protection locked="0"/>
    </xf>
    <xf numFmtId="0" fontId="133" fillId="24" borderId="0" xfId="131" applyFill="1" applyAlignment="1" applyProtection="1">
      <alignment vertical="center"/>
      <protection locked="0"/>
    </xf>
    <xf numFmtId="0" fontId="219" fillId="24" borderId="0" xfId="131" applyFont="1" applyFill="1" applyBorder="1" applyAlignment="1" applyProtection="1">
      <alignment vertical="center" shrinkToFit="1"/>
    </xf>
    <xf numFmtId="0" fontId="220" fillId="0" borderId="0" xfId="131" applyNumberFormat="1" applyFont="1" applyFill="1" applyBorder="1" applyAlignment="1" applyProtection="1">
      <alignment vertical="center"/>
    </xf>
    <xf numFmtId="0" fontId="220" fillId="0" borderId="0" xfId="131" applyNumberFormat="1" applyFont="1" applyFill="1" applyBorder="1" applyAlignment="1" applyProtection="1">
      <alignment vertical="center"/>
      <protection locked="0"/>
    </xf>
    <xf numFmtId="0" fontId="133" fillId="0" borderId="0" xfId="131" applyNumberFormat="1" applyFill="1" applyBorder="1" applyAlignment="1" applyProtection="1">
      <alignment vertical="center"/>
      <protection locked="0"/>
    </xf>
    <xf numFmtId="0" fontId="133" fillId="0" borderId="0" xfId="131" applyNumberFormat="1" applyFill="1" applyBorder="1" applyAlignment="1" applyProtection="1">
      <alignment vertical="center"/>
    </xf>
    <xf numFmtId="0" fontId="221" fillId="24" borderId="0" xfId="72" applyFont="1" applyFill="1" applyBorder="1" applyAlignment="1" applyProtection="1">
      <alignment vertical="center"/>
      <protection locked="0"/>
    </xf>
    <xf numFmtId="0" fontId="222" fillId="24" borderId="0" xfId="131" applyFont="1" applyFill="1" applyBorder="1" applyAlignment="1" applyProtection="1">
      <alignment vertical="center" shrinkToFit="1"/>
    </xf>
    <xf numFmtId="203" fontId="224" fillId="0" borderId="0" xfId="132" applyNumberFormat="1" applyFont="1" applyFill="1" applyBorder="1" applyAlignment="1" applyProtection="1">
      <alignment vertical="center"/>
    </xf>
    <xf numFmtId="0" fontId="226" fillId="0" borderId="0" xfId="133" applyNumberFormat="1" applyFont="1" applyFill="1" applyBorder="1" applyAlignment="1" applyProtection="1">
      <alignment vertical="center"/>
    </xf>
    <xf numFmtId="0" fontId="227" fillId="0" borderId="0" xfId="133" applyNumberFormat="1" applyFont="1" applyFill="1" applyBorder="1" applyAlignment="1" applyProtection="1">
      <alignment horizontal="right" vertical="center"/>
    </xf>
    <xf numFmtId="0" fontId="217" fillId="24" borderId="0" xfId="131" applyFont="1" applyFill="1" applyBorder="1" applyAlignment="1" applyProtection="1">
      <alignment vertical="center" shrinkToFit="1"/>
    </xf>
    <xf numFmtId="204" fontId="224" fillId="0" borderId="0" xfId="132" applyNumberFormat="1" applyFont="1" applyFill="1" applyBorder="1" applyAlignment="1" applyProtection="1">
      <alignment vertical="center"/>
    </xf>
    <xf numFmtId="205" fontId="224" fillId="0" borderId="0" xfId="132" applyNumberFormat="1" applyFont="1" applyFill="1" applyBorder="1" applyAlignment="1" applyProtection="1">
      <alignment horizontal="right" vertical="center"/>
    </xf>
    <xf numFmtId="206" fontId="224" fillId="0" borderId="294" xfId="132" applyNumberFormat="1" applyFont="1" applyFill="1" applyBorder="1" applyAlignment="1" applyProtection="1">
      <alignment vertical="center"/>
    </xf>
    <xf numFmtId="0" fontId="226" fillId="0" borderId="294" xfId="133" applyNumberFormat="1" applyFont="1" applyFill="1" applyBorder="1" applyAlignment="1" applyProtection="1">
      <alignment vertical="center"/>
    </xf>
    <xf numFmtId="0" fontId="220" fillId="0" borderId="294" xfId="131" applyNumberFormat="1" applyFont="1" applyFill="1" applyBorder="1" applyAlignment="1" applyProtection="1">
      <alignment vertical="center"/>
      <protection locked="0"/>
    </xf>
    <xf numFmtId="0" fontId="133" fillId="0" borderId="294" xfId="131" applyNumberFormat="1" applyFill="1" applyBorder="1" applyAlignment="1" applyProtection="1">
      <alignment vertical="center"/>
      <protection locked="0"/>
    </xf>
    <xf numFmtId="207" fontId="224" fillId="0" borderId="294" xfId="132" applyNumberFormat="1" applyFont="1" applyFill="1" applyBorder="1" applyAlignment="1" applyProtection="1">
      <alignment horizontal="right" vertical="center"/>
    </xf>
    <xf numFmtId="0" fontId="228" fillId="24" borderId="0" xfId="131" applyFont="1" applyFill="1" applyBorder="1" applyAlignment="1" applyProtection="1">
      <alignment vertical="center" shrinkToFit="1"/>
      <protection locked="0"/>
    </xf>
    <xf numFmtId="0" fontId="1" fillId="0" borderId="0" xfId="131" applyNumberFormat="1" applyFont="1" applyFill="1" applyBorder="1" applyAlignment="1" applyProtection="1">
      <alignment vertical="center"/>
      <protection locked="0"/>
    </xf>
    <xf numFmtId="0" fontId="18" fillId="0" borderId="0" xfId="131" applyNumberFormat="1" applyFont="1" applyFill="1" applyBorder="1" applyAlignment="1" applyProtection="1">
      <alignment vertical="center"/>
      <protection locked="0"/>
    </xf>
    <xf numFmtId="0" fontId="18" fillId="24" borderId="0" xfId="131" applyFont="1" applyFill="1" applyAlignment="1" applyProtection="1">
      <alignment vertical="center"/>
      <protection locked="0"/>
    </xf>
    <xf numFmtId="0" fontId="229" fillId="23" borderId="295" xfId="131" applyNumberFormat="1" applyFont="1" applyFill="1" applyBorder="1" applyAlignment="1" applyProtection="1">
      <alignment horizontal="right" vertical="center"/>
      <protection locked="0"/>
    </xf>
    <xf numFmtId="0" fontId="230" fillId="23" borderId="296" xfId="131" applyNumberFormat="1" applyFont="1" applyFill="1" applyBorder="1" applyAlignment="1" applyProtection="1">
      <alignment horizontal="center" vertical="center"/>
      <protection locked="0"/>
    </xf>
    <xf numFmtId="0" fontId="230" fillId="23" borderId="296" xfId="131" applyNumberFormat="1" applyFont="1" applyFill="1" applyBorder="1" applyAlignment="1" applyProtection="1">
      <alignment horizontal="center" vertical="center" wrapText="1"/>
      <protection locked="0"/>
    </xf>
    <xf numFmtId="0" fontId="230" fillId="23" borderId="297" xfId="131" applyNumberFormat="1" applyFont="1" applyFill="1" applyBorder="1" applyAlignment="1" applyProtection="1">
      <alignment horizontal="center" vertical="center" wrapText="1"/>
      <protection locked="0"/>
    </xf>
    <xf numFmtId="0"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protection locked="0"/>
    </xf>
    <xf numFmtId="0" fontId="234" fillId="25" borderId="296" xfId="133" applyFont="1" applyFill="1" applyBorder="1" applyAlignment="1" applyProtection="1">
      <alignment vertical="center"/>
      <protection locked="0"/>
    </xf>
    <xf numFmtId="0" fontId="18" fillId="25" borderId="297" xfId="131" applyNumberFormat="1" applyFont="1" applyFill="1" applyBorder="1" applyAlignment="1" applyProtection="1">
      <alignment vertical="center"/>
      <protection locked="0"/>
    </xf>
    <xf numFmtId="0" fontId="18" fillId="25" borderId="297" xfId="131" applyNumberFormat="1" applyFont="1" applyFill="1" applyBorder="1" applyAlignment="1" applyProtection="1">
      <alignment horizontal="center" vertical="center" wrapText="1"/>
      <protection locked="0"/>
    </xf>
    <xf numFmtId="49" fontId="232" fillId="25" borderId="295" xfId="131" applyNumberFormat="1" applyFont="1" applyFill="1" applyBorder="1" applyAlignment="1" applyProtection="1">
      <alignment horizontal="center" vertical="center"/>
      <protection locked="0"/>
    </xf>
    <xf numFmtId="0" fontId="233" fillId="25" borderId="296" xfId="133" applyFont="1" applyFill="1" applyBorder="1" applyAlignment="1" applyProtection="1">
      <alignment horizontal="left" vertical="center" wrapText="1" indent="1"/>
      <protection locked="0"/>
    </xf>
    <xf numFmtId="49" fontId="234" fillId="25" borderId="296" xfId="133" applyNumberFormat="1" applyFont="1" applyFill="1" applyBorder="1" applyAlignment="1" applyProtection="1">
      <alignment horizontal="center" vertical="center" wrapText="1"/>
      <protection locked="0"/>
    </xf>
    <xf numFmtId="0" fontId="233" fillId="25" borderId="296" xfId="133" applyFont="1" applyFill="1" applyBorder="1" applyAlignment="1" applyProtection="1">
      <alignment horizontal="left" vertical="center" indent="1"/>
      <protection locked="0"/>
    </xf>
    <xf numFmtId="0" fontId="233" fillId="25" borderId="296" xfId="133" applyFont="1" applyFill="1" applyBorder="1" applyAlignment="1" applyProtection="1">
      <alignment horizontal="left" vertical="center" wrapText="1" indent="2"/>
      <protection locked="0"/>
    </xf>
    <xf numFmtId="0" fontId="222" fillId="24" borderId="0" xfId="131" applyFont="1" applyFill="1" applyAlignment="1" applyProtection="1">
      <alignment vertical="center" shrinkToFit="1"/>
      <protection locked="0"/>
    </xf>
    <xf numFmtId="0" fontId="237" fillId="24" borderId="0" xfId="133" applyFont="1" applyFill="1" applyAlignment="1" applyProtection="1">
      <alignment horizontal="left" vertical="center"/>
      <protection locked="0"/>
    </xf>
    <xf numFmtId="0" fontId="133" fillId="24" borderId="0" xfId="131" applyFill="1" applyBorder="1" applyAlignment="1" applyProtection="1">
      <alignment vertical="center"/>
      <protection locked="0"/>
    </xf>
    <xf numFmtId="0" fontId="222" fillId="24" borderId="0" xfId="131" applyFont="1" applyFill="1" applyAlignment="1" applyProtection="1">
      <alignment vertical="center"/>
      <protection locked="0"/>
    </xf>
    <xf numFmtId="0" fontId="238" fillId="24" borderId="0" xfId="131" applyFont="1" applyFill="1" applyAlignment="1" applyProtection="1">
      <alignment vertical="center"/>
      <protection locked="0"/>
    </xf>
    <xf numFmtId="0" fontId="169" fillId="24" borderId="0" xfId="133" applyFont="1" applyFill="1" applyAlignment="1" applyProtection="1">
      <alignment horizontal="left" vertical="center"/>
      <protection locked="0"/>
    </xf>
    <xf numFmtId="0" fontId="5" fillId="0" borderId="0" xfId="134" applyFont="1" applyAlignment="1" applyProtection="1">
      <protection locked="0"/>
    </xf>
    <xf numFmtId="0" fontId="223" fillId="0" borderId="0" xfId="134" applyFont="1" applyAlignment="1" applyProtection="1">
      <protection locked="0"/>
    </xf>
    <xf numFmtId="0" fontId="215" fillId="0" borderId="0" xfId="134" applyFont="1" applyAlignment="1" applyProtection="1">
      <protection locked="0"/>
    </xf>
    <xf numFmtId="0" fontId="241" fillId="0" borderId="0" xfId="135" applyFont="1" applyFill="1" applyAlignment="1" applyProtection="1">
      <alignment vertical="center" wrapText="1"/>
      <protection locked="0"/>
    </xf>
    <xf numFmtId="0" fontId="226" fillId="0" borderId="0" xfId="133" applyNumberFormat="1" applyFont="1" applyFill="1" applyBorder="1" applyAlignment="1" applyProtection="1">
      <alignment vertical="center"/>
      <protection locked="0"/>
    </xf>
    <xf numFmtId="0" fontId="226" fillId="0" borderId="294" xfId="133" applyNumberFormat="1" applyFont="1" applyFill="1" applyBorder="1" applyAlignment="1" applyProtection="1">
      <alignment vertical="center"/>
      <protection locked="0"/>
    </xf>
    <xf numFmtId="0" fontId="34" fillId="0" borderId="301" xfId="136" applyFont="1" applyFill="1" applyBorder="1" applyAlignment="1" applyProtection="1">
      <alignment horizontal="center" vertical="center" wrapText="1"/>
      <protection locked="0"/>
    </xf>
    <xf numFmtId="0" fontId="246" fillId="0" borderId="26" xfId="136" applyFont="1" applyFill="1" applyBorder="1" applyAlignment="1" applyProtection="1">
      <alignment vertical="center"/>
      <protection locked="0"/>
    </xf>
    <xf numFmtId="0" fontId="1" fillId="0" borderId="27" xfId="136" applyFont="1" applyFill="1" applyBorder="1" applyAlignment="1" applyProtection="1">
      <alignment vertical="center"/>
      <protection locked="0"/>
    </xf>
    <xf numFmtId="0" fontId="25" fillId="0" borderId="27" xfId="136" applyFont="1" applyFill="1" applyBorder="1" applyAlignment="1" applyProtection="1">
      <alignment vertical="center"/>
      <protection locked="0"/>
    </xf>
    <xf numFmtId="43" fontId="25" fillId="0" borderId="27" xfId="137" applyFont="1" applyFill="1" applyBorder="1" applyAlignment="1" applyProtection="1">
      <alignment vertical="center" wrapText="1"/>
      <protection locked="0"/>
    </xf>
    <xf numFmtId="0" fontId="25" fillId="0" borderId="49" xfId="136" applyFont="1" applyFill="1" applyBorder="1" applyAlignment="1" applyProtection="1">
      <alignment vertical="center"/>
      <protection locked="0"/>
    </xf>
    <xf numFmtId="0" fontId="25" fillId="0" borderId="302" xfId="131" applyNumberFormat="1" applyFont="1" applyFill="1" applyBorder="1" applyAlignment="1" applyProtection="1">
      <alignment horizontal="center" vertical="center"/>
      <protection locked="0"/>
    </xf>
    <xf numFmtId="0" fontId="247" fillId="0" borderId="303" xfId="136" applyNumberFormat="1" applyFont="1" applyFill="1" applyBorder="1" applyAlignment="1" applyProtection="1">
      <alignment vertical="center" wrapText="1"/>
      <protection locked="0"/>
    </xf>
    <xf numFmtId="177" fontId="22" fillId="0" borderId="303" xfId="137" applyNumberFormat="1" applyFont="1" applyFill="1" applyBorder="1" applyAlignment="1" applyProtection="1">
      <alignment vertical="center" wrapText="1" shrinkToFit="1"/>
      <protection locked="0"/>
    </xf>
    <xf numFmtId="0" fontId="25" fillId="0" borderId="303" xfId="136" applyFont="1" applyFill="1" applyBorder="1" applyAlignment="1" applyProtection="1">
      <alignment vertical="center"/>
      <protection locked="0"/>
    </xf>
    <xf numFmtId="0" fontId="247" fillId="0" borderId="304" xfId="136" applyNumberFormat="1" applyFont="1" applyFill="1" applyBorder="1" applyAlignment="1" applyProtection="1">
      <alignment vertical="center" wrapText="1"/>
      <protection locked="0"/>
    </xf>
    <xf numFmtId="0" fontId="25" fillId="0" borderId="303" xfId="136" applyFont="1" applyFill="1" applyBorder="1" applyAlignment="1" applyProtection="1">
      <alignment horizontal="center" vertical="center" wrapText="1"/>
      <protection locked="0"/>
    </xf>
    <xf numFmtId="0" fontId="246" fillId="0" borderId="302" xfId="136" applyFont="1" applyFill="1" applyBorder="1" applyAlignment="1" applyProtection="1">
      <alignment vertical="center"/>
      <protection locked="0"/>
    </xf>
    <xf numFmtId="0" fontId="1" fillId="0" borderId="303" xfId="136" applyFont="1" applyFill="1" applyBorder="1" applyAlignment="1" applyProtection="1">
      <alignment vertical="center"/>
      <protection locked="0"/>
    </xf>
    <xf numFmtId="0" fontId="248" fillId="0" borderId="15" xfId="136" applyFont="1" applyFill="1" applyBorder="1" applyAlignment="1" applyProtection="1">
      <alignment vertical="center"/>
      <protection locked="0"/>
    </xf>
    <xf numFmtId="0" fontId="25" fillId="0" borderId="301" xfId="136" applyFont="1" applyFill="1" applyBorder="1" applyAlignment="1" applyProtection="1">
      <alignment vertical="center"/>
      <protection locked="0"/>
    </xf>
    <xf numFmtId="177" fontId="22" fillId="0" borderId="301" xfId="137" applyNumberFormat="1" applyFont="1" applyFill="1" applyBorder="1" applyAlignment="1" applyProtection="1">
      <alignment vertical="center" wrapText="1" shrinkToFit="1"/>
      <protection locked="0"/>
    </xf>
    <xf numFmtId="0" fontId="247" fillId="0" borderId="17" xfId="136" applyNumberFormat="1" applyFont="1" applyFill="1" applyBorder="1" applyAlignment="1" applyProtection="1">
      <alignment vertical="center" wrapText="1"/>
      <protection locked="0"/>
    </xf>
    <xf numFmtId="0" fontId="216" fillId="24" borderId="0" xfId="131" applyFont="1" applyFill="1" applyBorder="1" applyAlignment="1" applyProtection="1">
      <alignment vertical="center"/>
      <protection locked="0"/>
    </xf>
    <xf numFmtId="0" fontId="222" fillId="24" borderId="0" xfId="131" applyFont="1" applyFill="1" applyBorder="1" applyAlignment="1" applyProtection="1">
      <alignment vertical="center" shrinkToFit="1"/>
      <protection locked="0"/>
    </xf>
    <xf numFmtId="0" fontId="34" fillId="0" borderId="305" xfId="136" applyFont="1" applyFill="1" applyBorder="1" applyAlignment="1" applyProtection="1">
      <alignment horizontal="center" vertical="center" wrapText="1"/>
      <protection locked="0"/>
    </xf>
    <xf numFmtId="0" fontId="34" fillId="0" borderId="306" xfId="136" applyFont="1" applyFill="1" applyBorder="1" applyAlignment="1" applyProtection="1">
      <alignment horizontal="center" vertical="center" wrapText="1"/>
      <protection locked="0"/>
    </xf>
    <xf numFmtId="0" fontId="34" fillId="0" borderId="307" xfId="136" applyFont="1" applyFill="1" applyBorder="1" applyAlignment="1" applyProtection="1">
      <alignment horizontal="center" vertical="center" wrapText="1"/>
      <protection locked="0"/>
    </xf>
    <xf numFmtId="0" fontId="25" fillId="0" borderId="26" xfId="131" applyNumberFormat="1" applyFont="1" applyFill="1" applyBorder="1" applyAlignment="1" applyProtection="1">
      <alignment horizontal="center" vertical="center"/>
      <protection locked="0"/>
    </xf>
    <xf numFmtId="0" fontId="1" fillId="0" borderId="27" xfId="136" applyFont="1" applyFill="1" applyBorder="1" applyAlignment="1" applyProtection="1">
      <alignment horizontal="left" vertical="center" wrapText="1"/>
      <protection locked="0"/>
    </xf>
    <xf numFmtId="177" fontId="22" fillId="0" borderId="27" xfId="137" applyNumberFormat="1" applyFont="1" applyFill="1" applyBorder="1" applyAlignment="1" applyProtection="1">
      <alignment vertical="center" wrapText="1" shrinkToFit="1"/>
      <protection locked="0"/>
    </xf>
    <xf numFmtId="0" fontId="1" fillId="0" borderId="49" xfId="136" applyFont="1" applyFill="1" applyBorder="1" applyAlignment="1" applyProtection="1">
      <alignment horizontal="left" vertical="center" wrapText="1"/>
      <protection locked="0"/>
    </xf>
    <xf numFmtId="0" fontId="1" fillId="0" borderId="303" xfId="136" applyFont="1" applyFill="1" applyBorder="1" applyAlignment="1" applyProtection="1">
      <alignment horizontal="left" vertical="center" wrapText="1"/>
      <protection locked="0"/>
    </xf>
    <xf numFmtId="0" fontId="1" fillId="0" borderId="304" xfId="136" applyFont="1" applyFill="1" applyBorder="1" applyAlignment="1" applyProtection="1">
      <alignment horizontal="left" vertical="center" wrapText="1"/>
      <protection locked="0"/>
    </xf>
    <xf numFmtId="0" fontId="25" fillId="0" borderId="15" xfId="131" applyNumberFormat="1" applyFont="1" applyFill="1" applyBorder="1" applyAlignment="1" applyProtection="1">
      <alignment horizontal="center" vertical="center"/>
      <protection locked="0"/>
    </xf>
    <xf numFmtId="0" fontId="1" fillId="0" borderId="301" xfId="136" applyFont="1" applyFill="1" applyBorder="1" applyAlignment="1" applyProtection="1">
      <alignment horizontal="left" vertical="center" wrapText="1"/>
      <protection locked="0"/>
    </xf>
    <xf numFmtId="0" fontId="1" fillId="0" borderId="17" xfId="136" applyFont="1" applyFill="1" applyBorder="1" applyAlignment="1" applyProtection="1">
      <alignment horizontal="left" vertical="center" wrapText="1"/>
      <protection locked="0"/>
    </xf>
    <xf numFmtId="0" fontId="220" fillId="0" borderId="294" xfId="131" applyNumberFormat="1" applyFont="1" applyFill="1" applyBorder="1" applyAlignment="1" applyProtection="1">
      <alignment vertical="center"/>
    </xf>
    <xf numFmtId="0" fontId="246" fillId="0" borderId="0" xfId="138" applyFont="1" applyAlignment="1" applyProtection="1">
      <alignment vertical="center"/>
      <protection locked="0"/>
    </xf>
    <xf numFmtId="0" fontId="5" fillId="0" borderId="0" xfId="138" applyFont="1" applyProtection="1">
      <protection locked="0"/>
    </xf>
    <xf numFmtId="0" fontId="1" fillId="0" borderId="0" xfId="138" applyFont="1" applyProtection="1">
      <protection locked="0"/>
    </xf>
    <xf numFmtId="0" fontId="5" fillId="0" borderId="305" xfId="138" applyFont="1" applyBorder="1" applyAlignment="1" applyProtection="1">
      <alignment horizontal="center" vertical="center" wrapText="1"/>
      <protection locked="0"/>
    </xf>
    <xf numFmtId="0" fontId="5" fillId="0" borderId="306" xfId="138" applyFont="1" applyBorder="1" applyAlignment="1" applyProtection="1">
      <alignment horizontal="center" vertical="center" wrapText="1"/>
      <protection locked="0"/>
    </xf>
    <xf numFmtId="0" fontId="5" fillId="0" borderId="307" xfId="131" applyNumberFormat="1" applyFont="1" applyFill="1" applyBorder="1" applyAlignment="1" applyProtection="1">
      <alignment horizontal="center" vertical="center"/>
      <protection locked="0"/>
    </xf>
    <xf numFmtId="0" fontId="1" fillId="0" borderId="26" xfId="138" applyFont="1" applyBorder="1" applyAlignment="1" applyProtection="1">
      <alignment horizontal="justify" vertical="center" wrapText="1"/>
      <protection locked="0"/>
    </xf>
    <xf numFmtId="0" fontId="1" fillId="0" borderId="27" xfId="138" applyFont="1" applyBorder="1" applyAlignment="1" applyProtection="1">
      <alignment horizontal="justify" vertical="center" wrapText="1"/>
      <protection locked="0"/>
    </xf>
    <xf numFmtId="0" fontId="7" fillId="0" borderId="27" xfId="138" applyFont="1" applyBorder="1" applyAlignment="1" applyProtection="1">
      <alignment horizontal="justify" vertical="center" wrapText="1"/>
      <protection locked="0"/>
    </xf>
    <xf numFmtId="0" fontId="1" fillId="0" borderId="27" xfId="138" applyFont="1" applyBorder="1" applyProtection="1">
      <protection locked="0"/>
    </xf>
    <xf numFmtId="0" fontId="18" fillId="0" borderId="49" xfId="131" applyNumberFormat="1" applyFont="1" applyFill="1" applyBorder="1" applyAlignment="1" applyProtection="1">
      <alignment vertical="center"/>
      <protection locked="0"/>
    </xf>
    <xf numFmtId="0" fontId="1" fillId="0" borderId="302" xfId="138" applyFont="1" applyBorder="1" applyAlignment="1" applyProtection="1">
      <alignment horizontal="justify" vertical="center" wrapText="1"/>
      <protection locked="0"/>
    </xf>
    <xf numFmtId="0" fontId="1" fillId="0" borderId="303" xfId="138" applyFont="1" applyBorder="1" applyAlignment="1" applyProtection="1">
      <alignment horizontal="justify" vertical="center" wrapText="1"/>
      <protection locked="0"/>
    </xf>
    <xf numFmtId="0" fontId="1" fillId="0" borderId="303" xfId="138" applyFont="1" applyBorder="1" applyProtection="1">
      <protection locked="0"/>
    </xf>
    <xf numFmtId="0" fontId="18" fillId="0" borderId="304" xfId="131" applyNumberFormat="1" applyFont="1" applyFill="1" applyBorder="1" applyAlignment="1" applyProtection="1">
      <alignment vertical="center"/>
      <protection locked="0"/>
    </xf>
    <xf numFmtId="0" fontId="1" fillId="0" borderId="15" xfId="138" applyFont="1" applyBorder="1" applyAlignment="1" applyProtection="1">
      <alignment horizontal="justify" vertical="center" wrapText="1"/>
      <protection locked="0"/>
    </xf>
    <xf numFmtId="0" fontId="1" fillId="0" borderId="301" xfId="138" applyFont="1" applyBorder="1" applyAlignment="1" applyProtection="1">
      <alignment horizontal="justify" vertical="center" wrapText="1"/>
      <protection locked="0"/>
    </xf>
    <xf numFmtId="0" fontId="1" fillId="0" borderId="301" xfId="138" applyFont="1" applyBorder="1" applyProtection="1">
      <protection locked="0"/>
    </xf>
    <xf numFmtId="0" fontId="18" fillId="0" borderId="17" xfId="131" applyNumberFormat="1" applyFont="1" applyFill="1" applyBorder="1" applyAlignment="1" applyProtection="1">
      <alignment vertical="center"/>
      <protection locked="0"/>
    </xf>
    <xf numFmtId="0" fontId="1" fillId="0" borderId="0" xfId="138" applyFont="1" applyBorder="1" applyAlignment="1" applyProtection="1">
      <alignment horizontal="center" wrapText="1"/>
      <protection locked="0"/>
    </xf>
    <xf numFmtId="0" fontId="1" fillId="0" borderId="0" xfId="139" applyFont="1" applyBorder="1" applyAlignment="1" applyProtection="1">
      <alignment horizontal="left"/>
      <protection locked="0"/>
    </xf>
    <xf numFmtId="0" fontId="1" fillId="0" borderId="0" xfId="138" applyFont="1" applyBorder="1" applyAlignment="1" applyProtection="1">
      <alignment horizontal="centerContinuous" wrapText="1"/>
      <protection locked="0"/>
    </xf>
    <xf numFmtId="0" fontId="1" fillId="0" borderId="0" xfId="138" applyFont="1" applyBorder="1" applyProtection="1">
      <protection locked="0"/>
    </xf>
    <xf numFmtId="0" fontId="191" fillId="0" borderId="0" xfId="138" applyFont="1" applyBorder="1" applyAlignment="1" applyProtection="1">
      <alignment vertical="center"/>
      <protection locked="0"/>
    </xf>
    <xf numFmtId="0" fontId="246" fillId="0" borderId="0" xfId="131" applyNumberFormat="1" applyFont="1" applyFill="1" applyBorder="1" applyAlignment="1" applyProtection="1">
      <alignment vertical="center"/>
      <protection locked="0"/>
    </xf>
    <xf numFmtId="0" fontId="191" fillId="0" borderId="0" xfId="131" applyNumberFormat="1" applyFont="1" applyFill="1" applyBorder="1" applyAlignment="1" applyProtection="1">
      <alignment vertical="center"/>
      <protection locked="0"/>
    </xf>
    <xf numFmtId="0" fontId="1" fillId="0" borderId="298" xfId="131" applyNumberFormat="1" applyFont="1" applyFill="1" applyBorder="1" applyAlignment="1" applyProtection="1">
      <alignment vertical="center"/>
      <protection locked="0"/>
    </xf>
    <xf numFmtId="0" fontId="1" fillId="0" borderId="299"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horizontal="center" vertical="center"/>
      <protection locked="0"/>
    </xf>
    <xf numFmtId="0" fontId="1" fillId="0" borderId="304" xfId="131" applyNumberFormat="1" applyFont="1" applyFill="1" applyBorder="1" applyAlignment="1" applyProtection="1">
      <alignment horizontal="center" vertical="center"/>
      <protection locked="0"/>
    </xf>
    <xf numFmtId="0" fontId="1" fillId="0" borderId="303" xfId="131" applyNumberFormat="1" applyFont="1" applyFill="1" applyBorder="1" applyAlignment="1" applyProtection="1">
      <alignment vertical="center"/>
      <protection locked="0"/>
    </xf>
    <xf numFmtId="177" fontId="22" fillId="0" borderId="303" xfId="131" applyNumberFormat="1" applyFont="1" applyFill="1" applyBorder="1" applyAlignment="1" applyProtection="1">
      <alignment vertical="center" shrinkToFit="1"/>
      <protection locked="0"/>
    </xf>
    <xf numFmtId="177" fontId="22" fillId="0" borderId="304" xfId="131" applyNumberFormat="1" applyFont="1" applyFill="1" applyBorder="1" applyAlignment="1" applyProtection="1">
      <alignment vertical="center" shrinkToFit="1"/>
      <protection locked="0"/>
    </xf>
    <xf numFmtId="177" fontId="250" fillId="24" borderId="0" xfId="131" applyNumberFormat="1" applyFont="1" applyFill="1" applyBorder="1" applyAlignment="1" applyProtection="1">
      <alignment vertical="center" shrinkToFit="1"/>
      <protection locked="0"/>
    </xf>
    <xf numFmtId="0" fontId="1" fillId="0" borderId="15" xfId="131" applyNumberFormat="1" applyFont="1" applyFill="1" applyBorder="1" applyAlignment="1" applyProtection="1">
      <alignment horizontal="center" vertical="center"/>
      <protection locked="0"/>
    </xf>
    <xf numFmtId="0" fontId="1" fillId="0" borderId="301" xfId="131" applyNumberFormat="1" applyFont="1" applyFill="1" applyBorder="1" applyAlignment="1" applyProtection="1">
      <alignment vertical="center"/>
      <protection locked="0"/>
    </xf>
    <xf numFmtId="177" fontId="22" fillId="0" borderId="301" xfId="131" applyNumberFormat="1" applyFont="1" applyFill="1" applyBorder="1" applyAlignment="1" applyProtection="1">
      <alignment vertical="center" shrinkToFit="1"/>
      <protection locked="0"/>
    </xf>
    <xf numFmtId="177" fontId="22" fillId="0" borderId="17" xfId="131" applyNumberFormat="1" applyFont="1" applyFill="1" applyBorder="1" applyAlignment="1" applyProtection="1">
      <alignment vertical="center" shrinkToFit="1"/>
      <protection locked="0"/>
    </xf>
    <xf numFmtId="177" fontId="22" fillId="0" borderId="0" xfId="131" applyNumberFormat="1" applyFont="1" applyFill="1" applyBorder="1" applyAlignment="1" applyProtection="1">
      <alignment vertical="center" shrinkToFit="1"/>
      <protection locked="0"/>
    </xf>
    <xf numFmtId="0" fontId="7" fillId="0" borderId="0" xfId="131" applyNumberFormat="1" applyFont="1" applyFill="1" applyBorder="1" applyAlignment="1" applyProtection="1">
      <alignment vertical="center"/>
      <protection locked="0"/>
    </xf>
    <xf numFmtId="0" fontId="5" fillId="0" borderId="308" xfId="131" applyNumberFormat="1" applyFont="1" applyFill="1" applyBorder="1" applyAlignment="1" applyProtection="1">
      <alignment vertical="center"/>
      <protection locked="0"/>
    </xf>
    <xf numFmtId="0" fontId="1" fillId="0" borderId="309" xfId="131" applyNumberFormat="1" applyFont="1" applyFill="1" applyBorder="1" applyAlignment="1" applyProtection="1">
      <alignment vertical="center"/>
      <protection locked="0"/>
    </xf>
    <xf numFmtId="0" fontId="18" fillId="0" borderId="309" xfId="131" applyNumberFormat="1" applyFont="1" applyFill="1" applyBorder="1" applyAlignment="1" applyProtection="1">
      <alignment vertical="center"/>
      <protection locked="0"/>
    </xf>
    <xf numFmtId="0" fontId="18" fillId="0" borderId="310" xfId="131" applyNumberFormat="1" applyFont="1" applyFill="1" applyBorder="1" applyAlignment="1" applyProtection="1">
      <alignment vertical="center"/>
      <protection locked="0"/>
    </xf>
    <xf numFmtId="0" fontId="7" fillId="0" borderId="311" xfId="131" applyNumberFormat="1" applyFont="1" applyFill="1" applyBorder="1" applyAlignment="1" applyProtection="1">
      <alignment vertical="center"/>
      <protection locked="0"/>
    </xf>
    <xf numFmtId="0" fontId="1" fillId="0" borderId="254" xfId="131" applyNumberFormat="1" applyFont="1" applyFill="1" applyBorder="1" applyAlignment="1" applyProtection="1">
      <alignment vertical="center"/>
      <protection locked="0"/>
    </xf>
    <xf numFmtId="0" fontId="18" fillId="0" borderId="254" xfId="131" applyNumberFormat="1" applyFont="1" applyFill="1" applyBorder="1" applyAlignment="1" applyProtection="1">
      <alignment vertical="center"/>
      <protection locked="0"/>
    </xf>
    <xf numFmtId="0" fontId="18" fillId="0" borderId="312" xfId="131" applyNumberFormat="1" applyFont="1" applyFill="1" applyBorder="1" applyAlignment="1" applyProtection="1">
      <alignment vertical="center"/>
      <protection locked="0"/>
    </xf>
    <xf numFmtId="0" fontId="1" fillId="0" borderId="0" xfId="131" applyNumberFormat="1" applyFont="1" applyFill="1" applyBorder="1" applyAlignment="1" applyProtection="1">
      <alignment horizontal="center" vertical="center"/>
      <protection locked="0"/>
    </xf>
    <xf numFmtId="0" fontId="7" fillId="0" borderId="313" xfId="131" applyNumberFormat="1" applyFont="1" applyFill="1" applyBorder="1" applyAlignment="1" applyProtection="1">
      <alignment vertical="center"/>
      <protection locked="0"/>
    </xf>
    <xf numFmtId="0" fontId="18" fillId="0" borderId="314" xfId="131" applyNumberFormat="1" applyFont="1" applyFill="1" applyBorder="1" applyAlignment="1" applyProtection="1">
      <alignment vertical="center"/>
      <protection locked="0"/>
    </xf>
    <xf numFmtId="0" fontId="7" fillId="0" borderId="254" xfId="131" applyNumberFormat="1" applyFont="1" applyFill="1" applyBorder="1" applyAlignment="1" applyProtection="1">
      <alignment vertical="center"/>
      <protection locked="0"/>
    </xf>
    <xf numFmtId="0" fontId="1" fillId="0" borderId="315" xfId="131" applyNumberFormat="1" applyFont="1" applyFill="1" applyBorder="1" applyAlignment="1" applyProtection="1">
      <alignment vertical="center"/>
      <protection locked="0"/>
    </xf>
    <xf numFmtId="0" fontId="18" fillId="0" borderId="315" xfId="131" applyNumberFormat="1" applyFont="1" applyFill="1" applyBorder="1" applyAlignment="1" applyProtection="1">
      <alignment vertical="center"/>
      <protection locked="0"/>
    </xf>
    <xf numFmtId="0" fontId="1" fillId="0" borderId="302" xfId="131" applyNumberFormat="1" applyFont="1" applyFill="1" applyBorder="1" applyAlignment="1" applyProtection="1">
      <alignment vertical="center"/>
      <protection locked="0"/>
    </xf>
    <xf numFmtId="0" fontId="1" fillId="0" borderId="316" xfId="131" applyNumberFormat="1" applyFont="1" applyFill="1" applyBorder="1" applyAlignment="1" applyProtection="1">
      <alignment vertical="center"/>
      <protection locked="0"/>
    </xf>
    <xf numFmtId="0" fontId="18" fillId="0" borderId="316" xfId="131" applyNumberFormat="1" applyFont="1" applyFill="1" applyBorder="1" applyAlignment="1" applyProtection="1">
      <alignment vertical="center"/>
      <protection locked="0"/>
    </xf>
    <xf numFmtId="0" fontId="1" fillId="0" borderId="52" xfId="131" applyNumberFormat="1" applyFont="1" applyFill="1" applyBorder="1" applyAlignment="1" applyProtection="1">
      <alignment vertical="center"/>
      <protection locked="0"/>
    </xf>
    <xf numFmtId="0" fontId="1" fillId="0" borderId="317" xfId="131" applyNumberFormat="1" applyFont="1" applyFill="1" applyBorder="1" applyAlignment="1" applyProtection="1">
      <alignment vertical="center"/>
      <protection locked="0"/>
    </xf>
    <xf numFmtId="0" fontId="1" fillId="0" borderId="26" xfId="131" applyNumberFormat="1" applyFont="1" applyFill="1" applyBorder="1" applyAlignment="1" applyProtection="1">
      <alignment vertical="center"/>
      <protection locked="0"/>
    </xf>
    <xf numFmtId="0" fontId="1" fillId="0" borderId="15" xfId="131" applyNumberFormat="1" applyFont="1" applyFill="1" applyBorder="1" applyAlignment="1" applyProtection="1">
      <alignment vertical="center"/>
      <protection locked="0"/>
    </xf>
    <xf numFmtId="0" fontId="1" fillId="0" borderId="22" xfId="131" applyNumberFormat="1" applyFont="1" applyFill="1" applyBorder="1" applyAlignment="1" applyProtection="1">
      <alignment vertical="center"/>
      <protection locked="0"/>
    </xf>
    <xf numFmtId="0" fontId="18" fillId="0" borderId="22" xfId="131" applyNumberFormat="1" applyFont="1" applyFill="1" applyBorder="1" applyAlignment="1" applyProtection="1">
      <alignment vertical="center"/>
      <protection locked="0"/>
    </xf>
    <xf numFmtId="0" fontId="5" fillId="0" borderId="0" xfId="131" applyNumberFormat="1" applyFont="1" applyFill="1" applyBorder="1" applyAlignment="1" applyProtection="1">
      <alignment vertical="center"/>
      <protection locked="0"/>
    </xf>
    <xf numFmtId="177" fontId="0" fillId="2" borderId="0" xfId="0" applyNumberFormat="1" applyFill="1" applyProtection="1">
      <alignment vertical="center"/>
      <protection locked="0"/>
    </xf>
    <xf numFmtId="0" fontId="1" fillId="2" borderId="0" xfId="0" applyFont="1" applyFill="1" applyProtection="1">
      <alignment vertical="center"/>
    </xf>
    <xf numFmtId="0" fontId="1" fillId="2" borderId="0" xfId="0" applyFont="1" applyFill="1" applyAlignment="1" applyProtection="1">
      <alignment horizontal="center" vertical="center"/>
    </xf>
    <xf numFmtId="182" fontId="22" fillId="2" borderId="0" xfId="0" applyNumberFormat="1" applyFont="1" applyFill="1" applyAlignment="1" applyProtection="1">
      <alignment vertical="center" shrinkToFit="1"/>
    </xf>
    <xf numFmtId="202" fontId="22" fillId="2" borderId="0" xfId="0" applyNumberFormat="1" applyFont="1" applyFill="1" applyAlignment="1" applyProtection="1">
      <alignment vertical="center" shrinkToFit="1"/>
    </xf>
    <xf numFmtId="0" fontId="22" fillId="2" borderId="0" xfId="0" applyNumberFormat="1" applyFont="1" applyFill="1" applyAlignment="1" applyProtection="1">
      <alignment horizontal="center" vertical="center" shrinkToFit="1"/>
    </xf>
    <xf numFmtId="208" fontId="22" fillId="2" borderId="0" xfId="0" applyNumberFormat="1" applyFont="1" applyFill="1" applyAlignment="1" applyProtection="1">
      <alignment vertical="center" shrinkToFit="1"/>
    </xf>
    <xf numFmtId="209" fontId="22" fillId="2" borderId="0" xfId="0" applyNumberFormat="1" applyFont="1" applyFill="1" applyAlignment="1" applyProtection="1">
      <alignment vertical="center" shrinkToFit="1"/>
    </xf>
    <xf numFmtId="0" fontId="22" fillId="2" borderId="0" xfId="0" applyNumberFormat="1" applyFont="1" applyFill="1" applyAlignment="1" applyProtection="1">
      <alignment vertical="center" shrinkToFit="1"/>
    </xf>
    <xf numFmtId="0" fontId="89" fillId="14" borderId="319" xfId="0" applyFont="1" applyFill="1" applyBorder="1" applyAlignment="1" applyProtection="1">
      <alignment horizontal="center" vertical="center"/>
      <protection hidden="1"/>
    </xf>
    <xf numFmtId="177" fontId="22" fillId="17" borderId="318" xfId="120" applyNumberFormat="1" applyFont="1" applyFill="1" applyBorder="1" applyAlignment="1" applyProtection="1">
      <alignment vertical="center" shrinkToFit="1"/>
    </xf>
    <xf numFmtId="177" fontId="22" fillId="17" borderId="318" xfId="120" applyNumberFormat="1" applyFont="1" applyFill="1" applyBorder="1" applyAlignment="1" applyProtection="1">
      <alignment vertical="center" shrinkToFit="1"/>
      <protection locked="0"/>
    </xf>
    <xf numFmtId="177" fontId="22" fillId="17" borderId="0" xfId="120" applyNumberFormat="1" applyFont="1" applyFill="1" applyBorder="1" applyAlignment="1" applyProtection="1">
      <alignment vertical="center" shrinkToFit="1"/>
    </xf>
    <xf numFmtId="0" fontId="22" fillId="0" borderId="302" xfId="0" applyFont="1" applyFill="1" applyBorder="1" applyAlignment="1">
      <alignment horizontal="center" vertical="center" wrapText="1"/>
    </xf>
    <xf numFmtId="0" fontId="0" fillId="0" borderId="303" xfId="0" applyFill="1" applyBorder="1" applyAlignment="1">
      <alignment vertical="center" wrapText="1"/>
    </xf>
    <xf numFmtId="0" fontId="75" fillId="0" borderId="303" xfId="0" applyNumberFormat="1" applyFont="1" applyFill="1" applyBorder="1" applyAlignment="1">
      <alignment vertical="center" shrinkToFit="1"/>
    </xf>
    <xf numFmtId="178" fontId="22" fillId="0" borderId="303" xfId="0" applyNumberFormat="1" applyFont="1" applyFill="1" applyBorder="1" applyAlignment="1">
      <alignment vertical="center" shrinkToFit="1"/>
    </xf>
    <xf numFmtId="0" fontId="0" fillId="0" borderId="321" xfId="0" applyFill="1" applyBorder="1" applyAlignment="1">
      <alignment vertical="center" wrapText="1"/>
    </xf>
    <xf numFmtId="177" fontId="22" fillId="0" borderId="303" xfId="0" applyNumberFormat="1" applyFont="1" applyFill="1" applyBorder="1" applyAlignment="1" applyProtection="1">
      <alignment vertical="center" shrinkToFit="1"/>
    </xf>
    <xf numFmtId="0" fontId="29" fillId="0" borderId="304" xfId="0" applyFont="1" applyFill="1" applyBorder="1" applyAlignment="1" applyProtection="1">
      <alignment horizontal="center" vertical="center"/>
      <protection locked="0"/>
    </xf>
    <xf numFmtId="0" fontId="1" fillId="0" borderId="13" xfId="0" applyFont="1" applyFill="1" applyBorder="1" applyAlignment="1">
      <alignment vertical="center" wrapText="1"/>
    </xf>
    <xf numFmtId="0" fontId="24" fillId="0" borderId="303" xfId="0" applyFont="1" applyFill="1" applyBorder="1" applyAlignment="1">
      <alignment vertical="center" wrapText="1"/>
    </xf>
    <xf numFmtId="0" fontId="1" fillId="0" borderId="303" xfId="0" applyFont="1" applyFill="1" applyBorder="1" applyAlignment="1">
      <alignment vertical="center" wrapText="1"/>
    </xf>
    <xf numFmtId="0" fontId="24" fillId="0" borderId="13" xfId="0" applyFont="1" applyFill="1" applyBorder="1" applyAlignment="1">
      <alignment vertical="center" wrapText="1"/>
    </xf>
    <xf numFmtId="0" fontId="24" fillId="0" borderId="16" xfId="0" applyFont="1" applyFill="1" applyBorder="1" applyAlignment="1">
      <alignment vertical="center" wrapText="1"/>
    </xf>
    <xf numFmtId="177" fontId="175" fillId="0" borderId="226" xfId="5" applyNumberFormat="1" applyFont="1" applyFill="1" applyBorder="1" applyAlignment="1" applyProtection="1">
      <alignment vertical="center" shrinkToFit="1"/>
    </xf>
    <xf numFmtId="177" fontId="252" fillId="0" borderId="320" xfId="5" applyNumberFormat="1" applyFont="1" applyFill="1" applyBorder="1" applyAlignment="1" applyProtection="1">
      <alignment vertical="center" shrinkToFit="1"/>
    </xf>
    <xf numFmtId="177" fontId="175" fillId="0" borderId="320" xfId="5" applyNumberFormat="1" applyFont="1" applyFill="1" applyBorder="1" applyAlignment="1" applyProtection="1">
      <alignment vertical="center" shrinkToFit="1"/>
    </xf>
    <xf numFmtId="177" fontId="252" fillId="0" borderId="226" xfId="5" applyNumberFormat="1" applyFont="1" applyFill="1" applyBorder="1" applyAlignment="1" applyProtection="1">
      <alignment vertical="center" shrinkToFit="1"/>
    </xf>
    <xf numFmtId="177" fontId="252" fillId="0" borderId="228" xfId="5" applyNumberFormat="1" applyFont="1" applyFill="1" applyBorder="1" applyAlignment="1" applyProtection="1">
      <alignment vertical="center" shrinkToFit="1"/>
    </xf>
    <xf numFmtId="177" fontId="50" fillId="6" borderId="0" xfId="0" applyNumberFormat="1" applyFont="1" applyFill="1" applyAlignment="1" applyProtection="1">
      <alignment vertical="center" shrinkToFit="1"/>
      <protection locked="0" hidden="1"/>
    </xf>
    <xf numFmtId="177" fontId="0" fillId="8" borderId="0" xfId="0" applyNumberFormat="1" applyFill="1" applyProtection="1">
      <alignment vertical="center"/>
      <protection locked="0" hidden="1"/>
    </xf>
    <xf numFmtId="0" fontId="0" fillId="6" borderId="0" xfId="0" applyFill="1" applyProtection="1">
      <alignment vertical="center"/>
      <protection locked="0" hidden="1"/>
    </xf>
    <xf numFmtId="177" fontId="50" fillId="8" borderId="0" xfId="0" applyNumberFormat="1" applyFont="1" applyFill="1" applyAlignment="1" applyProtection="1">
      <alignment vertical="center" shrinkToFit="1"/>
      <protection locked="0" hidden="1"/>
    </xf>
    <xf numFmtId="0" fontId="22" fillId="0" borderId="302" xfId="0" applyFont="1" applyFill="1" applyBorder="1" applyAlignment="1" applyProtection="1">
      <alignment horizontal="center" vertical="center" wrapText="1"/>
    </xf>
    <xf numFmtId="0" fontId="0" fillId="0" borderId="303" xfId="0" applyFill="1" applyBorder="1" applyAlignment="1" applyProtection="1">
      <alignment vertical="center" wrapText="1"/>
    </xf>
    <xf numFmtId="0" fontId="0" fillId="0" borderId="304" xfId="0" applyFill="1" applyBorder="1" applyAlignment="1" applyProtection="1">
      <alignment vertical="center" wrapText="1"/>
    </xf>
    <xf numFmtId="177" fontId="22" fillId="0" borderId="321" xfId="0" applyNumberFormat="1" applyFont="1" applyFill="1" applyBorder="1" applyAlignment="1" applyProtection="1">
      <alignment vertical="center" shrinkToFit="1"/>
    </xf>
    <xf numFmtId="177" fontId="22" fillId="0" borderId="304" xfId="0" applyNumberFormat="1" applyFont="1" applyFill="1" applyBorder="1" applyAlignment="1" applyProtection="1">
      <alignment vertical="center" shrinkToFit="1"/>
    </xf>
    <xf numFmtId="177" fontId="72" fillId="0" borderId="13" xfId="5" applyNumberFormat="1" applyFont="1" applyFill="1" applyBorder="1" applyAlignment="1" applyProtection="1">
      <alignment horizontal="right" vertical="center" shrinkToFit="1"/>
      <protection locked="0"/>
    </xf>
    <xf numFmtId="177" fontId="72" fillId="0" borderId="303" xfId="5" applyNumberFormat="1" applyFont="1" applyFill="1" applyBorder="1" applyAlignment="1" applyProtection="1">
      <alignment horizontal="right" vertical="center" shrinkToFit="1"/>
      <protection locked="0"/>
    </xf>
    <xf numFmtId="0" fontId="0" fillId="2" borderId="19" xfId="0" applyFill="1" applyBorder="1" applyProtection="1">
      <alignment vertical="center"/>
      <protection locked="0"/>
    </xf>
    <xf numFmtId="0" fontId="5" fillId="2" borderId="322" xfId="0" applyFont="1" applyFill="1" applyBorder="1" applyProtection="1">
      <alignment vertical="center"/>
      <protection locked="0"/>
    </xf>
    <xf numFmtId="0" fontId="5" fillId="2" borderId="323" xfId="0" applyFont="1" applyFill="1" applyBorder="1" applyProtection="1">
      <alignment vertical="center"/>
      <protection locked="0"/>
    </xf>
    <xf numFmtId="0" fontId="5" fillId="2" borderId="323" xfId="0" applyFont="1" applyFill="1" applyBorder="1">
      <alignment vertical="center"/>
    </xf>
    <xf numFmtId="0" fontId="5" fillId="2" borderId="324" xfId="0" applyFont="1" applyFill="1" applyBorder="1">
      <alignment vertical="center"/>
    </xf>
    <xf numFmtId="0" fontId="0" fillId="2" borderId="325" xfId="0" applyFill="1" applyBorder="1" applyProtection="1">
      <alignment vertical="center"/>
      <protection locked="0"/>
    </xf>
    <xf numFmtId="0" fontId="0" fillId="2" borderId="326" xfId="0" applyFill="1" applyBorder="1" applyAlignment="1" applyProtection="1">
      <alignment vertical="center" wrapText="1"/>
      <protection locked="0"/>
    </xf>
    <xf numFmtId="0" fontId="0" fillId="2" borderId="326" xfId="0" applyFill="1" applyBorder="1" applyProtection="1">
      <alignment vertical="center"/>
      <protection locked="0"/>
    </xf>
    <xf numFmtId="0" fontId="0" fillId="2" borderId="326" xfId="0" applyFill="1" applyBorder="1">
      <alignment vertical="center"/>
    </xf>
    <xf numFmtId="0" fontId="0" fillId="2" borderId="327" xfId="0" applyFill="1" applyBorder="1">
      <alignment vertical="center"/>
    </xf>
    <xf numFmtId="0" fontId="1" fillId="0" borderId="14" xfId="0" applyFont="1" applyFill="1" applyBorder="1" applyAlignment="1" applyProtection="1">
      <alignment vertical="center" wrapText="1"/>
    </xf>
    <xf numFmtId="177" fontId="1" fillId="0" borderId="0" xfId="6" applyNumberFormat="1" applyFont="1" applyFill="1" applyProtection="1">
      <alignment vertical="center"/>
      <protection locked="0"/>
    </xf>
    <xf numFmtId="4" fontId="0" fillId="2" borderId="0" xfId="0" applyNumberFormat="1" applyFill="1">
      <alignment vertical="center"/>
    </xf>
    <xf numFmtId="177" fontId="0" fillId="2" borderId="0" xfId="0" applyNumberFormat="1" applyFill="1">
      <alignment vertical="center"/>
    </xf>
    <xf numFmtId="0" fontId="1" fillId="2" borderId="0" xfId="0" applyFont="1" applyFill="1" applyBorder="1" applyAlignment="1" applyProtection="1">
      <alignment vertical="center"/>
      <protection locked="0"/>
    </xf>
    <xf numFmtId="0" fontId="1" fillId="0" borderId="27" xfId="0" applyFont="1" applyFill="1" applyBorder="1" applyAlignment="1" applyProtection="1">
      <alignment vertical="center" wrapText="1"/>
      <protection locked="0"/>
    </xf>
    <xf numFmtId="177" fontId="247" fillId="0" borderId="27" xfId="28" applyNumberFormat="1" applyFont="1" applyBorder="1" applyAlignment="1" applyProtection="1">
      <alignment vertical="center" shrinkToFit="1"/>
      <protection locked="0"/>
    </xf>
    <xf numFmtId="0" fontId="42" fillId="8" borderId="57" xfId="0" applyFont="1" applyFill="1" applyBorder="1" applyAlignment="1" applyProtection="1">
      <alignment vertical="center" wrapText="1"/>
      <protection locked="0"/>
    </xf>
    <xf numFmtId="0" fontId="42" fillId="8" borderId="57" xfId="0" applyFont="1" applyFill="1" applyBorder="1" applyAlignment="1" applyProtection="1">
      <alignment vertical="center" wrapText="1"/>
      <protection locked="0"/>
    </xf>
    <xf numFmtId="14" fontId="22" fillId="0" borderId="72" xfId="0" applyNumberFormat="1" applyFont="1" applyFill="1" applyBorder="1" applyAlignment="1" applyProtection="1">
      <alignment vertical="center"/>
      <protection locked="0"/>
    </xf>
    <xf numFmtId="57" fontId="22" fillId="0" borderId="72" xfId="0" applyNumberFormat="1" applyFont="1" applyFill="1" applyBorder="1" applyAlignment="1" applyProtection="1">
      <alignment vertical="center"/>
      <protection locked="0"/>
    </xf>
    <xf numFmtId="0" fontId="1" fillId="0" borderId="12" xfId="0" applyFont="1" applyFill="1" applyBorder="1" applyAlignment="1" applyProtection="1">
      <alignment horizontal="left" vertical="center"/>
      <protection locked="0"/>
    </xf>
    <xf numFmtId="0" fontId="1" fillId="0" borderId="13" xfId="0" applyFont="1" applyFill="1" applyBorder="1" applyAlignment="1" applyProtection="1">
      <alignment vertical="center" wrapText="1"/>
      <protection locked="0"/>
    </xf>
    <xf numFmtId="0" fontId="39" fillId="0" borderId="302" xfId="0" applyNumberFormat="1" applyFont="1" applyFill="1" applyBorder="1" applyAlignment="1" applyProtection="1">
      <alignment horizontal="center" vertical="center" shrinkToFit="1"/>
      <protection locked="0"/>
    </xf>
    <xf numFmtId="0" fontId="25" fillId="0" borderId="302" xfId="0" applyFont="1" applyFill="1" applyBorder="1" applyAlignment="1" applyProtection="1">
      <alignment horizontal="center" vertical="center"/>
      <protection locked="0"/>
    </xf>
    <xf numFmtId="0" fontId="0" fillId="0" borderId="302" xfId="0" applyFont="1" applyFill="1" applyBorder="1" applyAlignment="1" applyProtection="1">
      <alignment horizontal="left" vertical="center"/>
      <protection locked="0"/>
    </xf>
    <xf numFmtId="0" fontId="0" fillId="0" borderId="303" xfId="0" applyFill="1" applyBorder="1" applyAlignment="1" applyProtection="1">
      <alignment vertical="center" wrapText="1"/>
      <protection locked="0"/>
    </xf>
    <xf numFmtId="177" fontId="22" fillId="0" borderId="303" xfId="0" applyNumberFormat="1" applyFont="1" applyFill="1" applyBorder="1" applyAlignment="1" applyProtection="1">
      <alignment vertical="center" shrinkToFit="1"/>
      <protection locked="0"/>
    </xf>
    <xf numFmtId="177" fontId="22" fillId="0" borderId="304" xfId="0" applyNumberFormat="1" applyFont="1" applyFill="1" applyBorder="1" applyAlignment="1" applyProtection="1">
      <alignment vertical="center" shrinkToFit="1"/>
      <protection locked="0"/>
    </xf>
    <xf numFmtId="177" fontId="50" fillId="8" borderId="0" xfId="0" applyNumberFormat="1" applyFont="1" applyFill="1" applyBorder="1" applyAlignment="1" applyProtection="1">
      <alignment vertical="center"/>
      <protection locked="0"/>
    </xf>
    <xf numFmtId="176" fontId="22" fillId="0" borderId="65" xfId="4" applyFont="1" applyFill="1" applyBorder="1" applyAlignment="1" applyProtection="1">
      <alignment vertical="center"/>
      <protection locked="0"/>
    </xf>
    <xf numFmtId="10" fontId="49" fillId="0" borderId="58" xfId="7" applyNumberFormat="1" applyFont="1" applyFill="1" applyBorder="1" applyAlignment="1" applyProtection="1">
      <alignment vertical="center"/>
      <protection locked="0"/>
    </xf>
    <xf numFmtId="9" fontId="49" fillId="0" borderId="65" xfId="0" applyNumberFormat="1" applyFont="1" applyFill="1" applyBorder="1" applyAlignment="1" applyProtection="1">
      <alignment vertical="center"/>
      <protection locked="0"/>
    </xf>
    <xf numFmtId="0" fontId="86" fillId="27" borderId="0" xfId="140" applyFont="1" applyFill="1" applyAlignment="1" applyProtection="1">
      <alignment vertical="center"/>
    </xf>
    <xf numFmtId="0" fontId="255" fillId="27" borderId="0" xfId="140" applyFont="1" applyFill="1" applyAlignment="1" applyProtection="1">
      <alignment vertical="center"/>
    </xf>
    <xf numFmtId="176" fontId="255" fillId="27" borderId="0" xfId="141" applyFont="1" applyFill="1" applyAlignment="1" applyProtection="1">
      <alignment vertical="center"/>
    </xf>
    <xf numFmtId="176" fontId="256" fillId="27" borderId="0" xfId="141" applyFont="1" applyFill="1" applyAlignment="1" applyProtection="1">
      <alignment horizontal="right" vertical="center"/>
    </xf>
    <xf numFmtId="0" fontId="255" fillId="27" borderId="0" xfId="140" applyNumberFormat="1" applyFont="1" applyFill="1" applyAlignment="1" applyProtection="1">
      <alignment horizontal="left" vertical="center"/>
      <protection hidden="1"/>
    </xf>
    <xf numFmtId="0" fontId="21" fillId="4" borderId="328" xfId="140" applyFont="1" applyFill="1" applyBorder="1" applyAlignment="1" applyProtection="1">
      <alignment horizontal="center" vertical="center" shrinkToFit="1"/>
    </xf>
    <xf numFmtId="176" fontId="21" fillId="4" borderId="329" xfId="141" applyFont="1" applyFill="1" applyBorder="1" applyAlignment="1" applyProtection="1">
      <alignment horizontal="center" vertical="center" wrapText="1" shrinkToFit="1"/>
    </xf>
    <xf numFmtId="176" fontId="5" fillId="4" borderId="330" xfId="141" applyFont="1" applyFill="1" applyBorder="1" applyAlignment="1" applyProtection="1">
      <alignment horizontal="center" vertical="center" wrapText="1" shrinkToFit="1"/>
    </xf>
    <xf numFmtId="176" fontId="21" fillId="4" borderId="330" xfId="141" applyFont="1" applyFill="1" applyBorder="1" applyAlignment="1" applyProtection="1">
      <alignment horizontal="center" vertical="center" wrapText="1" shrinkToFit="1"/>
    </xf>
    <xf numFmtId="176" fontId="21" fillId="4" borderId="331" xfId="141" applyFont="1" applyFill="1" applyBorder="1" applyAlignment="1" applyProtection="1">
      <alignment horizontal="center" vertical="center"/>
    </xf>
    <xf numFmtId="0" fontId="21" fillId="4" borderId="332" xfId="140" applyFont="1" applyFill="1" applyBorder="1" applyAlignment="1" applyProtection="1">
      <alignment horizontal="center" vertical="center" shrinkToFit="1"/>
    </xf>
    <xf numFmtId="176" fontId="21" fillId="4" borderId="333" xfId="141" applyFont="1" applyFill="1" applyBorder="1" applyAlignment="1" applyProtection="1">
      <alignment horizontal="center" vertical="center" wrapText="1" shrinkToFit="1"/>
    </xf>
    <xf numFmtId="9" fontId="65" fillId="4" borderId="334" xfId="142" applyFont="1" applyFill="1" applyBorder="1" applyAlignment="1" applyProtection="1">
      <alignment horizontal="center" vertical="center" wrapText="1" shrinkToFit="1"/>
    </xf>
    <xf numFmtId="176" fontId="21" fillId="4" borderId="334" xfId="141" applyFont="1" applyFill="1" applyBorder="1" applyAlignment="1" applyProtection="1">
      <alignment horizontal="center" vertical="center" wrapText="1" shrinkToFit="1"/>
    </xf>
    <xf numFmtId="176" fontId="21" fillId="4" borderId="335" xfId="141" applyFont="1" applyFill="1" applyBorder="1" applyAlignment="1" applyProtection="1">
      <alignment horizontal="center" vertical="center"/>
    </xf>
    <xf numFmtId="211" fontId="63" fillId="5" borderId="336" xfId="143" applyNumberFormat="1" applyFont="1" applyFill="1" applyBorder="1" applyAlignment="1" applyProtection="1">
      <alignment vertical="center" wrapText="1"/>
    </xf>
    <xf numFmtId="176" fontId="22" fillId="5" borderId="337" xfId="141" applyFont="1" applyFill="1" applyBorder="1" applyAlignment="1" applyProtection="1">
      <alignment vertical="center" shrinkToFit="1"/>
      <protection hidden="1"/>
    </xf>
    <xf numFmtId="176" fontId="22" fillId="5" borderId="338" xfId="141" applyFont="1" applyFill="1" applyBorder="1" applyAlignment="1" applyProtection="1">
      <alignment vertical="center" shrinkToFit="1"/>
      <protection hidden="1"/>
    </xf>
    <xf numFmtId="176" fontId="22" fillId="5" borderId="334" xfId="141" applyFont="1" applyFill="1" applyBorder="1" applyAlignment="1" applyProtection="1">
      <alignment horizontal="right" vertical="center" wrapText="1" shrinkToFit="1"/>
    </xf>
    <xf numFmtId="176" fontId="22" fillId="5" borderId="339" xfId="141" applyFont="1" applyFill="1" applyBorder="1" applyAlignment="1" applyProtection="1">
      <alignment vertical="center" shrinkToFit="1"/>
      <protection hidden="1"/>
    </xf>
    <xf numFmtId="176" fontId="86" fillId="27" borderId="0" xfId="140" applyNumberFormat="1" applyFont="1" applyFill="1" applyAlignment="1" applyProtection="1">
      <alignment vertical="center"/>
    </xf>
    <xf numFmtId="212" fontId="86" fillId="27" borderId="0" xfId="140" applyNumberFormat="1" applyFont="1" applyFill="1" applyAlignment="1" applyProtection="1">
      <alignment vertical="center"/>
    </xf>
    <xf numFmtId="176" fontId="22" fillId="5" borderId="337" xfId="141" applyFont="1" applyFill="1" applyBorder="1" applyAlignment="1" applyProtection="1">
      <alignment vertical="center" shrinkToFit="1"/>
    </xf>
    <xf numFmtId="176" fontId="22" fillId="0" borderId="338" xfId="141" applyFont="1" applyFill="1" applyBorder="1" applyAlignment="1" applyProtection="1">
      <alignment vertical="center" shrinkToFit="1"/>
      <protection hidden="1"/>
    </xf>
    <xf numFmtId="211" fontId="58" fillId="5" borderId="336" xfId="143" applyNumberFormat="1" applyFont="1" applyFill="1" applyBorder="1" applyAlignment="1" applyProtection="1">
      <alignment vertical="center" wrapText="1"/>
    </xf>
    <xf numFmtId="176" fontId="22" fillId="0" borderId="338" xfId="141" applyFont="1" applyFill="1" applyBorder="1" applyAlignment="1" applyProtection="1">
      <alignment vertical="center" shrinkToFit="1"/>
    </xf>
    <xf numFmtId="211" fontId="58" fillId="5" borderId="340" xfId="143" applyNumberFormat="1" applyFont="1" applyFill="1" applyBorder="1" applyAlignment="1" applyProtection="1">
      <alignment vertical="center" wrapText="1"/>
    </xf>
    <xf numFmtId="176" fontId="22" fillId="5" borderId="341" xfId="141" applyFont="1" applyFill="1" applyBorder="1" applyAlignment="1" applyProtection="1">
      <alignment vertical="center" shrinkToFit="1"/>
    </xf>
    <xf numFmtId="176" fontId="22" fillId="0" borderId="342" xfId="141" applyFont="1" applyFill="1" applyBorder="1" applyAlignment="1" applyProtection="1">
      <alignment vertical="center" shrinkToFit="1"/>
    </xf>
    <xf numFmtId="177" fontId="22" fillId="27" borderId="0" xfId="140" applyNumberFormat="1" applyFont="1" applyFill="1" applyAlignment="1" applyProtection="1">
      <alignment vertical="center" shrinkToFit="1"/>
    </xf>
    <xf numFmtId="211" fontId="63" fillId="5" borderId="340" xfId="143" applyNumberFormat="1" applyFont="1" applyFill="1" applyBorder="1" applyAlignment="1" applyProtection="1">
      <alignment vertical="center" wrapText="1"/>
    </xf>
    <xf numFmtId="176" fontId="22" fillId="0" borderId="342" xfId="141" applyFont="1" applyFill="1" applyBorder="1" applyAlignment="1" applyProtection="1">
      <alignment vertical="center" shrinkToFit="1"/>
      <protection hidden="1"/>
    </xf>
    <xf numFmtId="211" fontId="63" fillId="4" borderId="343" xfId="143" applyNumberFormat="1" applyFont="1" applyFill="1" applyBorder="1" applyAlignment="1" applyProtection="1">
      <alignment vertical="center" wrapText="1"/>
    </xf>
    <xf numFmtId="176" fontId="22" fillId="4" borderId="344" xfId="141" applyFont="1" applyFill="1" applyBorder="1" applyAlignment="1" applyProtection="1">
      <alignment vertical="center" shrinkToFit="1"/>
      <protection hidden="1"/>
    </xf>
    <xf numFmtId="176" fontId="22" fillId="5" borderId="338" xfId="141" applyFont="1" applyFill="1" applyBorder="1" applyAlignment="1" applyProtection="1">
      <alignment vertical="center" shrinkToFit="1"/>
    </xf>
    <xf numFmtId="176" fontId="22" fillId="5" borderId="339" xfId="141" applyFont="1" applyFill="1" applyBorder="1" applyAlignment="1" applyProtection="1">
      <alignment vertical="center" shrinkToFit="1"/>
    </xf>
    <xf numFmtId="176" fontId="22" fillId="4" borderId="344" xfId="141" applyFont="1" applyFill="1" applyBorder="1" applyAlignment="1" applyProtection="1">
      <alignment vertical="center" shrinkToFit="1"/>
    </xf>
    <xf numFmtId="176" fontId="22" fillId="4" borderId="345" xfId="141" applyFont="1" applyFill="1" applyBorder="1" applyAlignment="1" applyProtection="1">
      <alignment vertical="center" shrinkToFit="1"/>
    </xf>
    <xf numFmtId="176" fontId="22" fillId="4" borderId="346" xfId="141" applyFont="1" applyFill="1" applyBorder="1" applyAlignment="1" applyProtection="1">
      <alignment vertical="center" shrinkToFit="1"/>
    </xf>
    <xf numFmtId="176" fontId="86" fillId="27" borderId="0" xfId="141" applyFont="1" applyFill="1" applyAlignment="1" applyProtection="1">
      <alignment vertical="center"/>
    </xf>
    <xf numFmtId="0" fontId="2" fillId="27" borderId="0" xfId="140" applyFill="1" applyAlignment="1" applyProtection="1">
      <alignment vertical="center"/>
    </xf>
    <xf numFmtId="176" fontId="86" fillId="27" borderId="0" xfId="141" applyFont="1" applyFill="1" applyAlignment="1" applyProtection="1">
      <alignment vertical="center"/>
      <protection hidden="1"/>
    </xf>
    <xf numFmtId="0" fontId="2" fillId="27" borderId="0" xfId="140" applyFont="1" applyFill="1" applyAlignment="1" applyProtection="1">
      <alignment vertical="center"/>
    </xf>
    <xf numFmtId="0" fontId="86" fillId="27" borderId="0" xfId="12" applyFont="1" applyFill="1" applyAlignment="1" applyProtection="1">
      <alignment vertical="center"/>
      <protection hidden="1"/>
    </xf>
    <xf numFmtId="0" fontId="258" fillId="27" borderId="0" xfId="12" applyFont="1" applyFill="1" applyAlignment="1" applyProtection="1">
      <alignment horizontal="center" vertical="center"/>
      <protection hidden="1"/>
    </xf>
    <xf numFmtId="0" fontId="2" fillId="27" borderId="0" xfId="12" applyFill="1" applyProtection="1">
      <protection locked="0"/>
    </xf>
    <xf numFmtId="0" fontId="86" fillId="27" borderId="0" xfId="12" applyFont="1" applyFill="1" applyAlignment="1" applyProtection="1">
      <alignment vertical="center"/>
      <protection locked="0"/>
    </xf>
    <xf numFmtId="31" fontId="256" fillId="27" borderId="0" xfId="12" applyNumberFormat="1" applyFont="1" applyFill="1" applyAlignment="1" applyProtection="1">
      <alignment horizontal="center" vertical="center"/>
    </xf>
    <xf numFmtId="31" fontId="255" fillId="27" borderId="0" xfId="12" applyNumberFormat="1" applyFont="1" applyFill="1" applyAlignment="1" applyProtection="1">
      <alignment horizontal="center" vertical="center"/>
      <protection locked="0"/>
    </xf>
    <xf numFmtId="0" fontId="255" fillId="27" borderId="0" xfId="12" applyFont="1" applyFill="1" applyAlignment="1" applyProtection="1">
      <alignment horizontal="center" vertical="center"/>
      <protection locked="0"/>
    </xf>
    <xf numFmtId="176" fontId="86" fillId="27" borderId="0" xfId="12" applyNumberFormat="1" applyFont="1" applyFill="1" applyAlignment="1" applyProtection="1">
      <alignment vertical="center" shrinkToFit="1"/>
      <protection locked="0"/>
    </xf>
    <xf numFmtId="0" fontId="256" fillId="27" borderId="0" xfId="12" applyFont="1" applyFill="1" applyAlignment="1" applyProtection="1">
      <alignment horizontal="right" vertical="center" shrinkToFit="1"/>
      <protection hidden="1"/>
    </xf>
    <xf numFmtId="0" fontId="255" fillId="27" borderId="0" xfId="12" applyNumberFormat="1" applyFont="1" applyFill="1" applyAlignment="1" applyProtection="1">
      <alignment horizontal="left" vertical="center"/>
    </xf>
    <xf numFmtId="0" fontId="255" fillId="27" borderId="0" xfId="12" applyNumberFormat="1" applyFont="1" applyFill="1" applyAlignment="1" applyProtection="1">
      <alignment horizontal="center" vertical="center"/>
      <protection locked="0"/>
    </xf>
    <xf numFmtId="0" fontId="255" fillId="27" borderId="0" xfId="12" applyNumberFormat="1" applyFont="1" applyFill="1" applyAlignment="1" applyProtection="1">
      <alignment horizontal="left" vertical="center" shrinkToFit="1"/>
      <protection locked="0"/>
    </xf>
    <xf numFmtId="0" fontId="255" fillId="27" borderId="0" xfId="12" applyNumberFormat="1" applyFont="1" applyFill="1" applyAlignment="1" applyProtection="1">
      <alignment horizontal="left" vertical="center"/>
      <protection locked="0"/>
    </xf>
    <xf numFmtId="0" fontId="256" fillId="27" borderId="0" xfId="12" applyFont="1" applyFill="1" applyAlignment="1" applyProtection="1">
      <alignment horizontal="right" vertical="center"/>
      <protection hidden="1"/>
    </xf>
    <xf numFmtId="0" fontId="2" fillId="27" borderId="0" xfId="12" applyFill="1" applyAlignment="1" applyProtection="1">
      <alignment vertical="center"/>
      <protection hidden="1"/>
    </xf>
    <xf numFmtId="0" fontId="256" fillId="4" borderId="328" xfId="12" applyNumberFormat="1" applyFont="1" applyFill="1" applyBorder="1" applyAlignment="1" applyProtection="1">
      <alignment horizontal="center" vertical="center" shrinkToFit="1"/>
      <protection hidden="1"/>
    </xf>
    <xf numFmtId="0" fontId="256" fillId="4" borderId="329" xfId="12" applyNumberFormat="1" applyFont="1" applyFill="1" applyBorder="1" applyAlignment="1" applyProtection="1">
      <alignment horizontal="center" vertical="center"/>
      <protection hidden="1"/>
    </xf>
    <xf numFmtId="176" fontId="256" fillId="4" borderId="329" xfId="12" applyNumberFormat="1" applyFont="1" applyFill="1" applyBorder="1" applyAlignment="1" applyProtection="1">
      <alignment horizontal="center" vertical="center" shrinkToFit="1"/>
      <protection hidden="1"/>
    </xf>
    <xf numFmtId="0" fontId="256" fillId="4" borderId="329" xfId="12" applyNumberFormat="1" applyFont="1" applyFill="1" applyBorder="1" applyAlignment="1" applyProtection="1">
      <alignment horizontal="center" vertical="center" shrinkToFit="1"/>
      <protection hidden="1"/>
    </xf>
    <xf numFmtId="176" fontId="256" fillId="4" borderId="347" xfId="12" applyNumberFormat="1" applyFont="1" applyFill="1" applyBorder="1" applyAlignment="1" applyProtection="1">
      <alignment horizontal="center" vertical="center" shrinkToFit="1"/>
      <protection hidden="1"/>
    </xf>
    <xf numFmtId="0" fontId="2" fillId="27" borderId="0" xfId="12" applyFill="1" applyProtection="1">
      <protection hidden="1"/>
    </xf>
    <xf numFmtId="0" fontId="259" fillId="5" borderId="336" xfId="144" applyFont="1" applyFill="1" applyBorder="1" applyAlignment="1" applyProtection="1">
      <alignment vertical="center" shrinkToFit="1"/>
      <protection hidden="1"/>
    </xf>
    <xf numFmtId="0" fontId="86" fillId="0" borderId="337" xfId="12" applyFont="1" applyBorder="1" applyAlignment="1" applyProtection="1">
      <alignment horizontal="center" vertical="center"/>
      <protection hidden="1"/>
    </xf>
    <xf numFmtId="176" fontId="86" fillId="0" borderId="337" xfId="145" applyNumberFormat="1" applyFont="1" applyBorder="1" applyAlignment="1" applyProtection="1">
      <alignment horizontal="right" vertical="center" shrinkToFit="1"/>
      <protection locked="0"/>
    </xf>
    <xf numFmtId="177" fontId="86" fillId="0" borderId="337" xfId="145" applyNumberFormat="1" applyFont="1" applyBorder="1" applyAlignment="1" applyProtection="1">
      <alignment horizontal="right" vertical="center"/>
      <protection hidden="1"/>
    </xf>
    <xf numFmtId="176" fontId="86" fillId="0" borderId="337" xfId="145" applyFont="1" applyBorder="1" applyAlignment="1" applyProtection="1">
      <alignment horizontal="right" vertical="center" shrinkToFit="1"/>
      <protection locked="0"/>
    </xf>
    <xf numFmtId="176" fontId="86" fillId="0" borderId="348" xfId="145" applyFont="1" applyBorder="1" applyAlignment="1" applyProtection="1">
      <alignment horizontal="right" vertical="center" shrinkToFit="1"/>
      <protection locked="0"/>
    </xf>
    <xf numFmtId="177" fontId="22" fillId="27" borderId="0" xfId="12" applyNumberFormat="1" applyFont="1" applyFill="1" applyAlignment="1" applyProtection="1">
      <alignment vertical="center" shrinkToFit="1"/>
      <protection locked="0"/>
    </xf>
    <xf numFmtId="0" fontId="260" fillId="5" borderId="336" xfId="144" applyFont="1" applyFill="1" applyBorder="1" applyAlignment="1" applyProtection="1">
      <alignment vertical="center" shrinkToFit="1"/>
      <protection hidden="1"/>
    </xf>
    <xf numFmtId="176" fontId="86" fillId="0" borderId="337" xfId="145" applyNumberFormat="1" applyFont="1" applyFill="1" applyBorder="1" applyAlignment="1" applyProtection="1">
      <alignment horizontal="right" vertical="center" shrinkToFit="1"/>
      <protection locked="0"/>
    </xf>
    <xf numFmtId="176" fontId="86" fillId="0" borderId="337" xfId="12" applyNumberFormat="1" applyFont="1" applyFill="1" applyBorder="1" applyAlignment="1" applyProtection="1">
      <alignment horizontal="center" vertical="center"/>
      <protection hidden="1"/>
    </xf>
    <xf numFmtId="176" fontId="86" fillId="27" borderId="0" xfId="12" applyNumberFormat="1" applyFont="1" applyFill="1" applyAlignment="1" applyProtection="1">
      <alignment vertical="center"/>
      <protection locked="0"/>
    </xf>
    <xf numFmtId="176" fontId="2" fillId="27" borderId="0" xfId="12" applyNumberFormat="1" applyFill="1" applyProtection="1">
      <protection locked="0"/>
    </xf>
    <xf numFmtId="176" fontId="86" fillId="0" borderId="337" xfId="145" applyFont="1" applyBorder="1" applyAlignment="1" applyProtection="1">
      <alignment horizontal="center" vertical="center"/>
      <protection hidden="1"/>
    </xf>
    <xf numFmtId="176" fontId="86" fillId="0" borderId="337" xfId="12" applyNumberFormat="1" applyFont="1" applyBorder="1" applyAlignment="1" applyProtection="1">
      <alignment horizontal="center" vertical="center"/>
      <protection hidden="1"/>
    </xf>
    <xf numFmtId="0" fontId="2" fillId="27" borderId="0" xfId="12" applyFill="1" applyAlignment="1" applyProtection="1">
      <alignment vertical="center"/>
      <protection locked="0"/>
    </xf>
    <xf numFmtId="0" fontId="260" fillId="28" borderId="336" xfId="144" applyFont="1" applyFill="1" applyBorder="1" applyAlignment="1" applyProtection="1">
      <alignment horizontal="center" vertical="center" shrinkToFit="1"/>
      <protection hidden="1"/>
    </xf>
    <xf numFmtId="0" fontId="86" fillId="28" borderId="337" xfId="12" applyFont="1" applyFill="1" applyBorder="1" applyAlignment="1" applyProtection="1">
      <alignment horizontal="center" vertical="center"/>
      <protection hidden="1"/>
    </xf>
    <xf numFmtId="176" fontId="261" fillId="28" borderId="337" xfId="12" applyNumberFormat="1" applyFont="1" applyFill="1" applyBorder="1" applyAlignment="1" applyProtection="1">
      <alignment horizontal="right" vertical="center" shrinkToFit="1"/>
    </xf>
    <xf numFmtId="176" fontId="86" fillId="28" borderId="337" xfId="145" applyFont="1" applyFill="1" applyBorder="1" applyAlignment="1" applyProtection="1">
      <alignment horizontal="right" vertical="center" shrinkToFit="1"/>
    </xf>
    <xf numFmtId="176" fontId="86" fillId="28" borderId="348" xfId="145" applyFont="1" applyFill="1" applyBorder="1" applyAlignment="1" applyProtection="1">
      <alignment horizontal="right" vertical="center" shrinkToFit="1"/>
    </xf>
    <xf numFmtId="0" fontId="260" fillId="28" borderId="343" xfId="144" applyFont="1" applyFill="1" applyBorder="1" applyAlignment="1" applyProtection="1">
      <alignment horizontal="center" vertical="center" shrinkToFit="1"/>
      <protection hidden="1"/>
    </xf>
    <xf numFmtId="0" fontId="86" fillId="28" borderId="344" xfId="12" applyFont="1" applyFill="1" applyBorder="1" applyAlignment="1" applyProtection="1">
      <alignment horizontal="center" vertical="center"/>
      <protection hidden="1"/>
    </xf>
    <xf numFmtId="176" fontId="86" fillId="28" borderId="344" xfId="145" applyFont="1" applyFill="1" applyBorder="1" applyAlignment="1" applyProtection="1">
      <alignment horizontal="right" vertical="center" shrinkToFit="1"/>
    </xf>
    <xf numFmtId="176" fontId="86" fillId="28" borderId="349" xfId="145" applyFont="1" applyFill="1" applyBorder="1" applyAlignment="1" applyProtection="1">
      <alignment horizontal="right" vertical="center" shrinkToFit="1"/>
    </xf>
    <xf numFmtId="176" fontId="86" fillId="27" borderId="0" xfId="145" applyFont="1" applyFill="1" applyAlignment="1" applyProtection="1">
      <alignment vertical="center"/>
      <protection hidden="1"/>
    </xf>
    <xf numFmtId="176" fontId="255" fillId="27" borderId="0" xfId="145" applyFont="1" applyFill="1" applyBorder="1" applyAlignment="1" applyProtection="1">
      <alignment horizontal="left" vertical="center"/>
    </xf>
    <xf numFmtId="176" fontId="86" fillId="27" borderId="0" xfId="145" applyFont="1" applyFill="1" applyAlignment="1" applyProtection="1">
      <alignment vertical="center"/>
      <protection locked="0"/>
    </xf>
    <xf numFmtId="176" fontId="86" fillId="27" borderId="0" xfId="145" applyFont="1" applyFill="1" applyAlignment="1" applyProtection="1">
      <alignment vertical="center" shrinkToFit="1"/>
      <protection locked="0"/>
    </xf>
    <xf numFmtId="176" fontId="255" fillId="27" borderId="0" xfId="145" applyFont="1" applyFill="1" applyAlignment="1" applyProtection="1">
      <alignment horizontal="right" vertical="center"/>
    </xf>
    <xf numFmtId="0" fontId="2" fillId="27" borderId="0" xfId="12" applyFont="1" applyFill="1" applyAlignment="1" applyProtection="1">
      <alignment vertical="center"/>
      <protection hidden="1"/>
    </xf>
    <xf numFmtId="0" fontId="86" fillId="27" borderId="0" xfId="12" applyFont="1" applyFill="1" applyAlignment="1" applyProtection="1">
      <alignment horizontal="center" vertical="center"/>
      <protection locked="0"/>
    </xf>
    <xf numFmtId="176" fontId="261" fillId="27" borderId="0" xfId="12" applyNumberFormat="1" applyFont="1" applyFill="1" applyAlignment="1" applyProtection="1">
      <alignment vertical="center" shrinkToFit="1"/>
      <protection locked="0"/>
    </xf>
    <xf numFmtId="0" fontId="261" fillId="27" borderId="0" xfId="12" applyNumberFormat="1" applyFont="1" applyFill="1" applyBorder="1" applyAlignment="1" applyProtection="1">
      <alignment horizontal="right" vertical="center"/>
      <protection hidden="1"/>
    </xf>
    <xf numFmtId="0" fontId="3" fillId="27" borderId="0" xfId="12" applyNumberFormat="1" applyFont="1" applyFill="1" applyBorder="1" applyAlignment="1" applyProtection="1">
      <alignment horizontal="center" vertical="center"/>
      <protection hidden="1"/>
    </xf>
    <xf numFmtId="176" fontId="261" fillId="27" borderId="0" xfId="77" applyFont="1" applyFill="1" applyBorder="1" applyAlignment="1" applyProtection="1">
      <alignment horizontal="right" vertical="center" shrinkToFit="1"/>
      <protection hidden="1"/>
    </xf>
    <xf numFmtId="176" fontId="261" fillId="27" borderId="0" xfId="12" applyNumberFormat="1" applyFont="1" applyFill="1" applyAlignment="1" applyProtection="1">
      <alignment horizontal="right" vertical="center" shrinkToFit="1"/>
      <protection locked="0"/>
    </xf>
    <xf numFmtId="176" fontId="261" fillId="27" borderId="0" xfId="12" applyNumberFormat="1" applyFont="1" applyFill="1" applyAlignment="1" applyProtection="1">
      <alignment horizontal="right" vertical="center" shrinkToFit="1"/>
    </xf>
    <xf numFmtId="176" fontId="3" fillId="27" borderId="0" xfId="12" applyNumberFormat="1" applyFont="1" applyFill="1" applyAlignment="1" applyProtection="1">
      <alignment horizontal="center" vertical="center" shrinkToFit="1"/>
    </xf>
    <xf numFmtId="0" fontId="86" fillId="27" borderId="0" xfId="12" applyFont="1" applyFill="1" applyAlignment="1" applyProtection="1">
      <alignment horizontal="center" vertical="center"/>
      <protection hidden="1"/>
    </xf>
    <xf numFmtId="176" fontId="261" fillId="27" borderId="0" xfId="12" applyNumberFormat="1" applyFont="1" applyFill="1" applyAlignment="1" applyProtection="1">
      <alignment vertical="center" shrinkToFit="1"/>
      <protection hidden="1"/>
    </xf>
    <xf numFmtId="176" fontId="3" fillId="27" borderId="0" xfId="12" applyNumberFormat="1" applyFont="1" applyFill="1" applyAlignment="1" applyProtection="1">
      <alignment horizontal="right" vertical="center" shrinkToFit="1"/>
      <protection hidden="1"/>
    </xf>
    <xf numFmtId="213" fontId="22" fillId="27" borderId="0" xfId="146" applyFont="1" applyFill="1" applyAlignment="1" applyProtection="1">
      <alignment vertical="center"/>
    </xf>
    <xf numFmtId="213" fontId="5" fillId="4" borderId="328" xfId="146" applyFont="1" applyFill="1" applyBorder="1" applyAlignment="1" applyProtection="1">
      <alignment horizontal="center" vertical="center" shrinkToFit="1"/>
    </xf>
    <xf numFmtId="176" fontId="21" fillId="4" borderId="329" xfId="147" applyFont="1" applyFill="1" applyBorder="1" applyAlignment="1" applyProtection="1">
      <alignment horizontal="center" vertical="center"/>
    </xf>
    <xf numFmtId="176" fontId="5" fillId="4" borderId="331" xfId="147" applyFont="1" applyFill="1" applyBorder="1" applyAlignment="1" applyProtection="1">
      <alignment horizontal="center" vertical="center"/>
    </xf>
    <xf numFmtId="214" fontId="1" fillId="5" borderId="336" xfId="146" applyNumberFormat="1" applyFont="1" applyFill="1" applyBorder="1" applyAlignment="1" applyProtection="1">
      <alignment vertical="center" shrinkToFit="1"/>
    </xf>
    <xf numFmtId="176" fontId="22" fillId="5" borderId="337" xfId="147" applyFont="1" applyFill="1" applyBorder="1" applyAlignment="1" applyProtection="1">
      <alignment vertical="center" shrinkToFit="1"/>
    </xf>
    <xf numFmtId="176" fontId="22" fillId="5" borderId="339" xfId="147" applyFont="1" applyFill="1" applyBorder="1" applyAlignment="1" applyProtection="1">
      <alignment vertical="center" shrinkToFit="1"/>
    </xf>
    <xf numFmtId="215" fontId="23" fillId="5" borderId="336" xfId="148" applyNumberFormat="1" applyFont="1" applyFill="1" applyBorder="1" applyAlignment="1" applyProtection="1">
      <alignment vertical="center" wrapText="1"/>
    </xf>
    <xf numFmtId="211" fontId="58" fillId="5" borderId="336" xfId="148" applyNumberFormat="1" applyFont="1" applyFill="1" applyBorder="1" applyAlignment="1" applyProtection="1">
      <alignment vertical="center" wrapText="1"/>
    </xf>
    <xf numFmtId="0" fontId="1" fillId="0" borderId="0" xfId="57">
      <alignment vertical="center"/>
    </xf>
    <xf numFmtId="176" fontId="21" fillId="0" borderId="350" xfId="147" applyFont="1" applyFill="1" applyBorder="1" applyAlignment="1">
      <alignment vertical="center"/>
    </xf>
    <xf numFmtId="176" fontId="22" fillId="0" borderId="351" xfId="147" applyFont="1" applyFill="1" applyBorder="1" applyAlignment="1">
      <alignment vertical="center"/>
    </xf>
    <xf numFmtId="176" fontId="22" fillId="0" borderId="351" xfId="147" applyFont="1" applyFill="1" applyBorder="1" applyAlignment="1">
      <alignment vertical="center" wrapText="1"/>
    </xf>
    <xf numFmtId="176" fontId="22" fillId="0" borderId="352" xfId="147" applyFont="1" applyFill="1" applyBorder="1" applyAlignment="1">
      <alignment vertical="center"/>
    </xf>
    <xf numFmtId="176" fontId="22" fillId="0" borderId="353" xfId="147" applyFont="1" applyFill="1" applyBorder="1" applyAlignment="1" applyProtection="1">
      <alignment vertical="center"/>
    </xf>
    <xf numFmtId="176" fontId="22" fillId="0" borderId="255" xfId="147" applyFont="1" applyFill="1" applyBorder="1" applyAlignment="1" applyProtection="1">
      <alignment vertical="center"/>
    </xf>
    <xf numFmtId="216" fontId="22" fillId="0" borderId="255" xfId="147" applyNumberFormat="1" applyFont="1" applyFill="1" applyBorder="1" applyAlignment="1">
      <alignment vertical="center"/>
    </xf>
    <xf numFmtId="176" fontId="21" fillId="0" borderId="255" xfId="147" applyFont="1" applyFill="1" applyBorder="1" applyAlignment="1">
      <alignment vertical="center"/>
    </xf>
    <xf numFmtId="176" fontId="21" fillId="0" borderId="255" xfId="147" applyFont="1" applyFill="1" applyBorder="1" applyAlignment="1">
      <alignment vertical="center" wrapText="1"/>
    </xf>
    <xf numFmtId="176" fontId="22" fillId="0" borderId="354" xfId="147" applyFont="1" applyFill="1" applyBorder="1" applyAlignment="1">
      <alignment vertical="center"/>
    </xf>
    <xf numFmtId="176" fontId="22" fillId="0" borderId="353" xfId="147" applyFont="1" applyFill="1" applyBorder="1" applyAlignment="1">
      <alignment vertical="center" wrapText="1"/>
    </xf>
    <xf numFmtId="176" fontId="0" fillId="0" borderId="255" xfId="147" applyFont="1" applyFill="1" applyBorder="1" applyAlignment="1">
      <alignment vertical="center"/>
    </xf>
    <xf numFmtId="176" fontId="22" fillId="0" borderId="255" xfId="147" applyFont="1" applyFill="1" applyBorder="1" applyAlignment="1">
      <alignment vertical="center"/>
    </xf>
    <xf numFmtId="176" fontId="22" fillId="0" borderId="255" xfId="147" applyFont="1" applyFill="1" applyBorder="1" applyAlignment="1">
      <alignment vertical="center" wrapText="1"/>
    </xf>
    <xf numFmtId="176" fontId="22" fillId="0" borderId="355" xfId="147" applyFont="1" applyFill="1" applyBorder="1" applyAlignment="1">
      <alignment vertical="center" wrapText="1"/>
    </xf>
    <xf numFmtId="176" fontId="22" fillId="0" borderId="110" xfId="147" applyFont="1" applyFill="1" applyBorder="1" applyAlignment="1" applyProtection="1">
      <alignment vertical="center"/>
      <protection locked="0"/>
    </xf>
    <xf numFmtId="176" fontId="22" fillId="0" borderId="110" xfId="147" applyFont="1" applyFill="1" applyBorder="1" applyAlignment="1">
      <alignment vertical="center" wrapText="1"/>
    </xf>
    <xf numFmtId="176" fontId="22" fillId="0" borderId="356" xfId="147" applyFont="1" applyFill="1" applyBorder="1" applyAlignment="1">
      <alignment vertical="center"/>
    </xf>
    <xf numFmtId="211" fontId="58" fillId="5" borderId="357" xfId="148" applyNumberFormat="1" applyFont="1" applyFill="1" applyBorder="1" applyAlignment="1" applyProtection="1">
      <alignment vertical="center" wrapText="1"/>
    </xf>
    <xf numFmtId="176" fontId="22" fillId="5" borderId="358" xfId="147" applyFont="1" applyFill="1" applyBorder="1" applyAlignment="1" applyProtection="1">
      <alignment vertical="center" shrinkToFit="1"/>
    </xf>
    <xf numFmtId="176" fontId="22" fillId="5" borderId="359" xfId="147" applyFont="1" applyFill="1" applyBorder="1" applyAlignment="1" applyProtection="1">
      <alignment vertical="center" shrinkToFit="1"/>
    </xf>
    <xf numFmtId="176" fontId="1" fillId="5" borderId="359" xfId="147" applyFont="1" applyFill="1" applyBorder="1" applyAlignment="1" applyProtection="1">
      <alignment vertical="center" shrinkToFit="1"/>
    </xf>
    <xf numFmtId="213" fontId="1" fillId="27" borderId="0" xfId="146" applyFont="1" applyFill="1" applyAlignment="1" applyProtection="1">
      <alignment vertical="center"/>
    </xf>
    <xf numFmtId="176" fontId="22" fillId="0" borderId="350" xfId="147" applyFont="1" applyFill="1" applyBorder="1" applyAlignment="1">
      <alignment vertical="center" wrapText="1"/>
    </xf>
    <xf numFmtId="176" fontId="22" fillId="0" borderId="352" xfId="147" applyFont="1" applyFill="1" applyBorder="1" applyAlignment="1">
      <alignment vertical="center" wrapText="1"/>
    </xf>
    <xf numFmtId="176" fontId="22" fillId="0" borderId="360" xfId="147" applyFont="1" applyFill="1" applyBorder="1" applyAlignment="1">
      <alignment vertical="center" wrapText="1"/>
    </xf>
    <xf numFmtId="176" fontId="22" fillId="0" borderId="361" xfId="147" applyFont="1" applyFill="1" applyBorder="1" applyAlignment="1">
      <alignment vertical="center"/>
    </xf>
    <xf numFmtId="176" fontId="22" fillId="0" borderId="361" xfId="147" applyFont="1" applyFill="1" applyBorder="1" applyAlignment="1" applyProtection="1">
      <alignment vertical="center"/>
      <protection locked="0"/>
    </xf>
    <xf numFmtId="177" fontId="247" fillId="0" borderId="361" xfId="147" applyNumberFormat="1" applyFont="1" applyFill="1" applyBorder="1" applyAlignment="1">
      <alignment vertical="center" wrapText="1"/>
    </xf>
    <xf numFmtId="176" fontId="22" fillId="0" borderId="361" xfId="147" applyFont="1" applyFill="1" applyBorder="1" applyAlignment="1">
      <alignment vertical="center" wrapText="1"/>
    </xf>
    <xf numFmtId="176" fontId="22" fillId="0" borderId="362" xfId="147" applyFont="1" applyFill="1" applyBorder="1" applyAlignment="1">
      <alignment vertical="center"/>
    </xf>
    <xf numFmtId="176" fontId="0" fillId="0" borderId="361" xfId="147" applyFont="1" applyFill="1" applyBorder="1" applyAlignment="1">
      <alignment vertical="center"/>
    </xf>
    <xf numFmtId="176" fontId="63" fillId="0" borderId="362" xfId="147" applyFont="1" applyFill="1" applyBorder="1" applyAlignment="1">
      <alignment vertical="center" wrapText="1"/>
    </xf>
    <xf numFmtId="176" fontId="22" fillId="0" borderId="363" xfId="147" applyFont="1" applyFill="1" applyBorder="1" applyAlignment="1" applyProtection="1">
      <alignment vertical="center"/>
      <protection locked="0"/>
    </xf>
    <xf numFmtId="176" fontId="22" fillId="0" borderId="363" xfId="147" applyFont="1" applyFill="1" applyBorder="1" applyAlignment="1" applyProtection="1">
      <alignment vertical="center" wrapText="1"/>
      <protection locked="0"/>
    </xf>
    <xf numFmtId="176" fontId="22" fillId="0" borderId="356" xfId="147" applyFont="1" applyFill="1" applyBorder="1" applyAlignment="1" applyProtection="1">
      <alignment vertical="center"/>
      <protection locked="0"/>
    </xf>
    <xf numFmtId="0" fontId="1" fillId="0" borderId="361" xfId="19" applyBorder="1" applyAlignment="1">
      <alignment horizontal="center" vertical="center"/>
    </xf>
    <xf numFmtId="177" fontId="22" fillId="27" borderId="0" xfId="146" applyNumberFormat="1" applyFont="1" applyFill="1" applyAlignment="1" applyProtection="1">
      <alignment vertical="center" shrinkToFit="1"/>
    </xf>
    <xf numFmtId="213" fontId="22" fillId="27" borderId="0" xfId="146" applyNumberFormat="1" applyFont="1" applyFill="1" applyAlignment="1" applyProtection="1">
      <alignment vertical="center"/>
    </xf>
    <xf numFmtId="0" fontId="1" fillId="0" borderId="361" xfId="19" applyBorder="1" applyAlignment="1">
      <alignment vertical="center"/>
    </xf>
    <xf numFmtId="177" fontId="247" fillId="0" borderId="361" xfId="19" applyNumberFormat="1" applyFont="1" applyBorder="1" applyAlignment="1">
      <alignment vertical="center" shrinkToFit="1"/>
    </xf>
    <xf numFmtId="215" fontId="23" fillId="5" borderId="357" xfId="148" applyNumberFormat="1" applyFont="1" applyFill="1" applyBorder="1" applyAlignment="1" applyProtection="1">
      <alignment vertical="center" wrapText="1"/>
    </xf>
    <xf numFmtId="213" fontId="1" fillId="0" borderId="361" xfId="146" applyFont="1" applyFill="1" applyBorder="1" applyAlignment="1" applyProtection="1">
      <alignment vertical="center"/>
    </xf>
    <xf numFmtId="177" fontId="22" fillId="0" borderId="361" xfId="146" applyNumberFormat="1" applyFont="1" applyFill="1" applyBorder="1" applyAlignment="1" applyProtection="1">
      <alignment vertical="center" shrinkToFit="1"/>
    </xf>
    <xf numFmtId="0" fontId="263" fillId="0" borderId="361" xfId="19" applyFont="1" applyBorder="1" applyAlignment="1">
      <alignment vertical="center"/>
    </xf>
    <xf numFmtId="176" fontId="22" fillId="0" borderId="358" xfId="147" applyFont="1" applyFill="1" applyBorder="1" applyAlignment="1" applyProtection="1">
      <alignment vertical="center" shrinkToFit="1"/>
    </xf>
    <xf numFmtId="177" fontId="247" fillId="0" borderId="361" xfId="7" applyNumberFormat="1" applyFont="1" applyBorder="1" applyAlignment="1">
      <alignment vertical="center" shrinkToFit="1"/>
    </xf>
    <xf numFmtId="217" fontId="58" fillId="5" borderId="357" xfId="148" applyNumberFormat="1" applyFont="1" applyFill="1" applyBorder="1" applyAlignment="1" applyProtection="1">
      <alignment vertical="center" wrapText="1"/>
    </xf>
    <xf numFmtId="210" fontId="22" fillId="29" borderId="358" xfId="149" applyNumberFormat="1" applyFont="1" applyFill="1" applyBorder="1" applyAlignment="1" applyProtection="1">
      <alignment vertical="center" shrinkToFit="1"/>
    </xf>
    <xf numFmtId="0" fontId="263" fillId="26" borderId="361" xfId="19" applyFont="1" applyFill="1" applyBorder="1" applyAlignment="1">
      <alignment vertical="center"/>
    </xf>
    <xf numFmtId="177" fontId="247" fillId="26" borderId="361" xfId="19" applyNumberFormat="1" applyFont="1" applyFill="1" applyBorder="1" applyAlignment="1">
      <alignment vertical="center" shrinkToFit="1"/>
    </xf>
    <xf numFmtId="211" fontId="58" fillId="5" borderId="364" xfId="148" applyNumberFormat="1" applyFont="1" applyFill="1" applyBorder="1" applyAlignment="1" applyProtection="1">
      <alignment vertical="center" wrapText="1"/>
    </xf>
    <xf numFmtId="176" fontId="22" fillId="29" borderId="365" xfId="147" applyFont="1" applyFill="1" applyBorder="1" applyAlignment="1" applyProtection="1">
      <alignment vertical="center" shrinkToFit="1"/>
    </xf>
    <xf numFmtId="176" fontId="22" fillId="5" borderId="366" xfId="147" applyFont="1" applyFill="1" applyBorder="1" applyAlignment="1" applyProtection="1">
      <alignment vertical="center" shrinkToFit="1"/>
    </xf>
    <xf numFmtId="176" fontId="22" fillId="27" borderId="0" xfId="146" applyNumberFormat="1" applyFont="1" applyFill="1" applyAlignment="1" applyProtection="1">
      <alignment vertical="center"/>
    </xf>
    <xf numFmtId="176" fontId="22" fillId="27" borderId="0" xfId="147" applyFont="1" applyFill="1" applyAlignment="1" applyProtection="1">
      <alignment vertical="center"/>
    </xf>
    <xf numFmtId="213" fontId="1" fillId="27" borderId="0" xfId="146" applyNumberFormat="1" applyFont="1" applyFill="1" applyAlignment="1" applyProtection="1">
      <alignment vertical="center"/>
    </xf>
    <xf numFmtId="176" fontId="1" fillId="27" borderId="0" xfId="147" applyFont="1" applyFill="1" applyAlignment="1" applyProtection="1">
      <alignment vertical="center"/>
    </xf>
    <xf numFmtId="213" fontId="86" fillId="27" borderId="0" xfId="146" applyFont="1" applyFill="1" applyAlignment="1" applyProtection="1">
      <alignment vertical="center"/>
    </xf>
    <xf numFmtId="0" fontId="1" fillId="27" borderId="0" xfId="146" applyNumberFormat="1" applyFont="1" applyFill="1" applyAlignment="1" applyProtection="1">
      <alignment vertical="center"/>
    </xf>
    <xf numFmtId="218" fontId="86" fillId="25" borderId="0" xfId="150" applyFont="1" applyFill="1" applyAlignment="1" applyProtection="1">
      <alignment vertical="center"/>
    </xf>
    <xf numFmtId="31" fontId="255" fillId="25" borderId="0" xfId="150" applyNumberFormat="1" applyFont="1" applyFill="1" applyAlignment="1" applyProtection="1">
      <alignment horizontal="left" vertical="center"/>
    </xf>
    <xf numFmtId="31" fontId="255" fillId="25" borderId="0" xfId="150" applyNumberFormat="1" applyFont="1" applyFill="1" applyAlignment="1" applyProtection="1">
      <alignment horizontal="center" vertical="center"/>
    </xf>
    <xf numFmtId="176" fontId="255" fillId="25" borderId="0" xfId="151" applyNumberFormat="1" applyFont="1" applyFill="1" applyAlignment="1" applyProtection="1">
      <alignment vertical="center"/>
    </xf>
    <xf numFmtId="218" fontId="256" fillId="25" borderId="0" xfId="150" applyFont="1" applyFill="1" applyAlignment="1" applyProtection="1">
      <alignment horizontal="right" vertical="center" shrinkToFit="1"/>
    </xf>
    <xf numFmtId="218" fontId="256" fillId="25" borderId="0" xfId="150" applyNumberFormat="1" applyFont="1" applyFill="1" applyAlignment="1" applyProtection="1">
      <alignment horizontal="left" vertical="center"/>
    </xf>
    <xf numFmtId="218" fontId="255" fillId="25" borderId="0" xfId="150" applyNumberFormat="1" applyFont="1" applyFill="1" applyAlignment="1" applyProtection="1">
      <alignment horizontal="center" vertical="center"/>
    </xf>
    <xf numFmtId="176" fontId="255" fillId="25" borderId="0" xfId="151" applyNumberFormat="1" applyFont="1" applyFill="1" applyAlignment="1" applyProtection="1">
      <alignment vertical="center" shrinkToFit="1"/>
    </xf>
    <xf numFmtId="218" fontId="256" fillId="25" borderId="0" xfId="150" applyFont="1" applyFill="1" applyAlignment="1" applyProtection="1">
      <alignment horizontal="center" vertical="center" shrinkToFit="1"/>
    </xf>
    <xf numFmtId="218" fontId="256" fillId="25" borderId="328" xfId="150" applyNumberFormat="1" applyFont="1" applyFill="1" applyBorder="1" applyAlignment="1" applyProtection="1">
      <alignment horizontal="center" vertical="center" shrinkToFit="1"/>
    </xf>
    <xf numFmtId="176" fontId="256" fillId="25" borderId="329" xfId="151" applyNumberFormat="1" applyFont="1" applyFill="1" applyBorder="1" applyAlignment="1" applyProtection="1">
      <alignment vertical="center" shrinkToFit="1"/>
    </xf>
    <xf numFmtId="176" fontId="256" fillId="0" borderId="331" xfId="150" applyNumberFormat="1" applyFont="1" applyFill="1" applyBorder="1" applyAlignment="1" applyProtection="1">
      <alignment horizontal="center" vertical="center" shrinkToFit="1"/>
    </xf>
    <xf numFmtId="218" fontId="256" fillId="25" borderId="332" xfId="150" applyNumberFormat="1" applyFont="1" applyFill="1" applyBorder="1" applyAlignment="1" applyProtection="1">
      <alignment horizontal="left" vertical="center"/>
    </xf>
    <xf numFmtId="218" fontId="256" fillId="25" borderId="334" xfId="150" applyNumberFormat="1" applyFont="1" applyFill="1" applyBorder="1" applyAlignment="1" applyProtection="1">
      <alignment horizontal="center" vertical="center"/>
    </xf>
    <xf numFmtId="218" fontId="256" fillId="25" borderId="367" xfId="150" applyNumberFormat="1" applyFont="1" applyFill="1" applyBorder="1" applyAlignment="1" applyProtection="1">
      <alignment horizontal="center" vertical="center"/>
    </xf>
    <xf numFmtId="176" fontId="256" fillId="25" borderId="333" xfId="151" applyNumberFormat="1" applyFont="1" applyFill="1" applyBorder="1" applyAlignment="1" applyProtection="1">
      <alignment vertical="center" shrinkToFit="1"/>
    </xf>
    <xf numFmtId="176" fontId="86" fillId="0" borderId="335" xfId="152" applyNumberFormat="1" applyFont="1" applyFill="1" applyBorder="1" applyAlignment="1" applyProtection="1">
      <alignment horizontal="right" vertical="center" shrinkToFit="1"/>
    </xf>
    <xf numFmtId="218" fontId="256" fillId="25" borderId="357" xfId="150" applyNumberFormat="1" applyFont="1" applyFill="1" applyBorder="1" applyAlignment="1" applyProtection="1">
      <alignment horizontal="left" vertical="center"/>
    </xf>
    <xf numFmtId="218" fontId="256" fillId="25" borderId="333" xfId="150" applyNumberFormat="1" applyFont="1" applyFill="1" applyBorder="1" applyAlignment="1" applyProtection="1">
      <alignment horizontal="center" vertical="center"/>
    </xf>
    <xf numFmtId="176" fontId="86" fillId="0" borderId="359" xfId="152" applyNumberFormat="1" applyFont="1" applyFill="1" applyBorder="1" applyAlignment="1" applyProtection="1">
      <alignment horizontal="right" vertical="center" shrinkToFit="1"/>
    </xf>
    <xf numFmtId="176" fontId="86" fillId="25" borderId="340" xfId="151" applyNumberFormat="1" applyFont="1" applyFill="1" applyBorder="1" applyAlignment="1" applyProtection="1">
      <alignment vertical="center"/>
    </xf>
    <xf numFmtId="218" fontId="86" fillId="0" borderId="337" xfId="150" applyFont="1" applyFill="1" applyBorder="1" applyAlignment="1" applyProtection="1">
      <alignment horizontal="center" vertical="center"/>
    </xf>
    <xf numFmtId="218" fontId="2" fillId="0" borderId="337" xfId="150" applyFill="1" applyBorder="1" applyAlignment="1" applyProtection="1">
      <alignment horizontal="center" vertical="center"/>
    </xf>
    <xf numFmtId="176" fontId="2" fillId="0" borderId="337" xfId="151" applyNumberFormat="1" applyFont="1" applyFill="1" applyBorder="1" applyAlignment="1" applyProtection="1">
      <alignment vertical="center" shrinkToFit="1"/>
    </xf>
    <xf numFmtId="176" fontId="86" fillId="25" borderId="368" xfId="151" applyNumberFormat="1" applyFont="1" applyFill="1" applyBorder="1" applyAlignment="1" applyProtection="1">
      <alignment vertical="center"/>
    </xf>
    <xf numFmtId="177" fontId="86" fillId="30" borderId="359" xfId="152" applyNumberFormat="1" applyFont="1" applyFill="1" applyBorder="1" applyAlignment="1" applyProtection="1">
      <alignment horizontal="right" vertical="center" shrinkToFit="1"/>
    </xf>
    <xf numFmtId="218" fontId="2" fillId="25" borderId="0" xfId="150" applyFont="1" applyFill="1" applyAlignment="1" applyProtection="1">
      <alignment vertical="center"/>
    </xf>
    <xf numFmtId="177" fontId="86" fillId="0" borderId="359" xfId="152" applyNumberFormat="1" applyFont="1" applyFill="1" applyBorder="1" applyAlignment="1" applyProtection="1">
      <alignment horizontal="right" vertical="center" shrinkToFit="1"/>
    </xf>
    <xf numFmtId="218" fontId="2" fillId="0" borderId="0" xfId="150" applyFont="1" applyFill="1" applyAlignment="1" applyProtection="1">
      <alignment vertical="center"/>
    </xf>
    <xf numFmtId="218" fontId="2" fillId="0" borderId="337" xfId="153" applyFont="1" applyFill="1" applyBorder="1" applyAlignment="1" applyProtection="1">
      <alignment horizontal="center" vertical="center"/>
    </xf>
    <xf numFmtId="218" fontId="2" fillId="0" borderId="337" xfId="153" applyFill="1" applyBorder="1" applyAlignment="1" applyProtection="1">
      <alignment horizontal="center" vertical="center"/>
    </xf>
    <xf numFmtId="176" fontId="2" fillId="0" borderId="337" xfId="154" applyNumberFormat="1" applyFont="1" applyFill="1" applyBorder="1" applyAlignment="1" applyProtection="1">
      <alignment vertical="center" shrinkToFit="1"/>
    </xf>
    <xf numFmtId="176" fontId="2" fillId="25" borderId="357" xfId="151" applyNumberFormat="1" applyFont="1" applyFill="1" applyBorder="1" applyAlignment="1" applyProtection="1">
      <alignment horizontal="left" vertical="center" indent="1" shrinkToFit="1"/>
      <protection hidden="1"/>
    </xf>
    <xf numFmtId="218" fontId="256" fillId="0" borderId="333" xfId="150" applyNumberFormat="1" applyFont="1" applyFill="1" applyBorder="1" applyAlignment="1" applyProtection="1">
      <alignment horizontal="center" vertical="center"/>
    </xf>
    <xf numFmtId="176" fontId="256" fillId="0" borderId="333" xfId="151" applyNumberFormat="1" applyFont="1" applyFill="1" applyBorder="1" applyAlignment="1" applyProtection="1">
      <alignment vertical="center" shrinkToFit="1"/>
    </xf>
    <xf numFmtId="176" fontId="255" fillId="0" borderId="335" xfId="152" applyNumberFormat="1" applyFont="1" applyFill="1" applyBorder="1" applyAlignment="1" applyProtection="1">
      <alignment horizontal="center" vertical="center" shrinkToFit="1"/>
    </xf>
    <xf numFmtId="176" fontId="86" fillId="0" borderId="337" xfId="151" applyNumberFormat="1" applyFont="1" applyFill="1" applyBorder="1" applyAlignment="1" applyProtection="1">
      <alignment vertical="center" shrinkToFit="1"/>
    </xf>
    <xf numFmtId="218" fontId="2" fillId="0" borderId="337" xfId="150" applyFont="1" applyFill="1" applyBorder="1" applyAlignment="1" applyProtection="1">
      <alignment horizontal="center" vertical="center"/>
    </xf>
    <xf numFmtId="176" fontId="86" fillId="25" borderId="0" xfId="150" applyNumberFormat="1" applyFont="1" applyFill="1" applyAlignment="1" applyProtection="1">
      <alignment vertical="center"/>
    </xf>
    <xf numFmtId="176" fontId="86" fillId="25" borderId="0" xfId="155" applyNumberFormat="1" applyFont="1" applyFill="1" applyAlignment="1" applyProtection="1">
      <alignment vertical="center" shrinkToFit="1"/>
    </xf>
    <xf numFmtId="176" fontId="86" fillId="25" borderId="369" xfId="151" applyNumberFormat="1" applyFont="1" applyFill="1" applyBorder="1" applyAlignment="1" applyProtection="1">
      <alignment vertical="center"/>
    </xf>
    <xf numFmtId="218" fontId="2" fillId="0" borderId="333" xfId="150" applyFill="1" applyBorder="1" applyAlignment="1" applyProtection="1">
      <alignment horizontal="center" vertical="center"/>
    </xf>
    <xf numFmtId="176" fontId="2" fillId="0" borderId="333" xfId="151" applyNumberFormat="1" applyFont="1" applyFill="1" applyBorder="1" applyAlignment="1" applyProtection="1">
      <alignment vertical="center" shrinkToFit="1"/>
    </xf>
    <xf numFmtId="218" fontId="2" fillId="0" borderId="333" xfId="150" applyFont="1" applyFill="1" applyBorder="1" applyAlignment="1" applyProtection="1">
      <alignment horizontal="center" vertical="center"/>
    </xf>
    <xf numFmtId="176" fontId="86" fillId="31" borderId="359" xfId="152" applyNumberFormat="1" applyFont="1" applyFill="1" applyBorder="1" applyAlignment="1" applyProtection="1">
      <alignment horizontal="right" vertical="center" shrinkToFit="1"/>
    </xf>
    <xf numFmtId="176" fontId="2" fillId="0" borderId="337" xfId="156" applyNumberFormat="1" applyFont="1" applyFill="1" applyBorder="1" applyAlignment="1" applyProtection="1">
      <alignment vertical="center" shrinkToFit="1"/>
    </xf>
    <xf numFmtId="176" fontId="2" fillId="0" borderId="333" xfId="151" applyNumberFormat="1" applyFont="1" applyFill="1" applyBorder="1" applyAlignment="1" applyProtection="1">
      <alignment vertical="center" wrapText="1" shrinkToFit="1"/>
    </xf>
    <xf numFmtId="177" fontId="22" fillId="25" borderId="0" xfId="150" applyNumberFormat="1" applyFont="1" applyFill="1" applyAlignment="1" applyProtection="1">
      <alignment vertical="center" shrinkToFit="1"/>
    </xf>
    <xf numFmtId="176" fontId="2" fillId="25" borderId="368" xfId="151" applyNumberFormat="1" applyFont="1" applyFill="1" applyBorder="1" applyAlignment="1" applyProtection="1">
      <alignment vertical="center" shrinkToFit="1"/>
      <protection hidden="1"/>
    </xf>
    <xf numFmtId="176" fontId="2" fillId="25" borderId="340" xfId="151" applyNumberFormat="1" applyFont="1" applyFill="1" applyBorder="1" applyAlignment="1" applyProtection="1">
      <alignment vertical="center" shrinkToFit="1"/>
      <protection hidden="1"/>
    </xf>
    <xf numFmtId="218" fontId="86" fillId="25" borderId="0" xfId="150" applyFont="1" applyFill="1" applyAlignment="1" applyProtection="1">
      <alignment horizontal="center" vertical="center"/>
    </xf>
    <xf numFmtId="176" fontId="261" fillId="25" borderId="0" xfId="151" applyNumberFormat="1" applyFont="1" applyFill="1" applyAlignment="1" applyProtection="1">
      <alignment vertical="center" shrinkToFit="1"/>
    </xf>
    <xf numFmtId="176" fontId="261" fillId="25" borderId="0" xfId="150" applyNumberFormat="1" applyFont="1" applyFill="1" applyAlignment="1" applyProtection="1">
      <alignment vertical="center" shrinkToFit="1"/>
    </xf>
    <xf numFmtId="176" fontId="261" fillId="25" borderId="0" xfId="150" applyNumberFormat="1" applyFont="1" applyFill="1" applyAlignment="1" applyProtection="1">
      <alignment horizontal="right" vertical="center" shrinkToFit="1"/>
    </xf>
    <xf numFmtId="0" fontId="0" fillId="0" borderId="26" xfId="0" applyFill="1" applyBorder="1" applyAlignment="1" applyProtection="1">
      <alignment vertical="center" wrapText="1"/>
      <protection locked="0"/>
    </xf>
    <xf numFmtId="0" fontId="39" fillId="0" borderId="52" xfId="0" applyNumberFormat="1" applyFont="1" applyFill="1" applyBorder="1" applyAlignment="1" applyProtection="1">
      <alignment horizontal="center" vertical="center" shrinkToFit="1"/>
      <protection locked="0"/>
    </xf>
    <xf numFmtId="0" fontId="25" fillId="0" borderId="47" xfId="0" applyFont="1" applyFill="1" applyBorder="1" applyAlignment="1" applyProtection="1">
      <alignment vertical="center"/>
    </xf>
    <xf numFmtId="0" fontId="1" fillId="0" borderId="302" xfId="0" applyFont="1" applyFill="1" applyBorder="1" applyAlignment="1" applyProtection="1">
      <alignment horizontal="left" vertical="center"/>
      <protection locked="0"/>
    </xf>
    <xf numFmtId="0" fontId="1" fillId="0" borderId="50" xfId="0" applyFont="1" applyFill="1" applyBorder="1" applyAlignment="1" applyProtection="1">
      <alignment vertical="center" wrapText="1"/>
      <protection locked="0"/>
    </xf>
    <xf numFmtId="177" fontId="0" fillId="6" borderId="0" xfId="0" applyNumberFormat="1" applyFill="1" applyProtection="1">
      <alignment vertical="center"/>
      <protection locked="0"/>
    </xf>
    <xf numFmtId="177" fontId="22" fillId="26" borderId="255" xfId="119" applyNumberFormat="1" applyFont="1" applyFill="1" applyBorder="1" applyAlignment="1" applyProtection="1">
      <alignment vertical="center" shrinkToFit="1"/>
    </xf>
    <xf numFmtId="177" fontId="22" fillId="26" borderId="255" xfId="118" applyNumberFormat="1" applyFont="1" applyFill="1" applyBorder="1" applyAlignment="1" applyProtection="1">
      <alignment vertical="center" shrinkToFit="1"/>
    </xf>
    <xf numFmtId="177" fontId="22" fillId="26" borderId="255" xfId="118" applyNumberFormat="1" applyFont="1" applyFill="1" applyBorder="1" applyAlignment="1" applyProtection="1">
      <alignment vertical="center" shrinkToFit="1"/>
      <protection locked="0"/>
    </xf>
    <xf numFmtId="177" fontId="22" fillId="26" borderId="261" xfId="118" applyNumberFormat="1" applyFont="1" applyFill="1" applyBorder="1" applyAlignment="1" applyProtection="1">
      <alignment vertical="center" shrinkToFit="1"/>
      <protection locked="0"/>
    </xf>
    <xf numFmtId="176" fontId="0" fillId="2" borderId="0" xfId="4" applyFont="1" applyFill="1" applyProtection="1">
      <alignment vertical="center"/>
      <protection locked="0"/>
    </xf>
    <xf numFmtId="218" fontId="2" fillId="26" borderId="0" xfId="150" applyFont="1" applyFill="1" applyAlignment="1" applyProtection="1">
      <alignment vertical="center"/>
    </xf>
    <xf numFmtId="177" fontId="22" fillId="26" borderId="0" xfId="150" applyNumberFormat="1" applyFont="1" applyFill="1" applyAlignment="1" applyProtection="1">
      <alignment vertical="center" shrinkToFit="1"/>
    </xf>
    <xf numFmtId="0" fontId="22" fillId="25" borderId="0" xfId="150" applyNumberFormat="1" applyFont="1" applyFill="1" applyAlignment="1" applyProtection="1">
      <alignment vertical="center"/>
    </xf>
    <xf numFmtId="44" fontId="0" fillId="2" borderId="0" xfId="0" applyNumberFormat="1" applyFill="1" applyProtection="1">
      <alignment vertical="center"/>
      <protection locked="0"/>
    </xf>
    <xf numFmtId="44" fontId="86" fillId="27" borderId="0" xfId="140" applyNumberFormat="1" applyFont="1" applyFill="1" applyAlignment="1" applyProtection="1">
      <alignment vertical="center"/>
    </xf>
    <xf numFmtId="177" fontId="1" fillId="6" borderId="0" xfId="0" applyNumberFormat="1" applyFont="1" applyFill="1" applyProtection="1">
      <alignment vertical="center"/>
      <protection locked="0"/>
    </xf>
    <xf numFmtId="49" fontId="22" fillId="31" borderId="116" xfId="0" applyNumberFormat="1" applyFont="1" applyFill="1" applyBorder="1" applyAlignment="1" applyProtection="1">
      <alignment horizontal="center" vertical="center" shrinkToFit="1"/>
      <protection locked="0"/>
    </xf>
    <xf numFmtId="177" fontId="22" fillId="31" borderId="171" xfId="4" applyNumberFormat="1" applyFont="1" applyFill="1" applyBorder="1" applyAlignment="1" applyProtection="1">
      <alignment vertical="center" shrinkToFit="1"/>
      <protection locked="0"/>
    </xf>
    <xf numFmtId="10" fontId="59" fillId="0" borderId="58" xfId="7" applyNumberFormat="1" applyFont="1" applyFill="1" applyBorder="1" applyAlignment="1" applyProtection="1">
      <alignment vertical="center"/>
      <protection locked="0"/>
    </xf>
    <xf numFmtId="9" fontId="22" fillId="0" borderId="65" xfId="0" applyNumberFormat="1" applyFont="1" applyFill="1" applyBorder="1" applyAlignment="1" applyProtection="1">
      <alignment vertical="center"/>
      <protection locked="0"/>
    </xf>
    <xf numFmtId="10" fontId="22" fillId="0" borderId="65" xfId="7" applyNumberFormat="1" applyFont="1" applyFill="1" applyBorder="1" applyAlignment="1" applyProtection="1">
      <alignment vertical="center"/>
      <protection locked="0"/>
    </xf>
    <xf numFmtId="177" fontId="22" fillId="8" borderId="0" xfId="0" applyNumberFormat="1" applyFont="1" applyFill="1" applyBorder="1" applyAlignment="1" applyProtection="1">
      <alignment vertical="center"/>
      <protection locked="0"/>
    </xf>
    <xf numFmtId="0" fontId="253" fillId="27" borderId="0" xfId="140" applyFont="1" applyFill="1" applyAlignment="1" applyProtection="1">
      <alignment horizontal="center" vertical="center" shrinkToFit="1"/>
    </xf>
    <xf numFmtId="0" fontId="254" fillId="27" borderId="0" xfId="140" applyFont="1" applyFill="1" applyAlignment="1" applyProtection="1">
      <alignment horizontal="center" vertical="center" shrinkToFit="1"/>
    </xf>
    <xf numFmtId="14" fontId="255" fillId="27" borderId="0" xfId="140" applyNumberFormat="1" applyFont="1" applyFill="1" applyAlignment="1" applyProtection="1">
      <alignment horizontal="center" vertical="center" shrinkToFit="1"/>
      <protection hidden="1"/>
    </xf>
    <xf numFmtId="0" fontId="255" fillId="27" borderId="0" xfId="140" applyFont="1" applyFill="1" applyAlignment="1" applyProtection="1">
      <alignment horizontal="center" vertical="center" shrinkToFit="1"/>
      <protection hidden="1"/>
    </xf>
    <xf numFmtId="213" fontId="5" fillId="27" borderId="0" xfId="146" applyFont="1" applyFill="1" applyAlignment="1" applyProtection="1">
      <alignment horizontal="center" vertical="center" shrinkToFit="1"/>
    </xf>
    <xf numFmtId="213" fontId="21" fillId="27" borderId="0" xfId="146" applyFont="1" applyFill="1" applyAlignment="1" applyProtection="1">
      <alignment horizontal="center" vertical="center" shrinkToFit="1"/>
    </xf>
    <xf numFmtId="14" fontId="21" fillId="27" borderId="0" xfId="146" applyNumberFormat="1" applyFont="1" applyFill="1" applyAlignment="1" applyProtection="1">
      <alignment horizontal="center" vertical="center" shrinkToFit="1"/>
    </xf>
    <xf numFmtId="0" fontId="42" fillId="10" borderId="87" xfId="0" quotePrefix="1" applyFont="1" applyFill="1" applyBorder="1" applyAlignment="1" applyProtection="1">
      <alignment horizontal="center" vertical="center" wrapText="1"/>
      <protection hidden="1"/>
    </xf>
    <xf numFmtId="0" fontId="42" fillId="10" borderId="88" xfId="0" quotePrefix="1" applyFont="1" applyFill="1" applyBorder="1" applyAlignment="1" applyProtection="1">
      <alignment horizontal="center" vertical="center" wrapText="1"/>
      <protection hidden="1"/>
    </xf>
    <xf numFmtId="177" fontId="42" fillId="21" borderId="271" xfId="0" applyNumberFormat="1" applyFont="1" applyFill="1" applyBorder="1" applyAlignment="1" applyProtection="1">
      <alignment horizontal="center" vertical="center" wrapText="1" shrinkToFit="1"/>
      <protection hidden="1"/>
    </xf>
    <xf numFmtId="177" fontId="42" fillId="21" borderId="272" xfId="0" applyNumberFormat="1" applyFont="1" applyFill="1" applyBorder="1" applyAlignment="1" applyProtection="1">
      <alignment horizontal="center" vertical="center" wrapText="1" shrinkToFit="1"/>
      <protection hidden="1"/>
    </xf>
    <xf numFmtId="0" fontId="0" fillId="10" borderId="5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hidden="1"/>
    </xf>
    <xf numFmtId="0" fontId="42" fillId="20" borderId="273" xfId="0" quotePrefix="1" applyFont="1" applyFill="1" applyBorder="1" applyAlignment="1" applyProtection="1">
      <alignment horizontal="center" vertical="center" wrapText="1"/>
      <protection hidden="1"/>
    </xf>
    <xf numFmtId="0" fontId="0" fillId="10" borderId="58" xfId="0" applyFill="1" applyBorder="1" applyAlignment="1" applyProtection="1">
      <alignment horizontal="center" vertical="center" wrapText="1"/>
      <protection hidden="1"/>
    </xf>
    <xf numFmtId="0" fontId="42" fillId="10" borderId="64" xfId="0" applyFont="1" applyFill="1" applyBorder="1" applyAlignment="1" applyProtection="1">
      <alignment horizontal="center" vertical="center" wrapText="1"/>
      <protection hidden="1"/>
    </xf>
    <xf numFmtId="0" fontId="42" fillId="10" borderId="65" xfId="0" applyFont="1" applyFill="1" applyBorder="1" applyAlignment="1" applyProtection="1">
      <alignment horizontal="center" vertical="center" wrapText="1"/>
      <protection hidden="1"/>
    </xf>
    <xf numFmtId="177" fontId="42" fillId="21" borderId="271" xfId="0" quotePrefix="1" applyNumberFormat="1" applyFont="1" applyFill="1" applyBorder="1" applyAlignment="1" applyProtection="1">
      <alignment horizontal="center" vertical="center" wrapText="1" shrinkToFit="1"/>
      <protection hidden="1"/>
    </xf>
    <xf numFmtId="177" fontId="42" fillId="21" borderId="272" xfId="0" quotePrefix="1" applyNumberFormat="1" applyFont="1" applyFill="1" applyBorder="1" applyAlignment="1" applyProtection="1">
      <alignment horizontal="center" vertical="center" wrapText="1" shrinkToFit="1"/>
      <protection hidden="1"/>
    </xf>
    <xf numFmtId="0" fontId="42" fillId="10" borderId="56" xfId="0" quotePrefix="1" applyFont="1" applyFill="1" applyBorder="1" applyAlignment="1" applyProtection="1">
      <alignment horizontal="center" vertical="center" wrapText="1"/>
      <protection locked="0"/>
    </xf>
    <xf numFmtId="0" fontId="42" fillId="10" borderId="64" xfId="0" quotePrefix="1" applyFont="1" applyFill="1" applyBorder="1" applyAlignment="1" applyProtection="1">
      <alignment horizontal="center" vertical="center" wrapText="1"/>
      <protection locked="0"/>
    </xf>
    <xf numFmtId="0" fontId="1" fillId="10" borderId="64" xfId="0" quotePrefix="1" applyFont="1" applyFill="1" applyBorder="1" applyAlignment="1" applyProtection="1">
      <alignment horizontal="center" vertical="center" wrapText="1"/>
      <protection hidden="1"/>
    </xf>
    <xf numFmtId="0" fontId="1" fillId="10" borderId="273" xfId="0" quotePrefix="1" applyFont="1" applyFill="1" applyBorder="1" applyAlignment="1" applyProtection="1">
      <alignment horizontal="center" vertical="center" wrapText="1"/>
      <protection hidden="1"/>
    </xf>
    <xf numFmtId="0" fontId="1" fillId="10" borderId="55" xfId="0" quotePrefix="1" applyFont="1" applyFill="1" applyBorder="1" applyAlignment="1" applyProtection="1">
      <alignment horizontal="center" vertical="center" wrapText="1"/>
      <protection hidden="1"/>
    </xf>
    <xf numFmtId="177" fontId="1" fillId="10" borderId="64" xfId="0" quotePrefix="1" applyNumberFormat="1" applyFont="1" applyFill="1" applyBorder="1" applyAlignment="1" applyProtection="1">
      <alignment horizontal="center" vertical="center" wrapText="1" shrinkToFit="1"/>
      <protection hidden="1"/>
    </xf>
    <xf numFmtId="177" fontId="1" fillId="10" borderId="273" xfId="0" quotePrefix="1" applyNumberFormat="1" applyFont="1" applyFill="1" applyBorder="1" applyAlignment="1" applyProtection="1">
      <alignment horizontal="center" vertical="center" wrapText="1" shrinkToFit="1"/>
      <protection hidden="1"/>
    </xf>
    <xf numFmtId="0" fontId="0" fillId="10" borderId="70" xfId="0" applyFont="1" applyFill="1" applyBorder="1" applyAlignment="1" applyProtection="1">
      <alignment horizontal="center" vertical="center" wrapText="1"/>
      <protection hidden="1"/>
    </xf>
    <xf numFmtId="0" fontId="0" fillId="8" borderId="0" xfId="0" applyFont="1" applyFill="1" applyBorder="1" applyAlignment="1" applyProtection="1">
      <alignment horizontal="center" vertical="center" wrapText="1"/>
      <protection hidden="1"/>
    </xf>
    <xf numFmtId="0" fontId="0" fillId="10" borderId="73" xfId="0" applyFont="1" applyFill="1" applyBorder="1" applyAlignment="1" applyProtection="1">
      <alignment horizontal="center" vertical="center" wrapText="1"/>
      <protection hidden="1"/>
    </xf>
    <xf numFmtId="0" fontId="0" fillId="10" borderId="65" xfId="0" applyFill="1" applyBorder="1" applyAlignment="1" applyProtection="1">
      <alignment horizontal="center" vertical="center" wrapText="1"/>
      <protection hidden="1"/>
    </xf>
    <xf numFmtId="0" fontId="0" fillId="21" borderId="73" xfId="0" applyFont="1" applyFill="1" applyBorder="1" applyAlignment="1" applyProtection="1">
      <alignment horizontal="center" vertical="center" wrapText="1"/>
      <protection locked="0"/>
    </xf>
    <xf numFmtId="0" fontId="0" fillId="21" borderId="74" xfId="0" applyFont="1" applyFill="1" applyBorder="1" applyAlignment="1" applyProtection="1">
      <alignment horizontal="center" vertical="center" wrapText="1"/>
      <protection locked="0"/>
    </xf>
    <xf numFmtId="0" fontId="1" fillId="3" borderId="280" xfId="0" quotePrefix="1" applyFont="1" applyFill="1" applyBorder="1" applyAlignment="1" applyProtection="1">
      <alignment horizontal="center" vertical="center" wrapText="1"/>
      <protection hidden="1"/>
    </xf>
    <xf numFmtId="0" fontId="1" fillId="3" borderId="281" xfId="0" quotePrefix="1" applyFont="1" applyFill="1" applyBorder="1" applyAlignment="1" applyProtection="1">
      <alignment horizontal="center" vertical="center" wrapText="1"/>
      <protection hidden="1"/>
    </xf>
    <xf numFmtId="0" fontId="42" fillId="21" borderId="87" xfId="0" quotePrefix="1" applyFont="1" applyFill="1" applyBorder="1" applyAlignment="1" applyProtection="1">
      <alignment horizontal="center" vertical="center" wrapText="1"/>
      <protection hidden="1"/>
    </xf>
    <xf numFmtId="0" fontId="42" fillId="21" borderId="88" xfId="0" quotePrefix="1"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hidden="1"/>
    </xf>
    <xf numFmtId="0" fontId="42" fillId="21" borderId="58" xfId="0" applyFont="1" applyFill="1" applyBorder="1" applyAlignment="1" applyProtection="1">
      <alignment horizontal="center" vertical="center" wrapText="1"/>
      <protection hidden="1"/>
    </xf>
    <xf numFmtId="177" fontId="42" fillId="21" borderId="56" xfId="0"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hidden="1"/>
    </xf>
    <xf numFmtId="0" fontId="42" fillId="21" borderId="273" xfId="0" quotePrefix="1" applyFont="1" applyFill="1" applyBorder="1" applyAlignment="1" applyProtection="1">
      <alignment horizontal="center" vertical="center" wrapText="1"/>
      <protection hidden="1"/>
    </xf>
    <xf numFmtId="0" fontId="42" fillId="21" borderId="55" xfId="0" quotePrefix="1" applyFont="1" applyFill="1" applyBorder="1" applyAlignment="1" applyProtection="1">
      <alignment horizontal="center" vertical="center" wrapText="1"/>
      <protection hidden="1"/>
    </xf>
    <xf numFmtId="177" fontId="42" fillId="21" borderId="64" xfId="0" quotePrefix="1" applyNumberFormat="1" applyFont="1" applyFill="1" applyBorder="1" applyAlignment="1" applyProtection="1">
      <alignment horizontal="center" vertical="center" wrapText="1" shrinkToFit="1"/>
      <protection hidden="1"/>
    </xf>
    <xf numFmtId="177" fontId="42" fillId="21" borderId="273" xfId="0" quotePrefix="1" applyNumberFormat="1" applyFont="1" applyFill="1" applyBorder="1" applyAlignment="1" applyProtection="1">
      <alignment horizontal="center" vertical="center" wrapText="1" shrinkToFit="1"/>
      <protection hidden="1"/>
    </xf>
    <xf numFmtId="177" fontId="49" fillId="21" borderId="64" xfId="0" applyNumberFormat="1" applyFont="1" applyFill="1" applyBorder="1" applyAlignment="1" applyProtection="1">
      <alignment horizontal="center" vertical="center" wrapText="1" shrinkToFit="1"/>
      <protection hidden="1"/>
    </xf>
    <xf numFmtId="177" fontId="49" fillId="21" borderId="65" xfId="0" applyNumberFormat="1" applyFont="1" applyFill="1" applyBorder="1" applyAlignment="1" applyProtection="1">
      <alignment horizontal="center" vertical="center" wrapText="1" shrinkToFit="1"/>
      <protection hidden="1"/>
    </xf>
    <xf numFmtId="0" fontId="1" fillId="10" borderId="274" xfId="0" quotePrefix="1" applyFont="1" applyFill="1" applyBorder="1" applyAlignment="1" applyProtection="1">
      <alignment horizontal="center" vertical="center" wrapText="1"/>
      <protection hidden="1"/>
    </xf>
    <xf numFmtId="0" fontId="1" fillId="10" borderId="275" xfId="0" quotePrefix="1" applyFont="1" applyFill="1" applyBorder="1" applyAlignment="1" applyProtection="1">
      <alignment horizontal="center" vertical="center" wrapText="1"/>
      <protection hidden="1"/>
    </xf>
    <xf numFmtId="0" fontId="1" fillId="10" borderId="276" xfId="0" quotePrefix="1" applyFont="1" applyFill="1" applyBorder="1" applyAlignment="1" applyProtection="1">
      <alignment horizontal="center" vertical="center" wrapText="1"/>
      <protection hidden="1"/>
    </xf>
    <xf numFmtId="0" fontId="42" fillId="10" borderId="64" xfId="0" quotePrefix="1" applyFont="1" applyFill="1" applyBorder="1" applyAlignment="1" applyProtection="1">
      <alignment horizontal="center" vertical="center" wrapText="1"/>
      <protection hidden="1"/>
    </xf>
    <xf numFmtId="0" fontId="42" fillId="10" borderId="273" xfId="0" quotePrefix="1" applyFont="1" applyFill="1" applyBorder="1" applyAlignment="1" applyProtection="1">
      <alignment horizontal="center" vertical="center" wrapText="1"/>
      <protection hidden="1"/>
    </xf>
    <xf numFmtId="0" fontId="42" fillId="10" borderId="55" xfId="0" quotePrefix="1" applyFont="1" applyFill="1" applyBorder="1" applyAlignment="1" applyProtection="1">
      <alignment horizontal="center" vertical="center" wrapText="1"/>
      <protection hidden="1"/>
    </xf>
    <xf numFmtId="0" fontId="42" fillId="21" borderId="64"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hidden="1"/>
    </xf>
    <xf numFmtId="0" fontId="42" fillId="10" borderId="56" xfId="0" applyFont="1" applyFill="1" applyBorder="1" applyAlignment="1" applyProtection="1">
      <alignment horizontal="center" vertical="center" wrapText="1"/>
      <protection hidden="1"/>
    </xf>
    <xf numFmtId="0" fontId="1" fillId="21" borderId="87" xfId="0" quotePrefix="1" applyFont="1" applyFill="1" applyBorder="1" applyAlignment="1" applyProtection="1">
      <alignment horizontal="center" vertical="center" wrapText="1"/>
      <protection hidden="1"/>
    </xf>
    <xf numFmtId="0" fontId="1" fillId="21" borderId="88" xfId="0" quotePrefix="1" applyFont="1" applyFill="1" applyBorder="1" applyAlignment="1" applyProtection="1">
      <alignment horizontal="center" vertical="center" wrapText="1"/>
      <protection hidden="1"/>
    </xf>
    <xf numFmtId="0" fontId="0" fillId="21" borderId="64" xfId="0" applyFont="1" applyFill="1" applyBorder="1" applyAlignment="1" applyProtection="1">
      <alignment horizontal="center" vertical="center" wrapText="1"/>
      <protection hidden="1"/>
    </xf>
    <xf numFmtId="0" fontId="0" fillId="21" borderId="65" xfId="0" applyFill="1" applyBorder="1" applyAlignment="1" applyProtection="1">
      <alignment horizontal="center" vertical="center" wrapText="1"/>
      <protection hidden="1"/>
    </xf>
    <xf numFmtId="0" fontId="0" fillId="10" borderId="64" xfId="0" applyFont="1" applyFill="1" applyBorder="1" applyAlignment="1" applyProtection="1">
      <alignment horizontal="center" vertical="center" wrapText="1"/>
      <protection hidden="1"/>
    </xf>
    <xf numFmtId="0" fontId="0" fillId="21" borderId="70" xfId="0" applyFont="1" applyFill="1" applyBorder="1" applyAlignment="1" applyProtection="1">
      <alignment horizontal="center" vertical="center" wrapText="1"/>
      <protection locked="0"/>
    </xf>
    <xf numFmtId="0" fontId="0" fillId="21" borderId="72" xfId="0" applyFont="1" applyFill="1" applyBorder="1" applyAlignment="1" applyProtection="1">
      <alignment horizontal="center" vertical="center" wrapText="1"/>
      <protection locked="0"/>
    </xf>
    <xf numFmtId="31" fontId="1" fillId="21" borderId="64" xfId="0" applyNumberFormat="1" applyFont="1" applyFill="1" applyBorder="1" applyAlignment="1" applyProtection="1">
      <alignment horizontal="center" vertical="center" wrapText="1"/>
      <protection hidden="1"/>
    </xf>
    <xf numFmtId="0" fontId="1" fillId="21" borderId="65" xfId="0" applyFont="1" applyFill="1" applyBorder="1" applyAlignment="1" applyProtection="1">
      <alignment horizontal="center" vertical="center" wrapText="1"/>
      <protection hidden="1"/>
    </xf>
    <xf numFmtId="0" fontId="42" fillId="7" borderId="271" xfId="0" applyFont="1" applyFill="1" applyBorder="1" applyAlignment="1" applyProtection="1">
      <alignment horizontal="center" vertical="center" wrapText="1"/>
      <protection hidden="1"/>
    </xf>
    <xf numFmtId="0" fontId="42" fillId="7" borderId="272" xfId="0" applyFont="1" applyFill="1" applyBorder="1" applyAlignment="1" applyProtection="1">
      <alignment horizontal="center" vertical="center" wrapText="1"/>
      <protection hidden="1"/>
    </xf>
    <xf numFmtId="0" fontId="0" fillId="10" borderId="72" xfId="0" applyFont="1" applyFill="1" applyBorder="1" applyAlignment="1" applyProtection="1">
      <alignment horizontal="center" vertical="center" wrapText="1"/>
      <protection hidden="1"/>
    </xf>
    <xf numFmtId="0" fontId="7" fillId="6" borderId="0" xfId="0" applyFont="1" applyFill="1" applyAlignment="1" applyProtection="1">
      <alignment vertical="center" wrapText="1"/>
      <protection locked="0"/>
    </xf>
    <xf numFmtId="14" fontId="1" fillId="21" borderId="271" xfId="0" quotePrefix="1" applyNumberFormat="1" applyFont="1" applyFill="1" applyBorder="1" applyAlignment="1" applyProtection="1">
      <alignment horizontal="center" vertical="center" wrapText="1"/>
      <protection hidden="1"/>
    </xf>
    <xf numFmtId="14" fontId="1" fillId="21" borderId="272" xfId="0" quotePrefix="1" applyNumberFormat="1" applyFont="1" applyFill="1" applyBorder="1" applyAlignment="1" applyProtection="1">
      <alignment horizontal="center" vertical="center" wrapText="1"/>
      <protection hidden="1"/>
    </xf>
    <xf numFmtId="0" fontId="1" fillId="21" borderId="56" xfId="0" applyFont="1" applyFill="1" applyBorder="1" applyAlignment="1" applyProtection="1">
      <alignment horizontal="center" vertical="center" wrapText="1"/>
      <protection hidden="1"/>
    </xf>
    <xf numFmtId="0" fontId="1" fillId="10" borderId="271" xfId="0" quotePrefix="1" applyFont="1" applyFill="1" applyBorder="1" applyAlignment="1" applyProtection="1">
      <alignment horizontal="center" vertical="center" wrapText="1"/>
      <protection hidden="1"/>
    </xf>
    <xf numFmtId="0" fontId="1" fillId="10" borderId="272" xfId="0" quotePrefix="1" applyFont="1" applyFill="1" applyBorder="1" applyAlignment="1" applyProtection="1">
      <alignment horizontal="center" vertical="center" wrapText="1"/>
      <protection hidden="1"/>
    </xf>
    <xf numFmtId="0" fontId="168" fillId="21" borderId="56" xfId="0" applyFont="1" applyFill="1" applyBorder="1" applyAlignment="1" applyProtection="1">
      <alignment horizontal="center" vertical="center" wrapText="1"/>
      <protection hidden="1"/>
    </xf>
    <xf numFmtId="177" fontId="42" fillId="21" borderId="65" xfId="0" applyNumberFormat="1" applyFont="1" applyFill="1" applyBorder="1" applyAlignment="1" applyProtection="1">
      <alignment horizontal="center" vertical="center" wrapText="1" shrinkToFit="1"/>
      <protection hidden="1"/>
    </xf>
    <xf numFmtId="0" fontId="42" fillId="20" borderId="271" xfId="0" applyFont="1" applyFill="1" applyBorder="1" applyAlignment="1" applyProtection="1">
      <alignment horizontal="center" vertical="center" wrapText="1"/>
      <protection hidden="1"/>
    </xf>
    <xf numFmtId="0" fontId="42" fillId="20" borderId="272" xfId="0" applyFont="1" applyFill="1" applyBorder="1" applyAlignment="1" applyProtection="1">
      <alignment horizontal="center" vertical="center" wrapText="1"/>
      <protection hidden="1"/>
    </xf>
    <xf numFmtId="0" fontId="42" fillId="20" borderId="64" xfId="0" applyFont="1" applyFill="1" applyBorder="1" applyAlignment="1" applyProtection="1">
      <alignment horizontal="center" vertical="center" wrapText="1"/>
      <protection hidden="1"/>
    </xf>
    <xf numFmtId="0" fontId="42" fillId="20" borderId="65" xfId="0" applyFont="1" applyFill="1" applyBorder="1" applyAlignment="1" applyProtection="1">
      <alignment horizontal="center" vertical="center" wrapText="1"/>
      <protection hidden="1"/>
    </xf>
    <xf numFmtId="0" fontId="42" fillId="7" borderId="56" xfId="0" applyFont="1" applyFill="1" applyBorder="1" applyAlignment="1" applyProtection="1">
      <alignment horizontal="center" vertical="center" wrapText="1"/>
      <protection hidden="1"/>
    </xf>
    <xf numFmtId="0" fontId="42" fillId="7" borderId="64" xfId="0" applyFont="1" applyFill="1" applyBorder="1" applyAlignment="1" applyProtection="1">
      <alignment horizontal="center" vertical="center" wrapText="1"/>
      <protection hidden="1"/>
    </xf>
    <xf numFmtId="0" fontId="42" fillId="20" borderId="56" xfId="0" applyFont="1" applyFill="1" applyBorder="1" applyAlignment="1" applyProtection="1">
      <alignment horizontal="center" vertical="center" wrapText="1"/>
      <protection hidden="1"/>
    </xf>
    <xf numFmtId="0" fontId="0" fillId="11" borderId="70" xfId="0" applyFont="1" applyFill="1" applyBorder="1" applyAlignment="1" applyProtection="1">
      <alignment horizontal="center" vertical="center" wrapText="1"/>
      <protection hidden="1"/>
    </xf>
    <xf numFmtId="0" fontId="0" fillId="7" borderId="56" xfId="0" applyFill="1" applyBorder="1" applyAlignment="1" applyProtection="1">
      <alignment horizontal="center" vertical="center" wrapText="1"/>
      <protection hidden="1"/>
    </xf>
    <xf numFmtId="0" fontId="0" fillId="7" borderId="64" xfId="0" applyFill="1" applyBorder="1" applyAlignment="1" applyProtection="1">
      <alignment horizontal="center" vertical="center" wrapText="1"/>
      <protection hidden="1"/>
    </xf>
    <xf numFmtId="0" fontId="42" fillId="20" borderId="58"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locked="0"/>
    </xf>
    <xf numFmtId="0" fontId="42" fillId="10" borderId="57" xfId="0" applyFont="1" applyFill="1" applyBorder="1" applyAlignment="1" applyProtection="1">
      <alignment horizontal="center" vertical="center" wrapText="1"/>
      <protection locked="0"/>
    </xf>
    <xf numFmtId="0" fontId="0" fillId="3" borderId="70" xfId="0" applyFont="1" applyFill="1" applyBorder="1" applyAlignment="1" applyProtection="1">
      <alignment horizontal="center" vertical="center" wrapText="1"/>
      <protection hidden="1"/>
    </xf>
    <xf numFmtId="31" fontId="1" fillId="3" borderId="278" xfId="0" quotePrefix="1" applyNumberFormat="1" applyFont="1" applyFill="1" applyBorder="1" applyAlignment="1" applyProtection="1">
      <alignment horizontal="center" vertical="center" wrapText="1"/>
      <protection hidden="1"/>
    </xf>
    <xf numFmtId="31" fontId="1" fillId="3" borderId="279" xfId="0" quotePrefix="1" applyNumberFormat="1" applyFont="1" applyFill="1" applyBorder="1" applyAlignment="1" applyProtection="1">
      <alignment horizontal="center" vertical="center" wrapText="1"/>
      <protection hidden="1"/>
    </xf>
    <xf numFmtId="0" fontId="42" fillId="8" borderId="57" xfId="0" applyFont="1" applyFill="1" applyBorder="1" applyAlignment="1" applyProtection="1">
      <alignment vertical="center" wrapText="1"/>
      <protection locked="0"/>
    </xf>
    <xf numFmtId="0" fontId="42" fillId="21" borderId="57" xfId="0" applyFont="1" applyFill="1" applyBorder="1" applyAlignment="1" applyProtection="1">
      <alignment horizontal="center" vertical="center" wrapText="1"/>
      <protection hidden="1"/>
    </xf>
    <xf numFmtId="0" fontId="42" fillId="21" borderId="55" xfId="0" applyFont="1" applyFill="1" applyBorder="1" applyAlignment="1" applyProtection="1">
      <alignment horizontal="center" vertical="center" wrapText="1"/>
      <protection locked="0"/>
    </xf>
    <xf numFmtId="0" fontId="42" fillId="21" borderId="57" xfId="0" applyFont="1" applyFill="1" applyBorder="1" applyAlignment="1" applyProtection="1">
      <alignment horizontal="center" vertical="center" wrapText="1"/>
      <protection locked="0"/>
    </xf>
    <xf numFmtId="0" fontId="42" fillId="7" borderId="55" xfId="0" applyFont="1" applyFill="1" applyBorder="1" applyAlignment="1" applyProtection="1">
      <alignment horizontal="center" vertical="center" wrapText="1"/>
      <protection locked="0"/>
    </xf>
    <xf numFmtId="0" fontId="42" fillId="7" borderId="57" xfId="0" applyFont="1" applyFill="1" applyBorder="1" applyAlignment="1" applyProtection="1">
      <alignment horizontal="center" vertical="center" wrapText="1"/>
      <protection locked="0"/>
    </xf>
    <xf numFmtId="177" fontId="49" fillId="10" borderId="64" xfId="0" applyNumberFormat="1" applyFont="1" applyFill="1" applyBorder="1" applyAlignment="1" applyProtection="1">
      <alignment horizontal="center" vertical="center" wrapText="1" shrinkToFit="1"/>
      <protection hidden="1"/>
    </xf>
    <xf numFmtId="177" fontId="49" fillId="10" borderId="65" xfId="0" applyNumberFormat="1" applyFont="1" applyFill="1" applyBorder="1" applyAlignment="1" applyProtection="1">
      <alignment horizontal="center" vertical="center" wrapText="1" shrinkToFit="1"/>
      <protection hidden="1"/>
    </xf>
    <xf numFmtId="0" fontId="42" fillId="10" borderId="271" xfId="0" quotePrefix="1" applyFont="1" applyFill="1" applyBorder="1" applyAlignment="1" applyProtection="1">
      <alignment horizontal="center" vertical="center" wrapText="1"/>
      <protection hidden="1"/>
    </xf>
    <xf numFmtId="0" fontId="42" fillId="10" borderId="272" xfId="0" quotePrefix="1" applyFont="1" applyFill="1" applyBorder="1" applyAlignment="1" applyProtection="1">
      <alignment horizontal="center" vertical="center" wrapText="1"/>
      <protection hidden="1"/>
    </xf>
    <xf numFmtId="0" fontId="1" fillId="10" borderId="277" xfId="0" quotePrefix="1" applyFont="1" applyFill="1" applyBorder="1" applyAlignment="1" applyProtection="1">
      <alignment horizontal="center" vertical="center" wrapText="1"/>
      <protection hidden="1"/>
    </xf>
    <xf numFmtId="0" fontId="42" fillId="21" borderId="65" xfId="0" applyFont="1" applyFill="1" applyBorder="1" applyAlignment="1" applyProtection="1">
      <alignment horizontal="center" vertical="center" wrapText="1"/>
      <protection hidden="1"/>
    </xf>
    <xf numFmtId="177" fontId="42" fillId="21" borderId="64" xfId="0" applyNumberFormat="1" applyFont="1" applyFill="1" applyBorder="1" applyAlignment="1" applyProtection="1">
      <alignment horizontal="center" vertical="center" wrapText="1" shrinkToFit="1"/>
      <protection hidden="1"/>
    </xf>
    <xf numFmtId="0" fontId="0" fillId="10" borderId="87" xfId="0" applyFont="1" applyFill="1" applyBorder="1" applyAlignment="1" applyProtection="1">
      <alignment horizontal="center" vertical="center" wrapText="1"/>
      <protection hidden="1"/>
    </xf>
    <xf numFmtId="0" fontId="0" fillId="10" borderId="88" xfId="0" applyFont="1" applyFill="1" applyBorder="1" applyAlignment="1" applyProtection="1">
      <alignment horizontal="center" vertical="center" wrapText="1"/>
      <protection hidden="1"/>
    </xf>
    <xf numFmtId="0" fontId="1" fillId="21" borderId="58" xfId="0" applyFont="1" applyFill="1" applyBorder="1" applyAlignment="1" applyProtection="1">
      <alignment horizontal="center" vertical="center" wrapText="1"/>
      <protection hidden="1"/>
    </xf>
    <xf numFmtId="0" fontId="42" fillId="10" borderId="58" xfId="0" applyFont="1" applyFill="1" applyBorder="1" applyAlignment="1" applyProtection="1">
      <alignment horizontal="center" vertical="center" wrapText="1"/>
      <protection hidden="1"/>
    </xf>
    <xf numFmtId="0" fontId="42" fillId="7" borderId="58" xfId="0" applyFont="1" applyFill="1" applyBorder="1" applyAlignment="1" applyProtection="1">
      <alignment horizontal="center" vertical="center" wrapText="1"/>
      <protection hidden="1"/>
    </xf>
    <xf numFmtId="0" fontId="191" fillId="20" borderId="56" xfId="0" applyFont="1" applyFill="1" applyBorder="1" applyAlignment="1" applyProtection="1">
      <alignment horizontal="center" vertical="center" wrapText="1"/>
      <protection locked="0"/>
    </xf>
    <xf numFmtId="0" fontId="191" fillId="20" borderId="58" xfId="0" applyFont="1" applyFill="1" applyBorder="1" applyAlignment="1" applyProtection="1">
      <alignment horizontal="center" vertical="center" wrapText="1"/>
      <protection locked="0"/>
    </xf>
    <xf numFmtId="0" fontId="168" fillId="21" borderId="64" xfId="0" applyFont="1" applyFill="1" applyBorder="1" applyAlignment="1" applyProtection="1">
      <alignment horizontal="center" vertical="center" wrapText="1"/>
      <protection hidden="1"/>
    </xf>
    <xf numFmtId="0" fontId="191" fillId="20" borderId="64" xfId="0" applyFont="1" applyFill="1" applyBorder="1" applyAlignment="1" applyProtection="1">
      <alignment horizontal="center" vertical="center" wrapText="1"/>
      <protection locked="0"/>
    </xf>
    <xf numFmtId="0" fontId="191" fillId="20" borderId="65" xfId="0" applyFont="1" applyFill="1" applyBorder="1" applyAlignment="1" applyProtection="1">
      <alignment horizontal="center" vertical="center" wrapText="1"/>
      <protection locked="0"/>
    </xf>
    <xf numFmtId="0" fontId="0" fillId="10" borderId="55" xfId="0" applyFont="1" applyFill="1" applyBorder="1" applyAlignment="1" applyProtection="1">
      <alignment horizontal="center" vertical="center" wrapText="1"/>
      <protection hidden="1"/>
    </xf>
    <xf numFmtId="0" fontId="0" fillId="10" borderId="57" xfId="0" applyFont="1" applyFill="1" applyBorder="1" applyAlignment="1" applyProtection="1">
      <alignment horizontal="center" vertical="center" wrapText="1"/>
      <protection hidden="1"/>
    </xf>
    <xf numFmtId="0" fontId="1" fillId="10" borderId="87" xfId="0" quotePrefix="1" applyFont="1" applyFill="1" applyBorder="1" applyAlignment="1" applyProtection="1">
      <alignment horizontal="center" vertical="center" wrapText="1"/>
      <protection hidden="1"/>
    </xf>
    <xf numFmtId="0" fontId="1" fillId="10" borderId="88" xfId="0" quotePrefix="1" applyFont="1" applyFill="1" applyBorder="1" applyAlignment="1" applyProtection="1">
      <alignment horizontal="center" vertical="center" wrapText="1"/>
      <protection hidden="1"/>
    </xf>
    <xf numFmtId="0" fontId="1" fillId="21" borderId="55" xfId="0" applyFont="1" applyFill="1" applyBorder="1" applyAlignment="1" applyProtection="1">
      <alignment horizontal="center" vertical="center" wrapText="1"/>
      <protection hidden="1"/>
    </xf>
    <xf numFmtId="0" fontId="1" fillId="21" borderId="57" xfId="0" applyFont="1" applyFill="1" applyBorder="1" applyAlignment="1" applyProtection="1">
      <alignment horizontal="center" vertical="center" wrapText="1"/>
      <protection hidden="1"/>
    </xf>
    <xf numFmtId="0" fontId="42" fillId="10" borderId="55" xfId="0" applyFont="1" applyFill="1" applyBorder="1" applyAlignment="1" applyProtection="1">
      <alignment horizontal="center" vertical="center" wrapText="1"/>
      <protection hidden="1"/>
    </xf>
    <xf numFmtId="0" fontId="42" fillId="10" borderId="57" xfId="0" applyFont="1" applyFill="1" applyBorder="1" applyAlignment="1" applyProtection="1">
      <alignment horizontal="center" vertical="center" wrapText="1"/>
      <protection hidden="1"/>
    </xf>
    <xf numFmtId="31" fontId="1" fillId="21" borderId="56" xfId="0" applyNumberFormat="1" applyFont="1" applyFill="1" applyBorder="1" applyAlignment="1" applyProtection="1">
      <alignment horizontal="center" vertical="center" wrapText="1"/>
      <protection hidden="1"/>
    </xf>
    <xf numFmtId="31" fontId="1" fillId="21" borderId="87" xfId="0" quotePrefix="1" applyNumberFormat="1" applyFont="1" applyFill="1" applyBorder="1" applyAlignment="1" applyProtection="1">
      <alignment horizontal="center" vertical="center" wrapText="1"/>
      <protection hidden="1"/>
    </xf>
    <xf numFmtId="31" fontId="1" fillId="21" borderId="88" xfId="0" quotePrefix="1" applyNumberFormat="1" applyFont="1" applyFill="1" applyBorder="1" applyAlignment="1" applyProtection="1">
      <alignment horizontal="center" vertical="center" wrapText="1"/>
      <protection hidden="1"/>
    </xf>
    <xf numFmtId="0" fontId="58" fillId="3" borderId="69" xfId="0" applyFont="1" applyFill="1" applyBorder="1" applyAlignment="1" applyProtection="1">
      <alignment horizontal="center" vertical="center" wrapText="1"/>
      <protection hidden="1"/>
    </xf>
    <xf numFmtId="0" fontId="58" fillId="3" borderId="71" xfId="0" applyFont="1" applyFill="1" applyBorder="1" applyAlignment="1" applyProtection="1">
      <alignment horizontal="center" vertical="center" wrapText="1"/>
      <protection hidden="1"/>
    </xf>
    <xf numFmtId="0" fontId="0" fillId="10" borderId="55" xfId="0" applyFill="1" applyBorder="1" applyAlignment="1" applyProtection="1">
      <alignment horizontal="center" vertical="center" wrapText="1"/>
      <protection hidden="1"/>
    </xf>
    <xf numFmtId="0" fontId="0" fillId="10" borderId="57" xfId="0" applyFill="1" applyBorder="1" applyAlignment="1" applyProtection="1">
      <alignment horizontal="center" vertical="center" wrapText="1"/>
      <protection hidden="1"/>
    </xf>
    <xf numFmtId="0" fontId="168" fillId="10" borderId="56" xfId="0" applyFont="1" applyFill="1" applyBorder="1" applyAlignment="1" applyProtection="1">
      <alignment horizontal="center" vertical="center" wrapText="1"/>
      <protection hidden="1"/>
    </xf>
    <xf numFmtId="0" fontId="168" fillId="10" borderId="64" xfId="0" applyFont="1" applyFill="1" applyBorder="1" applyAlignment="1" applyProtection="1">
      <alignment horizontal="center" vertical="center" wrapText="1"/>
      <protection hidden="1"/>
    </xf>
    <xf numFmtId="0" fontId="1" fillId="7" borderId="55" xfId="0" applyFont="1" applyFill="1" applyBorder="1" applyAlignment="1" applyProtection="1">
      <alignment horizontal="center" vertical="center" wrapText="1"/>
      <protection hidden="1"/>
    </xf>
    <xf numFmtId="0" fontId="0" fillId="7"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locked="0"/>
    </xf>
    <xf numFmtId="0" fontId="42" fillId="20" borderId="57" xfId="0" applyFont="1" applyFill="1" applyBorder="1" applyAlignment="1" applyProtection="1">
      <alignment horizontal="center" vertical="center" wrapText="1"/>
      <protection locked="0"/>
    </xf>
    <xf numFmtId="0" fontId="0" fillId="11" borderId="69" xfId="0" applyFont="1" applyFill="1" applyBorder="1" applyAlignment="1" applyProtection="1">
      <alignment horizontal="center" vertical="center" wrapText="1"/>
      <protection hidden="1"/>
    </xf>
    <xf numFmtId="0" fontId="0" fillId="7" borderId="57" xfId="0" applyFill="1" applyBorder="1" applyAlignment="1" applyProtection="1">
      <alignment horizontal="center" vertical="center" wrapText="1"/>
      <protection hidden="1"/>
    </xf>
    <xf numFmtId="0" fontId="1" fillId="20" borderId="55" xfId="0" applyFont="1" applyFill="1" applyBorder="1" applyAlignment="1" applyProtection="1">
      <alignment horizontal="center" vertical="center" wrapText="1"/>
      <protection hidden="1"/>
    </xf>
    <xf numFmtId="0" fontId="1" fillId="20" borderId="57" xfId="0" applyFont="1" applyFill="1" applyBorder="1" applyAlignment="1" applyProtection="1">
      <alignment horizontal="center" vertical="center" wrapText="1"/>
      <protection hidden="1"/>
    </xf>
    <xf numFmtId="0" fontId="42" fillId="20" borderId="55" xfId="0" applyFont="1" applyFill="1" applyBorder="1" applyAlignment="1" applyProtection="1">
      <alignment horizontal="center" vertical="center" wrapText="1"/>
      <protection hidden="1"/>
    </xf>
    <xf numFmtId="0" fontId="42" fillId="20" borderId="57" xfId="0" applyFont="1" applyFill="1" applyBorder="1" applyAlignment="1" applyProtection="1">
      <alignment horizontal="center" vertical="center" wrapText="1"/>
      <protection hidden="1"/>
    </xf>
    <xf numFmtId="0" fontId="0" fillId="7" borderId="55" xfId="0" applyFont="1" applyFill="1" applyBorder="1" applyAlignment="1" applyProtection="1">
      <alignment horizontal="center" vertical="center" wrapText="1"/>
      <protection hidden="1"/>
    </xf>
    <xf numFmtId="177" fontId="42" fillId="10" borderId="64" xfId="0" quotePrefix="1" applyNumberFormat="1" applyFont="1" applyFill="1" applyBorder="1" applyAlignment="1" applyProtection="1">
      <alignment horizontal="center" vertical="center" wrapText="1" shrinkToFit="1"/>
      <protection hidden="1"/>
    </xf>
    <xf numFmtId="177" fontId="42" fillId="10" borderId="273" xfId="0" quotePrefix="1" applyNumberFormat="1" applyFont="1" applyFill="1" applyBorder="1" applyAlignment="1" applyProtection="1">
      <alignment horizontal="center" vertical="center" wrapText="1" shrinkToFit="1"/>
      <protection hidden="1"/>
    </xf>
    <xf numFmtId="0" fontId="42" fillId="21" borderId="64" xfId="0" quotePrefix="1" applyFont="1" applyFill="1" applyBorder="1" applyAlignment="1" applyProtection="1">
      <alignment horizontal="center" vertical="center" wrapText="1"/>
      <protection locked="0"/>
    </xf>
    <xf numFmtId="0" fontId="42" fillId="21" borderId="273" xfId="0" quotePrefix="1" applyFont="1" applyFill="1" applyBorder="1" applyAlignment="1" applyProtection="1">
      <alignment horizontal="center" vertical="center" wrapText="1"/>
      <protection locked="0"/>
    </xf>
    <xf numFmtId="31" fontId="42" fillId="10" borderId="64" xfId="0" quotePrefix="1" applyNumberFormat="1" applyFont="1" applyFill="1" applyBorder="1" applyAlignment="1" applyProtection="1">
      <alignment horizontal="center" vertical="center" wrapText="1"/>
      <protection hidden="1"/>
    </xf>
    <xf numFmtId="31" fontId="42" fillId="10" borderId="55" xfId="0" quotePrefix="1" applyNumberFormat="1" applyFont="1" applyFill="1" applyBorder="1" applyAlignment="1" applyProtection="1">
      <alignment horizontal="center" vertical="center" wrapText="1"/>
      <protection hidden="1"/>
    </xf>
    <xf numFmtId="0" fontId="42" fillId="21" borderId="273" xfId="0" applyFont="1" applyFill="1" applyBorder="1" applyAlignment="1" applyProtection="1">
      <alignment horizontal="center" vertical="center" wrapText="1"/>
      <protection hidden="1"/>
    </xf>
    <xf numFmtId="0" fontId="42" fillId="21" borderId="56" xfId="0" applyFont="1" applyFill="1" applyBorder="1" applyAlignment="1" applyProtection="1">
      <alignment horizontal="center" vertical="center" wrapText="1"/>
      <protection locked="0"/>
    </xf>
    <xf numFmtId="0" fontId="42" fillId="21" borderId="64" xfId="0" applyFont="1" applyFill="1" applyBorder="1" applyAlignment="1" applyProtection="1">
      <alignment horizontal="center" vertical="center" wrapText="1"/>
      <protection locked="0"/>
    </xf>
    <xf numFmtId="0" fontId="0" fillId="21" borderId="56" xfId="0" applyFill="1" applyBorder="1" applyAlignment="1" applyProtection="1">
      <alignment horizontal="center" vertical="center" wrapText="1"/>
      <protection hidden="1"/>
    </xf>
    <xf numFmtId="0" fontId="1" fillId="20" borderId="64" xfId="0" applyFont="1" applyFill="1" applyBorder="1" applyAlignment="1" applyProtection="1">
      <alignment horizontal="center" vertical="center" wrapText="1"/>
      <protection hidden="1"/>
    </xf>
    <xf numFmtId="0" fontId="1" fillId="20" borderId="273"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hidden="1"/>
    </xf>
    <xf numFmtId="177" fontId="42" fillId="21" borderId="56" xfId="0" quotePrefix="1" applyNumberFormat="1" applyFont="1" applyFill="1" applyBorder="1" applyAlignment="1" applyProtection="1">
      <alignment horizontal="center" vertical="center" wrapText="1" shrinkToFit="1"/>
      <protection hidden="1"/>
    </xf>
    <xf numFmtId="0" fontId="42" fillId="20" borderId="56" xfId="0" quotePrefix="1" applyFont="1" applyFill="1" applyBorder="1" applyAlignment="1" applyProtection="1">
      <alignment horizontal="center" vertical="center" wrapText="1"/>
      <protection locked="0"/>
    </xf>
    <xf numFmtId="0" fontId="42" fillId="20" borderId="56" xfId="0" applyFont="1" applyFill="1" applyBorder="1" applyAlignment="1" applyProtection="1">
      <alignment horizontal="center" vertical="center" wrapText="1"/>
      <protection locked="0"/>
    </xf>
    <xf numFmtId="0" fontId="42" fillId="20" borderId="64" xfId="0" applyFont="1" applyFill="1" applyBorder="1" applyAlignment="1" applyProtection="1">
      <alignment horizontal="center" vertical="center" wrapText="1"/>
      <protection locked="0"/>
    </xf>
    <xf numFmtId="0" fontId="42" fillId="20" borderId="56" xfId="0" quotePrefix="1" applyFont="1" applyFill="1" applyBorder="1" applyAlignment="1" applyProtection="1">
      <alignment horizontal="center" vertical="center" wrapText="1"/>
      <protection hidden="1"/>
    </xf>
    <xf numFmtId="0" fontId="0" fillId="7" borderId="56" xfId="0" applyFont="1" applyFill="1" applyBorder="1" applyAlignment="1" applyProtection="1">
      <alignment horizontal="center" vertical="center" wrapText="1"/>
      <protection hidden="1"/>
    </xf>
    <xf numFmtId="0" fontId="57" fillId="7" borderId="56" xfId="0" applyFont="1" applyFill="1" applyBorder="1" applyAlignment="1" applyProtection="1">
      <alignment horizontal="center" vertical="center" wrapText="1"/>
      <protection hidden="1"/>
    </xf>
    <xf numFmtId="0" fontId="57" fillId="7" borderId="64" xfId="0" applyFont="1" applyFill="1" applyBorder="1" applyAlignment="1" applyProtection="1">
      <alignment horizontal="center" vertical="center" wrapText="1"/>
      <protection hidden="1"/>
    </xf>
    <xf numFmtId="0" fontId="42" fillId="21" borderId="56" xfId="0" quotePrefix="1" applyFont="1" applyFill="1" applyBorder="1" applyAlignment="1" applyProtection="1">
      <alignment horizontal="center" vertical="center" wrapText="1"/>
      <protection locked="0"/>
    </xf>
    <xf numFmtId="0" fontId="1" fillId="7" borderId="56" xfId="0" applyFont="1" applyFill="1" applyBorder="1" applyAlignment="1" applyProtection="1">
      <alignment horizontal="center" vertical="center" wrapText="1"/>
      <protection hidden="1"/>
    </xf>
    <xf numFmtId="0" fontId="0" fillId="7" borderId="64" xfId="0" applyFont="1" applyFill="1" applyBorder="1" applyAlignment="1" applyProtection="1">
      <alignment horizontal="center" vertical="center" wrapText="1"/>
      <protection hidden="1"/>
    </xf>
    <xf numFmtId="0" fontId="42" fillId="20" borderId="87" xfId="0" applyFont="1" applyFill="1" applyBorder="1" applyAlignment="1" applyProtection="1">
      <alignment horizontal="center" vertical="center" wrapText="1"/>
      <protection hidden="1"/>
    </xf>
    <xf numFmtId="0" fontId="42" fillId="20" borderId="88" xfId="0" applyFont="1" applyFill="1" applyBorder="1" applyAlignment="1" applyProtection="1">
      <alignment horizontal="center" vertical="center" wrapText="1"/>
      <protection hidden="1"/>
    </xf>
    <xf numFmtId="0" fontId="1" fillId="20" borderId="64" xfId="0" quotePrefix="1" applyFont="1" applyFill="1" applyBorder="1" applyAlignment="1" applyProtection="1">
      <alignment horizontal="center" vertical="center" wrapText="1"/>
      <protection hidden="1"/>
    </xf>
    <xf numFmtId="0" fontId="1" fillId="20" borderId="273" xfId="0" quotePrefix="1" applyFont="1" applyFill="1" applyBorder="1" applyAlignment="1" applyProtection="1">
      <alignment horizontal="center" vertical="center" wrapText="1"/>
      <protection hidden="1"/>
    </xf>
    <xf numFmtId="0" fontId="1" fillId="20" borderId="55" xfId="0" quotePrefix="1" applyFont="1" applyFill="1" applyBorder="1" applyAlignment="1" applyProtection="1">
      <alignment horizontal="center" vertical="center" wrapText="1"/>
      <protection hidden="1"/>
    </xf>
    <xf numFmtId="0" fontId="42" fillId="20" borderId="77" xfId="0" applyFont="1" applyFill="1" applyBorder="1" applyAlignment="1" applyProtection="1">
      <alignment horizontal="center" vertical="center" wrapText="1"/>
      <protection hidden="1"/>
    </xf>
    <xf numFmtId="0" fontId="42" fillId="20" borderId="78" xfId="0" applyFont="1" applyFill="1" applyBorder="1" applyAlignment="1" applyProtection="1">
      <alignment horizontal="center" vertical="center" wrapText="1"/>
      <protection hidden="1"/>
    </xf>
    <xf numFmtId="0" fontId="42" fillId="21" borderId="77" xfId="0" applyFont="1" applyFill="1" applyBorder="1" applyAlignment="1" applyProtection="1">
      <alignment horizontal="center" vertical="center" wrapText="1"/>
      <protection hidden="1"/>
    </xf>
    <xf numFmtId="0" fontId="42" fillId="21" borderId="78" xfId="0" applyFont="1" applyFill="1" applyBorder="1" applyAlignment="1" applyProtection="1">
      <alignment horizontal="center" vertical="center" wrapText="1"/>
      <protection hidden="1"/>
    </xf>
    <xf numFmtId="0" fontId="58" fillId="10" borderId="85" xfId="0" applyFont="1" applyFill="1" applyBorder="1" applyAlignment="1" applyProtection="1">
      <alignment horizontal="center" vertical="center" wrapText="1"/>
      <protection hidden="1"/>
    </xf>
    <xf numFmtId="0" fontId="58" fillId="10" borderId="86" xfId="0" applyFont="1" applyFill="1" applyBorder="1" applyAlignment="1" applyProtection="1">
      <alignment horizontal="center" vertical="center" wrapText="1"/>
      <protection hidden="1"/>
    </xf>
    <xf numFmtId="0" fontId="42" fillId="20" borderId="64" xfId="0" quotePrefix="1" applyFont="1" applyFill="1" applyBorder="1" applyAlignment="1" applyProtection="1">
      <alignment horizontal="center" vertical="center" wrapText="1"/>
      <protection locked="0"/>
    </xf>
    <xf numFmtId="0" fontId="85" fillId="0" borderId="0" xfId="19" applyFont="1" applyFill="1" applyAlignment="1" applyProtection="1">
      <alignment horizontal="center" vertical="center"/>
      <protection locked="0"/>
    </xf>
    <xf numFmtId="31" fontId="86" fillId="0" borderId="0" xfId="19" applyNumberFormat="1" applyFont="1" applyFill="1" applyAlignment="1" applyProtection="1">
      <alignment horizontal="center"/>
    </xf>
    <xf numFmtId="0" fontId="187" fillId="0" borderId="0" xfId="19" applyFont="1" applyFill="1" applyAlignment="1" applyProtection="1">
      <alignment horizontal="center" vertical="center"/>
      <protection locked="0"/>
    </xf>
    <xf numFmtId="0" fontId="1" fillId="0" borderId="0" xfId="6" applyFont="1" applyFill="1" applyBorder="1" applyAlignment="1" applyProtection="1">
      <alignment horizontal="left" vertical="center" wrapText="1"/>
    </xf>
    <xf numFmtId="0" fontId="185" fillId="5" borderId="269" xfId="25" applyFont="1" applyFill="1" applyBorder="1" applyAlignment="1" applyProtection="1">
      <alignment horizontal="center" vertical="center" wrapText="1"/>
    </xf>
    <xf numFmtId="0" fontId="185" fillId="5" borderId="270" xfId="25" applyFont="1" applyFill="1" applyBorder="1" applyAlignment="1" applyProtection="1">
      <alignment horizontal="center" vertical="center" wrapText="1"/>
    </xf>
    <xf numFmtId="0" fontId="185" fillId="5" borderId="255" xfId="25" applyFont="1" applyFill="1" applyBorder="1" applyAlignment="1" applyProtection="1">
      <alignment horizontal="center" vertical="center" wrapText="1"/>
    </xf>
    <xf numFmtId="0" fontId="186" fillId="5" borderId="258" xfId="25" applyFont="1" applyFill="1" applyBorder="1" applyAlignment="1" applyProtection="1">
      <alignment horizontal="center" vertical="center"/>
    </xf>
    <xf numFmtId="0" fontId="186" fillId="5" borderId="259" xfId="25" applyFont="1" applyFill="1" applyBorder="1" applyAlignment="1" applyProtection="1">
      <alignment horizontal="center" vertical="center"/>
    </xf>
    <xf numFmtId="0" fontId="186" fillId="5" borderId="266" xfId="25" applyFont="1" applyFill="1" applyBorder="1" applyAlignment="1" applyProtection="1">
      <alignment horizontal="center" vertical="center"/>
    </xf>
    <xf numFmtId="0" fontId="185" fillId="5" borderId="255" xfId="25" applyFont="1" applyFill="1" applyBorder="1" applyAlignment="1" applyProtection="1">
      <alignment horizontal="center" vertical="center" wrapText="1"/>
      <protection locked="0"/>
    </xf>
    <xf numFmtId="0" fontId="185" fillId="5" borderId="255" xfId="25" applyFont="1" applyFill="1" applyBorder="1" applyAlignment="1" applyProtection="1">
      <alignment horizontal="center" vertical="center"/>
      <protection locked="0"/>
    </xf>
    <xf numFmtId="0" fontId="186" fillId="5" borderId="261" xfId="25" applyFont="1" applyFill="1" applyBorder="1" applyAlignment="1" applyProtection="1">
      <alignment horizontal="center" vertical="center" wrapText="1"/>
      <protection locked="0"/>
    </xf>
    <xf numFmtId="0" fontId="185" fillId="5" borderId="256" xfId="25" applyFont="1" applyFill="1" applyBorder="1" applyAlignment="1" applyProtection="1">
      <alignment horizontal="center" vertical="center" wrapText="1"/>
      <protection locked="0"/>
    </xf>
    <xf numFmtId="0" fontId="257" fillId="27" borderId="0" xfId="12" applyFont="1" applyFill="1" applyAlignment="1" applyProtection="1">
      <alignment horizontal="center" vertical="center"/>
      <protection hidden="1"/>
    </xf>
    <xf numFmtId="0" fontId="258" fillId="27" borderId="0" xfId="12" applyFont="1" applyFill="1" applyAlignment="1" applyProtection="1">
      <alignment horizontal="center" vertical="center"/>
      <protection hidden="1"/>
    </xf>
    <xf numFmtId="31" fontId="255" fillId="27" borderId="0" xfId="12" applyNumberFormat="1" applyFont="1" applyFill="1" applyAlignment="1" applyProtection="1">
      <alignment horizontal="center" vertical="center"/>
    </xf>
    <xf numFmtId="0" fontId="100" fillId="2" borderId="0" xfId="0" applyFont="1" applyFill="1" applyAlignment="1" applyProtection="1">
      <alignment horizontal="center" vertical="center"/>
      <protection locked="0"/>
    </xf>
    <xf numFmtId="31" fontId="86" fillId="2" borderId="0" xfId="0" applyNumberFormat="1" applyFont="1" applyFill="1" applyAlignment="1" applyProtection="1">
      <alignment horizontal="center" vertical="center"/>
      <protection hidden="1"/>
    </xf>
    <xf numFmtId="0" fontId="89" fillId="14" borderId="189" xfId="0" applyFont="1" applyFill="1" applyBorder="1" applyAlignment="1" applyProtection="1">
      <alignment horizontal="center" vertical="center"/>
      <protection hidden="1"/>
    </xf>
    <xf numFmtId="0" fontId="89" fillId="14" borderId="190" xfId="0" applyFont="1" applyFill="1" applyBorder="1" applyAlignment="1" applyProtection="1">
      <alignment horizontal="center" vertical="center"/>
      <protection hidden="1"/>
    </xf>
    <xf numFmtId="0" fontId="89" fillId="14" borderId="130" xfId="0" applyFont="1" applyFill="1" applyBorder="1" applyAlignment="1" applyProtection="1">
      <alignment horizontal="center" vertical="center"/>
      <protection hidden="1"/>
    </xf>
    <xf numFmtId="0" fontId="89" fillId="14" borderId="201" xfId="0" applyFont="1" applyFill="1" applyBorder="1" applyAlignment="1" applyProtection="1">
      <alignment horizontal="center" vertical="center"/>
      <protection hidden="1"/>
    </xf>
    <xf numFmtId="218" fontId="264" fillId="25" borderId="0" xfId="150" applyFont="1" applyFill="1" applyAlignment="1" applyProtection="1">
      <alignment horizontal="center" vertical="center"/>
    </xf>
    <xf numFmtId="218" fontId="265" fillId="25" borderId="0" xfId="150" applyFont="1" applyFill="1" applyAlignment="1" applyProtection="1">
      <alignment horizontal="center" vertical="center"/>
    </xf>
    <xf numFmtId="31" fontId="255" fillId="25" borderId="0" xfId="150" applyNumberFormat="1" applyFont="1" applyFill="1" applyAlignment="1" applyProtection="1">
      <alignment horizontal="center" vertical="center"/>
    </xf>
    <xf numFmtId="176" fontId="22" fillId="0" borderId="104" xfId="4" applyFont="1" applyFill="1" applyBorder="1" applyAlignment="1">
      <alignment vertical="center" shrinkToFit="1"/>
    </xf>
    <xf numFmtId="176" fontId="22" fillId="0" borderId="105" xfId="4" applyFont="1" applyFill="1" applyBorder="1" applyAlignment="1">
      <alignment vertical="center" shrinkToFit="1"/>
    </xf>
    <xf numFmtId="176" fontId="22" fillId="0" borderId="101" xfId="4" applyFont="1" applyFill="1" applyBorder="1" applyAlignment="1">
      <alignment vertical="center" shrinkToFit="1"/>
    </xf>
    <xf numFmtId="176" fontId="22" fillId="0" borderId="102" xfId="4" applyFont="1" applyFill="1" applyBorder="1" applyAlignment="1">
      <alignment vertical="center" shrinkToFit="1"/>
    </xf>
    <xf numFmtId="176" fontId="22" fillId="0" borderId="103" xfId="4" applyFont="1" applyFill="1" applyBorder="1" applyAlignment="1">
      <alignment vertical="center" shrinkToFit="1"/>
    </xf>
    <xf numFmtId="176" fontId="22" fillId="0" borderId="97" xfId="4" applyFont="1" applyFill="1" applyBorder="1" applyAlignment="1">
      <alignment vertical="center" shrinkToFit="1"/>
    </xf>
    <xf numFmtId="0" fontId="1" fillId="0" borderId="0" xfId="26" applyFill="1" applyBorder="1" applyAlignment="1" applyProtection="1">
      <alignment horizontal="left" vertical="center" wrapText="1"/>
    </xf>
    <xf numFmtId="0" fontId="185" fillId="5" borderId="255" xfId="19" applyFont="1" applyFill="1" applyBorder="1" applyAlignment="1" applyProtection="1">
      <alignment horizontal="center" vertical="center" wrapText="1"/>
    </xf>
    <xf numFmtId="0" fontId="21" fillId="5" borderId="258" xfId="19" applyFont="1" applyFill="1" applyBorder="1" applyAlignment="1" applyProtection="1">
      <alignment horizontal="center" vertical="center"/>
    </xf>
    <xf numFmtId="0" fontId="21" fillId="5" borderId="259" xfId="19" applyFont="1" applyFill="1" applyBorder="1" applyAlignment="1" applyProtection="1">
      <alignment horizontal="center" vertical="center"/>
    </xf>
    <xf numFmtId="0" fontId="21" fillId="5" borderId="266" xfId="19" applyFont="1" applyFill="1" applyBorder="1" applyAlignment="1" applyProtection="1">
      <alignment horizontal="center" vertical="center"/>
    </xf>
    <xf numFmtId="0" fontId="185" fillId="5" borderId="255" xfId="19" applyFont="1" applyFill="1" applyBorder="1" applyAlignment="1" applyProtection="1">
      <alignment horizontal="center" vertical="center" wrapText="1"/>
      <protection locked="0"/>
    </xf>
    <xf numFmtId="0" fontId="185" fillId="5" borderId="255" xfId="19" applyFont="1" applyFill="1" applyBorder="1" applyAlignment="1" applyProtection="1">
      <alignment horizontal="center" vertical="center"/>
      <protection locked="0"/>
    </xf>
    <xf numFmtId="0" fontId="186" fillId="5" borderId="261" xfId="19" applyFont="1" applyFill="1" applyBorder="1" applyAlignment="1" applyProtection="1">
      <alignment horizontal="center" vertical="center" wrapText="1"/>
      <protection locked="0"/>
    </xf>
    <xf numFmtId="0" fontId="185" fillId="5" borderId="256" xfId="19" applyFont="1" applyFill="1" applyBorder="1" applyAlignment="1" applyProtection="1">
      <alignment horizontal="center" vertical="center" wrapText="1"/>
      <protection locked="0"/>
    </xf>
    <xf numFmtId="177" fontId="22" fillId="2" borderId="14" xfId="0" applyNumberFormat="1" applyFont="1" applyFill="1" applyBorder="1">
      <alignment vertical="center"/>
    </xf>
    <xf numFmtId="177" fontId="22" fillId="2" borderId="21" xfId="0" applyNumberFormat="1" applyFont="1" applyFill="1" applyBorder="1">
      <alignment vertical="center"/>
    </xf>
    <xf numFmtId="177" fontId="22" fillId="2" borderId="36" xfId="0" applyNumberFormat="1" applyFont="1" applyFill="1" applyBorder="1">
      <alignment vertical="center"/>
    </xf>
    <xf numFmtId="177" fontId="22" fillId="2" borderId="39" xfId="0" applyNumberFormat="1" applyFont="1" applyFill="1" applyBorder="1">
      <alignment vertical="center"/>
    </xf>
    <xf numFmtId="0" fontId="22" fillId="0" borderId="14" xfId="0" applyNumberFormat="1" applyFont="1" applyFill="1" applyBorder="1" applyAlignment="1">
      <alignment vertical="center"/>
    </xf>
    <xf numFmtId="0" fontId="22" fillId="0" borderId="21" xfId="0" applyNumberFormat="1" applyFont="1" applyFill="1" applyBorder="1" applyAlignment="1">
      <alignment vertical="center"/>
    </xf>
    <xf numFmtId="177" fontId="22" fillId="5" borderId="14" xfId="0" applyNumberFormat="1" applyFont="1" applyFill="1" applyBorder="1">
      <alignment vertical="center"/>
    </xf>
    <xf numFmtId="177" fontId="22" fillId="5" borderId="21" xfId="0" applyNumberFormat="1" applyFont="1" applyFill="1" applyBorder="1">
      <alignment vertical="center"/>
    </xf>
    <xf numFmtId="0" fontId="27" fillId="3" borderId="33" xfId="0" applyFont="1" applyFill="1" applyBorder="1" applyAlignment="1">
      <alignment horizontal="center" vertical="center"/>
    </xf>
    <xf numFmtId="0" fontId="27" fillId="3" borderId="37" xfId="0" applyFont="1" applyFill="1" applyBorder="1" applyAlignment="1">
      <alignment horizontal="center" vertical="center"/>
    </xf>
    <xf numFmtId="177" fontId="32" fillId="5" borderId="20" xfId="0" applyNumberFormat="1" applyFont="1" applyFill="1" applyBorder="1">
      <alignment vertical="center"/>
    </xf>
    <xf numFmtId="177" fontId="32" fillId="5" borderId="29" xfId="0" applyNumberFormat="1" applyFont="1" applyFill="1" applyBorder="1">
      <alignment vertical="center"/>
    </xf>
    <xf numFmtId="177" fontId="32" fillId="5" borderId="14" xfId="0" applyNumberFormat="1" applyFont="1" applyFill="1" applyBorder="1">
      <alignment vertical="center"/>
    </xf>
    <xf numFmtId="177" fontId="32" fillId="5" borderId="21" xfId="0" applyNumberFormat="1" applyFont="1" applyFill="1" applyBorder="1">
      <alignment vertical="center"/>
    </xf>
    <xf numFmtId="177" fontId="22" fillId="2" borderId="28" xfId="0" applyNumberFormat="1" applyFont="1" applyFill="1" applyBorder="1">
      <alignment vertical="center"/>
    </xf>
    <xf numFmtId="177" fontId="22" fillId="2" borderId="38" xfId="0" applyNumberFormat="1" applyFont="1" applyFill="1" applyBorder="1">
      <alignment vertical="center"/>
    </xf>
    <xf numFmtId="0" fontId="18" fillId="25" borderId="296" xfId="131" applyNumberFormat="1" applyFont="1" applyFill="1" applyBorder="1" applyAlignment="1" applyProtection="1">
      <alignment vertical="center" wrapText="1"/>
      <protection locked="0"/>
    </xf>
    <xf numFmtId="0" fontId="233" fillId="25" borderId="296" xfId="133" applyFont="1" applyFill="1" applyBorder="1" applyAlignment="1" applyProtection="1">
      <alignment vertical="center" wrapText="1"/>
      <protection locked="0"/>
    </xf>
    <xf numFmtId="0" fontId="230" fillId="23" borderId="296" xfId="131" applyNumberFormat="1" applyFont="1" applyFill="1" applyBorder="1" applyAlignment="1" applyProtection="1">
      <alignment horizontal="center" vertical="center"/>
      <protection locked="0"/>
    </xf>
    <xf numFmtId="0" fontId="18" fillId="25" borderId="296" xfId="131" applyNumberFormat="1" applyFont="1" applyFill="1" applyBorder="1" applyAlignment="1" applyProtection="1">
      <alignment horizontal="left" vertical="center" wrapText="1"/>
      <protection locked="0"/>
    </xf>
    <xf numFmtId="0" fontId="233" fillId="25" borderId="296" xfId="133" applyFont="1" applyFill="1" applyBorder="1" applyAlignment="1" applyProtection="1">
      <alignment horizontal="left" vertical="center" wrapText="1"/>
      <protection locked="0"/>
    </xf>
    <xf numFmtId="0" fontId="233" fillId="25" borderId="296" xfId="133" applyFont="1" applyFill="1" applyBorder="1" applyAlignment="1" applyProtection="1">
      <alignment vertical="center"/>
      <protection locked="0"/>
    </xf>
    <xf numFmtId="0" fontId="242" fillId="0" borderId="0" xfId="135" applyFont="1" applyFill="1" applyAlignment="1" applyProtection="1">
      <alignment vertical="center" wrapText="1"/>
      <protection locked="0"/>
    </xf>
    <xf numFmtId="0" fontId="243" fillId="0" borderId="0" xfId="135" applyFont="1" applyFill="1" applyAlignment="1" applyProtection="1">
      <alignment vertical="center" wrapText="1"/>
      <protection locked="0"/>
    </xf>
    <xf numFmtId="0" fontId="1" fillId="0" borderId="0" xfId="135" applyFont="1" applyFill="1" applyAlignment="1" applyProtection="1">
      <alignment vertical="center" wrapText="1"/>
      <protection locked="0"/>
    </xf>
    <xf numFmtId="0" fontId="18" fillId="0" borderId="0" xfId="135" applyFont="1" applyFill="1" applyAlignment="1" applyProtection="1">
      <alignment vertical="center" wrapText="1"/>
      <protection locked="0"/>
    </xf>
    <xf numFmtId="0" fontId="5" fillId="0" borderId="0" xfId="135" applyFont="1" applyFill="1" applyAlignment="1" applyProtection="1">
      <alignment vertical="center" wrapText="1"/>
      <protection locked="0"/>
    </xf>
    <xf numFmtId="0" fontId="240" fillId="0" borderId="0" xfId="135" applyFont="1" applyFill="1" applyAlignment="1" applyProtection="1">
      <alignment vertical="center" wrapText="1"/>
      <protection locked="0"/>
    </xf>
    <xf numFmtId="0" fontId="241" fillId="0" borderId="0" xfId="135" applyFont="1" applyFill="1" applyAlignment="1" applyProtection="1">
      <alignment vertical="center" wrapText="1"/>
      <protection locked="0"/>
    </xf>
    <xf numFmtId="0" fontId="58" fillId="0" borderId="0" xfId="134" applyFont="1" applyAlignment="1" applyProtection="1">
      <alignment horizontal="left" wrapText="1"/>
      <protection locked="0"/>
    </xf>
    <xf numFmtId="0" fontId="58" fillId="0" borderId="0" xfId="134" applyFont="1" applyAlignment="1" applyProtection="1">
      <alignment wrapText="1"/>
      <protection locked="0"/>
    </xf>
    <xf numFmtId="0" fontId="34" fillId="0" borderId="299" xfId="136" applyFont="1" applyFill="1" applyBorder="1" applyAlignment="1" applyProtection="1">
      <alignment horizontal="center" vertical="center"/>
      <protection locked="0"/>
    </xf>
    <xf numFmtId="0" fontId="5" fillId="0" borderId="298" xfId="131" applyNumberFormat="1" applyFont="1" applyFill="1" applyBorder="1" applyAlignment="1" applyProtection="1">
      <alignment horizontal="center" vertical="center"/>
      <protection locked="0"/>
    </xf>
    <xf numFmtId="0" fontId="5" fillId="0" borderId="15" xfId="131" applyNumberFormat="1" applyFont="1" applyFill="1" applyBorder="1" applyAlignment="1" applyProtection="1">
      <alignment horizontal="center" vertical="center"/>
      <protection locked="0"/>
    </xf>
    <xf numFmtId="0" fontId="34" fillId="0" borderId="299" xfId="136" applyFont="1" applyFill="1" applyBorder="1" applyAlignment="1" applyProtection="1">
      <alignment horizontal="center" vertical="center" wrapText="1"/>
      <protection locked="0"/>
    </xf>
    <xf numFmtId="0" fontId="34" fillId="0" borderId="301" xfId="136" applyFont="1" applyFill="1" applyBorder="1" applyAlignment="1" applyProtection="1">
      <alignment horizontal="center" vertical="center" wrapText="1"/>
      <protection locked="0"/>
    </xf>
    <xf numFmtId="0" fontId="5" fillId="0" borderId="299" xfId="136" applyFont="1" applyFill="1" applyBorder="1" applyAlignment="1" applyProtection="1">
      <alignment horizontal="center" vertical="center" wrapText="1"/>
      <protection locked="0"/>
    </xf>
    <xf numFmtId="0" fontId="34" fillId="0" borderId="300" xfId="136" applyFont="1" applyFill="1" applyBorder="1" applyAlignment="1" applyProtection="1">
      <alignment horizontal="center" vertical="center" wrapText="1"/>
      <protection locked="0"/>
    </xf>
    <xf numFmtId="0" fontId="34" fillId="0" borderId="17" xfId="136" applyFont="1" applyFill="1" applyBorder="1" applyAlignment="1" applyProtection="1">
      <alignment horizontal="center" vertical="center" wrapText="1"/>
      <protection locked="0"/>
    </xf>
    <xf numFmtId="0" fontId="7" fillId="0" borderId="300" xfId="138" applyFont="1" applyBorder="1" applyAlignment="1" applyProtection="1">
      <alignment horizontal="center" vertical="center" wrapText="1"/>
      <protection locked="0"/>
    </xf>
    <xf numFmtId="0" fontId="7" fillId="0" borderId="298" xfId="138" applyFont="1" applyBorder="1" applyAlignment="1" applyProtection="1">
      <alignment horizontal="center" vertical="center" wrapText="1"/>
      <protection locked="0"/>
    </xf>
    <xf numFmtId="0" fontId="1" fillId="0" borderId="304" xfId="138" applyFont="1" applyBorder="1" applyAlignment="1" applyProtection="1">
      <alignment horizontal="center" vertical="center" wrapText="1"/>
      <protection locked="0"/>
    </xf>
    <xf numFmtId="0" fontId="1" fillId="0" borderId="302" xfId="138" applyFont="1" applyBorder="1" applyAlignment="1" applyProtection="1">
      <alignment horizontal="center" vertical="center" wrapText="1"/>
      <protection locked="0"/>
    </xf>
    <xf numFmtId="0" fontId="1" fillId="0" borderId="17" xfId="138" applyFont="1" applyBorder="1" applyAlignment="1" applyProtection="1">
      <alignment horizontal="center" vertical="center" wrapText="1"/>
      <protection locked="0"/>
    </xf>
    <xf numFmtId="0" fontId="1" fillId="0" borderId="15" xfId="138" applyFont="1" applyBorder="1" applyAlignment="1" applyProtection="1">
      <alignment horizontal="center" vertical="center" wrapText="1"/>
      <protection locked="0"/>
    </xf>
    <xf numFmtId="0" fontId="5" fillId="0" borderId="307" xfId="138" applyFont="1" applyBorder="1" applyAlignment="1" applyProtection="1">
      <alignment horizontal="center" vertical="center" wrapText="1"/>
      <protection locked="0"/>
    </xf>
    <xf numFmtId="0" fontId="5" fillId="0" borderId="305" xfId="138" applyFont="1" applyBorder="1" applyAlignment="1" applyProtection="1">
      <alignment horizontal="center" vertical="center" wrapText="1"/>
      <protection locked="0"/>
    </xf>
    <xf numFmtId="0" fontId="1" fillId="0" borderId="299" xfId="131" applyNumberFormat="1" applyFont="1" applyFill="1" applyBorder="1" applyAlignment="1" applyProtection="1">
      <alignment horizontal="center" vertical="center"/>
      <protection locked="0"/>
    </xf>
    <xf numFmtId="0" fontId="1" fillId="0" borderId="300" xfId="131" applyNumberFormat="1" applyFont="1" applyFill="1" applyBorder="1" applyAlignment="1" applyProtection="1">
      <alignment horizontal="center" vertical="center"/>
      <protection locked="0"/>
    </xf>
    <xf numFmtId="0" fontId="191" fillId="0" borderId="0" xfId="131" applyNumberFormat="1" applyFont="1" applyFill="1" applyBorder="1" applyAlignment="1" applyProtection="1">
      <alignment vertical="center" wrapText="1"/>
      <protection locked="0"/>
    </xf>
    <xf numFmtId="0" fontId="251" fillId="0" borderId="0" xfId="133" applyFont="1" applyAlignment="1" applyProtection="1">
      <alignment vertical="center" wrapText="1"/>
      <protection locked="0"/>
    </xf>
  </cellXfs>
  <cellStyles count="157">
    <cellStyle name="Normal 2" xfId="136"/>
    <cellStyle name="百分比" xfId="7" builtinId="5"/>
    <cellStyle name="百分比 2 2 2" xfId="149"/>
    <cellStyle name="百分比 3" xfId="142"/>
    <cellStyle name="差_上市公司合并报表模板_111213试用版" xfId="21"/>
    <cellStyle name="差_上市公司合并报表模板_111213试用版 2" xfId="22"/>
    <cellStyle name="常规" xfId="0" builtinId="0"/>
    <cellStyle name="常规 10" xfId="19"/>
    <cellStyle name="常规 10 2" xfId="20"/>
    <cellStyle name="常规 11" xfId="23"/>
    <cellStyle name="常规 11 2" xfId="138"/>
    <cellStyle name="常规 11 3" xfId="25"/>
    <cellStyle name="常规 11 3 2" xfId="26"/>
    <cellStyle name="常规 11 3 3" xfId="6"/>
    <cellStyle name="常规 12" xfId="9"/>
    <cellStyle name="常规 13" xfId="27"/>
    <cellStyle name="常规 14" xfId="81"/>
    <cellStyle name="常规 15" xfId="90"/>
    <cellStyle name="常规 16" xfId="100"/>
    <cellStyle name="常规 17" xfId="133"/>
    <cellStyle name="常规 2" xfId="28"/>
    <cellStyle name="常规 2 2" xfId="16"/>
    <cellStyle name="常规 2 2 10" xfId="24"/>
    <cellStyle name="常规 2 2 11" xfId="83"/>
    <cellStyle name="常规 2 2 12" xfId="88"/>
    <cellStyle name="常规 2 2 13" xfId="84"/>
    <cellStyle name="常规 2 2 2" xfId="12"/>
    <cellStyle name="常规 2 2 2 2" xfId="1"/>
    <cellStyle name="常规 2 2 2 2 2" xfId="29"/>
    <cellStyle name="常规 2 2 2 2 2 2" xfId="153"/>
    <cellStyle name="常规 2 2 2 2 3" xfId="146"/>
    <cellStyle name="常规 2 2 2 3" xfId="30"/>
    <cellStyle name="常规 2 2 2 3 2" xfId="31"/>
    <cellStyle name="常规 2 2 2 4" xfId="11"/>
    <cellStyle name="常规 2 2 2 4 2" xfId="32"/>
    <cellStyle name="常规 2 2 2 4 3" xfId="150"/>
    <cellStyle name="常规 2 2 2 5" xfId="10"/>
    <cellStyle name="常规 2 2 2 5 2" xfId="33"/>
    <cellStyle name="常规 2 2 2 6" xfId="13"/>
    <cellStyle name="常规 2 2 2 6 2" xfId="34"/>
    <cellStyle name="常规 2 2 2 7" xfId="14"/>
    <cellStyle name="常规 2 2 2 8" xfId="15"/>
    <cellStyle name="常规 2 2 3" xfId="35"/>
    <cellStyle name="常规 2 2 3 2" xfId="36"/>
    <cellStyle name="常规 2 2 3 2 2" xfId="37"/>
    <cellStyle name="常规 2 2 3 3" xfId="38"/>
    <cellStyle name="常规 2 2 3 3 2" xfId="39"/>
    <cellStyle name="常规 2 2 3 4" xfId="41"/>
    <cellStyle name="常规 2 2 3 4 2" xfId="42"/>
    <cellStyle name="常规 2 2 3 5" xfId="43"/>
    <cellStyle name="常规 2 2 3 5 2" xfId="44"/>
    <cellStyle name="常规 2 2 3 6" xfId="45"/>
    <cellStyle name="常规 2 2 3 6 2" xfId="18"/>
    <cellStyle name="常规 2 2 3 7" xfId="46"/>
    <cellStyle name="常规 2 2 3 8" xfId="47"/>
    <cellStyle name="常规 2 2 4" xfId="2"/>
    <cellStyle name="常规 2 2 4 2" xfId="48"/>
    <cellStyle name="常规 2 2 5" xfId="49"/>
    <cellStyle name="常规 2 2 5 2" xfId="50"/>
    <cellStyle name="常规 2 2 6" xfId="51"/>
    <cellStyle name="常规 2 2 6 2" xfId="52"/>
    <cellStyle name="常规 2 2 7" xfId="53"/>
    <cellStyle name="常规 2 2 7 2" xfId="54"/>
    <cellStyle name="常规 2 2 8" xfId="55"/>
    <cellStyle name="常规 2 2 8 2" xfId="17"/>
    <cellStyle name="常规 2 2 9" xfId="56"/>
    <cellStyle name="常规 2 3" xfId="57"/>
    <cellStyle name="常规 3" xfId="58"/>
    <cellStyle name="常规 3 2" xfId="59"/>
    <cellStyle name="常规 3 2 2" xfId="60"/>
    <cellStyle name="常规 3 2 3" xfId="134"/>
    <cellStyle name="常规 3 2 3 2" xfId="140"/>
    <cellStyle name="常规 3 3" xfId="61"/>
    <cellStyle name="常规 3 4" xfId="132"/>
    <cellStyle name="常规 4" xfId="62"/>
    <cellStyle name="常规 4 2" xfId="63"/>
    <cellStyle name="常规 5" xfId="64"/>
    <cellStyle name="常规 6" xfId="8"/>
    <cellStyle name="常规 6 2" xfId="65"/>
    <cellStyle name="常规 6 3" xfId="66"/>
    <cellStyle name="常规 7" xfId="67"/>
    <cellStyle name="常规 8" xfId="68"/>
    <cellStyle name="常规 9" xfId="69"/>
    <cellStyle name="常规_Sheet1" xfId="139"/>
    <cellStyle name="常规_WOOKSHEET2" xfId="131"/>
    <cellStyle name="常规_风险评估底稿（2006本所制订）" xfId="135"/>
    <cellStyle name="常规_港务电子会计报表格式(6-7)_个别报表_200712_三明齿轮" xfId="143"/>
    <cellStyle name="常规_港务电子会计报表格式(6-7)_个别报表_200712_永安轴承2" xfId="148"/>
    <cellStyle name="常规_港务电子会计报表格式(6-7)_个别报表_200712_永安轴承2 2" xfId="144"/>
    <cellStyle name="超链接" xfId="5" builtinId="8"/>
    <cellStyle name="好_上市公司合并报表模板_111213试用版" xfId="70"/>
    <cellStyle name="好_上市公司合并报表模板_111213试用版 2" xfId="71"/>
    <cellStyle name="普通_附2" xfId="72"/>
    <cellStyle name="千位分隔" xfId="4" builtinId="3"/>
    <cellStyle name="千位分隔 2" xfId="73"/>
    <cellStyle name="千位分隔 2 2" xfId="91"/>
    <cellStyle name="千位分隔 2 2 2 2" xfId="154"/>
    <cellStyle name="千位分隔 2 2 3" xfId="147"/>
    <cellStyle name="千位分隔 2 2 4" xfId="151"/>
    <cellStyle name="千位分隔 2 2 4 5" xfId="156"/>
    <cellStyle name="千位分隔 2 3" xfId="120"/>
    <cellStyle name="千位分隔 2 4" xfId="123"/>
    <cellStyle name="千位分隔 2 4 2" xfId="145"/>
    <cellStyle name="千位分隔 2 5" xfId="74"/>
    <cellStyle name="千位分隔 2 5 2" xfId="75"/>
    <cellStyle name="千位分隔 2 5 2 2" xfId="93"/>
    <cellStyle name="千位分隔 2 5 2 3" xfId="102"/>
    <cellStyle name="千位分隔 2 5 2 4" xfId="109"/>
    <cellStyle name="千位分隔 2 5 2 5" xfId="116"/>
    <cellStyle name="千位分隔 2 5 2 6" xfId="125"/>
    <cellStyle name="千位分隔 2 5 3" xfId="92"/>
    <cellStyle name="千位分隔 2 5 4" xfId="101"/>
    <cellStyle name="千位分隔 2 5 5" xfId="108"/>
    <cellStyle name="千位分隔 2 5 6" xfId="124"/>
    <cellStyle name="千位分隔 2 6" xfId="3"/>
    <cellStyle name="千位分隔 2 6 2" xfId="82"/>
    <cellStyle name="千位分隔 2 6 3" xfId="89"/>
    <cellStyle name="千位分隔 2 6 4" xfId="99"/>
    <cellStyle name="千位分隔 2 6 5" xfId="121"/>
    <cellStyle name="千位分隔 3" xfId="76"/>
    <cellStyle name="千位分隔 3 2" xfId="94"/>
    <cellStyle name="千位分隔 3 2 2" xfId="141"/>
    <cellStyle name="千位分隔 3 2 3" xfId="152"/>
    <cellStyle name="千位分隔 3 3" xfId="103"/>
    <cellStyle name="千位分隔 3 4" xfId="77"/>
    <cellStyle name="千位分隔 3 4 2" xfId="95"/>
    <cellStyle name="千位分隔 3 4 3" xfId="104"/>
    <cellStyle name="千位分隔 3 4 4" xfId="111"/>
    <cellStyle name="千位分隔 3 4 5" xfId="118"/>
    <cellStyle name="千位分隔 3 4 6" xfId="127"/>
    <cellStyle name="千位分隔 3 5" xfId="110"/>
    <cellStyle name="千位分隔 3 6" xfId="126"/>
    <cellStyle name="千位分隔 6" xfId="137"/>
    <cellStyle name="千位分隔 7" xfId="78"/>
    <cellStyle name="千位分隔 7 2" xfId="40"/>
    <cellStyle name="千位分隔 7 2 2" xfId="87"/>
    <cellStyle name="千位分隔 7 2 3" xfId="86"/>
    <cellStyle name="千位分隔 7 2 4" xfId="85"/>
    <cellStyle name="千位分隔 7 2 5" xfId="119"/>
    <cellStyle name="千位分隔 7 2 6" xfId="122"/>
    <cellStyle name="千位分隔 7 3" xfId="96"/>
    <cellStyle name="千位分隔 7 4" xfId="105"/>
    <cellStyle name="千位分隔 7 5" xfId="112"/>
    <cellStyle name="千位分隔 7 6" xfId="128"/>
    <cellStyle name="千位分隔 8" xfId="79"/>
    <cellStyle name="千位分隔 8 2" xfId="80"/>
    <cellStyle name="千位分隔 8 2 2" xfId="98"/>
    <cellStyle name="千位分隔 8 2 3" xfId="107"/>
    <cellStyle name="千位分隔 8 2 4" xfId="114"/>
    <cellStyle name="千位分隔 8 2 5" xfId="117"/>
    <cellStyle name="千位分隔 8 2 6" xfId="130"/>
    <cellStyle name="千位分隔 8 3" xfId="97"/>
    <cellStyle name="千位分隔 8 4" xfId="106"/>
    <cellStyle name="千位分隔 8 5" xfId="113"/>
    <cellStyle name="千位分隔 8 6" xfId="115"/>
    <cellStyle name="千位分隔 8 7" xfId="129"/>
    <cellStyle name="千位分隔 9" xfId="155"/>
  </cellStyles>
  <dxfs count="4120">
    <dxf>
      <fill>
        <patternFill patternType="solid">
          <bgColor indexed="13"/>
        </patternFill>
      </fill>
    </dxf>
    <dxf>
      <fill>
        <patternFill patternType="solid">
          <bgColor indexed="1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dxf>
    <dxf>
      <font>
        <b/>
        <i val="0"/>
      </font>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val="0"/>
        <color indexed="10"/>
      </font>
    </dxf>
    <dxf>
      <font>
        <b/>
        <i/>
        <strike val="0"/>
        <color indexed="10"/>
      </font>
      <fill>
        <patternFill patternType="solid">
          <bgColor indexed="43"/>
        </patternFill>
      </fill>
    </dxf>
    <dxf>
      <font>
        <b val="0"/>
        <i val="0"/>
      </font>
      <fill>
        <patternFill patternType="none"/>
      </fill>
      <border>
        <bottom style="thin">
          <color indexed="45"/>
        </bottom>
      </border>
    </dxf>
    <dxf>
      <font>
        <b/>
        <i val="0"/>
      </font>
      <fill>
        <patternFill patternType="solid">
          <bgColor indexed="52"/>
        </patternFill>
      </fill>
    </dxf>
    <dxf>
      <font>
        <b/>
        <i val="0"/>
      </font>
      <fill>
        <patternFill patternType="solid">
          <bgColor indexed="53"/>
        </patternFill>
      </fill>
    </dxf>
    <dxf>
      <font>
        <b/>
        <i/>
        <strike val="0"/>
        <color indexed="10"/>
      </font>
      <fill>
        <patternFill patternType="solid">
          <bgColor indexed="43"/>
        </patternFill>
      </fill>
    </dxf>
    <dxf>
      <font>
        <b/>
        <i/>
        <strike val="0"/>
        <color indexed="10"/>
      </font>
      <fill>
        <patternFill patternType="solid">
          <bgColor indexed="43"/>
        </patternFill>
      </fill>
    </dxf>
    <dxf>
      <font>
        <b/>
        <i val="0"/>
      </font>
      <fill>
        <patternFill patternType="solid">
          <bgColor indexed="52"/>
        </patternFill>
      </fill>
    </dxf>
    <dxf>
      <font>
        <b/>
        <i val="0"/>
      </font>
      <fill>
        <patternFill patternType="solid">
          <bgColor indexed="53"/>
        </patternFill>
      </fill>
    </dxf>
    <dxf>
      <border>
        <bottom style="thin">
          <color indexed="45"/>
        </bottom>
      </border>
    </dxf>
    <dxf>
      <font>
        <b/>
        <i/>
        <strike val="0"/>
        <color indexed="10"/>
      </font>
      <fill>
        <patternFill patternType="solid">
          <bgColor indexed="43"/>
        </patternFill>
      </fill>
    </dxf>
    <dxf>
      <font>
        <b/>
        <i/>
        <strike val="0"/>
        <color indexed="10"/>
      </font>
      <fill>
        <patternFill patternType="solid">
          <bgColor indexed="43"/>
        </patternFill>
      </fill>
    </dxf>
    <dxf>
      <font>
        <b/>
        <i/>
        <strike val="0"/>
        <color indexed="10"/>
      </font>
      <fill>
        <patternFill patternType="solid">
          <bgColor indexed="43"/>
        </patternFill>
      </fill>
    </dxf>
    <dxf>
      <font>
        <b/>
        <i/>
        <color indexed="10"/>
      </font>
      <fill>
        <patternFill patternType="solid">
          <bgColor indexed="43"/>
        </patternFill>
      </fill>
    </dxf>
    <dxf>
      <fill>
        <patternFill>
          <bgColor rgb="FFB6CAEA"/>
        </patternFill>
      </fill>
    </dxf>
    <dxf>
      <fill>
        <patternFill>
          <bgColor rgb="FFFFFF00"/>
        </patternFill>
      </fill>
    </dxf>
    <dxf>
      <font>
        <b/>
        <i/>
        <strike/>
        <u val="double"/>
        <color rgb="FFFF0000"/>
      </font>
      <fill>
        <patternFill>
          <bgColor rgb="FFFFFF00"/>
        </patternFill>
      </fill>
    </dxf>
    <dxf>
      <font>
        <b/>
        <i/>
        <color rgb="FFFF0000"/>
      </font>
      <fill>
        <patternFill>
          <bgColor rgb="FFFFFF00"/>
        </patternFill>
      </fill>
    </dxf>
    <dxf>
      <font>
        <b/>
        <i val="0"/>
        <strike val="0"/>
        <color indexed="10"/>
      </font>
      <fill>
        <patternFill patternType="solid">
          <bgColor indexed="43"/>
        </patternFill>
      </fill>
    </dxf>
    <dxf>
      <font>
        <b/>
        <i val="0"/>
        <color indexed="10"/>
      </font>
      <fill>
        <patternFill patternType="solid">
          <bgColor indexed="1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i/>
        <strike val="0"/>
        <condense val="0"/>
        <extend val="0"/>
        <color indexed="10"/>
      </font>
      <fill>
        <patternFill>
          <bgColor indexed="43"/>
        </patternFill>
      </fill>
    </dxf>
    <dxf>
      <fill>
        <patternFill>
          <bgColor indexed="22"/>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theme="0"/>
      </font>
      <fill>
        <patternFill>
          <bgColor rgb="FF0000FF"/>
        </patternFill>
      </fill>
    </dxf>
    <dxf>
      <font>
        <b/>
        <i val="0"/>
        <color theme="0"/>
      </font>
      <fill>
        <patternFill>
          <bgColor rgb="FF00FF00"/>
        </patternFill>
      </fill>
    </dxf>
    <dxf>
      <font>
        <b/>
        <i val="0"/>
        <strike/>
        <color theme="0"/>
      </font>
      <fill>
        <patternFill>
          <bgColor rgb="FFFF00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val="0"/>
        <color rgb="FFFF0000"/>
      </font>
      <fill>
        <patternFill patternType="solid">
          <bgColor rgb="FFFFFF00"/>
        </patternFill>
      </fill>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strike val="0"/>
        <color rgb="FFFF0000"/>
      </font>
      <fill>
        <patternFill>
          <bgColor rgb="FFFFFF00"/>
        </patternFill>
      </fill>
    </dxf>
    <dxf>
      <font>
        <strike val="0"/>
        <color rgb="FF0000FF"/>
      </font>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strike val="0"/>
        <u/>
        <color indexed="10"/>
      </font>
      <fill>
        <patternFill patternType="solid">
          <bgColor indexed="13"/>
        </patternFill>
      </fill>
    </dxf>
    <dxf>
      <font>
        <strike val="0"/>
        <u/>
        <color indexed="12"/>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strike val="0"/>
        <color indexed="10"/>
      </font>
      <fill>
        <patternFill patternType="solid">
          <bgColor indexed="13"/>
        </patternFill>
      </fill>
    </dxf>
    <dxf>
      <font>
        <strike val="0"/>
        <color indexed="12"/>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strike val="0"/>
        <color indexed="10"/>
      </font>
      <fill>
        <patternFill patternType="solid">
          <bgColor indexed="13"/>
        </patternFill>
      </fill>
      <border>
        <bottom style="dashDot">
          <color indexed="60"/>
        </bottom>
      </border>
    </dxf>
    <dxf>
      <font>
        <b/>
        <i val="0"/>
        <strike val="0"/>
        <color indexed="12"/>
      </font>
      <border>
        <bottom style="dashDot">
          <color indexed="60"/>
        </bottom>
      </border>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val="0"/>
        <i/>
      </font>
    </dxf>
    <dxf>
      <font>
        <color rgb="FF0000FF"/>
      </font>
      <fill>
        <patternFill patternType="none"/>
      </fill>
    </dxf>
    <dxf>
      <font>
        <b/>
        <i/>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ill>
        <patternFill patternType="solid">
          <bgColor rgb="FFFFFF00"/>
        </patternFill>
      </fill>
    </dxf>
    <dxf>
      <font>
        <b/>
        <i/>
        <color rgb="FFFF0000"/>
      </font>
    </dxf>
    <dxf>
      <fill>
        <patternFill patternType="solid">
          <bgColor rgb="FFFFFF00"/>
        </patternFill>
      </fill>
    </dxf>
    <dxf>
      <font>
        <b/>
        <i/>
        <color rgb="FFFF0000"/>
      </font>
    </dxf>
    <dxf>
      <fill>
        <patternFill patternType="solid">
          <bgColor rgb="FFFFFF00"/>
        </patternFill>
      </fill>
    </dxf>
    <dxf>
      <font>
        <b/>
        <i/>
        <color rgb="FFFF0000"/>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b/>
        <i val="0"/>
        <color rgb="FFFF0000"/>
      </font>
      <fill>
        <patternFill patternType="solid">
          <bgColor rgb="FFFFFF00"/>
        </patternFill>
      </fill>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color indexed="10"/>
      </font>
    </dxf>
    <dxf>
      <font>
        <color indexed="18"/>
      </font>
    </dxf>
    <dxf>
      <font>
        <b/>
        <i val="0"/>
        <color rgb="FFFF0000"/>
      </font>
      <fill>
        <patternFill patternType="solid">
          <bgColor rgb="FFFFFF00"/>
        </patternFill>
      </fill>
    </dxf>
    <dxf>
      <font>
        <b val="0"/>
        <i/>
      </font>
    </dxf>
    <dxf>
      <font>
        <color rgb="FF0000FF"/>
      </font>
      <fill>
        <patternFill patternType="none"/>
      </fill>
    </dxf>
    <dxf>
      <font>
        <b/>
        <i/>
        <color rgb="FFFF0000"/>
      </font>
      <fill>
        <patternFill patternType="solid">
          <bgColor rgb="FFFFFF00"/>
        </patternFill>
      </fill>
    </dxf>
    <dxf>
      <font>
        <b/>
        <i val="0"/>
        <color rgb="FFFF0000"/>
      </font>
      <fill>
        <patternFill patternType="solid">
          <bgColor rgb="FFFFFF00"/>
        </patternFill>
      </fill>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color indexed="10"/>
      </font>
    </dxf>
    <dxf>
      <font>
        <color indexed="18"/>
      </font>
    </dxf>
    <dxf>
      <font>
        <b/>
        <i val="0"/>
        <color rgb="FFFF0000"/>
      </font>
      <fill>
        <patternFill patternType="solid">
          <bgColor rgb="FFFFFF00"/>
        </patternFill>
      </fill>
    </dxf>
    <dxf>
      <font>
        <b/>
        <i val="0"/>
        <strike val="0"/>
        <color indexed="10"/>
      </font>
      <fill>
        <patternFill patternType="solid">
          <bgColor indexed="62"/>
        </patternFill>
      </fill>
      <border>
        <bottom style="dashDot">
          <color indexed="60"/>
        </bottom>
      </border>
    </dxf>
    <dxf>
      <font>
        <b/>
        <i val="0"/>
        <strike val="0"/>
        <color indexed="12"/>
      </font>
      <fill>
        <patternFill patternType="solid">
          <bgColor indexed="62"/>
        </patternFill>
      </fill>
      <border>
        <bottom style="dashDot">
          <color indexed="60"/>
        </bottom>
      </border>
    </dxf>
    <dxf>
      <font>
        <b/>
        <i/>
        <strike val="0"/>
        <color indexed="10"/>
      </font>
      <fill>
        <patternFill patternType="solid">
          <bgColor indexed="13"/>
        </patternFill>
      </fill>
      <border>
        <bottom style="dashDot">
          <color indexed="60"/>
        </bottom>
      </border>
    </dxf>
    <dxf>
      <font>
        <b/>
        <i val="0"/>
        <strike val="0"/>
        <color indexed="20"/>
      </font>
      <border>
        <bottom style="dashDot">
          <color indexed="60"/>
        </bottom>
      </border>
    </dxf>
    <dxf>
      <font>
        <b/>
        <i/>
        <color indexed="10"/>
      </font>
      <fill>
        <patternFill patternType="solid">
          <bgColor indexed="43"/>
        </patternFill>
      </fill>
    </dxf>
    <dxf>
      <fill>
        <patternFill patternType="solid">
          <bgColor indexed="2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C4D9F9"/>
      <rgbColor rgb="0000FFFF"/>
      <rgbColor rgb="00800000"/>
      <rgbColor rgb="00008000"/>
      <rgbColor rgb="00000080"/>
      <rgbColor rgb="00808000"/>
      <rgbColor rgb="00800080"/>
      <rgbColor rgb="00008080"/>
      <rgbColor rgb="00EFEBDE"/>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BCCCE4"/>
      <rgbColor rgb="00E3F1F3"/>
      <rgbColor rgb="00EAEAEA"/>
      <rgbColor rgb="007E7D68"/>
      <rgbColor rgb="00969696"/>
      <rgbColor rgb="00003366"/>
      <rgbColor rgb="00339966"/>
      <rgbColor rgb="00003300"/>
      <rgbColor rgb="00333300"/>
      <rgbColor rgb="004F4A76"/>
      <rgbColor rgb="00993366"/>
      <rgbColor rgb="00EFEBDE"/>
      <rgbColor rgb="00333333"/>
    </indexedColors>
    <mruColors>
      <color rgb="FF0000FF"/>
      <color rgb="FFFF0000"/>
      <color rgb="FF00FF00"/>
      <color rgb="FF009CFF"/>
      <color rgb="FF009C9C"/>
      <color rgb="FF009CDE"/>
      <color rgb="FF3F9C35"/>
      <color rgb="FFCCC0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7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externalLink" Target="externalLinks/externalLink3.xml"/><Relationship Id="rId63" Type="http://schemas.openxmlformats.org/officeDocument/2006/relationships/externalLink" Target="externalLinks/externalLink19.xml"/><Relationship Id="rId68" Type="http://schemas.openxmlformats.org/officeDocument/2006/relationships/externalLink" Target="externalLinks/externalLink24.xml"/><Relationship Id="rId84" Type="http://schemas.openxmlformats.org/officeDocument/2006/relationships/externalLink" Target="externalLinks/externalLink40.xml"/><Relationship Id="rId89" Type="http://schemas.openxmlformats.org/officeDocument/2006/relationships/externalLink" Target="externalLinks/externalLink45.xml"/><Relationship Id="rId112" Type="http://schemas.openxmlformats.org/officeDocument/2006/relationships/externalLink" Target="externalLinks/externalLink68.xml"/><Relationship Id="rId16" Type="http://schemas.openxmlformats.org/officeDocument/2006/relationships/worksheet" Target="worksheets/sheet16.xml"/><Relationship Id="rId107" Type="http://schemas.openxmlformats.org/officeDocument/2006/relationships/externalLink" Target="externalLinks/externalLink6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9.xml"/><Relationship Id="rId58" Type="http://schemas.openxmlformats.org/officeDocument/2006/relationships/externalLink" Target="externalLinks/externalLink14.xml"/><Relationship Id="rId74" Type="http://schemas.openxmlformats.org/officeDocument/2006/relationships/externalLink" Target="externalLinks/externalLink30.xml"/><Relationship Id="rId79" Type="http://schemas.openxmlformats.org/officeDocument/2006/relationships/externalLink" Target="externalLinks/externalLink35.xml"/><Relationship Id="rId102" Type="http://schemas.openxmlformats.org/officeDocument/2006/relationships/externalLink" Target="externalLinks/externalLink58.xml"/><Relationship Id="rId123" Type="http://schemas.openxmlformats.org/officeDocument/2006/relationships/externalLink" Target="externalLinks/externalLink79.xml"/><Relationship Id="rId128"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externalLink" Target="externalLinks/externalLink46.xml"/><Relationship Id="rId95" Type="http://schemas.openxmlformats.org/officeDocument/2006/relationships/externalLink" Target="externalLinks/externalLink5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4.xml"/><Relationship Id="rId56" Type="http://schemas.openxmlformats.org/officeDocument/2006/relationships/externalLink" Target="externalLinks/externalLink12.xml"/><Relationship Id="rId64" Type="http://schemas.openxmlformats.org/officeDocument/2006/relationships/externalLink" Target="externalLinks/externalLink20.xml"/><Relationship Id="rId69" Type="http://schemas.openxmlformats.org/officeDocument/2006/relationships/externalLink" Target="externalLinks/externalLink25.xml"/><Relationship Id="rId77" Type="http://schemas.openxmlformats.org/officeDocument/2006/relationships/externalLink" Target="externalLinks/externalLink33.xml"/><Relationship Id="rId100" Type="http://schemas.openxmlformats.org/officeDocument/2006/relationships/externalLink" Target="externalLinks/externalLink56.xml"/><Relationship Id="rId105" Type="http://schemas.openxmlformats.org/officeDocument/2006/relationships/externalLink" Target="externalLinks/externalLink61.xml"/><Relationship Id="rId113" Type="http://schemas.openxmlformats.org/officeDocument/2006/relationships/externalLink" Target="externalLinks/externalLink69.xml"/><Relationship Id="rId118" Type="http://schemas.openxmlformats.org/officeDocument/2006/relationships/externalLink" Target="externalLinks/externalLink74.xml"/><Relationship Id="rId12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7.xml"/><Relationship Id="rId72" Type="http://schemas.openxmlformats.org/officeDocument/2006/relationships/externalLink" Target="externalLinks/externalLink28.xml"/><Relationship Id="rId80" Type="http://schemas.openxmlformats.org/officeDocument/2006/relationships/externalLink" Target="externalLinks/externalLink36.xml"/><Relationship Id="rId85" Type="http://schemas.openxmlformats.org/officeDocument/2006/relationships/externalLink" Target="externalLinks/externalLink41.xml"/><Relationship Id="rId93" Type="http://schemas.openxmlformats.org/officeDocument/2006/relationships/externalLink" Target="externalLinks/externalLink49.xml"/><Relationship Id="rId98" Type="http://schemas.openxmlformats.org/officeDocument/2006/relationships/externalLink" Target="externalLinks/externalLink54.xml"/><Relationship Id="rId121" Type="http://schemas.openxmlformats.org/officeDocument/2006/relationships/externalLink" Target="externalLinks/externalLink7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59" Type="http://schemas.openxmlformats.org/officeDocument/2006/relationships/externalLink" Target="externalLinks/externalLink15.xml"/><Relationship Id="rId67" Type="http://schemas.openxmlformats.org/officeDocument/2006/relationships/externalLink" Target="externalLinks/externalLink23.xml"/><Relationship Id="rId103" Type="http://schemas.openxmlformats.org/officeDocument/2006/relationships/externalLink" Target="externalLinks/externalLink59.xml"/><Relationship Id="rId108" Type="http://schemas.openxmlformats.org/officeDocument/2006/relationships/externalLink" Target="externalLinks/externalLink64.xml"/><Relationship Id="rId116" Type="http://schemas.openxmlformats.org/officeDocument/2006/relationships/externalLink" Target="externalLinks/externalLink72.xml"/><Relationship Id="rId124" Type="http://schemas.openxmlformats.org/officeDocument/2006/relationships/externalLink" Target="externalLinks/externalLink80.xml"/><Relationship Id="rId12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0.xml"/><Relationship Id="rId62" Type="http://schemas.openxmlformats.org/officeDocument/2006/relationships/externalLink" Target="externalLinks/externalLink18.xml"/><Relationship Id="rId70" Type="http://schemas.openxmlformats.org/officeDocument/2006/relationships/externalLink" Target="externalLinks/externalLink26.xml"/><Relationship Id="rId75" Type="http://schemas.openxmlformats.org/officeDocument/2006/relationships/externalLink" Target="externalLinks/externalLink31.xml"/><Relationship Id="rId83" Type="http://schemas.openxmlformats.org/officeDocument/2006/relationships/externalLink" Target="externalLinks/externalLink39.xml"/><Relationship Id="rId88" Type="http://schemas.openxmlformats.org/officeDocument/2006/relationships/externalLink" Target="externalLinks/externalLink44.xml"/><Relationship Id="rId91" Type="http://schemas.openxmlformats.org/officeDocument/2006/relationships/externalLink" Target="externalLinks/externalLink47.xml"/><Relationship Id="rId96" Type="http://schemas.openxmlformats.org/officeDocument/2006/relationships/externalLink" Target="externalLinks/externalLink52.xml"/><Relationship Id="rId111" Type="http://schemas.openxmlformats.org/officeDocument/2006/relationships/externalLink" Target="externalLinks/externalLink6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5.xml"/><Relationship Id="rId57" Type="http://schemas.openxmlformats.org/officeDocument/2006/relationships/externalLink" Target="externalLinks/externalLink13.xml"/><Relationship Id="rId106" Type="http://schemas.openxmlformats.org/officeDocument/2006/relationships/externalLink" Target="externalLinks/externalLink62.xml"/><Relationship Id="rId114" Type="http://schemas.openxmlformats.org/officeDocument/2006/relationships/externalLink" Target="externalLinks/externalLink70.xml"/><Relationship Id="rId119" Type="http://schemas.openxmlformats.org/officeDocument/2006/relationships/externalLink" Target="externalLinks/externalLink75.xml"/><Relationship Id="rId12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8.xml"/><Relationship Id="rId60" Type="http://schemas.openxmlformats.org/officeDocument/2006/relationships/externalLink" Target="externalLinks/externalLink16.xml"/><Relationship Id="rId65" Type="http://schemas.openxmlformats.org/officeDocument/2006/relationships/externalLink" Target="externalLinks/externalLink21.xml"/><Relationship Id="rId73" Type="http://schemas.openxmlformats.org/officeDocument/2006/relationships/externalLink" Target="externalLinks/externalLink29.xml"/><Relationship Id="rId78" Type="http://schemas.openxmlformats.org/officeDocument/2006/relationships/externalLink" Target="externalLinks/externalLink34.xml"/><Relationship Id="rId81" Type="http://schemas.openxmlformats.org/officeDocument/2006/relationships/externalLink" Target="externalLinks/externalLink37.xml"/><Relationship Id="rId86" Type="http://schemas.openxmlformats.org/officeDocument/2006/relationships/externalLink" Target="externalLinks/externalLink42.xml"/><Relationship Id="rId94" Type="http://schemas.openxmlformats.org/officeDocument/2006/relationships/externalLink" Target="externalLinks/externalLink50.xml"/><Relationship Id="rId99" Type="http://schemas.openxmlformats.org/officeDocument/2006/relationships/externalLink" Target="externalLinks/externalLink55.xml"/><Relationship Id="rId101" Type="http://schemas.openxmlformats.org/officeDocument/2006/relationships/externalLink" Target="externalLinks/externalLink57.xml"/><Relationship Id="rId122" Type="http://schemas.openxmlformats.org/officeDocument/2006/relationships/externalLink" Target="externalLinks/externalLink7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65.xml"/><Relationship Id="rId34" Type="http://schemas.openxmlformats.org/officeDocument/2006/relationships/worksheet" Target="worksheets/sheet34.xml"/><Relationship Id="rId50" Type="http://schemas.openxmlformats.org/officeDocument/2006/relationships/externalLink" Target="externalLinks/externalLink6.xml"/><Relationship Id="rId55" Type="http://schemas.openxmlformats.org/officeDocument/2006/relationships/externalLink" Target="externalLinks/externalLink11.xml"/><Relationship Id="rId76" Type="http://schemas.openxmlformats.org/officeDocument/2006/relationships/externalLink" Target="externalLinks/externalLink32.xml"/><Relationship Id="rId97" Type="http://schemas.openxmlformats.org/officeDocument/2006/relationships/externalLink" Target="externalLinks/externalLink53.xml"/><Relationship Id="rId104" Type="http://schemas.openxmlformats.org/officeDocument/2006/relationships/externalLink" Target="externalLinks/externalLink60.xml"/><Relationship Id="rId120" Type="http://schemas.openxmlformats.org/officeDocument/2006/relationships/externalLink" Target="externalLinks/externalLink76.xml"/><Relationship Id="rId125" Type="http://schemas.openxmlformats.org/officeDocument/2006/relationships/externalLink" Target="externalLinks/externalLink81.xml"/><Relationship Id="rId7" Type="http://schemas.openxmlformats.org/officeDocument/2006/relationships/worksheet" Target="worksheets/sheet7.xml"/><Relationship Id="rId71" Type="http://schemas.openxmlformats.org/officeDocument/2006/relationships/externalLink" Target="externalLinks/externalLink27.xml"/><Relationship Id="rId92" Type="http://schemas.openxmlformats.org/officeDocument/2006/relationships/externalLink" Target="externalLinks/externalLink4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externalLink" Target="externalLinks/externalLink1.xml"/><Relationship Id="rId66" Type="http://schemas.openxmlformats.org/officeDocument/2006/relationships/externalLink" Target="externalLinks/externalLink22.xml"/><Relationship Id="rId87" Type="http://schemas.openxmlformats.org/officeDocument/2006/relationships/externalLink" Target="externalLinks/externalLink43.xml"/><Relationship Id="rId110" Type="http://schemas.openxmlformats.org/officeDocument/2006/relationships/externalLink" Target="externalLinks/externalLink66.xml"/><Relationship Id="rId115" Type="http://schemas.openxmlformats.org/officeDocument/2006/relationships/externalLink" Target="externalLinks/externalLink71.xml"/><Relationship Id="rId61" Type="http://schemas.openxmlformats.org/officeDocument/2006/relationships/externalLink" Target="externalLinks/externalLink17.xml"/><Relationship Id="rId82" Type="http://schemas.openxmlformats.org/officeDocument/2006/relationships/externalLink" Target="externalLinks/externalLink38.xml"/></Relationships>
</file>

<file path=xl/drawings/_rels/drawing6.xml.rels><?xml version="1.0" encoding="UTF-8" standalone="yes"?>
<Relationships xmlns="http://schemas.openxmlformats.org/package/2006/relationships"><Relationship Id="rId8" Type="http://schemas.openxmlformats.org/officeDocument/2006/relationships/hyperlink" Target="#TB!Sheet_Check1"/><Relationship Id="rId3" Type="http://schemas.openxmlformats.org/officeDocument/2006/relationships/hyperlink" Target="#TB!TBLink6000"/><Relationship Id="rId7" Type="http://schemas.openxmlformats.org/officeDocument/2006/relationships/hyperlink" Target="#TB!TBLink7500"/><Relationship Id="rId2" Type="http://schemas.openxmlformats.org/officeDocument/2006/relationships/hyperlink" Target="#TB!TBLink2000"/><Relationship Id="rId1" Type="http://schemas.openxmlformats.org/officeDocument/2006/relationships/hyperlink" Target="#TB!TBLink1000"/><Relationship Id="rId6" Type="http://schemas.openxmlformats.org/officeDocument/2006/relationships/hyperlink" Target="#TB!TBLink1900"/><Relationship Id="rId5" Type="http://schemas.openxmlformats.org/officeDocument/2006/relationships/hyperlink" Target="#TB!TBLink8000"/><Relationship Id="rId4" Type="http://schemas.openxmlformats.org/officeDocument/2006/relationships/hyperlink" Target="#TB!TBLink7000"/></Relationships>
</file>

<file path=xl/drawings/_rels/drawing9.xml.rels><?xml version="1.0" encoding="UTF-8" standalone="yes"?>
<Relationships xmlns="http://schemas.openxmlformats.org/package/2006/relationships"><Relationship Id="rId3" Type="http://schemas.openxmlformats.org/officeDocument/2006/relationships/image" Target="file:///C:\RealWpe\WPE\logoRSM2019B.png" TargetMode="External"/><Relationship Id="rId2" Type="http://schemas.openxmlformats.org/officeDocument/2006/relationships/hyperlink" Target="#WPE_Range_GuideTxtbox1"/><Relationship Id="rId1" Type="http://schemas.openxmlformats.org/officeDocument/2006/relationships/hyperlink" Target="#WPE_Range_GuideButton1"/></Relationships>
</file>

<file path=xl/drawings/_rels/drawing10.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file:///C:\RealWpe\WPE\logoRSM2019B.png" TargetMode="External"/></Relationships>
</file>

<file path=xl/drawings/drawing1.xml><?xml version="1.0" encoding="utf-8"?>
<xdr:wsDr xmlns:xdr="http://schemas.openxmlformats.org/drawingml/2006/spreadsheetDrawing" xmlns:a="http://schemas.openxmlformats.org/drawingml/2006/main">
  <xdr:twoCellAnchor>
    <xdr:from>
      <xdr:col>8</xdr:col>
      <xdr:colOff>19050</xdr:colOff>
      <xdr:row>76</xdr:row>
      <xdr:rowOff>142875</xdr:rowOff>
    </xdr:from>
    <xdr:to>
      <xdr:col>15</xdr:col>
      <xdr:colOff>962025</xdr:colOff>
      <xdr:row>93</xdr:row>
      <xdr:rowOff>142875</xdr:rowOff>
    </xdr:to>
    <xdr:sp macro="" textlink="">
      <xdr:nvSpPr>
        <xdr:cNvPr id="4297" name="HINT_AJE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xdr:from>
      <xdr:col>11</xdr:col>
      <xdr:colOff>38100</xdr:colOff>
      <xdr:row>1</xdr:row>
      <xdr:rowOff>9525</xdr:rowOff>
    </xdr:from>
    <xdr:to>
      <xdr:col>11</xdr:col>
      <xdr:colOff>962025</xdr:colOff>
      <xdr:row>1</xdr:row>
      <xdr:rowOff>333375</xdr:rowOff>
    </xdr:to>
    <xdr:sp macro="" textlink="$M$97">
      <xdr:nvSpPr>
        <xdr:cNvPr id="2100" name="IntegrityChecks1"/>
        <xdr:cNvSpPr>
          <a:spLocks noChangeArrowheads="1" noTextEdit="1"/>
        </xdr:cNvSpPr>
      </xdr:nvSpPr>
      <xdr:spPr>
        <a:xfrm>
          <a:off x="7239000" y="19050"/>
          <a:ext cx="92392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4052CA-56A5-4914-94F5-4ED2B32F715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13</xdr:col>
      <xdr:colOff>9525</xdr:colOff>
      <xdr:row>3</xdr:row>
      <xdr:rowOff>114300</xdr:rowOff>
    </xdr:from>
    <xdr:to>
      <xdr:col>16</xdr:col>
      <xdr:colOff>390525</xdr:colOff>
      <xdr:row>22</xdr:row>
      <xdr:rowOff>219075</xdr:rowOff>
    </xdr:to>
    <xdr:sp macro="" textlink="">
      <xdr:nvSpPr>
        <xdr:cNvPr id="2104" name="HINT_BS01"/>
        <xdr:cNvSpPr txBox="1">
          <a:spLocks noChangeArrowheads="1"/>
        </xdr:cNvSpPr>
      </xdr:nvSpPr>
      <xdr:spPr>
        <a:xfrm>
          <a:off x="9039225" y="695325"/>
          <a:ext cx="2209800" cy="26384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调整前资产负债表，须手工录入。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、对年初余额，可采用两种方案录入：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年初余额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：在“年初余额”栏填写前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、在本表下部录入“资产减值准备补充资料”，将有助于其他表数据的分析填列。</a:t>
          </a: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xdr:from>
      <xdr:col>5</xdr:col>
      <xdr:colOff>47625</xdr:colOff>
      <xdr:row>1</xdr:row>
      <xdr:rowOff>9525</xdr:rowOff>
    </xdr:from>
    <xdr:to>
      <xdr:col>5</xdr:col>
      <xdr:colOff>1362075</xdr:colOff>
      <xdr:row>1</xdr:row>
      <xdr:rowOff>333375</xdr:rowOff>
    </xdr:to>
    <xdr:sp macro="" textlink="$H$129">
      <xdr:nvSpPr>
        <xdr:cNvPr id="18453" name="IntegrityChecks1"/>
        <xdr:cNvSpPr>
          <a:spLocks noChangeArrowheads="1" noTextEdit="1"/>
        </xdr:cNvSpPr>
      </xdr:nvSpPr>
      <xdr:spPr>
        <a:xfrm>
          <a:off x="5210175" y="19050"/>
          <a:ext cx="1314450"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92EED3CE-C112-4F9D-AECC-540508A3C49C}"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38100</xdr:colOff>
      <xdr:row>3</xdr:row>
      <xdr:rowOff>66675</xdr:rowOff>
    </xdr:from>
    <xdr:to>
      <xdr:col>10</xdr:col>
      <xdr:colOff>790575</xdr:colOff>
      <xdr:row>27</xdr:row>
      <xdr:rowOff>0</xdr:rowOff>
    </xdr:to>
    <xdr:sp macro="" textlink="">
      <xdr:nvSpPr>
        <xdr:cNvPr id="18461" name="HINT_IS01"/>
        <xdr:cNvSpPr txBox="1">
          <a:spLocks noChangeArrowheads="1"/>
        </xdr:cNvSpPr>
      </xdr:nvSpPr>
      <xdr:spPr>
        <a:xfrm>
          <a:off x="7762875" y="619125"/>
          <a:ext cx="2209800" cy="2209800"/>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调整前利润表，须手工录入。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19050</xdr:rowOff>
    </xdr:from>
    <xdr:to>
      <xdr:col>8</xdr:col>
      <xdr:colOff>9525</xdr:colOff>
      <xdr:row>2</xdr:row>
      <xdr:rowOff>333375</xdr:rowOff>
    </xdr:to>
    <xdr:sp macro="" textlink="$C$48">
      <xdr:nvSpPr>
        <xdr:cNvPr id="16404" name="IntegrityChecks1"/>
        <xdr:cNvSpPr>
          <a:spLocks noChangeArrowheads="1" noTextEdit="1"/>
        </xdr:cNvSpPr>
      </xdr:nvSpPr>
      <xdr:spPr>
        <a:xfrm>
          <a:off x="2171700" y="38100"/>
          <a:ext cx="3533775" cy="314325"/>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DE877E5A-723D-4E01-A4D6-867C607E2B66}" type="TxLink">
            <a:rPr lang="en-US" altLang="zh-CN" sz="1000" b="0" i="0" strike="noStrike">
              <a:solidFill>
                <a:srgbClr val="000000"/>
              </a:solidFill>
              <a:latin typeface="Arial" panose="020B0604020202020204"/>
              <a:cs typeface="Arial" panose="020B0604020202020204"/>
            </a:rPr>
            <a:pPr algn="ctr" rtl="1">
              <a:defRPr sz="1000"/>
            </a:pPr>
            <a:t>Balanced</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3</xdr:col>
      <xdr:colOff>180975</xdr:colOff>
      <xdr:row>57</xdr:row>
      <xdr:rowOff>57150</xdr:rowOff>
    </xdr:from>
    <xdr:to>
      <xdr:col>14</xdr:col>
      <xdr:colOff>495300</xdr:colOff>
      <xdr:row>65</xdr:row>
      <xdr:rowOff>66675</xdr:rowOff>
    </xdr:to>
    <xdr:sp macro="" textlink="">
      <xdr:nvSpPr>
        <xdr:cNvPr id="16412" name="HINT_CE01"/>
        <xdr:cNvSpPr txBox="1">
          <a:spLocks noChangeArrowheads="1"/>
        </xdr:cNvSpPr>
      </xdr:nvSpPr>
      <xdr:spPr>
        <a:xfrm>
          <a:off x="2305050" y="13211175"/>
          <a:ext cx="7677150" cy="12287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调整前所有者权益变动表，须手工录入，部分数据直接从他表取数。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、对上年同期金额，可采用两种方案录入：</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A</a:t>
          </a:r>
          <a:r>
            <a:rPr lang="zh-CN" altLang="en-US" sz="1000" b="0" i="0" strike="noStrike">
              <a:solidFill>
                <a:srgbClr val="0000FF"/>
              </a:solidFill>
              <a:latin typeface="楷体_GB2312"/>
              <a:ea typeface="楷体_GB2312"/>
            </a:rPr>
            <a:t>：在</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上年同期金额</a:t>
          </a:r>
          <a:r>
            <a:rPr lang="zh-CN" altLang="en-US"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r>
            <a:rPr lang="zh-CN" altLang="en-US" sz="1000" b="0" i="0" strike="noStrike">
              <a:solidFill>
                <a:srgbClr val="0000FF"/>
              </a:solidFill>
              <a:latin typeface="楷体_GB2312"/>
              <a:ea typeface="楷体_GB2312"/>
            </a:rPr>
            <a:t>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：在“上年同期金额”栏填写前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未审数</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期调整事项</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xdr:from>
      <xdr:col>5</xdr:col>
      <xdr:colOff>9525</xdr:colOff>
      <xdr:row>1</xdr:row>
      <xdr:rowOff>19050</xdr:rowOff>
    </xdr:from>
    <xdr:to>
      <xdr:col>5</xdr:col>
      <xdr:colOff>1371600</xdr:colOff>
      <xdr:row>2</xdr:row>
      <xdr:rowOff>0</xdr:rowOff>
    </xdr:to>
    <xdr:sp macro="" textlink="$H$129">
      <xdr:nvSpPr>
        <xdr:cNvPr id="14376" name="IntegrityChecks1"/>
        <xdr:cNvSpPr>
          <a:spLocks noChangeArrowheads="1" noTextEdit="1"/>
        </xdr:cNvSpPr>
      </xdr:nvSpPr>
      <xdr:spPr>
        <a:xfrm>
          <a:off x="5457825" y="28575"/>
          <a:ext cx="1362075" cy="323850"/>
        </a:xfrm>
        <a:prstGeom prst="rect">
          <a:avLst/>
        </a:prstGeom>
        <a:solidFill>
          <a:srgbClr val="FFFF99"/>
        </a:solidFill>
        <a:ln w="12700">
          <a:solidFill>
            <a:srgbClr val="333300"/>
          </a:solidFill>
          <a:miter lim="800000"/>
        </a:ln>
      </xdr:spPr>
      <xdr:txBody>
        <a:bodyPr vertOverflow="clip" wrap="square" lIns="27432" tIns="22860" rIns="27432" bIns="22860" anchor="ctr" upright="1"/>
        <a:lstStyle/>
        <a:p>
          <a:pPr algn="ctr" rtl="1">
            <a:defRPr sz="1000"/>
          </a:pPr>
          <a:fld id="{6CDBC628-E758-413A-A4BB-64CB7127184E}" type="TxLink">
            <a:rPr lang="en-US" altLang="zh-CN" sz="1000" b="0" i="0" strike="noStrike">
              <a:solidFill>
                <a:srgbClr val="000000"/>
              </a:solidFill>
              <a:latin typeface="Arial" panose="020B0604020202020204"/>
              <a:cs typeface="Arial" panose="020B0604020202020204"/>
            </a:rPr>
            <a:pPr algn="ctr" rtl="1">
              <a:defRPr sz="1000"/>
            </a:pPr>
            <a:t>Diff -3,430,372.30</a:t>
          </a:fld>
          <a:endParaRPr lang="en-US" altLang="zh-CN" sz="1000" b="0" i="0" strike="noStrike">
            <a:solidFill>
              <a:srgbClr val="000000"/>
            </a:solidFill>
            <a:latin typeface="Arial" panose="020B0604020202020204"/>
            <a:cs typeface="Arial" panose="020B0604020202020204"/>
          </a:endParaRPr>
        </a:p>
      </xdr:txBody>
    </xdr:sp>
    <xdr:clientData fPrintsWithSheet="0"/>
  </xdr:twoCellAnchor>
  <xdr:twoCellAnchor>
    <xdr:from>
      <xdr:col>8</xdr:col>
      <xdr:colOff>66675</xdr:colOff>
      <xdr:row>67</xdr:row>
      <xdr:rowOff>200025</xdr:rowOff>
    </xdr:from>
    <xdr:to>
      <xdr:col>10</xdr:col>
      <xdr:colOff>819150</xdr:colOff>
      <xdr:row>80</xdr:row>
      <xdr:rowOff>9525</xdr:rowOff>
    </xdr:to>
    <xdr:sp macro="" textlink="">
      <xdr:nvSpPr>
        <xdr:cNvPr id="14377" name="HINT_CF02"/>
        <xdr:cNvSpPr txBox="1">
          <a:spLocks noChangeArrowheads="1"/>
        </xdr:cNvSpPr>
      </xdr:nvSpPr>
      <xdr:spPr>
        <a:xfrm>
          <a:off x="8001000" y="11601450"/>
          <a:ext cx="2209800" cy="2943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补充资料编制方案</a:t>
          </a:r>
          <a:r>
            <a:rPr lang="en-US" altLang="zh-CN" sz="1000" b="0" i="0" strike="noStrike">
              <a:solidFill>
                <a:srgbClr val="0000FF"/>
              </a:solidFill>
              <a:latin typeface="Arial" panose="020B0604020202020204"/>
              <a:cs typeface="Arial" panose="020B0604020202020204"/>
            </a:rPr>
            <a:t>:</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A</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反映未审、调整到审定的过程</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表中输入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补充资料，在</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表中手工输入调整事项对</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补充资料的影响，审定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表从</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中取数生成审定的</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a:t>
          </a:r>
        </a:p>
        <a:p>
          <a:pPr algn="l" rtl="1">
            <a:defRPr sz="1000"/>
          </a:pPr>
          <a:r>
            <a:rPr lang="zh-CN" altLang="en-US" sz="1000" b="1" i="0" strike="noStrike">
              <a:solidFill>
                <a:srgbClr val="0000FF"/>
              </a:solidFill>
              <a:latin typeface="楷体_GB2312"/>
              <a:ea typeface="楷体_GB2312"/>
            </a:rPr>
            <a:t>方案</a:t>
          </a:r>
          <a:r>
            <a:rPr lang="en-US" altLang="zh-CN" sz="1000" b="1" i="0" strike="noStrike">
              <a:solidFill>
                <a:srgbClr val="0000FF"/>
              </a:solidFill>
              <a:latin typeface="Arial" panose="020B0604020202020204"/>
              <a:cs typeface="Arial" panose="020B0604020202020204"/>
            </a:rPr>
            <a:t>B</a:t>
          </a:r>
          <a:r>
            <a:rPr lang="en-US" altLang="zh-CN" sz="1000" b="0" i="0" strike="noStrike">
              <a:solidFill>
                <a:srgbClr val="0000FF"/>
              </a:solidFill>
              <a:latin typeface="Arial" panose="020B0604020202020204"/>
              <a:cs typeface="Arial" panose="020B0604020202020204"/>
            </a:rPr>
            <a:t>: </a:t>
          </a:r>
          <a:r>
            <a:rPr lang="zh-CN" altLang="en-US" sz="1000" b="1" i="0" strike="noStrike">
              <a:solidFill>
                <a:srgbClr val="0000FF"/>
              </a:solidFill>
              <a:latin typeface="楷体_GB2312"/>
              <a:ea typeface="楷体_GB2312"/>
            </a:rPr>
            <a:t>不反映未审、调整到审定的过程，直接在</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表中输入</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a:t>
          </a:r>
          <a:r>
            <a:rPr lang="zh-CN" altLang="en-US" sz="1000" b="0" i="0" strike="noStrike">
              <a:solidFill>
                <a:srgbClr val="0000FF"/>
              </a:solidFill>
              <a:latin typeface="楷体_GB2312"/>
              <a:ea typeface="楷体_GB2312"/>
            </a:rPr>
            <a:t>（相关数据可从</a:t>
          </a:r>
          <a:r>
            <a:rPr lang="en-US" altLang="zh-CN" sz="1000" b="0" i="0" strike="noStrike">
              <a:solidFill>
                <a:srgbClr val="0000FF"/>
              </a:solidFill>
              <a:latin typeface="Arial" panose="020B0604020202020204"/>
              <a:cs typeface="Arial" panose="020B0604020202020204"/>
            </a:rPr>
            <a:t>CFWP</a:t>
          </a:r>
          <a:r>
            <a:rPr lang="zh-CN" altLang="en-US" sz="1000" b="0" i="0" strike="noStrike">
              <a:solidFill>
                <a:srgbClr val="0000FF"/>
              </a:solidFill>
              <a:latin typeface="楷体_GB2312"/>
              <a:ea typeface="楷体_GB2312"/>
            </a:rPr>
            <a:t>表中取得），</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表从审定</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表中取数生成附注数据。方案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中，</a:t>
          </a:r>
          <a:r>
            <a:rPr lang="en-US" altLang="zh-CN" sz="1000" b="0" i="0" strike="noStrike">
              <a:solidFill>
                <a:srgbClr val="0000FF"/>
              </a:solidFill>
              <a:latin typeface="Arial" panose="020B0604020202020204"/>
              <a:cs typeface="Arial" panose="020B0604020202020204"/>
            </a:rPr>
            <a:t>TB</a:t>
          </a:r>
          <a:r>
            <a:rPr lang="zh-CN" altLang="en-US" sz="1000" b="0" i="0" strike="noStrike">
              <a:solidFill>
                <a:srgbClr val="0000FF"/>
              </a:solidFill>
              <a:latin typeface="楷体_GB2312"/>
              <a:ea typeface="楷体_GB2312"/>
            </a:rPr>
            <a:t>表将无</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补充资料相关数据。</a:t>
          </a:r>
        </a:p>
        <a:p>
          <a:pPr algn="l" rtl="1">
            <a:defRPr sz="1000"/>
          </a:pPr>
          <a:r>
            <a:rPr lang="zh-CN" altLang="en-US" sz="1000" b="1" i="0" strike="noStrike">
              <a:solidFill>
                <a:srgbClr val="0000FF"/>
              </a:solidFill>
              <a:latin typeface="楷体_GB2312"/>
              <a:ea typeface="楷体_GB2312"/>
            </a:rPr>
            <a:t>提倡使用</a:t>
          </a:r>
          <a:r>
            <a:rPr lang="en-US" altLang="zh-CN" sz="1000" b="1" i="0" strike="noStrike">
              <a:solidFill>
                <a:srgbClr val="0000FF"/>
              </a:solidFill>
              <a:latin typeface="Arial" panose="020B0604020202020204"/>
              <a:cs typeface="Arial" panose="020B0604020202020204"/>
            </a:rPr>
            <a:t>CFWP</a:t>
          </a:r>
          <a:r>
            <a:rPr lang="zh-CN" altLang="en-US" sz="1000" b="1" i="0" strike="noStrike">
              <a:solidFill>
                <a:srgbClr val="0000FF"/>
              </a:solidFill>
              <a:latin typeface="楷体_GB2312"/>
              <a:ea typeface="楷体_GB2312"/>
            </a:rPr>
            <a:t>表反映</a:t>
          </a:r>
          <a:r>
            <a:rPr lang="en-US" altLang="zh-CN" sz="1000" b="1" i="0" strike="noStrike">
              <a:solidFill>
                <a:srgbClr val="0000FF"/>
              </a:solidFill>
              <a:latin typeface="Arial" panose="020B0604020202020204"/>
              <a:cs typeface="Arial" panose="020B0604020202020204"/>
            </a:rPr>
            <a:t>CF</a:t>
          </a:r>
          <a:r>
            <a:rPr lang="zh-CN" altLang="en-US" sz="1000" b="1" i="0" strike="noStrike">
              <a:solidFill>
                <a:srgbClr val="0000FF"/>
              </a:solidFill>
              <a:latin typeface="楷体_GB2312"/>
              <a:ea typeface="楷体_GB2312"/>
            </a:rPr>
            <a:t>补充资料各项目的计算过程</a:t>
          </a:r>
          <a:r>
            <a:rPr lang="zh-CN" altLang="en-US" sz="1000" b="0" i="0" strike="noStrike">
              <a:solidFill>
                <a:srgbClr val="0000FF"/>
              </a:solidFill>
              <a:latin typeface="楷体_GB2312"/>
              <a:ea typeface="楷体_GB2312"/>
            </a:rPr>
            <a:t>。</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11</xdr:col>
      <xdr:colOff>314325</xdr:colOff>
      <xdr:row>2</xdr:row>
      <xdr:rowOff>180975</xdr:rowOff>
    </xdr:from>
    <xdr:to>
      <xdr:col>14</xdr:col>
      <xdr:colOff>457200</xdr:colOff>
      <xdr:row>37</xdr:row>
      <xdr:rowOff>76200</xdr:rowOff>
    </xdr:to>
    <xdr:sp macro="" textlink="">
      <xdr:nvSpPr>
        <xdr:cNvPr id="14385" name="HINT_CF021"/>
        <xdr:cNvSpPr txBox="1">
          <a:spLocks noChangeArrowheads="1"/>
        </xdr:cNvSpPr>
      </xdr:nvSpPr>
      <xdr:spPr>
        <a:xfrm>
          <a:off x="10553700" y="533400"/>
          <a:ext cx="2209800" cy="74961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调整前现金流量表，须手工录入。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、对上期金额，须填写前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表不涉及前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期现金流量调整。</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、对现金流量表，可以不反映从未审、调整到审定的过程，直接根据调整后数据编制。</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如采用此简化方案，则在本表的“本期金额”栏直接录入</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FF0000"/>
              </a:solidFill>
              <a:latin typeface="楷体_GB2312"/>
              <a:ea typeface="楷体_GB2312"/>
            </a:rPr>
            <a:t>审定数</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将下端“请选择”处选为“方案</a:t>
          </a:r>
          <a:r>
            <a:rPr lang="en-US" altLang="zh-CN" sz="1000" b="0" i="0" strike="noStrike">
              <a:solidFill>
                <a:srgbClr val="0000FF"/>
              </a:solidFill>
              <a:latin typeface="Arial" panose="020B0604020202020204"/>
              <a:cs typeface="Arial" panose="020B0604020202020204"/>
            </a:rPr>
            <a:t>B"</a:t>
          </a:r>
          <a:r>
            <a:rPr lang="zh-CN" altLang="en-US" sz="1000" b="0" i="0" strike="noStrike">
              <a:solidFill>
                <a:srgbClr val="0000FF"/>
              </a:solidFill>
              <a:latin typeface="楷体_GB2312"/>
              <a:ea typeface="楷体_GB2312"/>
            </a:rPr>
            <a:t>，可忽略勾稽核对差异。</a:t>
          </a:r>
        </a:p>
        <a:p>
          <a:pPr algn="l" rtl="1">
            <a:defRPr sz="1000"/>
          </a:pP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不需要</a:t>
          </a:r>
          <a:r>
            <a:rPr lang="zh-CN" altLang="en-US" sz="1000" b="0" i="0" strike="noStrike">
              <a:solidFill>
                <a:srgbClr val="0000FF"/>
              </a:solidFill>
              <a:latin typeface="楷体_GB2312"/>
              <a:ea typeface="楷体_GB2312"/>
            </a:rPr>
            <a:t>录入现金流量调整分录。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、如须反映现金流量从未审、调整到审定的过程，则请在本表中录入</a:t>
          </a:r>
          <a:r>
            <a:rPr lang="zh-CN" altLang="en-US" sz="1000" b="0" i="0" strike="noStrike">
              <a:solidFill>
                <a:srgbClr val="FF0000"/>
              </a:solidFill>
              <a:latin typeface="楷体_GB2312"/>
              <a:ea typeface="楷体_GB2312"/>
            </a:rPr>
            <a:t>调整前</a:t>
          </a:r>
          <a:r>
            <a:rPr lang="zh-CN" altLang="en-US" sz="1000" b="0" i="0" strike="noStrike">
              <a:solidFill>
                <a:srgbClr val="0000FF"/>
              </a:solidFill>
              <a:latin typeface="楷体_GB2312"/>
              <a:ea typeface="楷体_GB2312"/>
            </a:rPr>
            <a:t>数据，在</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表中</a:t>
          </a:r>
          <a:r>
            <a:rPr lang="zh-CN" altLang="en-US" sz="1000" b="0" i="0" strike="noStrike">
              <a:solidFill>
                <a:srgbClr val="FF0000"/>
              </a:solidFill>
              <a:latin typeface="楷体_GB2312"/>
              <a:ea typeface="楷体_GB2312"/>
            </a:rPr>
            <a:t>录入</a:t>
          </a:r>
          <a:r>
            <a:rPr lang="zh-CN" altLang="en-US" sz="1000" b="0" i="0" strike="noStrike">
              <a:solidFill>
                <a:srgbClr val="0000FF"/>
              </a:solidFill>
              <a:latin typeface="楷体_GB2312"/>
              <a:ea typeface="楷体_GB2312"/>
            </a:rPr>
            <a:t>现金流量调整分录。</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xdr:from>
      <xdr:col>15</xdr:col>
      <xdr:colOff>0</xdr:colOff>
      <xdr:row>9</xdr:row>
      <xdr:rowOff>19050</xdr:rowOff>
    </xdr:from>
    <xdr:to>
      <xdr:col>18</xdr:col>
      <xdr:colOff>466725</xdr:colOff>
      <xdr:row>29</xdr:row>
      <xdr:rowOff>66675</xdr:rowOff>
    </xdr:to>
    <xdr:sp macro="" textlink="">
      <xdr:nvSpPr>
        <xdr:cNvPr id="3367" name="HINT_TB01"/>
        <xdr:cNvSpPr txBox="1">
          <a:spLocks noChangeArrowheads="1"/>
        </xdr:cNvSpPr>
      </xdr:nvSpPr>
      <xdr:spPr>
        <a:xfrm>
          <a:off x="11496675" y="1371600"/>
          <a:ext cx="2295525" cy="332422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试算平衡表，用公式从他表取数，除现金流量补充资料的调整数外，不需要手工录入。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、所有调整前金额，均取自</a:t>
          </a:r>
          <a:r>
            <a:rPr lang="en-US" altLang="zh-CN" sz="1000" b="0" i="0" strike="noStrike">
              <a:solidFill>
                <a:srgbClr val="0000FF"/>
              </a:solidFill>
              <a:latin typeface="Arial" panose="020B0604020202020204"/>
              <a:cs typeface="Arial" panose="020B0604020202020204"/>
            </a:rPr>
            <a:t>preBS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preCF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perCE</a:t>
          </a:r>
          <a:r>
            <a:rPr lang="zh-CN" altLang="en-US" sz="1000" b="0" i="0" strike="noStrike">
              <a:solidFill>
                <a:srgbClr val="0000FF"/>
              </a:solidFill>
              <a:latin typeface="楷体_GB2312"/>
              <a:ea typeface="楷体_GB2312"/>
            </a:rPr>
            <a:t>及相关补充资料。</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、所有调整金额，均取自</a:t>
          </a:r>
          <a:r>
            <a:rPr lang="en-US" altLang="zh-CN" sz="1000" b="0" i="0" strike="noStrike">
              <a:solidFill>
                <a:srgbClr val="0000FF"/>
              </a:solidFill>
              <a:latin typeface="Arial" panose="020B0604020202020204"/>
              <a:cs typeface="Arial" panose="020B0604020202020204"/>
            </a:rPr>
            <a:t>AJE</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AJE1</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CFJE</a:t>
          </a:r>
          <a:r>
            <a:rPr lang="zh-CN" altLang="en-US" sz="1000" b="0" i="0" strike="noStrike">
              <a:solidFill>
                <a:srgbClr val="0000FF"/>
              </a:solidFill>
              <a:latin typeface="楷体_GB2312"/>
              <a:ea typeface="楷体_GB2312"/>
            </a:rPr>
            <a:t>表，但不从</a:t>
          </a:r>
          <a:r>
            <a:rPr lang="en-US" altLang="zh-CN" sz="1000" b="0" i="0" strike="noStrike">
              <a:solidFill>
                <a:srgbClr val="0000FF"/>
              </a:solidFill>
              <a:latin typeface="Arial" panose="020B0604020202020204"/>
              <a:cs typeface="Arial" panose="020B0604020202020204"/>
            </a:rPr>
            <a:t>UJE</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、调整后金额，为正式报表</a:t>
          </a:r>
          <a:r>
            <a:rPr lang="en-US" altLang="zh-CN" sz="1000" b="0" i="0" strike="noStrike">
              <a:solidFill>
                <a:srgbClr val="0000FF"/>
              </a:solidFill>
              <a:latin typeface="Arial" panose="020B0604020202020204"/>
              <a:cs typeface="Arial" panose="020B0604020202020204"/>
            </a:rPr>
            <a:t>BS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IS</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CF</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CE</a:t>
          </a:r>
          <a:r>
            <a:rPr lang="zh-CN" altLang="en-US" sz="1000" b="0" i="0" strike="noStrike">
              <a:solidFill>
                <a:srgbClr val="0000FF"/>
              </a:solidFill>
              <a:latin typeface="楷体_GB2312"/>
              <a:ea typeface="楷体_GB2312"/>
            </a:rPr>
            <a:t>表的数据来源。</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5</a:t>
          </a:r>
          <a:r>
            <a:rPr lang="zh-CN" altLang="en-US" sz="1000" b="0" i="0" strike="noStrike">
              <a:solidFill>
                <a:srgbClr val="0000FF"/>
              </a:solidFill>
              <a:latin typeface="楷体_GB2312"/>
              <a:ea typeface="楷体_GB2312"/>
            </a:rPr>
            <a:t>、</a:t>
          </a:r>
          <a:r>
            <a:rPr lang="en-US" altLang="zh-CN" sz="1000" b="0" i="0" strike="noStrike">
              <a:solidFill>
                <a:srgbClr val="0000FF"/>
              </a:solidFill>
              <a:latin typeface="Arial" panose="020B0604020202020204"/>
              <a:cs typeface="Arial" panose="020B0604020202020204"/>
            </a:rPr>
            <a:t>Notes</a:t>
          </a:r>
          <a:r>
            <a:rPr lang="zh-CN" altLang="en-US" sz="1000" b="0" i="0" strike="noStrike">
              <a:solidFill>
                <a:srgbClr val="0000FF"/>
              </a:solidFill>
              <a:latin typeface="楷体_GB2312"/>
              <a:ea typeface="楷体_GB2312"/>
            </a:rPr>
            <a:t>表的勾稽核对数据及报表分析相关表格，也从本表取数。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6</a:t>
          </a:r>
          <a:r>
            <a:rPr lang="zh-CN" altLang="en-US" sz="1000" b="0" i="0" strike="noStrike">
              <a:solidFill>
                <a:srgbClr val="0000FF"/>
              </a:solidFill>
              <a:latin typeface="楷体_GB2312"/>
              <a:ea typeface="楷体_GB2312"/>
            </a:rPr>
            <a:t>、现金流量表补充资料的调增、调减数据，需要手工录入。</a:t>
          </a:r>
        </a:p>
        <a:p>
          <a:pPr algn="l" rtl="1">
            <a:defRPr sz="1000"/>
          </a:pPr>
          <a:r>
            <a:rPr lang="zh-CN" altLang="en-US" sz="1000" b="0" i="0" strike="noStrike">
              <a:solidFill>
                <a:srgbClr val="0000FF"/>
              </a:solidFill>
              <a:latin typeface="楷体_GB2312"/>
              <a:ea typeface="楷体_GB2312"/>
            </a:rPr>
            <a:t>但是，如果您点击“报表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个别报表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生成合并用数据”，就可在“借方”列填充</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CF </a:t>
          </a:r>
          <a:r>
            <a:rPr lang="zh-CN" altLang="en-US" sz="1000" b="0" i="0" strike="noStrike">
              <a:solidFill>
                <a:srgbClr val="0000FF"/>
              </a:solidFill>
              <a:latin typeface="楷体_GB2312"/>
              <a:ea typeface="楷体_GB2312"/>
            </a:rPr>
            <a:t>表列数与“调整后金额”的差额。</a:t>
          </a: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twoCellAnchor>
    <xdr:from>
      <xdr:col>4</xdr:col>
      <xdr:colOff>295275</xdr:colOff>
      <xdr:row>5</xdr:row>
      <xdr:rowOff>38100</xdr:rowOff>
    </xdr:from>
    <xdr:to>
      <xdr:col>12</xdr:col>
      <xdr:colOff>171450</xdr:colOff>
      <xdr:row>5</xdr:row>
      <xdr:rowOff>190500</xdr:rowOff>
    </xdr:to>
    <xdr:grpSp>
      <xdr:nvGrpSpPr>
        <xdr:cNvPr id="506833" name="组合 11"/>
        <xdr:cNvGrpSpPr/>
      </xdr:nvGrpSpPr>
      <xdr:grpSpPr>
        <a:xfrm>
          <a:off x="647700" y="628650"/>
          <a:ext cx="8791575" cy="152400"/>
          <a:chOff x="2476500" y="590550"/>
          <a:chExt cx="8791576" cy="152400"/>
        </a:xfrm>
      </xdr:grpSpPr>
      <xdr:sp macro="" textlink="">
        <xdr:nvSpPr>
          <xdr:cNvPr id="3321" name="HYPELINK#01">
            <a:hlinkClick xmlns:r="http://schemas.openxmlformats.org/officeDocument/2006/relationships" r:id="rId1"/>
          </xdr:cNvPr>
          <xdr:cNvSpPr>
            <a:spLocks noChangeArrowheads="1"/>
          </xdr:cNvSpPr>
        </xdr:nvSpPr>
        <xdr:spPr>
          <a:xfrm>
            <a:off x="247650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1</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2" name="HYPELINK#02">
            <a:hlinkClick xmlns:r="http://schemas.openxmlformats.org/officeDocument/2006/relationships" r:id="rId2"/>
          </xdr:cNvPr>
          <xdr:cNvSpPr>
            <a:spLocks noChangeArrowheads="1"/>
          </xdr:cNvSpPr>
        </xdr:nvSpPr>
        <xdr:spPr>
          <a:xfrm>
            <a:off x="364807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资产负债表（</a:t>
            </a:r>
            <a:r>
              <a:rPr lang="en-US" altLang="zh-CN" sz="1000" b="0" i="0" strike="noStrike">
                <a:solidFill>
                  <a:srgbClr val="000000"/>
                </a:solidFill>
                <a:latin typeface="宋体" panose="02010600030101010101" pitchFamily="7" charset="-122"/>
                <a:ea typeface="宋体" panose="02010600030101010101" pitchFamily="7" charset="-122"/>
              </a:rPr>
              <a:t>2</a:t>
            </a:r>
            <a:r>
              <a:rPr lang="zh-CN" altLang="en-US" sz="1000" b="0" i="0" strike="noStrike">
                <a:solidFill>
                  <a:srgbClr val="000000"/>
                </a:solidFill>
                <a:latin typeface="宋体" panose="02010600030101010101" pitchFamily="7" charset="-122"/>
                <a:ea typeface="宋体" panose="02010600030101010101" pitchFamily="7" charset="-122"/>
              </a:rPr>
              <a:t>）</a:t>
            </a:r>
          </a:p>
        </xdr:txBody>
      </xdr:sp>
      <xdr:sp macro="" textlink="">
        <xdr:nvSpPr>
          <xdr:cNvPr id="3323" name="HYPELINK#03">
            <a:hlinkClick xmlns:r="http://schemas.openxmlformats.org/officeDocument/2006/relationships" r:id="rId3"/>
          </xdr:cNvPr>
          <xdr:cNvSpPr>
            <a:spLocks noChangeArrowheads="1"/>
          </xdr:cNvSpPr>
        </xdr:nvSpPr>
        <xdr:spPr>
          <a:xfrm>
            <a:off x="4819650"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利润表</a:t>
            </a:r>
          </a:p>
        </xdr:txBody>
      </xdr:sp>
      <xdr:sp macro="" textlink="">
        <xdr:nvSpPr>
          <xdr:cNvPr id="3324" name="HYPELINK#04">
            <a:hlinkClick xmlns:r="http://schemas.openxmlformats.org/officeDocument/2006/relationships" r:id="rId4"/>
          </xdr:cNvPr>
          <xdr:cNvSpPr>
            <a:spLocks noChangeArrowheads="1"/>
          </xdr:cNvSpPr>
        </xdr:nvSpPr>
        <xdr:spPr>
          <a:xfrm>
            <a:off x="5991225"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现金流量表</a:t>
            </a:r>
          </a:p>
        </xdr:txBody>
      </xdr:sp>
      <xdr:sp macro="" textlink="">
        <xdr:nvSpPr>
          <xdr:cNvPr id="3325" name="HYPELINK#05">
            <a:hlinkClick xmlns:r="http://schemas.openxmlformats.org/officeDocument/2006/relationships" r:id="rId5"/>
          </xdr:cNvPr>
          <xdr:cNvSpPr>
            <a:spLocks noChangeArrowheads="1"/>
          </xdr:cNvSpPr>
        </xdr:nvSpPr>
        <xdr:spPr>
          <a:xfrm>
            <a:off x="717232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所有者权益变动表</a:t>
            </a:r>
          </a:p>
        </xdr:txBody>
      </xdr:sp>
      <xdr:sp macro="" textlink="">
        <xdr:nvSpPr>
          <xdr:cNvPr id="3326" name="HYPELINK#06">
            <a:hlinkClick xmlns:r="http://schemas.openxmlformats.org/officeDocument/2006/relationships" r:id="rId6"/>
          </xdr:cNvPr>
          <xdr:cNvSpPr>
            <a:spLocks noChangeArrowheads="1"/>
          </xdr:cNvSpPr>
        </xdr:nvSpPr>
        <xdr:spPr>
          <a:xfrm>
            <a:off x="8334376"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资产减值准备</a:t>
            </a:r>
          </a:p>
        </xdr:txBody>
      </xdr:sp>
      <xdr:sp macro="" textlink="">
        <xdr:nvSpPr>
          <xdr:cNvPr id="3328" name="HYPELINK#07">
            <a:hlinkClick xmlns:r="http://schemas.openxmlformats.org/officeDocument/2006/relationships" r:id="rId7"/>
          </xdr:cNvPr>
          <xdr:cNvSpPr>
            <a:spLocks noChangeArrowheads="1"/>
          </xdr:cNvSpPr>
        </xdr:nvSpPr>
        <xdr:spPr>
          <a:xfrm>
            <a:off x="9505951" y="590550"/>
            <a:ext cx="1152525"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zh-CN" altLang="en-US" sz="1000" b="0" i="0" strike="noStrike">
                <a:solidFill>
                  <a:srgbClr val="000000"/>
                </a:solidFill>
                <a:latin typeface="宋体" panose="02010600030101010101" pitchFamily="7" charset="-122"/>
                <a:ea typeface="宋体" panose="02010600030101010101" pitchFamily="7" charset="-122"/>
              </a:rPr>
              <a:t>现金流量补充资料</a:t>
            </a:r>
          </a:p>
        </xdr:txBody>
      </xdr:sp>
      <xdr:sp macro="" textlink="">
        <xdr:nvSpPr>
          <xdr:cNvPr id="11" name="HYPELINK#08">
            <a:hlinkClick xmlns:r="http://schemas.openxmlformats.org/officeDocument/2006/relationships" r:id="rId8"/>
          </xdr:cNvPr>
          <xdr:cNvSpPr>
            <a:spLocks noChangeArrowheads="1"/>
          </xdr:cNvSpPr>
        </xdr:nvSpPr>
        <xdr:spPr>
          <a:xfrm>
            <a:off x="10677526" y="590550"/>
            <a:ext cx="590550" cy="152400"/>
          </a:xfrm>
          <a:prstGeom prst="roundRect">
            <a:avLst>
              <a:gd name="adj" fmla="val 16667"/>
            </a:avLst>
          </a:prstGeom>
          <a:solidFill>
            <a:srgbClr val="EFEBDE"/>
          </a:solidFill>
          <a:ln w="9525">
            <a:solidFill>
              <a:srgbClr val="808080"/>
            </a:solidFill>
            <a:round/>
          </a:ln>
        </xdr:spPr>
        <xdr:txBody>
          <a:bodyPr vertOverflow="clip" wrap="square" lIns="27432" tIns="18288" rIns="27432" bIns="0" anchor="ctr" upright="1"/>
          <a:lstStyle/>
          <a:p>
            <a:pPr algn="ctr" rtl="1">
              <a:defRPr sz="1000"/>
            </a:pPr>
            <a:r>
              <a:rPr lang="en-US" altLang="zh-CN" sz="1000" b="1" i="0" strike="noStrike">
                <a:solidFill>
                  <a:srgbClr val="000000"/>
                </a:solidFill>
                <a:latin typeface="Arial" panose="020B0604020202020204" pitchFamily="7" charset="0"/>
                <a:ea typeface="宋体" panose="02010600030101010101" pitchFamily="7" charset="-122"/>
                <a:cs typeface="Arial" panose="020B0604020202020204" pitchFamily="7" charset="0"/>
              </a:rPr>
              <a:t>Check</a:t>
            </a:r>
            <a:endParaRPr lang="zh-CN" altLang="en-US" sz="1000" b="1" i="0" strike="noStrike">
              <a:solidFill>
                <a:srgbClr val="000000"/>
              </a:solidFill>
              <a:latin typeface="Arial" panose="020B0604020202020204" pitchFamily="7" charset="0"/>
              <a:ea typeface="宋体" panose="02010600030101010101" pitchFamily="7" charset="-122"/>
              <a:cs typeface="Arial" panose="020B0604020202020204" pitchFamily="7" charset="0"/>
            </a:endParaRPr>
          </a:p>
        </xdr:txBody>
      </xdr:sp>
    </xdr:grpSp>
    <xdr:clientData fPrintsWithSheet="0"/>
  </xdr:twoCellAnchor>
</xdr:wsDr>
</file>

<file path=xl/drawings/drawing7.xml><?xml version="1.0" encoding="utf-8"?>
<xdr:wsDr xmlns:xdr="http://schemas.openxmlformats.org/drawingml/2006/spreadsheetDrawing" xmlns:a="http://schemas.openxmlformats.org/drawingml/2006/main">
  <xdr:twoCellAnchor>
    <xdr:from>
      <xdr:col>7</xdr:col>
      <xdr:colOff>323850</xdr:colOff>
      <xdr:row>51</xdr:row>
      <xdr:rowOff>28575</xdr:rowOff>
    </xdr:from>
    <xdr:to>
      <xdr:col>15</xdr:col>
      <xdr:colOff>904875</xdr:colOff>
      <xdr:row>69</xdr:row>
      <xdr:rowOff>19050</xdr:rowOff>
    </xdr:to>
    <xdr:sp macro="" textlink="">
      <xdr:nvSpPr>
        <xdr:cNvPr id="9289" name="HINT_CFJE01"/>
        <xdr:cNvSpPr txBox="1">
          <a:spLocks noChangeArrowheads="1"/>
        </xdr:cNvSpPr>
      </xdr:nvSpPr>
      <xdr:spPr>
        <a:xfrm>
          <a:off x="390525" y="106203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本期现金流量调整分录表，该表数据供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xdr:from>
      <xdr:col>12</xdr:col>
      <xdr:colOff>95250</xdr:colOff>
      <xdr:row>5</xdr:row>
      <xdr:rowOff>0</xdr:rowOff>
    </xdr:from>
    <xdr:to>
      <xdr:col>12</xdr:col>
      <xdr:colOff>647700</xdr:colOff>
      <xdr:row>5</xdr:row>
      <xdr:rowOff>0</xdr:rowOff>
    </xdr:to>
    <xdr:sp macro="" textlink="">
      <xdr:nvSpPr>
        <xdr:cNvPr id="498664" name="Line 1"/>
        <xdr:cNvSpPr>
          <a:spLocks noChangeShapeType="1"/>
        </xdr:cNvSpPr>
      </xdr:nvSpPr>
      <xdr:spPr>
        <a:xfrm>
          <a:off x="4676775" y="409575"/>
          <a:ext cx="552450" cy="0"/>
        </a:xfrm>
        <a:prstGeom prst="line">
          <a:avLst/>
        </a:prstGeom>
        <a:noFill/>
        <a:ln w="9525">
          <a:solidFill>
            <a:srgbClr val="000000"/>
          </a:solidFill>
          <a:round/>
        </a:ln>
      </xdr:spPr>
    </xdr:sp>
    <xdr:clientData/>
  </xdr:twoCellAnchor>
  <xdr:twoCellAnchor>
    <xdr:from>
      <xdr:col>14</xdr:col>
      <xdr:colOff>95250</xdr:colOff>
      <xdr:row>5</xdr:row>
      <xdr:rowOff>0</xdr:rowOff>
    </xdr:from>
    <xdr:to>
      <xdr:col>14</xdr:col>
      <xdr:colOff>828675</xdr:colOff>
      <xdr:row>5</xdr:row>
      <xdr:rowOff>0</xdr:rowOff>
    </xdr:to>
    <xdr:sp macro="" textlink="">
      <xdr:nvSpPr>
        <xdr:cNvPr id="498665" name="Line 2"/>
        <xdr:cNvSpPr>
          <a:spLocks noChangeShapeType="1"/>
        </xdr:cNvSpPr>
      </xdr:nvSpPr>
      <xdr:spPr>
        <a:xfrm>
          <a:off x="5905500" y="409575"/>
          <a:ext cx="733425" cy="0"/>
        </a:xfrm>
        <a:prstGeom prst="line">
          <a:avLst/>
        </a:prstGeom>
        <a:noFill/>
        <a:ln w="9525">
          <a:solidFill>
            <a:srgbClr val="000000"/>
          </a:solidFill>
          <a:round/>
        </a:ln>
      </xdr:spPr>
    </xdr:sp>
    <xdr:clientData/>
  </xdr:twoCellAnchor>
  <xdr:twoCellAnchor>
    <xdr:from>
      <xdr:col>12</xdr:col>
      <xdr:colOff>95250</xdr:colOff>
      <xdr:row>6</xdr:row>
      <xdr:rowOff>0</xdr:rowOff>
    </xdr:from>
    <xdr:to>
      <xdr:col>12</xdr:col>
      <xdr:colOff>647700</xdr:colOff>
      <xdr:row>6</xdr:row>
      <xdr:rowOff>0</xdr:rowOff>
    </xdr:to>
    <xdr:sp macro="" textlink="">
      <xdr:nvSpPr>
        <xdr:cNvPr id="498666" name="Line 3"/>
        <xdr:cNvSpPr>
          <a:spLocks noChangeShapeType="1"/>
        </xdr:cNvSpPr>
      </xdr:nvSpPr>
      <xdr:spPr>
        <a:xfrm>
          <a:off x="4676775" y="600075"/>
          <a:ext cx="552450" cy="0"/>
        </a:xfrm>
        <a:prstGeom prst="line">
          <a:avLst/>
        </a:prstGeom>
        <a:noFill/>
        <a:ln w="9525">
          <a:solidFill>
            <a:srgbClr val="000000"/>
          </a:solidFill>
          <a:round/>
        </a:ln>
      </xdr:spPr>
    </xdr:sp>
    <xdr:clientData/>
  </xdr:twoCellAnchor>
  <xdr:twoCellAnchor>
    <xdr:from>
      <xdr:col>14</xdr:col>
      <xdr:colOff>95250</xdr:colOff>
      <xdr:row>6</xdr:row>
      <xdr:rowOff>0</xdr:rowOff>
    </xdr:from>
    <xdr:to>
      <xdr:col>14</xdr:col>
      <xdr:colOff>828675</xdr:colOff>
      <xdr:row>6</xdr:row>
      <xdr:rowOff>0</xdr:rowOff>
    </xdr:to>
    <xdr:sp macro="" textlink="">
      <xdr:nvSpPr>
        <xdr:cNvPr id="498667" name="Line 4"/>
        <xdr:cNvSpPr>
          <a:spLocks noChangeShapeType="1"/>
        </xdr:cNvSpPr>
      </xdr:nvSpPr>
      <xdr:spPr>
        <a:xfrm>
          <a:off x="5905500" y="600075"/>
          <a:ext cx="733425" cy="0"/>
        </a:xfrm>
        <a:prstGeom prst="line">
          <a:avLst/>
        </a:prstGeom>
        <a:noFill/>
        <a:ln w="9525">
          <a:solidFill>
            <a:srgbClr val="000000"/>
          </a:solidFill>
          <a:round/>
        </a:ln>
      </xdr:spPr>
    </xdr:sp>
    <xdr:clientData/>
  </xdr:twoCellAnchor>
  <xdr:twoCellAnchor>
    <xdr:from>
      <xdr:col>8</xdr:col>
      <xdr:colOff>19050</xdr:colOff>
      <xdr:row>49</xdr:row>
      <xdr:rowOff>142875</xdr:rowOff>
    </xdr:from>
    <xdr:to>
      <xdr:col>15</xdr:col>
      <xdr:colOff>657225</xdr:colOff>
      <xdr:row>66</xdr:row>
      <xdr:rowOff>142875</xdr:rowOff>
    </xdr:to>
    <xdr:sp macro="" textlink="">
      <xdr:nvSpPr>
        <xdr:cNvPr id="8268" name="HINT_AJE101"/>
        <xdr:cNvSpPr txBox="1">
          <a:spLocks noChangeArrowheads="1"/>
        </xdr:cNvSpPr>
      </xdr:nvSpPr>
      <xdr:spPr>
        <a:xfrm>
          <a:off x="390525" y="10163175"/>
          <a:ext cx="7058025" cy="2733675"/>
        </a:xfrm>
        <a:prstGeom prst="rect">
          <a:avLst/>
        </a:prstGeom>
        <a:noFill/>
        <a:ln w="9525">
          <a:noFill/>
          <a:miter lim="800000"/>
        </a:ln>
      </xdr:spPr>
      <xdr:txBody>
        <a:bodyPr vertOverflow="clip" wrap="square" lIns="27432" tIns="18288" rIns="0" bIns="0" anchor="t" upright="1"/>
        <a:lstStyle/>
        <a:p>
          <a:pPr algn="l" rtl="1">
            <a:defRPr sz="1000"/>
          </a:pPr>
          <a:r>
            <a:rPr lang="zh-CN" altLang="en-US" sz="1000" b="1" i="0" strike="noStrike">
              <a:solidFill>
                <a:srgbClr val="0000FF"/>
              </a:solidFill>
              <a:latin typeface="楷体_GB2312"/>
              <a:ea typeface="楷体_GB2312"/>
            </a:rPr>
            <a:t>提示：</a:t>
          </a:r>
        </a:p>
        <a:p>
          <a:pPr algn="l" rtl="1">
            <a:defRPr sz="1000"/>
          </a:pPr>
          <a:endParaRPr lang="zh-CN" altLang="en-US" sz="1000" b="0" i="0" strike="noStrike">
            <a:solidFill>
              <a:srgbClr val="0000FF"/>
            </a:solidFill>
            <a:latin typeface="Arial" panose="020B0604020202020204"/>
            <a:cs typeface="Arial" panose="020B0604020202020204"/>
          </a:endParaRPr>
        </a:p>
        <a:p>
          <a:pPr algn="l" rtl="1">
            <a:defRPr sz="1000"/>
          </a:pP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、本表为</a:t>
          </a:r>
          <a:r>
            <a:rPr lang="zh-CN" altLang="en-US" sz="1000" b="0" i="0" strike="noStrike">
              <a:solidFill>
                <a:srgbClr val="0000FF"/>
              </a:solidFill>
              <a:latin typeface="Arial" panose="020B0604020202020204"/>
              <a:cs typeface="Arial" panose="020B0604020202020204"/>
            </a:rPr>
            <a:t> </a:t>
          </a:r>
          <a:r>
            <a:rPr lang="zh-CN" altLang="en-US" sz="1000" b="0" i="0" strike="noStrike">
              <a:solidFill>
                <a:srgbClr val="0000FF"/>
              </a:solidFill>
              <a:latin typeface="楷体_GB2312"/>
              <a:ea typeface="楷体_GB2312"/>
            </a:rPr>
            <a:t>前</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期调整及重分类分录表，该表数据供</a:t>
          </a:r>
          <a:r>
            <a:rPr lang="zh-CN" altLang="en-US" sz="1000" b="0" i="0" strike="noStrike">
              <a:solidFill>
                <a:srgbClr val="0000FF"/>
              </a:solidFill>
              <a:latin typeface="Arial" panose="020B0604020202020204"/>
              <a:cs typeface="Arial" panose="020B0604020202020204"/>
            </a:rPr>
            <a:t> </a:t>
          </a:r>
          <a:r>
            <a:rPr lang="en-US" altLang="zh-CN" sz="1000" b="0" i="0" strike="noStrike">
              <a:solidFill>
                <a:srgbClr val="0000FF"/>
              </a:solidFill>
              <a:latin typeface="Arial" panose="020B0604020202020204"/>
              <a:cs typeface="Arial" panose="020B0604020202020204"/>
            </a:rPr>
            <a:t>TB </a:t>
          </a:r>
          <a:r>
            <a:rPr lang="zh-CN" altLang="en-US" sz="1000" b="0" i="0" strike="noStrike">
              <a:solidFill>
                <a:srgbClr val="0000FF"/>
              </a:solidFill>
              <a:latin typeface="楷体_GB2312"/>
              <a:ea typeface="楷体_GB2312"/>
            </a:rPr>
            <a:t>表取数。</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2</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分录号</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调整分录号不会自动产生，请在第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行）“序号”列输入分录号。每笔分录只须输入一个分录号，不必在每行输入。输入一笔分录后，留一空行，然后再输入下一笔分录，依此类推。</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3</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摘要</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请在第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行（指相对于某笔调整分录区的第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方向”列输入摘要，输入一笔分录后，留一空行，然后再输入下一笔分录，依此类推。每笔分录只须输入一个摘要，不必在每行输入。摘要只能在第</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行“摘要</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方向”列内输入，不可分几行输入。</a:t>
          </a:r>
        </a:p>
        <a:p>
          <a:pPr algn="l" rtl="1">
            <a:defRPr sz="1000"/>
          </a:pPr>
          <a:endParaRPr lang="zh-CN" altLang="en-US" sz="1000" b="0" i="0" strike="noStrike">
            <a:solidFill>
              <a:srgbClr val="0000FF"/>
            </a:solidFill>
            <a:latin typeface="楷体_GB2312"/>
            <a:ea typeface="楷体_GB2312"/>
          </a:endParaRPr>
        </a:p>
        <a:p>
          <a:pPr algn="l" rtl="1">
            <a:defRPr sz="1000"/>
          </a:pPr>
          <a:r>
            <a:rPr lang="en-US" altLang="zh-CN" sz="1000" b="0" i="0" strike="noStrike">
              <a:solidFill>
                <a:srgbClr val="0000FF"/>
              </a:solidFill>
              <a:latin typeface="Arial" panose="020B0604020202020204"/>
              <a:cs typeface="Arial" panose="020B0604020202020204"/>
            </a:rPr>
            <a:t>4</a:t>
          </a:r>
          <a:r>
            <a:rPr lang="zh-CN" altLang="en-US" sz="1000" b="0" i="0" strike="noStrike">
              <a:solidFill>
                <a:srgbClr val="0000FF"/>
              </a:solidFill>
              <a:latin typeface="楷体_GB2312"/>
              <a:ea typeface="楷体_GB2312"/>
            </a:rPr>
            <a:t>、</a:t>
          </a:r>
          <a:r>
            <a:rPr lang="zh-CN" altLang="en-US" sz="1000" b="1" i="0" strike="noStrike">
              <a:solidFill>
                <a:srgbClr val="0000FF"/>
              </a:solidFill>
              <a:latin typeface="楷体_GB2312"/>
              <a:ea typeface="楷体_GB2312"/>
            </a:rPr>
            <a:t>增加和删除分录行</a:t>
          </a:r>
          <a:r>
            <a:rPr lang="zh-CN" altLang="en-US" sz="1000" b="0" i="0" strike="noStrike">
              <a:solidFill>
                <a:srgbClr val="0000FF"/>
              </a:solidFill>
              <a:latin typeface="楷体_GB2312"/>
              <a:ea typeface="楷体_GB2312"/>
            </a:rPr>
            <a:t>：</a:t>
          </a:r>
        </a:p>
        <a:p>
          <a:pPr algn="l" rtl="1">
            <a:defRPr sz="1000"/>
          </a:pPr>
          <a:r>
            <a:rPr lang="zh-CN" altLang="en-US" sz="1000" b="0" i="0" strike="noStrike">
              <a:solidFill>
                <a:srgbClr val="0000FF"/>
              </a:solidFill>
              <a:latin typeface="楷体_GB2312"/>
              <a:ea typeface="楷体_GB2312"/>
            </a:rPr>
            <a:t>在需要增加分录行处，点击“报表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增加分录行”，可增加</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r>
            <a:rPr lang="zh-CN" altLang="en-US" sz="1000" b="0" i="0" strike="noStrike">
              <a:solidFill>
                <a:srgbClr val="0000FF"/>
              </a:solidFill>
              <a:latin typeface="楷体_GB2312"/>
              <a:ea typeface="楷体_GB2312"/>
            </a:rPr>
            <a:t>在需要删除分录行处，点击“报表</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调整</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抵销分录</a:t>
          </a:r>
          <a:r>
            <a:rPr lang="en-US" altLang="zh-CN" sz="1000" b="0" i="0" strike="noStrike">
              <a:solidFill>
                <a:srgbClr val="0000FF"/>
              </a:solidFill>
              <a:latin typeface="Arial" panose="020B0604020202020204"/>
              <a:cs typeface="Arial" panose="020B0604020202020204"/>
            </a:rPr>
            <a:t>---</a:t>
          </a:r>
          <a:r>
            <a:rPr lang="zh-CN" altLang="en-US" sz="1000" b="0" i="0" strike="noStrike">
              <a:solidFill>
                <a:srgbClr val="0000FF"/>
              </a:solidFill>
              <a:latin typeface="楷体_GB2312"/>
              <a:ea typeface="楷体_GB2312"/>
            </a:rPr>
            <a:t>删除分录行”，可删除</a:t>
          </a:r>
          <a:r>
            <a:rPr lang="en-US" altLang="zh-CN" sz="1000" b="0" i="0" strike="noStrike">
              <a:solidFill>
                <a:srgbClr val="0000FF"/>
              </a:solidFill>
              <a:latin typeface="Arial" panose="020B0604020202020204"/>
              <a:cs typeface="Arial" panose="020B0604020202020204"/>
            </a:rPr>
            <a:t>1</a:t>
          </a:r>
          <a:r>
            <a:rPr lang="zh-CN" altLang="en-US" sz="1000" b="0" i="0" strike="noStrike">
              <a:solidFill>
                <a:srgbClr val="0000FF"/>
              </a:solidFill>
              <a:latin typeface="楷体_GB2312"/>
              <a:ea typeface="楷体_GB2312"/>
            </a:rPr>
            <a:t>行。</a:t>
          </a: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a:p>
          <a:pPr algn="l" rtl="1">
            <a:defRPr sz="1000"/>
          </a:pPr>
          <a:endParaRPr lang="zh-CN" altLang="en-US" sz="1000" b="0" i="0" strike="noStrike">
            <a:solidFill>
              <a:srgbClr val="0000FF"/>
            </a:solidFill>
            <a:latin typeface="楷体_GB2312"/>
            <a:ea typeface="楷体_GB2312"/>
          </a:endParaRP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31</xdr:row>
      <xdr:rowOff>1</xdr:rowOff>
    </xdr:from>
    <xdr:to>
      <xdr:col>10</xdr:col>
      <xdr:colOff>0</xdr:colOff>
      <xdr:row>128</xdr:row>
      <xdr:rowOff>142875</xdr:rowOff>
    </xdr:to>
    <xdr:sp macro="" textlink="">
      <xdr:nvSpPr>
        <xdr:cNvPr id="2" name="WPE_GuideTxtbox1">
          <a:hlinkClick xmlns:r="http://schemas.openxmlformats.org/officeDocument/2006/relationships" r:id="rId1" tooltip="点击返回↑"/>
        </xdr:cNvPr>
        <xdr:cNvSpPr txBox="1"/>
      </xdr:nvSpPr>
      <xdr:spPr>
        <a:xfrm>
          <a:off x="514350" y="14087476"/>
          <a:ext cx="7191375" cy="19545299"/>
        </a:xfrm>
        <a:prstGeom prst="foldedCorner">
          <a:avLst/>
        </a:prstGeom>
        <a:solidFill>
          <a:srgbClr val="F2F2F2"/>
        </a:solidFill>
        <a:ln w="19050"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zh-CN" altLang="en-US" sz="1000">
              <a:solidFill>
                <a:srgbClr val="0000FF"/>
              </a:solidFill>
              <a:latin typeface="楷体"/>
            </a:rPr>
            <a:t>指南：
</a:t>
          </a:r>
          <a:r>
            <a:rPr lang="zh-CN" altLang="en-US" sz="1000" b="0" i="0" u="none" strike="noStrike">
              <a:solidFill>
                <a:schemeClr val="dk1"/>
              </a:solidFill>
              <a:effectLst/>
              <a:latin typeface="+mn-lt"/>
              <a:ea typeface="+mn-ea"/>
              <a:cs typeface="+mn-cs"/>
            </a:rPr>
            <a:t>本底稿旨在协助我们确定：</a:t>
          </a:r>
          <a:r>
            <a:rPr lang="zh-CN" altLang="en-US" sz="1000"/>
            <a:t> </a:t>
          </a:r>
          <a:r>
            <a:rPr lang="en-US" altLang="zh-CN" sz="1000" b="0" i="0" u="none" strike="noStrike">
              <a:solidFill>
                <a:schemeClr val="dk1"/>
              </a:solidFill>
              <a:effectLst/>
              <a:latin typeface="+mn-lt"/>
              <a:ea typeface="+mn-ea"/>
              <a:cs typeface="+mn-cs"/>
            </a:rPr>
            <a:t>1.</a:t>
          </a:r>
          <a:r>
            <a:rPr lang="zh-CN" altLang="en-US" sz="1000" b="0" i="0" u="none" strike="noStrike">
              <a:solidFill>
                <a:schemeClr val="dk1"/>
              </a:solidFill>
              <a:effectLst/>
              <a:latin typeface="+mn-lt"/>
              <a:ea typeface="+mn-ea"/>
              <a:cs typeface="+mn-cs"/>
            </a:rPr>
            <a:t>是否需要修改总体审计策略和具体审计计划</a:t>
          </a:r>
          <a:r>
            <a:rPr lang="zh-CN" altLang="en-US" sz="1000"/>
            <a:t> </a:t>
          </a:r>
          <a:r>
            <a:rPr lang="en-US" altLang="zh-CN" sz="1000" b="0" i="0" u="none" strike="noStrike">
              <a:solidFill>
                <a:schemeClr val="dk1"/>
              </a:solidFill>
              <a:effectLst/>
              <a:latin typeface="+mn-lt"/>
              <a:ea typeface="+mn-ea"/>
              <a:cs typeface="+mn-cs"/>
            </a:rPr>
            <a:t>2.</a:t>
          </a:r>
          <a:r>
            <a:rPr lang="zh-CN" altLang="en-US" sz="1000" b="0" i="0" u="none" strike="noStrike">
              <a:solidFill>
                <a:schemeClr val="dk1"/>
              </a:solidFill>
              <a:effectLst/>
              <a:latin typeface="+mn-lt"/>
              <a:ea typeface="+mn-ea"/>
              <a:cs typeface="+mn-cs"/>
            </a:rPr>
            <a:t>未更正错报单独或汇总起来是否重大</a:t>
          </a:r>
          <a:r>
            <a:rPr lang="zh-CN" altLang="en-US" sz="1000"/>
            <a:t> </a:t>
          </a:r>
          <a:endParaRPr lang="en-US" altLang="zh-CN" sz="1000"/>
        </a:p>
        <a:p>
          <a:r>
            <a:rPr lang="zh-CN" altLang="en-US" sz="1000" b="1" i="0" u="none" strike="noStrike">
              <a:solidFill>
                <a:schemeClr val="dk1"/>
              </a:solidFill>
              <a:effectLst/>
              <a:latin typeface="+mn-lt"/>
              <a:ea typeface="+mn-ea"/>
              <a:cs typeface="+mn-cs"/>
            </a:rPr>
            <a:t>定义：</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第三条 错报，是指某一财务报表项目的金额、分类、列报或披露，与按照适用的财务报告编制基础应当列示的金额、分类、列报或披露之间存在的差异；或根据注册会计师的判断，为使财务报表在所有重大方面得到公允反映，需要对金额、分类、列报或披露作出的必要调整。错报可能是由于错误或舞弊导致的。</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第四条 未更正错报，是指注册会计师在审计过程中累积的且被审计单位未予更正的错报。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事实错报，是毋庸置疑的错报。</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判断错报，是由于注册会计师认为管理层对会计估计作出不合理的判断或不恰当地选择和运用会计政策而导致的差异。</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3   </a:t>
          </a:r>
          <a:r>
            <a:rPr lang="zh-CN" altLang="en-US" sz="1000" b="0" i="1" u="none" strike="noStrike">
              <a:solidFill>
                <a:schemeClr val="dk1"/>
              </a:solidFill>
              <a:effectLst/>
              <a:latin typeface="+mn-lt"/>
              <a:ea typeface="+mn-ea"/>
              <a:cs typeface="+mn-cs"/>
            </a:rPr>
            <a:t>推断错报，是注册会计师对总体存在的错报作出的最佳估计数，涉及根据在审计样本中识别出的错报来推断总体的错报。</a:t>
          </a:r>
          <a:r>
            <a:rPr lang="zh-CN" altLang="en-US" sz="1000"/>
            <a:t> </a:t>
          </a:r>
          <a:endParaRPr lang="en-US" altLang="zh-CN" sz="1000"/>
        </a:p>
        <a:p>
          <a:r>
            <a:rPr lang="zh-CN" altLang="en-US" sz="1000" b="1" i="0" u="none" strike="noStrike">
              <a:solidFill>
                <a:schemeClr val="dk1"/>
              </a:solidFill>
              <a:effectLst/>
              <a:latin typeface="+mn-lt"/>
              <a:ea typeface="+mn-ea"/>
              <a:cs typeface="+mn-cs"/>
            </a:rPr>
            <a:t>指引</a:t>
          </a:r>
          <a:r>
            <a:rPr lang="zh-CN" altLang="en-US" sz="1000"/>
            <a:t> </a:t>
          </a:r>
          <a:r>
            <a:rPr lang="en-US" altLang="zh-CN" sz="1000"/>
            <a:t>:</a:t>
          </a:r>
        </a:p>
        <a:p>
          <a:r>
            <a:rPr lang="zh-CN" altLang="en-US" sz="1000" b="1" i="1" u="none" strike="noStrike">
              <a:solidFill>
                <a:schemeClr val="dk1"/>
              </a:solidFill>
              <a:effectLst/>
              <a:latin typeface="+mn-lt"/>
              <a:ea typeface="+mn-ea"/>
              <a:cs typeface="+mn-cs"/>
            </a:rPr>
            <a:t>一、累积识别出的错报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第六条 注册会计师应当累积审计过程中识别出的错报，除非错报明显微小。</a:t>
          </a:r>
          <a:r>
            <a:rPr lang="zh-CN" altLang="en-US" sz="1000"/>
            <a:t> </a:t>
          </a:r>
          <a:endParaRPr lang="en-US" altLang="zh-CN" sz="1000"/>
        </a:p>
        <a:p>
          <a:r>
            <a:rPr lang="zh-CN" altLang="en-US" sz="1000" b="1" i="1" u="none" strike="noStrike">
              <a:solidFill>
                <a:schemeClr val="dk1"/>
              </a:solidFill>
              <a:effectLst/>
              <a:latin typeface="+mn-lt"/>
              <a:ea typeface="+mn-ea"/>
              <a:cs typeface="+mn-cs"/>
            </a:rPr>
            <a:t>二、随着审计的推进考虑识别出的错报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第七条 如果出现下列情况之一，注册会计师应当确定是否需要修改总体审计策略和具体审计计划：</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（一）识别出的错报的性质以及错报发生的环境表明可能存在其他错报，并且可能存在的其他错报与审计过程中累积的错报合计起来可能是重大的；</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（二）审计过程中累积的错报合计数接近按照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a:t>
          </a:r>
          <a:r>
            <a:rPr lang="zh-CN" altLang="en-US" sz="1000"/>
            <a:t> </a:t>
          </a:r>
          <a:r>
            <a:rPr lang="en-US" altLang="zh-CN" sz="1000" b="0" i="0" u="none" strike="noStrike">
              <a:solidFill>
                <a:schemeClr val="dk1"/>
              </a:solidFill>
              <a:effectLst/>
              <a:latin typeface="+mn-lt"/>
              <a:ea typeface="+mn-ea"/>
              <a:cs typeface="+mn-cs"/>
            </a:rPr>
            <a:t>CSA121. </a:t>
          </a:r>
          <a:r>
            <a:rPr lang="zh-CN" altLang="en-US" sz="1000" b="0" i="0" u="none" strike="noStrike">
              <a:solidFill>
                <a:schemeClr val="dk1"/>
              </a:solidFill>
              <a:effectLst/>
              <a:latin typeface="+mn-lt"/>
              <a:ea typeface="+mn-ea"/>
              <a:cs typeface="+mn-cs"/>
            </a:rPr>
            <a:t>第八条 如果管理层应注册会计师的要求，检查了某类交易、账户余额或披露并更正了已发现的错报，注册会计师应当实施追加的审计程序，以确定错报是否仍然存在。</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4   </a:t>
          </a:r>
          <a:r>
            <a:rPr lang="zh-CN" altLang="en-US" sz="1000" b="0" i="1" u="none" strike="noStrike">
              <a:solidFill>
                <a:schemeClr val="dk1"/>
              </a:solidFill>
              <a:effectLst/>
              <a:latin typeface="+mn-lt"/>
              <a:ea typeface="+mn-ea"/>
              <a:cs typeface="+mn-cs"/>
            </a:rPr>
            <a:t>错报可能不会孤立发生，一项错报的发生还可能表明存在其他错报。例如，注册会计师识别出由于内部控制失效而导致的错报，或被审计单位广泛运用不恰当的假设或评估方法而导致的错报，均可能表明还存在其他错报。</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5   </a:t>
          </a:r>
          <a:r>
            <a:rPr lang="zh-CN" altLang="en-US" sz="1000" b="0" i="1" u="none" strike="noStrike">
              <a:solidFill>
                <a:schemeClr val="dk1"/>
              </a:solidFill>
              <a:effectLst/>
              <a:latin typeface="+mn-lt"/>
              <a:ea typeface="+mn-ea"/>
              <a:cs typeface="+mn-cs"/>
            </a:rPr>
            <a:t>抽样风险和非抽样风险可能导致某些错报未被发现。审计过程中累积错报的汇总数接近按照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1221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计划和执行审计工作时的重要性</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的规定确定的重要性，则表明存在比可接受的低风险水平更大的风险，即可能未被发现的错报连同审计过程中累积错报的汇总数，可能超过重要性。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6  </a:t>
          </a:r>
          <a:r>
            <a:rPr lang="zh-CN" altLang="en-US" sz="1000" b="0" i="1" u="none" strike="noStrike">
              <a:solidFill>
                <a:schemeClr val="dk1"/>
              </a:solidFill>
              <a:effectLst/>
              <a:latin typeface="+mn-lt"/>
              <a:ea typeface="+mn-ea"/>
              <a:cs typeface="+mn-cs"/>
            </a:rPr>
            <a:t>注册会计师可能要求管理层检查某类交易、账户余额或披露，以使管理层了解注册会计师识别出的错报的发生原因，并要求管理层采取措施以确定这些交易、账户余额或披露实际发生错报的金额，以及对财务报表作出适当的调整。例如，在从审计样本中识别出的错报推断总体错报时，注册会计师可能提出这些要求。</a:t>
          </a:r>
          <a:r>
            <a:rPr lang="zh-CN" altLang="en-US" sz="1000"/>
            <a:t> </a:t>
          </a:r>
          <a:endParaRPr lang="en-US" altLang="zh-CN" sz="1000"/>
        </a:p>
        <a:p>
          <a:r>
            <a:rPr lang="zh-CN" altLang="en-US" sz="1000" b="1" i="1" u="none" strike="noStrike">
              <a:solidFill>
                <a:schemeClr val="dk1"/>
              </a:solidFill>
              <a:effectLst/>
              <a:latin typeface="+mn-lt"/>
              <a:ea typeface="+mn-ea"/>
              <a:cs typeface="+mn-cs"/>
            </a:rPr>
            <a:t>三、与管理层的沟通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第九条 除非法律法规禁止，注册会计师应当及时将审计过程中累积的所有错报与适当层级的管理层进行沟通。注册会计师还应当要求管理层更正这些错报。</a:t>
          </a:r>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第十条 如果管理层拒绝更正沟通的部分或全部错报，注册会计师应当了解管理层不更正错报的理由，并在评价财务报表整体是否不存在重大错报时考虑该理由。</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9   </a:t>
          </a:r>
          <a:r>
            <a:rPr lang="zh-CN" altLang="en-US" sz="1000" b="0" i="1" u="none" strike="noStrike">
              <a:solidFill>
                <a:schemeClr val="dk1"/>
              </a:solidFill>
              <a:effectLst/>
              <a:latin typeface="+mn-lt"/>
              <a:ea typeface="+mn-ea"/>
              <a:cs typeface="+mn-cs"/>
            </a:rPr>
            <a:t>管理层更正所有错报（包括注册会计师通报的错报），能够保持会计账簿和记录的准确性，降低由于与本期相关的、非重大的且尚未更正的错报的累积影响而导致未来期间财务报表出现重大错报的风险。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10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1501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对财务报表形成审计意见和出具审计报告</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要求注册会计师评价财务报表是否在所有重大方面按照适用的财务报告编制基础编制。这项评价包括考虑被审计单位会计实务的质量（包括表明管理层的判断可能出现偏向的迹象）。注册会计师对管理层不更正错报的理由的理解，可能影响其对被审计单位会计实务质量的考虑。</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四、评价未更正错报的影响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1</a:t>
          </a:r>
          <a:r>
            <a:rPr lang="zh-CN" altLang="en-US" sz="1000" b="1" i="1" u="none" strike="noStrike">
              <a:solidFill>
                <a:schemeClr val="dk1"/>
              </a:solidFill>
              <a:effectLst/>
              <a:latin typeface="+mn-lt"/>
              <a:ea typeface="+mn-ea"/>
              <a:cs typeface="+mn-cs"/>
            </a:rPr>
            <a:t>、重新评估重要性</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第十一条 在评价未更正错报的影响之前，注册会计师应当重新评估按照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中国注册会计师审计准则第</a:t>
          </a:r>
          <a:r>
            <a:rPr lang="en-US" altLang="zh-CN" sz="1000" b="0" i="0" u="none" strike="noStrike">
              <a:solidFill>
                <a:schemeClr val="dk1"/>
              </a:solidFill>
              <a:effectLst/>
              <a:latin typeface="+mn-lt"/>
              <a:ea typeface="+mn-ea"/>
              <a:cs typeface="+mn-cs"/>
            </a:rPr>
            <a:t>1221</a:t>
          </a:r>
          <a:r>
            <a:rPr lang="zh-CN" altLang="en-US" sz="1000" b="0" i="0" u="none" strike="noStrike">
              <a:solidFill>
                <a:schemeClr val="dk1"/>
              </a:solidFill>
              <a:effectLst/>
              <a:latin typeface="+mn-lt"/>
              <a:ea typeface="+mn-ea"/>
              <a:cs typeface="+mn-cs"/>
            </a:rPr>
            <a:t>号</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计划和执行审计工作时的重要性</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的规定确定的重要性，以根据被审计单位的实际财务结果确认其是否仍然适当。</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12   </a:t>
          </a:r>
          <a:r>
            <a:rPr lang="zh-CN" altLang="en-US" sz="1000" b="0" i="1" u="none" strike="noStrike">
              <a:solidFill>
                <a:schemeClr val="dk1"/>
              </a:solidFill>
              <a:effectLst/>
              <a:latin typeface="+mn-lt"/>
              <a:ea typeface="+mn-ea"/>
              <a:cs typeface="+mn-cs"/>
            </a:rPr>
            <a:t>如果注册会计师对重要性或重要性水平（如适用）进行的重新评价导致需要确定较低的金额，则应重新考虑实际执行的重要性和进一步审计程序的性质、时间安排和范围的适当性，以获取充分、适当的审计证据，作为发表审计意见的基础。</a:t>
          </a:r>
          <a:r>
            <a:rPr lang="zh-CN" altLang="en-US" sz="1000"/>
            <a:t> </a:t>
          </a:r>
          <a:endParaRPr lang="en-US" altLang="zh-CN" sz="1000"/>
        </a:p>
        <a:p>
          <a:pPr marL="0" indent="0"/>
          <a:r>
            <a:rPr lang="en-US" altLang="zh-CN" sz="1000" b="1" i="1" u="none" strike="noStrike">
              <a:solidFill>
                <a:schemeClr val="dk1"/>
              </a:solidFill>
              <a:effectLst/>
              <a:latin typeface="+mn-lt"/>
              <a:ea typeface="+mn-ea"/>
              <a:cs typeface="+mn-cs"/>
            </a:rPr>
            <a:t>2</a:t>
          </a:r>
          <a:r>
            <a:rPr lang="zh-CN" altLang="en-US" sz="1000" b="1" i="1" u="none" strike="noStrike">
              <a:solidFill>
                <a:schemeClr val="dk1"/>
              </a:solidFill>
              <a:effectLst/>
              <a:latin typeface="+mn-lt"/>
              <a:ea typeface="+mn-ea"/>
              <a:cs typeface="+mn-cs"/>
            </a:rPr>
            <a:t>、考虑错报的金额和性质以及错报发生的特定环境</a:t>
          </a:r>
          <a:endParaRPr lang="en-US" altLang="zh-CN" sz="1000" b="1" i="1" u="none" strike="noStrike">
            <a:solidFill>
              <a:schemeClr val="dk1"/>
            </a:solidFill>
            <a:effectLst/>
            <a:latin typeface="+mn-lt"/>
            <a:ea typeface="+mn-ea"/>
            <a:cs typeface="+mn-cs"/>
          </a:endParaRPr>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13   </a:t>
          </a:r>
          <a:r>
            <a:rPr lang="zh-CN" altLang="en-US" sz="1000" b="0" i="1" u="none" strike="noStrike">
              <a:solidFill>
                <a:schemeClr val="dk1"/>
              </a:solidFill>
              <a:effectLst/>
              <a:latin typeface="+mn-lt"/>
              <a:ea typeface="+mn-ea"/>
              <a:cs typeface="+mn-cs"/>
            </a:rPr>
            <a:t>注册会计师需要考虑每一单项错报，以评价其对相关类别的交易、账户余额或披露的影响，包括评价该项错报是否超过特定类别的交易、账户余额或披露的重要性水平（如适用）。</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14   </a:t>
          </a:r>
          <a:r>
            <a:rPr lang="zh-CN" altLang="en-US" sz="1000" b="0" i="1" u="none" strike="noStrike">
              <a:solidFill>
                <a:schemeClr val="dk1"/>
              </a:solidFill>
              <a:effectLst/>
              <a:latin typeface="+mn-lt"/>
              <a:ea typeface="+mn-ea"/>
              <a:cs typeface="+mn-cs"/>
            </a:rPr>
            <a:t>如果注册会计师认为某一单项错报是重大的，则该项错报不太可能被其他错报抵销。例如，如果收入存在重大高估，即使这项错报对收益的影响完全可被相同金额的费用高估所抵销，注册会计师仍认为财务报表整体存在重大错报。对于同一账户余额或同一类别的交易内部的错报，这种抵销可能是适当的。然而，在得出抵销非重大错报是适当的这一结论之前，需要考虑可能存在其他未被发现的错报的风险。</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15   </a:t>
          </a:r>
          <a:r>
            <a:rPr lang="zh-CN" altLang="en-US" sz="1000" b="0" i="1" u="none" strike="noStrike">
              <a:solidFill>
                <a:schemeClr val="dk1"/>
              </a:solidFill>
              <a:effectLst/>
              <a:latin typeface="+mn-lt"/>
              <a:ea typeface="+mn-ea"/>
              <a:cs typeface="+mn-cs"/>
            </a:rPr>
            <a:t>确定一项分类错报是否重大，需要进行定性评估。例如，分类错报对负债或其他合同条款的影响，对单个财务报表项目或小计数的影响，以及对关键比率的影响。即使分类错报超过了在评价其他错报时运用的重要性水平，注册会计师可能仍然认为该分类错报对财务报表整体不产生重大影响。例如，如果资产负债表项目之间的分类错报金额相对于所影响的资产负债表项目金额较小，并且对利润表或所有关键比率不产生影响，注册会计师可以认为这种分类错报对财务报表整体不产生重大影响。</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16  </a:t>
          </a:r>
          <a:r>
            <a:rPr lang="zh-CN" altLang="en-US" sz="1000" b="0" i="1" u="none" strike="noStrike">
              <a:solidFill>
                <a:schemeClr val="dk1"/>
              </a:solidFill>
              <a:effectLst/>
              <a:latin typeface="+mn-lt"/>
              <a:ea typeface="+mn-ea"/>
              <a:cs typeface="+mn-cs"/>
            </a:rPr>
            <a:t>即使某些错报低于财务报表整体的重要性，但因与这些错报相关的某些情况，在将其单独或连同在审计过程中累积的其他错报一并考虑时，注册会计师也可能将这些错报评价为重大错报。可能影响评价的情况包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）错报对遵守监管要求的影响程度；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）错报对遵守债务合同或其他合同条款的影响程度；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）错报与会计政策的不正确选择或运用相关，这些会计政策的不正确选择或运用对当期财务报表不产生重大影响，但可能对未来期间财务报表产生重大影响；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4</a:t>
          </a:r>
          <a:r>
            <a:rPr lang="zh-CN" altLang="en-US" sz="1000" b="0" i="1" u="none" strike="noStrike">
              <a:solidFill>
                <a:schemeClr val="dk1"/>
              </a:solidFill>
              <a:effectLst/>
              <a:latin typeface="+mn-lt"/>
              <a:ea typeface="+mn-ea"/>
              <a:cs typeface="+mn-cs"/>
            </a:rPr>
            <a:t>）错报掩盖收益的变化或其他趋势的程度（尤其是在结合宏观经济背景和行业状况进行考虑时）；</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5</a:t>
          </a:r>
          <a:r>
            <a:rPr lang="zh-CN" altLang="en-US" sz="1000" b="0" i="1" u="none" strike="noStrike">
              <a:solidFill>
                <a:schemeClr val="dk1"/>
              </a:solidFill>
              <a:effectLst/>
              <a:latin typeface="+mn-lt"/>
              <a:ea typeface="+mn-ea"/>
              <a:cs typeface="+mn-cs"/>
            </a:rPr>
            <a:t>）错报对用于评价被审计单位财务状况、经营成果或现金流量的有关比率的影响程度；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6</a:t>
          </a:r>
          <a:r>
            <a:rPr lang="zh-CN" altLang="en-US" sz="1000" b="0" i="1" u="none" strike="noStrike">
              <a:solidFill>
                <a:schemeClr val="dk1"/>
              </a:solidFill>
              <a:effectLst/>
              <a:latin typeface="+mn-lt"/>
              <a:ea typeface="+mn-ea"/>
              <a:cs typeface="+mn-cs"/>
            </a:rPr>
            <a:t>）错报对财务报表中列报的分部信息的影响程度。例如，错报事项对某一分部或对被审计单位的经营或盈利能力有重大影响的其他组成部分的重要程度；</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7</a:t>
          </a:r>
          <a:r>
            <a:rPr lang="zh-CN" altLang="en-US" sz="1000" b="0" i="1" u="none" strike="noStrike">
              <a:solidFill>
                <a:schemeClr val="dk1"/>
              </a:solidFill>
              <a:effectLst/>
              <a:latin typeface="+mn-lt"/>
              <a:ea typeface="+mn-ea"/>
              <a:cs typeface="+mn-cs"/>
            </a:rPr>
            <a:t>）错报对增加管理层薪酬的影响程度。例如，管理层通过达到有关奖金或其他激励政策规定的要求以增加薪酬；</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8</a:t>
          </a:r>
          <a:r>
            <a:rPr lang="zh-CN" altLang="en-US" sz="1000" b="0" i="1" u="none" strike="noStrike">
              <a:solidFill>
                <a:schemeClr val="dk1"/>
              </a:solidFill>
              <a:effectLst/>
              <a:latin typeface="+mn-lt"/>
              <a:ea typeface="+mn-ea"/>
              <a:cs typeface="+mn-cs"/>
            </a:rPr>
            <a:t>）相对于注册会计师所了解的以前向财务报表使用者传达的信息（如盈利预测），错报是重大的；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9</a:t>
          </a:r>
          <a:r>
            <a:rPr lang="zh-CN" altLang="en-US" sz="1000" b="0" i="1" u="none" strike="noStrike">
              <a:solidFill>
                <a:schemeClr val="dk1"/>
              </a:solidFill>
              <a:effectLst/>
              <a:latin typeface="+mn-lt"/>
              <a:ea typeface="+mn-ea"/>
              <a:cs typeface="+mn-cs"/>
            </a:rPr>
            <a:t>）错报对涉及特定机构或人员的项目的相关程度。例如，与被审计单位发生交易的外部机构或人员是否与管理层成员有关联关系；</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10</a:t>
          </a:r>
          <a:r>
            <a:rPr lang="zh-CN" altLang="en-US" sz="1000" b="0" i="1" u="none" strike="noStrike">
              <a:solidFill>
                <a:schemeClr val="dk1"/>
              </a:solidFill>
              <a:effectLst/>
              <a:latin typeface="+mn-lt"/>
              <a:ea typeface="+mn-ea"/>
              <a:cs typeface="+mn-cs"/>
            </a:rPr>
            <a:t>）错报涉及对某些信息的遗漏，尽管适用的财务报告编制基础未对这些信息作出明确规定，但是注册会计师根据职业判断认为这些信息对财务报表使用者了解被审计单位的财务状况、经营成果或现金流量是重要的；</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11</a:t>
          </a:r>
          <a:r>
            <a:rPr lang="zh-CN" altLang="en-US" sz="1000" b="0" i="1" u="none" strike="noStrike">
              <a:solidFill>
                <a:schemeClr val="dk1"/>
              </a:solidFill>
              <a:effectLst/>
              <a:latin typeface="+mn-lt"/>
              <a:ea typeface="+mn-ea"/>
              <a:cs typeface="+mn-cs"/>
            </a:rPr>
            <a:t>）错报对其他信息（如包含在“管理层讨论与分析”或“经营与财务回顾”中的信息）的影响程度，这些信息与已审计财务报表一同披露，并被合理预期可能影响财务报表使用者作出的经济决策。</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1521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注册会计师对含有已审计财务报表的文件中的其他信息的责任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规范了注册会计师如何考虑含有已审计财务报表的文件中的其他信息，针对这些信息，注册会计师没有出具报告的义务。</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需要指出的是，这些因素只是举例，不可能涵盖所有情况，也并非所有审计都会出现上述全部因素，仅供注册会计师参考。注册会计师不能以存在这些因素为由而必然认为错报是重大的。</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endParaRPr lang="en-US" altLang="zh-CN" sz="1000" b="0" i="0" u="none" strike="noStrike">
            <a:solidFill>
              <a:schemeClr val="dk1"/>
            </a:solidFill>
            <a:effectLst/>
            <a:latin typeface="+mn-lt"/>
            <a:ea typeface="+mn-ea"/>
            <a:cs typeface="+mn-cs"/>
          </a:endParaRPr>
        </a:p>
        <a:p>
          <a:r>
            <a:rPr lang="zh-CN" altLang="en-US" sz="1000" b="0" i="0" u="none" strike="noStrike">
              <a:solidFill>
                <a:schemeClr val="dk1"/>
              </a:solidFill>
              <a:effectLst/>
              <a:latin typeface="+mn-lt"/>
              <a:ea typeface="+mn-ea"/>
              <a:cs typeface="+mn-cs"/>
            </a:rPr>
            <a:t>（一）相对某类交易、账户余额或披露以及财务报表整体而言，错报的金额和性质以及错报发生的特定环境；</a:t>
          </a:r>
          <a:r>
            <a:rPr lang="en-US" altLang="zh-CN" sz="1000" b="0" i="0" u="none" strike="noStrike">
              <a:solidFill>
                <a:schemeClr val="dk1"/>
              </a:solidFill>
              <a:effectLst/>
              <a:latin typeface="+mn-lt"/>
              <a:ea typeface="+mn-ea"/>
              <a:cs typeface="+mn-cs"/>
            </a:rPr>
            <a:t>……</a:t>
          </a:r>
        </a:p>
        <a:p>
          <a:r>
            <a:rPr lang="zh-CN" altLang="en-US" sz="1000"/>
            <a:t> </a:t>
          </a:r>
          <a:r>
            <a:rPr lang="en-US" altLang="zh-CN" sz="1000" b="1" i="1" u="none" strike="noStrike">
              <a:solidFill>
                <a:schemeClr val="dk1"/>
              </a:solidFill>
              <a:effectLst/>
              <a:latin typeface="+mn-lt"/>
              <a:ea typeface="+mn-ea"/>
              <a:cs typeface="+mn-cs"/>
            </a:rPr>
            <a:t>3</a:t>
          </a:r>
          <a:r>
            <a:rPr lang="zh-CN" altLang="en-US" sz="1000" b="1" i="1" u="none" strike="noStrike">
              <a:solidFill>
                <a:schemeClr val="dk1"/>
              </a:solidFill>
              <a:effectLst/>
              <a:latin typeface="+mn-lt"/>
              <a:ea typeface="+mn-ea"/>
              <a:cs typeface="+mn-cs"/>
            </a:rPr>
            <a:t>、对舞弊的考虑</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17 </a:t>
          </a:r>
          <a:r>
            <a:rPr lang="zh-CN" altLang="en-US" sz="1000" b="0" i="1" u="none" strike="noStrike">
              <a:solidFill>
                <a:schemeClr val="dk1"/>
              </a:solidFill>
              <a:effectLst/>
              <a:latin typeface="+mn-lt"/>
              <a:ea typeface="+mn-ea"/>
              <a:cs typeface="+mn-cs"/>
            </a:rPr>
            <a:t>中国注册会计师审计准则第</a:t>
          </a:r>
          <a:r>
            <a:rPr lang="en-US" altLang="zh-CN" sz="1000" b="0" i="1" u="none" strike="noStrike">
              <a:solidFill>
                <a:schemeClr val="dk1"/>
              </a:solidFill>
              <a:effectLst/>
              <a:latin typeface="+mn-lt"/>
              <a:ea typeface="+mn-ea"/>
              <a:cs typeface="+mn-cs"/>
            </a:rPr>
            <a:t>1141</a:t>
          </a:r>
          <a:r>
            <a:rPr lang="zh-CN" altLang="en-US" sz="1000" b="0" i="1" u="none" strike="noStrike">
              <a:solidFill>
                <a:schemeClr val="dk1"/>
              </a:solidFill>
              <a:effectLst/>
              <a:latin typeface="+mn-lt"/>
              <a:ea typeface="+mn-ea"/>
              <a:cs typeface="+mn-cs"/>
            </a:rPr>
            <a:t>号</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财务报表审计中与舞弊相关的责任</a:t>
          </a:r>
          <a:r>
            <a:rPr lang="en-US" altLang="zh-CN" sz="1000" b="0" i="1" u="none" strike="noStrike">
              <a:solidFill>
                <a:schemeClr val="dk1"/>
              </a:solidFill>
              <a:effectLst/>
              <a:latin typeface="+mn-lt"/>
              <a:ea typeface="+mn-ea"/>
              <a:cs typeface="+mn-cs"/>
            </a:rPr>
            <a:t>》</a:t>
          </a:r>
          <a:r>
            <a:rPr lang="zh-CN" altLang="en-US" sz="1000" b="0" i="1" u="none" strike="noStrike">
              <a:solidFill>
                <a:schemeClr val="dk1"/>
              </a:solidFill>
              <a:effectLst/>
              <a:latin typeface="+mn-lt"/>
              <a:ea typeface="+mn-ea"/>
              <a:cs typeface="+mn-cs"/>
            </a:rPr>
            <a:t>说明了如何考虑由于或可能由于舞弊导致的错报对审计的其他方面的影响，即使错报金额相对财务报表而言并不重大。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第三十八条 如果识别出某项错报，注册会计师应当评价该项错报是否表明存在舞弊。如果存在舞弊的迹象，鉴于舞弊不太可能是孤立发生的事项，注册会计师应当评价该项错报对审计工作其他方面的影响，特别是对管理层声明可靠性的影响。</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第三十九条 如果识别出某项错报，并有理由认为该项错报是或可能是由于舞弊导致的，且涉及管理层，特别是涉及较高级别的管理层，无论该项错报是否重大，注册会计师都应当重新评价对由于舞弊导致的重大错报风险的评估结果，以及该结果对旨在应对评估的风险的审计程序的性质、时间安排和范围的影响。在重新考虑此前获取的审计证据的可靠性时，注册会计师还应当考虑相关的情形是否表明可能存在涉及员工、管理层或第三方的串通舞弊。</a:t>
          </a:r>
          <a:r>
            <a:rPr lang="zh-CN" altLang="en-US" sz="1000"/>
            <a:t> </a:t>
          </a:r>
          <a:endParaRPr lang="en-US" altLang="zh-CN" sz="1000"/>
        </a:p>
        <a:p>
          <a:r>
            <a:rPr lang="en-US" altLang="zh-CN" sz="1000" b="0" i="0" u="none" strike="noStrike">
              <a:solidFill>
                <a:schemeClr val="dk1"/>
              </a:solidFill>
              <a:effectLst/>
              <a:latin typeface="+mn-lt"/>
              <a:ea typeface="+mn-ea"/>
              <a:cs typeface="+mn-cs"/>
            </a:rPr>
            <a:t>CSA1141. </a:t>
          </a:r>
          <a:r>
            <a:rPr lang="zh-CN" altLang="en-US" sz="1000" b="0" i="0" u="none" strike="noStrike">
              <a:solidFill>
                <a:schemeClr val="dk1"/>
              </a:solidFill>
              <a:effectLst/>
              <a:latin typeface="+mn-lt"/>
              <a:ea typeface="+mn-ea"/>
              <a:cs typeface="+mn-cs"/>
            </a:rPr>
            <a:t>第四十条 如果确认财务报表存在由于舞弊导致的重大错报，或无法确定财务报表是否存在由于舞弊导致的重大错报，注册会计师应当评价这两种情况对审计的影响。</a:t>
          </a:r>
          <a:r>
            <a:rPr lang="zh-CN" altLang="en-US" sz="1000"/>
            <a:t> </a:t>
          </a:r>
          <a:endParaRPr lang="en-US" altLang="zh-CN" sz="1000"/>
        </a:p>
        <a:p>
          <a:r>
            <a:rPr lang="en-US" altLang="zh-CN" sz="1000" b="1" i="1" u="none" strike="noStrike">
              <a:solidFill>
                <a:schemeClr val="dk1"/>
              </a:solidFill>
              <a:effectLst/>
              <a:latin typeface="+mn-lt"/>
              <a:ea typeface="+mn-ea"/>
              <a:cs typeface="+mn-cs"/>
            </a:rPr>
            <a:t>4</a:t>
          </a:r>
          <a:r>
            <a:rPr lang="zh-CN" altLang="en-US" sz="1000" b="1" i="1" u="none" strike="noStrike">
              <a:solidFill>
                <a:schemeClr val="dk1"/>
              </a:solidFill>
              <a:effectLst/>
              <a:latin typeface="+mn-lt"/>
              <a:ea typeface="+mn-ea"/>
              <a:cs typeface="+mn-cs"/>
            </a:rPr>
            <a:t>、对与以前期间相关的未更正错报的考虑</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第十二条 注册会计师应当确定未更正错报单独或汇总起来是否重大。在确定时，注册会计师应当考虑：</a:t>
          </a:r>
          <a:r>
            <a:rPr lang="en-US" altLang="zh-CN" sz="1000" b="0" i="0" u="none" strike="noStrike">
              <a:solidFill>
                <a:schemeClr val="dk1"/>
              </a:solidFill>
              <a:effectLst/>
              <a:latin typeface="+mn-lt"/>
              <a:ea typeface="+mn-ea"/>
              <a:cs typeface="+mn-cs"/>
            </a:rPr>
            <a:t>…</a:t>
          </a:r>
          <a:r>
            <a:rPr lang="zh-CN" altLang="en-US" sz="1000" b="0" i="0" u="none" strike="noStrike">
              <a:solidFill>
                <a:schemeClr val="dk1"/>
              </a:solidFill>
              <a:effectLst/>
              <a:latin typeface="+mn-lt"/>
              <a:ea typeface="+mn-ea"/>
              <a:cs typeface="+mn-cs"/>
            </a:rPr>
            <a:t/>
          </a:r>
          <a:br>
            <a:rPr lang="zh-CN" altLang="en-US" sz="1000" b="0" i="0" u="none" strike="noStrike">
              <a:solidFill>
                <a:schemeClr val="dk1"/>
              </a:solidFill>
              <a:effectLst/>
              <a:latin typeface="+mn-lt"/>
              <a:ea typeface="+mn-ea"/>
              <a:cs typeface="+mn-cs"/>
            </a:rPr>
          </a:br>
          <a:r>
            <a:rPr lang="zh-CN" altLang="en-US" sz="1000" b="0" i="0" u="none" strike="noStrike">
              <a:solidFill>
                <a:schemeClr val="dk1"/>
              </a:solidFill>
              <a:effectLst/>
              <a:latin typeface="+mn-lt"/>
              <a:ea typeface="+mn-ea"/>
              <a:cs typeface="+mn-cs"/>
            </a:rPr>
            <a:t>（二）与以前期间相关的未更正错报对某类交易、账户余额或披露以及财务报表整体的影响。</a:t>
          </a:r>
          <a:endParaRPr lang="en-US" altLang="zh-CN" sz="1000" b="0" i="0" u="none" strike="noStrike">
            <a:solidFill>
              <a:schemeClr val="dk1"/>
            </a:solidFill>
            <a:effectLst/>
            <a:latin typeface="+mn-lt"/>
            <a:ea typeface="+mn-ea"/>
            <a:cs typeface="+mn-cs"/>
          </a:endParaRPr>
        </a:p>
        <a:p>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18  </a:t>
          </a:r>
          <a:r>
            <a:rPr lang="zh-CN" altLang="en-US" sz="1000" b="0" i="1" u="none" strike="noStrike">
              <a:solidFill>
                <a:schemeClr val="dk1"/>
              </a:solidFill>
              <a:effectLst/>
              <a:latin typeface="+mn-lt"/>
              <a:ea typeface="+mn-ea"/>
              <a:cs typeface="+mn-cs"/>
            </a:rPr>
            <a:t>与以前期间相关的非重大未更正错报的累积影响，可能对本期财务报表产生重大影响。有多种可接受的方法供注册会计师评价这些未更正错报对本期财务报表的影响。在不同期间使用相同的评价方法可以保持一致性。</a:t>
          </a:r>
          <a:endParaRPr lang="en-US" altLang="zh-CN" sz="1000" b="0" i="1" u="none" strike="noStrike">
            <a:solidFill>
              <a:schemeClr val="dk1"/>
            </a:solidFill>
            <a:effectLst/>
            <a:latin typeface="+mn-lt"/>
            <a:ea typeface="+mn-ea"/>
            <a:cs typeface="+mn-cs"/>
          </a:endParaRPr>
        </a:p>
        <a:p>
          <a:r>
            <a:rPr lang="zh-CN" altLang="en-US" sz="1000"/>
            <a:t> </a:t>
          </a:r>
          <a:r>
            <a:rPr lang="en-US" altLang="zh-CN" sz="1000" b="0" i="0" u="none" strike="noStrike">
              <a:solidFill>
                <a:schemeClr val="dk1"/>
              </a:solidFill>
              <a:effectLst/>
              <a:latin typeface="+mn-lt"/>
              <a:ea typeface="+mn-ea"/>
              <a:cs typeface="+mn-cs"/>
            </a:rPr>
            <a:t>CSA1511. </a:t>
          </a:r>
          <a:r>
            <a:rPr lang="zh-CN" altLang="en-US" sz="1000" b="0" i="0" u="none" strike="noStrike">
              <a:solidFill>
                <a:schemeClr val="dk1"/>
              </a:solidFill>
              <a:effectLst/>
              <a:latin typeface="+mn-lt"/>
              <a:ea typeface="+mn-ea"/>
              <a:cs typeface="+mn-cs"/>
            </a:rPr>
            <a:t>第十五条 如果注册会计师已经获取上期财务报表存在重大错报的审计证据，而以前对该财务报表发表了无保留意见，且对应数据未经适当重述或恰当披露，注册会计师应当就包括在财务报表中的对应数据，在审计报告中对本期财务报表发表保留意见或否定意见。</a:t>
          </a:r>
          <a:r>
            <a:rPr lang="zh-CN" altLang="en-US" sz="1000"/>
            <a:t> </a:t>
          </a:r>
          <a:endParaRPr lang="en-US" altLang="zh-CN" sz="1000"/>
        </a:p>
        <a:p>
          <a:r>
            <a:rPr lang="en-US" altLang="zh-CN" sz="1000" b="1" i="1" u="none" strike="noStrike">
              <a:solidFill>
                <a:schemeClr val="dk1"/>
              </a:solidFill>
              <a:effectLst/>
              <a:latin typeface="+mn-lt"/>
              <a:ea typeface="+mn-ea"/>
              <a:cs typeface="+mn-cs"/>
            </a:rPr>
            <a:t>5</a:t>
          </a:r>
          <a:r>
            <a:rPr lang="zh-CN" altLang="en-US" sz="1000" b="1" i="1" u="none" strike="noStrike">
              <a:solidFill>
                <a:schemeClr val="dk1"/>
              </a:solidFill>
              <a:effectLst/>
              <a:latin typeface="+mn-lt"/>
              <a:ea typeface="+mn-ea"/>
              <a:cs typeface="+mn-cs"/>
            </a:rPr>
            <a:t>、与治理层的沟通</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第十三条 除非法律法规禁止，注册会计师应当与治理层沟通未更正错报，以及这些错报单独或汇总起来可能对审计意见产生的影响。注册会计师在沟通时应当逐项指明重大的未更正错报。注册会计师应当要求被审计单位更正未更正错报。</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第十四条注册会计师应当与治理层沟通与以前期间相关的未更正错报对相关类别的交易、账户余额或披露以及财务报表整体的影响。</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21  </a:t>
          </a:r>
          <a:r>
            <a:rPr lang="zh-CN" altLang="en-US" sz="1000" b="0" i="1" u="none" strike="noStrike">
              <a:solidFill>
                <a:schemeClr val="dk1"/>
              </a:solidFill>
              <a:effectLst/>
              <a:latin typeface="+mn-lt"/>
              <a:ea typeface="+mn-ea"/>
              <a:cs typeface="+mn-cs"/>
            </a:rPr>
            <a:t>如果注册会计师就未更正错报已与负有管理责任的人员沟通，且这些人员同时负有治理责任，注册会计师无需就这些事项再次与负有治理责任的相同人员沟通。然而，注册会计师需要确信与负有管理责任人员的沟通能够向所有负有治理责任的人员充分传递应予沟通的内容。</a:t>
          </a:r>
          <a:r>
            <a:rPr lang="zh-CN" altLang="en-US" sz="1000"/>
            <a:t> </a:t>
          </a:r>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22  </a:t>
          </a:r>
          <a:r>
            <a:rPr lang="zh-CN" altLang="en-US" sz="1000" b="0" i="1" u="none" strike="noStrike">
              <a:solidFill>
                <a:schemeClr val="dk1"/>
              </a:solidFill>
              <a:effectLst/>
              <a:latin typeface="+mn-lt"/>
              <a:ea typeface="+mn-ea"/>
              <a:cs typeface="+mn-cs"/>
            </a:rPr>
            <a:t>如果存在大量单项不重大的未更正错报，注册会计师可能就未更正错报的笔数和总金额的影响进行沟通，而不是逐笔沟通单项未更正错报的细节。</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五、书面声明</a:t>
          </a:r>
          <a:r>
            <a:rPr lang="zh-CN" altLang="en-US" sz="1000"/>
            <a:t> </a:t>
          </a:r>
          <a:endParaRPr lang="en-US" altLang="zh-CN" sz="1000"/>
        </a:p>
        <a:p>
          <a:r>
            <a:rPr lang="en-US" altLang="zh-CN" sz="1000" b="0" i="0" u="none" strike="noStrike">
              <a:solidFill>
                <a:schemeClr val="dk1"/>
              </a:solidFill>
              <a:effectLst/>
              <a:latin typeface="+mn-lt"/>
              <a:ea typeface="+mn-ea"/>
              <a:cs typeface="+mn-cs"/>
            </a:rPr>
            <a:t>CSA1251. </a:t>
          </a:r>
          <a:r>
            <a:rPr lang="zh-CN" altLang="en-US" sz="1000" b="0" i="0" u="none" strike="noStrike">
              <a:solidFill>
                <a:schemeClr val="dk1"/>
              </a:solidFill>
              <a:effectLst/>
              <a:latin typeface="+mn-lt"/>
              <a:ea typeface="+mn-ea"/>
              <a:cs typeface="+mn-cs"/>
            </a:rPr>
            <a:t>第十五条  注册会计师应当要求管理层和治理层（如适用）提供书面声明，说明其是否认为未更正错报单独或汇总起来对财务报表整体的影响不重大。这些错报项目的概要应当包含在书面声明中或附在其后。</a:t>
          </a:r>
          <a:r>
            <a:rPr lang="zh-CN" altLang="en-US" sz="1000"/>
            <a:t> </a:t>
          </a:r>
          <a:endParaRPr lang="en-US" altLang="zh-CN" sz="1000"/>
        </a:p>
        <a:p>
          <a:r>
            <a:rPr lang="en-US" altLang="zh-CN" sz="1000" b="0" i="1" u="none" strike="noStrike">
              <a:solidFill>
                <a:schemeClr val="dk1"/>
              </a:solidFill>
              <a:effectLst/>
              <a:latin typeface="+mn-lt"/>
              <a:ea typeface="+mn-ea"/>
              <a:cs typeface="+mn-cs"/>
            </a:rPr>
            <a:t>CSA 1251</a:t>
          </a:r>
          <a:r>
            <a:rPr lang="zh-CN" altLang="en-US" sz="1000" b="0" i="1" u="none" strike="noStrike">
              <a:solidFill>
                <a:schemeClr val="dk1"/>
              </a:solidFill>
              <a:effectLst/>
              <a:latin typeface="+mn-lt"/>
              <a:ea typeface="+mn-ea"/>
              <a:cs typeface="+mn-cs"/>
            </a:rPr>
            <a:t>指南</a:t>
          </a:r>
          <a:r>
            <a:rPr lang="en-US" altLang="zh-CN" sz="1000" b="0" i="1" u="none" strike="noStrike">
              <a:solidFill>
                <a:schemeClr val="dk1"/>
              </a:solidFill>
              <a:effectLst/>
              <a:latin typeface="+mn-lt"/>
              <a:ea typeface="+mn-ea"/>
              <a:cs typeface="+mn-cs"/>
            </a:rPr>
            <a:t>25  </a:t>
          </a:r>
          <a:r>
            <a:rPr lang="zh-CN" altLang="en-US" sz="1000" b="0" i="1" u="none" strike="noStrike">
              <a:solidFill>
                <a:schemeClr val="dk1"/>
              </a:solidFill>
              <a:effectLst/>
              <a:latin typeface="+mn-lt"/>
              <a:ea typeface="+mn-ea"/>
              <a:cs typeface="+mn-cs"/>
            </a:rPr>
            <a:t>注册会计师在记录未更正错报时，需要考虑下列事项：</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1</a:t>
          </a:r>
          <a:r>
            <a:rPr lang="zh-CN" altLang="en-US" sz="1000" b="0" i="1" u="none" strike="noStrike">
              <a:solidFill>
                <a:schemeClr val="dk1"/>
              </a:solidFill>
              <a:effectLst/>
              <a:latin typeface="+mn-lt"/>
              <a:ea typeface="+mn-ea"/>
              <a:cs typeface="+mn-cs"/>
            </a:rPr>
            <a:t>）未更正错报的汇总影响；</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2</a:t>
          </a:r>
          <a:r>
            <a:rPr lang="zh-CN" altLang="en-US" sz="1000" b="0" i="1" u="none" strike="noStrike">
              <a:solidFill>
                <a:schemeClr val="dk1"/>
              </a:solidFill>
              <a:effectLst/>
              <a:latin typeface="+mn-lt"/>
              <a:ea typeface="+mn-ea"/>
              <a:cs typeface="+mn-cs"/>
            </a:rPr>
            <a:t>）对是否超过特定类别的交易、账户余额或披露的重要性水平作出的评价；</a:t>
          </a:r>
          <a:br>
            <a:rPr lang="zh-CN" altLang="en-US" sz="1000" b="0" i="1" u="none" strike="noStrike">
              <a:solidFill>
                <a:schemeClr val="dk1"/>
              </a:solidFill>
              <a:effectLst/>
              <a:latin typeface="+mn-lt"/>
              <a:ea typeface="+mn-ea"/>
              <a:cs typeface="+mn-cs"/>
            </a:rPr>
          </a:br>
          <a:r>
            <a:rPr lang="zh-CN" altLang="en-US" sz="1000" b="0" i="1" u="none" strike="noStrike">
              <a:solidFill>
                <a:schemeClr val="dk1"/>
              </a:solidFill>
              <a:effectLst/>
              <a:latin typeface="+mn-lt"/>
              <a:ea typeface="+mn-ea"/>
              <a:cs typeface="+mn-cs"/>
            </a:rPr>
            <a:t>（</a:t>
          </a:r>
          <a:r>
            <a:rPr lang="en-US" altLang="zh-CN" sz="1000" b="0" i="1" u="none" strike="noStrike">
              <a:solidFill>
                <a:schemeClr val="dk1"/>
              </a:solidFill>
              <a:effectLst/>
              <a:latin typeface="+mn-lt"/>
              <a:ea typeface="+mn-ea"/>
              <a:cs typeface="+mn-cs"/>
            </a:rPr>
            <a:t>3</a:t>
          </a:r>
          <a:r>
            <a:rPr lang="zh-CN" altLang="en-US" sz="1000" b="0" i="1" u="none" strike="noStrike">
              <a:solidFill>
                <a:schemeClr val="dk1"/>
              </a:solidFill>
              <a:effectLst/>
              <a:latin typeface="+mn-lt"/>
              <a:ea typeface="+mn-ea"/>
              <a:cs typeface="+mn-cs"/>
            </a:rPr>
            <a:t>）就未更正错报对关键比率或趋势以及遵守法律法规、监管要求与合同要求（如债务合同）的影响作出的评价。</a:t>
          </a:r>
          <a:endParaRPr lang="en-US" altLang="zh-CN" sz="1000" b="0" i="1" u="none" strike="noStrike">
            <a:solidFill>
              <a:schemeClr val="dk1"/>
            </a:solidFill>
            <a:effectLst/>
            <a:latin typeface="+mn-lt"/>
            <a:ea typeface="+mn-ea"/>
            <a:cs typeface="+mn-cs"/>
          </a:endParaRPr>
        </a:p>
        <a:p>
          <a:r>
            <a:rPr lang="zh-CN" altLang="en-US" sz="1000"/>
            <a:t> </a:t>
          </a:r>
          <a:r>
            <a:rPr lang="zh-CN" altLang="en-US" sz="1000" b="1" i="1" u="none" strike="noStrike">
              <a:solidFill>
                <a:schemeClr val="dk1"/>
              </a:solidFill>
              <a:effectLst/>
              <a:latin typeface="+mn-lt"/>
              <a:ea typeface="+mn-ea"/>
              <a:cs typeface="+mn-cs"/>
            </a:rPr>
            <a:t>六、对集团财务报表审计的特殊考虑</a:t>
          </a:r>
          <a:r>
            <a:rPr lang="zh-CN" altLang="en-US" sz="1000"/>
            <a:t> </a:t>
          </a:r>
          <a:r>
            <a:rPr lang="en-US" altLang="zh-CN" sz="1000" b="0" i="0" u="none" strike="noStrike">
              <a:solidFill>
                <a:schemeClr val="dk1"/>
              </a:solidFill>
              <a:effectLst/>
              <a:latin typeface="+mn-lt"/>
              <a:ea typeface="+mn-ea"/>
              <a:cs typeface="+mn-cs"/>
            </a:rPr>
            <a:t>CSA1401. </a:t>
          </a:r>
          <a:r>
            <a:rPr lang="zh-CN" altLang="en-US" sz="1000" b="0" i="0" u="none" strike="noStrike">
              <a:solidFill>
                <a:schemeClr val="dk1"/>
              </a:solidFill>
              <a:effectLst/>
              <a:latin typeface="+mn-lt"/>
              <a:ea typeface="+mn-ea"/>
              <a:cs typeface="+mn-cs"/>
            </a:rPr>
            <a:t>第五十八条  集团项目合伙人应当评价未更正错报（无论该错报是由集团项目组识别出的还是由组成部分注册会计师告知的）和未能获取充分、适当的审计证据的情况对集团审计意见的影响。</a:t>
          </a:r>
          <a:r>
            <a:rPr lang="zh-CN" altLang="en-US" sz="1000"/>
            <a:t> </a:t>
          </a:r>
          <a:endParaRPr lang="zh-CN" altLang="en-US" sz="1000">
            <a:solidFill>
              <a:srgbClr val="0000FF"/>
            </a:solidFill>
            <a:latin typeface="楷体"/>
          </a:endParaRPr>
        </a:p>
      </xdr:txBody>
    </xdr:sp>
    <xdr:clientData fPrintsWithSheet="0"/>
  </xdr:twoCellAnchor>
  <xdr:twoCellAnchor editAs="oneCell">
    <xdr:from>
      <xdr:col>5</xdr:col>
      <xdr:colOff>0</xdr:colOff>
      <xdr:row>7</xdr:row>
      <xdr:rowOff>0</xdr:rowOff>
    </xdr:from>
    <xdr:to>
      <xdr:col>5</xdr:col>
      <xdr:colOff>482600</xdr:colOff>
      <xdr:row>7</xdr:row>
      <xdr:rowOff>228600</xdr:rowOff>
    </xdr:to>
    <xdr:sp macro="" textlink="">
      <xdr:nvSpPr>
        <xdr:cNvPr id="3" name="WPE_GuideButton1">
          <a:hlinkClick xmlns:r="http://schemas.openxmlformats.org/officeDocument/2006/relationships" r:id="rId2" tooltip="点击阅读相关指南↓"/>
        </xdr:cNvPr>
        <xdr:cNvSpPr/>
      </xdr:nvSpPr>
      <xdr:spPr>
        <a:xfrm>
          <a:off x="4000500" y="1609725"/>
          <a:ext cx="482600" cy="228600"/>
        </a:xfrm>
        <a:prstGeom prst="wedgeRoundRectCallout">
          <a:avLst/>
        </a:prstGeom>
        <a:solidFill>
          <a:srgbClr val="EBF0F5"/>
        </a:solidFill>
        <a:ln w="19050">
          <a:solidFill>
            <a:srgbClr val="8064A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zh-CN" altLang="en-US" sz="1000">
              <a:solidFill>
                <a:srgbClr val="000000"/>
              </a:solidFill>
              <a:latin typeface="楷体"/>
            </a:rPr>
            <a:t>指南</a:t>
          </a:r>
        </a:p>
      </xdr:txBody>
    </xdr:sp>
    <xdr:clientData fPrintsWithSheet="0"/>
  </xdr:twoCellAnchor>
  <xdr:twoCellAnchor editAs="oneCell">
    <xdr:from>
      <xdr:col>1</xdr:col>
      <xdr:colOff>38100</xdr:colOff>
      <xdr:row>1</xdr:row>
      <xdr:rowOff>38100</xdr:rowOff>
    </xdr:from>
    <xdr:to>
      <xdr:col>2</xdr:col>
      <xdr:colOff>209479</xdr:colOff>
      <xdr:row>1</xdr:row>
      <xdr:rowOff>304767</xdr:rowOff>
    </xdr:to>
    <xdr:pic>
      <xdr:nvPicPr>
        <xdr:cNvPr id="5" name="logo12_gt_wpe"/>
        <xdr:cNvPicPr>
          <a:picLocks noChangeAspect="1"/>
        </xdr:cNvPicPr>
      </xdr:nvPicPr>
      <xdr:blipFill>
        <a:blip xmlns:r="http://schemas.openxmlformats.org/officeDocument/2006/relationships" r:link="rId3">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9454</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1</xdr:col>
      <xdr:colOff>609529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38100</xdr:colOff>
      <xdr:row>1</xdr:row>
      <xdr:rowOff>38100</xdr:rowOff>
    </xdr:from>
    <xdr:to>
      <xdr:col>2</xdr:col>
      <xdr:colOff>209479</xdr:colOff>
      <xdr:row>1</xdr:row>
      <xdr:rowOff>304767</xdr:rowOff>
    </xdr:to>
    <xdr:pic>
      <xdr:nvPicPr>
        <xdr:cNvPr id="3" name="logo12_gt_wpe"/>
        <xdr:cNvPicPr>
          <a:picLocks noChangeAspect="1"/>
        </xdr:cNvPicPr>
      </xdr:nvPicPr>
      <xdr:blipFill>
        <a:blip xmlns:r="http://schemas.openxmlformats.org/officeDocument/2006/relationships" r:link="rId1">
          <a:clrChange>
            <a:clrFrom>
              <a:srgbClr val="FCFCFC"/>
            </a:clrFrom>
            <a:clrTo>
              <a:srgbClr val="FCFCFC">
                <a:alpha val="0"/>
              </a:srgbClr>
            </a:clrTo>
          </a:clrChange>
        </a:blip>
        <a:stretch>
          <a:fillRect/>
        </a:stretch>
      </xdr:blipFill>
      <xdr:spPr>
        <a:xfrm>
          <a:off x="552450" y="247650"/>
          <a:ext cx="571429" cy="26666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OY-780275\aws\Alks\2001\0112\01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Audit_k6\Michelle\Epro\Epro%20Beixin%206-01%20WP.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OY-780275\aws\Alks\2000\2K12\Audit\0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WINDOWS\TEMP\notesE1EF34\PBC\PBC0412\SEGC%20detailed%20PBC%20liab_041231%20(draft)%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arles-406278\ICBC\Documents%20and%20Settings\770515\Desktop\Leadschedule_Master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1pc5\&#21016;&#26126;&#23039;\&#25240;&#26087;&#27979;&#3163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ocuments%20and%20Settings\fengye.gao\Desktop\SPMC_0612\PBC\subsidiary\&#22269;&#36164;&#22996;\PBC_1&#36164;&#20135;&#31867;&#31185;&#30446;_31122006_1129.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24037;&#20316;\2013&#24180;&#23457;&#35745;\&#24180;&#24230;&#23457;&#35745;\&#26085;&#20986;&#19996;&#26041;\2013&#24180;&#23457;&#23450;&#25968;&#25454;\real&#25253;&#34920;0315&#23457;&#23450;&#34920;\101&#20010;&#21035;&#25253;&#34920;_2013_&#26085;&#20986;&#19996;&#26041;_V0.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2018&#24180;&#39033;&#30446;\2&#12289;&#28023;&#28286;&#29615;&#22659;\2&#12289;&#21322;&#24180;&#25253;&#36164;&#26009;\2&#12289;&#20010;&#25253;&#31995;&#32479;\2018&#24180;&#20010;&#25253;&#31995;&#32479;\101&#20010;&#21035;&#25253;&#34920;_2018&#24180;1&#65293;6&#26376;_&#28023;&#28286;&#29615;&#22659;_V0.4.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1\2016&#24180;&#20010;&#25253;&#31995;&#32479;\106&#20010;&#21035;&#25253;&#34920;_2016_&#39321;&#28207;&#22825;&#21512;_V0.4.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ocuments%20and%20Settings\fengye.gao\Desktop\SPMC_0612\PBC\subsidiary\PBC_0&#25253;&#34920;&#21450;&#27010;&#20917;_31122006_101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y_cen_fs1\cen_disk\Documents%20and%20Settings\405612\Desktop\Air%20China\DTT\2001%20DTT%20ADJ.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39033;&#30446;\&#24378;&#30427;&#21270;&#24037;\2017&#24180;630&#23457;&#35745;\2017&#24180;630&#24378;&#30427;&#32929;&#20221;&#25253;&#34920;\101&#20010;&#21035;&#25253;&#34920;_2017&#24180;1&#65293;6&#26376;_&#24378;&#30427;&#32929;&#20221;_V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Ben-780642\finance%20company\Documents%20and%20Settings\780000\My%20Documents\ICBC\section\my%20section\cl-2004-4\DOCUME~1\405861\LOCALS~1\Temp\audit\2000&#24180;&#19994;&#21153;&#35268;&#33539;\&#25552;&#20379;&#20989;\&#25991;&#26412;&#25552;&#20379;&#20989;\&#19978;&#24066;&#20844;&#21496;\EXCEL\&#23457;&#26680;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WORK\&#19994;&#21153;&#27169;&#29256;\2010\Book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DOCUME~1\wbw1\LOCALS~1\Temp\Rar$DI01.953\Finance%20co_PBC_assets%20(rev).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project\SHE\2005%20Annual\Planning\PBC\Delivery\SEGC%20PBC%20assets_05123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JOY-780275\aws\Alks\9908EST\1999Bud\9999\Bud9\KS\99BUDMISAL.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Ben-780642\finance%20company\Documents%20and%20Settings\770463\My%20Documents\My%20Job\Huaxia\HX%20June%202002\Investment\Anno's%20workdone\PBC\To%20stephen\To%20stephen\9D4FF100"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harles-406278\ICBC\ICBC\Zhejiang\Salary%20Movemen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Documents%20and%20Settings\jiangr.NETVISTA\&#26700;&#38754;\0923\&#38144;&#21806;&#25910;&#27454;&#24490;&#29615;&#35774;&#35745;&#27169;&#22411;V831&#65288;&#21152;&#36733;&#65289;.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Documents%20and%20Settings\jiangr.NETVISTA\&#26700;&#38754;\0923\&#36130;&#21153;&#31649;&#29702;&#24490;&#29615;&#35774;&#35745;&#27169;&#22411;&#65288;&#21152;&#36733;&#65289;V90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May1\d\My%20Documents\Excel\Data\Tinh%20tong%20hop%20du%20toan.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D:\ESD\P3(Qg-Bao)\Kiemtr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y1\d\NAM98\DUTOAN\Tinh%20tong%20hop%20du%20toan%20bi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Kt09\f\DOCUME~1\VTDKHO~1.VIN\LOCALS~1\Temp\Rar$DI00.375\HOAITHUONG\BAO%20CAO%20XNT%20CK%2010\LE_HUONG\UNC_GIAY%20NHAN%20N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D:\2007\&#26234;&#32988;&#21270;&#24037;\&#26234;&#32988;&#21270;&#24037;&#23457;&#35745;\&#26234;&#32988;&#21270;&#24037;_2005_&#25913;&#21046;.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WINNT\temp\c.lotus.notes.data\SHE\PBC%20and%20former%20files\&#21512;&#24182;&#25253;&#34920;&#23578;&#38656;&#36164;&#26009;\&#21494;&#26000;&#30340;&#25991;&#20214;&#22841;\&#26032;&#24314;&#25991;&#20214;&#22841;\SYS\TEMP\MAN-2000-6&#20013;&#2599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Documents%20and%20Settings\fengye.gao\Desktop\SEGC_0612\PBC\1205\SEGC%20PBC%20Liability%20and%20P&amp;L_061231%20for%20Finance%20&amp;%20Lease%20Co..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Job\SHE\200412\2004BS%20combined%20notes\G\G_200412\Consol%20pack%20I_G%20(Power%20Station)_050128_%20v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WINNT\temp\Rar$DI23.3811\SEGC_detailed%20pbc_assets_Sept%202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E:\Users\Administrator.CNBJ-20170305LJ\Desktop\103&#20010;&#21035;&#25253;&#34920;_2017&#24180;&#24230;_&#20449;&#38597;&#32511;&#28304;_V0.1.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work\2015&#24180;&#23457;&#35745;\&#26118;&#23665;&#30334;&#28070;&#31185;&#25216;&#26377;&#38480;&#20844;&#21496;\&#21512;&#24182;&#25253;&#34920;\&#21512;&#24182;&#23457;&#35745;&#25253;&#21578;&#65288;&#27491;&#24335;&#31295;&#65289;\&#21512;&#24182;&#25253;&#34920;_&#26118;&#23665;&#30334;&#28070;_V0.1-&#26368;&#26032;\&#21512;&#24182;&#25253;&#34920;_&#26118;&#23665;&#30334;&#28070;_V0.1-&#26368;&#26032;\101C&#21512;&#24182;&#25253;&#34920;_2014_&#26118;&#23665;&#30334;&#28070;_V0.1.xlsx"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Worksheet%20in%205441-H01%20Stock%20provision%20Movement"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A:\WINNT\temp\CONSO%20PACKAGE\DF%20consol%20package-2004-07-01(tang)%203.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JOANNA-780174\aws\Documents%20and%20Settings\780000\Desktop\Rich%20Product\2002\U%20Section\RP_02_Workingpaper_E.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E:\My%20Documents\Projects\SEGC3\21\SEGC%20consol%20package_040930%20(update).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Iris-770538\Consol%20ICBC\AFS%20Notes\Shandong\clear%20Q\DOCUME~1\405861\LOCALS~1\Temp\audit\2000&#24180;&#19994;&#21153;&#35268;&#33539;\&#25552;&#20379;&#20989;\&#25991;&#26412;&#25552;&#20379;&#20989;\&#19978;&#24066;&#20844;&#21496;\EXCEL\&#23457;&#26680;2.XLS"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Worksheet%20in%208240%20COS%20breakdown"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J:\Documents%20and%20Settings\fdiagou\My%20Documents\Personnal\Dashboard\Folder\SampleData.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WINNT\temp\SEGC_detailed%20pbc_liab.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E:\&#29572;&#36890;&#20379;&#24212;&#38142;-&#21069;&#26399;&#24213;&#31295;\&#29572;&#36890;&#20379;&#24212;&#38142;&#35843;&#25972;&#31995;&#32479;\&#30693;&#35782;\&#24037;&#20855;\&#20010;&#25253;&#24213;&#31295;\&#20010;&#21035;&#25253;&#34920;&#19982;&#25253;&#21578;(2012)\&#20010;&#21035;&#25253;&#34920;&#19982;&#25253;&#21578;(&#23457;&#23450;)\&#20010;&#21035;&#25253;&#34920;12\&#20256;&#33402;&#31185;&#25216;&#21069;&#26399;&#36164;&#26009;\&#25253;&#34920;&#35843;&#25972;20130121&#65288;&#25353;15%25&#27979;&#31639;&#65289;\&#20010;&#21035;&#25253;&#34920;_201112_&#27743;&#33487;&#20256;&#33402;.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29572;&#36890;&#20379;&#24212;&#38142;-&#21069;&#26399;&#24213;&#31295;\&#29572;&#36890;&#20379;&#24212;&#38142;&#35843;&#25972;&#31995;&#32479;\&#30693;&#35782;\&#24037;&#20855;\&#20256;&#33402;&#38598;&#22242;&#23457;&#35745;\02%20&#20010;&#25253;\2014&#24180;&#26368;&#32456;&#29256;\101&#20010;&#21035;&#25253;&#34920;_2014&#24180;1&#65293;9&#26376;_&#27743;&#33487;&#20256;&#33402;_V0.1.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29572;&#36890;&#20379;&#24212;&#38142;-&#21069;&#26399;&#24213;&#31295;\&#29572;&#36890;&#20379;&#24212;&#38142;&#35843;&#25972;&#31995;&#32479;\&#30693;&#35782;\&#24037;&#20855;\&#20256;&#33402;&#38598;&#22242;&#23457;&#35745;\02%20&#20010;&#25253;\2014&#24180;&#26368;&#32456;&#29256;\101&#20010;&#21035;&#25253;&#34920;_2012_&#20256;&#33402;&#31185;&#25216;_V0.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audit\2008&#23457;&#35745;\&#19996;&#23665;&#38051;&#37329;\&#29616;&#37329;&#27969;&#37327;&#34920;\&#27704;&#21019;\&#27704;&#21019;2008\&#27704;&#21019;_2008&#24180;1-9&#26376;_&#20854;&#20182;&#24212;&#25910;&#27454;.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E:\&#29572;&#36890;&#20379;&#24212;&#38142;-&#21069;&#26399;&#24213;&#31295;\&#29572;&#36890;&#20379;&#24212;&#38142;&#35843;&#25972;&#31995;&#32479;\&#30693;&#35782;\&#24037;&#20855;\&#20010;&#25253;&#24213;&#31295;\&#20010;&#21035;&#25253;&#34920;&#19982;&#25253;&#21578;(2012)\&#20010;&#21035;&#25253;&#34920;&#19982;&#25253;&#21578;(&#23457;&#23450;)\&#20010;&#21035;&#25253;&#34920;12\&#20010;&#21035;&#25253;&#34920;_201212_&#27743;&#33487;&#20256;&#33402;.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work\2015&#24180;&#23457;&#35745;\&#27743;&#33487;&#27704;&#33862;&#30003;&#25253;\&#21512;&#24182;&#25253;&#34920;\&#25253;&#34920;01_&#24120;&#24030;&#21451;&#37030;_&#26032;&#19977;&#26495;.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audit\2007&#23457;&#35745;\&#19996;&#23665;&#38051;&#37329;\&#38051;&#37329;&#26412;&#37096;\&#21516;&#20107;\&#38051;&#37329;_2008&#24180;1-3&#26376;_wxy&#24213;&#31295;.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E:\&#29572;&#36890;&#20379;&#24212;&#38142;-&#21069;&#26399;&#24213;&#31295;\&#29572;&#36890;&#20379;&#24212;&#38142;&#35843;&#25972;&#31995;&#32479;\&#30693;&#35782;\&#24037;&#20855;\&#20010;&#25253;&#24213;&#31295;\2012&#20256;&#33402;&#31185;&#25216;&#24213;&#31295;\2012&#20256;&#33402;&#31185;&#25216;-&#20462;&#25913;&#21518;\&#20256;&#33402;&#31185;&#25216;_2012_&#34081;&#29618;&#65288;&#20025;&#24420;&#20462;&#25913;&#29256;&#65289;.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E:\Documents%20and%20Settings\wangxing\My%20Documents\&#37329;&#27185;&#29615;&#20445;&#22266;&#23450;&#36164;&#20135;.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CYW\&#26412;&#25152;&#35268;&#33539;&#21046;&#23450;\&#19994;&#21153;&#35268;&#33539;\&#25552;&#20379;&#20989;\&#25991;&#26412;&#25552;&#20379;&#20989;\&#38750;&#19978;&#24066;&#20844;&#21496;\&#25552;&#20379;&#20989;&#65288;&#25191;&#34892;&#20225;&#19994;&#20250;&#35745;&#21046;&#24230;&#30340;&#38750;&#19978;&#24066;&#20844;&#21496;&#36866;&#29992;&#65289;2003&#24180;&#29256;&#65288;1&#65289;.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E:\WORK\CASE\2010\&#24314;&#21457;&#25151;&#20135;\&#31119;&#24030;&#29255;&#21306;\&#31119;&#24314;&#22025;&#31077;\&#31119;&#24314;&#22025;&#31077;_2009_&#40644;&#26216;&#26196;.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My%20Documents\Book1.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31526;&#30427;&#20016;\2002&#24180;3&#23395;&#24230;\DOCUME~1\405861\LOCALS~1\Temp\audit\2000&#24180;&#19994;&#21153;&#35268;&#33539;\&#25552;&#20379;&#20989;\&#25991;&#26412;&#25552;&#20379;&#20989;\&#19978;&#24066;&#20844;&#21496;\EXCEL\&#23457;&#26680;2.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D:\audit\2007&#23457;&#35745;\&#19996;&#23665;&#38051;&#37329;\&#38051;&#37329;&#26412;&#37096;\&#19996;&#23665;&#38051;&#37329;_2008&#24180;1-3&#26376;_&#38144;&#21806;&#19982;&#25910;&#27454;&#24490;&#2961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Jingle-780365\20041231\Documents%20and%20Settings\780000\Desktop\SHE\20041231\consol%20workingpaer\question\Consol_VD.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E:\WORK\CASE\2010\&#24314;&#21457;&#25151;&#20135;\&#31119;&#24314;&#38271;&#30427;\&#31119;&#24030;&#38271;&#30427;_2009_&#40644;&#26216;&#26196;.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E:\WINDOWS\TEMP\notesE1EF34\EY%20work\SHE1\20051231\&#19978;&#28023;&#30005;&#27668;&#38598;&#22242;&#32929;&#20221;&#26377;&#38480;&#20844;&#21496;&#25237;&#36164;&#28165;&#21333;&#65293;10.31.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E:\Users\lvye\Desktop\&#26085;&#20986;&#19996;&#26041;&#24213;&#31295;&#21450;&#20010;&#25253;0330\&#21512;&#24182;&#25253;&#34920;_2011&#24180;&#22825;&#20581;&#27491;&#20449;&#26684;&#24335;&#19981;&#20351;&#29992;.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E:\Documents%20and%20Settings\fengye.gao\Desktop\SPMC_0612\PBC\subsidiary\PBC_2&#36127;&#20538;&#31867;&#21450;&#26435;&#30410;&#31867;&#31185;&#30446;_31122006_1010.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E:\WINNT\temp\Rar$DI00.844\SHE\Finance%20Company\Finalized%20Section\Sections\U%20others\02.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D:\&#19994;&#21153;\2006&#24180;&#24230;&#19994;&#21153;\&#38051;&#37329;new\070831\&#33487;&#24030;&#38051;&#37329;_2006_&#24212;&#20184;&amp;&#22266;&#23450;&#36164;&#20135;_070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D:\audit\2008&#23457;&#35745;\&#19996;&#23665;&#38051;&#37329;\&#27704;&#21019;&#37329;&#23646;\&#27704;&#21019;&#37329;&#23646;_2008&#24180;1-9&#26376;_&#38144;&#21806;&#19982;&#25910;&#27454;&#24490;&#29615;.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E:\WINNT\Temp\PBC-liability.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WINDOWS\TEMP\notesE1EF34\SEGC%20PBC%20Liability%20and%20P&amp;L_051231%20for%20Finance%20Co..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WINNT\temp\c.lotus.notes.data\&#23453;&#38050;H&#32929;\&#25151;&#23627;\&#19968;,&#20108;&#26399;&#26368;&#32456;&#29256;\&#35774;&#22791;&#37096;&#25151;&#23627;&#24314;&#31569;&#29289;&#28165;&#26597;&#35780;&#20272;&#26126;&#32454;&#34920;(&#25552;&#20132;&#29256;&#65289;.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Ben-780642\finance%20company\Documents%20and%20Settings\770531\Desktop\ICBC%20ZHJ\ICBC%20Hangzhou-lea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E:\WINNT\temp\SEGC%20consol%20package_040930.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E:\My%20Documents\&#37041;&#27029;&#23077;\&#24037;&#31243;&#31649;&#29702;&#20013;&#24515;&#20107;&#23452;\4&#12289;&#26032;&#39033;&#30446;&#30446;&#26631;&#25104;&#26412;&#32479;&#35745;\&#26032;&#39033;&#30446;&#25104;&#26412;\2012.5&#26376;&#65306;&#30446;&#26631;&#25104;&#26412;&#35843;&#25972;&#65288;&#32654;&#33489;&#12289;&#28023;&#35199;&#65289;\&#21322;&#23665;&#24481;&#26223;\&#21322;&#23665;&#24481;&#26223;03\ok2012.9.6&#35843;&#25972;&#31295;\Documents%20and%20Settings\zhengxy\Local%20Settings\Temporary%20Internet%20Files\2009P05&#65293;A4,B3&#22320;&#22359;(100222&#25253;&#36130;&#21153;).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E:\WORK\CASE\2010\&#24314;&#21457;&#25151;&#20135;\&#31119;&#24030;&#29255;&#21306;\&#31119;&#24314;&#38271;&#30427;\&#31119;&#24030;&#38271;&#30427;_2009_&#40644;&#26216;&#26196;.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E:\tmp\Rar$DI00.297\&#26032;&#26087;&#20934;&#21017;&#34900;&#25509;&#25253;&#34920;&#35843;&#25972;&#31995;&#32479;_&#31119;&#24314;&#20806;&#20016;_200902.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Documents%20and%20Settings\admin\&#26700;&#38754;\&#33829;&#19994;&#22806;&#25910;&#25903;&#27169;&#26495;.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090221&#32461;&#20852;&#37329;&#40857;\&#32461;&#20852;&#37329;&#40857;2009\&#32461;&#20852;&#37329;&#40857;_2009_&#21556;&#31168;&#29645;.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D:\DOCUME~1\OWNER~1.LEN\LOCALS~1\Temp\Rar$DI05.531\(&#24213;&#31295;1)&#27704;&#21019;&#37329;&#23646;_2008&#24180;1-3&#26376;_&#23384;&#36135;&#21644;&#25104;&#26412;.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E:\WINDOWS\TEMP\notesE1EF34\PBC%20&amp;%20Pack\SEGC%20detailed%20PBC%20assets_050630.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E:\&#31119;&#24030;&#29255;&#21306;\&#24037;&#20316;&#24213;&#31295;_&#31119;&#24314;&#21451;&#39034;\&#31119;&#24314;&#21451;&#39034;_2009_&#40644;&#26216;&#26196;.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E:\SHE\PBC\30092005\PBC_1&#36164;&#20135;&#31867;&#31185;&#30446;_30092005.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Users/Administrator.CNBJ-20161220VE/Desktop/2018&#24180;&#26368;&#32456;&#29256;&#25253;&#34920;/111&#20010;&#21035;&#25253;&#34920;_2018&#24180;&#24230;_&#21147;&#33778;&#20811;_V0.1.xlsx"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E:\Users\Administrator.CNBJ-20170305LJ\Desktop\&#34218;&#37228;&#26679;&#26412;.xlsx"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E:\&#39033;&#30446;\&#24378;&#30427;&#21270;&#24037;\2017&#24180;630&#23457;&#35745;\2017&#24180;630&#24378;&#30427;&#32929;&#20221;&#25253;&#34920;\105&#20010;&#21035;&#25253;&#34920;_2017&#24180;1&#65293;6&#26376;_&#28392;&#27743;&#21270;&#24037;_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NPR"/>
      <sheetName val="A1"/>
      <sheetName val="D2"/>
      <sheetName val="D3"/>
      <sheetName val="D4RP"/>
      <sheetName val="D5"/>
      <sheetName val="D9"/>
      <sheetName val="Investment"/>
      <sheetName val="P1total"/>
      <sheetName val="P1-EDS"/>
      <sheetName val="P1-OPR PVF"/>
      <sheetName val="P1-PDS"/>
      <sheetName val="P1A"/>
      <sheetName val="P2A"/>
      <sheetName val="P2"/>
      <sheetName val="P3"/>
      <sheetName val="CF1"/>
      <sheetName val="ITIS"/>
      <sheetName val="BS"/>
      <sheetName val="PL"/>
      <sheetName val="P1L"/>
      <sheetName val="P1AL"/>
      <sheetName val="P2L"/>
      <sheetName val="P2AL"/>
      <sheetName val="P3L"/>
    </sheetNames>
    <sheetDataSet>
      <sheetData sheetId="0"/>
      <sheetData sheetId="1">
        <row r="23">
          <cell r="G23">
            <v>-611060.56000000006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 Ck"/>
      <sheetName val="A4-1 HK VS PRC PL"/>
      <sheetName val="A4-1-1 HK Vs PRC BS"/>
      <sheetName val="A3 &amp; U 12-00"/>
      <sheetName val="A5"/>
      <sheetName val="A5-1"/>
      <sheetName val="A5-2"/>
      <sheetName val="A6-2 RPT"/>
      <sheetName val="A8"/>
      <sheetName val="C"/>
      <sheetName val="E"/>
      <sheetName val="E1"/>
      <sheetName val="I"/>
      <sheetName val="O - Tax"/>
      <sheetName val="O1 - VAT"/>
      <sheetName val="O1-1 VAT entries"/>
      <sheetName val="P2 - Search"/>
      <sheetName val="U1"/>
      <sheetName val="U2 -  Expenses"/>
      <sheetName val="U2-1 Salaries"/>
      <sheetName val="U2-2 Rent"/>
      <sheetName val="Exp diff"/>
      <sheetName val="O1 - VAT (2)"/>
      <sheetName val="Sheet15"/>
      <sheetName val="Sheet16"/>
      <sheetName val="Sheet1"/>
      <sheetName val="Sheet2"/>
      <sheetName val="Sheet3"/>
      <sheetName val="Link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inkData"/>
      <sheetName val="TB"/>
      <sheetName val="TBM"/>
      <sheetName val="OPC"/>
      <sheetName val="D4RP"/>
      <sheetName val="STK"/>
      <sheetName val="STK1"/>
      <sheetName val="A1"/>
      <sheetName val="D2"/>
      <sheetName val="D3"/>
      <sheetName val="Investment"/>
      <sheetName val="D5"/>
      <sheetName val="D9"/>
      <sheetName val="S1"/>
      <sheetName val="P1 Phase"/>
      <sheetName val="P1 Phase (2)"/>
      <sheetName val="P1"/>
      <sheetName val="P1A"/>
      <sheetName val="P2"/>
      <sheetName val="P2A"/>
      <sheetName val="P3"/>
      <sheetName val="R76"/>
      <sheetName val="R85"/>
      <sheetName val="R06G"/>
      <sheetName val="R83"/>
      <sheetName val="R78-OLD"/>
      <sheetName val="R79"/>
      <sheetName val="BS"/>
      <sheetName val="PL"/>
      <sheetName val="P7QS"/>
      <sheetName val="P1L"/>
      <sheetName val="P1AL"/>
      <sheetName val="P2L"/>
      <sheetName val="P2AL"/>
      <sheetName val="P3L"/>
      <sheetName val="D3SPEC"/>
      <sheetName val="TB Link"/>
      <sheetName val="SCTB"/>
    </sheetNames>
    <sheetDataSet>
      <sheetData sheetId="0"/>
      <sheetData sheetId="1">
        <row r="4">
          <cell r="G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预收货款明细"/>
      <sheetName val="一年内到期的长期负债"/>
      <sheetName val="长期应付款"/>
      <sheetName val="长期借款"/>
      <sheetName val="短期借款"/>
      <sheetName val="应付票据"/>
      <sheetName val="增值税"/>
      <sheetName val="应付帐款"/>
      <sheetName val="预计负债 "/>
      <sheetName val="应付股利"/>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销售成本明细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或有负债"/>
      <sheetName val="关联交易明细表"/>
      <sheetName val="盈余公积"/>
      <sheetName val="股本"/>
      <sheetName val="资本公积"/>
      <sheetName val="十大客户"/>
      <sheetName val="十大供应商"/>
      <sheetName val="五大最高薪金员工"/>
      <sheetName val="上海电气集团股份有限公司合并范围内公司清单"/>
      <sheetName val="上报资产负债表"/>
      <sheetName val="上报损益表"/>
      <sheetName val="现金流量表（月报）"/>
      <sheetName val="补充表"/>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乐清存放同业"/>
      <sheetName val="Issue"/>
      <sheetName val="A300"/>
      <sheetName val="A301"/>
      <sheetName val="A302 "/>
      <sheetName val="A400"/>
      <sheetName val="A410"/>
      <sheetName val="A420"/>
      <sheetName val="A430"/>
      <sheetName val="温州01-BS"/>
      <sheetName val="温州01-PL"/>
      <sheetName val="温州00-BS"/>
      <sheetName val="温州00-PL"/>
      <sheetName val="A500"/>
      <sheetName val="A501"/>
      <sheetName val="A502"/>
      <sheetName val="A1000"/>
      <sheetName val="B100"/>
      <sheetName val="C100"/>
      <sheetName val="C200"/>
      <sheetName val="C300"/>
      <sheetName val="C400"/>
      <sheetName val="OS"/>
      <sheetName val="E"/>
      <sheetName val="E10"/>
      <sheetName val="E100"/>
      <sheetName val="E200"/>
      <sheetName val="E300"/>
      <sheetName val="E400"/>
      <sheetName val="E500"/>
      <sheetName val="E600"/>
      <sheetName val="E700"/>
      <sheetName val="E800"/>
      <sheetName val="E900"/>
      <sheetName val="E1000"/>
      <sheetName val="G"/>
      <sheetName val="G100"/>
      <sheetName val="G200"/>
      <sheetName val="G300"/>
      <sheetName val="H"/>
      <sheetName val="H100"/>
      <sheetName val="H200"/>
      <sheetName val="J"/>
      <sheetName val="J100"/>
      <sheetName val="J110"/>
      <sheetName val="J200"/>
      <sheetName val="J300"/>
      <sheetName val="K"/>
      <sheetName val="K100"/>
      <sheetName val="K200"/>
      <sheetName val="K300 "/>
      <sheetName val="L"/>
      <sheetName val="L100"/>
      <sheetName val="L200"/>
      <sheetName val="L210"/>
      <sheetName val="N "/>
      <sheetName val="乐清同业存放"/>
      <sheetName val="N20"/>
      <sheetName val="N100 "/>
      <sheetName val="N200 "/>
      <sheetName val="N300 "/>
      <sheetName val="N500 "/>
      <sheetName val="N600"/>
      <sheetName val="N900 "/>
      <sheetName val="N1000 "/>
      <sheetName val="N1100"/>
      <sheetName val="N1200  "/>
      <sheetName val="O"/>
      <sheetName val="O100"/>
      <sheetName val="O110"/>
      <sheetName val="O120"/>
      <sheetName val="O130"/>
      <sheetName val="P"/>
      <sheetName val="P100"/>
      <sheetName val="P110"/>
      <sheetName val="P200"/>
      <sheetName val="P300"/>
      <sheetName val="P900"/>
      <sheetName val="Q"/>
      <sheetName val="Q100"/>
      <sheetName val="Q110"/>
      <sheetName val="Q200"/>
      <sheetName val="Q210"/>
      <sheetName val="温州"/>
      <sheetName val="Q300"/>
      <sheetName val="Q400"/>
      <sheetName val="Q500"/>
      <sheetName val="Q600"/>
      <sheetName val="Q700"/>
      <sheetName val="S"/>
      <sheetName val="S100"/>
      <sheetName val="S200"/>
      <sheetName val="T"/>
      <sheetName val="T100"/>
      <sheetName val="T200"/>
      <sheetName val="T300"/>
      <sheetName val="U.detail"/>
      <sheetName val="U10"/>
      <sheetName val="u11"/>
      <sheetName val="U100"/>
      <sheetName val="U200"/>
      <sheetName val="U210"/>
      <sheetName val="U300"/>
      <sheetName val="U400"/>
      <sheetName val="U500"/>
      <sheetName val="U600"/>
      <sheetName val="U700"/>
      <sheetName val="U800"/>
      <sheetName val="U900"/>
      <sheetName val="U1000"/>
      <sheetName val="U1100"/>
      <sheetName val="U1200"/>
      <sheetName val="U1210"/>
      <sheetName val="U1300"/>
      <sheetName val="U1400"/>
      <sheetName val="operate lease"/>
      <sheetName val="V"/>
      <sheetName val="V100"/>
      <sheetName val="V200"/>
      <sheetName val="V300"/>
      <sheetName val="OS Matters"/>
      <sheetName val="review"/>
      <sheetName val="Standard audit marks"/>
      <sheetName val="H100&lt;notused&gt;"/>
      <sheetName val="H10(notused)"/>
      <sheetName val="H300&lt;notused&gt;"/>
      <sheetName val="非应计贷款-2003"/>
      <sheetName val="非应计贷款-2002"/>
      <sheetName val="目录"/>
      <sheetName val="汇率"/>
      <sheetName val="2004年业务状况表"/>
      <sheetName val="2003年业务状况表"/>
      <sheetName val="2002年业务状况表"/>
      <sheetName val="表2汇总"/>
      <sheetName val="表21-1贷款损失准备"/>
      <sheetName val="表21-2核销贷款明细"/>
      <sheetName val="表21-3收回以前年度已核销贷款明细"/>
      <sheetName val="表22-1固定资产及累计折旧2004 "/>
      <sheetName val="表22-4房屋附属设备清单评估明细"/>
      <sheetName val="表22-5闲置房屋出租情况统计表"/>
      <sheetName val="表23-固定资产清理"/>
      <sheetName val="表24-1待处理资产损溢"/>
      <sheetName val="表24-2待处理流动资产净损失"/>
      <sheetName val="表25-1 在建工程2004"/>
      <sheetName val="表26-1无形资产2004"/>
      <sheetName val="表26-2无形资产（土地使用权）2004"/>
      <sheetName val="表26-7无形资产-其他无形资产评估明细"/>
      <sheetName val="表27-1递延资产(长期待摊费用)2004"/>
      <sheetName val="表27-4递延资产(长期待摊费用)评估明细"/>
      <sheetName val="表28-1抵债资产明细表2004"/>
      <sheetName val="表29-1其他长期资产"/>
      <sheetName val="表29-2待清理接收资产"/>
      <sheetName val="表30-1向中央银行借款2004 "/>
      <sheetName val="表31-1A存款期限分析"/>
      <sheetName val="表31-1B短期存款"/>
      <sheetName val="表31-1C短期储蓄存款"/>
      <sheetName val="表31-1D长期存款"/>
      <sheetName val="表31-1E长期储蓄存款"/>
      <sheetName val="表31-1F财政性存款"/>
      <sheetName val="表31-2A应解汇款"/>
      <sheetName val="表31-2B应解汇款评估明细"/>
      <sheetName val="表31-3A汇出汇款"/>
      <sheetName val="表31-3B汇出汇款评估明细"/>
      <sheetName val="表32-预提费用 "/>
      <sheetName val="表33-同业存放款项"/>
      <sheetName val="表34-同业及金融性公司拆入"/>
      <sheetName val="表35-1保证金"/>
      <sheetName val="表35-2存入短期保证金明细 "/>
      <sheetName val="表35-3存入长期保证金明细"/>
      <sheetName val="#REF"/>
      <sheetName val="2005年12月31日业务状况表"/>
      <sheetName val="表22-1A 固定资产及累计折旧 05年12月31日"/>
      <sheetName val="表22-1B 固定资产及累计折旧 05年10月31日"/>
      <sheetName val="表22-2固定资产增加明细表"/>
      <sheetName val="表22-3固定资产减少明细表"/>
      <sheetName val="表22-4闲置房屋出租情况统计表"/>
      <sheetName val="表22-5 银行房产清单及使用期限"/>
      <sheetName val="表23-1固定资产清理"/>
      <sheetName val="表23-2 实体清理清单（98年6月至05年6月30日）"/>
      <sheetName val="表23-3 实体清理清单（05年7月1日至12月31日）"/>
      <sheetName val="表23-4 仍存在实体清单（截至05年12月31日）"/>
      <sheetName val="表23-5 账外经济实体清单"/>
      <sheetName val="表24待处理资产损溢"/>
      <sheetName val="表25 在建工程"/>
      <sheetName val="表26-1无形资产"/>
      <sheetName val="表26-2无形资产（土地使用权）"/>
      <sheetName val="表27 递延资产（长期待摊费用）"/>
      <sheetName val="表28 抵债资产明细表"/>
      <sheetName val="表30 向中央银行借款"/>
      <sheetName val="表31-1B存款明细表"/>
      <sheetName val="表31-2应解汇款"/>
      <sheetName val="表31-3汇出汇款"/>
      <sheetName val="表32 预提费用 "/>
      <sheetName val="表33 同业存放款项"/>
      <sheetName val="表34 同业及金融性公司拆入"/>
      <sheetName val="表35 保证金"/>
      <sheetName val="#REF!"/>
      <sheetName val="ÀÖÇå´æ·ÅÍ¬Òµ"/>
      <sheetName val="ÎÂÖÝ01-BS"/>
      <sheetName val="ÎÂÖÝ01-PL"/>
      <sheetName val="ÎÂÖÝ00-BS"/>
      <sheetName val="ÎÂÖÝ00-PL"/>
      <sheetName val="ÀÖÇåÍ¬Òµ´æ·Å"/>
      <sheetName val="ÎÂÖÝ"/>
      <sheetName val="·ÇÓ¦¼Æ´û¿î-2003"/>
      <sheetName val="·ÇÓ¦¼Æ´û¿î-2002"/>
      <sheetName val="Ä¿Â¼"/>
      <sheetName val="»ãÂÊ"/>
      <sheetName val="2004ÄêÒµÎñ×´¿ö±í"/>
      <sheetName val="2003ÄêÒµÎñ×´¿ö±í"/>
      <sheetName val="2002ÄêÒµÎñ×´¿ö±í"/>
      <sheetName val="±í2»ã×Ü"/>
      <sheetName val="±í21-1´û¿îËðÊ§×¼±¸"/>
      <sheetName val="±í21-2ºËÏú´û¿îÃ÷Ï¸"/>
      <sheetName val="í21-3ÊÕ»ØÒÔÇ°Äê¶ÈÒÑºËÏú´û¿îÃ÷Ï¸"/>
      <sheetName val="±í22-1¹Ì¶¨×Ê²ú¼°ÀÛ¼ÆÕÛ¾É2004 "/>
      <sheetName val="±í22-4·¿ÎÝ¸½ÊôÉè±¸Çåµ¥ÆÀ¹ÀÃ÷Ï¸"/>
      <sheetName val="±í22-5ÏÐÖÃ·¿ÎÝ³ö×âÇé¿öÍ³¼Æ±í"/>
      <sheetName val="±í23-¹Ì¶¨×Ê²úÇåÀí"/>
      <sheetName val="±í24-1´ý´¦Àí×Ê²úËðÒç"/>
      <sheetName val="±í24-2´ý´¦ÀíÁ÷¶¯×Ê²ú¾»ËðÊ§"/>
      <sheetName val="±í25-1 ÔÚ½¨¹¤³Ì2004"/>
      <sheetName val="±í26-1ÎÞÐÎ×Ê²ú2004"/>
      <sheetName val="í26-2ÎÞÐÎ×Ê²ú£¨ÍÁµØÊ¹ÓÃÈ¨£©2004"/>
      <sheetName val="-7ÎÞÐÎ×Ê²ú-ÆäËûÎÞÐÎ×Ê²úÆÀ¹ÀÃ÷Ï¸"/>
      <sheetName val="í27-1µÝÑÓ×Ê²ú(³¤ÆÚ´ýÌ¯·ÑÓÃ)2004"/>
      <sheetName val="4µÝÑÓ×Ê²ú(³¤ÆÚ´ýÌ¯·ÑÓÃ)ÆÀ¹ÀÃ÷Ï¸"/>
      <sheetName val="±í28-1µÖÕ®×Ê²úÃ÷Ï¸±í2004"/>
      <sheetName val="±í29-1ÆäËû³¤ÆÚ×Ê²ú"/>
      <sheetName val="±í29-2´ýÇåÀí½ÓÊÕ×Ê²ú"/>
      <sheetName val="±í30-1ÏòÖÐÑëÒøÐÐ½è¿î2004 "/>
      <sheetName val="±í31-1A´æ¿îÆÚÏÞ·ÖÎö"/>
      <sheetName val="±í31-1B¶ÌÆÚ´æ¿î"/>
      <sheetName val="±í31-1C¶ÌÆÚ´¢Ðî´æ¿î"/>
      <sheetName val="±í31-1D³¤ÆÚ´æ¿î"/>
      <sheetName val="±í31-1E³¤ÆÚ´¢Ðî´æ¿î"/>
      <sheetName val="±í31-1F²ÆÕþÐÔ´æ¿î"/>
      <sheetName val="±í31-2AÓ¦½â»ã¿î"/>
      <sheetName val="±í31-2BÓ¦½â»ã¿îÆÀ¹ÀÃ÷Ï¸"/>
      <sheetName val="±í31-3A»ã³ö»ã¿î"/>
      <sheetName val="±í31-3B»ã³ö»ã¿îÆÀ¹ÀÃ÷Ï¸"/>
      <sheetName val="±í32-Ô¤Ìá·ÑÓÃ "/>
      <sheetName val="±í33-Í¬Òµ´æ·Å¿îÏî"/>
      <sheetName val="±í34-Í¬Òµ¼°½ðÈÚÐÔ¹«Ë¾²ðÈë"/>
      <sheetName val="±í35-1±£Ö¤½ð"/>
      <sheetName val="±í35-2´æÈë¶ÌÆÚ±£Ö¤½ðÃ÷Ï¸ "/>
      <sheetName val="±í35-3´æÈë³¤ÆÚ±£Ö¤½ðÃ÷Ï¸"/>
      <sheetName val="2005Äê12ÔÂ31ÈÕÒµÎñ×´¿ö±í"/>
      <sheetName val="¹Ì¶¨×Ê²ú¼°ÀÛ¼ÆÕÛ¾É 05Äê12ÔÂ31ÈÕ"/>
      <sheetName val="¹Ì¶¨×Ê²ú¼°ÀÛ¼ÆÕÛ¾É 05Äê10ÔÂ31ÈÕ"/>
      <sheetName val="±í22-2¹Ì¶¨×Ê²úÔö¼ÓÃ÷Ï¸±í"/>
      <sheetName val="±í22-3¹Ì¶¨×Ê²ú¼õÉÙÃ÷Ï¸±í"/>
      <sheetName val="±í22-4ÏÐÖÃ·¿ÎÝ³ö×âÇé¿öÍ³¼Æ±í"/>
      <sheetName val="±í22-5 ÒøÐÐ·¿²úÇåµ¥¼°Ê¹ÓÃÆÚÏÞ"/>
      <sheetName val="±í23-1¹Ì¶¨×Ê²úÇåÀí"/>
      <sheetName val="åÀíÇåµ¥£¨98Äê6ÔÂÖÁ05Äê6ÔÂ30ÈÕ£©"/>
      <sheetName val="åÀíÇåµ¥£¨05Äê7ÔÂ1ÈÕÖÁ12ÔÂ31ÈÕ£©"/>
      <sheetName val="æÔÚÊµÌåÇåµ¥£¨½ØÖÁ05Äê12ÔÂ31ÈÕ£©"/>
      <sheetName val="±í23-5 ÕËÍâ¾­¼ÃÊµÌåÇåµ¥"/>
      <sheetName val="±í24´ý´¦Àí×Ê²úËðÒç"/>
      <sheetName val="±í25 ÔÚ½¨¹¤³Ì"/>
      <sheetName val="±í26-1ÎÞÐÎ×Ê²ú"/>
      <sheetName val="±í26-2ÎÞÐÎ×Ê²ú£¨ÍÁµØÊ¹ÓÃÈ¨£©"/>
      <sheetName val="±í27 µÝÑÓ×Ê²ú£¨³¤ÆÚ´ýÌ¯·ÑÓÃ£©"/>
      <sheetName val="±í28 µÖÕ®×Ê²úÃ÷Ï¸±í"/>
      <sheetName val="±í30 ÏòÖÐÑëÒøÐÐ½è¿î"/>
      <sheetName val="±í31-1B´æ¿îÃ÷Ï¸±í"/>
      <sheetName val="±í31-2Ó¦½â»ã¿î"/>
      <sheetName val="±í31-3»ã³ö»ã¿î"/>
      <sheetName val="±í32 Ô¤Ìá·ÑÓÃ "/>
      <sheetName val="±í33 Í¬Òµ´æ·Å¿îÏî"/>
      <sheetName val="±í34 Í¬Òµ¼°½ðÈÚÐÔ¹«Ë¾²ðÈë"/>
      <sheetName val="±í35 ±£Ö¤½ð"/>
      <sheetName val="±í22-4·¿ÎÝ¸½ÊôÉè±¸Çåµ¥ÆÀ¹ÀÃ÷Ë¸"/>
      <sheetName val="±í22-5ÏÐÖÃ·¿ÎÝ³ö×âÇé¿öÍ³¼Æ±é"/>
      <sheetName val="±í24-1´ý°¦Àí×Ê²úËðÒç"/>
      <sheetName val="±í24-2´ý´¦ÀíÁ÷¶¯×È²ú¾»ËðÊ§"/>
      <sheetName val="í26-2ÎÞÐÎÃÊ²ú£¨ÍÁµØÊ¹ÓÃÈ¨£©2004"/>
      <sheetName val="-7ÎÞÐÎ×J²ú-ÆäËûÎÞÐÎ×Ê²úÆÀ¹ÀÃ÷Ï¸"/>
      <sheetName val="í27-1¡ÝÑÓ×Ê²ú(³¤ÆÚ´ýÌ¯·ÑÓÃ)2004"/>
      <sheetName val="4µÝQÓ×Ê²ú(³¤ÆÚ´ýÌ¯·ÑÓÃ)ÆÀ¹ÀÃ÷Ï¸"/>
      <sheetName val="±é28-1µÖÕ®×Ê²úÃ÷Ï¸±í2004"/>
      <sheetName val="±í29-1DäËû³¤ÆÚ×Ê²ú"/>
      <sheetName val="±í31-1B¶ÈÆÚ´æ¿î"/>
      <sheetName val="±í31-1E³¤ÆÚ´¢Ðh´æ¿î"/>
      <sheetName val="±í31-3@»ã³ö»ã¿îÆÀ¹ÀÃ÷Ï¸"/>
      <sheetName val="±í32-Ô¤Ìá·ÑÓÁ "/>
      <sheetName val="±í34-Í¬Ðµ¼°½ðÈÚÐÔ¹«Ë¾²ðÈë"/>
      <sheetName val="1í35-3´æÈë³¤ÆÚ±£Ö¤½ðÃ÷Ï¸"/>
      <sheetName val="¹Ì¶¨×Ê²ú,°ÀÛ¼ÆÕÛ¾É 05Äê10ÔÂ31ÈÕ"/>
      <sheetName val="±í22-3¹Ì¶¨×J²ú¼õÉÙÃ÷Ï¸±í"/>
      <sheetName val="±í22-4ÏÐÖÃ·¿ÎÝ³öSâÇé¿öÍ³¼Æ±í"/>
      <sheetName val="±í23-1¹Ì¶¨×Ê²úÇåÀm"/>
      <sheetName val="åÀíÇåµ¥£¨98Äê6ÔÂÖÁ05Äê6ÔÂ30ÈA£©"/>
      <sheetName val="±í25 ÔÚ=¨¹¤³Ì"/>
      <sheetName val="±í26-2NÞÐÎ×Ê²ú£¨ÍÁµØÊ¹ÓÃÈ¨£©"/>
      <sheetName val="±í27 µÝQÓ×Ê²ú£¨³¤ÆÚ´ýÌ¯·ÑÓÃ£©"/>
      <sheetName val="±í28 µÖÑ®×Ê²úÃ÷Ï¸±í"/>
      <sheetName val="±í30 ÏòÖÐÑëÒøÐÐ½è?î"/>
      <sheetName val="±í31-2Ó&quot;½â»ã¿î"/>
      <sheetName val="表26-7无形资产-其他无形资캧譄估明细"/>
      <sheetName val="表2䀷-1递延资产(长期待摊费用)2004"/>
      <sheetName val="表27-4递延资产䀨锿期待摊费用)评估明细"/>
      <sheetName val="表28ိ1抵债资产明细表2004"/>
      <sheetName val="表28ိ1抵债资产明细表2԰_x0000__x0000_"/>
      <sheetName val="Sheet1"/>
      <sheetName val="source"/>
      <sheetName val="B"/>
      <sheetName val="表28ိ1抵债资产明细表20_x0000_Ԁ"/>
      <sheetName val="master"/>
      <sheetName val="关联交易-存款"/>
      <sheetName val="17应付票据明细表"/>
      <sheetName val="A3"/>
      <sheetName val="DTCT"/>
      <sheetName val="DATA"/>
      <sheetName val="上报资产负债表"/>
      <sheetName val="其他业务利润明细表"/>
      <sheetName val="投资收益明细表"/>
      <sheetName val="未交税金明细表"/>
      <sheetName val="生产成本"/>
      <sheetName val="WTB"/>
      <sheetName val="A302_"/>
      <sheetName val="K300_"/>
      <sheetName val="N_"/>
      <sheetName val="N100_"/>
      <sheetName val="N200_"/>
      <sheetName val="N300_"/>
      <sheetName val="N500_"/>
      <sheetName val="N900_"/>
      <sheetName val="N1000_"/>
      <sheetName val="N1200__"/>
      <sheetName val="U_detail"/>
      <sheetName val="operate_lease"/>
      <sheetName val="OS_Matters"/>
      <sheetName val="Standard_audit_marks"/>
      <sheetName val="表22-1固定资产及累计折旧2004_"/>
      <sheetName val="表25-1_在建工程2004"/>
      <sheetName val="表30-1向中央银行借款2004_"/>
      <sheetName val="表32-预提费用_"/>
      <sheetName val="表35-2存入短期保证金明细_"/>
      <sheetName val="表22-1A_固定资产及累计折旧_05年12月31日"/>
      <sheetName val="表22-1B_固定资产及累计折旧_05年10月31日"/>
      <sheetName val="表22-5_银行房产清单及使用期限"/>
      <sheetName val="表23-2_实体清理清单（98年6月至05年6月30日）"/>
      <sheetName val="表23-3_实体清理清单（05年7月1日至12月31日）"/>
      <sheetName val="表23-4_仍存在实体清单（截至05年12月31日）"/>
      <sheetName val="表23-5_账外经济实体清单"/>
      <sheetName val="表25_在建工程"/>
      <sheetName val="表27_递延资产（长期待摊费用）"/>
      <sheetName val="表28_抵债资产明细表"/>
      <sheetName val="表30_向中央银行借款"/>
      <sheetName val="表32_预提费用_"/>
      <sheetName val="表33_同业存放款项"/>
      <sheetName val="表34_同业及金融性公司拆入"/>
      <sheetName val="表35_保证金"/>
      <sheetName val="±í22-1¹Ì¶¨×Ê²ú¼°ÀÛ¼ÆÕÛ¾É2004_"/>
      <sheetName val="±í25-1_ÔÚ½¨¹¤³Ì2004"/>
      <sheetName val="±í30-1ÏòÖÐÑëÒøÐÐ½è¿î2004_"/>
      <sheetName val="±í32-Ô¤Ìá·ÑÓÃ_"/>
      <sheetName val="±í35-2´æÈë¶ÌÆÚ±£Ö¤½ðÃ÷Ï¸_"/>
      <sheetName val="¹Ì¶¨×Ê²ú¼°ÀÛ¼ÆÕÛ¾É_05Äê12ÔÂ31ÈÕ"/>
      <sheetName val="¹Ì¶¨×Ê²ú¼°ÀÛ¼ÆÕÛ¾É_05Äê10ÔÂ31ÈÕ"/>
      <sheetName val="±í22-5_ÒøÐÐ·¿²úÇåµ¥¼°Ê¹ÓÃÆÚÏÞ"/>
      <sheetName val="±í23-5_ÕËÍâ¾­¼ÃÊµÌåÇåµ¥"/>
      <sheetName val="±í25_ÔÚ½¨¹¤³Ì"/>
      <sheetName val="±í27_µÝÑÓ×Ê²ú£¨³¤ÆÚ´ýÌ¯·ÑÓÃ£©"/>
      <sheetName val="±í28_µÖÕ®×Ê²úÃ÷Ï¸±í"/>
      <sheetName val="±í30_ÏòÖÐÑëÒøÐÐ½è¿î"/>
      <sheetName val="±í32_Ô¤Ìá·ÑÓÃ_"/>
      <sheetName val="±í33_Í¬Òµ´æ·Å¿îÏî"/>
      <sheetName val="±í34_Í¬Òµ¼°½ðÈÚÐÔ¹«Ë¾²ðÈë"/>
      <sheetName val="±í35_±£Ö¤½ð"/>
      <sheetName val="±í32-Ô¤Ìá·ÑÓÁ_"/>
      <sheetName val="¹Ì¶¨×Ê²ú,°ÀÛ¼ÆÕÛ¾É_05Äê10ÔÂ31ÈÕ"/>
      <sheetName val="±í25_ÔÚ=¨¹¤³Ì"/>
      <sheetName val="±í27_µÝQÓ×Ê²ú£¨³¤ÆÚ´ýÌ¯·ÑÓÃ£©"/>
      <sheetName val="±í28_µÖÑ®×Ê²úÃ÷Ï¸±í"/>
      <sheetName val="±í30_ÏòÖÐÑëÒøÐÐ½è?î"/>
      <sheetName val="M-5C"/>
      <sheetName val="企业表一"/>
      <sheetName val="M-5A"/>
      <sheetName val="12月到货 "/>
      <sheetName val="Item Type list"/>
      <sheetName val="Item Type"/>
      <sheetName val="D4RP"/>
      <sheetName val="LinkData"/>
      <sheetName val="E1020"/>
      <sheetName val="表28ိ1抵债资产明细表2԰??"/>
      <sheetName val="表28ိ1抵债资产明细表20?Ԁ"/>
      <sheetName val="应收票据(关联方)(5)"/>
      <sheetName val="accode"/>
      <sheetName val="待摊费用"/>
      <sheetName val="detail"/>
      <sheetName val="Ex_Rate"/>
      <sheetName val="F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refreshError="1"/>
      <sheetData sheetId="379" refreshError="1"/>
      <sheetData sheetId="380" refreshError="1"/>
      <sheetData sheetId="381" refreshError="1"/>
      <sheetData sheetId="382" refreshError="1"/>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其他应付款mx"/>
      <sheetName val="索引"/>
      <sheetName val="固定资产Mx"/>
      <sheetName val="固定资产折旧测算"/>
      <sheetName val="分录"/>
      <sheetName val="标本-资产"/>
      <sheetName val="数量金额总账"/>
      <sheetName val="生产成本Dy"/>
      <sheetName val="工程物资Dy"/>
      <sheetName val="递延税款Dy"/>
      <sheetName val="资本公积Dy"/>
      <sheetName val="盈余公积Dy"/>
      <sheetName val="未分配利润Dy"/>
      <sheetName val="补贴收入Dy"/>
      <sheetName val="所得税Dy"/>
      <sheetName val="应收账款Dy"/>
      <sheetName val="坏账准备_应收账款Dy"/>
      <sheetName val="预收账款Dy"/>
      <sheetName val="应交税金Dy"/>
      <sheetName val="其他应交款Dy"/>
      <sheetName val="主营业务收入Dy"/>
      <sheetName val="坏账准备_应收账款Mx"/>
      <sheetName val="营业费用截止"/>
      <sheetName val="坏账准备_其他应收款Dy"/>
      <sheetName val="坏账准备_预付账款Dy"/>
      <sheetName val="预付账款Dy"/>
      <sheetName val="Sheet2"/>
      <sheetName val="参数"/>
      <sheetName val="应收账款"/>
      <sheetName val="固定资产Dy"/>
      <sheetName val="累计折旧Dy"/>
      <sheetName val="在建工程Dy"/>
      <sheetName val="应付账款Dy"/>
      <sheetName val="界面"/>
      <sheetName val="财务费用Dy"/>
      <sheetName val="调整分录"/>
      <sheetName val="固定资产卡片"/>
      <sheetName val="主菜单"/>
      <sheetName val="管理费用Dy"/>
      <sheetName val="长期股权投资Dy"/>
      <sheetName val="主营业务成本Dy"/>
      <sheetName val="投资收益Dy"/>
      <sheetName val="股本Dy"/>
      <sheetName val="应收出口退税mx"/>
      <sheetName val="递延收益Dy"/>
      <sheetName val="A"/>
      <sheetName val="长江其他应付款"/>
      <sheetName val="待摊费用Dy"/>
      <sheetName val="#REF!"/>
      <sheetName val="STATPARA"/>
      <sheetName val="2、生产成本月际分析"/>
      <sheetName val="营业外支出Dy"/>
      <sheetName val="TB"/>
      <sheetName val="折旧测算"/>
      <sheetName val="YS02-02"/>
      <sheetName val="P12 TB SZ"/>
      <sheetName val="1梁家5-1-1房建"/>
      <sheetName val="1梁家5-1-2构筑"/>
      <sheetName val="余额表"/>
      <sheetName val="个所税"/>
      <sheetName val="企业所得税"/>
      <sheetName val="5-1-3管沟"/>
      <sheetName val="销售费用Dy"/>
    </sheetNames>
    <sheetDataSet>
      <sheetData sheetId="0" refreshError="1"/>
      <sheetData sheetId="1" refreshError="1">
        <row r="82">
          <cell r="D82" t="str">
            <v>可以确认。</v>
          </cell>
        </row>
        <row r="83">
          <cell r="D83" t="str">
            <v>调整后可确认。</v>
          </cell>
        </row>
        <row r="84">
          <cell r="D84" t="str">
            <v>列示允当。</v>
          </cell>
        </row>
        <row r="85">
          <cell r="D85" t="str">
            <v>确认发生额。</v>
          </cell>
        </row>
        <row r="86">
          <cell r="D86" t="str">
            <v>期末余额可予确认。</v>
          </cell>
        </row>
        <row r="87">
          <cell r="D87" t="str">
            <v>经恰当披露后可予确认。</v>
          </cell>
        </row>
        <row r="88">
          <cell r="D88" t="str">
            <v>未发现重大差异。</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C100-银行存款"/>
      <sheetName val="C100-其他货币资金"/>
      <sheetName val="D100-短期投资"/>
      <sheetName val="D110-委托贷款"/>
      <sheetName val="E100-应收票据1"/>
      <sheetName val="E100-应收票据2"/>
      <sheetName val="E200-应收股利"/>
      <sheetName val="E300-应收账款"/>
      <sheetName val="E310-应收账款(质保金)－1"/>
      <sheetName val="E310-应收账款(质保金)－2"/>
      <sheetName val="E320-应收账款期后回款"/>
      <sheetName val="F100-存货"/>
      <sheetName val="F110-期后发货"/>
      <sheetName val="F120-内部采购存货 "/>
      <sheetName val="F130-已开票未发货"/>
      <sheetName val="F140-已发货未开票"/>
      <sheetName val="F150-暂估入库"/>
      <sheetName val="G100-其它应收帐款"/>
      <sheetName val="G200-预付账款"/>
      <sheetName val="G300-待摊费用"/>
      <sheetName val="G400-应收补贴款及应收出口退税 "/>
      <sheetName val="H100-长期投资汇总"/>
      <sheetName val="H200-长期投资-对联营公司"/>
      <sheetName val="H300-长期投资-对合营公司"/>
      <sheetName val="H400-长期投资-对子公司"/>
      <sheetName val="H600-长期投资-股票投资或其它股权投资"/>
      <sheetName val="H800-长期投资-债券投资"/>
      <sheetName val="H900-长期投资-其它债权投资"/>
      <sheetName val="H910-长期投资-长期委托贷款"/>
      <sheetName val="K100-固定资产 "/>
      <sheetName val="K101-房屋及建筑物"/>
      <sheetName val="K102-机器设备 (通用设备)"/>
      <sheetName val="K103-机器设备(专用设备)"/>
      <sheetName val="K104-运输设备"/>
      <sheetName val="K105-办公设备"/>
      <sheetName val="K106-租入固定资产改良支出"/>
      <sheetName val="K107-固定资产增加"/>
      <sheetName val="K108-固定资产减少"/>
      <sheetName val="K109-待处理固定资产"/>
      <sheetName val="K200-在建工程"/>
      <sheetName val="K111-瑕疵房屋建筑物汇总"/>
      <sheetName val="K121-土地使用权汇总"/>
      <sheetName val="L100-无形资产"/>
      <sheetName val="L200-长期待摊费用"/>
      <sheetName val="L300-其它长期资产"/>
      <sheetName val="F1"/>
    </sheetNames>
    <sheetDataSet>
      <sheetData sheetId="0">
        <row r="3">
          <cell r="L3" t="str">
            <v>设备维护费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年初余额与上年审定数核对"/>
      <sheetName val="preBS"/>
      <sheetName val="preIS"/>
      <sheetName val="CF底稿"/>
      <sheetName val="preCF"/>
      <sheetName val="preCE"/>
      <sheetName val="TB"/>
      <sheetName val="BS"/>
      <sheetName val="IS"/>
      <sheetName val="CF"/>
      <sheetName val="CE"/>
      <sheetName val="坏账及减值表"/>
      <sheetName val="合并报告递延所得税资产记录"/>
      <sheetName val="日出东方余额表2013"/>
      <sheetName val="递延所得税计算表"/>
      <sheetName val="所得税计算表"/>
      <sheetName val="年会备用金调整"/>
      <sheetName val="利润分配情况"/>
      <sheetName val="管理费用销售费用"/>
      <sheetName val="AJE"/>
      <sheetName val="CFJE"/>
      <sheetName val="UJE"/>
      <sheetName val="AJE1"/>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E2" t="str">
            <v>：</v>
          </cell>
          <cell r="G2" t="str">
            <v>资产负债表</v>
          </cell>
          <cell r="I2">
            <v>1</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E3" t="str">
            <v>：</v>
          </cell>
          <cell r="G3" t="str">
            <v>流动资产：</v>
          </cell>
          <cell r="I3">
            <v>1000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F4" t="str">
            <v>FA</v>
          </cell>
          <cell r="G4" t="str">
            <v>货币资金</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F5" t="str">
            <v>JC1</v>
          </cell>
          <cell r="G5" t="str">
            <v>结算备付金</v>
          </cell>
          <cell r="I5">
            <v>1021</v>
          </cell>
          <cell r="J5" t="str">
            <v>J</v>
          </cell>
          <cell r="M5" t="str">
            <v>交易性金融资产</v>
          </cell>
          <cell r="P5" t="str">
            <v>支付给职工以及为职工支付的现金</v>
          </cell>
          <cell r="S5" t="str">
            <v>1101a</v>
          </cell>
          <cell r="T5" t="str">
            <v>交易性金融资产明细项目</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F6" t="str">
            <v>JK1</v>
          </cell>
          <cell r="G6" t="str">
            <v>拆出资金</v>
          </cell>
          <cell r="I6">
            <v>1302</v>
          </cell>
          <cell r="J6" t="str">
            <v>J</v>
          </cell>
          <cell r="M6" t="str">
            <v>应收票据</v>
          </cell>
          <cell r="P6" t="str">
            <v>支付的各项税费</v>
          </cell>
          <cell r="S6" t="str">
            <v>1121a</v>
          </cell>
          <cell r="T6" t="str">
            <v>应收票据分类</v>
          </cell>
          <cell r="U6" t="str">
            <v>种       类</v>
          </cell>
          <cell r="V6">
            <v>1</v>
          </cell>
          <cell r="W6">
            <v>1121</v>
          </cell>
          <cell r="X6">
            <v>1</v>
          </cell>
          <cell r="AG6" t="str">
            <v>客户初步同意调整</v>
          </cell>
          <cell r="AI6" t="str">
            <v>已取得关键证据</v>
          </cell>
          <cell r="AK6" t="str">
            <v>6损益</v>
          </cell>
        </row>
        <row r="7">
          <cell r="B7">
            <v>1101</v>
          </cell>
          <cell r="C7" t="str">
            <v>交易性金融资产</v>
          </cell>
          <cell r="D7">
            <v>1</v>
          </cell>
          <cell r="F7" t="str">
            <v>FB</v>
          </cell>
          <cell r="G7" t="str">
            <v>交易性金融资产</v>
          </cell>
          <cell r="I7">
            <v>1101</v>
          </cell>
          <cell r="J7" t="str">
            <v>J</v>
          </cell>
          <cell r="M7" t="str">
            <v>应收账款</v>
          </cell>
          <cell r="P7" t="str">
            <v>支付其他与经营活动有关的现金</v>
          </cell>
          <cell r="S7" t="str">
            <v>1121b</v>
          </cell>
          <cell r="T7" t="str">
            <v>期末已质押应收票据金额最大的前五项明细列示</v>
          </cell>
          <cell r="U7" t="str">
            <v>出票单位</v>
          </cell>
          <cell r="V7">
            <v>1</v>
          </cell>
          <cell r="W7">
            <v>1121</v>
          </cell>
          <cell r="X7">
            <v>2</v>
          </cell>
          <cell r="AG7" t="str">
            <v>客户有异议须继续沟通</v>
          </cell>
          <cell r="AK7" t="str">
            <v>61损益_收入</v>
          </cell>
        </row>
        <row r="8">
          <cell r="B8">
            <v>1121</v>
          </cell>
          <cell r="C8" t="str">
            <v>应收票据</v>
          </cell>
          <cell r="D8">
            <v>1</v>
          </cell>
          <cell r="F8" t="str">
            <v>GA</v>
          </cell>
          <cell r="G8" t="str">
            <v>应收票据</v>
          </cell>
          <cell r="I8">
            <v>1121</v>
          </cell>
          <cell r="J8" t="str">
            <v>J</v>
          </cell>
          <cell r="M8" t="str">
            <v>应收账款坏账准备</v>
          </cell>
          <cell r="P8" t="str">
            <v>收回投资收到的现金</v>
          </cell>
          <cell r="S8" t="str">
            <v>1121c</v>
          </cell>
          <cell r="T8" t="str">
            <v>因出票人无力履约转为应收账款的票据金额最大的前五项明细列示</v>
          </cell>
          <cell r="U8" t="str">
            <v>出票单位</v>
          </cell>
          <cell r="V8">
            <v>1</v>
          </cell>
          <cell r="W8">
            <v>1121</v>
          </cell>
          <cell r="X8">
            <v>2</v>
          </cell>
          <cell r="AG8" t="str">
            <v>客户不同意调整</v>
          </cell>
          <cell r="AK8" t="str">
            <v>65损益_费用</v>
          </cell>
        </row>
        <row r="9">
          <cell r="B9">
            <v>1122</v>
          </cell>
          <cell r="C9" t="str">
            <v>应收账款</v>
          </cell>
          <cell r="D9">
            <v>1</v>
          </cell>
          <cell r="F9" t="str">
            <v>GB</v>
          </cell>
          <cell r="G9" t="str">
            <v>应收账款</v>
          </cell>
          <cell r="I9">
            <v>1122</v>
          </cell>
          <cell r="J9" t="str">
            <v>J</v>
          </cell>
          <cell r="M9" t="str">
            <v>预付款项</v>
          </cell>
          <cell r="P9" t="str">
            <v>取得投资收益收到的现金</v>
          </cell>
          <cell r="S9" t="str">
            <v>1121d</v>
          </cell>
          <cell r="T9" t="str">
            <v>期末已背书未到期的票据金额最大的前五项明细列示</v>
          </cell>
          <cell r="U9" t="str">
            <v>出票单位</v>
          </cell>
          <cell r="V9">
            <v>1</v>
          </cell>
          <cell r="W9">
            <v>1121</v>
          </cell>
          <cell r="X9">
            <v>2</v>
          </cell>
          <cell r="AG9" t="str">
            <v>客户正式同意调整</v>
          </cell>
        </row>
        <row r="10">
          <cell r="B10">
            <v>1125</v>
          </cell>
          <cell r="C10" t="str">
            <v>预付款项</v>
          </cell>
          <cell r="D10">
            <v>1</v>
          </cell>
          <cell r="F10" t="str">
            <v>GC</v>
          </cell>
          <cell r="G10" t="str">
            <v>预付款项</v>
          </cell>
          <cell r="I10">
            <v>1125</v>
          </cell>
          <cell r="J10" t="str">
            <v>J</v>
          </cell>
          <cell r="M10" t="str">
            <v>预付款项坏账准备</v>
          </cell>
          <cell r="P10" t="str">
            <v>处置固定资产无形资产长期资产收回的现金</v>
          </cell>
          <cell r="S10" t="str">
            <v>1131a</v>
          </cell>
          <cell r="T10" t="str">
            <v>应收股利明细项目</v>
          </cell>
          <cell r="U10" t="str">
            <v>项       目</v>
          </cell>
          <cell r="V10">
            <v>1</v>
          </cell>
          <cell r="W10">
            <v>1131</v>
          </cell>
          <cell r="X10">
            <v>1</v>
          </cell>
          <cell r="AG10" t="str">
            <v>经理复核</v>
          </cell>
        </row>
        <row r="11">
          <cell r="B11">
            <v>1127</v>
          </cell>
          <cell r="C11" t="str">
            <v>应收保费</v>
          </cell>
          <cell r="D11">
            <v>1</v>
          </cell>
          <cell r="E11" t="str">
            <v>△</v>
          </cell>
          <cell r="G11" t="str">
            <v>应收保费</v>
          </cell>
          <cell r="I11">
            <v>1127</v>
          </cell>
          <cell r="J11" t="str">
            <v>J</v>
          </cell>
          <cell r="M11" t="str">
            <v>应收利息</v>
          </cell>
          <cell r="P11" t="str">
            <v>处置子公司及其他营业单位收到的现金净额</v>
          </cell>
          <cell r="S11" t="str">
            <v>1132a</v>
          </cell>
          <cell r="T11" t="str">
            <v>应收利息明细项目</v>
          </cell>
          <cell r="U11" t="str">
            <v>项       目</v>
          </cell>
          <cell r="V11">
            <v>1</v>
          </cell>
          <cell r="W11">
            <v>1132</v>
          </cell>
          <cell r="X11">
            <v>1</v>
          </cell>
          <cell r="AG11" t="str">
            <v>合伙人复核</v>
          </cell>
        </row>
        <row r="12">
          <cell r="B12">
            <v>1211</v>
          </cell>
          <cell r="C12" t="str">
            <v>应收分保账款</v>
          </cell>
          <cell r="D12">
            <v>1</v>
          </cell>
          <cell r="E12" t="str">
            <v>△</v>
          </cell>
          <cell r="F12" t="str">
            <v>JG1</v>
          </cell>
          <cell r="G12" t="str">
            <v>应收分保账款</v>
          </cell>
          <cell r="I12">
            <v>1211</v>
          </cell>
          <cell r="J12" t="str">
            <v>J</v>
          </cell>
          <cell r="M12" t="str">
            <v>应收股利</v>
          </cell>
          <cell r="P12" t="str">
            <v>收到其他与投资活动有关的现金</v>
          </cell>
          <cell r="S12" t="str">
            <v>1132b</v>
          </cell>
          <cell r="T12" t="str">
            <v>年末应收利息中逾期利息明细列示</v>
          </cell>
          <cell r="U12" t="str">
            <v>贷款单位</v>
          </cell>
          <cell r="V12">
            <v>1</v>
          </cell>
          <cell r="W12">
            <v>1132</v>
          </cell>
          <cell r="X12">
            <v>2</v>
          </cell>
          <cell r="AG12" t="str">
            <v>质控部复核</v>
          </cell>
        </row>
        <row r="13">
          <cell r="B13">
            <v>1212</v>
          </cell>
          <cell r="C13" t="str">
            <v>应收分保合同准备金</v>
          </cell>
          <cell r="D13">
            <v>1</v>
          </cell>
          <cell r="E13" t="str">
            <v>△</v>
          </cell>
          <cell r="F13" t="str">
            <v>JH1</v>
          </cell>
          <cell r="G13" t="str">
            <v>应收分保合同准备金</v>
          </cell>
          <cell r="I13">
            <v>1212</v>
          </cell>
          <cell r="J13" t="str">
            <v>J</v>
          </cell>
          <cell r="M13" t="str">
            <v>其他应收款</v>
          </cell>
          <cell r="P13" t="str">
            <v>购建固定资产无形资产长期资产支付的现金</v>
          </cell>
          <cell r="S13" t="str">
            <v>1122a</v>
          </cell>
          <cell r="T13" t="str">
            <v>应收账款按种类列示</v>
          </cell>
          <cell r="U13" t="str">
            <v xml:space="preserve">类       别  </v>
          </cell>
          <cell r="V13">
            <v>1</v>
          </cell>
          <cell r="W13">
            <v>1122</v>
          </cell>
          <cell r="X13">
            <v>1</v>
          </cell>
        </row>
        <row r="14">
          <cell r="B14">
            <v>1132</v>
          </cell>
          <cell r="C14" t="str">
            <v>应收利息</v>
          </cell>
          <cell r="D14">
            <v>1</v>
          </cell>
          <cell r="F14" t="str">
            <v>GD</v>
          </cell>
          <cell r="G14" t="str">
            <v>应收利息</v>
          </cell>
          <cell r="I14">
            <v>1132</v>
          </cell>
          <cell r="J14" t="str">
            <v>J</v>
          </cell>
          <cell r="M14" t="str">
            <v>其他应收款坏账准备</v>
          </cell>
          <cell r="P14" t="str">
            <v>投资支付的现金</v>
          </cell>
          <cell r="S14" t="str">
            <v>1122b</v>
          </cell>
          <cell r="T14" t="str">
            <v>应收账款按种类列示（续）</v>
          </cell>
          <cell r="U14" t="str">
            <v xml:space="preserve">类       别  </v>
          </cell>
          <cell r="V14">
            <v>1</v>
          </cell>
          <cell r="W14">
            <v>1122</v>
          </cell>
          <cell r="X14">
            <v>2</v>
          </cell>
        </row>
        <row r="15">
          <cell r="B15">
            <v>1131</v>
          </cell>
          <cell r="C15" t="str">
            <v>应收股利</v>
          </cell>
          <cell r="D15">
            <v>1</v>
          </cell>
          <cell r="F15" t="str">
            <v>GE</v>
          </cell>
          <cell r="G15" t="str">
            <v>应收股利</v>
          </cell>
          <cell r="I15">
            <v>1131</v>
          </cell>
          <cell r="J15" t="str">
            <v>J</v>
          </cell>
          <cell r="M15" t="str">
            <v>存货</v>
          </cell>
          <cell r="P15" t="str">
            <v>取得子公司及其他营业单位支付的现金净额</v>
          </cell>
          <cell r="S15" t="str">
            <v>1122c</v>
          </cell>
          <cell r="T15" t="str">
            <v>应收账款中外币列示</v>
          </cell>
          <cell r="U15" t="str">
            <v>项       目</v>
          </cell>
          <cell r="V15">
            <v>1</v>
          </cell>
          <cell r="W15">
            <v>1122</v>
          </cell>
          <cell r="X15">
            <v>2</v>
          </cell>
        </row>
        <row r="16">
          <cell r="B16">
            <v>1221</v>
          </cell>
          <cell r="C16" t="str">
            <v>其他应收款</v>
          </cell>
          <cell r="D16">
            <v>1</v>
          </cell>
          <cell r="F16" t="str">
            <v>GF</v>
          </cell>
          <cell r="G16" t="str">
            <v>其他应收款</v>
          </cell>
          <cell r="I16">
            <v>1221</v>
          </cell>
          <cell r="J16" t="str">
            <v>J</v>
          </cell>
          <cell r="M16" t="str">
            <v>存货跌价准备</v>
          </cell>
          <cell r="P16" t="str">
            <v>支付其他与投资活动有关的现金</v>
          </cell>
          <cell r="S16" t="str">
            <v>1122d</v>
          </cell>
          <cell r="T16" t="str">
            <v>组合中按账龄分析法计提坏账准备的应收账款</v>
          </cell>
          <cell r="U16" t="str">
            <v>账龄结构</v>
          </cell>
          <cell r="V16">
            <v>1</v>
          </cell>
          <cell r="W16">
            <v>1122</v>
          </cell>
          <cell r="X16">
            <v>2</v>
          </cell>
        </row>
        <row r="17">
          <cell r="B17">
            <v>1111</v>
          </cell>
          <cell r="C17" t="str">
            <v>买入返售金融资产</v>
          </cell>
          <cell r="D17">
            <v>1</v>
          </cell>
          <cell r="E17" t="str">
            <v>△</v>
          </cell>
          <cell r="F17" t="str">
            <v>JE1</v>
          </cell>
          <cell r="G17" t="str">
            <v>买入返售金融资产</v>
          </cell>
          <cell r="I17">
            <v>1111</v>
          </cell>
          <cell r="J17" t="str">
            <v>J</v>
          </cell>
          <cell r="M17" t="str">
            <v>材料采购</v>
          </cell>
          <cell r="P17" t="str">
            <v>吸收投资收到的现金</v>
          </cell>
          <cell r="S17" t="str">
            <v>1122e</v>
          </cell>
          <cell r="T17" t="str">
            <v>组合中采用余额百分比法计提坏账准备的应收账款</v>
          </cell>
          <cell r="U17" t="str">
            <v>组合名称</v>
          </cell>
          <cell r="V17">
            <v>1</v>
          </cell>
          <cell r="W17">
            <v>1122</v>
          </cell>
          <cell r="X17">
            <v>2</v>
          </cell>
        </row>
        <row r="18">
          <cell r="B18">
            <v>1400</v>
          </cell>
          <cell r="C18" t="str">
            <v>存货</v>
          </cell>
          <cell r="D18">
            <v>1</v>
          </cell>
          <cell r="F18" t="str">
            <v>HA</v>
          </cell>
          <cell r="G18" t="str">
            <v>存货</v>
          </cell>
          <cell r="I18">
            <v>1400</v>
          </cell>
          <cell r="J18" t="str">
            <v>J</v>
          </cell>
          <cell r="M18" t="str">
            <v>在途物资</v>
          </cell>
          <cell r="P18" t="str">
            <v>子公司吸收少数股东投资收到的现金</v>
          </cell>
          <cell r="S18" t="str">
            <v>1122f</v>
          </cell>
          <cell r="T18" t="str">
            <v>组合中采用其他方法计提坏账准备的应收账款</v>
          </cell>
          <cell r="U18" t="str">
            <v>组合名称</v>
          </cell>
          <cell r="V18">
            <v>1</v>
          </cell>
          <cell r="W18">
            <v>1122</v>
          </cell>
          <cell r="X18">
            <v>2</v>
          </cell>
        </row>
        <row r="19">
          <cell r="B19">
            <v>1495</v>
          </cell>
          <cell r="C19" t="str">
            <v>一年内到期的非流动资产</v>
          </cell>
          <cell r="D19">
            <v>1</v>
          </cell>
          <cell r="F19" t="str">
            <v>IA</v>
          </cell>
          <cell r="G19" t="str">
            <v>一年内到期的非流动资产</v>
          </cell>
          <cell r="I19">
            <v>1495</v>
          </cell>
          <cell r="J19" t="str">
            <v>J</v>
          </cell>
          <cell r="M19" t="str">
            <v>原材料</v>
          </cell>
          <cell r="P19" t="str">
            <v>取得借款收到的现金</v>
          </cell>
          <cell r="S19" t="str">
            <v>1122g</v>
          </cell>
          <cell r="T19" t="str">
            <v>期末单项金额重大并单项计提坏账准备的应收账款</v>
          </cell>
          <cell r="U19" t="str">
            <v>应收账款内容</v>
          </cell>
          <cell r="V19">
            <v>1</v>
          </cell>
          <cell r="W19">
            <v>1122</v>
          </cell>
          <cell r="X19">
            <v>2</v>
          </cell>
        </row>
        <row r="20">
          <cell r="B20">
            <v>1496</v>
          </cell>
          <cell r="C20" t="str">
            <v>其他流动资产</v>
          </cell>
          <cell r="D20">
            <v>1</v>
          </cell>
          <cell r="F20" t="str">
            <v>IB</v>
          </cell>
          <cell r="G20" t="str">
            <v>其他流动资产</v>
          </cell>
          <cell r="I20">
            <v>1496</v>
          </cell>
          <cell r="J20" t="str">
            <v>J</v>
          </cell>
          <cell r="M20" t="str">
            <v>材料成本差异</v>
          </cell>
          <cell r="P20" t="str">
            <v>收到其他与筹资活动有关的现金</v>
          </cell>
          <cell r="S20" t="str">
            <v>1122h</v>
          </cell>
          <cell r="T20" t="str">
            <v>本期转回或收回情况</v>
          </cell>
          <cell r="U20" t="str">
            <v>应收账款内容</v>
          </cell>
          <cell r="V20">
            <v>1</v>
          </cell>
          <cell r="W20">
            <v>1122</v>
          </cell>
          <cell r="X20">
            <v>2</v>
          </cell>
        </row>
        <row r="21">
          <cell r="B21">
            <v>1498</v>
          </cell>
          <cell r="C21" t="str">
            <v>流动资产</v>
          </cell>
          <cell r="E21" t="str">
            <v>＝</v>
          </cell>
          <cell r="G21" t="str">
            <v>流动资产合计</v>
          </cell>
          <cell r="I21">
            <v>1498</v>
          </cell>
          <cell r="M21" t="str">
            <v>库存商品</v>
          </cell>
          <cell r="P21" t="str">
            <v>偿还债务支付的现金</v>
          </cell>
          <cell r="S21" t="str">
            <v>1122i</v>
          </cell>
          <cell r="T21" t="str">
            <v>本年实际核销的应收账款情况</v>
          </cell>
          <cell r="U21" t="str">
            <v>债务人名称</v>
          </cell>
          <cell r="V21">
            <v>1</v>
          </cell>
          <cell r="W21">
            <v>1122</v>
          </cell>
          <cell r="X21">
            <v>2</v>
          </cell>
        </row>
        <row r="22">
          <cell r="B22">
            <v>1500</v>
          </cell>
          <cell r="C22" t="str">
            <v>非流动资产项目</v>
          </cell>
          <cell r="E22" t="str">
            <v>：</v>
          </cell>
          <cell r="G22" t="str">
            <v>非流动资产：</v>
          </cell>
          <cell r="I22">
            <v>1500</v>
          </cell>
          <cell r="M22" t="str">
            <v>发出商品</v>
          </cell>
          <cell r="P22" t="str">
            <v>分配利润偿付利息支付的现金</v>
          </cell>
          <cell r="S22" t="str">
            <v>1122j</v>
          </cell>
          <cell r="T22" t="str">
            <v>本报告期应收账款中持有本公司5%（含5%）以上表决权股份的股东单位欠款情况</v>
          </cell>
          <cell r="U22" t="str">
            <v>单位名称</v>
          </cell>
          <cell r="V22">
            <v>1</v>
          </cell>
          <cell r="W22">
            <v>1122</v>
          </cell>
          <cell r="X22">
            <v>2</v>
          </cell>
        </row>
        <row r="23">
          <cell r="B23">
            <v>1600</v>
          </cell>
          <cell r="C23" t="str">
            <v>发放委托贷款及垫款</v>
          </cell>
          <cell r="D23">
            <v>1</v>
          </cell>
          <cell r="E23" t="str">
            <v>△</v>
          </cell>
          <cell r="G23" t="str">
            <v>发放委托贷款及垫款</v>
          </cell>
          <cell r="I23">
            <v>1600</v>
          </cell>
          <cell r="J23" t="str">
            <v>J</v>
          </cell>
          <cell r="M23" t="str">
            <v>商品进销差价</v>
          </cell>
          <cell r="P23" t="str">
            <v>子公司支付给少数股东的利润</v>
          </cell>
          <cell r="S23" t="str">
            <v>1122k</v>
          </cell>
          <cell r="T23" t="str">
            <v>年末应收账款前五名单位列示</v>
          </cell>
          <cell r="U23" t="str">
            <v>单位名称</v>
          </cell>
          <cell r="V23">
            <v>1</v>
          </cell>
          <cell r="W23">
            <v>1122</v>
          </cell>
          <cell r="X23">
            <v>2</v>
          </cell>
        </row>
        <row r="24">
          <cell r="B24">
            <v>1503</v>
          </cell>
          <cell r="C24" t="str">
            <v>可供出售金融资产</v>
          </cell>
          <cell r="D24">
            <v>1</v>
          </cell>
          <cell r="F24" t="str">
            <v>KA</v>
          </cell>
          <cell r="G24" t="str">
            <v>可供出售金融资产</v>
          </cell>
          <cell r="I24">
            <v>1503</v>
          </cell>
          <cell r="J24" t="str">
            <v>J</v>
          </cell>
          <cell r="M24" t="str">
            <v>委托加工物资</v>
          </cell>
          <cell r="P24" t="str">
            <v>支付其他与筹资活动有关的现金</v>
          </cell>
          <cell r="S24" t="str">
            <v>1122l</v>
          </cell>
          <cell r="T24" t="str">
            <v>应收关联方账款情况</v>
          </cell>
          <cell r="U24" t="str">
            <v>单位名称</v>
          </cell>
          <cell r="V24">
            <v>1</v>
          </cell>
          <cell r="W24">
            <v>1122</v>
          </cell>
          <cell r="X24">
            <v>2</v>
          </cell>
        </row>
        <row r="25">
          <cell r="B25">
            <v>1501</v>
          </cell>
          <cell r="C25" t="str">
            <v>持有至到期投资</v>
          </cell>
          <cell r="D25">
            <v>1</v>
          </cell>
          <cell r="F25" t="str">
            <v>KB</v>
          </cell>
          <cell r="G25" t="str">
            <v>持有至到期投资</v>
          </cell>
          <cell r="I25">
            <v>1501</v>
          </cell>
          <cell r="J25" t="str">
            <v>J</v>
          </cell>
          <cell r="M25" t="str">
            <v>周转材料</v>
          </cell>
          <cell r="P25" t="str">
            <v>汇率变动对现金及现金等价物的影响</v>
          </cell>
          <cell r="S25" t="str">
            <v>1122m</v>
          </cell>
          <cell r="T25" t="str">
            <v>终止确认的应收账款情况</v>
          </cell>
          <cell r="U25" t="str">
            <v>项       目</v>
          </cell>
          <cell r="V25">
            <v>1</v>
          </cell>
          <cell r="W25">
            <v>1122</v>
          </cell>
          <cell r="X25">
            <v>2</v>
          </cell>
        </row>
        <row r="26">
          <cell r="B26">
            <v>1531</v>
          </cell>
          <cell r="C26" t="str">
            <v>长期应收款</v>
          </cell>
          <cell r="D26">
            <v>1</v>
          </cell>
          <cell r="F26" t="str">
            <v>MC</v>
          </cell>
          <cell r="G26" t="str">
            <v>长期应收款</v>
          </cell>
          <cell r="I26">
            <v>1531</v>
          </cell>
          <cell r="J26" t="str">
            <v>J</v>
          </cell>
          <cell r="M26" t="str">
            <v>生产成本</v>
          </cell>
          <cell r="P26" t="str">
            <v>收到原保险合同保费取得的现金</v>
          </cell>
          <cell r="S26" t="str">
            <v>1122n</v>
          </cell>
          <cell r="T26" t="str">
            <v>以应收账款为标的资产进行资产证券化，继续涉入形成的资产情况</v>
          </cell>
          <cell r="U26" t="str">
            <v>项       目</v>
          </cell>
          <cell r="V26">
            <v>1</v>
          </cell>
          <cell r="W26">
            <v>1122</v>
          </cell>
          <cell r="X26">
            <v>2</v>
          </cell>
        </row>
        <row r="27">
          <cell r="B27">
            <v>1511</v>
          </cell>
          <cell r="C27" t="str">
            <v>长期股权投资</v>
          </cell>
          <cell r="D27">
            <v>1</v>
          </cell>
          <cell r="F27" t="str">
            <v>KC</v>
          </cell>
          <cell r="G27" t="str">
            <v>长期股权投资</v>
          </cell>
          <cell r="I27">
            <v>1511</v>
          </cell>
          <cell r="J27" t="str">
            <v>J</v>
          </cell>
          <cell r="M27" t="str">
            <v>制造费用</v>
          </cell>
          <cell r="P27" t="str">
            <v>收到再保险业务现金净额</v>
          </cell>
          <cell r="S27" t="str">
            <v>1122o</v>
          </cell>
          <cell r="T27" t="str">
            <v>以应收账款为标的资产进行资产证券化，继续涉入形成的负债情况</v>
          </cell>
          <cell r="U27" t="str">
            <v>项       目</v>
          </cell>
          <cell r="V27">
            <v>1</v>
          </cell>
          <cell r="W27">
            <v>1122</v>
          </cell>
          <cell r="X27">
            <v>2</v>
          </cell>
        </row>
        <row r="28">
          <cell r="B28">
            <v>1521</v>
          </cell>
          <cell r="C28" t="str">
            <v>投资性房地产</v>
          </cell>
          <cell r="D28">
            <v>1</v>
          </cell>
          <cell r="F28" t="str">
            <v>LA</v>
          </cell>
          <cell r="G28" t="str">
            <v>投资性房地产</v>
          </cell>
          <cell r="I28">
            <v>1521</v>
          </cell>
          <cell r="J28" t="str">
            <v>J</v>
          </cell>
          <cell r="M28" t="str">
            <v>工程施工</v>
          </cell>
          <cell r="P28" t="str">
            <v>保户储金及投资款净增加额</v>
          </cell>
          <cell r="S28" t="str">
            <v>1221a</v>
          </cell>
          <cell r="T28" t="str">
            <v>其他应收款按种类列示</v>
          </cell>
          <cell r="U28" t="str">
            <v xml:space="preserve">类       别  </v>
          </cell>
          <cell r="V28">
            <v>1</v>
          </cell>
          <cell r="W28">
            <v>1221</v>
          </cell>
          <cell r="X28">
            <v>1</v>
          </cell>
        </row>
        <row r="29">
          <cell r="B29">
            <v>1601</v>
          </cell>
          <cell r="C29" t="str">
            <v>固定资产</v>
          </cell>
          <cell r="D29">
            <v>1</v>
          </cell>
          <cell r="F29" t="str">
            <v>LB</v>
          </cell>
          <cell r="G29" t="str">
            <v>固定资产</v>
          </cell>
          <cell r="I29">
            <v>1601</v>
          </cell>
          <cell r="J29" t="str">
            <v>J</v>
          </cell>
          <cell r="M29" t="str">
            <v>消耗性生物资产</v>
          </cell>
          <cell r="P29" t="str">
            <v>处置交易性金融资产净增加额</v>
          </cell>
          <cell r="S29" t="str">
            <v>1221b</v>
          </cell>
          <cell r="T29" t="str">
            <v>其他应收款按种类列示（续）</v>
          </cell>
          <cell r="U29" t="str">
            <v xml:space="preserve">类       别  </v>
          </cell>
          <cell r="V29">
            <v>1</v>
          </cell>
          <cell r="W29">
            <v>1221</v>
          </cell>
          <cell r="X29">
            <v>2</v>
          </cell>
        </row>
        <row r="30">
          <cell r="B30">
            <v>1604</v>
          </cell>
          <cell r="C30" t="str">
            <v>在建工程</v>
          </cell>
          <cell r="D30">
            <v>1</v>
          </cell>
          <cell r="F30" t="str">
            <v>LC</v>
          </cell>
          <cell r="G30" t="str">
            <v>在建工程</v>
          </cell>
          <cell r="I30">
            <v>1604</v>
          </cell>
          <cell r="J30" t="str">
            <v>J</v>
          </cell>
          <cell r="M30" t="str">
            <v>一年内到期的非流动资产</v>
          </cell>
          <cell r="P30" t="str">
            <v>收取利息手续费及佣金的现金</v>
          </cell>
          <cell r="S30" t="str">
            <v>1221c</v>
          </cell>
          <cell r="T30" t="str">
            <v>其他应收款中外币列示</v>
          </cell>
          <cell r="U30" t="str">
            <v>项       目</v>
          </cell>
          <cell r="V30">
            <v>1</v>
          </cell>
          <cell r="W30">
            <v>1221</v>
          </cell>
          <cell r="X30">
            <v>2</v>
          </cell>
        </row>
        <row r="31">
          <cell r="B31">
            <v>1605</v>
          </cell>
          <cell r="C31" t="str">
            <v>工程物资</v>
          </cell>
          <cell r="D31">
            <v>1</v>
          </cell>
          <cell r="F31" t="str">
            <v>LD</v>
          </cell>
          <cell r="G31" t="str">
            <v>工程物资</v>
          </cell>
          <cell r="I31">
            <v>1605</v>
          </cell>
          <cell r="J31" t="str">
            <v>J</v>
          </cell>
          <cell r="M31" t="str">
            <v>其他流动资产</v>
          </cell>
          <cell r="P31" t="str">
            <v>拆入资金净增加额</v>
          </cell>
          <cell r="S31" t="str">
            <v>1221d</v>
          </cell>
          <cell r="T31" t="str">
            <v>组合中按账龄分析法计提坏账准备的其他应收款</v>
          </cell>
          <cell r="U31" t="str">
            <v>账龄结构</v>
          </cell>
          <cell r="V31">
            <v>1</v>
          </cell>
          <cell r="W31">
            <v>1221</v>
          </cell>
          <cell r="X31">
            <v>2</v>
          </cell>
        </row>
        <row r="32">
          <cell r="B32">
            <v>1606</v>
          </cell>
          <cell r="C32" t="str">
            <v>固定资产清理</v>
          </cell>
          <cell r="D32">
            <v>1</v>
          </cell>
          <cell r="F32" t="str">
            <v>LE</v>
          </cell>
          <cell r="G32" t="str">
            <v>固定资产清理</v>
          </cell>
          <cell r="I32">
            <v>1606</v>
          </cell>
          <cell r="J32" t="str">
            <v>J</v>
          </cell>
          <cell r="M32" t="str">
            <v>可供出售金融资产</v>
          </cell>
          <cell r="P32" t="str">
            <v>回购业务资金净增加额</v>
          </cell>
          <cell r="S32" t="str">
            <v>1221e</v>
          </cell>
          <cell r="T32" t="str">
            <v>组合中采用余额百分比法计提坏账准备的其他应收款</v>
          </cell>
          <cell r="U32" t="str">
            <v>组合名称</v>
          </cell>
          <cell r="V32">
            <v>1</v>
          </cell>
          <cell r="W32">
            <v>1221</v>
          </cell>
          <cell r="X32">
            <v>2</v>
          </cell>
        </row>
        <row r="33">
          <cell r="B33">
            <v>1621</v>
          </cell>
          <cell r="C33" t="str">
            <v>生产性生物资产</v>
          </cell>
          <cell r="D33">
            <v>1</v>
          </cell>
          <cell r="F33" t="str">
            <v>LF</v>
          </cell>
          <cell r="G33" t="str">
            <v>生产性生物资产</v>
          </cell>
          <cell r="I33">
            <v>1621</v>
          </cell>
          <cell r="J33" t="str">
            <v>J</v>
          </cell>
          <cell r="M33" t="str">
            <v>可供出售金融资产减值准备</v>
          </cell>
          <cell r="P33" t="str">
            <v>客户贷款及垫款净增加额</v>
          </cell>
          <cell r="S33" t="str">
            <v>1221f</v>
          </cell>
          <cell r="T33" t="str">
            <v>组合中采用其他方法计提坏账准备的其他应收款</v>
          </cell>
          <cell r="U33" t="str">
            <v>组合名称</v>
          </cell>
          <cell r="V33">
            <v>1</v>
          </cell>
          <cell r="W33">
            <v>1221</v>
          </cell>
          <cell r="X33">
            <v>2</v>
          </cell>
        </row>
        <row r="34">
          <cell r="B34">
            <v>1631</v>
          </cell>
          <cell r="C34" t="str">
            <v>油气资产</v>
          </cell>
          <cell r="D34">
            <v>1</v>
          </cell>
          <cell r="F34" t="str">
            <v>LG</v>
          </cell>
          <cell r="G34" t="str">
            <v>油气资产</v>
          </cell>
          <cell r="I34">
            <v>1631</v>
          </cell>
          <cell r="J34" t="str">
            <v>J</v>
          </cell>
          <cell r="M34" t="str">
            <v>持有至到期投资</v>
          </cell>
          <cell r="P34" t="str">
            <v>存放中央银行和同业款项净增加额</v>
          </cell>
          <cell r="S34" t="str">
            <v>1221g</v>
          </cell>
          <cell r="T34" t="str">
            <v>期末单项金额重大并单项计提坏账准备的其他应收款</v>
          </cell>
          <cell r="U34" t="str">
            <v>其他应收款内容</v>
          </cell>
          <cell r="V34">
            <v>1</v>
          </cell>
          <cell r="W34">
            <v>1221</v>
          </cell>
          <cell r="X34">
            <v>2</v>
          </cell>
        </row>
        <row r="35">
          <cell r="B35">
            <v>1701</v>
          </cell>
          <cell r="C35" t="str">
            <v>无形资产</v>
          </cell>
          <cell r="D35">
            <v>1</v>
          </cell>
          <cell r="F35" t="str">
            <v>MA</v>
          </cell>
          <cell r="G35" t="str">
            <v>无形资产</v>
          </cell>
          <cell r="I35">
            <v>1701</v>
          </cell>
          <cell r="J35" t="str">
            <v>J</v>
          </cell>
          <cell r="M35" t="str">
            <v>持有至到期投资减值准备</v>
          </cell>
          <cell r="P35" t="str">
            <v>支付原保险合同赔付款项的现金</v>
          </cell>
          <cell r="S35" t="str">
            <v>1221h</v>
          </cell>
          <cell r="T35" t="str">
            <v>本期转回或收回情况</v>
          </cell>
          <cell r="U35" t="str">
            <v>其他应收款内容</v>
          </cell>
          <cell r="V35">
            <v>1</v>
          </cell>
          <cell r="W35">
            <v>1221</v>
          </cell>
          <cell r="X35">
            <v>2</v>
          </cell>
        </row>
        <row r="36">
          <cell r="B36">
            <v>1700</v>
          </cell>
          <cell r="C36" t="str">
            <v>开发支出</v>
          </cell>
          <cell r="D36">
            <v>1</v>
          </cell>
          <cell r="F36" t="str">
            <v>MB</v>
          </cell>
          <cell r="G36" t="str">
            <v>开发支出</v>
          </cell>
          <cell r="I36">
            <v>1700</v>
          </cell>
          <cell r="J36" t="str">
            <v>J</v>
          </cell>
          <cell r="M36" t="str">
            <v>长期应收款</v>
          </cell>
          <cell r="P36" t="str">
            <v>支付利息手续费及佣金的现金</v>
          </cell>
          <cell r="S36" t="str">
            <v>1221i</v>
          </cell>
          <cell r="T36" t="str">
            <v>本年实际核销的其他应收款情况</v>
          </cell>
          <cell r="U36" t="str">
            <v>债务人名称</v>
          </cell>
          <cell r="V36">
            <v>1</v>
          </cell>
          <cell r="W36">
            <v>1221</v>
          </cell>
          <cell r="X36">
            <v>2</v>
          </cell>
        </row>
        <row r="37">
          <cell r="B37">
            <v>1711</v>
          </cell>
          <cell r="C37" t="str">
            <v>商誉</v>
          </cell>
          <cell r="D37">
            <v>1</v>
          </cell>
          <cell r="F37" t="str">
            <v>MD</v>
          </cell>
          <cell r="G37" t="str">
            <v>商誉</v>
          </cell>
          <cell r="I37">
            <v>1711</v>
          </cell>
          <cell r="J37" t="str">
            <v>J</v>
          </cell>
          <cell r="M37" t="str">
            <v>长期股权投资</v>
          </cell>
          <cell r="P37" t="str">
            <v>支付保单红利的现金</v>
          </cell>
          <cell r="S37" t="str">
            <v>1221j</v>
          </cell>
          <cell r="T37" t="str">
            <v>本报告期其他应收款中持有本公司5%（含5%）以上表决权股份的股东单位欠款情况</v>
          </cell>
          <cell r="U37" t="str">
            <v>单位名称</v>
          </cell>
          <cell r="V37">
            <v>1</v>
          </cell>
          <cell r="W37">
            <v>1221</v>
          </cell>
          <cell r="X37">
            <v>2</v>
          </cell>
        </row>
        <row r="38">
          <cell r="B38">
            <v>1801</v>
          </cell>
          <cell r="C38" t="str">
            <v>长期待摊费用</v>
          </cell>
          <cell r="D38">
            <v>1</v>
          </cell>
          <cell r="F38" t="str">
            <v>ME</v>
          </cell>
          <cell r="G38" t="str">
            <v>长期待摊费用</v>
          </cell>
          <cell r="I38">
            <v>1801</v>
          </cell>
          <cell r="J38" t="str">
            <v>J</v>
          </cell>
          <cell r="M38" t="str">
            <v>长期股权投资减值准备</v>
          </cell>
          <cell r="P38" t="str">
            <v>质押贷款净增加额</v>
          </cell>
          <cell r="S38" t="str">
            <v>1221k</v>
          </cell>
          <cell r="T38" t="str">
            <v>年末其他应收款前五名单位列示</v>
          </cell>
          <cell r="U38" t="str">
            <v>单位名称</v>
          </cell>
          <cell r="V38">
            <v>1</v>
          </cell>
          <cell r="W38">
            <v>1221</v>
          </cell>
          <cell r="X38">
            <v>2</v>
          </cell>
        </row>
        <row r="39">
          <cell r="B39">
            <v>1811</v>
          </cell>
          <cell r="C39" t="str">
            <v>递延所得税资产</v>
          </cell>
          <cell r="D39">
            <v>1</v>
          </cell>
          <cell r="F39" t="str">
            <v>MF</v>
          </cell>
          <cell r="G39" t="str">
            <v>递延所得税资产</v>
          </cell>
          <cell r="I39">
            <v>1811</v>
          </cell>
          <cell r="J39" t="str">
            <v>J</v>
          </cell>
          <cell r="M39" t="str">
            <v>投资性房地产</v>
          </cell>
          <cell r="P39" t="str">
            <v>发行债券收到的现金</v>
          </cell>
          <cell r="S39" t="str">
            <v>1221l</v>
          </cell>
          <cell r="T39" t="str">
            <v>其他金额较大的其他应收款列示</v>
          </cell>
          <cell r="U39" t="str">
            <v>单位名称</v>
          </cell>
          <cell r="V39">
            <v>1</v>
          </cell>
          <cell r="W39">
            <v>1221</v>
          </cell>
          <cell r="X39">
            <v>2</v>
          </cell>
        </row>
        <row r="40">
          <cell r="B40">
            <v>1996</v>
          </cell>
          <cell r="C40" t="str">
            <v>其他非流动资产</v>
          </cell>
          <cell r="D40">
            <v>1</v>
          </cell>
          <cell r="F40" t="str">
            <v>MK</v>
          </cell>
          <cell r="G40" t="str">
            <v>其他非流动资产</v>
          </cell>
          <cell r="I40">
            <v>1996</v>
          </cell>
          <cell r="J40" t="str">
            <v>J</v>
          </cell>
          <cell r="M40" t="str">
            <v>投资性房地产减值准备</v>
          </cell>
          <cell r="P40" t="str">
            <v>客户存款和同业存放款项净增加额</v>
          </cell>
          <cell r="S40" t="str">
            <v>1221m</v>
          </cell>
          <cell r="T40" t="str">
            <v>其他应收款中应收关联方款项</v>
          </cell>
          <cell r="U40" t="str">
            <v>单位名称</v>
          </cell>
          <cell r="V40">
            <v>1</v>
          </cell>
          <cell r="W40">
            <v>1221</v>
          </cell>
          <cell r="X40">
            <v>2</v>
          </cell>
        </row>
        <row r="41">
          <cell r="B41">
            <v>1998</v>
          </cell>
          <cell r="C41" t="str">
            <v>非流动资产</v>
          </cell>
          <cell r="E41" t="str">
            <v>＝</v>
          </cell>
          <cell r="G41" t="str">
            <v>非流动资产合计</v>
          </cell>
          <cell r="I41">
            <v>1998</v>
          </cell>
          <cell r="M41" t="str">
            <v>固定资产</v>
          </cell>
          <cell r="P41" t="str">
            <v>向中央银行借款净增加额</v>
          </cell>
          <cell r="S41" t="str">
            <v>1221n</v>
          </cell>
          <cell r="T41" t="str">
            <v>终止确认的其他应收款情况</v>
          </cell>
          <cell r="U41" t="str">
            <v>项       目</v>
          </cell>
          <cell r="V41">
            <v>1</v>
          </cell>
          <cell r="W41">
            <v>1221</v>
          </cell>
          <cell r="X41">
            <v>2</v>
          </cell>
        </row>
        <row r="42">
          <cell r="B42">
            <v>1999</v>
          </cell>
          <cell r="C42" t="str">
            <v>资产</v>
          </cell>
          <cell r="E42" t="str">
            <v>＝</v>
          </cell>
          <cell r="G42" t="str">
            <v>资产总计</v>
          </cell>
          <cell r="I42">
            <v>1999</v>
          </cell>
          <cell r="M42" t="str">
            <v>累计折旧</v>
          </cell>
          <cell r="P42" t="str">
            <v>向其他金融机构拆入资金净增加额</v>
          </cell>
          <cell r="S42" t="str">
            <v>1221o</v>
          </cell>
          <cell r="T42" t="str">
            <v>以其他应收款为标的资产进行资产证券化，继续涉入形成的资产情况</v>
          </cell>
          <cell r="U42" t="str">
            <v>项       目</v>
          </cell>
          <cell r="V42">
            <v>1</v>
          </cell>
          <cell r="W42">
            <v>1221</v>
          </cell>
          <cell r="X42">
            <v>2</v>
          </cell>
        </row>
        <row r="43">
          <cell r="B43">
            <v>2000</v>
          </cell>
          <cell r="C43" t="str">
            <v>流动负债项目</v>
          </cell>
          <cell r="E43" t="str">
            <v>：</v>
          </cell>
          <cell r="G43" t="str">
            <v>流动负债：</v>
          </cell>
          <cell r="I43">
            <v>2000</v>
          </cell>
          <cell r="M43" t="str">
            <v>固定资产减值准备</v>
          </cell>
          <cell r="P43" t="str">
            <v>收到原保险合同保费取得的现金</v>
          </cell>
          <cell r="S43" t="str">
            <v>1221p</v>
          </cell>
          <cell r="T43" t="str">
            <v>以其他应收款为标的资产进行资产证券化，继续涉入形成的负债情况</v>
          </cell>
          <cell r="U43" t="str">
            <v>项       目</v>
          </cell>
          <cell r="V43">
            <v>1</v>
          </cell>
          <cell r="W43">
            <v>1221</v>
          </cell>
          <cell r="X43">
            <v>2</v>
          </cell>
        </row>
        <row r="44">
          <cell r="B44">
            <v>2001</v>
          </cell>
          <cell r="C44" t="str">
            <v>短期借款</v>
          </cell>
          <cell r="D44">
            <v>-1</v>
          </cell>
          <cell r="F44" t="str">
            <v>NB</v>
          </cell>
          <cell r="G44" t="str">
            <v>短期借款</v>
          </cell>
          <cell r="I44">
            <v>2001</v>
          </cell>
          <cell r="J44" t="str">
            <v>J</v>
          </cell>
          <cell r="M44" t="str">
            <v>在建工程</v>
          </cell>
          <cell r="P44" t="str">
            <v>收到再保险业务现金净额</v>
          </cell>
          <cell r="S44" t="str">
            <v>1125a</v>
          </cell>
          <cell r="T44" t="str">
            <v>预付款项按账龄列示</v>
          </cell>
          <cell r="U44" t="str">
            <v>账       龄</v>
          </cell>
          <cell r="V44">
            <v>1</v>
          </cell>
          <cell r="W44">
            <v>1125</v>
          </cell>
          <cell r="X44">
            <v>1</v>
          </cell>
        </row>
        <row r="45">
          <cell r="B45">
            <v>2004</v>
          </cell>
          <cell r="C45" t="str">
            <v>向中央银行借款</v>
          </cell>
          <cell r="D45">
            <v>-1</v>
          </cell>
          <cell r="E45" t="str">
            <v>△</v>
          </cell>
          <cell r="F45" t="str">
            <v>OC1</v>
          </cell>
          <cell r="G45" t="str">
            <v>向中央银行借款</v>
          </cell>
          <cell r="I45">
            <v>2004</v>
          </cell>
          <cell r="J45" t="str">
            <v>J</v>
          </cell>
          <cell r="M45" t="str">
            <v>在建工程减值准备</v>
          </cell>
          <cell r="P45" t="str">
            <v>保户储金及投资款净增加额</v>
          </cell>
          <cell r="S45" t="str">
            <v>1125b</v>
          </cell>
          <cell r="T45" t="str">
            <v>预付款项中外币列示</v>
          </cell>
          <cell r="U45" t="str">
            <v>项       目</v>
          </cell>
          <cell r="V45">
            <v>1</v>
          </cell>
          <cell r="W45">
            <v>1125</v>
          </cell>
          <cell r="X45">
            <v>2</v>
          </cell>
        </row>
        <row r="46">
          <cell r="B46">
            <v>2010</v>
          </cell>
          <cell r="C46" t="str">
            <v>吸收存款及同业存放</v>
          </cell>
          <cell r="D46">
            <v>-1</v>
          </cell>
          <cell r="E46" t="str">
            <v>△</v>
          </cell>
          <cell r="G46" t="str">
            <v>吸收存款及同业存放</v>
          </cell>
          <cell r="I46">
            <v>2010</v>
          </cell>
          <cell r="J46" t="str">
            <v>J</v>
          </cell>
          <cell r="M46" t="str">
            <v>工程物资</v>
          </cell>
          <cell r="P46" t="str">
            <v>处置交易性金融资产净增加额</v>
          </cell>
          <cell r="S46" t="str">
            <v>1125c</v>
          </cell>
          <cell r="T46" t="str">
            <v>年末预付款项前五名单位列示</v>
          </cell>
          <cell r="U46" t="str">
            <v>单位名称</v>
          </cell>
          <cell r="V46">
            <v>1</v>
          </cell>
          <cell r="W46">
            <v>1125</v>
          </cell>
          <cell r="X46">
            <v>2</v>
          </cell>
        </row>
        <row r="47">
          <cell r="B47">
            <v>2003</v>
          </cell>
          <cell r="C47" t="str">
            <v>拆入资金</v>
          </cell>
          <cell r="D47">
            <v>-1</v>
          </cell>
          <cell r="E47" t="str">
            <v>△</v>
          </cell>
          <cell r="F47" t="str">
            <v>OB1</v>
          </cell>
          <cell r="G47" t="str">
            <v>拆入资金</v>
          </cell>
          <cell r="I47">
            <v>2003</v>
          </cell>
          <cell r="J47" t="str">
            <v>J</v>
          </cell>
          <cell r="M47" t="str">
            <v>工程物资减值准备</v>
          </cell>
          <cell r="P47" t="str">
            <v>收取利息手续费及佣金的现金</v>
          </cell>
          <cell r="S47" t="str">
            <v>1125d</v>
          </cell>
          <cell r="T47" t="str">
            <v>账龄超过一年、金额较大的预付款项明细列示</v>
          </cell>
          <cell r="U47" t="str">
            <v>单位名称</v>
          </cell>
          <cell r="V47">
            <v>1</v>
          </cell>
          <cell r="W47">
            <v>1125</v>
          </cell>
          <cell r="X47">
            <v>2</v>
          </cell>
        </row>
        <row r="48">
          <cell r="B48">
            <v>2101</v>
          </cell>
          <cell r="C48" t="str">
            <v>交易性金融负债</v>
          </cell>
          <cell r="D48">
            <v>-1</v>
          </cell>
          <cell r="F48" t="str">
            <v>NK</v>
          </cell>
          <cell r="G48" t="str">
            <v>交易性金融负债</v>
          </cell>
          <cell r="I48">
            <v>2101</v>
          </cell>
          <cell r="J48" t="str">
            <v>J</v>
          </cell>
          <cell r="M48" t="str">
            <v>固定资产清理</v>
          </cell>
          <cell r="P48" t="str">
            <v>拆入资金净增加额</v>
          </cell>
          <cell r="S48" t="str">
            <v>1125e</v>
          </cell>
          <cell r="T48" t="str">
            <v>本报告期预付款项中持有本公司5%（含5%）以上表决权股份的股东单位情况</v>
          </cell>
          <cell r="U48" t="str">
            <v>单位名称</v>
          </cell>
          <cell r="V48">
            <v>1</v>
          </cell>
          <cell r="W48">
            <v>1125</v>
          </cell>
          <cell r="X48">
            <v>2</v>
          </cell>
        </row>
        <row r="49">
          <cell r="B49">
            <v>2201</v>
          </cell>
          <cell r="C49" t="str">
            <v>应付票据</v>
          </cell>
          <cell r="D49">
            <v>-1</v>
          </cell>
          <cell r="F49" t="str">
            <v>NC</v>
          </cell>
          <cell r="G49" t="str">
            <v>应付票据</v>
          </cell>
          <cell r="I49">
            <v>2201</v>
          </cell>
          <cell r="J49" t="str">
            <v>J</v>
          </cell>
          <cell r="M49" t="str">
            <v>生产性生物资产</v>
          </cell>
          <cell r="P49" t="str">
            <v>回购业务资金净增加额</v>
          </cell>
          <cell r="S49" t="str">
            <v>1400a</v>
          </cell>
          <cell r="T49" t="str">
            <v>存货分类列示</v>
          </cell>
          <cell r="U49" t="str">
            <v>项       目</v>
          </cell>
          <cell r="V49">
            <v>1</v>
          </cell>
          <cell r="W49">
            <v>1400</v>
          </cell>
          <cell r="X49">
            <v>1</v>
          </cell>
        </row>
        <row r="50">
          <cell r="B50">
            <v>2202</v>
          </cell>
          <cell r="C50" t="str">
            <v>应付账款</v>
          </cell>
          <cell r="D50">
            <v>-1</v>
          </cell>
          <cell r="F50" t="str">
            <v>ND</v>
          </cell>
          <cell r="G50" t="str">
            <v>应付账款</v>
          </cell>
          <cell r="I50">
            <v>2202</v>
          </cell>
          <cell r="J50" t="str">
            <v>J</v>
          </cell>
          <cell r="M50" t="str">
            <v>生产性生物资产累计折旧</v>
          </cell>
          <cell r="P50" t="str">
            <v>客户贷款及垫款净增加额</v>
          </cell>
          <cell r="S50" t="str">
            <v>1400b</v>
          </cell>
          <cell r="T50" t="str">
            <v>各项存货跌价准备的增减变动情况</v>
          </cell>
          <cell r="U50" t="str">
            <v>存货种类</v>
          </cell>
          <cell r="V50">
            <v>1</v>
          </cell>
          <cell r="W50">
            <v>1400</v>
          </cell>
          <cell r="X50">
            <v>2</v>
          </cell>
        </row>
        <row r="51">
          <cell r="B51">
            <v>2205</v>
          </cell>
          <cell r="C51" t="str">
            <v>预收款项</v>
          </cell>
          <cell r="D51">
            <v>-1</v>
          </cell>
          <cell r="F51" t="str">
            <v>NE</v>
          </cell>
          <cell r="G51" t="str">
            <v>预收款项</v>
          </cell>
          <cell r="I51">
            <v>2205</v>
          </cell>
          <cell r="J51" t="str">
            <v>J</v>
          </cell>
          <cell r="M51" t="str">
            <v>生产性生物资产减值准备</v>
          </cell>
          <cell r="P51" t="str">
            <v>存放中央银行和同业款项净增加额</v>
          </cell>
          <cell r="S51" t="str">
            <v>1400c</v>
          </cell>
          <cell r="T51" t="str">
            <v>存货跌价准备计提依据与转回情况</v>
          </cell>
          <cell r="U51" t="str">
            <v>存货种类</v>
          </cell>
          <cell r="V51">
            <v>1</v>
          </cell>
          <cell r="W51">
            <v>1400</v>
          </cell>
          <cell r="X51">
            <v>2</v>
          </cell>
        </row>
        <row r="52">
          <cell r="B52">
            <v>2111</v>
          </cell>
          <cell r="C52" t="str">
            <v>卖出回购金融资产款</v>
          </cell>
          <cell r="D52">
            <v>-1</v>
          </cell>
          <cell r="E52" t="str">
            <v>△</v>
          </cell>
          <cell r="F52" t="str">
            <v>OG1</v>
          </cell>
          <cell r="G52" t="str">
            <v>卖出回购金融资产款</v>
          </cell>
          <cell r="I52">
            <v>2111</v>
          </cell>
          <cell r="J52" t="str">
            <v>J</v>
          </cell>
          <cell r="M52" t="str">
            <v>油气资产</v>
          </cell>
          <cell r="P52" t="str">
            <v>支付原保险合同赔付款项的现金</v>
          </cell>
          <cell r="S52" t="str">
            <v>1400d</v>
          </cell>
          <cell r="T52" t="str">
            <v>开发成本</v>
          </cell>
          <cell r="U52" t="str">
            <v>项目名称</v>
          </cell>
          <cell r="V52">
            <v>1</v>
          </cell>
          <cell r="W52">
            <v>1400</v>
          </cell>
          <cell r="X52">
            <v>2</v>
          </cell>
        </row>
        <row r="53">
          <cell r="B53">
            <v>2240</v>
          </cell>
          <cell r="C53" t="str">
            <v>应付手续费及佣金</v>
          </cell>
          <cell r="D53">
            <v>-1</v>
          </cell>
          <cell r="E53" t="str">
            <v>△</v>
          </cell>
          <cell r="G53" t="str">
            <v>应付手续费及佣金</v>
          </cell>
          <cell r="I53">
            <v>2240</v>
          </cell>
          <cell r="J53" t="str">
            <v>J</v>
          </cell>
          <cell r="M53" t="str">
            <v>累计折耗</v>
          </cell>
          <cell r="P53" t="str">
            <v>支付利息手续费及佣金的现金</v>
          </cell>
          <cell r="S53" t="str">
            <v>1400e</v>
          </cell>
          <cell r="T53" t="str">
            <v>开发产品</v>
          </cell>
          <cell r="U53" t="str">
            <v>项目名称</v>
          </cell>
          <cell r="V53">
            <v>1</v>
          </cell>
          <cell r="W53">
            <v>1400</v>
          </cell>
          <cell r="X53">
            <v>2</v>
          </cell>
        </row>
        <row r="54">
          <cell r="B54">
            <v>2211</v>
          </cell>
          <cell r="C54" t="str">
            <v>应付职工薪酬</v>
          </cell>
          <cell r="D54">
            <v>-1</v>
          </cell>
          <cell r="F54" t="str">
            <v>NF</v>
          </cell>
          <cell r="G54" t="str">
            <v>应付职工薪酬</v>
          </cell>
          <cell r="I54">
            <v>2211</v>
          </cell>
          <cell r="J54" t="str">
            <v>J</v>
          </cell>
          <cell r="M54" t="str">
            <v>油气资产减值准备</v>
          </cell>
          <cell r="P54" t="str">
            <v>支付保单红利的现金</v>
          </cell>
          <cell r="S54" t="str">
            <v>1400f</v>
          </cell>
          <cell r="T54" t="str">
            <v>分期收款开发产品</v>
          </cell>
          <cell r="U54" t="str">
            <v>项目名称</v>
          </cell>
          <cell r="V54">
            <v>1</v>
          </cell>
          <cell r="W54">
            <v>1400</v>
          </cell>
          <cell r="X54">
            <v>2</v>
          </cell>
        </row>
        <row r="55">
          <cell r="B55">
            <v>2221</v>
          </cell>
          <cell r="C55" t="str">
            <v>应交税费</v>
          </cell>
          <cell r="D55">
            <v>-1</v>
          </cell>
          <cell r="F55" t="str">
            <v>NG</v>
          </cell>
          <cell r="G55" t="str">
            <v>应交税费</v>
          </cell>
          <cell r="I55">
            <v>2221</v>
          </cell>
          <cell r="J55" t="str">
            <v>J</v>
          </cell>
          <cell r="M55" t="str">
            <v>无形资产</v>
          </cell>
          <cell r="P55" t="str">
            <v>质押贷款净增加额</v>
          </cell>
          <cell r="S55" t="str">
            <v>1400g</v>
          </cell>
          <cell r="T55" t="str">
            <v>周转房</v>
          </cell>
          <cell r="U55" t="str">
            <v>项目名称</v>
          </cell>
          <cell r="V55">
            <v>1</v>
          </cell>
          <cell r="W55">
            <v>1400</v>
          </cell>
          <cell r="X55">
            <v>2</v>
          </cell>
        </row>
        <row r="56">
          <cell r="B56">
            <v>2231</v>
          </cell>
          <cell r="C56" t="str">
            <v>应付利息</v>
          </cell>
          <cell r="D56">
            <v>-1</v>
          </cell>
          <cell r="F56" t="str">
            <v>NH</v>
          </cell>
          <cell r="G56" t="str">
            <v>应付利息</v>
          </cell>
          <cell r="I56">
            <v>2231</v>
          </cell>
          <cell r="J56" t="str">
            <v>J</v>
          </cell>
          <cell r="M56" t="str">
            <v>累计摊销</v>
          </cell>
          <cell r="S56" t="str">
            <v>1496a</v>
          </cell>
          <cell r="T56" t="str">
            <v>其他流动资产明细列示</v>
          </cell>
          <cell r="U56" t="str">
            <v>项       目</v>
          </cell>
          <cell r="V56">
            <v>1</v>
          </cell>
          <cell r="W56">
            <v>1496</v>
          </cell>
          <cell r="X56">
            <v>1</v>
          </cell>
        </row>
        <row r="57">
          <cell r="B57">
            <v>2232</v>
          </cell>
          <cell r="C57" t="str">
            <v>应付股利</v>
          </cell>
          <cell r="D57">
            <v>-1</v>
          </cell>
          <cell r="F57" t="str">
            <v>NI</v>
          </cell>
          <cell r="G57" t="str">
            <v>应付股利</v>
          </cell>
          <cell r="I57">
            <v>2232</v>
          </cell>
          <cell r="J57" t="str">
            <v>J</v>
          </cell>
          <cell r="M57" t="str">
            <v>无形资产减值准备</v>
          </cell>
          <cell r="S57" t="str">
            <v>1503a</v>
          </cell>
          <cell r="T57" t="str">
            <v>可供出售资产分项列示</v>
          </cell>
          <cell r="U57" t="str">
            <v>项       目</v>
          </cell>
          <cell r="V57">
            <v>1</v>
          </cell>
          <cell r="W57">
            <v>1503</v>
          </cell>
          <cell r="X57">
            <v>1</v>
          </cell>
        </row>
        <row r="58">
          <cell r="B58">
            <v>2241</v>
          </cell>
          <cell r="C58" t="str">
            <v>其他应付款</v>
          </cell>
          <cell r="D58">
            <v>-1</v>
          </cell>
          <cell r="F58" t="str">
            <v>NJ</v>
          </cell>
          <cell r="G58" t="str">
            <v>其他应付款</v>
          </cell>
          <cell r="I58">
            <v>2241</v>
          </cell>
          <cell r="J58" t="str">
            <v>J</v>
          </cell>
          <cell r="M58" t="str">
            <v>开发支出</v>
          </cell>
          <cell r="S58" t="str">
            <v>1503b</v>
          </cell>
          <cell r="T58" t="str">
            <v>持有至到期投资重分类为可供出售金融资产情况</v>
          </cell>
          <cell r="U58" t="str">
            <v>项       目</v>
          </cell>
          <cell r="V58">
            <v>1</v>
          </cell>
          <cell r="W58">
            <v>1503</v>
          </cell>
          <cell r="X58">
            <v>2</v>
          </cell>
        </row>
        <row r="59">
          <cell r="B59">
            <v>2261</v>
          </cell>
          <cell r="C59" t="str">
            <v>应付分保账款</v>
          </cell>
          <cell r="D59">
            <v>-1</v>
          </cell>
          <cell r="E59" t="str">
            <v>△</v>
          </cell>
          <cell r="F59" t="str">
            <v>OI1</v>
          </cell>
          <cell r="G59" t="str">
            <v>应付分保账款</v>
          </cell>
          <cell r="I59">
            <v>2261</v>
          </cell>
          <cell r="J59" t="str">
            <v>J</v>
          </cell>
          <cell r="M59" t="str">
            <v>商誉</v>
          </cell>
          <cell r="S59" t="str">
            <v>1503c</v>
          </cell>
          <cell r="T59" t="str">
            <v>可供出售的长期债权投资明细列示</v>
          </cell>
          <cell r="U59" t="str">
            <v>债券项目</v>
          </cell>
          <cell r="V59">
            <v>1</v>
          </cell>
          <cell r="W59">
            <v>1503</v>
          </cell>
          <cell r="X59">
            <v>2</v>
          </cell>
        </row>
        <row r="60">
          <cell r="B60">
            <v>2310</v>
          </cell>
          <cell r="C60" t="str">
            <v>保险合同准备金</v>
          </cell>
          <cell r="D60">
            <v>-1</v>
          </cell>
          <cell r="E60" t="str">
            <v>△</v>
          </cell>
          <cell r="G60" t="str">
            <v>保险合同准备金</v>
          </cell>
          <cell r="I60">
            <v>2310</v>
          </cell>
          <cell r="J60" t="str">
            <v>J</v>
          </cell>
          <cell r="M60" t="str">
            <v>商誉减值准备</v>
          </cell>
          <cell r="S60" t="str">
            <v>1501a</v>
          </cell>
          <cell r="T60" t="str">
            <v>持有至到期投资分项列示</v>
          </cell>
          <cell r="U60" t="str">
            <v>项       目</v>
          </cell>
          <cell r="V60">
            <v>1</v>
          </cell>
          <cell r="W60">
            <v>1501</v>
          </cell>
          <cell r="X60">
            <v>1</v>
          </cell>
        </row>
        <row r="61">
          <cell r="B61">
            <v>2311</v>
          </cell>
          <cell r="C61" t="str">
            <v>代理买卖证券款</v>
          </cell>
          <cell r="D61">
            <v>-1</v>
          </cell>
          <cell r="E61" t="str">
            <v>△</v>
          </cell>
          <cell r="F61" t="str">
            <v>OJ1</v>
          </cell>
          <cell r="G61" t="str">
            <v>代理买卖证券款</v>
          </cell>
          <cell r="I61">
            <v>2311</v>
          </cell>
          <cell r="J61" t="str">
            <v>J</v>
          </cell>
          <cell r="M61" t="str">
            <v>长期待摊费用</v>
          </cell>
          <cell r="S61" t="str">
            <v>1501b</v>
          </cell>
          <cell r="T61" t="str">
            <v>报告期内出售但尚未到期的持有至到期投资情况</v>
          </cell>
          <cell r="U61" t="str">
            <v>项       目</v>
          </cell>
          <cell r="V61">
            <v>1</v>
          </cell>
          <cell r="W61">
            <v>1501</v>
          </cell>
          <cell r="X61">
            <v>2</v>
          </cell>
        </row>
        <row r="62">
          <cell r="B62">
            <v>2312</v>
          </cell>
          <cell r="C62" t="str">
            <v>代理承销证券款</v>
          </cell>
          <cell r="D62">
            <v>-1</v>
          </cell>
          <cell r="E62" t="str">
            <v>△</v>
          </cell>
          <cell r="F62" t="str">
            <v>OL1</v>
          </cell>
          <cell r="G62" t="str">
            <v>代理承销证券款</v>
          </cell>
          <cell r="I62">
            <v>2312</v>
          </cell>
          <cell r="J62" t="str">
            <v>J</v>
          </cell>
          <cell r="M62" t="str">
            <v>递延所得税资产</v>
          </cell>
          <cell r="S62" t="str">
            <v>1531a</v>
          </cell>
          <cell r="T62" t="str">
            <v>长期应收款按类别列示</v>
          </cell>
          <cell r="U62" t="str">
            <v>项       目</v>
          </cell>
          <cell r="V62">
            <v>1</v>
          </cell>
          <cell r="W62">
            <v>1531</v>
          </cell>
          <cell r="X62">
            <v>1</v>
          </cell>
        </row>
        <row r="63">
          <cell r="B63">
            <v>2395</v>
          </cell>
          <cell r="C63" t="str">
            <v>一年内到期的非流动负债</v>
          </cell>
          <cell r="D63">
            <v>-1</v>
          </cell>
          <cell r="F63" t="str">
            <v>NM</v>
          </cell>
          <cell r="G63" t="str">
            <v>一年内到期的非流动负债</v>
          </cell>
          <cell r="I63">
            <v>2395</v>
          </cell>
          <cell r="J63" t="str">
            <v>J</v>
          </cell>
          <cell r="M63" t="str">
            <v>其他非流动资产</v>
          </cell>
          <cell r="S63" t="str">
            <v>1535a</v>
          </cell>
          <cell r="T63" t="str">
            <v>本公司主要合营企业联营企业相关信息列示</v>
          </cell>
          <cell r="U63" t="str">
            <v>被投资单位名称</v>
          </cell>
          <cell r="V63">
            <v>-2</v>
          </cell>
          <cell r="X63">
            <v>1</v>
          </cell>
        </row>
        <row r="64">
          <cell r="B64">
            <v>2396</v>
          </cell>
          <cell r="C64" t="str">
            <v>其他流动负债</v>
          </cell>
          <cell r="D64">
            <v>-1</v>
          </cell>
          <cell r="F64" t="str">
            <v>NW</v>
          </cell>
          <cell r="G64" t="str">
            <v>其他流动负债</v>
          </cell>
          <cell r="I64">
            <v>2396</v>
          </cell>
          <cell r="J64" t="str">
            <v>J</v>
          </cell>
          <cell r="M64" t="str">
            <v>公益性生物资产</v>
          </cell>
          <cell r="S64" t="str">
            <v>1511a</v>
          </cell>
          <cell r="T64" t="str">
            <v>长期股权投资分项列示</v>
          </cell>
          <cell r="U64" t="str">
            <v>被投资单位</v>
          </cell>
          <cell r="V64">
            <v>1</v>
          </cell>
          <cell r="W64">
            <v>1511</v>
          </cell>
          <cell r="X64">
            <v>2</v>
          </cell>
        </row>
        <row r="65">
          <cell r="B65">
            <v>2498</v>
          </cell>
          <cell r="C65" t="str">
            <v>流动负债</v>
          </cell>
          <cell r="E65" t="str">
            <v>＝</v>
          </cell>
          <cell r="G65" t="str">
            <v>流动负债合计</v>
          </cell>
          <cell r="I65">
            <v>2498</v>
          </cell>
          <cell r="M65" t="str">
            <v>短期借款</v>
          </cell>
          <cell r="S65" t="str">
            <v>1511b</v>
          </cell>
          <cell r="T65" t="str">
            <v>长期股权投资分项列示（续）</v>
          </cell>
          <cell r="U65" t="str">
            <v>被投资单位</v>
          </cell>
          <cell r="V65">
            <v>1</v>
          </cell>
          <cell r="W65">
            <v>1511</v>
          </cell>
          <cell r="X65">
            <v>2</v>
          </cell>
        </row>
        <row r="66">
          <cell r="B66">
            <v>2500</v>
          </cell>
          <cell r="C66" t="str">
            <v>非流动负债项目</v>
          </cell>
          <cell r="E66" t="str">
            <v>：</v>
          </cell>
          <cell r="G66" t="str">
            <v>非流动负债：</v>
          </cell>
          <cell r="I66">
            <v>2500</v>
          </cell>
          <cell r="M66" t="str">
            <v>交易性金融负债</v>
          </cell>
          <cell r="S66" t="str">
            <v>1511c</v>
          </cell>
          <cell r="T66" t="str">
            <v>向投资企业转移资金的能力受到限制的情况</v>
          </cell>
          <cell r="U66" t="str">
            <v>被投资单位</v>
          </cell>
          <cell r="V66">
            <v>1</v>
          </cell>
          <cell r="W66">
            <v>1511</v>
          </cell>
          <cell r="X66">
            <v>2</v>
          </cell>
        </row>
        <row r="67">
          <cell r="B67">
            <v>2501</v>
          </cell>
          <cell r="C67" t="str">
            <v>长期借款</v>
          </cell>
          <cell r="D67">
            <v>-1</v>
          </cell>
          <cell r="F67" t="str">
            <v>PA</v>
          </cell>
          <cell r="G67" t="str">
            <v>长期借款</v>
          </cell>
          <cell r="I67">
            <v>2501</v>
          </cell>
          <cell r="J67" t="str">
            <v>J</v>
          </cell>
          <cell r="M67" t="str">
            <v>应付票据</v>
          </cell>
          <cell r="S67" t="str">
            <v>1521a</v>
          </cell>
          <cell r="T67" t="str">
            <v>采用成本计量模式的投资性房地产本年增减变动</v>
          </cell>
          <cell r="U67" t="str">
            <v>项       目</v>
          </cell>
          <cell r="V67">
            <v>1</v>
          </cell>
          <cell r="W67">
            <v>1521</v>
          </cell>
          <cell r="X67">
            <v>1</v>
          </cell>
        </row>
        <row r="68">
          <cell r="B68">
            <v>2502</v>
          </cell>
          <cell r="C68" t="str">
            <v>应付债券</v>
          </cell>
          <cell r="D68">
            <v>-1</v>
          </cell>
          <cell r="F68" t="str">
            <v>PB</v>
          </cell>
          <cell r="G68" t="str">
            <v>应付债券</v>
          </cell>
          <cell r="I68">
            <v>2502</v>
          </cell>
          <cell r="J68" t="str">
            <v>J</v>
          </cell>
          <cell r="M68" t="str">
            <v>应付账款</v>
          </cell>
          <cell r="S68" t="str">
            <v>1521b</v>
          </cell>
          <cell r="T68" t="str">
            <v>采用公允价值计量模式的投资性房地产本年增减变动</v>
          </cell>
          <cell r="U68" t="str">
            <v>项       目</v>
          </cell>
          <cell r="V68">
            <v>1</v>
          </cell>
          <cell r="W68">
            <v>1521</v>
          </cell>
          <cell r="X68">
            <v>2</v>
          </cell>
        </row>
        <row r="69">
          <cell r="B69">
            <v>2701</v>
          </cell>
          <cell r="C69" t="str">
            <v>长期应付款</v>
          </cell>
          <cell r="D69">
            <v>-1</v>
          </cell>
          <cell r="F69" t="str">
            <v>PC</v>
          </cell>
          <cell r="G69" t="str">
            <v>长期应付款</v>
          </cell>
          <cell r="I69">
            <v>2701</v>
          </cell>
          <cell r="J69" t="str">
            <v>J</v>
          </cell>
          <cell r="M69" t="str">
            <v>预收款项</v>
          </cell>
          <cell r="S69" t="str">
            <v>1521c</v>
          </cell>
          <cell r="T69" t="str">
            <v>未办妥产权证书的情况</v>
          </cell>
          <cell r="U69" t="str">
            <v>项       目</v>
          </cell>
          <cell r="V69">
            <v>1</v>
          </cell>
          <cell r="W69">
            <v>1521</v>
          </cell>
          <cell r="X69">
            <v>2</v>
          </cell>
        </row>
        <row r="70">
          <cell r="B70">
            <v>2711</v>
          </cell>
          <cell r="C70" t="str">
            <v>专项应付款</v>
          </cell>
          <cell r="D70">
            <v>-1</v>
          </cell>
          <cell r="F70" t="str">
            <v>PD</v>
          </cell>
          <cell r="G70" t="str">
            <v>专项应付款</v>
          </cell>
          <cell r="I70">
            <v>2711</v>
          </cell>
          <cell r="J70" t="str">
            <v>J</v>
          </cell>
          <cell r="M70" t="str">
            <v>应付职工薪酬</v>
          </cell>
          <cell r="S70" t="str">
            <v>1601a</v>
          </cell>
          <cell r="T70" t="str">
            <v>固定资产及其累计折旧明细项目和增减变动</v>
          </cell>
          <cell r="U70" t="str">
            <v>项       目</v>
          </cell>
          <cell r="V70">
            <v>1</v>
          </cell>
          <cell r="W70">
            <v>1601</v>
          </cell>
          <cell r="X70">
            <v>1</v>
          </cell>
        </row>
        <row r="71">
          <cell r="B71">
            <v>2801</v>
          </cell>
          <cell r="C71" t="str">
            <v>预计负债</v>
          </cell>
          <cell r="D71">
            <v>-1</v>
          </cell>
          <cell r="F71" t="str">
            <v>PE</v>
          </cell>
          <cell r="G71" t="str">
            <v>预计负债</v>
          </cell>
          <cell r="I71">
            <v>2801</v>
          </cell>
          <cell r="J71" t="str">
            <v>J</v>
          </cell>
          <cell r="M71" t="str">
            <v>应交税费</v>
          </cell>
          <cell r="S71" t="str">
            <v>1601b</v>
          </cell>
          <cell r="T71" t="str">
            <v>暂时闲置固定资产明细</v>
          </cell>
          <cell r="U71" t="str">
            <v>类       别</v>
          </cell>
          <cell r="V71">
            <v>1</v>
          </cell>
          <cell r="W71">
            <v>1601</v>
          </cell>
          <cell r="X71">
            <v>2</v>
          </cell>
        </row>
        <row r="72">
          <cell r="B72">
            <v>2901</v>
          </cell>
          <cell r="C72" t="str">
            <v>递延所得税负债</v>
          </cell>
          <cell r="D72">
            <v>-1</v>
          </cell>
          <cell r="F72" t="str">
            <v>PF</v>
          </cell>
          <cell r="G72" t="str">
            <v>递延所得税负债</v>
          </cell>
          <cell r="I72">
            <v>2901</v>
          </cell>
          <cell r="J72" t="str">
            <v>J</v>
          </cell>
          <cell r="M72" t="str">
            <v>应付利息</v>
          </cell>
          <cell r="S72" t="str">
            <v>1601c</v>
          </cell>
          <cell r="T72" t="str">
            <v>通过融资租赁租入的固定资产情况</v>
          </cell>
          <cell r="U72" t="str">
            <v>资产类别</v>
          </cell>
          <cell r="V72">
            <v>1</v>
          </cell>
          <cell r="W72">
            <v>1601</v>
          </cell>
          <cell r="X72">
            <v>2</v>
          </cell>
        </row>
        <row r="73">
          <cell r="B73">
            <v>2996</v>
          </cell>
          <cell r="C73" t="str">
            <v>其他非流动负债</v>
          </cell>
          <cell r="D73">
            <v>-1</v>
          </cell>
          <cell r="F73" t="str">
            <v>PW</v>
          </cell>
          <cell r="G73" t="str">
            <v>其他非流动负债</v>
          </cell>
          <cell r="I73">
            <v>2996</v>
          </cell>
          <cell r="J73" t="str">
            <v>J</v>
          </cell>
          <cell r="M73" t="str">
            <v>应付股利</v>
          </cell>
          <cell r="S73" t="str">
            <v>1601d</v>
          </cell>
          <cell r="T73" t="str">
            <v>通过经营租赁租出的固定资产情况</v>
          </cell>
          <cell r="U73" t="str">
            <v>资产类别</v>
          </cell>
          <cell r="V73">
            <v>1</v>
          </cell>
          <cell r="W73">
            <v>1601</v>
          </cell>
          <cell r="X73">
            <v>2</v>
          </cell>
        </row>
        <row r="74">
          <cell r="B74">
            <v>2998</v>
          </cell>
          <cell r="C74" t="str">
            <v>非流动负债</v>
          </cell>
          <cell r="E74" t="str">
            <v>＝</v>
          </cell>
          <cell r="G74" t="str">
            <v>非流动负债合计</v>
          </cell>
          <cell r="I74">
            <v>2998</v>
          </cell>
          <cell r="M74" t="str">
            <v>其他应付款</v>
          </cell>
          <cell r="S74" t="str">
            <v>1601e</v>
          </cell>
          <cell r="T74" t="str">
            <v>年末持有待售的固定资产情况</v>
          </cell>
          <cell r="U74" t="str">
            <v>资产名称</v>
          </cell>
          <cell r="V74">
            <v>1</v>
          </cell>
          <cell r="W74">
            <v>1601</v>
          </cell>
          <cell r="X74">
            <v>2</v>
          </cell>
        </row>
        <row r="75">
          <cell r="B75">
            <v>2999</v>
          </cell>
          <cell r="C75" t="str">
            <v>负债</v>
          </cell>
          <cell r="E75" t="str">
            <v>＝</v>
          </cell>
          <cell r="G75" t="str">
            <v>负债合计</v>
          </cell>
          <cell r="I75">
            <v>2999</v>
          </cell>
          <cell r="M75" t="str">
            <v>一年内到期的非流动负债</v>
          </cell>
          <cell r="S75" t="str">
            <v>1601f</v>
          </cell>
          <cell r="T75" t="str">
            <v>未办妥产权证书的情况</v>
          </cell>
          <cell r="U75" t="str">
            <v>项       目</v>
          </cell>
          <cell r="V75">
            <v>1</v>
          </cell>
          <cell r="W75">
            <v>1601</v>
          </cell>
          <cell r="X75">
            <v>2</v>
          </cell>
        </row>
        <row r="76">
          <cell r="B76">
            <v>4000</v>
          </cell>
          <cell r="C76" t="str">
            <v>所有者权益项目</v>
          </cell>
          <cell r="E76" t="str">
            <v>：</v>
          </cell>
          <cell r="G76" t="str">
            <v>所有者权益(或股东权益)：</v>
          </cell>
          <cell r="I76">
            <v>4000</v>
          </cell>
          <cell r="M76" t="str">
            <v>其他流动负债</v>
          </cell>
          <cell r="S76" t="str">
            <v>1604a</v>
          </cell>
          <cell r="T76" t="str">
            <v>在建工程分项列示</v>
          </cell>
          <cell r="U76" t="str">
            <v>项       目</v>
          </cell>
          <cell r="V76">
            <v>1</v>
          </cell>
          <cell r="W76">
            <v>1604</v>
          </cell>
          <cell r="X76">
            <v>1</v>
          </cell>
        </row>
        <row r="77">
          <cell r="B77">
            <v>4001</v>
          </cell>
          <cell r="C77" t="str">
            <v>实收资本</v>
          </cell>
          <cell r="D77">
            <v>-1</v>
          </cell>
          <cell r="F77" t="str">
            <v>RA</v>
          </cell>
          <cell r="G77" t="str">
            <v>实收资本（或股本）</v>
          </cell>
          <cell r="I77">
            <v>4001</v>
          </cell>
          <cell r="J77" t="str">
            <v>J</v>
          </cell>
          <cell r="M77" t="str">
            <v>长期借款</v>
          </cell>
          <cell r="S77" t="str">
            <v>1604b</v>
          </cell>
          <cell r="T77" t="str">
            <v>重大在建工程项目基本情况及增减变动</v>
          </cell>
          <cell r="U77" t="str">
            <v>工程名称</v>
          </cell>
          <cell r="V77">
            <v>1</v>
          </cell>
          <cell r="W77">
            <v>1604</v>
          </cell>
          <cell r="X77">
            <v>2</v>
          </cell>
        </row>
        <row r="78">
          <cell r="B78">
            <v>4002</v>
          </cell>
          <cell r="C78" t="str">
            <v>资本公积</v>
          </cell>
          <cell r="D78">
            <v>-1</v>
          </cell>
          <cell r="F78" t="str">
            <v>RB</v>
          </cell>
          <cell r="G78" t="str">
            <v>资本公积</v>
          </cell>
          <cell r="I78">
            <v>4002</v>
          </cell>
          <cell r="J78" t="str">
            <v>J</v>
          </cell>
          <cell r="M78" t="str">
            <v>应付债券</v>
          </cell>
          <cell r="S78" t="str">
            <v>1604c</v>
          </cell>
          <cell r="T78" t="str">
            <v>重大在建工程项目基本情况及增减变动（续）</v>
          </cell>
          <cell r="U78" t="str">
            <v>工程名称</v>
          </cell>
          <cell r="V78">
            <v>1</v>
          </cell>
          <cell r="W78">
            <v>1604</v>
          </cell>
          <cell r="X78">
            <v>2</v>
          </cell>
        </row>
        <row r="79">
          <cell r="B79">
            <v>4201</v>
          </cell>
          <cell r="C79" t="str">
            <v>库存股</v>
          </cell>
          <cell r="D79">
            <v>-1</v>
          </cell>
          <cell r="F79" t="str">
            <v>RC</v>
          </cell>
          <cell r="G79" t="str">
            <v>减：库存股</v>
          </cell>
          <cell r="I79">
            <v>4201</v>
          </cell>
          <cell r="J79" t="str">
            <v>J</v>
          </cell>
          <cell r="M79" t="str">
            <v>长期应付款</v>
          </cell>
          <cell r="S79" t="str">
            <v>1604d</v>
          </cell>
          <cell r="T79" t="str">
            <v>在建工程减值准备计提情况</v>
          </cell>
          <cell r="U79" t="str">
            <v>工程名称</v>
          </cell>
          <cell r="V79">
            <v>1</v>
          </cell>
          <cell r="W79">
            <v>1604</v>
          </cell>
          <cell r="X79">
            <v>2</v>
          </cell>
        </row>
        <row r="80">
          <cell r="B80">
            <v>4301</v>
          </cell>
          <cell r="C80" t="str">
            <v>专项储备</v>
          </cell>
          <cell r="D80">
            <v>-1</v>
          </cell>
          <cell r="G80" t="str">
            <v>专项储备</v>
          </cell>
          <cell r="I80">
            <v>4301</v>
          </cell>
          <cell r="J80" t="str">
            <v>J</v>
          </cell>
          <cell r="M80" t="str">
            <v>专项应付款</v>
          </cell>
          <cell r="S80" t="str">
            <v>1605a</v>
          </cell>
          <cell r="T80" t="str">
            <v>工程物资明细项目</v>
          </cell>
          <cell r="U80" t="str">
            <v>项       目</v>
          </cell>
          <cell r="V80">
            <v>1</v>
          </cell>
          <cell r="W80">
            <v>1605</v>
          </cell>
          <cell r="X80">
            <v>1</v>
          </cell>
        </row>
        <row r="81">
          <cell r="B81">
            <v>4101</v>
          </cell>
          <cell r="C81" t="str">
            <v>盈余公积</v>
          </cell>
          <cell r="D81">
            <v>-1</v>
          </cell>
          <cell r="F81" t="str">
            <v>RD</v>
          </cell>
          <cell r="G81" t="str">
            <v>盈余公积</v>
          </cell>
          <cell r="I81">
            <v>4101</v>
          </cell>
          <cell r="J81" t="str">
            <v>J</v>
          </cell>
          <cell r="M81" t="str">
            <v>预计负债</v>
          </cell>
          <cell r="S81" t="str">
            <v>1606a</v>
          </cell>
          <cell r="T81" t="str">
            <v>固定资产清理明细项目</v>
          </cell>
          <cell r="U81" t="str">
            <v>类       别</v>
          </cell>
          <cell r="V81">
            <v>1</v>
          </cell>
          <cell r="W81">
            <v>1606</v>
          </cell>
          <cell r="X81">
            <v>1</v>
          </cell>
        </row>
        <row r="82">
          <cell r="B82">
            <v>4102</v>
          </cell>
          <cell r="C82" t="str">
            <v>一般风险准备</v>
          </cell>
          <cell r="D82">
            <v>-1</v>
          </cell>
          <cell r="F82" t="str">
            <v>RE</v>
          </cell>
          <cell r="G82" t="str">
            <v>一般风险准备</v>
          </cell>
          <cell r="I82">
            <v>4102</v>
          </cell>
          <cell r="J82" t="str">
            <v>J</v>
          </cell>
          <cell r="M82" t="str">
            <v>递延所得税负债</v>
          </cell>
          <cell r="S82" t="str">
            <v>1621a</v>
          </cell>
          <cell r="T82" t="str">
            <v>以成本计量的生产性生物资产明细列示</v>
          </cell>
          <cell r="U82" t="str">
            <v>项       目</v>
          </cell>
          <cell r="V82">
            <v>1</v>
          </cell>
          <cell r="W82">
            <v>1621</v>
          </cell>
          <cell r="X82">
            <v>1</v>
          </cell>
        </row>
        <row r="83">
          <cell r="B83">
            <v>4200</v>
          </cell>
          <cell r="C83" t="str">
            <v>未分配利润</v>
          </cell>
          <cell r="D83">
            <v>-1</v>
          </cell>
          <cell r="F83" t="str">
            <v>RF</v>
          </cell>
          <cell r="G83" t="str">
            <v>未分配利润</v>
          </cell>
          <cell r="I83">
            <v>4200</v>
          </cell>
          <cell r="J83" t="str">
            <v>J</v>
          </cell>
          <cell r="M83" t="str">
            <v>其他非流动负债</v>
          </cell>
          <cell r="S83" t="str">
            <v>1621b</v>
          </cell>
          <cell r="T83" t="str">
            <v>以公允价值计量的生产性生物资产明细列示</v>
          </cell>
          <cell r="U83" t="str">
            <v>项       目</v>
          </cell>
          <cell r="V83">
            <v>1</v>
          </cell>
          <cell r="W83">
            <v>1621</v>
          </cell>
          <cell r="X83">
            <v>2</v>
          </cell>
        </row>
        <row r="84">
          <cell r="B84">
            <v>4210</v>
          </cell>
          <cell r="C84" t="str">
            <v>外币报表折算差额</v>
          </cell>
          <cell r="D84">
            <v>-1</v>
          </cell>
          <cell r="E84" t="str">
            <v>※</v>
          </cell>
          <cell r="G84" t="str">
            <v>外币报表折算差额</v>
          </cell>
          <cell r="I84">
            <v>4210</v>
          </cell>
          <cell r="J84" t="str">
            <v>J</v>
          </cell>
          <cell r="M84" t="str">
            <v>营业收入</v>
          </cell>
          <cell r="S84" t="str">
            <v>1631a</v>
          </cell>
          <cell r="T84" t="str">
            <v>油气资产明细项目</v>
          </cell>
          <cell r="U84" t="str">
            <v>项       目</v>
          </cell>
          <cell r="V84">
            <v>1</v>
          </cell>
          <cell r="W84">
            <v>1631</v>
          </cell>
          <cell r="X84">
            <v>1</v>
          </cell>
        </row>
        <row r="85">
          <cell r="B85">
            <v>4298</v>
          </cell>
          <cell r="C85" t="str">
            <v>归属于母公司所有者权益</v>
          </cell>
          <cell r="E85" t="str">
            <v>※</v>
          </cell>
          <cell r="G85" t="str">
            <v>归属于母公司所有者权益合计</v>
          </cell>
          <cell r="I85">
            <v>4298</v>
          </cell>
          <cell r="M85" t="str">
            <v>营业成本</v>
          </cell>
          <cell r="S85" t="str">
            <v>1705a</v>
          </cell>
          <cell r="T85" t="str">
            <v>无形资产情况</v>
          </cell>
          <cell r="U85" t="str">
            <v>项       目</v>
          </cell>
          <cell r="V85">
            <v>-1</v>
          </cell>
          <cell r="W85">
            <v>1701</v>
          </cell>
          <cell r="X85">
            <v>1</v>
          </cell>
        </row>
        <row r="86">
          <cell r="B86">
            <v>4398</v>
          </cell>
          <cell r="C86" t="str">
            <v>少数股东权益</v>
          </cell>
          <cell r="D86">
            <v>-1</v>
          </cell>
          <cell r="E86" t="str">
            <v>※</v>
          </cell>
          <cell r="G86" t="str">
            <v>少数股东权益</v>
          </cell>
          <cell r="I86">
            <v>4398</v>
          </cell>
          <cell r="J86" t="str">
            <v>J</v>
          </cell>
          <cell r="M86" t="str">
            <v>营业税金及附加</v>
          </cell>
          <cell r="S86" t="str">
            <v>1705b</v>
          </cell>
          <cell r="T86" t="str">
            <v>公司开发项目支出</v>
          </cell>
          <cell r="U86" t="str">
            <v>项       目</v>
          </cell>
          <cell r="V86">
            <v>-1</v>
          </cell>
          <cell r="W86">
            <v>1700</v>
          </cell>
          <cell r="X86">
            <v>1</v>
          </cell>
        </row>
        <row r="87">
          <cell r="B87">
            <v>4999</v>
          </cell>
          <cell r="C87" t="str">
            <v>所有者权益</v>
          </cell>
          <cell r="E87" t="str">
            <v>＝</v>
          </cell>
          <cell r="G87" t="str">
            <v>所有者权益(或股东权益)合计</v>
          </cell>
          <cell r="H87" t="str">
            <v>所有者权益合计</v>
          </cell>
          <cell r="I87">
            <v>4999</v>
          </cell>
          <cell r="M87" t="str">
            <v>销售费用</v>
          </cell>
          <cell r="S87" t="str">
            <v>1711a</v>
          </cell>
          <cell r="T87" t="str">
            <v>商誉明细项目</v>
          </cell>
          <cell r="U87" t="str">
            <v>被投资单位名称或形成商誉的事项</v>
          </cell>
          <cell r="V87">
            <v>1</v>
          </cell>
          <cell r="W87">
            <v>1711</v>
          </cell>
          <cell r="X87">
            <v>1</v>
          </cell>
        </row>
        <row r="88">
          <cell r="B88">
            <v>5000</v>
          </cell>
          <cell r="C88" t="str">
            <v>负债和所有者权益</v>
          </cell>
          <cell r="E88" t="str">
            <v>＝</v>
          </cell>
          <cell r="G88" t="str">
            <v>负债和所有者权益(或股东权益)总计</v>
          </cell>
          <cell r="H88" t="str">
            <v>负债和所有者权益总计</v>
          </cell>
          <cell r="I88">
            <v>5000</v>
          </cell>
          <cell r="M88" t="str">
            <v>管理费用</v>
          </cell>
          <cell r="S88" t="str">
            <v>1801a</v>
          </cell>
          <cell r="T88" t="str">
            <v>长期待摊费用明细项目</v>
          </cell>
          <cell r="U88" t="str">
            <v>项       目</v>
          </cell>
          <cell r="V88">
            <v>1</v>
          </cell>
          <cell r="W88">
            <v>1801</v>
          </cell>
          <cell r="X88">
            <v>1</v>
          </cell>
        </row>
        <row r="89">
          <cell r="B89">
            <v>6</v>
          </cell>
          <cell r="C89" t="str">
            <v>利润表</v>
          </cell>
          <cell r="E89" t="str">
            <v>：</v>
          </cell>
          <cell r="G89" t="str">
            <v>利润表</v>
          </cell>
          <cell r="I89">
            <v>6</v>
          </cell>
          <cell r="M89" t="str">
            <v>财务费用</v>
          </cell>
          <cell r="S89" t="str">
            <v>1829a</v>
          </cell>
          <cell r="T89" t="str">
            <v>已确认的递延所得税资产（未互抵）</v>
          </cell>
          <cell r="U89" t="str">
            <v>项       目</v>
          </cell>
          <cell r="V89">
            <v>-1</v>
          </cell>
          <cell r="W89">
            <v>1811</v>
          </cell>
          <cell r="X89">
            <v>1</v>
          </cell>
        </row>
        <row r="90">
          <cell r="B90">
            <v>6098</v>
          </cell>
          <cell r="C90" t="str">
            <v>营业总收入</v>
          </cell>
          <cell r="E90" t="str">
            <v>※</v>
          </cell>
          <cell r="G90" t="str">
            <v>一、营业总收入</v>
          </cell>
          <cell r="H90" t="str">
            <v>一、营业总收入</v>
          </cell>
          <cell r="I90">
            <v>6098</v>
          </cell>
          <cell r="M90" t="str">
            <v>资产减值损失</v>
          </cell>
          <cell r="S90" t="str">
            <v>1829b</v>
          </cell>
          <cell r="T90" t="str">
            <v>已确认的递延所得税负债（未互抵）</v>
          </cell>
          <cell r="U90" t="str">
            <v>项       目</v>
          </cell>
          <cell r="V90">
            <v>-1</v>
          </cell>
          <cell r="W90">
            <v>2901</v>
          </cell>
          <cell r="X90">
            <v>1</v>
          </cell>
        </row>
        <row r="91">
          <cell r="B91">
            <v>6001</v>
          </cell>
          <cell r="C91" t="str">
            <v>营业收入</v>
          </cell>
          <cell r="D91">
            <v>-1</v>
          </cell>
          <cell r="F91" t="str">
            <v>SA</v>
          </cell>
          <cell r="G91" t="str">
            <v>一、营业收入</v>
          </cell>
          <cell r="H91" t="str">
            <v>其中：营业收入</v>
          </cell>
          <cell r="I91">
            <v>6001</v>
          </cell>
          <cell r="J91" t="str">
            <v>J</v>
          </cell>
          <cell r="M91" t="str">
            <v>公允价值变动收益</v>
          </cell>
          <cell r="S91" t="str">
            <v>1829c</v>
          </cell>
          <cell r="T91" t="str">
            <v>已确认的递延所得税资产和递延所得税负债（互抵后）</v>
          </cell>
          <cell r="U91" t="str">
            <v>项       目</v>
          </cell>
          <cell r="V91">
            <v>-1</v>
          </cell>
          <cell r="X91">
            <v>2</v>
          </cell>
        </row>
        <row r="92">
          <cell r="B92">
            <v>6011</v>
          </cell>
          <cell r="C92" t="str">
            <v>利息收入</v>
          </cell>
          <cell r="D92">
            <v>-1</v>
          </cell>
          <cell r="E92" t="str">
            <v>△</v>
          </cell>
          <cell r="F92" t="str">
            <v>TA1</v>
          </cell>
          <cell r="G92" t="str">
            <v>利息收入</v>
          </cell>
          <cell r="H92" t="str">
            <v>利息收入</v>
          </cell>
          <cell r="I92">
            <v>6011</v>
          </cell>
          <cell r="J92" t="str">
            <v>J</v>
          </cell>
          <cell r="M92" t="str">
            <v>投资收益</v>
          </cell>
          <cell r="S92" t="str">
            <v>1829d</v>
          </cell>
          <cell r="T92" t="str">
            <v>递延所得税资产和递延所得税负债互抵明细</v>
          </cell>
          <cell r="U92" t="str">
            <v>项       目</v>
          </cell>
          <cell r="V92">
            <v>-1</v>
          </cell>
          <cell r="X92">
            <v>2</v>
          </cell>
        </row>
        <row r="93">
          <cell r="B93">
            <v>6030</v>
          </cell>
          <cell r="C93" t="str">
            <v>已赚保费</v>
          </cell>
          <cell r="D93">
            <v>-1</v>
          </cell>
          <cell r="E93" t="str">
            <v>△</v>
          </cell>
          <cell r="G93" t="str">
            <v>已赚保费</v>
          </cell>
          <cell r="H93" t="str">
            <v>已赚保费</v>
          </cell>
          <cell r="I93">
            <v>6030</v>
          </cell>
          <cell r="J93" t="str">
            <v>J</v>
          </cell>
          <cell r="M93" t="str">
            <v>对联营企业和合营企业的投资收益</v>
          </cell>
          <cell r="S93" t="str">
            <v>1829e</v>
          </cell>
          <cell r="T93" t="str">
            <v>未确认递延所得税资产的可抵扣暂时性差异或可抵扣亏损的情况</v>
          </cell>
          <cell r="U93" t="str">
            <v>项       目</v>
          </cell>
          <cell r="V93">
            <v>-1</v>
          </cell>
          <cell r="X93">
            <v>2</v>
          </cell>
        </row>
        <row r="94">
          <cell r="B94">
            <v>6021</v>
          </cell>
          <cell r="C94" t="str">
            <v>手续费及佣金收入</v>
          </cell>
          <cell r="D94">
            <v>-1</v>
          </cell>
          <cell r="E94" t="str">
            <v>△</v>
          </cell>
          <cell r="F94" t="str">
            <v>TC1</v>
          </cell>
          <cell r="G94" t="str">
            <v>手续费及佣金收入</v>
          </cell>
          <cell r="H94" t="str">
            <v>手续费及佣金收入</v>
          </cell>
          <cell r="I94">
            <v>6021</v>
          </cell>
          <cell r="J94" t="str">
            <v>J</v>
          </cell>
          <cell r="M94" t="str">
            <v>营业外收入</v>
          </cell>
          <cell r="S94" t="str">
            <v>1829f</v>
          </cell>
          <cell r="T94" t="str">
            <v>未确认递延所得税资产的可抵扣亏损将于以下年度到期</v>
          </cell>
          <cell r="U94" t="str">
            <v>年       份</v>
          </cell>
          <cell r="V94">
            <v>-1</v>
          </cell>
          <cell r="X94">
            <v>2</v>
          </cell>
        </row>
        <row r="95">
          <cell r="B95">
            <v>6598</v>
          </cell>
          <cell r="C95" t="str">
            <v>营业总成本</v>
          </cell>
          <cell r="E95" t="str">
            <v>※</v>
          </cell>
          <cell r="G95" t="str">
            <v>二、营业总成本</v>
          </cell>
          <cell r="H95" t="str">
            <v>二、营业总成本</v>
          </cell>
          <cell r="I95">
            <v>6598</v>
          </cell>
          <cell r="M95" t="str">
            <v>营业外支出</v>
          </cell>
          <cell r="S95" t="str">
            <v>1991a</v>
          </cell>
          <cell r="T95" t="str">
            <v>资产减值准备分类列示</v>
          </cell>
          <cell r="U95" t="str">
            <v>项       目</v>
          </cell>
          <cell r="V95">
            <v>-2</v>
          </cell>
          <cell r="X95">
            <v>1</v>
          </cell>
        </row>
        <row r="96">
          <cell r="B96">
            <v>6401</v>
          </cell>
          <cell r="C96" t="str">
            <v>营业成本</v>
          </cell>
          <cell r="D96">
            <v>1</v>
          </cell>
          <cell r="F96" t="str">
            <v>UA</v>
          </cell>
          <cell r="G96" t="str">
            <v>减：营业成本</v>
          </cell>
          <cell r="H96" t="str">
            <v>其中：营业成本</v>
          </cell>
          <cell r="I96">
            <v>6401</v>
          </cell>
          <cell r="J96" t="str">
            <v>J</v>
          </cell>
          <cell r="M96" t="str">
            <v>非流动资产处置损失</v>
          </cell>
          <cell r="S96" t="str">
            <v>1996a</v>
          </cell>
          <cell r="T96" t="str">
            <v>其他非流动资产明细项目</v>
          </cell>
          <cell r="U96" t="str">
            <v>项       目</v>
          </cell>
          <cell r="V96">
            <v>1</v>
          </cell>
          <cell r="W96">
            <v>1996</v>
          </cell>
          <cell r="X96">
            <v>1</v>
          </cell>
        </row>
        <row r="97">
          <cell r="B97">
            <v>6411</v>
          </cell>
          <cell r="C97" t="str">
            <v>利息支出</v>
          </cell>
          <cell r="D97">
            <v>1</v>
          </cell>
          <cell r="E97" t="str">
            <v>△</v>
          </cell>
          <cell r="F97" t="str">
            <v>VD1</v>
          </cell>
          <cell r="G97" t="str">
            <v>利息支出</v>
          </cell>
          <cell r="H97" t="str">
            <v>利息支出</v>
          </cell>
          <cell r="I97">
            <v>6411</v>
          </cell>
          <cell r="J97" t="str">
            <v>J</v>
          </cell>
          <cell r="M97" t="str">
            <v>所得税费用</v>
          </cell>
          <cell r="S97" t="str">
            <v>1997a</v>
          </cell>
          <cell r="T97" t="str">
            <v>所有权受到限制的资产明细项目</v>
          </cell>
          <cell r="U97" t="str">
            <v>所有权受到限制的资产类别</v>
          </cell>
          <cell r="V97">
            <v>-2</v>
          </cell>
          <cell r="X97">
            <v>1</v>
          </cell>
        </row>
        <row r="98">
          <cell r="B98">
            <v>6421</v>
          </cell>
          <cell r="C98" t="str">
            <v>手续费及佣金支出</v>
          </cell>
          <cell r="D98">
            <v>1</v>
          </cell>
          <cell r="E98" t="str">
            <v>△</v>
          </cell>
          <cell r="F98" t="str">
            <v>VE1</v>
          </cell>
          <cell r="G98" t="str">
            <v>手续费及佣金支出</v>
          </cell>
          <cell r="H98" t="str">
            <v>手续费及佣金支出</v>
          </cell>
          <cell r="I98">
            <v>6421</v>
          </cell>
          <cell r="J98" t="str">
            <v>J</v>
          </cell>
          <cell r="M98" t="str">
            <v>少数股东损益</v>
          </cell>
          <cell r="S98" t="str">
            <v>2001a</v>
          </cell>
          <cell r="T98" t="str">
            <v>短期借款明细项目</v>
          </cell>
          <cell r="U98" t="str">
            <v>借款类别</v>
          </cell>
          <cell r="V98">
            <v>1</v>
          </cell>
          <cell r="W98">
            <v>2001</v>
          </cell>
          <cell r="X98">
            <v>1</v>
          </cell>
        </row>
        <row r="99">
          <cell r="B99">
            <v>6531</v>
          </cell>
          <cell r="C99" t="str">
            <v>退保金</v>
          </cell>
          <cell r="D99">
            <v>1</v>
          </cell>
          <cell r="E99" t="str">
            <v>△</v>
          </cell>
          <cell r="F99" t="str">
            <v>VJ1</v>
          </cell>
          <cell r="G99" t="str">
            <v>退保金</v>
          </cell>
          <cell r="H99" t="str">
            <v>退保金</v>
          </cell>
          <cell r="I99">
            <v>6531</v>
          </cell>
          <cell r="J99" t="str">
            <v>J</v>
          </cell>
          <cell r="M99" t="str">
            <v>实收资本_上年年末余额</v>
          </cell>
          <cell r="S99" t="str">
            <v>2001b</v>
          </cell>
          <cell r="T99" t="str">
            <v>逾期借款明细项目</v>
          </cell>
          <cell r="U99" t="str">
            <v>贷款单位</v>
          </cell>
          <cell r="V99">
            <v>1</v>
          </cell>
          <cell r="W99">
            <v>2001</v>
          </cell>
          <cell r="X99">
            <v>2</v>
          </cell>
        </row>
        <row r="100">
          <cell r="B100">
            <v>6510</v>
          </cell>
          <cell r="C100" t="str">
            <v>赔付支出净额</v>
          </cell>
          <cell r="D100">
            <v>1</v>
          </cell>
          <cell r="E100" t="str">
            <v>△</v>
          </cell>
          <cell r="G100" t="str">
            <v>赔付支出净额</v>
          </cell>
          <cell r="H100" t="str">
            <v>赔付支出净额</v>
          </cell>
          <cell r="I100">
            <v>6510</v>
          </cell>
          <cell r="J100" t="str">
            <v>J</v>
          </cell>
          <cell r="M100" t="str">
            <v>实收资本_前期差错更正调整上年年末余额</v>
          </cell>
          <cell r="S100" t="str">
            <v>2101a</v>
          </cell>
          <cell r="T100" t="str">
            <v>交易性金融负债明细项目</v>
          </cell>
          <cell r="U100" t="str">
            <v>项       目</v>
          </cell>
          <cell r="V100">
            <v>1</v>
          </cell>
          <cell r="W100">
            <v>2101</v>
          </cell>
          <cell r="X100">
            <v>1</v>
          </cell>
        </row>
        <row r="101">
          <cell r="B101">
            <v>6505</v>
          </cell>
          <cell r="C101" t="str">
            <v>提取保险合同准备金净额</v>
          </cell>
          <cell r="D101">
            <v>1</v>
          </cell>
          <cell r="E101" t="str">
            <v>△</v>
          </cell>
          <cell r="G101" t="str">
            <v>提取保险合同准备金净额</v>
          </cell>
          <cell r="H101" t="str">
            <v>提取保险合同准备金净额</v>
          </cell>
          <cell r="I101">
            <v>6505</v>
          </cell>
          <cell r="J101" t="str">
            <v>J</v>
          </cell>
          <cell r="M101" t="str">
            <v>实收资本_所有者投入资本</v>
          </cell>
          <cell r="S101" t="str">
            <v>2201a</v>
          </cell>
          <cell r="T101" t="str">
            <v>应付票据明细项目</v>
          </cell>
          <cell r="U101" t="str">
            <v>种       类</v>
          </cell>
          <cell r="V101">
            <v>1</v>
          </cell>
          <cell r="W101">
            <v>2201</v>
          </cell>
          <cell r="X101">
            <v>1</v>
          </cell>
        </row>
        <row r="102">
          <cell r="B102">
            <v>6521</v>
          </cell>
          <cell r="C102" t="str">
            <v>保单红利支出</v>
          </cell>
          <cell r="D102">
            <v>1</v>
          </cell>
          <cell r="E102" t="str">
            <v>△</v>
          </cell>
          <cell r="F102" t="str">
            <v>VI1</v>
          </cell>
          <cell r="G102" t="str">
            <v>保单红利支出</v>
          </cell>
          <cell r="H102" t="str">
            <v>保单红利支出</v>
          </cell>
          <cell r="I102">
            <v>6521</v>
          </cell>
          <cell r="J102" t="str">
            <v>J</v>
          </cell>
          <cell r="M102" t="str">
            <v>实收资本_资本公积转增</v>
          </cell>
          <cell r="S102" t="str">
            <v>2202a</v>
          </cell>
          <cell r="T102" t="str">
            <v>账龄超过1年的大额应付账款明细项目</v>
          </cell>
          <cell r="U102" t="str">
            <v>供应商</v>
          </cell>
          <cell r="V102">
            <v>1</v>
          </cell>
          <cell r="W102">
            <v>2202</v>
          </cell>
          <cell r="X102">
            <v>2</v>
          </cell>
        </row>
        <row r="103">
          <cell r="B103">
            <v>6542</v>
          </cell>
          <cell r="C103" t="str">
            <v>分保费用</v>
          </cell>
          <cell r="D103">
            <v>1</v>
          </cell>
          <cell r="E103" t="str">
            <v>△</v>
          </cell>
          <cell r="F103" t="str">
            <v>VL1</v>
          </cell>
          <cell r="G103" t="str">
            <v>分保费用</v>
          </cell>
          <cell r="H103" t="str">
            <v>分保费用</v>
          </cell>
          <cell r="I103">
            <v>6542</v>
          </cell>
          <cell r="J103" t="str">
            <v>J</v>
          </cell>
          <cell r="M103" t="str">
            <v>实收资本_盈余公积转增</v>
          </cell>
          <cell r="S103" t="str">
            <v>2202b</v>
          </cell>
          <cell r="T103" t="str">
            <v>资产负债表日后账龄超过1年的大额应付账款偿还情况</v>
          </cell>
          <cell r="U103" t="str">
            <v>供应商</v>
          </cell>
          <cell r="V103">
            <v>1</v>
          </cell>
          <cell r="W103">
            <v>2202</v>
          </cell>
          <cell r="X103">
            <v>2</v>
          </cell>
        </row>
        <row r="104">
          <cell r="B104">
            <v>6600</v>
          </cell>
          <cell r="C104" t="str">
            <v>营业税金及附加</v>
          </cell>
          <cell r="D104">
            <v>1</v>
          </cell>
          <cell r="F104" t="str">
            <v>UB</v>
          </cell>
          <cell r="G104" t="str">
            <v>营业税金及附加</v>
          </cell>
          <cell r="H104" t="str">
            <v>营业税金及附加</v>
          </cell>
          <cell r="I104">
            <v>6600</v>
          </cell>
          <cell r="J104" t="str">
            <v>J</v>
          </cell>
          <cell r="M104" t="str">
            <v>资本公积_上年年末余额</v>
          </cell>
          <cell r="S104" t="str">
            <v>2202c</v>
          </cell>
          <cell r="T104" t="str">
            <v>本报告期应付账款中应付持有本公司5%（含5%）以上表决权股份的股东单位或关联方的款项情况</v>
          </cell>
          <cell r="U104" t="str">
            <v>单位名称</v>
          </cell>
          <cell r="V104">
            <v>1</v>
          </cell>
          <cell r="W104">
            <v>2202</v>
          </cell>
          <cell r="X104">
            <v>2</v>
          </cell>
        </row>
        <row r="105">
          <cell r="B105">
            <v>6601</v>
          </cell>
          <cell r="C105" t="str">
            <v>销售费用</v>
          </cell>
          <cell r="D105">
            <v>1</v>
          </cell>
          <cell r="F105" t="str">
            <v>UC</v>
          </cell>
          <cell r="G105" t="str">
            <v>销售费用</v>
          </cell>
          <cell r="H105" t="str">
            <v>销售费用</v>
          </cell>
          <cell r="I105">
            <v>6601</v>
          </cell>
          <cell r="J105" t="str">
            <v>J</v>
          </cell>
          <cell r="M105" t="str">
            <v>资本公积_会计政策变更调整上年年末余额</v>
          </cell>
          <cell r="S105" t="str">
            <v>2202d</v>
          </cell>
          <cell r="T105" t="str">
            <v>应付账款余额中外币列示</v>
          </cell>
          <cell r="U105" t="str">
            <v>项       目</v>
          </cell>
          <cell r="V105">
            <v>1</v>
          </cell>
          <cell r="W105">
            <v>2202</v>
          </cell>
          <cell r="X105">
            <v>2</v>
          </cell>
        </row>
        <row r="106">
          <cell r="B106">
            <v>6602</v>
          </cell>
          <cell r="C106" t="str">
            <v>管理费用</v>
          </cell>
          <cell r="D106">
            <v>1</v>
          </cell>
          <cell r="F106" t="str">
            <v>UD</v>
          </cell>
          <cell r="G106" t="str">
            <v>管理费用</v>
          </cell>
          <cell r="H106" t="str">
            <v>管理费用</v>
          </cell>
          <cell r="I106">
            <v>6602</v>
          </cell>
          <cell r="J106" t="str">
            <v>J</v>
          </cell>
          <cell r="M106" t="str">
            <v>资本公积_前期差错更正调整上年年末余额</v>
          </cell>
          <cell r="S106" t="str">
            <v>2205a</v>
          </cell>
          <cell r="T106" t="str">
            <v>账龄超过1年的大额预收款项明细项目</v>
          </cell>
          <cell r="U106" t="str">
            <v>客       户</v>
          </cell>
          <cell r="V106">
            <v>1</v>
          </cell>
          <cell r="W106">
            <v>2205</v>
          </cell>
          <cell r="X106">
            <v>2</v>
          </cell>
        </row>
        <row r="107">
          <cell r="B107">
            <v>6603</v>
          </cell>
          <cell r="C107" t="str">
            <v>财务费用</v>
          </cell>
          <cell r="D107">
            <v>1</v>
          </cell>
          <cell r="F107" t="str">
            <v>UF</v>
          </cell>
          <cell r="G107" t="str">
            <v>财务费用</v>
          </cell>
          <cell r="H107" t="str">
            <v>财务费用</v>
          </cell>
          <cell r="I107">
            <v>6603</v>
          </cell>
          <cell r="J107" t="str">
            <v>J</v>
          </cell>
          <cell r="M107" t="str">
            <v>资本公积_其他原因调整上年年末余额</v>
          </cell>
          <cell r="S107" t="str">
            <v>2205b</v>
          </cell>
          <cell r="T107" t="str">
            <v>资产负债表日后账龄超过1年的大额预收款项偿还情况</v>
          </cell>
          <cell r="U107" t="str">
            <v>客       户</v>
          </cell>
          <cell r="V107">
            <v>1</v>
          </cell>
          <cell r="W107">
            <v>2205</v>
          </cell>
          <cell r="X107">
            <v>2</v>
          </cell>
        </row>
        <row r="108">
          <cell r="B108">
            <v>6671</v>
          </cell>
          <cell r="C108" t="str">
            <v>资产减值损失</v>
          </cell>
          <cell r="D108">
            <v>1</v>
          </cell>
          <cell r="F108" t="str">
            <v>UG</v>
          </cell>
          <cell r="G108" t="str">
            <v>资产减值损失</v>
          </cell>
          <cell r="H108" t="str">
            <v>资产减值损失</v>
          </cell>
          <cell r="I108">
            <v>6671</v>
          </cell>
          <cell r="J108" t="str">
            <v>J</v>
          </cell>
          <cell r="M108" t="str">
            <v>资本公积_其他综合收益</v>
          </cell>
          <cell r="S108" t="str">
            <v>2205c</v>
          </cell>
          <cell r="T108" t="str">
            <v>本报告期预收款项中预收持有本公司5%（含5%）以上表决权股份的股东单位或关联方的款项情况</v>
          </cell>
          <cell r="U108" t="str">
            <v>单位名称</v>
          </cell>
          <cell r="V108">
            <v>1</v>
          </cell>
          <cell r="W108">
            <v>2205</v>
          </cell>
          <cell r="X108">
            <v>2</v>
          </cell>
        </row>
        <row r="109">
          <cell r="B109">
            <v>6101</v>
          </cell>
          <cell r="C109" t="str">
            <v>公允价值变动收益</v>
          </cell>
          <cell r="D109">
            <v>-1</v>
          </cell>
          <cell r="F109" t="str">
            <v>SB</v>
          </cell>
          <cell r="G109" t="str">
            <v>加：公允价值变动收益（损失以“-”号填列）</v>
          </cell>
          <cell r="H109" t="str">
            <v>加：公允价值变动收益（损失以“-”号填列）</v>
          </cell>
          <cell r="I109">
            <v>6101</v>
          </cell>
          <cell r="J109" t="str">
            <v>J</v>
          </cell>
          <cell r="M109" t="str">
            <v>资本公积_所有者投入资本</v>
          </cell>
          <cell r="S109" t="str">
            <v>2205d</v>
          </cell>
          <cell r="T109" t="str">
            <v>预收款项余额中外币列示</v>
          </cell>
          <cell r="U109" t="str">
            <v>项       目</v>
          </cell>
          <cell r="V109">
            <v>1</v>
          </cell>
          <cell r="W109">
            <v>2205</v>
          </cell>
          <cell r="X109">
            <v>2</v>
          </cell>
        </row>
        <row r="110">
          <cell r="B110">
            <v>6111</v>
          </cell>
          <cell r="C110" t="str">
            <v>投资收益</v>
          </cell>
          <cell r="D110">
            <v>-1</v>
          </cell>
          <cell r="F110" t="str">
            <v>SC</v>
          </cell>
          <cell r="G110" t="str">
            <v>投资收益（损失以“-”号填列）</v>
          </cell>
          <cell r="H110" t="str">
            <v>投资收益（损失以“-”号填列）</v>
          </cell>
          <cell r="I110">
            <v>6111</v>
          </cell>
          <cell r="J110" t="str">
            <v>J</v>
          </cell>
          <cell r="M110" t="str">
            <v>资本公积_股份支付</v>
          </cell>
          <cell r="S110" t="str">
            <v>2205e</v>
          </cell>
          <cell r="T110" t="str">
            <v>预收账款中预售房产收款情况</v>
          </cell>
          <cell r="U110" t="str">
            <v>项目名称</v>
          </cell>
          <cell r="V110">
            <v>1</v>
          </cell>
          <cell r="W110">
            <v>2205</v>
          </cell>
          <cell r="X110">
            <v>2</v>
          </cell>
        </row>
        <row r="111">
          <cell r="B111">
            <v>6111.01</v>
          </cell>
          <cell r="C111" t="str">
            <v>对联营企业和合营企业的投资收益</v>
          </cell>
          <cell r="D111">
            <v>-1</v>
          </cell>
          <cell r="G111" t="str">
            <v>其中：对联营企业和合营企业的投资收益</v>
          </cell>
          <cell r="H111" t="str">
            <v>其中：对联营企业和合营企业的投资收益</v>
          </cell>
          <cell r="I111">
            <v>6111.01</v>
          </cell>
          <cell r="J111" t="str">
            <v>J</v>
          </cell>
          <cell r="M111" t="str">
            <v>资本公积_所有者其他投入和减少资本</v>
          </cell>
          <cell r="S111" t="str">
            <v>2211a</v>
          </cell>
          <cell r="T111" t="str">
            <v>应付职工薪酬明细项目</v>
          </cell>
          <cell r="U111" t="str">
            <v>项       目</v>
          </cell>
          <cell r="V111">
            <v>1</v>
          </cell>
          <cell r="W111">
            <v>2211</v>
          </cell>
          <cell r="X111">
            <v>1</v>
          </cell>
        </row>
        <row r="112">
          <cell r="B112">
            <v>6161</v>
          </cell>
          <cell r="C112" t="str">
            <v>汇兑收益</v>
          </cell>
          <cell r="D112">
            <v>-1</v>
          </cell>
          <cell r="E112" t="str">
            <v>△</v>
          </cell>
          <cell r="G112" t="str">
            <v>汇兑收益（损失以“-”号填列）</v>
          </cell>
          <cell r="H112" t="str">
            <v>汇兑收益（损失以“-”号填列）</v>
          </cell>
          <cell r="I112">
            <v>6161</v>
          </cell>
          <cell r="J112" t="str">
            <v>J</v>
          </cell>
          <cell r="M112" t="str">
            <v>资本公积_其他利润分配</v>
          </cell>
          <cell r="S112" t="str">
            <v>2221a</v>
          </cell>
          <cell r="T112" t="str">
            <v>应交税费明细项目</v>
          </cell>
          <cell r="U112" t="str">
            <v>项       目</v>
          </cell>
          <cell r="V112">
            <v>1</v>
          </cell>
          <cell r="W112">
            <v>2221</v>
          </cell>
          <cell r="X112">
            <v>1</v>
          </cell>
        </row>
        <row r="113">
          <cell r="B113">
            <v>6689</v>
          </cell>
          <cell r="C113" t="str">
            <v>营业利润</v>
          </cell>
          <cell r="E113" t="str">
            <v>＝</v>
          </cell>
          <cell r="G113" t="str">
            <v>二、营业利润（亏损以“-”号填列）</v>
          </cell>
          <cell r="H113" t="str">
            <v>三、营业利润（亏损以“-”号填列）</v>
          </cell>
          <cell r="I113">
            <v>6689</v>
          </cell>
          <cell r="M113" t="str">
            <v>资本公积_转增资本</v>
          </cell>
          <cell r="S113" t="str">
            <v>2231a</v>
          </cell>
          <cell r="T113" t="str">
            <v>应付利息明细项目</v>
          </cell>
          <cell r="U113" t="str">
            <v>项       目</v>
          </cell>
          <cell r="V113">
            <v>1</v>
          </cell>
          <cell r="W113">
            <v>2231</v>
          </cell>
          <cell r="X113">
            <v>1</v>
          </cell>
        </row>
        <row r="114">
          <cell r="B114">
            <v>6710</v>
          </cell>
          <cell r="C114" t="str">
            <v>营业外收入</v>
          </cell>
          <cell r="D114">
            <v>-1</v>
          </cell>
          <cell r="F114" t="str">
            <v>SD</v>
          </cell>
          <cell r="G114" t="str">
            <v>加：营业外收入</v>
          </cell>
          <cell r="H114" t="str">
            <v>加：营业外收入</v>
          </cell>
          <cell r="I114">
            <v>6710</v>
          </cell>
          <cell r="J114" t="str">
            <v>J</v>
          </cell>
          <cell r="M114" t="str">
            <v>资本公积_本期其他增减变动</v>
          </cell>
          <cell r="S114" t="str">
            <v>2232a</v>
          </cell>
          <cell r="T114" t="str">
            <v>应付股利明细项目</v>
          </cell>
          <cell r="U114" t="str">
            <v>投资者名称</v>
          </cell>
          <cell r="V114">
            <v>1</v>
          </cell>
          <cell r="W114">
            <v>2232</v>
          </cell>
          <cell r="X114">
            <v>1</v>
          </cell>
        </row>
        <row r="115">
          <cell r="B115">
            <v>6711</v>
          </cell>
          <cell r="C115" t="str">
            <v>营业外支出</v>
          </cell>
          <cell r="D115">
            <v>1</v>
          </cell>
          <cell r="F115" t="str">
            <v>UH</v>
          </cell>
          <cell r="G115" t="str">
            <v>减：营业外支出</v>
          </cell>
          <cell r="H115" t="str">
            <v>减：营业外支出</v>
          </cell>
          <cell r="I115">
            <v>6711</v>
          </cell>
          <cell r="J115" t="str">
            <v>J</v>
          </cell>
          <cell r="M115" t="str">
            <v>库存股_上年年末余额</v>
          </cell>
          <cell r="S115" t="str">
            <v>2241a</v>
          </cell>
          <cell r="T115" t="str">
            <v>本报告期其他应付款中应付持有本公司5%（含5%）以上表决权股份的股东单位或关联方的款项情况</v>
          </cell>
          <cell r="U115" t="str">
            <v>单位名称</v>
          </cell>
          <cell r="V115">
            <v>1</v>
          </cell>
          <cell r="W115">
            <v>2241</v>
          </cell>
          <cell r="X115">
            <v>2</v>
          </cell>
        </row>
        <row r="116">
          <cell r="B116">
            <v>6711.01</v>
          </cell>
          <cell r="C116" t="str">
            <v>非流动资产处置损失</v>
          </cell>
          <cell r="D116">
            <v>1</v>
          </cell>
          <cell r="G116" t="str">
            <v>其中：非流动资产处置损失</v>
          </cell>
          <cell r="H116" t="str">
            <v>其中：非流动资产处置损失</v>
          </cell>
          <cell r="I116">
            <v>6711.01</v>
          </cell>
          <cell r="J116" t="str">
            <v>J</v>
          </cell>
          <cell r="M116" t="str">
            <v>库存股_会计政策变更调整上年年末余额</v>
          </cell>
          <cell r="S116" t="str">
            <v>2241b</v>
          </cell>
          <cell r="T116" t="str">
            <v>金额较大的其他应付款明细列示</v>
          </cell>
          <cell r="U116" t="str">
            <v>项       目</v>
          </cell>
          <cell r="V116">
            <v>1</v>
          </cell>
          <cell r="W116">
            <v>2241</v>
          </cell>
          <cell r="X116">
            <v>2</v>
          </cell>
        </row>
        <row r="117">
          <cell r="B117">
            <v>6788</v>
          </cell>
          <cell r="C117" t="str">
            <v>利润总额</v>
          </cell>
          <cell r="E117" t="str">
            <v>＝</v>
          </cell>
          <cell r="G117" t="str">
            <v>三、利润总额（亏损总额以“-”号填列）</v>
          </cell>
          <cell r="H117" t="str">
            <v>四、利润总额（亏损总额以“-”号填列）</v>
          </cell>
          <cell r="I117">
            <v>6788</v>
          </cell>
          <cell r="M117" t="str">
            <v>库存股_前期差错更正调整上年年末余额</v>
          </cell>
          <cell r="S117" t="str">
            <v>2241c</v>
          </cell>
          <cell r="T117" t="str">
            <v>账龄超过1年的大额其他应付款明细列示</v>
          </cell>
          <cell r="U117" t="str">
            <v>项       目</v>
          </cell>
          <cell r="V117">
            <v>1</v>
          </cell>
          <cell r="W117">
            <v>2241</v>
          </cell>
          <cell r="X117">
            <v>2</v>
          </cell>
        </row>
        <row r="118">
          <cell r="B118">
            <v>6791</v>
          </cell>
          <cell r="C118" t="str">
            <v>所得税费用</v>
          </cell>
          <cell r="D118">
            <v>1</v>
          </cell>
          <cell r="F118" t="str">
            <v>UI</v>
          </cell>
          <cell r="G118" t="str">
            <v>减：所得税费用</v>
          </cell>
          <cell r="H118" t="str">
            <v>减：所得税费用</v>
          </cell>
          <cell r="I118">
            <v>6791</v>
          </cell>
          <cell r="J118" t="str">
            <v>J</v>
          </cell>
          <cell r="M118" t="str">
            <v>库存股_所有者投入资本</v>
          </cell>
          <cell r="S118" t="str">
            <v>2241d</v>
          </cell>
          <cell r="T118" t="str">
            <v>资产负债表日后账龄超过1年的大额其他应付款偿还情况</v>
          </cell>
          <cell r="U118" t="str">
            <v>项       目</v>
          </cell>
          <cell r="V118">
            <v>1</v>
          </cell>
          <cell r="W118">
            <v>2241</v>
          </cell>
          <cell r="X118">
            <v>2</v>
          </cell>
        </row>
        <row r="119">
          <cell r="B119">
            <v>6799</v>
          </cell>
          <cell r="C119" t="str">
            <v>净利润</v>
          </cell>
          <cell r="E119" t="str">
            <v>＝</v>
          </cell>
          <cell r="G119" t="str">
            <v>四、净利润（净亏损以“-”号填列）</v>
          </cell>
          <cell r="H119" t="str">
            <v>五、净利润（净亏损以“-”号填列）</v>
          </cell>
          <cell r="I119">
            <v>6799</v>
          </cell>
          <cell r="M119" t="str">
            <v>库存股_所有者权益其他内部结转</v>
          </cell>
          <cell r="S119" t="str">
            <v>2801a</v>
          </cell>
          <cell r="T119" t="str">
            <v>预计负债明细项目</v>
          </cell>
          <cell r="U119" t="str">
            <v>种       类</v>
          </cell>
          <cell r="V119">
            <v>1</v>
          </cell>
          <cell r="W119">
            <v>2801</v>
          </cell>
          <cell r="X119">
            <v>1</v>
          </cell>
        </row>
        <row r="120">
          <cell r="B120">
            <v>6805</v>
          </cell>
          <cell r="C120" t="str">
            <v>被合并方在合并前实现的净利润</v>
          </cell>
          <cell r="D120">
            <v>1</v>
          </cell>
          <cell r="E120" t="str">
            <v>※</v>
          </cell>
          <cell r="G120" t="str">
            <v>其中：被合并方在合并前实现的净利润</v>
          </cell>
          <cell r="H120" t="str">
            <v>其中：被合并方在合并前实现的净利润</v>
          </cell>
          <cell r="I120">
            <v>6805</v>
          </cell>
          <cell r="M120" t="str">
            <v>专项储备_上年年末余额</v>
          </cell>
          <cell r="S120" t="str">
            <v>2395a</v>
          </cell>
          <cell r="T120" t="str">
            <v>一年内到期的非流动负债明细项目</v>
          </cell>
          <cell r="U120" t="str">
            <v>项       目</v>
          </cell>
          <cell r="V120">
            <v>1</v>
          </cell>
          <cell r="W120">
            <v>2395</v>
          </cell>
          <cell r="X120">
            <v>1</v>
          </cell>
        </row>
        <row r="121">
          <cell r="B121">
            <v>6811</v>
          </cell>
          <cell r="C121" t="str">
            <v>归属于母公司所有者的净利润</v>
          </cell>
          <cell r="D121">
            <v>-1</v>
          </cell>
          <cell r="E121" t="str">
            <v>※</v>
          </cell>
          <cell r="G121" t="str">
            <v>归属于母公司所有者的净利润</v>
          </cell>
          <cell r="H121" t="str">
            <v>归属于母公司所有者的净利润</v>
          </cell>
          <cell r="I121">
            <v>6811</v>
          </cell>
          <cell r="J121" t="str">
            <v>J</v>
          </cell>
          <cell r="M121" t="str">
            <v>专项储备_会计政策变更调整上年年末余额</v>
          </cell>
          <cell r="S121" t="str">
            <v>2395b</v>
          </cell>
          <cell r="T121" t="str">
            <v>1年内到期的长期借款</v>
          </cell>
          <cell r="U121" t="str">
            <v>项       目</v>
          </cell>
          <cell r="V121">
            <v>1</v>
          </cell>
          <cell r="W121">
            <v>2395</v>
          </cell>
          <cell r="X121">
            <v>2</v>
          </cell>
        </row>
        <row r="122">
          <cell r="B122">
            <v>6812</v>
          </cell>
          <cell r="C122" t="str">
            <v>少数股东损益</v>
          </cell>
          <cell r="D122">
            <v>1</v>
          </cell>
          <cell r="E122" t="str">
            <v>※</v>
          </cell>
          <cell r="G122" t="str">
            <v>少数股东损益</v>
          </cell>
          <cell r="H122" t="str">
            <v>少数股东损益</v>
          </cell>
          <cell r="I122">
            <v>6812</v>
          </cell>
          <cell r="J122" t="str">
            <v>J</v>
          </cell>
          <cell r="M122" t="str">
            <v>专项储备_前期差错更正调整上年年末余额</v>
          </cell>
          <cell r="S122" t="str">
            <v>2395c</v>
          </cell>
          <cell r="T122" t="str">
            <v>金额前五名的1年内到期的长期借款</v>
          </cell>
          <cell r="U122" t="str">
            <v>贷款单位</v>
          </cell>
          <cell r="V122">
            <v>1</v>
          </cell>
          <cell r="W122">
            <v>2395</v>
          </cell>
          <cell r="X122">
            <v>2</v>
          </cell>
        </row>
        <row r="123">
          <cell r="B123">
            <v>6820</v>
          </cell>
          <cell r="C123" t="str">
            <v>每股收益</v>
          </cell>
          <cell r="E123" t="str">
            <v>：</v>
          </cell>
          <cell r="G123" t="str">
            <v>五、每股收益：</v>
          </cell>
          <cell r="H123" t="str">
            <v>六、每股收益：</v>
          </cell>
          <cell r="I123">
            <v>6820</v>
          </cell>
          <cell r="M123" t="str">
            <v>专项储备_本期提取</v>
          </cell>
          <cell r="S123" t="str">
            <v>2395d</v>
          </cell>
          <cell r="T123" t="str">
            <v>1年内到期的长期借款中的逾期借款</v>
          </cell>
          <cell r="U123" t="str">
            <v>贷款单位</v>
          </cell>
          <cell r="V123">
            <v>1</v>
          </cell>
          <cell r="W123">
            <v>2395</v>
          </cell>
          <cell r="X123">
            <v>2</v>
          </cell>
        </row>
        <row r="124">
          <cell r="B124">
            <v>6821</v>
          </cell>
          <cell r="C124" t="str">
            <v>基本每股收益</v>
          </cell>
          <cell r="G124" t="str">
            <v>（一）基本每股收益</v>
          </cell>
          <cell r="H124" t="str">
            <v>（一）基本每股收益</v>
          </cell>
          <cell r="I124">
            <v>6821</v>
          </cell>
          <cell r="M124" t="str">
            <v>专项储备_本期使用</v>
          </cell>
          <cell r="S124" t="str">
            <v>2395e</v>
          </cell>
          <cell r="T124" t="str">
            <v>1年内到期的应付债券</v>
          </cell>
          <cell r="U124" t="str">
            <v>债券名称</v>
          </cell>
          <cell r="V124">
            <v>1</v>
          </cell>
          <cell r="W124">
            <v>2395</v>
          </cell>
          <cell r="X124">
            <v>2</v>
          </cell>
        </row>
        <row r="125">
          <cell r="B125">
            <v>6822</v>
          </cell>
          <cell r="C125" t="str">
            <v>稀释每股收益</v>
          </cell>
          <cell r="G125" t="str">
            <v>（二）稀释每股收益</v>
          </cell>
          <cell r="H125" t="str">
            <v>（二）稀释每股收益</v>
          </cell>
          <cell r="I125">
            <v>6822</v>
          </cell>
          <cell r="M125" t="str">
            <v>盈余公积_上年年末余额</v>
          </cell>
          <cell r="S125" t="str">
            <v>2395f</v>
          </cell>
          <cell r="T125" t="str">
            <v>金额前五名的1年内到期的长期应付款</v>
          </cell>
          <cell r="U125" t="str">
            <v>借款单位</v>
          </cell>
          <cell r="V125">
            <v>1</v>
          </cell>
          <cell r="W125">
            <v>2395</v>
          </cell>
          <cell r="X125">
            <v>2</v>
          </cell>
        </row>
        <row r="126">
          <cell r="B126">
            <v>6829</v>
          </cell>
          <cell r="C126" t="str">
            <v>其他综合收益</v>
          </cell>
          <cell r="D126">
            <v>-1</v>
          </cell>
          <cell r="G126" t="str">
            <v>六、其他综合收益</v>
          </cell>
          <cell r="H126" t="str">
            <v>七、其他综合收益</v>
          </cell>
          <cell r="I126">
            <v>6829</v>
          </cell>
          <cell r="J126" t="str">
            <v>J</v>
          </cell>
          <cell r="M126" t="str">
            <v>盈余公积_会计政策变更调整上年年末余额</v>
          </cell>
          <cell r="S126" t="str">
            <v>2396a</v>
          </cell>
          <cell r="T126" t="str">
            <v>其他流动负债明细项目</v>
          </cell>
          <cell r="U126" t="str">
            <v>项       目</v>
          </cell>
          <cell r="V126">
            <v>1</v>
          </cell>
          <cell r="W126">
            <v>2396</v>
          </cell>
          <cell r="X126">
            <v>1</v>
          </cell>
        </row>
        <row r="127">
          <cell r="B127">
            <v>6839</v>
          </cell>
          <cell r="C127" t="str">
            <v>综合收益总额</v>
          </cell>
          <cell r="E127" t="str">
            <v>＝</v>
          </cell>
          <cell r="G127" t="str">
            <v>七、综合收益总额</v>
          </cell>
          <cell r="H127" t="str">
            <v>八、综合收益总额</v>
          </cell>
          <cell r="I127">
            <v>6839</v>
          </cell>
          <cell r="M127" t="str">
            <v>盈余公积_前期差错更正调整上年年末余额</v>
          </cell>
          <cell r="S127" t="str">
            <v>2501a</v>
          </cell>
          <cell r="T127" t="str">
            <v>长期借款明细项目</v>
          </cell>
          <cell r="U127" t="str">
            <v>借款类别</v>
          </cell>
          <cell r="V127">
            <v>1</v>
          </cell>
          <cell r="W127">
            <v>2501</v>
          </cell>
          <cell r="X127">
            <v>1</v>
          </cell>
        </row>
        <row r="128">
          <cell r="B128">
            <v>6841</v>
          </cell>
          <cell r="C128" t="str">
            <v>归属于母公司所有者的综合收益总额</v>
          </cell>
          <cell r="D128">
            <v>-1</v>
          </cell>
          <cell r="E128" t="str">
            <v>※</v>
          </cell>
          <cell r="G128" t="str">
            <v>归属于母公司所有者的综合收益总额</v>
          </cell>
          <cell r="H128" t="str">
            <v>归属于母公司所有者的综合收益总额</v>
          </cell>
          <cell r="I128">
            <v>6841</v>
          </cell>
          <cell r="M128" t="str">
            <v>盈余公积_其他原因调整上年年末余额</v>
          </cell>
          <cell r="S128" t="str">
            <v>2501b</v>
          </cell>
          <cell r="T128" t="str">
            <v>金额前五名的长期借款</v>
          </cell>
          <cell r="U128" t="str">
            <v>贷款单位</v>
          </cell>
          <cell r="V128">
            <v>1</v>
          </cell>
          <cell r="W128">
            <v>2501</v>
          </cell>
          <cell r="X128">
            <v>2</v>
          </cell>
        </row>
        <row r="129">
          <cell r="B129">
            <v>6842</v>
          </cell>
          <cell r="C129" t="str">
            <v>归属于少数股东的综合收益总额</v>
          </cell>
          <cell r="D129">
            <v>1</v>
          </cell>
          <cell r="E129" t="str">
            <v>※</v>
          </cell>
          <cell r="G129" t="str">
            <v>归属于少数股东的综合收益总额</v>
          </cell>
          <cell r="H129" t="str">
            <v>归属于少数股东的综合收益总额</v>
          </cell>
          <cell r="I129">
            <v>6842</v>
          </cell>
          <cell r="M129" t="str">
            <v>盈余公积_提取</v>
          </cell>
          <cell r="S129" t="str">
            <v>2502a</v>
          </cell>
          <cell r="T129" t="str">
            <v>应付债券明细项目</v>
          </cell>
          <cell r="U129" t="str">
            <v>债券名称</v>
          </cell>
          <cell r="V129">
            <v>1</v>
          </cell>
          <cell r="W129">
            <v>2502</v>
          </cell>
          <cell r="X129">
            <v>1</v>
          </cell>
        </row>
        <row r="130">
          <cell r="B130">
            <v>8</v>
          </cell>
          <cell r="C130" t="str">
            <v>所有者权益变动表</v>
          </cell>
          <cell r="E130" t="str">
            <v>：</v>
          </cell>
          <cell r="G130" t="str">
            <v>所有者权益变动表</v>
          </cell>
          <cell r="I130">
            <v>8</v>
          </cell>
          <cell r="M130" t="str">
            <v>盈余公积_对所有者的分配</v>
          </cell>
          <cell r="S130" t="str">
            <v>2701a</v>
          </cell>
          <cell r="T130" t="str">
            <v>金额前五名的长期应付款</v>
          </cell>
          <cell r="U130" t="str">
            <v>单       位</v>
          </cell>
          <cell r="V130">
            <v>1</v>
          </cell>
          <cell r="W130">
            <v>2701</v>
          </cell>
          <cell r="X130">
            <v>1</v>
          </cell>
        </row>
        <row r="131">
          <cell r="B131">
            <v>8000</v>
          </cell>
          <cell r="C131" t="str">
            <v>所有者权益增减变动</v>
          </cell>
          <cell r="E131" t="str">
            <v>：</v>
          </cell>
          <cell r="G131" t="str">
            <v>所有者权益增减变动</v>
          </cell>
          <cell r="I131">
            <v>8000</v>
          </cell>
          <cell r="M131" t="str">
            <v>盈余公积_其他利润分配</v>
          </cell>
          <cell r="S131" t="str">
            <v>2701b</v>
          </cell>
          <cell r="T131" t="str">
            <v>长期应付款中的应付融资租赁款</v>
          </cell>
          <cell r="U131" t="str">
            <v>项       目</v>
          </cell>
          <cell r="V131">
            <v>1</v>
          </cell>
          <cell r="W131">
            <v>2701</v>
          </cell>
          <cell r="X131">
            <v>2</v>
          </cell>
        </row>
        <row r="132">
          <cell r="B132">
            <v>8001</v>
          </cell>
          <cell r="C132" t="str">
            <v>所有者权益_上年年末余额</v>
          </cell>
          <cell r="D132">
            <v>-1</v>
          </cell>
          <cell r="E132" t="str">
            <v>＝</v>
          </cell>
          <cell r="G132" t="str">
            <v>一、上年年末余额</v>
          </cell>
          <cell r="I132">
            <v>8001</v>
          </cell>
          <cell r="M132" t="str">
            <v>盈余公积_转增资本</v>
          </cell>
          <cell r="S132" t="str">
            <v>2711a</v>
          </cell>
          <cell r="T132" t="str">
            <v>专项应付款明细项目</v>
          </cell>
          <cell r="U132" t="str">
            <v>项       目</v>
          </cell>
          <cell r="V132">
            <v>1</v>
          </cell>
          <cell r="W132">
            <v>2711</v>
          </cell>
          <cell r="X132">
            <v>1</v>
          </cell>
        </row>
        <row r="133">
          <cell r="B133">
            <v>8002</v>
          </cell>
          <cell r="C133" t="str">
            <v>所有者权益_会计政策变更调整上年年末余额</v>
          </cell>
          <cell r="D133">
            <v>-1</v>
          </cell>
          <cell r="E133" t="str">
            <v>＝</v>
          </cell>
          <cell r="G133" t="str">
            <v>加：会计政策变更</v>
          </cell>
          <cell r="I133">
            <v>8002</v>
          </cell>
          <cell r="M133" t="str">
            <v>盈余公积_弥补亏损</v>
          </cell>
          <cell r="S133" t="str">
            <v>2996a</v>
          </cell>
          <cell r="T133" t="str">
            <v>其他非流动负债明细项目</v>
          </cell>
          <cell r="U133" t="str">
            <v>项       目</v>
          </cell>
          <cell r="V133">
            <v>1</v>
          </cell>
          <cell r="W133">
            <v>2996</v>
          </cell>
          <cell r="X133">
            <v>1</v>
          </cell>
        </row>
        <row r="134">
          <cell r="B134">
            <v>8003</v>
          </cell>
          <cell r="C134" t="str">
            <v>所有者权益_前期差错更正调整上年年末余额</v>
          </cell>
          <cell r="D134">
            <v>-1</v>
          </cell>
          <cell r="E134" t="str">
            <v>＝</v>
          </cell>
          <cell r="G134" t="str">
            <v>前期差错更正</v>
          </cell>
          <cell r="I134">
            <v>8003</v>
          </cell>
          <cell r="M134" t="str">
            <v>一般风险准备_上年年末余额</v>
          </cell>
          <cell r="S134" t="str">
            <v>4001a</v>
          </cell>
          <cell r="T134" t="str">
            <v>本年股本变动情况</v>
          </cell>
          <cell r="U134" t="str">
            <v>股份类别</v>
          </cell>
          <cell r="V134">
            <v>0</v>
          </cell>
          <cell r="W134">
            <v>4001</v>
          </cell>
          <cell r="X134">
            <v>2</v>
          </cell>
        </row>
        <row r="135">
          <cell r="B135">
            <v>8009</v>
          </cell>
          <cell r="C135" t="str">
            <v>所有者权益_其他原因调整上年年末余额</v>
          </cell>
          <cell r="D135">
            <v>-1</v>
          </cell>
          <cell r="E135" t="str">
            <v>＝</v>
          </cell>
          <cell r="G135" t="str">
            <v>其他</v>
          </cell>
          <cell r="I135">
            <v>8009</v>
          </cell>
          <cell r="M135" t="str">
            <v>一般风险准备_会计政策变更调整上年年末余额</v>
          </cell>
          <cell r="S135" t="str">
            <v>4001b</v>
          </cell>
          <cell r="T135" t="str">
            <v>本年实收资本变动情况</v>
          </cell>
          <cell r="U135" t="str">
            <v>股东名称</v>
          </cell>
          <cell r="V135">
            <v>1</v>
          </cell>
          <cell r="W135">
            <v>4001</v>
          </cell>
          <cell r="X135">
            <v>1</v>
          </cell>
        </row>
        <row r="136">
          <cell r="B136">
            <v>8010</v>
          </cell>
          <cell r="C136" t="str">
            <v>所有者权益_本年年初余额</v>
          </cell>
          <cell r="E136" t="str">
            <v>＝</v>
          </cell>
          <cell r="G136" t="str">
            <v>二、本年年初余额</v>
          </cell>
          <cell r="I136">
            <v>8010</v>
          </cell>
          <cell r="M136" t="str">
            <v>一般风险准备_前期差错更正调整上年年末余额</v>
          </cell>
          <cell r="S136" t="str">
            <v>4002a</v>
          </cell>
          <cell r="T136" t="str">
            <v>本年资本公积变动情况</v>
          </cell>
          <cell r="U136" t="str">
            <v>种       类</v>
          </cell>
          <cell r="V136">
            <v>1</v>
          </cell>
          <cell r="W136">
            <v>4002</v>
          </cell>
          <cell r="X136">
            <v>1</v>
          </cell>
        </row>
        <row r="137">
          <cell r="B137">
            <v>8090</v>
          </cell>
          <cell r="C137" t="str">
            <v>所有者权益_本期增减变动金额</v>
          </cell>
          <cell r="E137" t="str">
            <v>＝</v>
          </cell>
          <cell r="G137" t="str">
            <v>三、本期增减变动金额（减少以“-”号填列）</v>
          </cell>
          <cell r="I137">
            <v>8090</v>
          </cell>
          <cell r="M137" t="str">
            <v>一般风险准备_提取</v>
          </cell>
          <cell r="S137" t="str">
            <v>4301a</v>
          </cell>
          <cell r="T137" t="str">
            <v>本年专项储备变动情况</v>
          </cell>
          <cell r="U137" t="str">
            <v>项       目</v>
          </cell>
          <cell r="V137">
            <v>1</v>
          </cell>
          <cell r="W137">
            <v>4301</v>
          </cell>
          <cell r="X137">
            <v>1</v>
          </cell>
        </row>
        <row r="138">
          <cell r="B138">
            <v>8021</v>
          </cell>
          <cell r="C138" t="str">
            <v>所有者权益_净利润增加权益</v>
          </cell>
          <cell r="D138">
            <v>-1</v>
          </cell>
          <cell r="E138" t="str">
            <v>＝</v>
          </cell>
          <cell r="G138" t="str">
            <v>（一）净利润</v>
          </cell>
          <cell r="I138">
            <v>8021</v>
          </cell>
          <cell r="M138" t="str">
            <v>一般风险准备_所有者权益其他内部结转</v>
          </cell>
          <cell r="S138" t="str">
            <v>4101a</v>
          </cell>
          <cell r="T138" t="str">
            <v>本年盈余公积变动情况</v>
          </cell>
          <cell r="U138" t="str">
            <v>项       目</v>
          </cell>
          <cell r="V138">
            <v>1</v>
          </cell>
          <cell r="W138">
            <v>4101</v>
          </cell>
          <cell r="X138">
            <v>1</v>
          </cell>
        </row>
        <row r="139">
          <cell r="B139">
            <v>8030</v>
          </cell>
          <cell r="C139" t="str">
            <v>所有者权益_其他综合收益增加权益</v>
          </cell>
          <cell r="D139">
            <v>-1</v>
          </cell>
          <cell r="E139" t="str">
            <v>＝</v>
          </cell>
          <cell r="G139" t="str">
            <v>（二）其他综合收益</v>
          </cell>
          <cell r="I139">
            <v>8030</v>
          </cell>
          <cell r="M139" t="str">
            <v>未分配利润_上年年末余额</v>
          </cell>
          <cell r="S139" t="str">
            <v>4102a</v>
          </cell>
          <cell r="T139" t="str">
            <v>本年一般风险准备变动情况</v>
          </cell>
          <cell r="U139" t="str">
            <v>项       目</v>
          </cell>
          <cell r="V139">
            <v>1</v>
          </cell>
          <cell r="W139">
            <v>4102</v>
          </cell>
          <cell r="X139">
            <v>1</v>
          </cell>
        </row>
        <row r="140">
          <cell r="B140">
            <v>8040</v>
          </cell>
          <cell r="C140" t="str">
            <v>所有者权益_净利润与其他综合收益增加权益</v>
          </cell>
          <cell r="E140" t="str">
            <v>＝</v>
          </cell>
          <cell r="G140" t="str">
            <v>上述（一）和（二）小计</v>
          </cell>
          <cell r="I140">
            <v>8040</v>
          </cell>
          <cell r="M140" t="str">
            <v>未分配利润_会计政策变更调整上年年末余额</v>
          </cell>
          <cell r="S140" t="str">
            <v>4200a</v>
          </cell>
          <cell r="T140" t="str">
            <v>未分配利润增减变动情况</v>
          </cell>
          <cell r="U140" t="str">
            <v>项       目</v>
          </cell>
          <cell r="V140">
            <v>1</v>
          </cell>
          <cell r="W140">
            <v>4200</v>
          </cell>
          <cell r="X140">
            <v>1</v>
          </cell>
        </row>
        <row r="141">
          <cell r="B141">
            <v>8050</v>
          </cell>
          <cell r="C141" t="str">
            <v>所有者权益_所有者投入和减少资本影响权益</v>
          </cell>
          <cell r="E141" t="str">
            <v>＝</v>
          </cell>
          <cell r="G141" t="str">
            <v>（三）所有者投入和减少资本</v>
          </cell>
          <cell r="I141">
            <v>8050</v>
          </cell>
          <cell r="M141" t="str">
            <v>未分配利润_前期差错更正调整上年年末余额</v>
          </cell>
          <cell r="S141" t="str">
            <v>4200b</v>
          </cell>
          <cell r="T141" t="str">
            <v>调整年初未分配利润明细情况</v>
          </cell>
          <cell r="U141" t="str">
            <v>调整原因</v>
          </cell>
          <cell r="V141">
            <v>1</v>
          </cell>
          <cell r="W141">
            <v>4200</v>
          </cell>
          <cell r="X141">
            <v>2</v>
          </cell>
        </row>
        <row r="142">
          <cell r="B142">
            <v>8051</v>
          </cell>
          <cell r="C142" t="str">
            <v>所有者权益_所有者投入资本增加权益</v>
          </cell>
          <cell r="D142">
            <v>-1</v>
          </cell>
          <cell r="E142" t="str">
            <v>＝</v>
          </cell>
          <cell r="G142" t="str">
            <v>1．所有者投入资本</v>
          </cell>
          <cell r="I142">
            <v>8051</v>
          </cell>
          <cell r="M142" t="str">
            <v>未分配利润_其他原因调整上年年末余额</v>
          </cell>
          <cell r="S142" t="str">
            <v>6064a</v>
          </cell>
          <cell r="T142" t="str">
            <v>营业收入明细项目</v>
          </cell>
          <cell r="U142" t="str">
            <v>项       目</v>
          </cell>
          <cell r="V142">
            <v>-1</v>
          </cell>
          <cell r="W142">
            <v>6001</v>
          </cell>
          <cell r="X142">
            <v>1</v>
          </cell>
        </row>
        <row r="143">
          <cell r="B143">
            <v>8052</v>
          </cell>
          <cell r="C143" t="str">
            <v>所有者权益_股份支付计入所有者权益的金额</v>
          </cell>
          <cell r="D143">
            <v>-1</v>
          </cell>
          <cell r="E143" t="str">
            <v>＝</v>
          </cell>
          <cell r="G143" t="str">
            <v>2．股份支付计入所有者权益的金额</v>
          </cell>
          <cell r="I143">
            <v>8052</v>
          </cell>
          <cell r="M143" t="str">
            <v>未分配利润_所有者其他投入和减少资本</v>
          </cell>
          <cell r="S143" t="str">
            <v>6064b</v>
          </cell>
          <cell r="T143" t="str">
            <v>营业成本明细项目</v>
          </cell>
          <cell r="U143" t="str">
            <v>项       目</v>
          </cell>
          <cell r="V143">
            <v>-1</v>
          </cell>
          <cell r="W143">
            <v>6401</v>
          </cell>
          <cell r="X143">
            <v>1</v>
          </cell>
        </row>
        <row r="144">
          <cell r="B144">
            <v>8056</v>
          </cell>
          <cell r="C144" t="str">
            <v>所有者权益_所有者其他投入和减少资本</v>
          </cell>
          <cell r="D144">
            <v>-1</v>
          </cell>
          <cell r="E144" t="str">
            <v>＝</v>
          </cell>
          <cell r="G144" t="str">
            <v>3．其他</v>
          </cell>
          <cell r="I144">
            <v>8056</v>
          </cell>
          <cell r="M144" t="str">
            <v>未分配利润_提取盈余公积</v>
          </cell>
          <cell r="S144" t="str">
            <v>6064c</v>
          </cell>
          <cell r="T144" t="str">
            <v>主营业务按行业类别列示</v>
          </cell>
          <cell r="U144" t="str">
            <v>行业名称</v>
          </cell>
          <cell r="V144">
            <v>-2</v>
          </cell>
          <cell r="X144">
            <v>2</v>
          </cell>
        </row>
        <row r="145">
          <cell r="B145">
            <v>8060</v>
          </cell>
          <cell r="C145" t="str">
            <v>所有者权益_利润分配影响权益</v>
          </cell>
          <cell r="E145" t="str">
            <v>＝</v>
          </cell>
          <cell r="G145" t="str">
            <v>（四）利润分配</v>
          </cell>
          <cell r="I145">
            <v>8060</v>
          </cell>
          <cell r="M145" t="str">
            <v>未分配利润_提取一般风险准备</v>
          </cell>
          <cell r="S145" t="str">
            <v>6064d</v>
          </cell>
          <cell r="T145" t="str">
            <v>主营业务按产品类别列示</v>
          </cell>
          <cell r="U145" t="str">
            <v>产品名称</v>
          </cell>
          <cell r="V145">
            <v>-2</v>
          </cell>
          <cell r="X145">
            <v>2</v>
          </cell>
        </row>
        <row r="146">
          <cell r="B146">
            <v>8061</v>
          </cell>
          <cell r="C146" t="str">
            <v>所有者权益_提取盈余公积影响权益</v>
          </cell>
          <cell r="D146">
            <v>-1</v>
          </cell>
          <cell r="E146" t="str">
            <v>＝</v>
          </cell>
          <cell r="G146" t="str">
            <v>1．提取盈余公积</v>
          </cell>
          <cell r="I146">
            <v>8061</v>
          </cell>
          <cell r="M146" t="str">
            <v>未分配利润_对所有者的分配</v>
          </cell>
          <cell r="S146" t="str">
            <v>6064e</v>
          </cell>
          <cell r="T146" t="str">
            <v>主营业务按地区类别列示</v>
          </cell>
          <cell r="U146" t="str">
            <v>地区名称</v>
          </cell>
          <cell r="V146">
            <v>-2</v>
          </cell>
          <cell r="X146">
            <v>2</v>
          </cell>
        </row>
        <row r="147">
          <cell r="B147">
            <v>8062</v>
          </cell>
          <cell r="C147" t="str">
            <v>所有者权益_提取一般风险准备影响权益</v>
          </cell>
          <cell r="D147">
            <v>-1</v>
          </cell>
          <cell r="E147" t="str">
            <v>＝</v>
          </cell>
          <cell r="G147" t="str">
            <v>2．提取一般风险准备</v>
          </cell>
          <cell r="I147">
            <v>8062</v>
          </cell>
          <cell r="M147" t="str">
            <v>未分配利润_其他利润分配</v>
          </cell>
          <cell r="S147" t="str">
            <v>6064f</v>
          </cell>
          <cell r="T147" t="str">
            <v>公司前五名客户营业收入情况</v>
          </cell>
          <cell r="U147" t="str">
            <v>客户名称</v>
          </cell>
          <cell r="V147">
            <v>-2</v>
          </cell>
          <cell r="X147">
            <v>2</v>
          </cell>
        </row>
        <row r="148">
          <cell r="B148">
            <v>8063</v>
          </cell>
          <cell r="C148" t="str">
            <v>所有者权益_对所有者的分配影响权益</v>
          </cell>
          <cell r="D148">
            <v>-1</v>
          </cell>
          <cell r="E148" t="str">
            <v>＝</v>
          </cell>
          <cell r="G148" t="str">
            <v>3．对所有者（或股东）的分配</v>
          </cell>
          <cell r="I148">
            <v>8063</v>
          </cell>
          <cell r="M148" t="str">
            <v>未分配利润_盈余公积弥补亏损</v>
          </cell>
          <cell r="S148" t="str">
            <v>6095a</v>
          </cell>
          <cell r="T148" t="str">
            <v>固定造价合同项目收入明细列示</v>
          </cell>
          <cell r="U148" t="str">
            <v>合同项目</v>
          </cell>
          <cell r="V148">
            <v>-2</v>
          </cell>
          <cell r="X148">
            <v>1</v>
          </cell>
        </row>
        <row r="149">
          <cell r="B149">
            <v>8066</v>
          </cell>
          <cell r="C149" t="str">
            <v>所有者权益_其他利润分配影响权益</v>
          </cell>
          <cell r="D149">
            <v>-1</v>
          </cell>
          <cell r="E149" t="str">
            <v>＝</v>
          </cell>
          <cell r="G149" t="str">
            <v>4．其他</v>
          </cell>
          <cell r="I149">
            <v>8066</v>
          </cell>
          <cell r="M149" t="str">
            <v>未分配利润_所有者权益其他内部结转</v>
          </cell>
          <cell r="S149" t="str">
            <v>6095b</v>
          </cell>
          <cell r="T149" t="str">
            <v>成本加成合同项目收入明细列示</v>
          </cell>
          <cell r="U149" t="str">
            <v>合同项目</v>
          </cell>
          <cell r="V149">
            <v>-2</v>
          </cell>
          <cell r="X149">
            <v>2</v>
          </cell>
        </row>
        <row r="150">
          <cell r="B150">
            <v>8070</v>
          </cell>
          <cell r="C150" t="str">
            <v>所有者权益_所有者权益内部结转</v>
          </cell>
          <cell r="E150" t="str">
            <v>＝</v>
          </cell>
          <cell r="G150" t="str">
            <v>（五）所有者权益内部结转</v>
          </cell>
          <cell r="I150">
            <v>8070</v>
          </cell>
          <cell r="M150" t="str">
            <v>其他归属于母公司权益_上年年末余额</v>
          </cell>
          <cell r="S150" t="str">
            <v>6600a</v>
          </cell>
          <cell r="T150" t="str">
            <v>营业税金及附加明细项目</v>
          </cell>
          <cell r="U150" t="str">
            <v>税       种</v>
          </cell>
          <cell r="V150">
            <v>1</v>
          </cell>
          <cell r="W150">
            <v>6600</v>
          </cell>
          <cell r="X150">
            <v>1</v>
          </cell>
        </row>
        <row r="151">
          <cell r="B151">
            <v>8071</v>
          </cell>
          <cell r="C151" t="str">
            <v>所有者权益_资本公积转增资本影响权益</v>
          </cell>
          <cell r="D151">
            <v>-1</v>
          </cell>
          <cell r="E151" t="str">
            <v>＝</v>
          </cell>
          <cell r="G151" t="str">
            <v>1．资本公积转增资本（或股本）</v>
          </cell>
          <cell r="I151">
            <v>8071</v>
          </cell>
          <cell r="M151" t="str">
            <v>其他归属于母公司权益_会计政策变更调整上年年末余额</v>
          </cell>
          <cell r="S151" t="str">
            <v>6601a</v>
          </cell>
          <cell r="T151" t="str">
            <v>销售费用明细项目</v>
          </cell>
          <cell r="U151" t="str">
            <v>项       目</v>
          </cell>
          <cell r="V151">
            <v>1</v>
          </cell>
          <cell r="W151">
            <v>6601</v>
          </cell>
          <cell r="X151">
            <v>1</v>
          </cell>
        </row>
        <row r="152">
          <cell r="B152">
            <v>8072</v>
          </cell>
          <cell r="C152" t="str">
            <v>所有者权益_盈余公积转增资本影响权益</v>
          </cell>
          <cell r="D152">
            <v>-1</v>
          </cell>
          <cell r="E152" t="str">
            <v>＝</v>
          </cell>
          <cell r="G152" t="str">
            <v>2．盈余公积转增资本（或股本）</v>
          </cell>
          <cell r="I152">
            <v>8072</v>
          </cell>
          <cell r="M152" t="str">
            <v>其他归属于母公司权益_前期差错更正调整上年年末余额</v>
          </cell>
          <cell r="S152" t="str">
            <v>6602a</v>
          </cell>
          <cell r="T152" t="str">
            <v>管理费用明细项目</v>
          </cell>
          <cell r="U152" t="str">
            <v>项       目</v>
          </cell>
          <cell r="V152">
            <v>1</v>
          </cell>
          <cell r="W152">
            <v>6602</v>
          </cell>
          <cell r="X152">
            <v>1</v>
          </cell>
        </row>
        <row r="153">
          <cell r="B153">
            <v>8073</v>
          </cell>
          <cell r="C153" t="str">
            <v>所有者权益_盈余公积弥补亏损影响权益</v>
          </cell>
          <cell r="D153">
            <v>-1</v>
          </cell>
          <cell r="E153" t="str">
            <v>＝</v>
          </cell>
          <cell r="G153" t="str">
            <v>3．盈余公积弥补亏损</v>
          </cell>
          <cell r="I153">
            <v>8073</v>
          </cell>
          <cell r="M153" t="str">
            <v>其他归属于母公司权益_其他原因调整上年年末余额</v>
          </cell>
          <cell r="S153" t="str">
            <v>6603a</v>
          </cell>
          <cell r="T153" t="str">
            <v>财务费用明细项目</v>
          </cell>
          <cell r="U153" t="str">
            <v>项       目</v>
          </cell>
          <cell r="V153">
            <v>1</v>
          </cell>
          <cell r="W153">
            <v>6603</v>
          </cell>
          <cell r="X153">
            <v>1</v>
          </cell>
        </row>
        <row r="154">
          <cell r="B154">
            <v>8076</v>
          </cell>
          <cell r="C154" t="str">
            <v>所有者权益_所有者权益其他内部结转</v>
          </cell>
          <cell r="D154">
            <v>-1</v>
          </cell>
          <cell r="E154" t="str">
            <v>＝</v>
          </cell>
          <cell r="G154" t="str">
            <v>4．其他</v>
          </cell>
          <cell r="I154">
            <v>8076</v>
          </cell>
          <cell r="M154" t="str">
            <v>其他归属于母公司权益_净利润增加权益</v>
          </cell>
          <cell r="S154" t="str">
            <v>6101a</v>
          </cell>
          <cell r="T154" t="str">
            <v>公允价值变动收益明细项目</v>
          </cell>
          <cell r="U154" t="str">
            <v>产生公允价值变动收益的来源</v>
          </cell>
          <cell r="V154">
            <v>1</v>
          </cell>
          <cell r="W154">
            <v>6101</v>
          </cell>
          <cell r="X154">
            <v>1</v>
          </cell>
        </row>
        <row r="155">
          <cell r="B155">
            <v>8080</v>
          </cell>
          <cell r="C155" t="str">
            <v>所有者权益_专项储备影响权益</v>
          </cell>
          <cell r="E155" t="str">
            <v>＝</v>
          </cell>
          <cell r="G155" t="str">
            <v xml:space="preserve"> （六）专项储备</v>
          </cell>
          <cell r="I155">
            <v>8080</v>
          </cell>
          <cell r="M155" t="str">
            <v>其他归属于母公司权益_其他综合收益</v>
          </cell>
          <cell r="S155" t="str">
            <v>6111a</v>
          </cell>
          <cell r="T155" t="str">
            <v>投资收益按来源列示</v>
          </cell>
          <cell r="U155" t="str">
            <v>产生投资收益的来源</v>
          </cell>
          <cell r="V155">
            <v>1</v>
          </cell>
          <cell r="W155">
            <v>6111</v>
          </cell>
          <cell r="X155">
            <v>1</v>
          </cell>
        </row>
        <row r="156">
          <cell r="B156">
            <v>8081</v>
          </cell>
          <cell r="C156" t="str">
            <v>所有者权益_专项储备本期提取</v>
          </cell>
          <cell r="D156">
            <v>-1</v>
          </cell>
          <cell r="E156" t="str">
            <v>＝</v>
          </cell>
          <cell r="G156" t="str">
            <v>1．本期提取</v>
          </cell>
          <cell r="I156">
            <v>8081</v>
          </cell>
          <cell r="M156" t="str">
            <v>其他归属于母公司权益_所有者投入资本</v>
          </cell>
          <cell r="S156" t="str">
            <v>6111b</v>
          </cell>
          <cell r="T156" t="str">
            <v>按成本法核算的长期股权投资收益</v>
          </cell>
          <cell r="U156" t="str">
            <v>被投资单位名称</v>
          </cell>
          <cell r="V156">
            <v>1</v>
          </cell>
          <cell r="W156">
            <v>6111</v>
          </cell>
          <cell r="X156">
            <v>2</v>
          </cell>
        </row>
        <row r="157">
          <cell r="B157">
            <v>8082</v>
          </cell>
          <cell r="C157" t="str">
            <v>所有者权益_专项储备本期使用</v>
          </cell>
          <cell r="D157">
            <v>-1</v>
          </cell>
          <cell r="E157" t="str">
            <v>＝</v>
          </cell>
          <cell r="G157" t="str">
            <v>2．本期使用</v>
          </cell>
          <cell r="I157">
            <v>8082</v>
          </cell>
          <cell r="M157" t="str">
            <v>其他归属于母公司权益_股份支付</v>
          </cell>
          <cell r="S157" t="str">
            <v>6111c</v>
          </cell>
          <cell r="T157" t="str">
            <v>按权益法核算的长期股权投资收益</v>
          </cell>
          <cell r="U157" t="str">
            <v>被投资单位名称</v>
          </cell>
          <cell r="V157">
            <v>1</v>
          </cell>
          <cell r="W157">
            <v>6111</v>
          </cell>
          <cell r="X157">
            <v>2</v>
          </cell>
        </row>
        <row r="158">
          <cell r="B158">
            <v>8096</v>
          </cell>
          <cell r="C158" t="str">
            <v>所有者权益_本期其他增减变动</v>
          </cell>
          <cell r="D158">
            <v>-1</v>
          </cell>
          <cell r="E158" t="str">
            <v>＝</v>
          </cell>
          <cell r="G158" t="str">
            <v>（七）其他</v>
          </cell>
          <cell r="I158">
            <v>8096</v>
          </cell>
          <cell r="M158" t="str">
            <v>其他归属于母公司权益_所有者其他投入和减少资本</v>
          </cell>
          <cell r="S158" t="str">
            <v>6111d</v>
          </cell>
          <cell r="T158" t="str">
            <v>投资收益汇回的重大限制</v>
          </cell>
          <cell r="U158" t="str">
            <v>项       目</v>
          </cell>
          <cell r="V158">
            <v>1</v>
          </cell>
          <cell r="W158">
            <v>6111</v>
          </cell>
          <cell r="X158">
            <v>2</v>
          </cell>
        </row>
        <row r="159">
          <cell r="B159">
            <v>8099</v>
          </cell>
          <cell r="C159" t="str">
            <v>所有者权益_本期期末余额</v>
          </cell>
          <cell r="E159" t="str">
            <v>＝</v>
          </cell>
          <cell r="G159" t="str">
            <v>四、本期期末余额</v>
          </cell>
          <cell r="I159">
            <v>8099</v>
          </cell>
          <cell r="M159" t="str">
            <v>其他归属于母公司权益_提取盈余公积</v>
          </cell>
          <cell r="S159" t="str">
            <v>6671a</v>
          </cell>
          <cell r="T159" t="str">
            <v>资产减值损失明细项目</v>
          </cell>
          <cell r="U159" t="str">
            <v>项       目</v>
          </cell>
          <cell r="V159">
            <v>1</v>
          </cell>
          <cell r="W159">
            <v>6671</v>
          </cell>
          <cell r="X159">
            <v>1</v>
          </cell>
        </row>
        <row r="160">
          <cell r="B160">
            <v>8100</v>
          </cell>
          <cell r="C160" t="str">
            <v>实收资本增减变动</v>
          </cell>
          <cell r="E160" t="str">
            <v>：</v>
          </cell>
          <cell r="G160" t="str">
            <v>实收资本(或股本)增减变动</v>
          </cell>
          <cell r="I160">
            <v>8100</v>
          </cell>
          <cell r="M160" t="str">
            <v>其他归属于母公司权益_提取一般风险准备</v>
          </cell>
          <cell r="S160" t="str">
            <v>6710a</v>
          </cell>
          <cell r="T160" t="str">
            <v>营业外收入明细项目</v>
          </cell>
          <cell r="U160" t="str">
            <v>项       目</v>
          </cell>
          <cell r="V160">
            <v>1</v>
          </cell>
          <cell r="W160">
            <v>6710</v>
          </cell>
          <cell r="X160">
            <v>1</v>
          </cell>
        </row>
        <row r="161">
          <cell r="B161">
            <v>8101</v>
          </cell>
          <cell r="C161" t="str">
            <v>实收资本_上年年末余额</v>
          </cell>
          <cell r="D161">
            <v>-1</v>
          </cell>
          <cell r="G161" t="str">
            <v>一、上年年末余额</v>
          </cell>
          <cell r="I161">
            <v>8101</v>
          </cell>
          <cell r="J161" t="str">
            <v>J</v>
          </cell>
          <cell r="M161" t="str">
            <v>其他归属于母公司权益_对所有者的分配</v>
          </cell>
          <cell r="S161" t="str">
            <v>6710b</v>
          </cell>
          <cell r="T161" t="str">
            <v>政府补助明细列示</v>
          </cell>
          <cell r="U161" t="str">
            <v>项       目</v>
          </cell>
          <cell r="V161">
            <v>1</v>
          </cell>
          <cell r="W161">
            <v>6710</v>
          </cell>
          <cell r="X161">
            <v>2</v>
          </cell>
        </row>
        <row r="162">
          <cell r="B162">
            <v>8102</v>
          </cell>
          <cell r="C162" t="str">
            <v>实收资本_会计政策变更调整上年年末余额</v>
          </cell>
          <cell r="D162">
            <v>-1</v>
          </cell>
          <cell r="E162" t="str">
            <v>LOW</v>
          </cell>
          <cell r="G162" t="str">
            <v>加：会计政策变更</v>
          </cell>
          <cell r="I162">
            <v>8102</v>
          </cell>
          <cell r="J162" t="str">
            <v>J</v>
          </cell>
          <cell r="M162" t="str">
            <v>其他归属于母公司权益_其他利润分配</v>
          </cell>
          <cell r="S162" t="str">
            <v>6711a</v>
          </cell>
          <cell r="T162" t="str">
            <v>营业外支出明细项目</v>
          </cell>
          <cell r="U162" t="str">
            <v>项       目</v>
          </cell>
          <cell r="V162">
            <v>1</v>
          </cell>
          <cell r="W162">
            <v>6711</v>
          </cell>
          <cell r="X162">
            <v>1</v>
          </cell>
        </row>
        <row r="163">
          <cell r="B163">
            <v>8103</v>
          </cell>
          <cell r="C163" t="str">
            <v>实收资本_前期差错更正调整上年年末余额</v>
          </cell>
          <cell r="D163">
            <v>-1</v>
          </cell>
          <cell r="G163" t="str">
            <v>前期差错更正</v>
          </cell>
          <cell r="I163">
            <v>8103</v>
          </cell>
          <cell r="J163" t="str">
            <v>J</v>
          </cell>
          <cell r="M163" t="str">
            <v>其他归属于母公司权益_资本公积转增资本</v>
          </cell>
          <cell r="S163" t="str">
            <v>6791a</v>
          </cell>
          <cell r="T163" t="str">
            <v>所得税费用（收益）的组成</v>
          </cell>
          <cell r="U163" t="str">
            <v>项       目</v>
          </cell>
          <cell r="V163">
            <v>1</v>
          </cell>
          <cell r="W163">
            <v>6791</v>
          </cell>
          <cell r="X163">
            <v>1</v>
          </cell>
        </row>
        <row r="164">
          <cell r="B164">
            <v>8109</v>
          </cell>
          <cell r="C164" t="str">
            <v>实收资本_其他原因调整上年年末余额</v>
          </cell>
          <cell r="D164">
            <v>-1</v>
          </cell>
          <cell r="E164" t="str">
            <v>LOW</v>
          </cell>
          <cell r="G164" t="str">
            <v>其他</v>
          </cell>
          <cell r="I164">
            <v>8109</v>
          </cell>
          <cell r="J164" t="str">
            <v>J</v>
          </cell>
          <cell r="M164" t="str">
            <v>其他归属于母公司权益_盈余公积转增资本</v>
          </cell>
          <cell r="S164" t="str">
            <v>6791b</v>
          </cell>
          <cell r="T164" t="str">
            <v>所得税费用（收益）与会计利润的关系</v>
          </cell>
          <cell r="U164" t="str">
            <v>项       目</v>
          </cell>
          <cell r="V164">
            <v>1</v>
          </cell>
          <cell r="W164">
            <v>6791</v>
          </cell>
          <cell r="X164">
            <v>2</v>
          </cell>
        </row>
        <row r="165">
          <cell r="B165">
            <v>8110</v>
          </cell>
          <cell r="C165" t="str">
            <v>实收资本_本年年初余额</v>
          </cell>
          <cell r="E165" t="str">
            <v>＝</v>
          </cell>
          <cell r="G165" t="str">
            <v>二、本年年初余额</v>
          </cell>
          <cell r="I165">
            <v>8110</v>
          </cell>
          <cell r="M165" t="str">
            <v>其他归属于母公司权益_盈余公积弥补亏损</v>
          </cell>
          <cell r="S165" t="str">
            <v>6829a</v>
          </cell>
          <cell r="T165" t="str">
            <v>其他综合收益明细项目</v>
          </cell>
          <cell r="U165" t="str">
            <v>项       目</v>
          </cell>
          <cell r="V165">
            <v>1</v>
          </cell>
          <cell r="W165">
            <v>6829</v>
          </cell>
          <cell r="X165">
            <v>1</v>
          </cell>
        </row>
        <row r="166">
          <cell r="B166">
            <v>8190</v>
          </cell>
          <cell r="C166" t="str">
            <v>实收资本_本期增减变动金额</v>
          </cell>
          <cell r="E166" t="str">
            <v>＝</v>
          </cell>
          <cell r="G166" t="str">
            <v>三、本期增减变动金额（减少以“-”号填列）</v>
          </cell>
          <cell r="I166">
            <v>8190</v>
          </cell>
          <cell r="M166" t="str">
            <v>其他归属于母公司权益_所有者权益其他内部结转</v>
          </cell>
          <cell r="S166" t="str">
            <v>7046a</v>
          </cell>
          <cell r="T166" t="str">
            <v>收到的其他与经营活动有关的现金</v>
          </cell>
          <cell r="U166" t="str">
            <v>项       目</v>
          </cell>
          <cell r="V166">
            <v>1</v>
          </cell>
          <cell r="W166">
            <v>7046</v>
          </cell>
          <cell r="X166">
            <v>1</v>
          </cell>
        </row>
        <row r="167">
          <cell r="B167">
            <v>8150</v>
          </cell>
          <cell r="C167" t="str">
            <v>实收资本_所有者投入和减少资本影响权益</v>
          </cell>
          <cell r="E167" t="str">
            <v>＝</v>
          </cell>
          <cell r="G167" t="str">
            <v>（三）所有者投入和减少资本</v>
          </cell>
          <cell r="I167">
            <v>8150</v>
          </cell>
          <cell r="M167" t="str">
            <v>其他归属于母公司权益_专项储备本期提取</v>
          </cell>
          <cell r="S167" t="str">
            <v>7096a</v>
          </cell>
          <cell r="T167" t="str">
            <v>支付的其他与经营活动有关的现金</v>
          </cell>
          <cell r="U167" t="str">
            <v>项       目</v>
          </cell>
          <cell r="V167">
            <v>1</v>
          </cell>
          <cell r="W167">
            <v>7096</v>
          </cell>
          <cell r="X167">
            <v>1</v>
          </cell>
        </row>
        <row r="168">
          <cell r="B168">
            <v>8151</v>
          </cell>
          <cell r="C168" t="str">
            <v>实收资本_所有者投入资本</v>
          </cell>
          <cell r="D168">
            <v>-1</v>
          </cell>
          <cell r="G168" t="str">
            <v>1．所有者投入资本</v>
          </cell>
          <cell r="I168">
            <v>8151</v>
          </cell>
          <cell r="J168" t="str">
            <v>J</v>
          </cell>
          <cell r="M168" t="str">
            <v>其他归属于母公司权益_专项储备本期使用</v>
          </cell>
          <cell r="S168" t="str">
            <v>7146a</v>
          </cell>
          <cell r="T168" t="str">
            <v>收到的其他与投资活动有关的现金</v>
          </cell>
          <cell r="U168" t="str">
            <v>项       目</v>
          </cell>
          <cell r="V168">
            <v>1</v>
          </cell>
          <cell r="W168">
            <v>7146</v>
          </cell>
          <cell r="X168">
            <v>1</v>
          </cell>
        </row>
        <row r="169">
          <cell r="B169">
            <v>8156</v>
          </cell>
          <cell r="C169" t="str">
            <v>实收资本_所有者其他投入和减少资本</v>
          </cell>
          <cell r="D169">
            <v>-1</v>
          </cell>
          <cell r="E169" t="str">
            <v>LOW</v>
          </cell>
          <cell r="G169" t="str">
            <v>3．其他</v>
          </cell>
          <cell r="I169">
            <v>8156</v>
          </cell>
          <cell r="J169" t="str">
            <v>J</v>
          </cell>
          <cell r="M169" t="str">
            <v>其他归属于母公司权益_本期其他增减变动</v>
          </cell>
          <cell r="S169" t="str">
            <v>7196a</v>
          </cell>
          <cell r="T169" t="str">
            <v>支付的其他与投资活动有关的现金</v>
          </cell>
          <cell r="U169" t="str">
            <v>项       目</v>
          </cell>
          <cell r="V169">
            <v>1</v>
          </cell>
          <cell r="W169">
            <v>7196</v>
          </cell>
          <cell r="X169">
            <v>1</v>
          </cell>
        </row>
        <row r="170">
          <cell r="B170">
            <v>8170</v>
          </cell>
          <cell r="C170" t="str">
            <v>实收资本_所有者权益内部结转</v>
          </cell>
          <cell r="E170" t="str">
            <v>＝</v>
          </cell>
          <cell r="G170" t="str">
            <v>（五）所有者权益内部结转</v>
          </cell>
          <cell r="I170">
            <v>8170</v>
          </cell>
          <cell r="M170" t="str">
            <v>少数股东权益_上年年末余额</v>
          </cell>
          <cell r="S170" t="str">
            <v>7246a</v>
          </cell>
          <cell r="T170" t="str">
            <v>收到的其他与筹资活动有关的现金</v>
          </cell>
          <cell r="U170" t="str">
            <v>项       目</v>
          </cell>
          <cell r="V170">
            <v>1</v>
          </cell>
          <cell r="W170">
            <v>7246</v>
          </cell>
          <cell r="X170">
            <v>1</v>
          </cell>
        </row>
        <row r="171">
          <cell r="B171">
            <v>8171</v>
          </cell>
          <cell r="C171" t="str">
            <v>实收资本_资本公积转增</v>
          </cell>
          <cell r="D171">
            <v>-1</v>
          </cell>
          <cell r="G171" t="str">
            <v>1．资本公积转增资本（或股本）</v>
          </cell>
          <cell r="I171">
            <v>8171</v>
          </cell>
          <cell r="J171" t="str">
            <v>J</v>
          </cell>
          <cell r="M171" t="str">
            <v>少数股东权益_会计政策变更调整上年年末余额</v>
          </cell>
          <cell r="S171" t="str">
            <v>7296a</v>
          </cell>
          <cell r="T171" t="str">
            <v>支付的其他与筹资活动有关的现金</v>
          </cell>
          <cell r="U171" t="str">
            <v>项       目</v>
          </cell>
          <cell r="V171">
            <v>1</v>
          </cell>
          <cell r="W171">
            <v>7296</v>
          </cell>
          <cell r="X171">
            <v>1</v>
          </cell>
        </row>
        <row r="172">
          <cell r="B172">
            <v>8172</v>
          </cell>
          <cell r="C172" t="str">
            <v>实收资本_盈余公积转增</v>
          </cell>
          <cell r="D172">
            <v>-1</v>
          </cell>
          <cell r="G172" t="str">
            <v>2．盈余公积转增资本（或股本）</v>
          </cell>
          <cell r="I172">
            <v>8172</v>
          </cell>
          <cell r="J172" t="str">
            <v>J</v>
          </cell>
          <cell r="M172" t="str">
            <v>少数股东权益_前期差错更正调整上年年末余额</v>
          </cell>
          <cell r="S172" t="str">
            <v>7500a</v>
          </cell>
          <cell r="T172" t="str">
            <v>将净利润调节为经营活动现金流量</v>
          </cell>
          <cell r="U172" t="str">
            <v>补充资料</v>
          </cell>
          <cell r="V172">
            <v>-2</v>
          </cell>
          <cell r="X172">
            <v>2</v>
          </cell>
        </row>
        <row r="173">
          <cell r="B173">
            <v>8176</v>
          </cell>
          <cell r="C173" t="str">
            <v>实收资本_所有者权益其他内部结转</v>
          </cell>
          <cell r="D173">
            <v>-1</v>
          </cell>
          <cell r="E173" t="str">
            <v>LOW</v>
          </cell>
          <cell r="G173" t="str">
            <v>4．其他</v>
          </cell>
          <cell r="I173">
            <v>8176</v>
          </cell>
          <cell r="J173" t="str">
            <v>J</v>
          </cell>
          <cell r="M173" t="str">
            <v>少数股东权益_其他原因调整上年年末余额</v>
          </cell>
          <cell r="S173" t="str">
            <v>7500b</v>
          </cell>
          <cell r="T173" t="str">
            <v>不涉及现金收支的重大投资和筹资活动</v>
          </cell>
          <cell r="U173" t="str">
            <v>补充资料</v>
          </cell>
          <cell r="V173">
            <v>-2</v>
          </cell>
          <cell r="X173">
            <v>2</v>
          </cell>
        </row>
        <row r="174">
          <cell r="B174">
            <v>8196</v>
          </cell>
          <cell r="C174" t="str">
            <v>实收资本_本期其他增减变动</v>
          </cell>
          <cell r="D174">
            <v>-1</v>
          </cell>
          <cell r="E174" t="str">
            <v>LOW</v>
          </cell>
          <cell r="G174" t="str">
            <v>（七）其他</v>
          </cell>
          <cell r="I174">
            <v>8196</v>
          </cell>
          <cell r="J174" t="str">
            <v>J</v>
          </cell>
          <cell r="M174" t="str">
            <v>少数股东权益_净利润</v>
          </cell>
          <cell r="S174" t="str">
            <v>7500c</v>
          </cell>
          <cell r="T174" t="str">
            <v>现金及现金等价物净变动情况</v>
          </cell>
          <cell r="U174" t="str">
            <v>补充资料</v>
          </cell>
          <cell r="V174">
            <v>-2</v>
          </cell>
          <cell r="X174">
            <v>2</v>
          </cell>
        </row>
        <row r="175">
          <cell r="B175">
            <v>8199</v>
          </cell>
          <cell r="C175" t="str">
            <v>实收资本_本期期末余额</v>
          </cell>
          <cell r="E175" t="str">
            <v>＝</v>
          </cell>
          <cell r="G175" t="str">
            <v>四、本期期末余额</v>
          </cell>
          <cell r="I175">
            <v>8199</v>
          </cell>
          <cell r="M175" t="str">
            <v>少数股东权益_其他综合收益</v>
          </cell>
          <cell r="S175" t="str">
            <v>7500d</v>
          </cell>
          <cell r="T175" t="str">
            <v>本年取得或处置子公司及其他营业单位的有关信息</v>
          </cell>
          <cell r="U175" t="str">
            <v>项       目</v>
          </cell>
          <cell r="V175">
            <v>-2</v>
          </cell>
          <cell r="X175">
            <v>2</v>
          </cell>
        </row>
        <row r="176">
          <cell r="B176">
            <v>8200</v>
          </cell>
          <cell r="C176" t="str">
            <v>资本公积增减变动</v>
          </cell>
          <cell r="E176" t="str">
            <v>：</v>
          </cell>
          <cell r="G176" t="str">
            <v>资本公积增减变动</v>
          </cell>
          <cell r="I176">
            <v>8200</v>
          </cell>
          <cell r="M176" t="str">
            <v>少数股东权益_所有者投入资本</v>
          </cell>
          <cell r="S176" t="str">
            <v>7500e</v>
          </cell>
          <cell r="T176" t="str">
            <v>现金和现金等价物</v>
          </cell>
          <cell r="U176" t="str">
            <v>项       目</v>
          </cell>
          <cell r="V176">
            <v>-2</v>
          </cell>
          <cell r="X176">
            <v>2</v>
          </cell>
        </row>
        <row r="177">
          <cell r="B177">
            <v>8201</v>
          </cell>
          <cell r="C177" t="str">
            <v>资本公积_上年年末余额</v>
          </cell>
          <cell r="D177">
            <v>-1</v>
          </cell>
          <cell r="G177" t="str">
            <v>一、上年年末余额</v>
          </cell>
          <cell r="I177">
            <v>8201</v>
          </cell>
          <cell r="J177" t="str">
            <v>J</v>
          </cell>
          <cell r="M177" t="str">
            <v>少数股东权益_股份支付</v>
          </cell>
          <cell r="S177" t="str">
            <v>9601a</v>
          </cell>
          <cell r="T177" t="str">
            <v>当期非经常性损益明细表</v>
          </cell>
          <cell r="U177" t="str">
            <v>项       目</v>
          </cell>
          <cell r="V177">
            <v>-2</v>
          </cell>
          <cell r="X177">
            <v>2</v>
          </cell>
        </row>
        <row r="178">
          <cell r="B178">
            <v>8202</v>
          </cell>
          <cell r="C178" t="str">
            <v>资本公积_会计政策变更调整上年年末余额</v>
          </cell>
          <cell r="D178">
            <v>-1</v>
          </cell>
          <cell r="G178" t="str">
            <v>加：会计政策变更</v>
          </cell>
          <cell r="I178">
            <v>8202</v>
          </cell>
          <cell r="J178" t="str">
            <v>J</v>
          </cell>
          <cell r="M178" t="str">
            <v>少数股东权益_所有者其他投入和减少资本</v>
          </cell>
          <cell r="S178" t="str">
            <v>9601b</v>
          </cell>
          <cell r="T178" t="str">
            <v>其他符合非经常性损益定义的损益项目</v>
          </cell>
          <cell r="U178" t="str">
            <v>项       目</v>
          </cell>
          <cell r="V178">
            <v>-2</v>
          </cell>
          <cell r="X178">
            <v>2</v>
          </cell>
        </row>
        <row r="179">
          <cell r="B179">
            <v>8203</v>
          </cell>
          <cell r="C179" t="str">
            <v>资本公积_前期差错更正调整上年年末余额</v>
          </cell>
          <cell r="D179">
            <v>-1</v>
          </cell>
          <cell r="G179" t="str">
            <v>前期差错更正</v>
          </cell>
          <cell r="I179">
            <v>8203</v>
          </cell>
          <cell r="J179" t="str">
            <v>J</v>
          </cell>
          <cell r="M179" t="str">
            <v>少数股东权益_对所有者的分配</v>
          </cell>
          <cell r="S179" t="str">
            <v>7503a</v>
          </cell>
          <cell r="T179" t="str">
            <v>将净利润调节为经营活动现金流量：资产减值准备金额</v>
          </cell>
          <cell r="U179" t="str">
            <v>项       目</v>
          </cell>
          <cell r="V179">
            <v>1</v>
          </cell>
          <cell r="X179">
            <v>9</v>
          </cell>
        </row>
        <row r="180">
          <cell r="B180">
            <v>8209</v>
          </cell>
          <cell r="C180" t="str">
            <v>资本公积_其他原因调整上年年末余额</v>
          </cell>
          <cell r="D180">
            <v>-1</v>
          </cell>
          <cell r="G180" t="str">
            <v>其他</v>
          </cell>
          <cell r="I180">
            <v>8209</v>
          </cell>
          <cell r="J180" t="str">
            <v>J</v>
          </cell>
          <cell r="M180" t="str">
            <v>少数股东权益_其他利润分配</v>
          </cell>
          <cell r="S180" t="str">
            <v>7505a</v>
          </cell>
          <cell r="T180" t="str">
            <v>将净利润调节为经营活动现金流量：固定资产折旧、油气资产折耗、生产性生物资产折旧</v>
          </cell>
          <cell r="U180" t="str">
            <v>项       目</v>
          </cell>
          <cell r="V180">
            <v>1</v>
          </cell>
          <cell r="X180">
            <v>9</v>
          </cell>
        </row>
        <row r="181">
          <cell r="B181">
            <v>8210</v>
          </cell>
          <cell r="C181" t="str">
            <v>资本公积_本年年初余额</v>
          </cell>
          <cell r="E181" t="str">
            <v>＝</v>
          </cell>
          <cell r="G181" t="str">
            <v>二、本年年初余额</v>
          </cell>
          <cell r="I181">
            <v>8210</v>
          </cell>
          <cell r="M181" t="str">
            <v>少数股东权益_专项储备本期提取</v>
          </cell>
          <cell r="S181" t="str">
            <v>7506a</v>
          </cell>
          <cell r="T181" t="str">
            <v>将净利润调节为经营活动现金流量：无形资产摊销</v>
          </cell>
          <cell r="U181" t="str">
            <v>项       目</v>
          </cell>
          <cell r="V181">
            <v>1</v>
          </cell>
          <cell r="X181">
            <v>9</v>
          </cell>
        </row>
        <row r="182">
          <cell r="B182">
            <v>8290</v>
          </cell>
          <cell r="C182" t="str">
            <v>资本公积_本期增减变动金额</v>
          </cell>
          <cell r="E182" t="str">
            <v>＝</v>
          </cell>
          <cell r="G182" t="str">
            <v>三、本期增减变动金额（减少以“-”号填列）</v>
          </cell>
          <cell r="I182">
            <v>8290</v>
          </cell>
          <cell r="M182" t="str">
            <v>少数股东权益_专项储备本期使用</v>
          </cell>
          <cell r="S182" t="str">
            <v>7507a</v>
          </cell>
          <cell r="T182" t="str">
            <v>将净利润调节为经营活动现金流量：长期待摊费用摊销</v>
          </cell>
          <cell r="U182" t="str">
            <v>项       目</v>
          </cell>
          <cell r="V182">
            <v>1</v>
          </cell>
          <cell r="X182">
            <v>9</v>
          </cell>
        </row>
        <row r="183">
          <cell r="B183">
            <v>8230</v>
          </cell>
          <cell r="C183" t="str">
            <v>资本公积_其他综合收益</v>
          </cell>
          <cell r="D183">
            <v>-1</v>
          </cell>
          <cell r="G183" t="str">
            <v>（二）其他综合收益</v>
          </cell>
          <cell r="I183">
            <v>8230</v>
          </cell>
          <cell r="J183" t="str">
            <v>J</v>
          </cell>
          <cell r="M183" t="str">
            <v>少数股东权益_本期其他增减变动</v>
          </cell>
          <cell r="S183" t="str">
            <v>7508a</v>
          </cell>
          <cell r="T183" t="str">
            <v>将净利润调节为经营活动现金流量：处置固定资产、无形资产和其他长期资产的损失</v>
          </cell>
          <cell r="U183" t="str">
            <v>项       目</v>
          </cell>
          <cell r="V183">
            <v>1</v>
          </cell>
          <cell r="X183">
            <v>9</v>
          </cell>
        </row>
        <row r="184">
          <cell r="B184">
            <v>8240</v>
          </cell>
          <cell r="C184" t="str">
            <v>资本公积_净利润与其他综合收益增加权益</v>
          </cell>
          <cell r="E184" t="str">
            <v>＝</v>
          </cell>
          <cell r="G184" t="str">
            <v>上述（一）和（二）小计</v>
          </cell>
          <cell r="I184">
            <v>8240</v>
          </cell>
          <cell r="M184" t="str">
            <v>结算备付金</v>
          </cell>
          <cell r="S184" t="str">
            <v>7509a</v>
          </cell>
          <cell r="T184" t="str">
            <v>将净利润调节为经营活动现金流量：固定资产报废损失</v>
          </cell>
          <cell r="U184" t="str">
            <v>项       目</v>
          </cell>
          <cell r="V184">
            <v>1</v>
          </cell>
          <cell r="X184">
            <v>9</v>
          </cell>
        </row>
        <row r="185">
          <cell r="B185">
            <v>8250</v>
          </cell>
          <cell r="C185" t="str">
            <v>资本公积_所有者投入和减少资本影响权益</v>
          </cell>
          <cell r="E185" t="str">
            <v>＝</v>
          </cell>
          <cell r="G185" t="str">
            <v>（三）所有者投入和减少资本</v>
          </cell>
          <cell r="I185">
            <v>8250</v>
          </cell>
          <cell r="M185" t="str">
            <v>拆出资金</v>
          </cell>
          <cell r="S185" t="str">
            <v>7510a</v>
          </cell>
          <cell r="T185" t="str">
            <v>将净利润调节为经营活动现金流量：公允价值变动损失</v>
          </cell>
          <cell r="U185" t="str">
            <v>项       目</v>
          </cell>
          <cell r="V185">
            <v>1</v>
          </cell>
          <cell r="X185">
            <v>9</v>
          </cell>
        </row>
        <row r="186">
          <cell r="B186">
            <v>8251</v>
          </cell>
          <cell r="C186" t="str">
            <v>资本公积_所有者投入资本</v>
          </cell>
          <cell r="D186">
            <v>-1</v>
          </cell>
          <cell r="G186" t="str">
            <v>1．所有者投入资本</v>
          </cell>
          <cell r="I186">
            <v>8251</v>
          </cell>
          <cell r="J186" t="str">
            <v>J</v>
          </cell>
          <cell r="M186" t="str">
            <v>应收保费</v>
          </cell>
          <cell r="S186" t="str">
            <v>7511a</v>
          </cell>
          <cell r="T186" t="str">
            <v>将净利润调节为经营活动现金流量：财务费用金额</v>
          </cell>
          <cell r="U186" t="str">
            <v>项       目</v>
          </cell>
          <cell r="V186">
            <v>1</v>
          </cell>
          <cell r="X186">
            <v>9</v>
          </cell>
        </row>
        <row r="187">
          <cell r="B187">
            <v>8252</v>
          </cell>
          <cell r="C187" t="str">
            <v>资本公积_股份支付</v>
          </cell>
          <cell r="D187">
            <v>-1</v>
          </cell>
          <cell r="G187" t="str">
            <v>2．股份支付计入所有者权益的金额</v>
          </cell>
          <cell r="I187">
            <v>8252</v>
          </cell>
          <cell r="J187" t="str">
            <v>J</v>
          </cell>
          <cell r="M187" t="str">
            <v>应收分保账款</v>
          </cell>
          <cell r="S187" t="str">
            <v>7512a</v>
          </cell>
          <cell r="T187" t="str">
            <v>将净利润调节为经营活动现金流量：投资损失</v>
          </cell>
          <cell r="U187" t="str">
            <v>项       目</v>
          </cell>
          <cell r="V187">
            <v>1</v>
          </cell>
          <cell r="X187">
            <v>9</v>
          </cell>
        </row>
        <row r="188">
          <cell r="B188">
            <v>8256</v>
          </cell>
          <cell r="C188" t="str">
            <v>资本公积_所有者其他投入和减少资本</v>
          </cell>
          <cell r="D188">
            <v>-1</v>
          </cell>
          <cell r="G188" t="str">
            <v>3．其他</v>
          </cell>
          <cell r="I188">
            <v>8256</v>
          </cell>
          <cell r="J188" t="str">
            <v>J</v>
          </cell>
          <cell r="M188" t="str">
            <v>应收分保合同准备金</v>
          </cell>
          <cell r="S188" t="str">
            <v>7515a</v>
          </cell>
          <cell r="T188" t="str">
            <v>将净利润调节为经营活动现金流量：递延所得税资产减少</v>
          </cell>
          <cell r="U188" t="str">
            <v>项       目</v>
          </cell>
          <cell r="V188">
            <v>1</v>
          </cell>
          <cell r="X188">
            <v>9</v>
          </cell>
        </row>
        <row r="189">
          <cell r="B189">
            <v>8260</v>
          </cell>
          <cell r="C189" t="str">
            <v>资本公积_利润分配影响权益</v>
          </cell>
          <cell r="E189" t="str">
            <v>＝</v>
          </cell>
          <cell r="G189" t="str">
            <v>（四）利润分配</v>
          </cell>
          <cell r="I189">
            <v>8260</v>
          </cell>
          <cell r="M189" t="str">
            <v>买入返售金融资产</v>
          </cell>
          <cell r="S189" t="str">
            <v>7516a</v>
          </cell>
          <cell r="T189" t="str">
            <v>将净利润调节为经营活动现金流量：递延所得税负债增加</v>
          </cell>
          <cell r="U189" t="str">
            <v>项       目</v>
          </cell>
          <cell r="V189">
            <v>1</v>
          </cell>
          <cell r="X189">
            <v>9</v>
          </cell>
        </row>
        <row r="190">
          <cell r="B190">
            <v>8266</v>
          </cell>
          <cell r="C190" t="str">
            <v>资本公积_其他利润分配</v>
          </cell>
          <cell r="D190">
            <v>-1</v>
          </cell>
          <cell r="G190" t="str">
            <v>4．其他</v>
          </cell>
          <cell r="I190">
            <v>8266</v>
          </cell>
          <cell r="J190" t="str">
            <v>J</v>
          </cell>
          <cell r="M190" t="str">
            <v>发放委托贷款及垫款</v>
          </cell>
          <cell r="S190" t="str">
            <v>7517a</v>
          </cell>
          <cell r="T190" t="str">
            <v>将净利润调节为经营活动现金流量：存货的减少</v>
          </cell>
          <cell r="U190" t="str">
            <v>项       目</v>
          </cell>
          <cell r="V190">
            <v>1</v>
          </cell>
          <cell r="X190">
            <v>9</v>
          </cell>
        </row>
        <row r="191">
          <cell r="B191">
            <v>8270</v>
          </cell>
          <cell r="C191" t="str">
            <v>资本公积_所有者权益内部结转</v>
          </cell>
          <cell r="E191" t="str">
            <v>＝</v>
          </cell>
          <cell r="G191" t="str">
            <v>（五）所有者权益内部结转</v>
          </cell>
          <cell r="I191">
            <v>8270</v>
          </cell>
          <cell r="M191" t="str">
            <v>向中央银行借款</v>
          </cell>
          <cell r="S191" t="str">
            <v>7518a</v>
          </cell>
          <cell r="T191" t="str">
            <v>将净利润调节为经营活动现金流量：经营性应收项目的减少</v>
          </cell>
          <cell r="U191" t="str">
            <v>项       目</v>
          </cell>
          <cell r="V191">
            <v>1</v>
          </cell>
          <cell r="X191">
            <v>9</v>
          </cell>
        </row>
        <row r="192">
          <cell r="B192">
            <v>8271</v>
          </cell>
          <cell r="C192" t="str">
            <v>资本公积_转增资本</v>
          </cell>
          <cell r="D192">
            <v>-1</v>
          </cell>
          <cell r="G192" t="str">
            <v>1．资本公积转增资本（或股本）</v>
          </cell>
          <cell r="I192">
            <v>8271</v>
          </cell>
          <cell r="J192" t="str">
            <v>J</v>
          </cell>
          <cell r="M192" t="str">
            <v>吸收存款及同业存放</v>
          </cell>
          <cell r="S192" t="str">
            <v>7519a</v>
          </cell>
          <cell r="T192" t="str">
            <v>将净利润调节为经营活动现金流量：经营性应付项目的增加</v>
          </cell>
          <cell r="U192" t="str">
            <v>项       目</v>
          </cell>
          <cell r="V192">
            <v>1</v>
          </cell>
          <cell r="X192">
            <v>9</v>
          </cell>
        </row>
        <row r="193">
          <cell r="B193">
            <v>8276</v>
          </cell>
          <cell r="C193" t="str">
            <v>资本公积_所有者权益其他内部结转</v>
          </cell>
          <cell r="D193">
            <v>-1</v>
          </cell>
          <cell r="E193" t="str">
            <v>LOW</v>
          </cell>
          <cell r="G193" t="str">
            <v>4．其他</v>
          </cell>
          <cell r="I193">
            <v>8276</v>
          </cell>
          <cell r="J193" t="str">
            <v>J</v>
          </cell>
          <cell r="M193" t="str">
            <v>拆入资金</v>
          </cell>
          <cell r="S193" t="str">
            <v>7523a</v>
          </cell>
          <cell r="T193" t="str">
            <v>将净利润调节为经营活动现金流量：其他项目</v>
          </cell>
          <cell r="U193" t="str">
            <v>项       目</v>
          </cell>
          <cell r="V193">
            <v>1</v>
          </cell>
          <cell r="X193">
            <v>9</v>
          </cell>
        </row>
        <row r="194">
          <cell r="B194">
            <v>8296</v>
          </cell>
          <cell r="C194" t="str">
            <v>资本公积_本期其他增减变动</v>
          </cell>
          <cell r="D194">
            <v>-1</v>
          </cell>
          <cell r="G194" t="str">
            <v>（七）其他</v>
          </cell>
          <cell r="I194">
            <v>8296</v>
          </cell>
          <cell r="J194" t="str">
            <v>J</v>
          </cell>
          <cell r="M194" t="str">
            <v>卖出回购金融资产款</v>
          </cell>
          <cell r="S194" t="str">
            <v>1400s</v>
          </cell>
          <cell r="T194" t="str">
            <v>期末用于债务担保的存货</v>
          </cell>
          <cell r="U194" t="str">
            <v>项       目</v>
          </cell>
          <cell r="V194">
            <v>1</v>
          </cell>
          <cell r="W194">
            <v>1400</v>
          </cell>
          <cell r="X194">
            <v>2</v>
          </cell>
        </row>
        <row r="195">
          <cell r="B195">
            <v>8299</v>
          </cell>
          <cell r="C195" t="str">
            <v>资本公积_本期期末余额</v>
          </cell>
          <cell r="E195" t="str">
            <v>＝</v>
          </cell>
          <cell r="G195" t="str">
            <v>四、本期期末余额</v>
          </cell>
          <cell r="I195">
            <v>8299</v>
          </cell>
          <cell r="M195" t="str">
            <v>应付手续费及佣金</v>
          </cell>
          <cell r="S195" t="str">
            <v>1400t</v>
          </cell>
          <cell r="T195" t="str">
            <v>期末存货中利息资本化情况</v>
          </cell>
          <cell r="U195" t="str">
            <v>项       目</v>
          </cell>
          <cell r="V195">
            <v>1</v>
          </cell>
          <cell r="W195">
            <v>1400</v>
          </cell>
          <cell r="X195">
            <v>2</v>
          </cell>
        </row>
        <row r="196">
          <cell r="B196">
            <v>8300</v>
          </cell>
          <cell r="C196" t="str">
            <v>库存股增减变动</v>
          </cell>
          <cell r="E196" t="str">
            <v>：</v>
          </cell>
          <cell r="G196" t="str">
            <v>减：库存股增减变动</v>
          </cell>
          <cell r="I196">
            <v>8300</v>
          </cell>
          <cell r="M196" t="str">
            <v>应付分保账款</v>
          </cell>
          <cell r="S196" t="str">
            <v>1521s</v>
          </cell>
          <cell r="T196" t="str">
            <v>投资性房地产抵押情况</v>
          </cell>
          <cell r="U196" t="str">
            <v>抵押资产明细项目</v>
          </cell>
          <cell r="V196">
            <v>1</v>
          </cell>
          <cell r="W196">
            <v>1521</v>
          </cell>
          <cell r="X196">
            <v>2</v>
          </cell>
        </row>
        <row r="197">
          <cell r="B197">
            <v>8301</v>
          </cell>
          <cell r="C197" t="str">
            <v>库存股_上年年末余额</v>
          </cell>
          <cell r="D197">
            <v>1</v>
          </cell>
          <cell r="G197" t="str">
            <v>一、上年年末余额</v>
          </cell>
          <cell r="I197">
            <v>8301</v>
          </cell>
          <cell r="J197" t="str">
            <v>J</v>
          </cell>
          <cell r="M197" t="str">
            <v>保险合同准备金</v>
          </cell>
          <cell r="S197" t="str">
            <v>1601s</v>
          </cell>
          <cell r="T197" t="str">
            <v>固定资产抵押情况</v>
          </cell>
          <cell r="U197" t="str">
            <v>抵押资产明细项目</v>
          </cell>
          <cell r="V197">
            <v>1</v>
          </cell>
          <cell r="W197">
            <v>1601</v>
          </cell>
          <cell r="X197">
            <v>2</v>
          </cell>
        </row>
        <row r="198">
          <cell r="B198">
            <v>8302</v>
          </cell>
          <cell r="C198" t="str">
            <v>库存股_会计政策变更调整上年年末余额</v>
          </cell>
          <cell r="D198">
            <v>1</v>
          </cell>
          <cell r="G198" t="str">
            <v>加：会计政策变更</v>
          </cell>
          <cell r="I198">
            <v>8302</v>
          </cell>
          <cell r="J198" t="str">
            <v>J</v>
          </cell>
          <cell r="M198" t="str">
            <v>代理买卖证券款</v>
          </cell>
          <cell r="S198" t="str">
            <v>1705s</v>
          </cell>
          <cell r="T198" t="str">
            <v>无形资产未办妥产权的情况</v>
          </cell>
          <cell r="U198" t="str">
            <v>项       目</v>
          </cell>
          <cell r="V198">
            <v>1</v>
          </cell>
          <cell r="W198">
            <v>1701</v>
          </cell>
          <cell r="X198">
            <v>2</v>
          </cell>
        </row>
        <row r="199">
          <cell r="B199">
            <v>8303</v>
          </cell>
          <cell r="C199" t="str">
            <v>库存股_前期差错更正调整上年年末余额</v>
          </cell>
          <cell r="D199">
            <v>1</v>
          </cell>
          <cell r="G199" t="str">
            <v>前期差错更正</v>
          </cell>
          <cell r="I199">
            <v>8303</v>
          </cell>
          <cell r="J199" t="str">
            <v>J</v>
          </cell>
          <cell r="M199" t="str">
            <v>代理承销证券款</v>
          </cell>
          <cell r="S199" t="str">
            <v>1705t</v>
          </cell>
          <cell r="T199" t="str">
            <v>无形资产抵押情况</v>
          </cell>
          <cell r="U199" t="str">
            <v>抵押资产明细项目</v>
          </cell>
          <cell r="V199">
            <v>1</v>
          </cell>
          <cell r="W199">
            <v>1701</v>
          </cell>
          <cell r="X199">
            <v>2</v>
          </cell>
        </row>
        <row r="200">
          <cell r="B200">
            <v>8309</v>
          </cell>
          <cell r="C200" t="str">
            <v>库存股_其他原因调整上年年末余额</v>
          </cell>
          <cell r="D200">
            <v>1</v>
          </cell>
          <cell r="E200" t="str">
            <v>LOW</v>
          </cell>
          <cell r="G200" t="str">
            <v>其他</v>
          </cell>
          <cell r="I200">
            <v>8309</v>
          </cell>
          <cell r="J200" t="str">
            <v>J</v>
          </cell>
          <cell r="M200" t="str">
            <v>利息收入</v>
          </cell>
          <cell r="S200" t="str">
            <v>2996b</v>
          </cell>
          <cell r="T200" t="str">
            <v>其他非流动负债本年增减变动情况</v>
          </cell>
          <cell r="U200" t="str">
            <v>项       目</v>
          </cell>
          <cell r="V200">
            <v>1</v>
          </cell>
          <cell r="W200">
            <v>2996</v>
          </cell>
          <cell r="X200">
            <v>2</v>
          </cell>
        </row>
        <row r="201">
          <cell r="B201">
            <v>8310</v>
          </cell>
          <cell r="C201" t="str">
            <v>库存股_本年年初余额</v>
          </cell>
          <cell r="E201" t="str">
            <v>＝</v>
          </cell>
          <cell r="G201" t="str">
            <v>二、本年年初余额</v>
          </cell>
          <cell r="I201">
            <v>8310</v>
          </cell>
          <cell r="M201" t="str">
            <v>已赚保费</v>
          </cell>
          <cell r="S201" t="str">
            <v>1101b</v>
          </cell>
          <cell r="T201" t="str">
            <v>变现有限制的交易性金融资产</v>
          </cell>
          <cell r="U201" t="str">
            <v>项       目</v>
          </cell>
          <cell r="V201">
            <v>1</v>
          </cell>
          <cell r="W201">
            <v>1101</v>
          </cell>
          <cell r="X201">
            <v>2</v>
          </cell>
        </row>
        <row r="202">
          <cell r="B202">
            <v>8390</v>
          </cell>
          <cell r="C202" t="str">
            <v>库存股_本期增减变动金额</v>
          </cell>
          <cell r="E202" t="str">
            <v>＝</v>
          </cell>
          <cell r="G202" t="str">
            <v>三、本期增减变动金额（减少以“-”号填列）</v>
          </cell>
          <cell r="I202">
            <v>8390</v>
          </cell>
          <cell r="M202" t="str">
            <v>手续费及佣金收入</v>
          </cell>
          <cell r="S202" t="str">
            <v>1101c</v>
          </cell>
          <cell r="T202" t="str">
            <v>交易性金融资产明细项目（证券公司适用）</v>
          </cell>
          <cell r="U202" t="str">
            <v>项       目</v>
          </cell>
          <cell r="V202">
            <v>1</v>
          </cell>
          <cell r="W202">
            <v>1101</v>
          </cell>
          <cell r="X202">
            <v>2</v>
          </cell>
        </row>
        <row r="203">
          <cell r="B203">
            <v>8350</v>
          </cell>
          <cell r="C203" t="str">
            <v>库存股_所有者投入和减少资本影响权益</v>
          </cell>
          <cell r="E203" t="str">
            <v>＝</v>
          </cell>
          <cell r="G203" t="str">
            <v>（三）所有者投入和减少资本</v>
          </cell>
          <cell r="I203">
            <v>8350</v>
          </cell>
          <cell r="M203" t="str">
            <v>利息支出</v>
          </cell>
          <cell r="S203" t="str">
            <v>1122p</v>
          </cell>
          <cell r="T203" t="str">
            <v>期末单项金额虽不重大但单项计提坏账准备的应收账款</v>
          </cell>
          <cell r="U203" t="str">
            <v>应收账款内容</v>
          </cell>
          <cell r="V203">
            <v>1</v>
          </cell>
          <cell r="W203">
            <v>1122</v>
          </cell>
          <cell r="X203">
            <v>2</v>
          </cell>
        </row>
        <row r="204">
          <cell r="B204">
            <v>8351</v>
          </cell>
          <cell r="C204" t="str">
            <v>库存股_所有者投入资本</v>
          </cell>
          <cell r="D204">
            <v>1</v>
          </cell>
          <cell r="G204" t="str">
            <v>1．所有者投入资本</v>
          </cell>
          <cell r="I204">
            <v>8351</v>
          </cell>
          <cell r="J204" t="str">
            <v>J</v>
          </cell>
          <cell r="M204" t="str">
            <v>手续费及佣金支出</v>
          </cell>
          <cell r="S204" t="str">
            <v>1221q</v>
          </cell>
          <cell r="T204" t="str">
            <v>期末单项金额虽不重大但单项计提坏账准备的其他应收款</v>
          </cell>
          <cell r="U204" t="str">
            <v>其他应收款内容</v>
          </cell>
          <cell r="V204">
            <v>1</v>
          </cell>
          <cell r="W204">
            <v>1221</v>
          </cell>
          <cell r="X204">
            <v>2</v>
          </cell>
        </row>
        <row r="205">
          <cell r="B205">
            <v>8352</v>
          </cell>
          <cell r="C205" t="str">
            <v>库存股_股份支付</v>
          </cell>
          <cell r="D205">
            <v>1</v>
          </cell>
          <cell r="E205" t="str">
            <v>LOW</v>
          </cell>
          <cell r="G205" t="str">
            <v>2．股份支付计入所有者权益的金额</v>
          </cell>
          <cell r="I205">
            <v>8352</v>
          </cell>
          <cell r="J205" t="str">
            <v>J</v>
          </cell>
          <cell r="M205" t="str">
            <v>退保金</v>
          </cell>
          <cell r="S205" t="str">
            <v>1503d</v>
          </cell>
          <cell r="T205" t="str">
            <v>可供出售金融资产减值准备变动情况</v>
          </cell>
          <cell r="U205" t="str">
            <v>项       目</v>
          </cell>
          <cell r="V205">
            <v>1</v>
          </cell>
          <cell r="W205">
            <v>1503</v>
          </cell>
          <cell r="X205">
            <v>2</v>
          </cell>
        </row>
        <row r="206">
          <cell r="B206">
            <v>8356</v>
          </cell>
          <cell r="C206" t="str">
            <v>库存股_所有者其他投入和减少资本</v>
          </cell>
          <cell r="D206">
            <v>1</v>
          </cell>
          <cell r="E206" t="str">
            <v>LOW</v>
          </cell>
          <cell r="G206" t="str">
            <v>3．其他</v>
          </cell>
          <cell r="I206">
            <v>8356</v>
          </cell>
          <cell r="J206" t="str">
            <v>J</v>
          </cell>
          <cell r="M206" t="str">
            <v>赔付支出净额</v>
          </cell>
          <cell r="S206" t="str">
            <v>1501c</v>
          </cell>
          <cell r="T206" t="str">
            <v>持有至到期投资减值准备变动情况</v>
          </cell>
          <cell r="U206" t="str">
            <v>项       目</v>
          </cell>
          <cell r="V206">
            <v>1</v>
          </cell>
          <cell r="W206">
            <v>1501</v>
          </cell>
          <cell r="X206">
            <v>2</v>
          </cell>
        </row>
        <row r="207">
          <cell r="B207">
            <v>8360</v>
          </cell>
          <cell r="C207" t="str">
            <v>库存股_利润分配影响权益</v>
          </cell>
          <cell r="E207" t="str">
            <v>＝</v>
          </cell>
          <cell r="G207" t="str">
            <v>（四）利润分配</v>
          </cell>
          <cell r="I207">
            <v>8360</v>
          </cell>
          <cell r="M207" t="str">
            <v>提取保险合同准备金净额</v>
          </cell>
          <cell r="S207" t="str">
            <v>1531b</v>
          </cell>
          <cell r="T207" t="str">
            <v>长期应收款的账龄分析如下：</v>
          </cell>
          <cell r="U207" t="str">
            <v>账       龄</v>
          </cell>
          <cell r="V207">
            <v>1</v>
          </cell>
          <cell r="W207">
            <v>1531</v>
          </cell>
          <cell r="X207">
            <v>2</v>
          </cell>
        </row>
        <row r="208">
          <cell r="B208">
            <v>8363</v>
          </cell>
          <cell r="C208" t="str">
            <v>库存股_对所有者的分配</v>
          </cell>
          <cell r="D208">
            <v>1</v>
          </cell>
          <cell r="E208" t="str">
            <v>LOW</v>
          </cell>
          <cell r="G208" t="str">
            <v>3．对所有者（或股东）的分配</v>
          </cell>
          <cell r="I208">
            <v>8363</v>
          </cell>
          <cell r="J208" t="str">
            <v>J</v>
          </cell>
          <cell r="M208" t="str">
            <v>保单红利支出</v>
          </cell>
          <cell r="S208" t="str">
            <v>1511d</v>
          </cell>
          <cell r="T208" t="str">
            <v>长期股权投资分类</v>
          </cell>
          <cell r="U208" t="str">
            <v>项       目</v>
          </cell>
          <cell r="V208">
            <v>1</v>
          </cell>
          <cell r="W208">
            <v>1511</v>
          </cell>
          <cell r="X208">
            <v>1</v>
          </cell>
        </row>
        <row r="209">
          <cell r="B209">
            <v>8366</v>
          </cell>
          <cell r="C209" t="str">
            <v>库存股_其他利润分配</v>
          </cell>
          <cell r="D209">
            <v>1</v>
          </cell>
          <cell r="E209" t="str">
            <v>LOW</v>
          </cell>
          <cell r="G209" t="str">
            <v>4．其他</v>
          </cell>
          <cell r="I209">
            <v>8366</v>
          </cell>
          <cell r="J209" t="str">
            <v>J</v>
          </cell>
          <cell r="M209" t="str">
            <v>分保费用</v>
          </cell>
          <cell r="S209" t="str">
            <v>2001c</v>
          </cell>
          <cell r="T209" t="str">
            <v>短期借款中的外币借款</v>
          </cell>
          <cell r="U209" t="str">
            <v>借款类别</v>
          </cell>
          <cell r="V209">
            <v>1</v>
          </cell>
          <cell r="W209">
            <v>2001</v>
          </cell>
          <cell r="X209">
            <v>2</v>
          </cell>
        </row>
        <row r="210">
          <cell r="B210">
            <v>8370</v>
          </cell>
          <cell r="C210" t="str">
            <v>库存股_所有者权益内部结转</v>
          </cell>
          <cell r="E210" t="str">
            <v>＝</v>
          </cell>
          <cell r="G210" t="str">
            <v>（五）所有者权益内部结转</v>
          </cell>
          <cell r="I210">
            <v>8370</v>
          </cell>
          <cell r="M210" t="str">
            <v>汇兑收益</v>
          </cell>
          <cell r="S210" t="str">
            <v>2202e</v>
          </cell>
          <cell r="T210" t="str">
            <v>应付账款按项目列示</v>
          </cell>
          <cell r="U210" t="str">
            <v>项       目</v>
          </cell>
          <cell r="V210">
            <v>1</v>
          </cell>
          <cell r="W210">
            <v>2202</v>
          </cell>
          <cell r="X210">
            <v>1</v>
          </cell>
        </row>
        <row r="211">
          <cell r="B211">
            <v>8376</v>
          </cell>
          <cell r="C211" t="str">
            <v>库存股_所有者权益其他内部结转</v>
          </cell>
          <cell r="D211">
            <v>1</v>
          </cell>
          <cell r="G211" t="str">
            <v>4．其他</v>
          </cell>
          <cell r="I211">
            <v>8376</v>
          </cell>
          <cell r="J211" t="str">
            <v>J</v>
          </cell>
          <cell r="M211" t="str">
            <v>实收资本_会计政策变更调整上年年末余额</v>
          </cell>
          <cell r="S211" t="str">
            <v>2202f</v>
          </cell>
          <cell r="T211" t="str">
            <v>应付账款按账龄列示</v>
          </cell>
          <cell r="U211" t="str">
            <v>账       龄</v>
          </cell>
          <cell r="V211">
            <v>1</v>
          </cell>
          <cell r="W211">
            <v>2202</v>
          </cell>
          <cell r="X211">
            <v>2</v>
          </cell>
        </row>
        <row r="212">
          <cell r="B212">
            <v>8396</v>
          </cell>
          <cell r="C212" t="str">
            <v>库存股_本期其他增减变动</v>
          </cell>
          <cell r="D212">
            <v>1</v>
          </cell>
          <cell r="E212" t="str">
            <v>LOW</v>
          </cell>
          <cell r="G212" t="str">
            <v>（七）其他</v>
          </cell>
          <cell r="I212">
            <v>8396</v>
          </cell>
          <cell r="J212" t="str">
            <v>J</v>
          </cell>
          <cell r="M212" t="str">
            <v>实收资本_其他原因调整上年年末余额</v>
          </cell>
          <cell r="S212" t="str">
            <v>2205f</v>
          </cell>
          <cell r="T212" t="str">
            <v>预收账款按项目列示</v>
          </cell>
          <cell r="U212" t="str">
            <v>项       目</v>
          </cell>
          <cell r="V212">
            <v>1</v>
          </cell>
          <cell r="W212">
            <v>2205</v>
          </cell>
          <cell r="X212">
            <v>1</v>
          </cell>
        </row>
        <row r="213">
          <cell r="B213">
            <v>8399</v>
          </cell>
          <cell r="C213" t="str">
            <v>库存股_本期期末余额</v>
          </cell>
          <cell r="E213" t="str">
            <v>＝</v>
          </cell>
          <cell r="G213" t="str">
            <v>四、本期期末余额</v>
          </cell>
          <cell r="I213">
            <v>8399</v>
          </cell>
          <cell r="M213" t="str">
            <v>实收资本_所有者其他投入和减少资本</v>
          </cell>
          <cell r="S213" t="str">
            <v>2205g</v>
          </cell>
          <cell r="T213" t="str">
            <v>预收账款按账龄列示</v>
          </cell>
          <cell r="U213" t="str">
            <v>账       龄</v>
          </cell>
          <cell r="V213">
            <v>1</v>
          </cell>
          <cell r="W213">
            <v>2205</v>
          </cell>
          <cell r="X213">
            <v>2</v>
          </cell>
        </row>
        <row r="214">
          <cell r="B214">
            <v>8400</v>
          </cell>
          <cell r="C214" t="str">
            <v>专项储备增减变动</v>
          </cell>
          <cell r="E214" t="str">
            <v>：</v>
          </cell>
          <cell r="G214" t="str">
            <v>专项储备增减变动</v>
          </cell>
          <cell r="I214">
            <v>8400</v>
          </cell>
          <cell r="M214" t="str">
            <v>实收资本_所有者权益其他内部结转</v>
          </cell>
          <cell r="S214" t="str">
            <v>2241e</v>
          </cell>
          <cell r="T214" t="str">
            <v>其他应付款按项目列示</v>
          </cell>
          <cell r="U214" t="str">
            <v>项       目</v>
          </cell>
          <cell r="V214">
            <v>1</v>
          </cell>
          <cell r="W214">
            <v>2241</v>
          </cell>
          <cell r="X214">
            <v>1</v>
          </cell>
        </row>
        <row r="215">
          <cell r="B215">
            <v>8401</v>
          </cell>
          <cell r="C215" t="str">
            <v>专项储备_上年年末余额</v>
          </cell>
          <cell r="D215">
            <v>-1</v>
          </cell>
          <cell r="G215" t="str">
            <v>一、上年年末余额</v>
          </cell>
          <cell r="I215">
            <v>8401</v>
          </cell>
          <cell r="J215" t="str">
            <v>J</v>
          </cell>
          <cell r="M215" t="str">
            <v>实收资本_本期其他增减变动</v>
          </cell>
          <cell r="S215" t="str">
            <v>2241f</v>
          </cell>
          <cell r="T215" t="str">
            <v>其他应付款按账龄列示</v>
          </cell>
          <cell r="U215" t="str">
            <v>项       目</v>
          </cell>
          <cell r="V215">
            <v>1</v>
          </cell>
          <cell r="W215">
            <v>2241</v>
          </cell>
          <cell r="X215">
            <v>2</v>
          </cell>
        </row>
        <row r="216">
          <cell r="B216">
            <v>8402</v>
          </cell>
          <cell r="C216" t="str">
            <v>专项储备_会计政策变更调整上年年末余额</v>
          </cell>
          <cell r="D216">
            <v>-1</v>
          </cell>
          <cell r="G216" t="str">
            <v>加：会计政策变更</v>
          </cell>
          <cell r="I216">
            <v>8402</v>
          </cell>
          <cell r="J216" t="str">
            <v>J</v>
          </cell>
          <cell r="M216" t="str">
            <v>资本公积_所有者权益其他内部结转</v>
          </cell>
          <cell r="S216" t="str">
            <v>4201a</v>
          </cell>
          <cell r="T216" t="str">
            <v>本年库存股变动情况</v>
          </cell>
          <cell r="U216" t="str">
            <v>项       目</v>
          </cell>
          <cell r="V216">
            <v>1</v>
          </cell>
          <cell r="W216">
            <v>4201</v>
          </cell>
          <cell r="X216">
            <v>1</v>
          </cell>
        </row>
        <row r="217">
          <cell r="B217">
            <v>8403</v>
          </cell>
          <cell r="C217" t="str">
            <v>专项储备_前期差错更正调整上年年末余额</v>
          </cell>
          <cell r="D217">
            <v>-1</v>
          </cell>
          <cell r="G217" t="str">
            <v>前期差错更正</v>
          </cell>
          <cell r="I217">
            <v>8403</v>
          </cell>
          <cell r="J217" t="str">
            <v>J</v>
          </cell>
          <cell r="M217" t="str">
            <v>库存股_其他原因调整上年年末余额</v>
          </cell>
          <cell r="S217" t="str">
            <v>7500f</v>
          </cell>
          <cell r="T217" t="str">
            <v>货币资金与现金及现金等价物的调节</v>
          </cell>
          <cell r="U217" t="str">
            <v>项       目</v>
          </cell>
          <cell r="V217">
            <v>-2</v>
          </cell>
          <cell r="X217">
            <v>2</v>
          </cell>
        </row>
        <row r="218">
          <cell r="B218">
            <v>8409</v>
          </cell>
          <cell r="C218" t="str">
            <v>专项储备_其他原因调整上年年末余额</v>
          </cell>
          <cell r="D218">
            <v>-1</v>
          </cell>
          <cell r="E218" t="str">
            <v>LOW</v>
          </cell>
          <cell r="G218" t="str">
            <v>其他</v>
          </cell>
          <cell r="I218">
            <v>8409</v>
          </cell>
          <cell r="J218" t="str">
            <v>J</v>
          </cell>
          <cell r="M218" t="str">
            <v>库存股_股份支付</v>
          </cell>
        </row>
        <row r="219">
          <cell r="B219">
            <v>8410</v>
          </cell>
          <cell r="C219" t="str">
            <v>专项储备_本年年初余额</v>
          </cell>
          <cell r="E219" t="str">
            <v>＝</v>
          </cell>
          <cell r="G219" t="str">
            <v>二、本年年初余额</v>
          </cell>
          <cell r="I219">
            <v>8410</v>
          </cell>
          <cell r="M219" t="str">
            <v>库存股_所有者其他投入和减少资本</v>
          </cell>
        </row>
        <row r="220">
          <cell r="B220">
            <v>8490</v>
          </cell>
          <cell r="C220" t="str">
            <v>专项储备_本期增减变动金额</v>
          </cell>
          <cell r="E220" t="str">
            <v>＝</v>
          </cell>
          <cell r="G220" t="str">
            <v>三、本期增减变动金额（减少以“-”号填列）</v>
          </cell>
          <cell r="I220">
            <v>8490</v>
          </cell>
          <cell r="M220" t="str">
            <v>库存股_对所有者的分配</v>
          </cell>
        </row>
        <row r="221">
          <cell r="B221">
            <v>8470</v>
          </cell>
          <cell r="C221" t="str">
            <v>专项储备_所有者权益内部结转</v>
          </cell>
          <cell r="E221" t="str">
            <v>＝</v>
          </cell>
          <cell r="G221" t="str">
            <v>（五）所有者权益内部结转</v>
          </cell>
          <cell r="I221">
            <v>8470</v>
          </cell>
          <cell r="M221" t="str">
            <v>库存股_其他利润分配</v>
          </cell>
        </row>
        <row r="222">
          <cell r="B222">
            <v>8476</v>
          </cell>
          <cell r="C222" t="str">
            <v>专项储备_所有者权益其他内部结转</v>
          </cell>
          <cell r="D222">
            <v>-1</v>
          </cell>
          <cell r="E222" t="str">
            <v>LOW</v>
          </cell>
          <cell r="G222" t="str">
            <v>4．其他</v>
          </cell>
          <cell r="I222">
            <v>8476</v>
          </cell>
          <cell r="J222" t="str">
            <v>J</v>
          </cell>
          <cell r="M222" t="str">
            <v>库存股_本期其他增减变动</v>
          </cell>
        </row>
        <row r="223">
          <cell r="B223">
            <v>8480</v>
          </cell>
          <cell r="C223" t="str">
            <v>专项储备_专项储备影响权益</v>
          </cell>
          <cell r="E223" t="str">
            <v>＝</v>
          </cell>
          <cell r="G223" t="str">
            <v xml:space="preserve"> （六）专项储备</v>
          </cell>
          <cell r="I223">
            <v>8480</v>
          </cell>
          <cell r="M223" t="str">
            <v>专项储备_其他原因调整上年年末余额</v>
          </cell>
        </row>
        <row r="224">
          <cell r="B224">
            <v>8481</v>
          </cell>
          <cell r="C224" t="str">
            <v>专项储备_本期提取</v>
          </cell>
          <cell r="D224">
            <v>-1</v>
          </cell>
          <cell r="G224" t="str">
            <v>1．本期提取</v>
          </cell>
          <cell r="I224">
            <v>8481</v>
          </cell>
          <cell r="J224" t="str">
            <v>J</v>
          </cell>
          <cell r="M224" t="str">
            <v>专项储备_本期其他增减变动</v>
          </cell>
        </row>
        <row r="225">
          <cell r="B225">
            <v>8482</v>
          </cell>
          <cell r="C225" t="str">
            <v>专项储备_本期使用</v>
          </cell>
          <cell r="D225">
            <v>-1</v>
          </cell>
          <cell r="G225" t="str">
            <v>2．本期使用</v>
          </cell>
          <cell r="I225">
            <v>8482</v>
          </cell>
          <cell r="J225" t="str">
            <v>J</v>
          </cell>
          <cell r="M225" t="str">
            <v>盈余公积_所有者权益其他内部结转</v>
          </cell>
        </row>
        <row r="226">
          <cell r="B226">
            <v>8496</v>
          </cell>
          <cell r="C226" t="str">
            <v>专项储备_本期其他增减变动</v>
          </cell>
          <cell r="D226">
            <v>-1</v>
          </cell>
          <cell r="E226" t="str">
            <v>LOW</v>
          </cell>
          <cell r="G226" t="str">
            <v>（七）其他</v>
          </cell>
          <cell r="I226">
            <v>8496</v>
          </cell>
          <cell r="J226" t="str">
            <v>J</v>
          </cell>
          <cell r="M226" t="str">
            <v>盈余公积_本期其他增减变动</v>
          </cell>
        </row>
        <row r="227">
          <cell r="B227">
            <v>8499</v>
          </cell>
          <cell r="C227" t="str">
            <v>专项储备_本期期末余额</v>
          </cell>
          <cell r="E227" t="str">
            <v>＝</v>
          </cell>
          <cell r="G227" t="str">
            <v>四、本期期末余额</v>
          </cell>
          <cell r="I227">
            <v>8499</v>
          </cell>
          <cell r="M227" t="str">
            <v>一般风险准备_其他原因调整上年年末余额</v>
          </cell>
        </row>
        <row r="228">
          <cell r="B228">
            <v>8500</v>
          </cell>
          <cell r="C228" t="str">
            <v>盈余公积增减变动</v>
          </cell>
          <cell r="E228" t="str">
            <v>：</v>
          </cell>
          <cell r="G228" t="str">
            <v>盈余公积增减变动</v>
          </cell>
          <cell r="I228">
            <v>8500</v>
          </cell>
          <cell r="M228" t="str">
            <v>一般风险准备_所有者其他投入和减少资本</v>
          </cell>
        </row>
        <row r="229">
          <cell r="B229">
            <v>8501</v>
          </cell>
          <cell r="C229" t="str">
            <v>盈余公积_上年年末余额</v>
          </cell>
          <cell r="D229">
            <v>-1</v>
          </cell>
          <cell r="G229" t="str">
            <v>一、上年年末余额</v>
          </cell>
          <cell r="I229">
            <v>8501</v>
          </cell>
          <cell r="J229" t="str">
            <v>J</v>
          </cell>
          <cell r="M229" t="str">
            <v>一般风险准备_其他利润分配</v>
          </cell>
        </row>
        <row r="230">
          <cell r="B230">
            <v>8502</v>
          </cell>
          <cell r="C230" t="str">
            <v>盈余公积_会计政策变更调整上年年末余额</v>
          </cell>
          <cell r="D230">
            <v>-1</v>
          </cell>
          <cell r="G230" t="str">
            <v>加：会计政策变更</v>
          </cell>
          <cell r="I230">
            <v>8502</v>
          </cell>
          <cell r="J230" t="str">
            <v>J</v>
          </cell>
          <cell r="M230" t="str">
            <v>一般风险准备_本期其他增减变动</v>
          </cell>
        </row>
        <row r="231">
          <cell r="B231">
            <v>8503</v>
          </cell>
          <cell r="C231" t="str">
            <v>盈余公积_前期差错更正调整上年年末余额</v>
          </cell>
          <cell r="D231">
            <v>-1</v>
          </cell>
          <cell r="G231" t="str">
            <v>前期差错更正</v>
          </cell>
          <cell r="I231">
            <v>8503</v>
          </cell>
          <cell r="J231" t="str">
            <v>J</v>
          </cell>
          <cell r="M231" t="str">
            <v>未分配利润_专项储备本期提取</v>
          </cell>
        </row>
        <row r="232">
          <cell r="B232">
            <v>8509</v>
          </cell>
          <cell r="C232" t="str">
            <v>盈余公积_其他原因调整上年年末余额</v>
          </cell>
          <cell r="D232">
            <v>-1</v>
          </cell>
          <cell r="G232" t="str">
            <v>其他</v>
          </cell>
          <cell r="I232">
            <v>8509</v>
          </cell>
          <cell r="J232" t="str">
            <v>J</v>
          </cell>
          <cell r="M232" t="str">
            <v>未分配利润_专项储备本期使用</v>
          </cell>
        </row>
        <row r="233">
          <cell r="B233">
            <v>8510</v>
          </cell>
          <cell r="C233" t="str">
            <v>盈余公积_本年年初余额</v>
          </cell>
          <cell r="E233" t="str">
            <v>＝</v>
          </cell>
          <cell r="G233" t="str">
            <v>二、本年年初余额</v>
          </cell>
          <cell r="I233">
            <v>8510</v>
          </cell>
          <cell r="M233" t="str">
            <v>未分配利润_本期其他增减变动</v>
          </cell>
        </row>
        <row r="234">
          <cell r="B234">
            <v>8590</v>
          </cell>
          <cell r="C234" t="str">
            <v>盈余公积_本期增减变动金额</v>
          </cell>
          <cell r="E234" t="str">
            <v>＝</v>
          </cell>
          <cell r="G234" t="str">
            <v>三、本期增减变动金额（减少以“-”号填列）</v>
          </cell>
          <cell r="I234">
            <v>8590</v>
          </cell>
        </row>
        <row r="235">
          <cell r="B235">
            <v>8550</v>
          </cell>
          <cell r="C235" t="str">
            <v>盈余公积_所有者投入和减少资本影响权益</v>
          </cell>
          <cell r="E235" t="str">
            <v>＝</v>
          </cell>
          <cell r="G235" t="str">
            <v>（三）所有者投入和减少资本</v>
          </cell>
          <cell r="I235">
            <v>8550</v>
          </cell>
        </row>
        <row r="236">
          <cell r="B236">
            <v>8556</v>
          </cell>
          <cell r="C236" t="str">
            <v>盈余公积_所有者其他投入和减少资本</v>
          </cell>
          <cell r="D236">
            <v>-1</v>
          </cell>
          <cell r="E236" t="str">
            <v>LOW</v>
          </cell>
          <cell r="G236" t="str">
            <v>3．其他</v>
          </cell>
          <cell r="I236">
            <v>8556</v>
          </cell>
          <cell r="J236" t="str">
            <v>J</v>
          </cell>
        </row>
        <row r="237">
          <cell r="B237">
            <v>8560</v>
          </cell>
          <cell r="C237" t="str">
            <v>盈余公积_利润分配影响权益</v>
          </cell>
          <cell r="E237" t="str">
            <v>＝</v>
          </cell>
          <cell r="G237" t="str">
            <v>（四）利润分配</v>
          </cell>
          <cell r="I237">
            <v>8560</v>
          </cell>
        </row>
        <row r="238">
          <cell r="B238">
            <v>8561</v>
          </cell>
          <cell r="C238" t="str">
            <v>盈余公积_提取</v>
          </cell>
          <cell r="D238">
            <v>-1</v>
          </cell>
          <cell r="G238" t="str">
            <v>1．提取盈余公积</v>
          </cell>
          <cell r="I238">
            <v>8561</v>
          </cell>
          <cell r="J238" t="str">
            <v>J</v>
          </cell>
        </row>
        <row r="239">
          <cell r="B239">
            <v>8563</v>
          </cell>
          <cell r="C239" t="str">
            <v>盈余公积_对所有者的分配</v>
          </cell>
          <cell r="D239">
            <v>-1</v>
          </cell>
          <cell r="G239" t="str">
            <v>3．对所有者（或股东）的分配</v>
          </cell>
          <cell r="I239">
            <v>8563</v>
          </cell>
          <cell r="J239" t="str">
            <v>J</v>
          </cell>
        </row>
        <row r="240">
          <cell r="B240">
            <v>8566</v>
          </cell>
          <cell r="C240" t="str">
            <v>盈余公积_其他利润分配</v>
          </cell>
          <cell r="D240">
            <v>-1</v>
          </cell>
          <cell r="G240" t="str">
            <v>4．其他</v>
          </cell>
          <cell r="I240">
            <v>8566</v>
          </cell>
          <cell r="J240" t="str">
            <v>J</v>
          </cell>
        </row>
        <row r="241">
          <cell r="B241">
            <v>8570</v>
          </cell>
          <cell r="C241" t="str">
            <v>盈余公积_所有者权益内部结转</v>
          </cell>
          <cell r="E241" t="str">
            <v>＝</v>
          </cell>
          <cell r="G241" t="str">
            <v>（五）所有者权益内部结转</v>
          </cell>
          <cell r="I241">
            <v>8570</v>
          </cell>
        </row>
        <row r="242">
          <cell r="B242">
            <v>8572</v>
          </cell>
          <cell r="C242" t="str">
            <v>盈余公积_转增资本</v>
          </cell>
          <cell r="D242">
            <v>-1</v>
          </cell>
          <cell r="G242" t="str">
            <v>2．盈余公积转增资本（或股本）</v>
          </cell>
          <cell r="I242">
            <v>8572</v>
          </cell>
          <cell r="J242" t="str">
            <v>J</v>
          </cell>
        </row>
        <row r="243">
          <cell r="B243">
            <v>8573</v>
          </cell>
          <cell r="C243" t="str">
            <v>盈余公积_弥补亏损</v>
          </cell>
          <cell r="D243">
            <v>-1</v>
          </cell>
          <cell r="G243" t="str">
            <v>3．盈余公积弥补亏损</v>
          </cell>
          <cell r="I243">
            <v>8573</v>
          </cell>
          <cell r="J243" t="str">
            <v>J</v>
          </cell>
        </row>
        <row r="244">
          <cell r="B244">
            <v>8576</v>
          </cell>
          <cell r="C244" t="str">
            <v>盈余公积_所有者权益其他内部结转</v>
          </cell>
          <cell r="D244">
            <v>-1</v>
          </cell>
          <cell r="E244" t="str">
            <v>LOW</v>
          </cell>
          <cell r="G244" t="str">
            <v>4．其他</v>
          </cell>
          <cell r="I244">
            <v>8576</v>
          </cell>
          <cell r="J244" t="str">
            <v>J</v>
          </cell>
        </row>
        <row r="245">
          <cell r="B245">
            <v>8596</v>
          </cell>
          <cell r="C245" t="str">
            <v>盈余公积_本期其他增减变动</v>
          </cell>
          <cell r="D245">
            <v>-1</v>
          </cell>
          <cell r="E245" t="str">
            <v>LOW</v>
          </cell>
          <cell r="G245" t="str">
            <v>（七）其他</v>
          </cell>
          <cell r="I245">
            <v>8596</v>
          </cell>
          <cell r="J245" t="str">
            <v>J</v>
          </cell>
        </row>
        <row r="246">
          <cell r="B246">
            <v>8599</v>
          </cell>
          <cell r="C246" t="str">
            <v>盈余公积_本期期末余额</v>
          </cell>
          <cell r="E246" t="str">
            <v>＝</v>
          </cell>
          <cell r="G246" t="str">
            <v>四、本期期末余额</v>
          </cell>
          <cell r="I246">
            <v>8599</v>
          </cell>
        </row>
        <row r="247">
          <cell r="B247">
            <v>8600</v>
          </cell>
          <cell r="C247" t="str">
            <v>一般风险准备增减变动</v>
          </cell>
          <cell r="E247" t="str">
            <v>：</v>
          </cell>
          <cell r="G247" t="str">
            <v>一般风险准备增减变动</v>
          </cell>
          <cell r="I247">
            <v>8600</v>
          </cell>
        </row>
        <row r="248">
          <cell r="B248">
            <v>8601</v>
          </cell>
          <cell r="C248" t="str">
            <v>一般风险准备_上年年末余额</v>
          </cell>
          <cell r="D248">
            <v>-1</v>
          </cell>
          <cell r="G248" t="str">
            <v>一、上年年末余额</v>
          </cell>
          <cell r="I248">
            <v>8601</v>
          </cell>
          <cell r="J248" t="str">
            <v>J</v>
          </cell>
        </row>
        <row r="249">
          <cell r="B249">
            <v>8602</v>
          </cell>
          <cell r="C249" t="str">
            <v>一般风险准备_会计政策变更调整上年年末余额</v>
          </cell>
          <cell r="D249">
            <v>-1</v>
          </cell>
          <cell r="G249" t="str">
            <v>加：会计政策变更</v>
          </cell>
          <cell r="I249">
            <v>8602</v>
          </cell>
          <cell r="J249" t="str">
            <v>J</v>
          </cell>
        </row>
        <row r="250">
          <cell r="B250">
            <v>8603</v>
          </cell>
          <cell r="C250" t="str">
            <v>一般风险准备_前期差错更正调整上年年末余额</v>
          </cell>
          <cell r="D250">
            <v>-1</v>
          </cell>
          <cell r="G250" t="str">
            <v>前期差错更正</v>
          </cell>
          <cell r="I250">
            <v>8603</v>
          </cell>
          <cell r="J250" t="str">
            <v>J</v>
          </cell>
        </row>
        <row r="251">
          <cell r="B251">
            <v>8609</v>
          </cell>
          <cell r="C251" t="str">
            <v>一般风险准备_其他原因调整上年年末余额</v>
          </cell>
          <cell r="D251">
            <v>-1</v>
          </cell>
          <cell r="E251" t="str">
            <v>LOW</v>
          </cell>
          <cell r="G251" t="str">
            <v>其他</v>
          </cell>
          <cell r="I251">
            <v>8609</v>
          </cell>
          <cell r="J251" t="str">
            <v>J</v>
          </cell>
        </row>
        <row r="252">
          <cell r="B252">
            <v>8610</v>
          </cell>
          <cell r="C252" t="str">
            <v>一般风险准备_本年年初余额</v>
          </cell>
          <cell r="E252" t="str">
            <v>＝</v>
          </cell>
          <cell r="G252" t="str">
            <v>二、本年年初余额</v>
          </cell>
          <cell r="I252">
            <v>8610</v>
          </cell>
        </row>
        <row r="253">
          <cell r="B253">
            <v>8690</v>
          </cell>
          <cell r="C253" t="str">
            <v>一般风险准备_本期增减变动金额</v>
          </cell>
          <cell r="E253" t="str">
            <v>＝</v>
          </cell>
          <cell r="G253" t="str">
            <v>三、本期增减变动金额（减少以“-”号填列）</v>
          </cell>
          <cell r="I253">
            <v>8690</v>
          </cell>
        </row>
        <row r="254">
          <cell r="B254">
            <v>8650</v>
          </cell>
          <cell r="C254" t="str">
            <v>一般风险准备_所有者投入和减少资本影响权益</v>
          </cell>
          <cell r="E254" t="str">
            <v>＝</v>
          </cell>
          <cell r="G254" t="str">
            <v>（三）所有者投入和减少资本</v>
          </cell>
          <cell r="I254">
            <v>8650</v>
          </cell>
        </row>
        <row r="255">
          <cell r="B255">
            <v>8656</v>
          </cell>
          <cell r="C255" t="str">
            <v>一般风险准备_所有者其他投入和减少资本</v>
          </cell>
          <cell r="D255">
            <v>-1</v>
          </cell>
          <cell r="E255" t="str">
            <v>LOW</v>
          </cell>
          <cell r="G255" t="str">
            <v>3．其他</v>
          </cell>
          <cell r="I255">
            <v>8656</v>
          </cell>
          <cell r="J255" t="str">
            <v>J</v>
          </cell>
        </row>
        <row r="256">
          <cell r="B256">
            <v>8660</v>
          </cell>
          <cell r="C256" t="str">
            <v>一般风险准备_利润分配影响权益</v>
          </cell>
          <cell r="E256" t="str">
            <v>＝</v>
          </cell>
          <cell r="G256" t="str">
            <v>（四）利润分配</v>
          </cell>
          <cell r="I256">
            <v>8660</v>
          </cell>
        </row>
        <row r="257">
          <cell r="B257">
            <v>8662</v>
          </cell>
          <cell r="C257" t="str">
            <v>一般风险准备_提取</v>
          </cell>
          <cell r="D257">
            <v>-1</v>
          </cell>
          <cell r="G257" t="str">
            <v>2．提取一般风险准备</v>
          </cell>
          <cell r="I257">
            <v>8662</v>
          </cell>
          <cell r="J257" t="str">
            <v>J</v>
          </cell>
        </row>
        <row r="258">
          <cell r="B258">
            <v>8666</v>
          </cell>
          <cell r="C258" t="str">
            <v>一般风险准备_其他利润分配</v>
          </cell>
          <cell r="D258">
            <v>-1</v>
          </cell>
          <cell r="E258" t="str">
            <v>LOW</v>
          </cell>
          <cell r="G258" t="str">
            <v>4．其他</v>
          </cell>
          <cell r="I258">
            <v>8666</v>
          </cell>
          <cell r="J258" t="str">
            <v>J</v>
          </cell>
        </row>
        <row r="259">
          <cell r="B259">
            <v>8670</v>
          </cell>
          <cell r="C259" t="str">
            <v>一般风险准备_所有者权益内部结转</v>
          </cell>
          <cell r="E259" t="str">
            <v>＝</v>
          </cell>
          <cell r="G259" t="str">
            <v>（五）所有者权益内部结转</v>
          </cell>
          <cell r="I259">
            <v>8670</v>
          </cell>
        </row>
        <row r="260">
          <cell r="B260">
            <v>8676</v>
          </cell>
          <cell r="C260" t="str">
            <v>一般风险准备_所有者权益其他内部结转</v>
          </cell>
          <cell r="D260">
            <v>-1</v>
          </cell>
          <cell r="G260" t="str">
            <v>4．其他</v>
          </cell>
          <cell r="I260">
            <v>8676</v>
          </cell>
          <cell r="J260" t="str">
            <v>J</v>
          </cell>
        </row>
        <row r="261">
          <cell r="B261">
            <v>8696</v>
          </cell>
          <cell r="C261" t="str">
            <v>一般风险准备_本期其他增减变动</v>
          </cell>
          <cell r="D261">
            <v>-1</v>
          </cell>
          <cell r="E261" t="str">
            <v>LOW</v>
          </cell>
          <cell r="G261" t="str">
            <v>（七）其他</v>
          </cell>
          <cell r="I261">
            <v>8696</v>
          </cell>
          <cell r="J261" t="str">
            <v>J</v>
          </cell>
        </row>
        <row r="262">
          <cell r="B262">
            <v>8699</v>
          </cell>
          <cell r="C262" t="str">
            <v>一般风险准备_本期期末余额</v>
          </cell>
          <cell r="E262" t="str">
            <v>＝</v>
          </cell>
          <cell r="G262" t="str">
            <v>四、本期期末余额</v>
          </cell>
          <cell r="I262">
            <v>8699</v>
          </cell>
        </row>
        <row r="263">
          <cell r="B263">
            <v>8700</v>
          </cell>
          <cell r="C263" t="str">
            <v>未分配利润增减变动</v>
          </cell>
          <cell r="E263" t="str">
            <v>：</v>
          </cell>
          <cell r="G263" t="str">
            <v>未分配利润增减变动</v>
          </cell>
          <cell r="I263">
            <v>8700</v>
          </cell>
        </row>
        <row r="264">
          <cell r="B264">
            <v>8701</v>
          </cell>
          <cell r="C264" t="str">
            <v>未分配利润_上年年末余额</v>
          </cell>
          <cell r="D264">
            <v>-1</v>
          </cell>
          <cell r="G264" t="str">
            <v>一、上年年末余额</v>
          </cell>
          <cell r="I264">
            <v>8701</v>
          </cell>
          <cell r="J264" t="str">
            <v>J</v>
          </cell>
        </row>
        <row r="265">
          <cell r="B265">
            <v>8702</v>
          </cell>
          <cell r="C265" t="str">
            <v>未分配利润_会计政策变更调整上年年末余额</v>
          </cell>
          <cell r="D265">
            <v>-1</v>
          </cell>
          <cell r="G265" t="str">
            <v>加：会计政策变更</v>
          </cell>
          <cell r="I265">
            <v>8702</v>
          </cell>
          <cell r="J265" t="str">
            <v>J</v>
          </cell>
        </row>
        <row r="266">
          <cell r="B266">
            <v>8703</v>
          </cell>
          <cell r="C266" t="str">
            <v>未分配利润_前期差错更正调整上年年末余额</v>
          </cell>
          <cell r="D266">
            <v>-1</v>
          </cell>
          <cell r="G266" t="str">
            <v>前期差错更正</v>
          </cell>
          <cell r="I266">
            <v>8703</v>
          </cell>
          <cell r="J266" t="str">
            <v>J</v>
          </cell>
        </row>
        <row r="267">
          <cell r="B267">
            <v>8709</v>
          </cell>
          <cell r="C267" t="str">
            <v>未分配利润_其他原因调整上年年末余额</v>
          </cell>
          <cell r="D267">
            <v>-1</v>
          </cell>
          <cell r="G267" t="str">
            <v>其他</v>
          </cell>
          <cell r="I267">
            <v>8709</v>
          </cell>
          <cell r="J267" t="str">
            <v>J</v>
          </cell>
        </row>
        <row r="268">
          <cell r="B268">
            <v>8710</v>
          </cell>
          <cell r="C268" t="str">
            <v>未分配利润_本年年初余额</v>
          </cell>
          <cell r="E268" t="str">
            <v>＝</v>
          </cell>
          <cell r="G268" t="str">
            <v>二、本年年初余额</v>
          </cell>
          <cell r="I268">
            <v>8710</v>
          </cell>
        </row>
        <row r="269">
          <cell r="B269">
            <v>8790</v>
          </cell>
          <cell r="C269" t="str">
            <v>未分配利润_本期增减变动金额</v>
          </cell>
          <cell r="E269" t="str">
            <v>＝</v>
          </cell>
          <cell r="G269" t="str">
            <v>三、本期增减变动金额（减少以“-”号填列）</v>
          </cell>
          <cell r="I269">
            <v>8790</v>
          </cell>
        </row>
        <row r="270">
          <cell r="B270">
            <v>8721</v>
          </cell>
          <cell r="C270" t="str">
            <v>未分配利润_净利润增加权益</v>
          </cell>
          <cell r="D270">
            <v>-1</v>
          </cell>
          <cell r="G270" t="str">
            <v>（一）净利润</v>
          </cell>
          <cell r="I270">
            <v>8721</v>
          </cell>
        </row>
        <row r="271">
          <cell r="B271">
            <v>8740</v>
          </cell>
          <cell r="C271" t="str">
            <v>未分配利润_净利润与其他综合收益增加权益</v>
          </cell>
          <cell r="E271" t="str">
            <v>＝</v>
          </cell>
          <cell r="G271" t="str">
            <v>上述（一）和（二）小计</v>
          </cell>
          <cell r="I271">
            <v>8740</v>
          </cell>
        </row>
        <row r="272">
          <cell r="B272">
            <v>8750</v>
          </cell>
          <cell r="C272" t="str">
            <v>未分配利润_所有者投入和减少资本影响权益</v>
          </cell>
          <cell r="E272" t="str">
            <v>＝</v>
          </cell>
          <cell r="G272" t="str">
            <v>（三）所有者投入和减少资本</v>
          </cell>
          <cell r="I272">
            <v>8750</v>
          </cell>
        </row>
        <row r="273">
          <cell r="B273">
            <v>8756</v>
          </cell>
          <cell r="C273" t="str">
            <v>未分配利润_所有者其他投入和减少资本</v>
          </cell>
          <cell r="D273">
            <v>-1</v>
          </cell>
          <cell r="G273" t="str">
            <v>3．其他</v>
          </cell>
          <cell r="I273">
            <v>8756</v>
          </cell>
          <cell r="J273" t="str">
            <v>J</v>
          </cell>
        </row>
        <row r="274">
          <cell r="B274">
            <v>8760</v>
          </cell>
          <cell r="C274" t="str">
            <v>未分配利润_利润分配影响权益</v>
          </cell>
          <cell r="E274" t="str">
            <v>＝</v>
          </cell>
          <cell r="G274" t="str">
            <v>（四）利润分配</v>
          </cell>
          <cell r="I274">
            <v>8760</v>
          </cell>
        </row>
        <row r="275">
          <cell r="B275">
            <v>8761</v>
          </cell>
          <cell r="C275" t="str">
            <v>未分配利润_提取盈余公积</v>
          </cell>
          <cell r="D275">
            <v>-1</v>
          </cell>
          <cell r="G275" t="str">
            <v>1．提取盈余公积</v>
          </cell>
          <cell r="I275">
            <v>8761</v>
          </cell>
          <cell r="J275" t="str">
            <v>J</v>
          </cell>
        </row>
        <row r="276">
          <cell r="B276">
            <v>8762</v>
          </cell>
          <cell r="C276" t="str">
            <v>未分配利润_提取一般风险准备</v>
          </cell>
          <cell r="D276">
            <v>-1</v>
          </cell>
          <cell r="G276" t="str">
            <v>2．提取一般风险准备</v>
          </cell>
          <cell r="I276">
            <v>8762</v>
          </cell>
          <cell r="J276" t="str">
            <v>J</v>
          </cell>
        </row>
        <row r="277">
          <cell r="B277">
            <v>8763</v>
          </cell>
          <cell r="C277" t="str">
            <v>未分配利润_对所有者的分配</v>
          </cell>
          <cell r="D277">
            <v>-1</v>
          </cell>
          <cell r="G277" t="str">
            <v>3．对所有者（或股东）的分配</v>
          </cell>
          <cell r="I277">
            <v>8763</v>
          </cell>
          <cell r="J277" t="str">
            <v>J</v>
          </cell>
        </row>
        <row r="278">
          <cell r="B278">
            <v>8766</v>
          </cell>
          <cell r="C278" t="str">
            <v>未分配利润_其他利润分配</v>
          </cell>
          <cell r="D278">
            <v>-1</v>
          </cell>
          <cell r="G278" t="str">
            <v>4．其他</v>
          </cell>
          <cell r="I278">
            <v>8766</v>
          </cell>
          <cell r="J278" t="str">
            <v>J</v>
          </cell>
        </row>
        <row r="279">
          <cell r="B279">
            <v>8770</v>
          </cell>
          <cell r="C279" t="str">
            <v>未分配利润_所有者权益内部结转</v>
          </cell>
          <cell r="E279" t="str">
            <v>＝</v>
          </cell>
          <cell r="G279" t="str">
            <v>（五）所有者权益内部结转</v>
          </cell>
          <cell r="I279">
            <v>8770</v>
          </cell>
        </row>
        <row r="280">
          <cell r="B280">
            <v>8773</v>
          </cell>
          <cell r="C280" t="str">
            <v>未分配利润_盈余公积弥补亏损</v>
          </cell>
          <cell r="D280">
            <v>-1</v>
          </cell>
          <cell r="G280" t="str">
            <v>3．盈余公积弥补亏损</v>
          </cell>
          <cell r="I280">
            <v>8773</v>
          </cell>
          <cell r="J280" t="str">
            <v>J</v>
          </cell>
        </row>
        <row r="281">
          <cell r="B281">
            <v>8776</v>
          </cell>
          <cell r="C281" t="str">
            <v>未分配利润_所有者权益其他内部结转</v>
          </cell>
          <cell r="D281">
            <v>-1</v>
          </cell>
          <cell r="G281" t="str">
            <v>4．其他</v>
          </cell>
          <cell r="I281">
            <v>8776</v>
          </cell>
          <cell r="J281" t="str">
            <v>J</v>
          </cell>
        </row>
        <row r="282">
          <cell r="B282">
            <v>8780</v>
          </cell>
          <cell r="C282" t="str">
            <v>未分配利润_专项储备影响权益</v>
          </cell>
          <cell r="E282" t="str">
            <v>＝</v>
          </cell>
          <cell r="G282" t="str">
            <v xml:space="preserve"> （六）专项储备</v>
          </cell>
          <cell r="I282">
            <v>8780</v>
          </cell>
        </row>
        <row r="283">
          <cell r="B283">
            <v>8781</v>
          </cell>
          <cell r="C283" t="str">
            <v>未分配利润_专项储备本期提取</v>
          </cell>
          <cell r="D283">
            <v>-1</v>
          </cell>
          <cell r="E283" t="str">
            <v>LOW</v>
          </cell>
          <cell r="G283" t="str">
            <v>1．本期提取</v>
          </cell>
          <cell r="I283">
            <v>8781</v>
          </cell>
          <cell r="J283" t="str">
            <v>J</v>
          </cell>
        </row>
        <row r="284">
          <cell r="B284">
            <v>8782</v>
          </cell>
          <cell r="C284" t="str">
            <v>未分配利润_专项储备本期使用</v>
          </cell>
          <cell r="D284">
            <v>-1</v>
          </cell>
          <cell r="E284" t="str">
            <v>LOW</v>
          </cell>
          <cell r="G284" t="str">
            <v>2．本期使用</v>
          </cell>
          <cell r="I284">
            <v>8782</v>
          </cell>
          <cell r="J284" t="str">
            <v>J</v>
          </cell>
        </row>
        <row r="285">
          <cell r="B285">
            <v>8796</v>
          </cell>
          <cell r="C285" t="str">
            <v>未分配利润_本期其他增减变动</v>
          </cell>
          <cell r="D285">
            <v>-1</v>
          </cell>
          <cell r="E285" t="str">
            <v>LOW</v>
          </cell>
          <cell r="G285" t="str">
            <v>（七）其他</v>
          </cell>
          <cell r="I285">
            <v>8796</v>
          </cell>
          <cell r="J285" t="str">
            <v>J</v>
          </cell>
        </row>
        <row r="286">
          <cell r="B286">
            <v>8799</v>
          </cell>
          <cell r="C286" t="str">
            <v>未分配利润_本期期末余额</v>
          </cell>
          <cell r="E286" t="str">
            <v>＝</v>
          </cell>
          <cell r="G286" t="str">
            <v>四、本期期末余额</v>
          </cell>
          <cell r="I286">
            <v>8799</v>
          </cell>
        </row>
        <row r="287">
          <cell r="B287">
            <v>8800</v>
          </cell>
          <cell r="C287" t="str">
            <v>其他归属于母公司权益增减变动</v>
          </cell>
          <cell r="E287" t="str">
            <v>※</v>
          </cell>
          <cell r="G287" t="str">
            <v>其他归属于母公司权益增减变动</v>
          </cell>
          <cell r="I287">
            <v>8800</v>
          </cell>
        </row>
        <row r="288">
          <cell r="B288">
            <v>8801</v>
          </cell>
          <cell r="C288" t="str">
            <v>其他归属于母公司权益_上年年末余额</v>
          </cell>
          <cell r="D288">
            <v>-1</v>
          </cell>
          <cell r="E288" t="str">
            <v>※</v>
          </cell>
          <cell r="G288" t="str">
            <v>一、上年年末余额</v>
          </cell>
          <cell r="I288">
            <v>8801</v>
          </cell>
          <cell r="J288" t="str">
            <v>J</v>
          </cell>
        </row>
        <row r="289">
          <cell r="B289">
            <v>8802</v>
          </cell>
          <cell r="C289" t="str">
            <v>其他归属于母公司权益_会计政策变更调整上年年末余额</v>
          </cell>
          <cell r="D289">
            <v>-1</v>
          </cell>
          <cell r="E289" t="str">
            <v>※LOW</v>
          </cell>
          <cell r="G289" t="str">
            <v>加：会计政策变更</v>
          </cell>
          <cell r="I289">
            <v>8802</v>
          </cell>
          <cell r="J289" t="str">
            <v>J</v>
          </cell>
        </row>
        <row r="290">
          <cell r="B290">
            <v>8803</v>
          </cell>
          <cell r="C290" t="str">
            <v>其他归属于母公司权益_前期差错更正调整上年年末余额</v>
          </cell>
          <cell r="D290">
            <v>-1</v>
          </cell>
          <cell r="E290" t="str">
            <v>※LOW</v>
          </cell>
          <cell r="G290" t="str">
            <v>前期差错更正</v>
          </cell>
          <cell r="I290">
            <v>8803</v>
          </cell>
          <cell r="J290" t="str">
            <v>J</v>
          </cell>
        </row>
        <row r="291">
          <cell r="B291">
            <v>8809</v>
          </cell>
          <cell r="C291" t="str">
            <v>其他归属于母公司权益_其他原因调整上年年末余额</v>
          </cell>
          <cell r="D291">
            <v>-1</v>
          </cell>
          <cell r="E291" t="str">
            <v>※LOW</v>
          </cell>
          <cell r="G291" t="str">
            <v>其他</v>
          </cell>
          <cell r="I291">
            <v>8809</v>
          </cell>
          <cell r="J291" t="str">
            <v>J</v>
          </cell>
        </row>
        <row r="292">
          <cell r="B292">
            <v>8810</v>
          </cell>
          <cell r="C292" t="str">
            <v>其他归属于母公司权益_本年年初余额</v>
          </cell>
          <cell r="E292" t="str">
            <v>※＝</v>
          </cell>
          <cell r="G292" t="str">
            <v>二、本年年初余额</v>
          </cell>
          <cell r="I292">
            <v>8810</v>
          </cell>
        </row>
        <row r="293">
          <cell r="B293">
            <v>8890</v>
          </cell>
          <cell r="C293" t="str">
            <v>其他归属于母公司权益_本期增减变动金额</v>
          </cell>
          <cell r="E293" t="str">
            <v>※＝</v>
          </cell>
          <cell r="G293" t="str">
            <v>三、本期增减变动金额（减少以“-”号填列）</v>
          </cell>
          <cell r="I293">
            <v>8890</v>
          </cell>
        </row>
        <row r="294">
          <cell r="B294">
            <v>8821</v>
          </cell>
          <cell r="C294" t="str">
            <v>其他归属于母公司权益_净利润增加权益</v>
          </cell>
          <cell r="D294">
            <v>-1</v>
          </cell>
          <cell r="E294" t="str">
            <v>※LOW</v>
          </cell>
          <cell r="G294" t="str">
            <v>（一）净利润</v>
          </cell>
          <cell r="I294">
            <v>8821</v>
          </cell>
          <cell r="J294" t="str">
            <v>J</v>
          </cell>
        </row>
        <row r="295">
          <cell r="B295">
            <v>8830</v>
          </cell>
          <cell r="C295" t="str">
            <v>其他归属于母公司权益_其他综合收益</v>
          </cell>
          <cell r="D295">
            <v>-1</v>
          </cell>
          <cell r="E295" t="str">
            <v>※LOW</v>
          </cell>
          <cell r="G295" t="str">
            <v>（二）其他综合收益</v>
          </cell>
          <cell r="I295">
            <v>8830</v>
          </cell>
          <cell r="J295" t="str">
            <v>J</v>
          </cell>
        </row>
        <row r="296">
          <cell r="B296">
            <v>8840</v>
          </cell>
          <cell r="C296" t="str">
            <v>其他归属于母公司权益_净利润与其他综合收益增加权益</v>
          </cell>
          <cell r="E296" t="str">
            <v>※＝</v>
          </cell>
          <cell r="G296" t="str">
            <v>上述（一）和（二）小计</v>
          </cell>
          <cell r="I296">
            <v>8840</v>
          </cell>
        </row>
        <row r="297">
          <cell r="B297">
            <v>8850</v>
          </cell>
          <cell r="C297" t="str">
            <v>其他归属于母公司权益_所有者投入和减少资本影响权益</v>
          </cell>
          <cell r="E297" t="str">
            <v>※＝</v>
          </cell>
          <cell r="G297" t="str">
            <v>（三）所有者投入和减少资本</v>
          </cell>
          <cell r="I297">
            <v>8850</v>
          </cell>
        </row>
        <row r="298">
          <cell r="B298">
            <v>8851</v>
          </cell>
          <cell r="C298" t="str">
            <v>其他归属于母公司权益_所有者投入资本</v>
          </cell>
          <cell r="D298">
            <v>-1</v>
          </cell>
          <cell r="E298" t="str">
            <v>※LOW</v>
          </cell>
          <cell r="G298" t="str">
            <v>1．所有者投入资本</v>
          </cell>
          <cell r="I298">
            <v>8851</v>
          </cell>
          <cell r="J298" t="str">
            <v>J</v>
          </cell>
        </row>
        <row r="299">
          <cell r="B299">
            <v>8852</v>
          </cell>
          <cell r="C299" t="str">
            <v>其他归属于母公司权益_股份支付</v>
          </cell>
          <cell r="D299">
            <v>-1</v>
          </cell>
          <cell r="E299" t="str">
            <v>※LOW</v>
          </cell>
          <cell r="G299" t="str">
            <v>2．股份支付计入所有者权益的金额</v>
          </cell>
          <cell r="I299">
            <v>8852</v>
          </cell>
          <cell r="J299" t="str">
            <v>J</v>
          </cell>
        </row>
        <row r="300">
          <cell r="B300">
            <v>8856</v>
          </cell>
          <cell r="C300" t="str">
            <v>其他归属于母公司权益_所有者其他投入和减少资本</v>
          </cell>
          <cell r="D300">
            <v>-1</v>
          </cell>
          <cell r="E300" t="str">
            <v>※LOW</v>
          </cell>
          <cell r="G300" t="str">
            <v>3．其他</v>
          </cell>
          <cell r="I300">
            <v>8856</v>
          </cell>
          <cell r="J300" t="str">
            <v>J</v>
          </cell>
        </row>
        <row r="301">
          <cell r="B301">
            <v>8860</v>
          </cell>
          <cell r="C301" t="str">
            <v>其他归属于母公司权益_利润分配影响权益</v>
          </cell>
          <cell r="E301" t="str">
            <v>※＝</v>
          </cell>
          <cell r="G301" t="str">
            <v>（四）利润分配</v>
          </cell>
          <cell r="I301">
            <v>8860</v>
          </cell>
        </row>
        <row r="302">
          <cell r="B302">
            <v>8861</v>
          </cell>
          <cell r="C302" t="str">
            <v>其他归属于母公司权益_提取盈余公积</v>
          </cell>
          <cell r="D302">
            <v>-1</v>
          </cell>
          <cell r="E302" t="str">
            <v>※LOW</v>
          </cell>
          <cell r="G302" t="str">
            <v>1．提取盈余公积</v>
          </cell>
          <cell r="I302">
            <v>8861</v>
          </cell>
          <cell r="J302" t="str">
            <v>J</v>
          </cell>
        </row>
        <row r="303">
          <cell r="B303">
            <v>8862</v>
          </cell>
          <cell r="C303" t="str">
            <v>其他归属于母公司权益_提取一般风险准备</v>
          </cell>
          <cell r="D303">
            <v>-1</v>
          </cell>
          <cell r="E303" t="str">
            <v>※LOW</v>
          </cell>
          <cell r="G303" t="str">
            <v>2．提取一般风险准备</v>
          </cell>
          <cell r="I303">
            <v>8862</v>
          </cell>
          <cell r="J303" t="str">
            <v>J</v>
          </cell>
        </row>
        <row r="304">
          <cell r="B304">
            <v>8863</v>
          </cell>
          <cell r="C304" t="str">
            <v>其他归属于母公司权益_对所有者的分配</v>
          </cell>
          <cell r="D304">
            <v>-1</v>
          </cell>
          <cell r="E304" t="str">
            <v>※LOW</v>
          </cell>
          <cell r="G304" t="str">
            <v>3．对所有者（或股东）的分配</v>
          </cell>
          <cell r="I304">
            <v>8863</v>
          </cell>
          <cell r="J304" t="str">
            <v>J</v>
          </cell>
        </row>
        <row r="305">
          <cell r="B305">
            <v>8866</v>
          </cell>
          <cell r="C305" t="str">
            <v>其他归属于母公司权益_其他利润分配</v>
          </cell>
          <cell r="D305">
            <v>-1</v>
          </cell>
          <cell r="E305" t="str">
            <v>※LOW</v>
          </cell>
          <cell r="G305" t="str">
            <v>4．其他</v>
          </cell>
          <cell r="I305">
            <v>8866</v>
          </cell>
          <cell r="J305" t="str">
            <v>J</v>
          </cell>
        </row>
        <row r="306">
          <cell r="B306">
            <v>8870</v>
          </cell>
          <cell r="C306" t="str">
            <v>其他归属于母公司权益_所有者权益内部结转</v>
          </cell>
          <cell r="E306" t="str">
            <v>※＝</v>
          </cell>
          <cell r="G306" t="str">
            <v>（五）所有者权益内部结转</v>
          </cell>
          <cell r="I306">
            <v>8870</v>
          </cell>
        </row>
        <row r="307">
          <cell r="B307">
            <v>8871</v>
          </cell>
          <cell r="C307" t="str">
            <v>其他归属于母公司权益_资本公积转增资本</v>
          </cell>
          <cell r="D307">
            <v>-1</v>
          </cell>
          <cell r="E307" t="str">
            <v>※LOW</v>
          </cell>
          <cell r="G307" t="str">
            <v>1．资本公积转增资本（或股本）</v>
          </cell>
          <cell r="I307">
            <v>8871</v>
          </cell>
          <cell r="J307" t="str">
            <v>J</v>
          </cell>
        </row>
        <row r="308">
          <cell r="B308">
            <v>8872</v>
          </cell>
          <cell r="C308" t="str">
            <v>其他归属于母公司权益_盈余公积转增资本</v>
          </cell>
          <cell r="D308">
            <v>-1</v>
          </cell>
          <cell r="E308" t="str">
            <v>※LOW</v>
          </cell>
          <cell r="G308" t="str">
            <v>2．盈余公积转增资本（或股本）</v>
          </cell>
          <cell r="I308">
            <v>8872</v>
          </cell>
          <cell r="J308" t="str">
            <v>J</v>
          </cell>
        </row>
        <row r="309">
          <cell r="B309">
            <v>8873</v>
          </cell>
          <cell r="C309" t="str">
            <v>其他归属于母公司权益_盈余公积弥补亏损</v>
          </cell>
          <cell r="D309">
            <v>-1</v>
          </cell>
          <cell r="E309" t="str">
            <v>※LOW</v>
          </cell>
          <cell r="G309" t="str">
            <v>3．盈余公积弥补亏损</v>
          </cell>
          <cell r="I309">
            <v>8873</v>
          </cell>
          <cell r="J309" t="str">
            <v>J</v>
          </cell>
        </row>
        <row r="310">
          <cell r="B310">
            <v>8876</v>
          </cell>
          <cell r="C310" t="str">
            <v>其他归属于母公司权益_所有者权益其他内部结转</v>
          </cell>
          <cell r="D310">
            <v>-1</v>
          </cell>
          <cell r="E310" t="str">
            <v>※LOW</v>
          </cell>
          <cell r="G310" t="str">
            <v>4．其他</v>
          </cell>
          <cell r="I310">
            <v>8876</v>
          </cell>
          <cell r="J310" t="str">
            <v>J</v>
          </cell>
        </row>
        <row r="311">
          <cell r="B311">
            <v>8880</v>
          </cell>
          <cell r="C311" t="str">
            <v>其他归属于母公司权益_专项储备影响权益</v>
          </cell>
          <cell r="E311" t="str">
            <v>※＝</v>
          </cell>
          <cell r="G311" t="str">
            <v xml:space="preserve"> （六）专项储备</v>
          </cell>
          <cell r="I311">
            <v>8880</v>
          </cell>
        </row>
        <row r="312">
          <cell r="B312">
            <v>8881</v>
          </cell>
          <cell r="C312" t="str">
            <v>其他归属于母公司权益_专项储备本期提取</v>
          </cell>
          <cell r="D312">
            <v>-1</v>
          </cell>
          <cell r="E312" t="str">
            <v>※LOW</v>
          </cell>
          <cell r="G312" t="str">
            <v>1．本期提取</v>
          </cell>
          <cell r="I312">
            <v>8881</v>
          </cell>
          <cell r="J312" t="str">
            <v>J</v>
          </cell>
        </row>
        <row r="313">
          <cell r="B313">
            <v>8882</v>
          </cell>
          <cell r="C313" t="str">
            <v>其他归属于母公司权益_专项储备本期使用</v>
          </cell>
          <cell r="D313">
            <v>-1</v>
          </cell>
          <cell r="E313" t="str">
            <v>※LOW</v>
          </cell>
          <cell r="G313" t="str">
            <v>2．本期使用</v>
          </cell>
          <cell r="I313">
            <v>8882</v>
          </cell>
          <cell r="J313" t="str">
            <v>J</v>
          </cell>
        </row>
        <row r="314">
          <cell r="B314">
            <v>8896</v>
          </cell>
          <cell r="C314" t="str">
            <v>其他归属于母公司权益_本期其他增减变动</v>
          </cell>
          <cell r="D314">
            <v>-1</v>
          </cell>
          <cell r="E314" t="str">
            <v>※LOW</v>
          </cell>
          <cell r="G314" t="str">
            <v>（七）其他</v>
          </cell>
          <cell r="I314">
            <v>8896</v>
          </cell>
          <cell r="J314" t="str">
            <v>J</v>
          </cell>
        </row>
        <row r="315">
          <cell r="B315">
            <v>8899</v>
          </cell>
          <cell r="C315" t="str">
            <v>其他归属于母公司权益_本期期末余额</v>
          </cell>
          <cell r="E315" t="str">
            <v>※＝</v>
          </cell>
          <cell r="G315" t="str">
            <v>四、本期期末余额</v>
          </cell>
          <cell r="I315">
            <v>8899</v>
          </cell>
        </row>
        <row r="316">
          <cell r="B316">
            <v>8900</v>
          </cell>
          <cell r="C316" t="str">
            <v>少数股东权益增减变动</v>
          </cell>
          <cell r="E316" t="str">
            <v>※</v>
          </cell>
          <cell r="G316" t="str">
            <v>少数股东权益增减变动</v>
          </cell>
          <cell r="I316">
            <v>8900</v>
          </cell>
        </row>
        <row r="317">
          <cell r="B317">
            <v>8901</v>
          </cell>
          <cell r="C317" t="str">
            <v>少数股东权益_上年年末余额</v>
          </cell>
          <cell r="D317">
            <v>-1</v>
          </cell>
          <cell r="E317" t="str">
            <v>※</v>
          </cell>
          <cell r="G317" t="str">
            <v>一、上年年末余额</v>
          </cell>
          <cell r="I317">
            <v>8901</v>
          </cell>
          <cell r="J317" t="str">
            <v>J</v>
          </cell>
        </row>
        <row r="318">
          <cell r="B318">
            <v>8902</v>
          </cell>
          <cell r="C318" t="str">
            <v>少数股东权益_会计政策变更调整上年年末余额</v>
          </cell>
          <cell r="D318">
            <v>-1</v>
          </cell>
          <cell r="E318" t="str">
            <v>※</v>
          </cell>
          <cell r="G318" t="str">
            <v>加：会计政策变更</v>
          </cell>
          <cell r="I318">
            <v>8902</v>
          </cell>
          <cell r="J318" t="str">
            <v>J</v>
          </cell>
        </row>
        <row r="319">
          <cell r="B319">
            <v>8903</v>
          </cell>
          <cell r="C319" t="str">
            <v>少数股东权益_前期差错更正调整上年年末余额</v>
          </cell>
          <cell r="D319">
            <v>-1</v>
          </cell>
          <cell r="E319" t="str">
            <v>※</v>
          </cell>
          <cell r="G319" t="str">
            <v>前期差错更正</v>
          </cell>
          <cell r="I319">
            <v>8903</v>
          </cell>
          <cell r="J319" t="str">
            <v>J</v>
          </cell>
        </row>
        <row r="320">
          <cell r="B320">
            <v>8909</v>
          </cell>
          <cell r="C320" t="str">
            <v>少数股东权益_其他原因调整上年年末余额</v>
          </cell>
          <cell r="D320">
            <v>-1</v>
          </cell>
          <cell r="E320" t="str">
            <v>※</v>
          </cell>
          <cell r="G320" t="str">
            <v>其他</v>
          </cell>
          <cell r="I320">
            <v>8909</v>
          </cell>
          <cell r="J320" t="str">
            <v>J</v>
          </cell>
        </row>
        <row r="321">
          <cell r="B321">
            <v>8910</v>
          </cell>
          <cell r="C321" t="str">
            <v>少数股东权益_本年年初余额</v>
          </cell>
          <cell r="E321" t="str">
            <v>※＝</v>
          </cell>
          <cell r="G321" t="str">
            <v>二、本年年初余额</v>
          </cell>
          <cell r="I321">
            <v>8910</v>
          </cell>
        </row>
        <row r="322">
          <cell r="B322">
            <v>8990</v>
          </cell>
          <cell r="C322" t="str">
            <v>少数股东权益_本期增减变动金额</v>
          </cell>
          <cell r="E322" t="str">
            <v>※＝</v>
          </cell>
          <cell r="G322" t="str">
            <v>三、本期增减变动金额（减少以“-”号填列）</v>
          </cell>
          <cell r="I322">
            <v>8990</v>
          </cell>
        </row>
        <row r="323">
          <cell r="B323">
            <v>8921</v>
          </cell>
          <cell r="C323" t="str">
            <v>少数股东权益_净利润</v>
          </cell>
          <cell r="D323">
            <v>-1</v>
          </cell>
          <cell r="E323" t="str">
            <v>※</v>
          </cell>
          <cell r="G323" t="str">
            <v>（一）净利润</v>
          </cell>
          <cell r="I323">
            <v>8921</v>
          </cell>
          <cell r="J323" t="str">
            <v>J</v>
          </cell>
        </row>
        <row r="324">
          <cell r="B324">
            <v>8930</v>
          </cell>
          <cell r="C324" t="str">
            <v>少数股东权益_其他综合收益</v>
          </cell>
          <cell r="D324">
            <v>-1</v>
          </cell>
          <cell r="E324" t="str">
            <v>※</v>
          </cell>
          <cell r="G324" t="str">
            <v>（二）其他综合收益</v>
          </cell>
          <cell r="I324">
            <v>8930</v>
          </cell>
          <cell r="J324" t="str">
            <v>J</v>
          </cell>
        </row>
        <row r="325">
          <cell r="B325">
            <v>8940</v>
          </cell>
          <cell r="C325" t="str">
            <v>少数股东权益_净利润与其他综合收益增加权益</v>
          </cell>
          <cell r="E325" t="str">
            <v>※＝</v>
          </cell>
          <cell r="G325" t="str">
            <v>上述（一）和（二）小计</v>
          </cell>
          <cell r="I325">
            <v>8940</v>
          </cell>
        </row>
        <row r="326">
          <cell r="B326">
            <v>8950</v>
          </cell>
          <cell r="C326" t="str">
            <v>少数股东权益_所有者投入和减少资本影响权益</v>
          </cell>
          <cell r="E326" t="str">
            <v>※＝</v>
          </cell>
          <cell r="G326" t="str">
            <v>（三）所有者投入和减少资本</v>
          </cell>
          <cell r="I326">
            <v>8950</v>
          </cell>
        </row>
        <row r="327">
          <cell r="B327">
            <v>8951</v>
          </cell>
          <cell r="C327" t="str">
            <v>少数股东权益_所有者投入资本</v>
          </cell>
          <cell r="D327">
            <v>-1</v>
          </cell>
          <cell r="E327" t="str">
            <v>※</v>
          </cell>
          <cell r="G327" t="str">
            <v>1．所有者投入资本</v>
          </cell>
          <cell r="I327">
            <v>8951</v>
          </cell>
          <cell r="J327" t="str">
            <v>J</v>
          </cell>
        </row>
        <row r="328">
          <cell r="B328">
            <v>8952</v>
          </cell>
          <cell r="C328" t="str">
            <v>少数股东权益_股份支付</v>
          </cell>
          <cell r="D328">
            <v>-1</v>
          </cell>
          <cell r="E328" t="str">
            <v>※LOW</v>
          </cell>
          <cell r="G328" t="str">
            <v>2．股份支付计入所有者权益的金额</v>
          </cell>
          <cell r="I328">
            <v>8952</v>
          </cell>
          <cell r="J328" t="str">
            <v>J</v>
          </cell>
        </row>
        <row r="329">
          <cell r="B329">
            <v>8956</v>
          </cell>
          <cell r="C329" t="str">
            <v>少数股东权益_所有者其他投入和减少资本</v>
          </cell>
          <cell r="D329">
            <v>-1</v>
          </cell>
          <cell r="E329" t="str">
            <v>※LOW</v>
          </cell>
          <cell r="G329" t="str">
            <v>3．其他</v>
          </cell>
          <cell r="I329">
            <v>8956</v>
          </cell>
          <cell r="J329" t="str">
            <v>J</v>
          </cell>
        </row>
        <row r="330">
          <cell r="B330">
            <v>8960</v>
          </cell>
          <cell r="C330" t="str">
            <v>少数股东权益_利润分配影响权益</v>
          </cell>
          <cell r="E330" t="str">
            <v>※＝</v>
          </cell>
          <cell r="G330" t="str">
            <v>（四）利润分配</v>
          </cell>
          <cell r="I330">
            <v>8960</v>
          </cell>
        </row>
        <row r="331">
          <cell r="B331">
            <v>8963</v>
          </cell>
          <cell r="C331" t="str">
            <v>少数股东权益_对所有者的分配</v>
          </cell>
          <cell r="D331">
            <v>-1</v>
          </cell>
          <cell r="E331" t="str">
            <v>※</v>
          </cell>
          <cell r="G331" t="str">
            <v>3．对所有者（或股东）的分配</v>
          </cell>
          <cell r="I331">
            <v>8963</v>
          </cell>
          <cell r="J331" t="str">
            <v>J</v>
          </cell>
        </row>
        <row r="332">
          <cell r="B332">
            <v>8966</v>
          </cell>
          <cell r="C332" t="str">
            <v>少数股东权益_其他利润分配</v>
          </cell>
          <cell r="D332">
            <v>-1</v>
          </cell>
          <cell r="E332" t="str">
            <v>※LOW</v>
          </cell>
          <cell r="G332" t="str">
            <v>4．其他</v>
          </cell>
          <cell r="I332">
            <v>8966</v>
          </cell>
          <cell r="J332" t="str">
            <v>J</v>
          </cell>
        </row>
        <row r="333">
          <cell r="B333">
            <v>8970</v>
          </cell>
          <cell r="C333" t="str">
            <v>少数股东权益_所有者权益内部结转</v>
          </cell>
          <cell r="E333" t="str">
            <v>※＝</v>
          </cell>
          <cell r="G333" t="str">
            <v>（五）所有者权益内部结转</v>
          </cell>
          <cell r="I333">
            <v>8970</v>
          </cell>
        </row>
        <row r="334">
          <cell r="B334">
            <v>8976</v>
          </cell>
          <cell r="C334" t="str">
            <v>少数股东权益_所有者权益其他内部结转</v>
          </cell>
          <cell r="D334">
            <v>-1</v>
          </cell>
          <cell r="E334" t="str">
            <v>※LOW</v>
          </cell>
          <cell r="G334" t="str">
            <v>4．其他</v>
          </cell>
          <cell r="I334">
            <v>8976</v>
          </cell>
          <cell r="J334" t="str">
            <v>J</v>
          </cell>
        </row>
        <row r="335">
          <cell r="B335">
            <v>8980</v>
          </cell>
          <cell r="C335" t="str">
            <v>少数股东权益_专项储备影响权益</v>
          </cell>
          <cell r="E335" t="str">
            <v>※＝</v>
          </cell>
          <cell r="G335" t="str">
            <v xml:space="preserve"> （六）专项储备</v>
          </cell>
          <cell r="I335">
            <v>8980</v>
          </cell>
        </row>
        <row r="336">
          <cell r="B336">
            <v>8981</v>
          </cell>
          <cell r="C336" t="str">
            <v>少数股东权益_专项储备本期提取</v>
          </cell>
          <cell r="D336">
            <v>-1</v>
          </cell>
          <cell r="E336" t="str">
            <v>※LOW</v>
          </cell>
          <cell r="G336" t="str">
            <v>1．本期提取</v>
          </cell>
          <cell r="I336">
            <v>8981</v>
          </cell>
          <cell r="J336" t="str">
            <v>J</v>
          </cell>
        </row>
        <row r="337">
          <cell r="B337">
            <v>8982</v>
          </cell>
          <cell r="C337" t="str">
            <v>少数股东权益_专项储备本期使用</v>
          </cell>
          <cell r="D337">
            <v>-1</v>
          </cell>
          <cell r="E337" t="str">
            <v>※LOW</v>
          </cell>
          <cell r="G337" t="str">
            <v>2．本期使用</v>
          </cell>
          <cell r="I337">
            <v>8982</v>
          </cell>
          <cell r="J337" t="str">
            <v>J</v>
          </cell>
        </row>
        <row r="338">
          <cell r="B338">
            <v>8996</v>
          </cell>
          <cell r="C338" t="str">
            <v>少数股东权益_本期其他增减变动</v>
          </cell>
          <cell r="D338">
            <v>-1</v>
          </cell>
          <cell r="E338" t="str">
            <v>※LOW</v>
          </cell>
          <cell r="G338" t="str">
            <v>（七）其他</v>
          </cell>
          <cell r="I338">
            <v>8996</v>
          </cell>
          <cell r="J338" t="str">
            <v>J</v>
          </cell>
        </row>
        <row r="339">
          <cell r="B339">
            <v>8999</v>
          </cell>
          <cell r="C339" t="str">
            <v>少数股东权益_本期期末余额</v>
          </cell>
          <cell r="E339" t="str">
            <v>※＝</v>
          </cell>
          <cell r="G339" t="str">
            <v>四、本期期末余额</v>
          </cell>
          <cell r="I339">
            <v>8999</v>
          </cell>
        </row>
        <row r="340">
          <cell r="B340">
            <v>7</v>
          </cell>
          <cell r="C340" t="str">
            <v>现金流量表</v>
          </cell>
          <cell r="E340" t="str">
            <v>：</v>
          </cell>
          <cell r="G340" t="str">
            <v>现金流量表</v>
          </cell>
          <cell r="I340">
            <v>7</v>
          </cell>
        </row>
        <row r="341">
          <cell r="B341">
            <v>7000</v>
          </cell>
          <cell r="C341" t="str">
            <v>经营活动现金流量项目</v>
          </cell>
          <cell r="E341" t="str">
            <v>：</v>
          </cell>
          <cell r="G341" t="str">
            <v>一、经营活动产生的现金流量：</v>
          </cell>
          <cell r="I341">
            <v>7000</v>
          </cell>
        </row>
        <row r="342">
          <cell r="B342">
            <v>7001</v>
          </cell>
          <cell r="C342" t="str">
            <v>销售商品提供劳务收到的现金</v>
          </cell>
          <cell r="D342">
            <v>1</v>
          </cell>
          <cell r="G342" t="str">
            <v>销售商品、提供劳务收到的现金</v>
          </cell>
          <cell r="I342">
            <v>7001</v>
          </cell>
          <cell r="J342" t="str">
            <v>J</v>
          </cell>
        </row>
        <row r="343">
          <cell r="B343">
            <v>7011</v>
          </cell>
          <cell r="C343" t="str">
            <v>客户存款和同业存放款项净增加额</v>
          </cell>
          <cell r="D343">
            <v>1</v>
          </cell>
          <cell r="E343" t="str">
            <v>△</v>
          </cell>
          <cell r="G343" t="str">
            <v>客户存款和同业存放款项净增加额</v>
          </cell>
          <cell r="I343">
            <v>7011</v>
          </cell>
          <cell r="J343" t="str">
            <v>J</v>
          </cell>
        </row>
        <row r="344">
          <cell r="B344">
            <v>7012</v>
          </cell>
          <cell r="C344" t="str">
            <v>向中央银行借款净增加额</v>
          </cell>
          <cell r="D344">
            <v>1</v>
          </cell>
          <cell r="E344" t="str">
            <v>△</v>
          </cell>
          <cell r="G344" t="str">
            <v>向中央银行借款净增加额</v>
          </cell>
          <cell r="I344">
            <v>7012</v>
          </cell>
          <cell r="J344" t="str">
            <v>J</v>
          </cell>
        </row>
        <row r="345">
          <cell r="B345">
            <v>7013</v>
          </cell>
          <cell r="C345" t="str">
            <v>向其他金融机构拆入资金净增加额</v>
          </cell>
          <cell r="D345">
            <v>1</v>
          </cell>
          <cell r="E345" t="str">
            <v>△</v>
          </cell>
          <cell r="G345" t="str">
            <v>向其他金融机构拆入资金净增加额</v>
          </cell>
          <cell r="I345">
            <v>7013</v>
          </cell>
          <cell r="J345" t="str">
            <v>J</v>
          </cell>
        </row>
        <row r="346">
          <cell r="B346">
            <v>7014</v>
          </cell>
          <cell r="C346" t="str">
            <v>收到原保险合同保费取得的现金</v>
          </cell>
          <cell r="D346">
            <v>1</v>
          </cell>
          <cell r="E346" t="str">
            <v>△</v>
          </cell>
          <cell r="G346" t="str">
            <v>收到原保险合同保费取得的现金</v>
          </cell>
          <cell r="I346">
            <v>7014</v>
          </cell>
          <cell r="J346" t="str">
            <v>J</v>
          </cell>
        </row>
        <row r="347">
          <cell r="B347">
            <v>7015</v>
          </cell>
          <cell r="C347" t="str">
            <v>收到再保险业务现金净额</v>
          </cell>
          <cell r="D347">
            <v>1</v>
          </cell>
          <cell r="E347" t="str">
            <v>△</v>
          </cell>
          <cell r="G347" t="str">
            <v>收到再保险业务现金净额</v>
          </cell>
          <cell r="I347">
            <v>7015</v>
          </cell>
          <cell r="J347" t="str">
            <v>J</v>
          </cell>
        </row>
        <row r="348">
          <cell r="B348">
            <v>7016</v>
          </cell>
          <cell r="C348" t="str">
            <v>保户储金及投资款净增加额</v>
          </cell>
          <cell r="D348">
            <v>1</v>
          </cell>
          <cell r="E348" t="str">
            <v>△</v>
          </cell>
          <cell r="G348" t="str">
            <v>保户储金及投资款净增加额</v>
          </cell>
          <cell r="I348">
            <v>7016</v>
          </cell>
          <cell r="J348" t="str">
            <v>J</v>
          </cell>
        </row>
        <row r="349">
          <cell r="B349">
            <v>7021</v>
          </cell>
          <cell r="C349" t="str">
            <v>处置交易性金融资产净增加额</v>
          </cell>
          <cell r="D349">
            <v>1</v>
          </cell>
          <cell r="E349" t="str">
            <v>△</v>
          </cell>
          <cell r="G349" t="str">
            <v>处置交易性金融资产净增加额</v>
          </cell>
          <cell r="I349">
            <v>7021</v>
          </cell>
          <cell r="J349" t="str">
            <v>J</v>
          </cell>
        </row>
        <row r="350">
          <cell r="B350">
            <v>7023</v>
          </cell>
          <cell r="C350" t="str">
            <v>收取利息手续费及佣金的现金</v>
          </cell>
          <cell r="D350">
            <v>1</v>
          </cell>
          <cell r="E350" t="str">
            <v>△</v>
          </cell>
          <cell r="G350" t="str">
            <v>收取利息、手续费及佣金的现金</v>
          </cell>
          <cell r="I350">
            <v>7023</v>
          </cell>
          <cell r="J350" t="str">
            <v>J</v>
          </cell>
        </row>
        <row r="351">
          <cell r="B351">
            <v>7025</v>
          </cell>
          <cell r="C351" t="str">
            <v>拆入资金净增加额</v>
          </cell>
          <cell r="D351">
            <v>1</v>
          </cell>
          <cell r="E351" t="str">
            <v>△</v>
          </cell>
          <cell r="G351" t="str">
            <v>拆入资金净增加额</v>
          </cell>
          <cell r="I351">
            <v>7025</v>
          </cell>
          <cell r="J351" t="str">
            <v>J</v>
          </cell>
        </row>
        <row r="352">
          <cell r="B352">
            <v>7026</v>
          </cell>
          <cell r="C352" t="str">
            <v>回购业务资金净增加额</v>
          </cell>
          <cell r="D352">
            <v>1</v>
          </cell>
          <cell r="E352" t="str">
            <v>△</v>
          </cell>
          <cell r="G352" t="str">
            <v>回购业务资金净增加额</v>
          </cell>
          <cell r="I352">
            <v>7026</v>
          </cell>
          <cell r="J352" t="str">
            <v>J</v>
          </cell>
        </row>
        <row r="353">
          <cell r="B353">
            <v>7031</v>
          </cell>
          <cell r="C353" t="str">
            <v>收到的税费返还</v>
          </cell>
          <cell r="D353">
            <v>1</v>
          </cell>
          <cell r="G353" t="str">
            <v>收到的税费返还</v>
          </cell>
          <cell r="I353">
            <v>7031</v>
          </cell>
          <cell r="J353" t="str">
            <v>J</v>
          </cell>
        </row>
        <row r="354">
          <cell r="B354">
            <v>7046</v>
          </cell>
          <cell r="C354" t="str">
            <v>收到其他与经营活动有关的现金</v>
          </cell>
          <cell r="D354">
            <v>1</v>
          </cell>
          <cell r="G354" t="str">
            <v>收到其他与经营活动有关的现金</v>
          </cell>
          <cell r="I354">
            <v>7046</v>
          </cell>
          <cell r="J354" t="str">
            <v>J</v>
          </cell>
        </row>
        <row r="355">
          <cell r="B355">
            <v>7048</v>
          </cell>
          <cell r="C355" t="str">
            <v>经营活动现金流入</v>
          </cell>
          <cell r="E355" t="str">
            <v>＝</v>
          </cell>
          <cell r="G355" t="str">
            <v>经营活动现金流入小计</v>
          </cell>
          <cell r="I355">
            <v>7048</v>
          </cell>
        </row>
        <row r="356">
          <cell r="B356">
            <v>7051</v>
          </cell>
          <cell r="C356" t="str">
            <v>购买商品接受劳务支付的现金</v>
          </cell>
          <cell r="D356">
            <v>-1</v>
          </cell>
          <cell r="G356" t="str">
            <v>购买商品、接受劳务支付的现金</v>
          </cell>
          <cell r="I356">
            <v>7051</v>
          </cell>
          <cell r="J356" t="str">
            <v>J</v>
          </cell>
        </row>
        <row r="357">
          <cell r="B357">
            <v>7053</v>
          </cell>
          <cell r="C357" t="str">
            <v>客户贷款及垫款净增加额</v>
          </cell>
          <cell r="D357">
            <v>-1</v>
          </cell>
          <cell r="E357" t="str">
            <v>△</v>
          </cell>
          <cell r="G357" t="str">
            <v>客户贷款及垫款净增加额</v>
          </cell>
          <cell r="I357">
            <v>7053</v>
          </cell>
          <cell r="J357" t="str">
            <v>J</v>
          </cell>
        </row>
        <row r="358">
          <cell r="B358">
            <v>7054</v>
          </cell>
          <cell r="C358" t="str">
            <v>存放中央银行和同业款项净增加额</v>
          </cell>
          <cell r="D358">
            <v>-1</v>
          </cell>
          <cell r="E358" t="str">
            <v>△</v>
          </cell>
          <cell r="G358" t="str">
            <v>存放中央银行和同业款项净增加额</v>
          </cell>
          <cell r="I358">
            <v>7054</v>
          </cell>
          <cell r="J358" t="str">
            <v>J</v>
          </cell>
        </row>
        <row r="359">
          <cell r="B359">
            <v>7055</v>
          </cell>
          <cell r="C359" t="str">
            <v>支付原保险合同赔付款项的现金</v>
          </cell>
          <cell r="D359">
            <v>-1</v>
          </cell>
          <cell r="E359" t="str">
            <v>△</v>
          </cell>
          <cell r="G359" t="str">
            <v>支付原保险合同赔付款项的现金</v>
          </cell>
          <cell r="I359">
            <v>7055</v>
          </cell>
          <cell r="J359" t="str">
            <v>J</v>
          </cell>
        </row>
        <row r="360">
          <cell r="B360">
            <v>7056</v>
          </cell>
          <cell r="C360" t="str">
            <v>支付利息手续费及佣金的现金</v>
          </cell>
          <cell r="D360">
            <v>-1</v>
          </cell>
          <cell r="E360" t="str">
            <v>△</v>
          </cell>
          <cell r="G360" t="str">
            <v>支付利息、手续费及佣金的现金</v>
          </cell>
          <cell r="I360">
            <v>7056</v>
          </cell>
          <cell r="J360" t="str">
            <v>J</v>
          </cell>
        </row>
        <row r="361">
          <cell r="B361">
            <v>7057</v>
          </cell>
          <cell r="C361" t="str">
            <v>支付保单红利的现金</v>
          </cell>
          <cell r="D361">
            <v>-1</v>
          </cell>
          <cell r="E361" t="str">
            <v>△</v>
          </cell>
          <cell r="G361" t="str">
            <v>支付保单红利的现金</v>
          </cell>
          <cell r="I361">
            <v>7057</v>
          </cell>
          <cell r="J361" t="str">
            <v>J</v>
          </cell>
        </row>
        <row r="362">
          <cell r="B362">
            <v>7061</v>
          </cell>
          <cell r="C362" t="str">
            <v>支付给职工以及为职工支付的现金</v>
          </cell>
          <cell r="D362">
            <v>-1</v>
          </cell>
          <cell r="G362" t="str">
            <v>支付给职工以及为职工支付的现金</v>
          </cell>
          <cell r="I362">
            <v>7061</v>
          </cell>
          <cell r="J362" t="str">
            <v>J</v>
          </cell>
        </row>
        <row r="363">
          <cell r="B363">
            <v>7071</v>
          </cell>
          <cell r="C363" t="str">
            <v>支付的各项税费</v>
          </cell>
          <cell r="D363">
            <v>-1</v>
          </cell>
          <cell r="G363" t="str">
            <v>支付的各项税费</v>
          </cell>
          <cell r="I363">
            <v>7071</v>
          </cell>
          <cell r="J363" t="str">
            <v>J</v>
          </cell>
        </row>
        <row r="364">
          <cell r="B364">
            <v>7096</v>
          </cell>
          <cell r="C364" t="str">
            <v>支付其他与经营活动有关的现金</v>
          </cell>
          <cell r="D364">
            <v>-1</v>
          </cell>
          <cell r="G364" t="str">
            <v>支付其他与经营活动有关的现金</v>
          </cell>
          <cell r="I364">
            <v>7096</v>
          </cell>
          <cell r="J364" t="str">
            <v>J</v>
          </cell>
        </row>
        <row r="365">
          <cell r="B365">
            <v>7098</v>
          </cell>
          <cell r="C365" t="str">
            <v>经营活动现金流出</v>
          </cell>
          <cell r="E365" t="str">
            <v>＝</v>
          </cell>
          <cell r="G365" t="str">
            <v>经营活动现金流出小计</v>
          </cell>
          <cell r="I365">
            <v>7098</v>
          </cell>
        </row>
        <row r="366">
          <cell r="B366">
            <v>7099</v>
          </cell>
          <cell r="C366" t="str">
            <v>经营活动产生的现金流量净额</v>
          </cell>
          <cell r="E366" t="str">
            <v>＝</v>
          </cell>
          <cell r="G366" t="str">
            <v>经营活动产生的现金流量净额</v>
          </cell>
          <cell r="I366">
            <v>7099</v>
          </cell>
        </row>
        <row r="367">
          <cell r="B367">
            <v>7100</v>
          </cell>
          <cell r="C367" t="str">
            <v>投资活动现金流量项目</v>
          </cell>
          <cell r="E367" t="str">
            <v>：</v>
          </cell>
          <cell r="G367" t="str">
            <v>二、投资活动产生的现金流量：</v>
          </cell>
          <cell r="I367">
            <v>7100</v>
          </cell>
        </row>
        <row r="368">
          <cell r="B368">
            <v>7101</v>
          </cell>
          <cell r="C368" t="str">
            <v>收回投资收到的现金</v>
          </cell>
          <cell r="D368">
            <v>1</v>
          </cell>
          <cell r="G368" t="str">
            <v>收回投资收到的现金</v>
          </cell>
          <cell r="I368">
            <v>7101</v>
          </cell>
          <cell r="J368" t="str">
            <v>J</v>
          </cell>
        </row>
        <row r="369">
          <cell r="B369">
            <v>7105</v>
          </cell>
          <cell r="C369" t="str">
            <v>取得投资收益收到的现金</v>
          </cell>
          <cell r="D369">
            <v>1</v>
          </cell>
          <cell r="G369" t="str">
            <v>取得投资收益收到的现金</v>
          </cell>
          <cell r="I369">
            <v>7105</v>
          </cell>
          <cell r="J369" t="str">
            <v>J</v>
          </cell>
        </row>
        <row r="370">
          <cell r="B370">
            <v>7111</v>
          </cell>
          <cell r="C370" t="str">
            <v>处置固定资产无形资产长期资产收回的现金</v>
          </cell>
          <cell r="D370">
            <v>1</v>
          </cell>
          <cell r="G370" t="str">
            <v>处置固定资产、无形资产和其他长期资产收回的现金净额</v>
          </cell>
          <cell r="I370">
            <v>7111</v>
          </cell>
          <cell r="J370" t="str">
            <v>J</v>
          </cell>
        </row>
        <row r="371">
          <cell r="B371">
            <v>7121</v>
          </cell>
          <cell r="C371" t="str">
            <v>处置子公司及其他营业单位收到的现金净额</v>
          </cell>
          <cell r="D371">
            <v>1</v>
          </cell>
          <cell r="G371" t="str">
            <v>处置子公司及其他营业单位收到的现金净额</v>
          </cell>
          <cell r="I371">
            <v>7121</v>
          </cell>
          <cell r="J371" t="str">
            <v>J</v>
          </cell>
        </row>
        <row r="372">
          <cell r="B372">
            <v>7146</v>
          </cell>
          <cell r="C372" t="str">
            <v>收到其他与投资活动有关的现金</v>
          </cell>
          <cell r="D372">
            <v>1</v>
          </cell>
          <cell r="G372" t="str">
            <v>收到其他与投资活动有关的现金</v>
          </cell>
          <cell r="I372">
            <v>7146</v>
          </cell>
          <cell r="J372" t="str">
            <v>J</v>
          </cell>
        </row>
        <row r="373">
          <cell r="B373">
            <v>7148</v>
          </cell>
          <cell r="C373" t="str">
            <v>投资活动现金流入</v>
          </cell>
          <cell r="E373" t="str">
            <v>＝</v>
          </cell>
          <cell r="G373" t="str">
            <v>投资活动现金流入小计</v>
          </cell>
          <cell r="I373">
            <v>7148</v>
          </cell>
        </row>
        <row r="374">
          <cell r="B374">
            <v>7151</v>
          </cell>
          <cell r="C374" t="str">
            <v>购建固定资产无形资产长期资产支付的现金</v>
          </cell>
          <cell r="D374">
            <v>-1</v>
          </cell>
          <cell r="G374" t="str">
            <v>购建固定资产、无形资产和其他长期资产支付的现金</v>
          </cell>
          <cell r="I374">
            <v>7151</v>
          </cell>
          <cell r="J374" t="str">
            <v>J</v>
          </cell>
        </row>
        <row r="375">
          <cell r="B375">
            <v>7161</v>
          </cell>
          <cell r="C375" t="str">
            <v>投资支付的现金</v>
          </cell>
          <cell r="D375">
            <v>-1</v>
          </cell>
          <cell r="G375" t="str">
            <v>投资支付的现金</v>
          </cell>
          <cell r="I375">
            <v>7161</v>
          </cell>
          <cell r="J375" t="str">
            <v>J</v>
          </cell>
        </row>
        <row r="376">
          <cell r="B376">
            <v>7165</v>
          </cell>
          <cell r="C376" t="str">
            <v>质押贷款净增加额</v>
          </cell>
          <cell r="D376">
            <v>-1</v>
          </cell>
          <cell r="E376" t="str">
            <v>△</v>
          </cell>
          <cell r="G376" t="str">
            <v>质押贷款净增加额</v>
          </cell>
          <cell r="I376">
            <v>7165</v>
          </cell>
          <cell r="J376" t="str">
            <v>J</v>
          </cell>
        </row>
        <row r="377">
          <cell r="B377">
            <v>7171</v>
          </cell>
          <cell r="C377" t="str">
            <v>取得子公司及其他营业单位支付的现金净额</v>
          </cell>
          <cell r="D377">
            <v>-1</v>
          </cell>
          <cell r="G377" t="str">
            <v>取得子公司及其他营业单位支付的现金净额</v>
          </cell>
          <cell r="I377">
            <v>7171</v>
          </cell>
          <cell r="J377" t="str">
            <v>J</v>
          </cell>
        </row>
        <row r="378">
          <cell r="B378">
            <v>7196</v>
          </cell>
          <cell r="C378" t="str">
            <v>支付其他与投资活动有关的现金</v>
          </cell>
          <cell r="D378">
            <v>-1</v>
          </cell>
          <cell r="G378" t="str">
            <v>支付其他与投资活动有关的现金</v>
          </cell>
          <cell r="I378">
            <v>7196</v>
          </cell>
          <cell r="J378" t="str">
            <v>J</v>
          </cell>
        </row>
        <row r="379">
          <cell r="B379">
            <v>7198</v>
          </cell>
          <cell r="C379" t="str">
            <v>投资活动现金流出</v>
          </cell>
          <cell r="E379" t="str">
            <v>＝</v>
          </cell>
          <cell r="G379" t="str">
            <v>投资活动现金流出小计</v>
          </cell>
          <cell r="I379">
            <v>7198</v>
          </cell>
        </row>
        <row r="380">
          <cell r="B380">
            <v>7199</v>
          </cell>
          <cell r="C380" t="str">
            <v>投资活动产生的现金流量净额</v>
          </cell>
          <cell r="E380" t="str">
            <v>＝</v>
          </cell>
          <cell r="G380" t="str">
            <v>投资活动产生的现金流量净额</v>
          </cell>
          <cell r="I380">
            <v>7199</v>
          </cell>
        </row>
        <row r="381">
          <cell r="B381">
            <v>7200</v>
          </cell>
          <cell r="C381" t="str">
            <v>筹资活动现金流量项目</v>
          </cell>
          <cell r="E381" t="str">
            <v>：</v>
          </cell>
          <cell r="G381" t="str">
            <v>三、筹资活动产生的现金流量：</v>
          </cell>
          <cell r="I381">
            <v>7200</v>
          </cell>
        </row>
        <row r="382">
          <cell r="B382">
            <v>7201</v>
          </cell>
          <cell r="C382" t="str">
            <v>吸收投资收到的现金</v>
          </cell>
          <cell r="D382">
            <v>1</v>
          </cell>
          <cell r="G382" t="str">
            <v>吸收投资收到的现金</v>
          </cell>
          <cell r="I382">
            <v>7201</v>
          </cell>
          <cell r="J382" t="str">
            <v>J</v>
          </cell>
        </row>
        <row r="383">
          <cell r="B383">
            <v>7201.01</v>
          </cell>
          <cell r="C383" t="str">
            <v>子公司吸收少数股东投资收到的现金</v>
          </cell>
          <cell r="D383">
            <v>1</v>
          </cell>
          <cell r="E383" t="str">
            <v>※</v>
          </cell>
          <cell r="G383" t="str">
            <v>其中：子公司吸收少数股东投资收到的现金</v>
          </cell>
          <cell r="I383">
            <v>7201.01</v>
          </cell>
          <cell r="J383" t="str">
            <v>J</v>
          </cell>
        </row>
        <row r="384">
          <cell r="B384">
            <v>7211</v>
          </cell>
          <cell r="C384" t="str">
            <v>取得借款收到的现金</v>
          </cell>
          <cell r="D384">
            <v>1</v>
          </cell>
          <cell r="G384" t="str">
            <v>取得借款收到的现金</v>
          </cell>
          <cell r="I384">
            <v>7211</v>
          </cell>
          <cell r="J384" t="str">
            <v>J</v>
          </cell>
        </row>
        <row r="385">
          <cell r="B385">
            <v>7221</v>
          </cell>
          <cell r="C385" t="str">
            <v>发行债券收到的现金</v>
          </cell>
          <cell r="D385">
            <v>1</v>
          </cell>
          <cell r="G385" t="str">
            <v>发行债券收到的现金</v>
          </cell>
          <cell r="I385">
            <v>7221</v>
          </cell>
          <cell r="J385" t="str">
            <v>J</v>
          </cell>
        </row>
        <row r="386">
          <cell r="B386">
            <v>7246</v>
          </cell>
          <cell r="C386" t="str">
            <v>收到其他与筹资活动有关的现金</v>
          </cell>
          <cell r="D386">
            <v>1</v>
          </cell>
          <cell r="G386" t="str">
            <v>收到其他与筹资活动有关的现金</v>
          </cell>
          <cell r="I386">
            <v>7246</v>
          </cell>
          <cell r="J386" t="str">
            <v>J</v>
          </cell>
        </row>
        <row r="387">
          <cell r="B387">
            <v>7248</v>
          </cell>
          <cell r="C387" t="str">
            <v>筹资活动现金流入</v>
          </cell>
          <cell r="E387" t="str">
            <v>＝</v>
          </cell>
          <cell r="G387" t="str">
            <v>筹资活动现金流入小计</v>
          </cell>
          <cell r="I387">
            <v>7248</v>
          </cell>
        </row>
        <row r="388">
          <cell r="B388">
            <v>7251</v>
          </cell>
          <cell r="C388" t="str">
            <v>偿还债务支付的现金</v>
          </cell>
          <cell r="D388">
            <v>-1</v>
          </cell>
          <cell r="G388" t="str">
            <v>偿还债务支付的现金</v>
          </cell>
          <cell r="I388">
            <v>7251</v>
          </cell>
          <cell r="J388" t="str">
            <v>J</v>
          </cell>
        </row>
        <row r="389">
          <cell r="B389">
            <v>7261</v>
          </cell>
          <cell r="C389" t="str">
            <v>分配利润偿付利息支付的现金</v>
          </cell>
          <cell r="D389">
            <v>-1</v>
          </cell>
          <cell r="G389" t="str">
            <v>分配股利、利润或偿付利息支付的现金</v>
          </cell>
          <cell r="I389">
            <v>7261</v>
          </cell>
          <cell r="J389" t="str">
            <v>J</v>
          </cell>
        </row>
        <row r="390">
          <cell r="B390">
            <v>7261.01</v>
          </cell>
          <cell r="C390" t="str">
            <v>子公司支付给少数股东的利润</v>
          </cell>
          <cell r="D390">
            <v>-1</v>
          </cell>
          <cell r="E390" t="str">
            <v>※</v>
          </cell>
          <cell r="G390" t="str">
            <v>其中：子公司支付给少数股东的股利、利润</v>
          </cell>
          <cell r="I390">
            <v>7261.01</v>
          </cell>
          <cell r="J390" t="str">
            <v>J</v>
          </cell>
        </row>
        <row r="391">
          <cell r="B391">
            <v>7296</v>
          </cell>
          <cell r="C391" t="str">
            <v>支付其他与筹资活动有关的现金</v>
          </cell>
          <cell r="D391">
            <v>-1</v>
          </cell>
          <cell r="G391" t="str">
            <v>支付其他与筹资活动有关的现金</v>
          </cell>
          <cell r="I391">
            <v>7296</v>
          </cell>
          <cell r="J391" t="str">
            <v>J</v>
          </cell>
        </row>
        <row r="392">
          <cell r="B392">
            <v>7298</v>
          </cell>
          <cell r="C392" t="str">
            <v>筹资活动现金流出</v>
          </cell>
          <cell r="E392" t="str">
            <v>＝</v>
          </cell>
          <cell r="G392" t="str">
            <v>筹资活动现金流出小计</v>
          </cell>
          <cell r="I392">
            <v>7298</v>
          </cell>
        </row>
        <row r="393">
          <cell r="B393">
            <v>7299</v>
          </cell>
          <cell r="C393" t="str">
            <v>筹资活动产生的现金流量净额</v>
          </cell>
          <cell r="E393" t="str">
            <v>＝</v>
          </cell>
          <cell r="G393" t="str">
            <v>筹资活动产生的现金流量净额</v>
          </cell>
          <cell r="I393">
            <v>7299</v>
          </cell>
        </row>
        <row r="394">
          <cell r="B394">
            <v>7309</v>
          </cell>
          <cell r="C394" t="str">
            <v>汇率变动对现金及现金等价物的影响</v>
          </cell>
          <cell r="D394">
            <v>1</v>
          </cell>
          <cell r="G394" t="str">
            <v>四、汇率变动对现金及现金等价物的影响</v>
          </cell>
          <cell r="I394">
            <v>7309</v>
          </cell>
          <cell r="J394" t="str">
            <v>J</v>
          </cell>
        </row>
        <row r="395">
          <cell r="B395">
            <v>7348</v>
          </cell>
          <cell r="C395" t="str">
            <v>现金及现金等价物净增加额</v>
          </cell>
          <cell r="E395" t="str">
            <v>＝</v>
          </cell>
          <cell r="G395" t="str">
            <v>五、现金及现金等价物净增加额</v>
          </cell>
          <cell r="I395">
            <v>7348</v>
          </cell>
        </row>
        <row r="396">
          <cell r="B396">
            <v>7349</v>
          </cell>
          <cell r="C396" t="str">
            <v>期初现金及现金等价物余额</v>
          </cell>
          <cell r="D396">
            <v>1</v>
          </cell>
          <cell r="G396" t="str">
            <v>加：期初现金及现金等价物余额</v>
          </cell>
          <cell r="I396">
            <v>7349</v>
          </cell>
        </row>
        <row r="397">
          <cell r="B397">
            <v>7399</v>
          </cell>
          <cell r="C397" t="str">
            <v>期末现金及现金等价物余额</v>
          </cell>
          <cell r="E397" t="str">
            <v>＝</v>
          </cell>
          <cell r="G397" t="str">
            <v>六、期末现金及现金等价物余额</v>
          </cell>
          <cell r="I397">
            <v>7399</v>
          </cell>
        </row>
        <row r="398">
          <cell r="B398">
            <v>7500</v>
          </cell>
          <cell r="C398" t="str">
            <v>现金流量表补充资料</v>
          </cell>
          <cell r="E398" t="str">
            <v>：</v>
          </cell>
          <cell r="G398" t="str">
            <v>现金流量表补充资料</v>
          </cell>
          <cell r="I398">
            <v>7500</v>
          </cell>
        </row>
        <row r="399">
          <cell r="B399">
            <v>7501</v>
          </cell>
          <cell r="C399" t="str">
            <v>将净利润调节为经营活动现金流量</v>
          </cell>
          <cell r="E399" t="str">
            <v>：</v>
          </cell>
          <cell r="G399" t="str">
            <v>1.将净利润调节为经营活动现金流量：</v>
          </cell>
          <cell r="I399">
            <v>7501</v>
          </cell>
        </row>
        <row r="400">
          <cell r="B400">
            <v>7502</v>
          </cell>
          <cell r="C400" t="str">
            <v>净利润金额</v>
          </cell>
          <cell r="D400">
            <v>1</v>
          </cell>
          <cell r="G400" t="str">
            <v>净利润</v>
          </cell>
          <cell r="I400">
            <v>7502</v>
          </cell>
        </row>
        <row r="401">
          <cell r="B401">
            <v>7503</v>
          </cell>
          <cell r="C401" t="str">
            <v>资产减值准备金额</v>
          </cell>
          <cell r="D401">
            <v>1</v>
          </cell>
          <cell r="G401" t="str">
            <v>加：资产减值准备</v>
          </cell>
          <cell r="I401">
            <v>7503</v>
          </cell>
        </row>
        <row r="402">
          <cell r="B402">
            <v>7505</v>
          </cell>
          <cell r="C402" t="str">
            <v>固定资产折旧、油气资产折耗、生产性生物资产折旧</v>
          </cell>
          <cell r="D402">
            <v>1</v>
          </cell>
          <cell r="G402" t="str">
            <v>固定资产折旧、油气资产折耗、生产性生物资产折旧</v>
          </cell>
          <cell r="I402">
            <v>7505</v>
          </cell>
        </row>
        <row r="403">
          <cell r="B403">
            <v>7506</v>
          </cell>
          <cell r="C403" t="str">
            <v>无形资产摊销</v>
          </cell>
          <cell r="D403">
            <v>1</v>
          </cell>
          <cell r="G403" t="str">
            <v>无形资产摊销</v>
          </cell>
          <cell r="I403">
            <v>7506</v>
          </cell>
        </row>
        <row r="404">
          <cell r="B404">
            <v>7507</v>
          </cell>
          <cell r="C404" t="str">
            <v>长期待摊费用摊销</v>
          </cell>
          <cell r="D404">
            <v>1</v>
          </cell>
          <cell r="G404" t="str">
            <v>长期待摊费用摊销</v>
          </cell>
          <cell r="I404">
            <v>7507</v>
          </cell>
        </row>
        <row r="405">
          <cell r="B405">
            <v>7508</v>
          </cell>
          <cell r="C405" t="str">
            <v>处置固定资产、无形资产和其他长期资产的损失</v>
          </cell>
          <cell r="D405">
            <v>1</v>
          </cell>
          <cell r="G405" t="str">
            <v>处置固定资产、无形资产和其他长期资产的损失（收益以“－”号填列）</v>
          </cell>
          <cell r="I405">
            <v>7508</v>
          </cell>
        </row>
        <row r="406">
          <cell r="B406">
            <v>7509</v>
          </cell>
          <cell r="C406" t="str">
            <v>固定资产报废损失</v>
          </cell>
          <cell r="D406">
            <v>1</v>
          </cell>
          <cell r="G406" t="str">
            <v>固定资产报废损失（收益以“－”号填列）</v>
          </cell>
          <cell r="I406">
            <v>7509</v>
          </cell>
        </row>
        <row r="407">
          <cell r="B407">
            <v>7510</v>
          </cell>
          <cell r="C407" t="str">
            <v>公允价值变动损失</v>
          </cell>
          <cell r="D407">
            <v>1</v>
          </cell>
          <cell r="G407" t="str">
            <v>公允价值变动损失（收益以“－”号填列）</v>
          </cell>
          <cell r="I407">
            <v>7510</v>
          </cell>
        </row>
        <row r="408">
          <cell r="B408">
            <v>7511</v>
          </cell>
          <cell r="C408" t="str">
            <v>财务费用金额</v>
          </cell>
          <cell r="D408">
            <v>1</v>
          </cell>
          <cell r="G408" t="str">
            <v>财务费用（收益以“－”号填列）</v>
          </cell>
          <cell r="I408">
            <v>7511</v>
          </cell>
        </row>
        <row r="409">
          <cell r="B409">
            <v>7512</v>
          </cell>
          <cell r="C409" t="str">
            <v>投资损失</v>
          </cell>
          <cell r="D409">
            <v>1</v>
          </cell>
          <cell r="G409" t="str">
            <v>投资损失（收益以“－”号填列）</v>
          </cell>
          <cell r="I409">
            <v>7512</v>
          </cell>
        </row>
        <row r="410">
          <cell r="B410">
            <v>7515</v>
          </cell>
          <cell r="C410" t="str">
            <v>递延所得税资产减少</v>
          </cell>
          <cell r="D410">
            <v>1</v>
          </cell>
          <cell r="G410" t="str">
            <v>递延所得税资产减少（增加以“－”号填列）</v>
          </cell>
          <cell r="I410">
            <v>7515</v>
          </cell>
        </row>
        <row r="411">
          <cell r="B411">
            <v>7516</v>
          </cell>
          <cell r="C411" t="str">
            <v>递延所得税负债增加</v>
          </cell>
          <cell r="D411">
            <v>1</v>
          </cell>
          <cell r="G411" t="str">
            <v>递延所得税负债增加（减少以“－”号填列）</v>
          </cell>
          <cell r="I411">
            <v>7516</v>
          </cell>
        </row>
        <row r="412">
          <cell r="B412">
            <v>7517</v>
          </cell>
          <cell r="C412" t="str">
            <v>存货的减少</v>
          </cell>
          <cell r="D412">
            <v>1</v>
          </cell>
          <cell r="G412" t="str">
            <v>存货的减少（增加以“－”号填列）</v>
          </cell>
          <cell r="I412">
            <v>7517</v>
          </cell>
        </row>
        <row r="413">
          <cell r="B413">
            <v>7518</v>
          </cell>
          <cell r="C413" t="str">
            <v>经营性应收项目的减少</v>
          </cell>
          <cell r="D413">
            <v>1</v>
          </cell>
          <cell r="G413" t="str">
            <v>经营性应收项目的减少（增加以“－”号填列）</v>
          </cell>
          <cell r="I413">
            <v>7518</v>
          </cell>
        </row>
        <row r="414">
          <cell r="B414">
            <v>7519</v>
          </cell>
          <cell r="C414" t="str">
            <v>经营性应付项目的增加</v>
          </cell>
          <cell r="D414">
            <v>1</v>
          </cell>
          <cell r="G414" t="str">
            <v>经营性应付项目的增加（减少以“－”号填列）</v>
          </cell>
          <cell r="I414">
            <v>7519</v>
          </cell>
        </row>
        <row r="415">
          <cell r="B415">
            <v>7523</v>
          </cell>
          <cell r="C415" t="str">
            <v>其他将净利润调节为经营活动现金流量项目</v>
          </cell>
          <cell r="D415">
            <v>1</v>
          </cell>
          <cell r="G415" t="str">
            <v>其他</v>
          </cell>
          <cell r="I415">
            <v>7523</v>
          </cell>
        </row>
        <row r="416">
          <cell r="B416">
            <v>7525</v>
          </cell>
          <cell r="C416" t="str">
            <v>经营活动产生的现金流量净额</v>
          </cell>
          <cell r="E416" t="str">
            <v>＝</v>
          </cell>
          <cell r="G416" t="str">
            <v>经营活动产生的现金流量净额</v>
          </cell>
          <cell r="I416">
            <v>7525</v>
          </cell>
        </row>
        <row r="417">
          <cell r="B417">
            <v>7526</v>
          </cell>
          <cell r="C417" t="str">
            <v>不涉及现金收支的重大投资和筹资活动</v>
          </cell>
          <cell r="E417" t="str">
            <v>：</v>
          </cell>
          <cell r="G417" t="str">
            <v>2.不涉及现金收支的重大投资和筹资活动：</v>
          </cell>
          <cell r="I417">
            <v>7526</v>
          </cell>
        </row>
        <row r="418">
          <cell r="B418">
            <v>7527</v>
          </cell>
          <cell r="C418" t="str">
            <v>债务转为资本</v>
          </cell>
          <cell r="G418" t="str">
            <v>债务转为资本</v>
          </cell>
          <cell r="I418">
            <v>7527</v>
          </cell>
        </row>
        <row r="419">
          <cell r="B419">
            <v>7528</v>
          </cell>
          <cell r="C419" t="str">
            <v>一年内到期的可转换公司债券</v>
          </cell>
          <cell r="G419" t="str">
            <v>一年内到期的可转换公司债券</v>
          </cell>
          <cell r="I419">
            <v>7528</v>
          </cell>
        </row>
        <row r="420">
          <cell r="B420">
            <v>7529</v>
          </cell>
          <cell r="C420" t="str">
            <v>融资租入固定资产</v>
          </cell>
          <cell r="G420" t="str">
            <v>融资租入固定资产</v>
          </cell>
          <cell r="I420">
            <v>7529</v>
          </cell>
        </row>
        <row r="421">
          <cell r="B421">
            <v>7533</v>
          </cell>
          <cell r="C421" t="str">
            <v>现金及现金等价物净变动情况</v>
          </cell>
          <cell r="E421" t="str">
            <v>：</v>
          </cell>
          <cell r="G421" t="str">
            <v>3.现金及现金等价物净变动情况：</v>
          </cell>
          <cell r="I421">
            <v>7533</v>
          </cell>
        </row>
        <row r="422">
          <cell r="B422">
            <v>7535</v>
          </cell>
          <cell r="C422" t="str">
            <v>现金的期末余额</v>
          </cell>
          <cell r="D422">
            <v>1</v>
          </cell>
          <cell r="G422" t="str">
            <v>现金的期末余额</v>
          </cell>
          <cell r="I422">
            <v>7535</v>
          </cell>
        </row>
        <row r="423">
          <cell r="B423">
            <v>7536</v>
          </cell>
          <cell r="C423" t="str">
            <v>减：现金的年初余额</v>
          </cell>
          <cell r="D423">
            <v>1</v>
          </cell>
          <cell r="G423" t="str">
            <v>减：现金的年初余额</v>
          </cell>
          <cell r="I423">
            <v>7536</v>
          </cell>
        </row>
        <row r="424">
          <cell r="B424">
            <v>7537</v>
          </cell>
          <cell r="C424" t="str">
            <v>加：现金等价物的期末余额</v>
          </cell>
          <cell r="D424">
            <v>1</v>
          </cell>
          <cell r="G424" t="str">
            <v>加：现金等价物的期末余额</v>
          </cell>
          <cell r="I424">
            <v>7537</v>
          </cell>
        </row>
        <row r="425">
          <cell r="B425">
            <v>7538</v>
          </cell>
          <cell r="C425" t="str">
            <v>减：现金等价物的年初余额</v>
          </cell>
          <cell r="D425">
            <v>1</v>
          </cell>
          <cell r="G425" t="str">
            <v>减：现金等价物的年初余额</v>
          </cell>
          <cell r="I425">
            <v>7538</v>
          </cell>
        </row>
        <row r="426">
          <cell r="B426">
            <v>7539</v>
          </cell>
          <cell r="C426" t="str">
            <v>现金及现金等价物净增加额</v>
          </cell>
          <cell r="D426">
            <v>1</v>
          </cell>
          <cell r="E426" t="str">
            <v>＝</v>
          </cell>
          <cell r="G426" t="str">
            <v>现金及现金等价物净增加额</v>
          </cell>
          <cell r="I426">
            <v>7539</v>
          </cell>
        </row>
        <row r="427">
          <cell r="B427">
            <v>19</v>
          </cell>
          <cell r="C427" t="str">
            <v>资产负债表补充资料：资产减值准备</v>
          </cell>
          <cell r="E427" t="str">
            <v>：</v>
          </cell>
          <cell r="I427">
            <v>19</v>
          </cell>
        </row>
        <row r="428">
          <cell r="B428">
            <v>1122.1231</v>
          </cell>
          <cell r="C428" t="str">
            <v>应收账款坏账准备</v>
          </cell>
          <cell r="D428">
            <v>-1</v>
          </cell>
          <cell r="G428" t="str">
            <v>应收账款坏账准备</v>
          </cell>
          <cell r="I428">
            <v>1122.1231</v>
          </cell>
          <cell r="J428" t="str">
            <v>J</v>
          </cell>
        </row>
        <row r="429">
          <cell r="B429">
            <v>1125.1231</v>
          </cell>
          <cell r="C429" t="str">
            <v>预付款项坏账准备</v>
          </cell>
          <cell r="D429">
            <v>-1</v>
          </cell>
          <cell r="G429" t="str">
            <v>预付款项坏账准备</v>
          </cell>
          <cell r="I429">
            <v>1125.1231</v>
          </cell>
          <cell r="J429" t="str">
            <v>J</v>
          </cell>
        </row>
        <row r="430">
          <cell r="B430">
            <v>1221.1231</v>
          </cell>
          <cell r="C430" t="str">
            <v>其他应收款坏账准备</v>
          </cell>
          <cell r="D430">
            <v>-1</v>
          </cell>
          <cell r="G430" t="str">
            <v>其他应收款坏账准备</v>
          </cell>
          <cell r="I430">
            <v>1221.1231</v>
          </cell>
          <cell r="J430" t="str">
            <v>J</v>
          </cell>
        </row>
        <row r="431">
          <cell r="B431">
            <v>1400.1470999999999</v>
          </cell>
          <cell r="C431" t="str">
            <v>存货跌价准备</v>
          </cell>
          <cell r="D431">
            <v>-1</v>
          </cell>
          <cell r="G431" t="str">
            <v>存货跌价准备</v>
          </cell>
          <cell r="I431">
            <v>1400.1470999999999</v>
          </cell>
          <cell r="J431" t="str">
            <v>J</v>
          </cell>
        </row>
        <row r="432">
          <cell r="B432">
            <v>1503.1504</v>
          </cell>
          <cell r="C432" t="str">
            <v>可供出售金融资产减值准备</v>
          </cell>
          <cell r="D432">
            <v>-1</v>
          </cell>
          <cell r="G432" t="str">
            <v>可供出售金融资产减值准备</v>
          </cell>
          <cell r="I432">
            <v>1503.1504</v>
          </cell>
          <cell r="J432" t="str">
            <v>J</v>
          </cell>
        </row>
        <row r="433">
          <cell r="B433">
            <v>1501.1502</v>
          </cell>
          <cell r="C433" t="str">
            <v>持有至到期投资减值准备</v>
          </cell>
          <cell r="D433">
            <v>-1</v>
          </cell>
          <cell r="G433" t="str">
            <v>持有至到期投资减值准备</v>
          </cell>
          <cell r="I433">
            <v>1501.1502</v>
          </cell>
          <cell r="J433" t="str">
            <v>J</v>
          </cell>
        </row>
        <row r="434">
          <cell r="B434">
            <v>1511.1512</v>
          </cell>
          <cell r="C434" t="str">
            <v>长期股权投资减值准备</v>
          </cell>
          <cell r="D434">
            <v>-1</v>
          </cell>
          <cell r="G434" t="str">
            <v>长期股权投资减值准备</v>
          </cell>
          <cell r="I434">
            <v>1511.1512</v>
          </cell>
          <cell r="J434" t="str">
            <v>J</v>
          </cell>
        </row>
        <row r="435">
          <cell r="B435">
            <v>1521.1522</v>
          </cell>
          <cell r="C435" t="str">
            <v>投资性房地产减值准备</v>
          </cell>
          <cell r="D435">
            <v>-1</v>
          </cell>
          <cell r="G435" t="str">
            <v>投资性房地产减值准备</v>
          </cell>
          <cell r="I435">
            <v>1521.1522</v>
          </cell>
          <cell r="J435" t="str">
            <v>J</v>
          </cell>
        </row>
        <row r="436">
          <cell r="B436">
            <v>1601.1603</v>
          </cell>
          <cell r="C436" t="str">
            <v>固定资产减值准备</v>
          </cell>
          <cell r="D436">
            <v>-1</v>
          </cell>
          <cell r="G436" t="str">
            <v>固定资产减值准备</v>
          </cell>
          <cell r="I436">
            <v>1601.1603</v>
          </cell>
          <cell r="J436" t="str">
            <v>J</v>
          </cell>
        </row>
        <row r="437">
          <cell r="B437">
            <v>1605.1608000000001</v>
          </cell>
          <cell r="C437" t="str">
            <v>工程物资减值准备</v>
          </cell>
          <cell r="D437">
            <v>-1</v>
          </cell>
          <cell r="G437" t="str">
            <v>工程物资减值准备</v>
          </cell>
          <cell r="I437">
            <v>1605.1608000000001</v>
          </cell>
          <cell r="J437" t="str">
            <v>J</v>
          </cell>
        </row>
        <row r="438">
          <cell r="B438">
            <v>1604.1606999999999</v>
          </cell>
          <cell r="C438" t="str">
            <v>在建工程减值准备</v>
          </cell>
          <cell r="D438">
            <v>-1</v>
          </cell>
          <cell r="G438" t="str">
            <v>在建工程减值准备</v>
          </cell>
          <cell r="I438">
            <v>1604.1606999999999</v>
          </cell>
          <cell r="J438" t="str">
            <v>J</v>
          </cell>
        </row>
        <row r="439">
          <cell r="B439">
            <v>1621.1623999999999</v>
          </cell>
          <cell r="C439" t="str">
            <v>生产性生物资产减值准备</v>
          </cell>
          <cell r="D439">
            <v>-1</v>
          </cell>
          <cell r="G439" t="str">
            <v>生产性生物资产减值准备</v>
          </cell>
          <cell r="I439">
            <v>1621.1623999999999</v>
          </cell>
          <cell r="J439" t="str">
            <v>J</v>
          </cell>
        </row>
        <row r="440">
          <cell r="B440">
            <v>1631.1632999999999</v>
          </cell>
          <cell r="C440" t="str">
            <v>油气资产减值准备</v>
          </cell>
          <cell r="D440">
            <v>-1</v>
          </cell>
          <cell r="G440" t="str">
            <v>油气资产减值准备</v>
          </cell>
          <cell r="I440">
            <v>1631.1632999999999</v>
          </cell>
          <cell r="J440" t="str">
            <v>J</v>
          </cell>
        </row>
        <row r="441">
          <cell r="B441">
            <v>1701.1703</v>
          </cell>
          <cell r="C441" t="str">
            <v>无形资产减值准备</v>
          </cell>
          <cell r="D441">
            <v>-1</v>
          </cell>
          <cell r="G441" t="str">
            <v>无形资产减值准备</v>
          </cell>
          <cell r="I441">
            <v>1701.1703</v>
          </cell>
          <cell r="J441" t="str">
            <v>J</v>
          </cell>
        </row>
        <row r="442">
          <cell r="B442">
            <v>1711.1712</v>
          </cell>
          <cell r="C442" t="str">
            <v>商誉减值准备</v>
          </cell>
          <cell r="D442">
            <v>-1</v>
          </cell>
          <cell r="G442" t="str">
            <v>商誉减值准备</v>
          </cell>
          <cell r="I442">
            <v>1711.1712</v>
          </cell>
          <cell r="J442" t="str">
            <v>J</v>
          </cell>
        </row>
        <row r="443">
          <cell r="B443">
            <v>1991.1992</v>
          </cell>
          <cell r="C443" t="str">
            <v>其他减值准备</v>
          </cell>
          <cell r="D443">
            <v>-1</v>
          </cell>
          <cell r="G443" t="str">
            <v>其他</v>
          </cell>
          <cell r="I443">
            <v>1991.1992</v>
          </cell>
        </row>
        <row r="444">
          <cell r="B444">
            <v>1015.1001</v>
          </cell>
          <cell r="C444" t="str">
            <v>库存现金</v>
          </cell>
          <cell r="D444">
            <v>1</v>
          </cell>
          <cell r="I444">
            <v>1015.1001</v>
          </cell>
          <cell r="J444" t="str">
            <v>J</v>
          </cell>
        </row>
        <row r="445">
          <cell r="B445">
            <v>1015.1002</v>
          </cell>
          <cell r="C445" t="str">
            <v>银行存款</v>
          </cell>
          <cell r="D445">
            <v>1</v>
          </cell>
          <cell r="I445">
            <v>1015.1002</v>
          </cell>
          <cell r="J445" t="str">
            <v>J</v>
          </cell>
        </row>
        <row r="446">
          <cell r="B446">
            <v>1015.1011999999999</v>
          </cell>
          <cell r="C446" t="str">
            <v>其他货币资金</v>
          </cell>
          <cell r="D446">
            <v>1</v>
          </cell>
          <cell r="I446">
            <v>1015.1011999999999</v>
          </cell>
          <cell r="J446" t="str">
            <v>J</v>
          </cell>
        </row>
        <row r="447">
          <cell r="B447">
            <v>1400.1401000000001</v>
          </cell>
          <cell r="C447" t="str">
            <v>材料采购</v>
          </cell>
          <cell r="D447">
            <v>1</v>
          </cell>
          <cell r="I447">
            <v>1400.1401000000001</v>
          </cell>
          <cell r="J447" t="str">
            <v>J</v>
          </cell>
        </row>
        <row r="448">
          <cell r="B448">
            <v>1400.1402</v>
          </cell>
          <cell r="C448" t="str">
            <v>在途物资</v>
          </cell>
          <cell r="D448">
            <v>1</v>
          </cell>
          <cell r="I448">
            <v>1400.1402</v>
          </cell>
          <cell r="J448" t="str">
            <v>J</v>
          </cell>
        </row>
        <row r="449">
          <cell r="B449">
            <v>1400.1403</v>
          </cell>
          <cell r="C449" t="str">
            <v>原材料</v>
          </cell>
          <cell r="D449">
            <v>1</v>
          </cell>
          <cell r="I449">
            <v>1400.1403</v>
          </cell>
          <cell r="J449" t="str">
            <v>J</v>
          </cell>
        </row>
        <row r="450">
          <cell r="B450">
            <v>1400.1404</v>
          </cell>
          <cell r="C450" t="str">
            <v>材料成本差异</v>
          </cell>
          <cell r="D450">
            <v>-1</v>
          </cell>
          <cell r="I450">
            <v>1400.1404</v>
          </cell>
          <cell r="J450" t="str">
            <v>J</v>
          </cell>
        </row>
        <row r="451">
          <cell r="B451">
            <v>1400.1405</v>
          </cell>
          <cell r="C451" t="str">
            <v>库存商品</v>
          </cell>
          <cell r="D451">
            <v>1</v>
          </cell>
          <cell r="I451">
            <v>1400.1405</v>
          </cell>
          <cell r="J451" t="str">
            <v>J</v>
          </cell>
        </row>
        <row r="452">
          <cell r="B452">
            <v>1400.1405999999999</v>
          </cell>
          <cell r="C452" t="str">
            <v>发出商品</v>
          </cell>
          <cell r="D452">
            <v>1</v>
          </cell>
          <cell r="I452">
            <v>1400.1405999999999</v>
          </cell>
          <cell r="J452" t="str">
            <v>J</v>
          </cell>
        </row>
        <row r="453">
          <cell r="B453">
            <v>1400.1406999999999</v>
          </cell>
          <cell r="C453" t="str">
            <v>商品进销差价</v>
          </cell>
          <cell r="D453">
            <v>-1</v>
          </cell>
          <cell r="I453">
            <v>1400.1406999999999</v>
          </cell>
          <cell r="J453" t="str">
            <v>J</v>
          </cell>
        </row>
        <row r="454">
          <cell r="B454">
            <v>1400.1407999999999</v>
          </cell>
          <cell r="C454" t="str">
            <v>委托加工物资</v>
          </cell>
          <cell r="D454">
            <v>1</v>
          </cell>
          <cell r="I454">
            <v>1400.1407999999999</v>
          </cell>
          <cell r="J454" t="str">
            <v>J</v>
          </cell>
        </row>
        <row r="455">
          <cell r="B455">
            <v>1400.1411000000001</v>
          </cell>
          <cell r="C455" t="str">
            <v>周转材料</v>
          </cell>
          <cell r="D455">
            <v>1</v>
          </cell>
          <cell r="I455">
            <v>1400.1411000000001</v>
          </cell>
          <cell r="J455" t="str">
            <v>J</v>
          </cell>
        </row>
        <row r="456">
          <cell r="B456">
            <v>1400.5001</v>
          </cell>
          <cell r="C456" t="str">
            <v>生产成本</v>
          </cell>
          <cell r="D456">
            <v>1</v>
          </cell>
          <cell r="I456">
            <v>1400.5001</v>
          </cell>
          <cell r="J456" t="str">
            <v>J</v>
          </cell>
        </row>
        <row r="457">
          <cell r="B457">
            <v>1400.5101</v>
          </cell>
          <cell r="C457" t="str">
            <v>制造费用</v>
          </cell>
          <cell r="D457">
            <v>1</v>
          </cell>
          <cell r="I457">
            <v>1400.5101</v>
          </cell>
          <cell r="J457" t="str">
            <v>J</v>
          </cell>
        </row>
        <row r="458">
          <cell r="B458">
            <v>1400.5400999999999</v>
          </cell>
          <cell r="C458" t="str">
            <v>工程施工</v>
          </cell>
          <cell r="D458">
            <v>1</v>
          </cell>
          <cell r="I458">
            <v>1400.5400999999999</v>
          </cell>
          <cell r="J458" t="str">
            <v>J</v>
          </cell>
        </row>
        <row r="459">
          <cell r="B459">
            <v>1400.1421</v>
          </cell>
          <cell r="C459" t="str">
            <v>消耗性生物资产</v>
          </cell>
          <cell r="D459">
            <v>1</v>
          </cell>
          <cell r="I459">
            <v>1400.1421</v>
          </cell>
          <cell r="J459" t="str">
            <v>J</v>
          </cell>
        </row>
        <row r="460">
          <cell r="B460">
            <v>1621.1622</v>
          </cell>
          <cell r="C460" t="str">
            <v>生产性生物资产累计折旧</v>
          </cell>
          <cell r="D460">
            <v>-1</v>
          </cell>
          <cell r="I460">
            <v>1621.1622</v>
          </cell>
          <cell r="J460" t="str">
            <v>J</v>
          </cell>
        </row>
        <row r="461">
          <cell r="B461">
            <v>1601.1602</v>
          </cell>
          <cell r="C461" t="str">
            <v>累计折旧</v>
          </cell>
          <cell r="D461">
            <v>-1</v>
          </cell>
          <cell r="I461">
            <v>1601.1602</v>
          </cell>
          <cell r="J461" t="str">
            <v>J</v>
          </cell>
        </row>
        <row r="462">
          <cell r="B462">
            <v>1701.1702</v>
          </cell>
          <cell r="C462" t="str">
            <v>累计摊销</v>
          </cell>
          <cell r="D462">
            <v>-1</v>
          </cell>
          <cell r="I462">
            <v>1701.1702</v>
          </cell>
          <cell r="J462" t="str">
            <v>J</v>
          </cell>
        </row>
        <row r="463">
          <cell r="B463">
            <v>1996.1623</v>
          </cell>
          <cell r="C463" t="str">
            <v>公益性生物资产</v>
          </cell>
          <cell r="D463">
            <v>1</v>
          </cell>
          <cell r="I463">
            <v>1996.1623</v>
          </cell>
          <cell r="J463" t="str">
            <v>J</v>
          </cell>
        </row>
        <row r="464">
          <cell r="B464">
            <v>1631.1632</v>
          </cell>
          <cell r="C464" t="str">
            <v>累计折耗</v>
          </cell>
          <cell r="D464">
            <v>-1</v>
          </cell>
          <cell r="I464">
            <v>1631.1632</v>
          </cell>
          <cell r="J464" t="str">
            <v>J</v>
          </cell>
        </row>
        <row r="465">
          <cell r="B465">
            <v>1535</v>
          </cell>
          <cell r="C465" t="str">
            <v>对合营企业投资和对联营企业投资</v>
          </cell>
          <cell r="I465">
            <v>1535</v>
          </cell>
        </row>
        <row r="466">
          <cell r="B466">
            <v>1705</v>
          </cell>
          <cell r="C466" t="str">
            <v>无形资产与开发支出</v>
          </cell>
          <cell r="I466">
            <v>1705</v>
          </cell>
        </row>
        <row r="467">
          <cell r="B467">
            <v>1829</v>
          </cell>
          <cell r="C467" t="str">
            <v>递延所得税资产与递延所得税负债</v>
          </cell>
          <cell r="I467">
            <v>1829</v>
          </cell>
        </row>
        <row r="468">
          <cell r="B468">
            <v>1991</v>
          </cell>
          <cell r="C468" t="str">
            <v>资产减值准备</v>
          </cell>
          <cell r="G468" t="str">
            <v>资产减值准备小计</v>
          </cell>
          <cell r="I468">
            <v>1991</v>
          </cell>
        </row>
        <row r="469">
          <cell r="B469">
            <v>1997</v>
          </cell>
          <cell r="C469" t="str">
            <v>所有权受到限制的资产</v>
          </cell>
          <cell r="I469">
            <v>1997</v>
          </cell>
        </row>
        <row r="470">
          <cell r="B470">
            <v>6064</v>
          </cell>
          <cell r="C470" t="str">
            <v>营业收入、营业成本</v>
          </cell>
          <cell r="I470">
            <v>6064</v>
          </cell>
        </row>
        <row r="471">
          <cell r="B471">
            <v>6095</v>
          </cell>
          <cell r="C471" t="str">
            <v>合同项目收入</v>
          </cell>
          <cell r="I471">
            <v>6095</v>
          </cell>
        </row>
        <row r="472">
          <cell r="B472">
            <v>6820</v>
          </cell>
          <cell r="C472" t="str">
            <v>基本每股收益和稀释每股收益</v>
          </cell>
          <cell r="I472">
            <v>6820</v>
          </cell>
        </row>
        <row r="473">
          <cell r="B473">
            <v>7400</v>
          </cell>
          <cell r="C473" t="str">
            <v>现金流量表项目注释</v>
          </cell>
          <cell r="I473">
            <v>7400</v>
          </cell>
        </row>
        <row r="474">
          <cell r="B474">
            <v>7500</v>
          </cell>
          <cell r="C474" t="str">
            <v>现金流量表补充资料</v>
          </cell>
          <cell r="I474">
            <v>7500</v>
          </cell>
        </row>
        <row r="475">
          <cell r="B475">
            <v>9010</v>
          </cell>
          <cell r="C475" t="str">
            <v>分部报告</v>
          </cell>
          <cell r="I475">
            <v>9010</v>
          </cell>
        </row>
        <row r="476">
          <cell r="B476">
            <v>9020</v>
          </cell>
          <cell r="C476" t="str">
            <v>资产证券化业务的会计处理</v>
          </cell>
          <cell r="I476">
            <v>9020</v>
          </cell>
        </row>
        <row r="477">
          <cell r="B477">
            <v>9100</v>
          </cell>
          <cell r="C477" t="str">
            <v>关联方关系及其交易</v>
          </cell>
          <cell r="I477">
            <v>9100</v>
          </cell>
        </row>
        <row r="478">
          <cell r="B478">
            <v>9101</v>
          </cell>
          <cell r="C478" t="str">
            <v>关联方关系</v>
          </cell>
          <cell r="I478">
            <v>9101</v>
          </cell>
        </row>
        <row r="479">
          <cell r="B479">
            <v>9120</v>
          </cell>
          <cell r="C479" t="str">
            <v>关联方交易</v>
          </cell>
          <cell r="I479">
            <v>9120</v>
          </cell>
        </row>
        <row r="480">
          <cell r="B480">
            <v>9130</v>
          </cell>
          <cell r="C480" t="str">
            <v>关联方往来款项余额</v>
          </cell>
          <cell r="I480">
            <v>9130</v>
          </cell>
        </row>
        <row r="481">
          <cell r="B481">
            <v>9210</v>
          </cell>
          <cell r="C481" t="str">
            <v>股份支付</v>
          </cell>
          <cell r="I481">
            <v>9210</v>
          </cell>
        </row>
        <row r="482">
          <cell r="B482">
            <v>9220</v>
          </cell>
          <cell r="C482" t="str">
            <v>或有事项</v>
          </cell>
          <cell r="I482">
            <v>9220</v>
          </cell>
        </row>
        <row r="483">
          <cell r="B483">
            <v>9250</v>
          </cell>
          <cell r="C483" t="str">
            <v>重大承诺事项</v>
          </cell>
          <cell r="I483">
            <v>9250</v>
          </cell>
        </row>
        <row r="484">
          <cell r="B484">
            <v>9260</v>
          </cell>
          <cell r="C484" t="str">
            <v>资产负债表日后事项</v>
          </cell>
          <cell r="I484">
            <v>9260</v>
          </cell>
        </row>
        <row r="485">
          <cell r="B485">
            <v>9300</v>
          </cell>
          <cell r="C485" t="str">
            <v>其他重要事项</v>
          </cell>
          <cell r="I485">
            <v>9300</v>
          </cell>
        </row>
        <row r="486">
          <cell r="B486">
            <v>9301</v>
          </cell>
          <cell r="C486" t="str">
            <v>非货币性资产交换</v>
          </cell>
          <cell r="I486">
            <v>9301</v>
          </cell>
        </row>
        <row r="487">
          <cell r="B487">
            <v>9302</v>
          </cell>
          <cell r="C487" t="str">
            <v>债务重组</v>
          </cell>
          <cell r="I487">
            <v>9302</v>
          </cell>
        </row>
        <row r="488">
          <cell r="B488">
            <v>9303</v>
          </cell>
          <cell r="C488" t="str">
            <v>企业合并</v>
          </cell>
          <cell r="I488">
            <v>9303</v>
          </cell>
        </row>
        <row r="489">
          <cell r="B489">
            <v>9305</v>
          </cell>
          <cell r="C489" t="str">
            <v>其他资产置换、转让及出售</v>
          </cell>
          <cell r="I489">
            <v>9305</v>
          </cell>
        </row>
        <row r="490">
          <cell r="B490">
            <v>9310</v>
          </cell>
          <cell r="C490" t="str">
            <v>租赁</v>
          </cell>
          <cell r="I490">
            <v>9310</v>
          </cell>
        </row>
        <row r="491">
          <cell r="B491">
            <v>9321</v>
          </cell>
          <cell r="C491" t="str">
            <v>期末发行在外的、可转换为股份的金融工具</v>
          </cell>
          <cell r="I491">
            <v>9321</v>
          </cell>
        </row>
        <row r="492">
          <cell r="B492">
            <v>9331</v>
          </cell>
          <cell r="C492" t="str">
            <v>以公允价值计量的资产和负债</v>
          </cell>
          <cell r="I492">
            <v>9331</v>
          </cell>
        </row>
        <row r="493">
          <cell r="B493">
            <v>9336</v>
          </cell>
          <cell r="C493" t="str">
            <v>外币金融资产和外币金融负债</v>
          </cell>
          <cell r="I493">
            <v>9336</v>
          </cell>
        </row>
        <row r="494">
          <cell r="B494">
            <v>9351</v>
          </cell>
          <cell r="C494" t="str">
            <v>年金计划的主要内容及重大变化</v>
          </cell>
          <cell r="I494">
            <v>9351</v>
          </cell>
        </row>
        <row r="495">
          <cell r="B495">
            <v>9361</v>
          </cell>
          <cell r="C495" t="str">
            <v>借款费用</v>
          </cell>
          <cell r="I495">
            <v>9361</v>
          </cell>
        </row>
        <row r="496">
          <cell r="B496">
            <v>9363</v>
          </cell>
          <cell r="C496" t="str">
            <v>外币折算</v>
          </cell>
          <cell r="I496">
            <v>9363</v>
          </cell>
        </row>
        <row r="497">
          <cell r="B497">
            <v>9367</v>
          </cell>
          <cell r="C497" t="str">
            <v>终止经营</v>
          </cell>
          <cell r="I497">
            <v>9367</v>
          </cell>
        </row>
        <row r="498">
          <cell r="B498">
            <v>9390</v>
          </cell>
          <cell r="C498" t="str">
            <v>其他重要事项_其他</v>
          </cell>
          <cell r="I498">
            <v>9390</v>
          </cell>
        </row>
        <row r="499">
          <cell r="B499">
            <v>9509</v>
          </cell>
          <cell r="C499" t="str">
            <v>母公司反向购买下以公允价值入账的资产、负债情况</v>
          </cell>
          <cell r="I499">
            <v>9509</v>
          </cell>
        </row>
        <row r="500">
          <cell r="B500">
            <v>9601</v>
          </cell>
          <cell r="C500" t="str">
            <v>当期非经常性损益明细表</v>
          </cell>
          <cell r="I500">
            <v>9601</v>
          </cell>
        </row>
        <row r="501">
          <cell r="B501">
            <v>9611</v>
          </cell>
          <cell r="C501" t="str">
            <v>境内外会计准则下会计数据差异</v>
          </cell>
          <cell r="I501">
            <v>9611</v>
          </cell>
        </row>
        <row r="502">
          <cell r="B502">
            <v>9621</v>
          </cell>
          <cell r="C502" t="str">
            <v>净资产收益率和每股收益</v>
          </cell>
          <cell r="I502">
            <v>9621</v>
          </cell>
        </row>
        <row r="503">
          <cell r="B503">
            <v>8121</v>
          </cell>
          <cell r="C503" t="str">
            <v>实收资本_净利润增加权益</v>
          </cell>
          <cell r="D503">
            <v>-1</v>
          </cell>
          <cell r="E503" t="str">
            <v>N</v>
          </cell>
          <cell r="G503" t="str">
            <v>（一）净利润</v>
          </cell>
          <cell r="I503">
            <v>8121</v>
          </cell>
          <cell r="J503" t="str">
            <v>J</v>
          </cell>
        </row>
        <row r="504">
          <cell r="B504">
            <v>8130</v>
          </cell>
          <cell r="C504" t="str">
            <v>实收资本_其他综合收益增加权益</v>
          </cell>
          <cell r="D504">
            <v>-1</v>
          </cell>
          <cell r="E504" t="str">
            <v>N</v>
          </cell>
          <cell r="G504" t="str">
            <v>（二）其他综合收益</v>
          </cell>
          <cell r="I504">
            <v>8130</v>
          </cell>
          <cell r="J504" t="str">
            <v>J</v>
          </cell>
        </row>
        <row r="505">
          <cell r="B505">
            <v>8152</v>
          </cell>
          <cell r="C505" t="str">
            <v>实收资本_股份支付计入所有者权益的金额</v>
          </cell>
          <cell r="D505">
            <v>-1</v>
          </cell>
          <cell r="E505" t="str">
            <v>N</v>
          </cell>
          <cell r="G505" t="str">
            <v>2．股份支付计入所有者权益的金额</v>
          </cell>
          <cell r="I505">
            <v>8152</v>
          </cell>
          <cell r="J505" t="str">
            <v>J</v>
          </cell>
        </row>
        <row r="506">
          <cell r="B506">
            <v>8161</v>
          </cell>
          <cell r="C506" t="str">
            <v>实收资本_提取盈余公积影响权益</v>
          </cell>
          <cell r="D506">
            <v>-1</v>
          </cell>
          <cell r="E506" t="str">
            <v>N</v>
          </cell>
          <cell r="G506" t="str">
            <v>1．提取盈余公积</v>
          </cell>
          <cell r="I506">
            <v>8161</v>
          </cell>
          <cell r="J506" t="str">
            <v>J</v>
          </cell>
        </row>
        <row r="507">
          <cell r="B507">
            <v>8162</v>
          </cell>
          <cell r="C507" t="str">
            <v>实收资本_提取一般风险准备影响权益</v>
          </cell>
          <cell r="D507">
            <v>-1</v>
          </cell>
          <cell r="E507" t="str">
            <v>N</v>
          </cell>
          <cell r="G507" t="str">
            <v>2．提取一般风险准备</v>
          </cell>
          <cell r="I507">
            <v>8162</v>
          </cell>
          <cell r="J507" t="str">
            <v>J</v>
          </cell>
        </row>
        <row r="508">
          <cell r="B508">
            <v>8163</v>
          </cell>
          <cell r="C508" t="str">
            <v>实收资本_对所有者的分配影响权益</v>
          </cell>
          <cell r="D508">
            <v>-1</v>
          </cell>
          <cell r="E508" t="str">
            <v>N</v>
          </cell>
          <cell r="G508" t="str">
            <v>3．对所有者（或股东）的分配</v>
          </cell>
          <cell r="I508">
            <v>8163</v>
          </cell>
          <cell r="J508" t="str">
            <v>J</v>
          </cell>
        </row>
        <row r="509">
          <cell r="B509">
            <v>8166</v>
          </cell>
          <cell r="C509" t="str">
            <v>实收资本_其他利润分配影响权益</v>
          </cell>
          <cell r="D509">
            <v>-1</v>
          </cell>
          <cell r="E509" t="str">
            <v>N</v>
          </cell>
          <cell r="G509" t="str">
            <v>4．其他</v>
          </cell>
          <cell r="I509">
            <v>8166</v>
          </cell>
          <cell r="J509" t="str">
            <v>J</v>
          </cell>
        </row>
        <row r="510">
          <cell r="B510">
            <v>8173</v>
          </cell>
          <cell r="C510" t="str">
            <v>实收资本_盈余公积弥补亏损影响权益</v>
          </cell>
          <cell r="D510">
            <v>-1</v>
          </cell>
          <cell r="E510" t="str">
            <v>N</v>
          </cell>
          <cell r="G510" t="str">
            <v>3．盈余公积弥补亏损</v>
          </cell>
          <cell r="I510">
            <v>8173</v>
          </cell>
          <cell r="J510" t="str">
            <v>J</v>
          </cell>
        </row>
        <row r="511">
          <cell r="B511">
            <v>8181</v>
          </cell>
          <cell r="C511" t="str">
            <v>实收资本_专项储备本期提取</v>
          </cell>
          <cell r="D511">
            <v>-1</v>
          </cell>
          <cell r="E511" t="str">
            <v>N</v>
          </cell>
          <cell r="G511" t="str">
            <v>1．本期提取</v>
          </cell>
          <cell r="I511">
            <v>8181</v>
          </cell>
          <cell r="J511" t="str">
            <v>J</v>
          </cell>
        </row>
        <row r="512">
          <cell r="B512">
            <v>8182</v>
          </cell>
          <cell r="C512" t="str">
            <v>实收资本_专项储备本期使用</v>
          </cell>
          <cell r="D512">
            <v>-1</v>
          </cell>
          <cell r="E512" t="str">
            <v>N</v>
          </cell>
          <cell r="G512" t="str">
            <v>2．本期使用</v>
          </cell>
          <cell r="I512">
            <v>8182</v>
          </cell>
          <cell r="J512" t="str">
            <v>J</v>
          </cell>
        </row>
        <row r="513">
          <cell r="B513">
            <v>8221</v>
          </cell>
          <cell r="C513" t="str">
            <v>资本公积_净利润增加权益</v>
          </cell>
          <cell r="D513">
            <v>-1</v>
          </cell>
          <cell r="E513" t="str">
            <v>N</v>
          </cell>
          <cell r="G513" t="str">
            <v>（一）净利润</v>
          </cell>
          <cell r="I513">
            <v>8221</v>
          </cell>
          <cell r="J513" t="str">
            <v>J</v>
          </cell>
        </row>
        <row r="514">
          <cell r="B514">
            <v>8261</v>
          </cell>
          <cell r="C514" t="str">
            <v>资本公积_提取盈余公积影响权益</v>
          </cell>
          <cell r="D514">
            <v>-1</v>
          </cell>
          <cell r="E514" t="str">
            <v>N</v>
          </cell>
          <cell r="G514" t="str">
            <v>1．提取盈余公积</v>
          </cell>
          <cell r="I514">
            <v>8261</v>
          </cell>
          <cell r="J514" t="str">
            <v>J</v>
          </cell>
        </row>
        <row r="515">
          <cell r="B515">
            <v>8262</v>
          </cell>
          <cell r="C515" t="str">
            <v>资本公积_提取一般风险准备影响权益</v>
          </cell>
          <cell r="D515">
            <v>-1</v>
          </cell>
          <cell r="E515" t="str">
            <v>N</v>
          </cell>
          <cell r="G515" t="str">
            <v>2．提取一般风险准备</v>
          </cell>
          <cell r="I515">
            <v>8262</v>
          </cell>
          <cell r="J515" t="str">
            <v>J</v>
          </cell>
        </row>
        <row r="516">
          <cell r="B516">
            <v>8263</v>
          </cell>
          <cell r="C516" t="str">
            <v>资本公积_对所有者的分配影响权益</v>
          </cell>
          <cell r="D516">
            <v>-1</v>
          </cell>
          <cell r="E516" t="str">
            <v>N</v>
          </cell>
          <cell r="G516" t="str">
            <v>3．对所有者（或股东）的分配</v>
          </cell>
          <cell r="I516">
            <v>8263</v>
          </cell>
          <cell r="J516" t="str">
            <v>J</v>
          </cell>
        </row>
        <row r="517">
          <cell r="B517">
            <v>8272</v>
          </cell>
          <cell r="C517" t="str">
            <v>资本公积_盈余公积转增资本影响权益</v>
          </cell>
          <cell r="D517">
            <v>-1</v>
          </cell>
          <cell r="E517" t="str">
            <v>N</v>
          </cell>
          <cell r="G517" t="str">
            <v>2．盈余公积转增资本（或股本）</v>
          </cell>
          <cell r="I517">
            <v>8272</v>
          </cell>
          <cell r="J517" t="str">
            <v>J</v>
          </cell>
        </row>
        <row r="518">
          <cell r="B518">
            <v>8273</v>
          </cell>
          <cell r="C518" t="str">
            <v>资本公积_盈余公积弥补亏损影响权益</v>
          </cell>
          <cell r="D518">
            <v>-1</v>
          </cell>
          <cell r="E518" t="str">
            <v>N</v>
          </cell>
          <cell r="G518" t="str">
            <v>3．盈余公积弥补亏损</v>
          </cell>
          <cell r="I518">
            <v>8273</v>
          </cell>
          <cell r="J518" t="str">
            <v>J</v>
          </cell>
        </row>
        <row r="519">
          <cell r="B519">
            <v>8281</v>
          </cell>
          <cell r="C519" t="str">
            <v>资本公积_专项储备本期提取</v>
          </cell>
          <cell r="D519">
            <v>-1</v>
          </cell>
          <cell r="E519" t="str">
            <v>N</v>
          </cell>
          <cell r="G519" t="str">
            <v>1．本期提取</v>
          </cell>
          <cell r="I519">
            <v>8281</v>
          </cell>
          <cell r="J519" t="str">
            <v>J</v>
          </cell>
        </row>
        <row r="520">
          <cell r="B520">
            <v>8282</v>
          </cell>
          <cell r="C520" t="str">
            <v>资本公积_专项储备本期使用</v>
          </cell>
          <cell r="D520">
            <v>-1</v>
          </cell>
          <cell r="E520" t="str">
            <v>N</v>
          </cell>
          <cell r="G520" t="str">
            <v>2．本期使用</v>
          </cell>
          <cell r="I520">
            <v>8282</v>
          </cell>
          <cell r="J520" t="str">
            <v>J</v>
          </cell>
        </row>
        <row r="521">
          <cell r="B521">
            <v>8321</v>
          </cell>
          <cell r="C521" t="str">
            <v>库存股_净利润增加权益</v>
          </cell>
          <cell r="D521">
            <v>1</v>
          </cell>
          <cell r="E521" t="str">
            <v>N</v>
          </cell>
          <cell r="G521" t="str">
            <v>（一）净利润</v>
          </cell>
          <cell r="I521">
            <v>8321</v>
          </cell>
          <cell r="J521" t="str">
            <v>J</v>
          </cell>
        </row>
        <row r="522">
          <cell r="B522">
            <v>8330</v>
          </cell>
          <cell r="C522" t="str">
            <v>库存股_其他综合收益增加权益</v>
          </cell>
          <cell r="D522">
            <v>1</v>
          </cell>
          <cell r="E522" t="str">
            <v>N</v>
          </cell>
          <cell r="G522" t="str">
            <v>（二）其他综合收益</v>
          </cell>
          <cell r="I522">
            <v>8330</v>
          </cell>
          <cell r="J522" t="str">
            <v>J</v>
          </cell>
        </row>
        <row r="523">
          <cell r="B523">
            <v>8361</v>
          </cell>
          <cell r="C523" t="str">
            <v>库存股_提取盈余公积影响权益</v>
          </cell>
          <cell r="D523">
            <v>1</v>
          </cell>
          <cell r="E523" t="str">
            <v>N</v>
          </cell>
          <cell r="G523" t="str">
            <v>1．提取盈余公积</v>
          </cell>
          <cell r="I523">
            <v>8361</v>
          </cell>
          <cell r="J523" t="str">
            <v>J</v>
          </cell>
        </row>
        <row r="524">
          <cell r="B524">
            <v>8362</v>
          </cell>
          <cell r="C524" t="str">
            <v>库存股_提取一般风险准备影响权益</v>
          </cell>
          <cell r="D524">
            <v>1</v>
          </cell>
          <cell r="E524" t="str">
            <v>N</v>
          </cell>
          <cell r="G524" t="str">
            <v>2．提取一般风险准备</v>
          </cell>
          <cell r="I524">
            <v>8362</v>
          </cell>
          <cell r="J524" t="str">
            <v>J</v>
          </cell>
        </row>
        <row r="525">
          <cell r="B525">
            <v>8371</v>
          </cell>
          <cell r="C525" t="str">
            <v>库存股_资本公积转增资本影响权益</v>
          </cell>
          <cell r="D525">
            <v>1</v>
          </cell>
          <cell r="E525" t="str">
            <v>N</v>
          </cell>
          <cell r="G525" t="str">
            <v>1．资本公积转增资本（或股本）</v>
          </cell>
          <cell r="I525">
            <v>8371</v>
          </cell>
          <cell r="J525" t="str">
            <v>J</v>
          </cell>
        </row>
        <row r="526">
          <cell r="B526">
            <v>8372</v>
          </cell>
          <cell r="C526" t="str">
            <v>库存股_盈余公积转增资本影响权益</v>
          </cell>
          <cell r="D526">
            <v>1</v>
          </cell>
          <cell r="E526" t="str">
            <v>N</v>
          </cell>
          <cell r="G526" t="str">
            <v>2．盈余公积转增资本（或股本）</v>
          </cell>
          <cell r="I526">
            <v>8372</v>
          </cell>
          <cell r="J526" t="str">
            <v>J</v>
          </cell>
        </row>
        <row r="527">
          <cell r="B527">
            <v>8373</v>
          </cell>
          <cell r="C527" t="str">
            <v>库存股_盈余公积弥补亏损影响权益</v>
          </cell>
          <cell r="D527">
            <v>1</v>
          </cell>
          <cell r="E527" t="str">
            <v>N</v>
          </cell>
          <cell r="G527" t="str">
            <v>3．盈余公积弥补亏损</v>
          </cell>
          <cell r="I527">
            <v>8373</v>
          </cell>
          <cell r="J527" t="str">
            <v>J</v>
          </cell>
        </row>
        <row r="528">
          <cell r="B528">
            <v>8381</v>
          </cell>
          <cell r="C528" t="str">
            <v>库存股_专项储备本期提取</v>
          </cell>
          <cell r="D528">
            <v>1</v>
          </cell>
          <cell r="E528" t="str">
            <v>N</v>
          </cell>
          <cell r="G528" t="str">
            <v>1．本期提取</v>
          </cell>
          <cell r="I528">
            <v>8381</v>
          </cell>
          <cell r="J528" t="str">
            <v>J</v>
          </cell>
        </row>
        <row r="529">
          <cell r="B529">
            <v>8382</v>
          </cell>
          <cell r="C529" t="str">
            <v>库存股_专项储备本期使用</v>
          </cell>
          <cell r="D529">
            <v>1</v>
          </cell>
          <cell r="E529" t="str">
            <v>N</v>
          </cell>
          <cell r="G529" t="str">
            <v>2．本期使用</v>
          </cell>
          <cell r="I529">
            <v>8382</v>
          </cell>
          <cell r="J529" t="str">
            <v>J</v>
          </cell>
        </row>
        <row r="530">
          <cell r="B530">
            <v>8421</v>
          </cell>
          <cell r="C530" t="str">
            <v>专项储备_净利润增加权益</v>
          </cell>
          <cell r="D530">
            <v>-1</v>
          </cell>
          <cell r="E530" t="str">
            <v>N</v>
          </cell>
          <cell r="G530" t="str">
            <v>（一）净利润</v>
          </cell>
          <cell r="I530">
            <v>8421</v>
          </cell>
          <cell r="J530" t="str">
            <v>J</v>
          </cell>
        </row>
        <row r="531">
          <cell r="B531">
            <v>8430</v>
          </cell>
          <cell r="C531" t="str">
            <v>专项储备_其他综合收益增加权益</v>
          </cell>
          <cell r="D531">
            <v>-1</v>
          </cell>
          <cell r="E531" t="str">
            <v>N</v>
          </cell>
          <cell r="G531" t="str">
            <v>（二）其他综合收益</v>
          </cell>
          <cell r="I531">
            <v>8430</v>
          </cell>
          <cell r="J531" t="str">
            <v>J</v>
          </cell>
        </row>
        <row r="532">
          <cell r="B532">
            <v>8451</v>
          </cell>
          <cell r="C532" t="str">
            <v>专项储备_所有者投入资本增加权益</v>
          </cell>
          <cell r="D532">
            <v>-1</v>
          </cell>
          <cell r="E532" t="str">
            <v>N</v>
          </cell>
          <cell r="G532" t="str">
            <v>1．所有者投入资本</v>
          </cell>
          <cell r="I532">
            <v>8451</v>
          </cell>
          <cell r="J532" t="str">
            <v>J</v>
          </cell>
        </row>
        <row r="533">
          <cell r="B533">
            <v>8452</v>
          </cell>
          <cell r="C533" t="str">
            <v>专项储备_股份支付计入所有者权益的金额</v>
          </cell>
          <cell r="D533">
            <v>-1</v>
          </cell>
          <cell r="E533" t="str">
            <v>N</v>
          </cell>
          <cell r="G533" t="str">
            <v>2．股份支付计入所有者权益的金额</v>
          </cell>
          <cell r="I533">
            <v>8452</v>
          </cell>
          <cell r="J533" t="str">
            <v>J</v>
          </cell>
        </row>
        <row r="534">
          <cell r="B534">
            <v>8456</v>
          </cell>
          <cell r="C534" t="str">
            <v>专项储备_所有者其他投入和减少资本</v>
          </cell>
          <cell r="D534">
            <v>-1</v>
          </cell>
          <cell r="E534" t="str">
            <v>N</v>
          </cell>
          <cell r="G534" t="str">
            <v>3．其他</v>
          </cell>
          <cell r="I534">
            <v>8456</v>
          </cell>
          <cell r="J534" t="str">
            <v>J</v>
          </cell>
        </row>
        <row r="535">
          <cell r="B535">
            <v>8461</v>
          </cell>
          <cell r="C535" t="str">
            <v>专项储备_提取盈余公积影响权益</v>
          </cell>
          <cell r="D535">
            <v>-1</v>
          </cell>
          <cell r="E535" t="str">
            <v>N</v>
          </cell>
          <cell r="G535" t="str">
            <v>1．提取盈余公积</v>
          </cell>
          <cell r="I535">
            <v>8461</v>
          </cell>
          <cell r="J535" t="str">
            <v>J</v>
          </cell>
        </row>
        <row r="536">
          <cell r="B536">
            <v>8462</v>
          </cell>
          <cell r="C536" t="str">
            <v>专项储备_提取一般风险准备影响权益</v>
          </cell>
          <cell r="D536">
            <v>-1</v>
          </cell>
          <cell r="E536" t="str">
            <v>N</v>
          </cell>
          <cell r="G536" t="str">
            <v>2．提取一般风险准备</v>
          </cell>
          <cell r="I536">
            <v>8462</v>
          </cell>
          <cell r="J536" t="str">
            <v>J</v>
          </cell>
        </row>
        <row r="537">
          <cell r="B537">
            <v>8463</v>
          </cell>
          <cell r="C537" t="str">
            <v>专项储备_对所有者的分配影响权益</v>
          </cell>
          <cell r="D537">
            <v>-1</v>
          </cell>
          <cell r="E537" t="str">
            <v>N</v>
          </cell>
          <cell r="G537" t="str">
            <v>3．对所有者（或股东）的分配</v>
          </cell>
          <cell r="I537">
            <v>8463</v>
          </cell>
          <cell r="J537" t="str">
            <v>J</v>
          </cell>
        </row>
        <row r="538">
          <cell r="B538">
            <v>8466</v>
          </cell>
          <cell r="C538" t="str">
            <v>专项储备_其他利润分配影响权益</v>
          </cell>
          <cell r="D538">
            <v>-1</v>
          </cell>
          <cell r="E538" t="str">
            <v>N</v>
          </cell>
          <cell r="G538" t="str">
            <v>4．其他</v>
          </cell>
          <cell r="I538">
            <v>8466</v>
          </cell>
          <cell r="J538" t="str">
            <v>J</v>
          </cell>
        </row>
        <row r="539">
          <cell r="B539">
            <v>8471</v>
          </cell>
          <cell r="C539" t="str">
            <v>专项储备_资本公积转增资本影响权益</v>
          </cell>
          <cell r="D539">
            <v>-1</v>
          </cell>
          <cell r="E539" t="str">
            <v>N</v>
          </cell>
          <cell r="G539" t="str">
            <v>1．资本公积转增资本（或股本）</v>
          </cell>
          <cell r="I539">
            <v>8471</v>
          </cell>
          <cell r="J539" t="str">
            <v>J</v>
          </cell>
        </row>
        <row r="540">
          <cell r="B540">
            <v>8472</v>
          </cell>
          <cell r="C540" t="str">
            <v>专项储备_盈余公积转增资本影响权益</v>
          </cell>
          <cell r="D540">
            <v>-1</v>
          </cell>
          <cell r="E540" t="str">
            <v>N</v>
          </cell>
          <cell r="G540" t="str">
            <v>2．盈余公积转增资本（或股本）</v>
          </cell>
          <cell r="I540">
            <v>8472</v>
          </cell>
          <cell r="J540" t="str">
            <v>J</v>
          </cell>
        </row>
        <row r="541">
          <cell r="B541">
            <v>8473</v>
          </cell>
          <cell r="C541" t="str">
            <v>专项储备_盈余公积弥补亏损影响权益</v>
          </cell>
          <cell r="D541">
            <v>-1</v>
          </cell>
          <cell r="E541" t="str">
            <v>N</v>
          </cell>
          <cell r="G541" t="str">
            <v>3．盈余公积弥补亏损</v>
          </cell>
          <cell r="I541">
            <v>8473</v>
          </cell>
          <cell r="J541" t="str">
            <v>J</v>
          </cell>
        </row>
        <row r="542">
          <cell r="B542">
            <v>8521</v>
          </cell>
          <cell r="C542" t="str">
            <v>盈余公积_净利润增加权益</v>
          </cell>
          <cell r="D542">
            <v>-1</v>
          </cell>
          <cell r="E542" t="str">
            <v>N</v>
          </cell>
          <cell r="G542" t="str">
            <v>（一）净利润</v>
          </cell>
          <cell r="I542">
            <v>8521</v>
          </cell>
          <cell r="J542" t="str">
            <v>J</v>
          </cell>
        </row>
        <row r="543">
          <cell r="B543">
            <v>8530</v>
          </cell>
          <cell r="C543" t="str">
            <v>盈余公积_其他综合收益增加权益</v>
          </cell>
          <cell r="D543">
            <v>-1</v>
          </cell>
          <cell r="E543" t="str">
            <v>N</v>
          </cell>
          <cell r="G543" t="str">
            <v>（二）其他综合收益</v>
          </cell>
          <cell r="I543">
            <v>8530</v>
          </cell>
          <cell r="J543" t="str">
            <v>J</v>
          </cell>
        </row>
        <row r="544">
          <cell r="B544">
            <v>8551</v>
          </cell>
          <cell r="C544" t="str">
            <v>盈余公积_所有者投入资本增加权益</v>
          </cell>
          <cell r="D544">
            <v>-1</v>
          </cell>
          <cell r="E544" t="str">
            <v>N</v>
          </cell>
          <cell r="G544" t="str">
            <v>1．所有者投入资本</v>
          </cell>
          <cell r="I544">
            <v>8551</v>
          </cell>
          <cell r="J544" t="str">
            <v>J</v>
          </cell>
        </row>
        <row r="545">
          <cell r="B545">
            <v>8552</v>
          </cell>
          <cell r="C545" t="str">
            <v>盈余公积_股份支付计入所有者权益的金额</v>
          </cell>
          <cell r="D545">
            <v>-1</v>
          </cell>
          <cell r="E545" t="str">
            <v>N</v>
          </cell>
          <cell r="G545" t="str">
            <v>2．股份支付计入所有者权益的金额</v>
          </cell>
          <cell r="I545">
            <v>8552</v>
          </cell>
          <cell r="J545" t="str">
            <v>J</v>
          </cell>
        </row>
        <row r="546">
          <cell r="B546">
            <v>8562</v>
          </cell>
          <cell r="C546" t="str">
            <v>盈余公积_提取一般风险准备影响权益</v>
          </cell>
          <cell r="D546">
            <v>-1</v>
          </cell>
          <cell r="E546" t="str">
            <v>N</v>
          </cell>
          <cell r="G546" t="str">
            <v>2．提取一般风险准备</v>
          </cell>
          <cell r="I546">
            <v>8562</v>
          </cell>
          <cell r="J546" t="str">
            <v>J</v>
          </cell>
        </row>
        <row r="547">
          <cell r="B547">
            <v>8571</v>
          </cell>
          <cell r="C547" t="str">
            <v>盈余公积_资本公积转增资本影响权益</v>
          </cell>
          <cell r="D547">
            <v>-1</v>
          </cell>
          <cell r="E547" t="str">
            <v>N</v>
          </cell>
          <cell r="G547" t="str">
            <v>1．资本公积转增资本（或股本）</v>
          </cell>
          <cell r="I547">
            <v>8571</v>
          </cell>
          <cell r="J547" t="str">
            <v>J</v>
          </cell>
        </row>
        <row r="548">
          <cell r="B548">
            <v>8581</v>
          </cell>
          <cell r="C548" t="str">
            <v>盈余公积_专项储备本期提取</v>
          </cell>
          <cell r="D548">
            <v>-1</v>
          </cell>
          <cell r="E548" t="str">
            <v>N</v>
          </cell>
          <cell r="G548" t="str">
            <v>1．本期提取</v>
          </cell>
          <cell r="I548">
            <v>8581</v>
          </cell>
          <cell r="J548" t="str">
            <v>J</v>
          </cell>
        </row>
        <row r="549">
          <cell r="B549">
            <v>8582</v>
          </cell>
          <cell r="C549" t="str">
            <v>盈余公积_专项储备本期使用</v>
          </cell>
          <cell r="D549">
            <v>-1</v>
          </cell>
          <cell r="E549" t="str">
            <v>N</v>
          </cell>
          <cell r="G549" t="str">
            <v>2．本期使用</v>
          </cell>
          <cell r="I549">
            <v>8582</v>
          </cell>
          <cell r="J549" t="str">
            <v>J</v>
          </cell>
        </row>
        <row r="550">
          <cell r="B550">
            <v>8621</v>
          </cell>
          <cell r="C550" t="str">
            <v>一般风险准备_净利润增加权益</v>
          </cell>
          <cell r="D550">
            <v>-1</v>
          </cell>
          <cell r="E550" t="str">
            <v>N</v>
          </cell>
          <cell r="G550" t="str">
            <v>（一）净利润</v>
          </cell>
          <cell r="I550">
            <v>8621</v>
          </cell>
          <cell r="J550" t="str">
            <v>J</v>
          </cell>
        </row>
        <row r="551">
          <cell r="B551">
            <v>8630</v>
          </cell>
          <cell r="C551" t="str">
            <v>一般风险准备_其他综合收益增加权益</v>
          </cell>
          <cell r="D551">
            <v>-1</v>
          </cell>
          <cell r="E551" t="str">
            <v>N</v>
          </cell>
          <cell r="G551" t="str">
            <v>（二）其他综合收益</v>
          </cell>
          <cell r="I551">
            <v>8630</v>
          </cell>
          <cell r="J551" t="str">
            <v>J</v>
          </cell>
        </row>
        <row r="552">
          <cell r="B552">
            <v>8651</v>
          </cell>
          <cell r="C552" t="str">
            <v>一般风险准备_所有者投入资本增加权益</v>
          </cell>
          <cell r="D552">
            <v>-1</v>
          </cell>
          <cell r="E552" t="str">
            <v>N</v>
          </cell>
          <cell r="G552" t="str">
            <v>1．所有者投入资本</v>
          </cell>
          <cell r="I552">
            <v>8651</v>
          </cell>
          <cell r="J552" t="str">
            <v>J</v>
          </cell>
        </row>
        <row r="553">
          <cell r="B553">
            <v>8652</v>
          </cell>
          <cell r="C553" t="str">
            <v>一般风险准备_股份支付计入所有者权益的金额</v>
          </cell>
          <cell r="D553">
            <v>-1</v>
          </cell>
          <cell r="E553" t="str">
            <v>N</v>
          </cell>
          <cell r="G553" t="str">
            <v>2．股份支付计入所有者权益的金额</v>
          </cell>
          <cell r="I553">
            <v>8652</v>
          </cell>
          <cell r="J553" t="str">
            <v>J</v>
          </cell>
        </row>
        <row r="554">
          <cell r="B554">
            <v>8661</v>
          </cell>
          <cell r="C554" t="str">
            <v>一般风险准备_提取盈余公积影响权益</v>
          </cell>
          <cell r="D554">
            <v>-1</v>
          </cell>
          <cell r="E554" t="str">
            <v>N</v>
          </cell>
          <cell r="G554" t="str">
            <v>1．提取盈余公积</v>
          </cell>
          <cell r="I554">
            <v>8661</v>
          </cell>
          <cell r="J554" t="str">
            <v>J</v>
          </cell>
        </row>
        <row r="555">
          <cell r="B555">
            <v>8663</v>
          </cell>
          <cell r="C555" t="str">
            <v>一般风险准备_对所有者的分配影响权益</v>
          </cell>
          <cell r="D555">
            <v>-1</v>
          </cell>
          <cell r="E555" t="str">
            <v>N</v>
          </cell>
          <cell r="G555" t="str">
            <v>3．对所有者（或股东）的分配</v>
          </cell>
          <cell r="I555">
            <v>8663</v>
          </cell>
          <cell r="J555" t="str">
            <v>J</v>
          </cell>
        </row>
        <row r="556">
          <cell r="B556">
            <v>8671</v>
          </cell>
          <cell r="C556" t="str">
            <v>一般风险准备_资本公积转增资本影响权益</v>
          </cell>
          <cell r="D556">
            <v>-1</v>
          </cell>
          <cell r="E556" t="str">
            <v>N</v>
          </cell>
          <cell r="G556" t="str">
            <v>1．资本公积转增资本（或股本）</v>
          </cell>
          <cell r="I556">
            <v>8671</v>
          </cell>
          <cell r="J556" t="str">
            <v>J</v>
          </cell>
        </row>
        <row r="557">
          <cell r="B557">
            <v>8672</v>
          </cell>
          <cell r="C557" t="str">
            <v>一般风险准备_盈余公积转增资本影响权益</v>
          </cell>
          <cell r="D557">
            <v>-1</v>
          </cell>
          <cell r="E557" t="str">
            <v>N</v>
          </cell>
          <cell r="G557" t="str">
            <v>2．盈余公积转增资本（或股本）</v>
          </cell>
          <cell r="I557">
            <v>8672</v>
          </cell>
          <cell r="J557" t="str">
            <v>J</v>
          </cell>
        </row>
        <row r="558">
          <cell r="B558">
            <v>8673</v>
          </cell>
          <cell r="C558" t="str">
            <v>一般风险准备_盈余公积弥补亏损影响权益</v>
          </cell>
          <cell r="D558">
            <v>-1</v>
          </cell>
          <cell r="E558" t="str">
            <v>N</v>
          </cell>
          <cell r="G558" t="str">
            <v>3．盈余公积弥补亏损</v>
          </cell>
          <cell r="I558">
            <v>8673</v>
          </cell>
          <cell r="J558" t="str">
            <v>J</v>
          </cell>
        </row>
        <row r="559">
          <cell r="B559">
            <v>8681</v>
          </cell>
          <cell r="C559" t="str">
            <v>一般风险准备_专项储备本期提取</v>
          </cell>
          <cell r="D559">
            <v>-1</v>
          </cell>
          <cell r="E559" t="str">
            <v>N</v>
          </cell>
          <cell r="G559" t="str">
            <v>1．本期提取</v>
          </cell>
          <cell r="I559">
            <v>8681</v>
          </cell>
          <cell r="J559" t="str">
            <v>J</v>
          </cell>
        </row>
        <row r="560">
          <cell r="B560">
            <v>8682</v>
          </cell>
          <cell r="C560" t="str">
            <v>一般风险准备_专项储备本期使用</v>
          </cell>
          <cell r="D560">
            <v>-1</v>
          </cell>
          <cell r="E560" t="str">
            <v>N</v>
          </cell>
          <cell r="G560" t="str">
            <v>2．本期使用</v>
          </cell>
          <cell r="I560">
            <v>8682</v>
          </cell>
          <cell r="J560" t="str">
            <v>J</v>
          </cell>
        </row>
        <row r="561">
          <cell r="B561">
            <v>8730</v>
          </cell>
          <cell r="C561" t="str">
            <v>未分配利润_其他综合收益增加权益</v>
          </cell>
          <cell r="D561">
            <v>-1</v>
          </cell>
          <cell r="E561" t="str">
            <v>N</v>
          </cell>
          <cell r="G561" t="str">
            <v>（二）其他综合收益</v>
          </cell>
          <cell r="I561">
            <v>8730</v>
          </cell>
          <cell r="J561" t="str">
            <v>J</v>
          </cell>
        </row>
        <row r="562">
          <cell r="B562">
            <v>8751</v>
          </cell>
          <cell r="C562" t="str">
            <v>未分配利润_所有者投入资本增加权益</v>
          </cell>
          <cell r="D562">
            <v>-1</v>
          </cell>
          <cell r="E562" t="str">
            <v>N</v>
          </cell>
          <cell r="G562" t="str">
            <v>1．所有者投入资本</v>
          </cell>
          <cell r="I562">
            <v>8751</v>
          </cell>
          <cell r="J562" t="str">
            <v>J</v>
          </cell>
        </row>
        <row r="563">
          <cell r="B563">
            <v>8752</v>
          </cell>
          <cell r="C563" t="str">
            <v>未分配利润_股份支付计入所有者权益的金额</v>
          </cell>
          <cell r="D563">
            <v>-1</v>
          </cell>
          <cell r="E563" t="str">
            <v>N</v>
          </cell>
          <cell r="G563" t="str">
            <v>2．股份支付计入所有者权益的金额</v>
          </cell>
          <cell r="I563">
            <v>8752</v>
          </cell>
          <cell r="J563" t="str">
            <v>J</v>
          </cell>
        </row>
        <row r="564">
          <cell r="B564">
            <v>8771</v>
          </cell>
          <cell r="C564" t="str">
            <v>未分配利润_资本公积转增资本影响权益</v>
          </cell>
          <cell r="D564">
            <v>-1</v>
          </cell>
          <cell r="E564" t="str">
            <v>N</v>
          </cell>
          <cell r="G564" t="str">
            <v>1．资本公积转增资本（或股本）</v>
          </cell>
          <cell r="I564">
            <v>8771</v>
          </cell>
          <cell r="J564" t="str">
            <v>J</v>
          </cell>
        </row>
        <row r="565">
          <cell r="B565">
            <v>8772</v>
          </cell>
          <cell r="C565" t="str">
            <v>未分配利润_盈余公积转增资本影响权益</v>
          </cell>
          <cell r="D565">
            <v>-1</v>
          </cell>
          <cell r="E565" t="str">
            <v>N</v>
          </cell>
          <cell r="G565" t="str">
            <v>2．盈余公积转增资本（或股本）</v>
          </cell>
          <cell r="I565">
            <v>8772</v>
          </cell>
          <cell r="J565" t="str">
            <v>J</v>
          </cell>
        </row>
        <row r="566">
          <cell r="B566">
            <v>8961</v>
          </cell>
          <cell r="C566" t="str">
            <v>少数股东权益_提取盈余公积影响权益</v>
          </cell>
          <cell r="D566">
            <v>-1</v>
          </cell>
          <cell r="E566" t="str">
            <v>※N</v>
          </cell>
          <cell r="G566" t="str">
            <v>1．提取盈余公积</v>
          </cell>
          <cell r="I566">
            <v>8961</v>
          </cell>
          <cell r="J566" t="str">
            <v>J</v>
          </cell>
        </row>
        <row r="567">
          <cell r="B567">
            <v>8962</v>
          </cell>
          <cell r="C567" t="str">
            <v>少数股东权益_提取一般风险准备影响权益</v>
          </cell>
          <cell r="D567">
            <v>-1</v>
          </cell>
          <cell r="E567" t="str">
            <v>※N</v>
          </cell>
          <cell r="G567" t="str">
            <v>2．提取一般风险准备</v>
          </cell>
          <cell r="I567">
            <v>8962</v>
          </cell>
          <cell r="J567" t="str">
            <v>J</v>
          </cell>
        </row>
        <row r="568">
          <cell r="B568">
            <v>8971</v>
          </cell>
          <cell r="C568" t="str">
            <v>少数股东权益_资本公积转增资本影响权益</v>
          </cell>
          <cell r="D568">
            <v>-1</v>
          </cell>
          <cell r="E568" t="str">
            <v>※N</v>
          </cell>
          <cell r="G568" t="str">
            <v>1．资本公积转增资本（或股本）</v>
          </cell>
          <cell r="I568">
            <v>8971</v>
          </cell>
          <cell r="J568" t="str">
            <v>J</v>
          </cell>
        </row>
        <row r="569">
          <cell r="B569">
            <v>8972</v>
          </cell>
          <cell r="C569" t="str">
            <v>少数股东权益_盈余公积转增资本影响权益</v>
          </cell>
          <cell r="D569">
            <v>-1</v>
          </cell>
          <cell r="E569" t="str">
            <v>※N</v>
          </cell>
          <cell r="G569" t="str">
            <v>2．盈余公积转增资本（或股本）</v>
          </cell>
          <cell r="I569">
            <v>8972</v>
          </cell>
          <cell r="J569" t="str">
            <v>J</v>
          </cell>
        </row>
        <row r="570">
          <cell r="B570">
            <v>8973</v>
          </cell>
          <cell r="C570" t="str">
            <v>少数股东权益_盈余公积弥补亏损影响权益</v>
          </cell>
          <cell r="D570">
            <v>-1</v>
          </cell>
          <cell r="E570" t="str">
            <v>※N</v>
          </cell>
          <cell r="G570" t="str">
            <v>3．盈余公积弥补亏损</v>
          </cell>
          <cell r="I570">
            <v>8973</v>
          </cell>
          <cell r="J570" t="str">
            <v>J</v>
          </cell>
        </row>
        <row r="571">
          <cell r="B571">
            <v>8140</v>
          </cell>
          <cell r="C571" t="str">
            <v>实收资本_净利润与其他综合收益增加权益</v>
          </cell>
          <cell r="E571" t="str">
            <v>＝</v>
          </cell>
          <cell r="G571" t="str">
            <v>上述（一）和（二）小计</v>
          </cell>
          <cell r="I571">
            <v>8140</v>
          </cell>
        </row>
        <row r="572">
          <cell r="B572">
            <v>8160</v>
          </cell>
          <cell r="C572" t="str">
            <v>实收资本_利润分配影响权益</v>
          </cell>
          <cell r="E572" t="str">
            <v>＝</v>
          </cell>
          <cell r="G572" t="str">
            <v>（四）利润分配</v>
          </cell>
          <cell r="I572">
            <v>8160</v>
          </cell>
        </row>
        <row r="573">
          <cell r="B573">
            <v>8180</v>
          </cell>
          <cell r="C573" t="str">
            <v>实收资本_专项储备影响权益</v>
          </cell>
          <cell r="E573" t="str">
            <v>＝</v>
          </cell>
          <cell r="G573" t="str">
            <v xml:space="preserve"> （六）专项储备</v>
          </cell>
          <cell r="I573">
            <v>8180</v>
          </cell>
        </row>
        <row r="574">
          <cell r="B574">
            <v>8280</v>
          </cell>
          <cell r="C574" t="str">
            <v>资本公积_专项储备影响权益</v>
          </cell>
          <cell r="E574" t="str">
            <v>＝</v>
          </cell>
          <cell r="G574" t="str">
            <v xml:space="preserve"> （六）专项储备</v>
          </cell>
          <cell r="I574">
            <v>8280</v>
          </cell>
        </row>
        <row r="575">
          <cell r="B575">
            <v>8340</v>
          </cell>
          <cell r="C575" t="str">
            <v>库存股_净利润与其他综合收益增加权益</v>
          </cell>
          <cell r="E575" t="str">
            <v>＝</v>
          </cell>
          <cell r="G575" t="str">
            <v>上述（一）和（二）小计</v>
          </cell>
          <cell r="I575">
            <v>8340</v>
          </cell>
        </row>
        <row r="576">
          <cell r="B576">
            <v>8380</v>
          </cell>
          <cell r="C576" t="str">
            <v>库存股_专项储备影响权益</v>
          </cell>
          <cell r="E576" t="str">
            <v>＝</v>
          </cell>
          <cell r="G576" t="str">
            <v xml:space="preserve"> （六）专项储备</v>
          </cell>
          <cell r="I576">
            <v>8380</v>
          </cell>
        </row>
        <row r="577">
          <cell r="B577">
            <v>8440</v>
          </cell>
          <cell r="C577" t="str">
            <v>专项储备_净利润与其他综合收益增加权益</v>
          </cell>
          <cell r="E577" t="str">
            <v>＝</v>
          </cell>
          <cell r="G577" t="str">
            <v>上述（一）和（二）小计</v>
          </cell>
          <cell r="I577">
            <v>8440</v>
          </cell>
        </row>
        <row r="578">
          <cell r="B578">
            <v>8450</v>
          </cell>
          <cell r="C578" t="str">
            <v>专项储备_所有者投入和减少资本影响权益</v>
          </cell>
          <cell r="E578" t="str">
            <v>＝</v>
          </cell>
          <cell r="G578" t="str">
            <v>（三）所有者投入和减少资本</v>
          </cell>
          <cell r="I578">
            <v>8450</v>
          </cell>
        </row>
        <row r="579">
          <cell r="B579">
            <v>8460</v>
          </cell>
          <cell r="C579" t="str">
            <v>专项储备_利润分配影响权益</v>
          </cell>
          <cell r="E579" t="str">
            <v>＝</v>
          </cell>
          <cell r="G579" t="str">
            <v>（四）利润分配</v>
          </cell>
          <cell r="I579">
            <v>8460</v>
          </cell>
        </row>
        <row r="580">
          <cell r="B580">
            <v>8540</v>
          </cell>
          <cell r="C580" t="str">
            <v>盈余公积_净利润与其他综合收益增加权益</v>
          </cell>
          <cell r="E580" t="str">
            <v>＝</v>
          </cell>
          <cell r="G580" t="str">
            <v>上述（一）和（二）小计</v>
          </cell>
          <cell r="I580">
            <v>8540</v>
          </cell>
        </row>
        <row r="581">
          <cell r="B581">
            <v>8580</v>
          </cell>
          <cell r="C581" t="str">
            <v>盈余公积_专项储备影响权益</v>
          </cell>
          <cell r="E581" t="str">
            <v>＝</v>
          </cell>
          <cell r="G581" t="str">
            <v xml:space="preserve"> （六）专项储备</v>
          </cell>
          <cell r="I581">
            <v>8580</v>
          </cell>
        </row>
        <row r="582">
          <cell r="B582">
            <v>8640</v>
          </cell>
          <cell r="C582" t="str">
            <v>一般风险准备_净利润与其他综合收益增加权益</v>
          </cell>
          <cell r="E582" t="str">
            <v>＝</v>
          </cell>
          <cell r="G582" t="str">
            <v>上述（一）和（二）小计</v>
          </cell>
          <cell r="I582">
            <v>8640</v>
          </cell>
        </row>
        <row r="583">
          <cell r="B583">
            <v>8680</v>
          </cell>
          <cell r="C583" t="str">
            <v>一般风险准备_专项储备影响权益</v>
          </cell>
          <cell r="E583" t="str">
            <v>＝</v>
          </cell>
          <cell r="G583" t="str">
            <v xml:space="preserve"> （六）专项储备</v>
          </cell>
          <cell r="I583">
            <v>8680</v>
          </cell>
        </row>
      </sheetData>
      <sheetData sheetId="1">
        <row r="5">
          <cell r="F5">
            <v>41639</v>
          </cell>
        </row>
      </sheetData>
      <sheetData sheetId="2" refreshError="1"/>
      <sheetData sheetId="3" refreshError="1"/>
      <sheetData sheetId="4">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H9">
            <v>2000</v>
          </cell>
          <cell r="I9" t="str">
            <v>流动负债：</v>
          </cell>
        </row>
        <row r="10">
          <cell r="C10">
            <v>1015</v>
          </cell>
          <cell r="D10" t="str">
            <v>货币资金</v>
          </cell>
          <cell r="E10" t="str">
            <v>SH</v>
          </cell>
          <cell r="F10">
            <v>1750686072.5799999</v>
          </cell>
          <cell r="G10">
            <v>2957437945.2399998</v>
          </cell>
          <cell r="H10">
            <v>2001</v>
          </cell>
          <cell r="I10" t="str">
            <v>短期借款</v>
          </cell>
          <cell r="L10">
            <v>0</v>
          </cell>
        </row>
        <row r="11">
          <cell r="C11">
            <v>1021</v>
          </cell>
          <cell r="D11" t="str">
            <v>结算备付金</v>
          </cell>
          <cell r="H11">
            <v>2004</v>
          </cell>
          <cell r="I11" t="str">
            <v>向中央银行借款</v>
          </cell>
        </row>
        <row r="12">
          <cell r="C12">
            <v>1302</v>
          </cell>
          <cell r="D12" t="str">
            <v>拆出资金</v>
          </cell>
          <cell r="H12">
            <v>2010</v>
          </cell>
          <cell r="I12" t="str">
            <v>吸收存款及同业存放</v>
          </cell>
        </row>
        <row r="13">
          <cell r="D13" t="str">
            <v/>
          </cell>
          <cell r="H13">
            <v>2003</v>
          </cell>
          <cell r="I13" t="str">
            <v>拆入资金</v>
          </cell>
        </row>
        <row r="14">
          <cell r="C14">
            <v>1101</v>
          </cell>
          <cell r="D14" t="str">
            <v>交易性金融资产</v>
          </cell>
          <cell r="E14" t="str">
            <v>SH</v>
          </cell>
          <cell r="F14">
            <v>175000000.02000001</v>
          </cell>
          <cell r="H14">
            <v>2101</v>
          </cell>
          <cell r="I14" t="str">
            <v>交易性金融负债</v>
          </cell>
        </row>
        <row r="15">
          <cell r="C15">
            <v>1121</v>
          </cell>
          <cell r="D15" t="str">
            <v>应收票据</v>
          </cell>
          <cell r="E15" t="str">
            <v>XJ</v>
          </cell>
          <cell r="F15">
            <v>57765597.380000003</v>
          </cell>
          <cell r="G15">
            <v>39847810.969999999</v>
          </cell>
          <cell r="H15">
            <v>2201</v>
          </cell>
          <cell r="I15" t="str">
            <v>应付票据</v>
          </cell>
        </row>
        <row r="16">
          <cell r="C16">
            <v>1122</v>
          </cell>
          <cell r="D16" t="str">
            <v>应收账款</v>
          </cell>
          <cell r="E16" t="str">
            <v>XJ</v>
          </cell>
          <cell r="F16">
            <v>3904942.68</v>
          </cell>
          <cell r="G16">
            <v>1460421.52</v>
          </cell>
          <cell r="H16">
            <v>2202</v>
          </cell>
          <cell r="I16" t="str">
            <v>应付账款</v>
          </cell>
          <cell r="J16" t="str">
            <v>ZW</v>
          </cell>
          <cell r="K16">
            <v>138543009.33000001</v>
          </cell>
          <cell r="L16">
            <v>263861109.38999999</v>
          </cell>
        </row>
        <row r="17">
          <cell r="C17">
            <v>1125</v>
          </cell>
          <cell r="D17" t="str">
            <v>预付款项</v>
          </cell>
          <cell r="E17" t="str">
            <v>ZW</v>
          </cell>
          <cell r="F17">
            <v>71851048.549999997</v>
          </cell>
          <cell r="G17">
            <v>92925456.030000001</v>
          </cell>
          <cell r="H17">
            <v>2205</v>
          </cell>
          <cell r="I17" t="str">
            <v>预收款项</v>
          </cell>
          <cell r="J17" t="str">
            <v>XJ</v>
          </cell>
          <cell r="K17">
            <v>1328402806.79</v>
          </cell>
          <cell r="L17">
            <v>621922741.46000004</v>
          </cell>
        </row>
        <row r="18">
          <cell r="C18">
            <v>1127</v>
          </cell>
          <cell r="D18" t="str">
            <v>应收保费</v>
          </cell>
          <cell r="H18">
            <v>2111</v>
          </cell>
          <cell r="I18" t="str">
            <v>卖出回购金融资产款</v>
          </cell>
        </row>
        <row r="19">
          <cell r="C19">
            <v>1211</v>
          </cell>
          <cell r="D19" t="str">
            <v>应收分保账款</v>
          </cell>
          <cell r="H19">
            <v>2240</v>
          </cell>
          <cell r="I19" t="str">
            <v>应付手续费及佣金</v>
          </cell>
        </row>
        <row r="20">
          <cell r="C20">
            <v>1212</v>
          </cell>
          <cell r="D20" t="str">
            <v>应收分保合同准备金</v>
          </cell>
          <cell r="I20" t="str">
            <v/>
          </cell>
        </row>
        <row r="21">
          <cell r="C21">
            <v>1132</v>
          </cell>
          <cell r="D21" t="str">
            <v>应收利息</v>
          </cell>
          <cell r="E21" t="str">
            <v>SH</v>
          </cell>
          <cell r="F21">
            <v>87294109.040000007</v>
          </cell>
          <cell r="G21">
            <v>16335723.67</v>
          </cell>
          <cell r="H21">
            <v>2211</v>
          </cell>
          <cell r="I21" t="str">
            <v>应付职工薪酬</v>
          </cell>
          <cell r="J21" t="str">
            <v>SH</v>
          </cell>
          <cell r="K21">
            <v>19147797.640000001</v>
          </cell>
          <cell r="L21">
            <v>19593402.850000001</v>
          </cell>
        </row>
        <row r="22">
          <cell r="C22">
            <v>1131</v>
          </cell>
          <cell r="D22" t="str">
            <v>应收股利</v>
          </cell>
          <cell r="E22" t="str">
            <v>LR</v>
          </cell>
          <cell r="F22">
            <v>130000000</v>
          </cell>
          <cell r="G22">
            <v>130000000</v>
          </cell>
          <cell r="H22">
            <v>2221</v>
          </cell>
          <cell r="I22" t="str">
            <v>应交税费</v>
          </cell>
          <cell r="J22" t="str">
            <v>XJ</v>
          </cell>
          <cell r="K22">
            <v>25849717.09</v>
          </cell>
          <cell r="L22">
            <v>24215225.879999999</v>
          </cell>
        </row>
        <row r="23">
          <cell r="C23">
            <v>1221</v>
          </cell>
          <cell r="D23" t="str">
            <v>其他应收款</v>
          </cell>
          <cell r="E23" t="str">
            <v>ZZS</v>
          </cell>
          <cell r="F23">
            <v>20682812.16</v>
          </cell>
          <cell r="G23">
            <v>12107216.68</v>
          </cell>
          <cell r="H23">
            <v>2231</v>
          </cell>
          <cell r="I23" t="str">
            <v>应付利息</v>
          </cell>
          <cell r="L23">
            <v>0</v>
          </cell>
        </row>
        <row r="24">
          <cell r="C24">
            <v>1111</v>
          </cell>
          <cell r="D24" t="str">
            <v>买入返售金融资产</v>
          </cell>
          <cell r="I24" t="str">
            <v/>
          </cell>
        </row>
        <row r="25">
          <cell r="C25">
            <v>1400</v>
          </cell>
          <cell r="D25" t="str">
            <v>存货</v>
          </cell>
          <cell r="E25" t="str">
            <v>ZW</v>
          </cell>
          <cell r="F25">
            <v>131390045.17</v>
          </cell>
          <cell r="G25">
            <v>128454645.41</v>
          </cell>
          <cell r="H25">
            <v>2232</v>
          </cell>
          <cell r="I25" t="str">
            <v>应付股利</v>
          </cell>
          <cell r="L25">
            <v>0</v>
          </cell>
        </row>
        <row r="26">
          <cell r="C26">
            <v>1495</v>
          </cell>
          <cell r="D26" t="str">
            <v>一年内到期的非流动资产</v>
          </cell>
          <cell r="H26">
            <v>2241</v>
          </cell>
          <cell r="I26" t="str">
            <v>其他应付款</v>
          </cell>
          <cell r="J26" t="str">
            <v>ZZS</v>
          </cell>
          <cell r="K26">
            <v>112911776.84999999</v>
          </cell>
          <cell r="L26">
            <v>25576157.789999999</v>
          </cell>
        </row>
        <row r="27">
          <cell r="D27" t="str">
            <v/>
          </cell>
          <cell r="H27">
            <v>2261</v>
          </cell>
          <cell r="I27" t="str">
            <v>应付分保账款</v>
          </cell>
        </row>
        <row r="28">
          <cell r="D28" t="str">
            <v/>
          </cell>
          <cell r="H28">
            <v>2310</v>
          </cell>
          <cell r="I28" t="str">
            <v>保险合同准备金</v>
          </cell>
        </row>
        <row r="29">
          <cell r="D29" t="str">
            <v/>
          </cell>
          <cell r="H29">
            <v>2311</v>
          </cell>
          <cell r="I29" t="str">
            <v>代理买卖证券款</v>
          </cell>
        </row>
        <row r="30">
          <cell r="D30" t="str">
            <v/>
          </cell>
          <cell r="H30">
            <v>2312</v>
          </cell>
          <cell r="I30" t="str">
            <v>代理承销证券款</v>
          </cell>
        </row>
        <row r="31">
          <cell r="C31">
            <v>1496</v>
          </cell>
          <cell r="D31" t="str">
            <v>其他流动资产</v>
          </cell>
          <cell r="E31" t="str">
            <v>SH</v>
          </cell>
          <cell r="F31">
            <v>0</v>
          </cell>
          <cell r="G31">
            <v>0</v>
          </cell>
          <cell r="H31">
            <v>2395</v>
          </cell>
          <cell r="I31" t="str">
            <v>一年内到期的非流动负债</v>
          </cell>
        </row>
        <row r="32">
          <cell r="D32" t="str">
            <v/>
          </cell>
          <cell r="H32">
            <v>2396</v>
          </cell>
          <cell r="I32" t="str">
            <v>其他流动负债</v>
          </cell>
          <cell r="L32">
            <v>0</v>
          </cell>
        </row>
        <row r="33">
          <cell r="C33">
            <v>1498</v>
          </cell>
          <cell r="D33" t="str">
            <v>流动资产合计</v>
          </cell>
          <cell r="F33">
            <v>2428574627.5799999</v>
          </cell>
          <cell r="G33">
            <v>3378569219.52</v>
          </cell>
          <cell r="H33">
            <v>2498</v>
          </cell>
          <cell r="I33" t="str">
            <v>流动负债合计</v>
          </cell>
          <cell r="K33">
            <v>1624855107.7</v>
          </cell>
          <cell r="L33">
            <v>955168637.37</v>
          </cell>
        </row>
        <row r="34">
          <cell r="C34">
            <v>1500</v>
          </cell>
          <cell r="D34" t="str">
            <v>非流动资产：</v>
          </cell>
          <cell r="H34">
            <v>2500</v>
          </cell>
          <cell r="I34" t="str">
            <v>非流动负债：</v>
          </cell>
        </row>
        <row r="35">
          <cell r="C35">
            <v>1600</v>
          </cell>
          <cell r="D35" t="str">
            <v>发放委托贷款及垫款</v>
          </cell>
          <cell r="I35" t="str">
            <v/>
          </cell>
        </row>
        <row r="36">
          <cell r="C36">
            <v>1503</v>
          </cell>
          <cell r="D36" t="str">
            <v>可供出售金融资产</v>
          </cell>
          <cell r="E36" t="str">
            <v>SH</v>
          </cell>
          <cell r="F36">
            <v>10000000</v>
          </cell>
          <cell r="H36">
            <v>2501</v>
          </cell>
          <cell r="I36" t="str">
            <v>长期借款</v>
          </cell>
        </row>
        <row r="37">
          <cell r="C37">
            <v>1501</v>
          </cell>
          <cell r="D37" t="str">
            <v>持有至到期投资</v>
          </cell>
          <cell r="E37" t="str">
            <v>SH</v>
          </cell>
          <cell r="F37">
            <v>660000000</v>
          </cell>
          <cell r="H37">
            <v>2502</v>
          </cell>
          <cell r="I37" t="str">
            <v>应付债券</v>
          </cell>
        </row>
        <row r="38">
          <cell r="C38">
            <v>1531</v>
          </cell>
          <cell r="D38" t="str">
            <v>长期应收款</v>
          </cell>
          <cell r="H38">
            <v>2701</v>
          </cell>
          <cell r="I38" t="str">
            <v>长期应付款</v>
          </cell>
          <cell r="L38">
            <v>0</v>
          </cell>
        </row>
        <row r="39">
          <cell r="C39">
            <v>1511</v>
          </cell>
          <cell r="D39" t="str">
            <v>长期股权投资</v>
          </cell>
          <cell r="E39" t="str">
            <v>LR</v>
          </cell>
          <cell r="F39">
            <v>1136886148.4300001</v>
          </cell>
          <cell r="G39">
            <v>539781648.42999995</v>
          </cell>
          <cell r="H39">
            <v>2711</v>
          </cell>
          <cell r="I39" t="str">
            <v>专项应付款</v>
          </cell>
          <cell r="J39" t="str">
            <v>ZZS</v>
          </cell>
          <cell r="K39">
            <v>5736495</v>
          </cell>
        </row>
        <row r="40">
          <cell r="C40">
            <v>1521</v>
          </cell>
          <cell r="D40" t="str">
            <v>投资性房地产</v>
          </cell>
          <cell r="H40">
            <v>2801</v>
          </cell>
          <cell r="I40" t="str">
            <v>预计负债</v>
          </cell>
          <cell r="J40" t="str">
            <v>XJ</v>
          </cell>
          <cell r="K40">
            <v>29243726.359999999</v>
          </cell>
          <cell r="L40">
            <v>16042980.51</v>
          </cell>
        </row>
        <row r="41">
          <cell r="C41">
            <v>1601</v>
          </cell>
          <cell r="D41" t="str">
            <v>固定资产</v>
          </cell>
          <cell r="E41" t="str">
            <v>ZZS</v>
          </cell>
          <cell r="F41">
            <v>188711416.13</v>
          </cell>
          <cell r="G41">
            <v>182043179.80000001</v>
          </cell>
          <cell r="H41">
            <v>2901</v>
          </cell>
          <cell r="I41" t="str">
            <v>递延所得税负债</v>
          </cell>
          <cell r="L41">
            <v>0</v>
          </cell>
        </row>
        <row r="42">
          <cell r="C42">
            <v>1604</v>
          </cell>
          <cell r="D42" t="str">
            <v>在建工程</v>
          </cell>
          <cell r="E42" t="str">
            <v>ZZS</v>
          </cell>
          <cell r="F42">
            <v>36096245.659999996</v>
          </cell>
          <cell r="G42">
            <v>9420456.6099999994</v>
          </cell>
          <cell r="H42">
            <v>2996</v>
          </cell>
          <cell r="I42" t="str">
            <v>其他非流动负债</v>
          </cell>
          <cell r="J42" t="str">
            <v>ZQ</v>
          </cell>
          <cell r="K42">
            <v>12223535.720000001</v>
          </cell>
          <cell r="L42">
            <v>17448250</v>
          </cell>
        </row>
        <row r="43">
          <cell r="C43">
            <v>1605</v>
          </cell>
          <cell r="D43" t="str">
            <v>工程物资</v>
          </cell>
          <cell r="H43">
            <v>2998</v>
          </cell>
          <cell r="I43" t="str">
            <v>非流动负债合计</v>
          </cell>
          <cell r="K43">
            <v>47203757.079999998</v>
          </cell>
          <cell r="L43">
            <v>33491230.510000002</v>
          </cell>
        </row>
        <row r="44">
          <cell r="C44">
            <v>1606</v>
          </cell>
          <cell r="D44" t="str">
            <v>固定资产清理</v>
          </cell>
          <cell r="H44">
            <v>2999</v>
          </cell>
          <cell r="I44" t="str">
            <v>负债合计</v>
          </cell>
          <cell r="K44">
            <v>1672058864.78</v>
          </cell>
          <cell r="L44">
            <v>988659867.88</v>
          </cell>
        </row>
        <row r="45">
          <cell r="C45">
            <v>1621</v>
          </cell>
          <cell r="D45" t="str">
            <v>生产性生物资产</v>
          </cell>
          <cell r="H45">
            <v>4000</v>
          </cell>
          <cell r="I45" t="str">
            <v>所有者权益(或股东权益)：</v>
          </cell>
        </row>
        <row r="46">
          <cell r="C46">
            <v>1631</v>
          </cell>
          <cell r="D46" t="str">
            <v>油气资产</v>
          </cell>
          <cell r="H46">
            <v>4001</v>
          </cell>
          <cell r="I46" t="str">
            <v>实收资本（或股本）</v>
          </cell>
          <cell r="J46" t="str">
            <v>ZZS</v>
          </cell>
          <cell r="K46">
            <v>400000000</v>
          </cell>
          <cell r="L46">
            <v>400000000</v>
          </cell>
        </row>
        <row r="47">
          <cell r="C47">
            <v>1701</v>
          </cell>
          <cell r="D47" t="str">
            <v>无形资产</v>
          </cell>
          <cell r="E47" t="str">
            <v>ZZS</v>
          </cell>
          <cell r="F47">
            <v>74425523.810000002</v>
          </cell>
          <cell r="G47">
            <v>72623909.079999998</v>
          </cell>
          <cell r="H47">
            <v>4002</v>
          </cell>
          <cell r="I47" t="str">
            <v>资本公积</v>
          </cell>
          <cell r="J47" t="str">
            <v>ZZS</v>
          </cell>
          <cell r="K47">
            <v>2340093315.98</v>
          </cell>
          <cell r="L47">
            <v>2340093315.98</v>
          </cell>
        </row>
        <row r="48">
          <cell r="C48">
            <v>1700</v>
          </cell>
          <cell r="D48" t="str">
            <v>开发支出</v>
          </cell>
          <cell r="H48">
            <v>4201</v>
          </cell>
          <cell r="I48" t="str">
            <v>减：库存股</v>
          </cell>
        </row>
        <row r="49">
          <cell r="C49">
            <v>1711</v>
          </cell>
          <cell r="D49" t="str">
            <v>商誉</v>
          </cell>
          <cell r="H49">
            <v>4301</v>
          </cell>
          <cell r="I49" t="str">
            <v>专项储备</v>
          </cell>
        </row>
        <row r="50">
          <cell r="C50">
            <v>1801</v>
          </cell>
          <cell r="D50" t="str">
            <v>长期待摊费用</v>
          </cell>
          <cell r="E50" t="str">
            <v>ZZS</v>
          </cell>
          <cell r="F50">
            <v>635841.43000000005</v>
          </cell>
          <cell r="G50">
            <v>0</v>
          </cell>
          <cell r="H50">
            <v>4101</v>
          </cell>
          <cell r="I50" t="str">
            <v>盈余公积</v>
          </cell>
          <cell r="J50" t="str">
            <v>ZZS</v>
          </cell>
          <cell r="K50">
            <v>103600472.98999999</v>
          </cell>
          <cell r="L50">
            <v>81583400.599999994</v>
          </cell>
        </row>
        <row r="51">
          <cell r="C51">
            <v>1811</v>
          </cell>
          <cell r="D51" t="str">
            <v>递延所得税资产</v>
          </cell>
          <cell r="E51" t="str">
            <v>XJ</v>
          </cell>
          <cell r="F51">
            <v>5191036.0599999996</v>
          </cell>
          <cell r="G51">
            <v>4681038.18</v>
          </cell>
          <cell r="H51">
            <v>4102</v>
          </cell>
          <cell r="I51" t="str">
            <v>一般风险准备</v>
          </cell>
        </row>
        <row r="52">
          <cell r="C52">
            <v>1996</v>
          </cell>
          <cell r="D52" t="str">
            <v>其他非流动资产</v>
          </cell>
          <cell r="E52" t="str">
            <v>SH</v>
          </cell>
          <cell r="F52">
            <v>420000000</v>
          </cell>
          <cell r="G52">
            <v>153831666.66999999</v>
          </cell>
          <cell r="H52">
            <v>4200</v>
          </cell>
          <cell r="I52" t="str">
            <v>未分配利润</v>
          </cell>
          <cell r="J52" t="str">
            <v>ZZS</v>
          </cell>
          <cell r="K52">
            <v>444768185.35000002</v>
          </cell>
          <cell r="L52">
            <v>530614533.82999998</v>
          </cell>
        </row>
        <row r="53">
          <cell r="D53" t="str">
            <v/>
          </cell>
          <cell r="H53">
            <v>4210</v>
          </cell>
          <cell r="I53" t="str">
            <v>外币报表折算差额</v>
          </cell>
        </row>
        <row r="54">
          <cell r="D54" t="str">
            <v/>
          </cell>
          <cell r="H54">
            <v>4298</v>
          </cell>
          <cell r="I54" t="str">
            <v>归属于母公司所有者权益合计</v>
          </cell>
          <cell r="K54">
            <v>3288461974.3200002</v>
          </cell>
          <cell r="L54">
            <v>3352291250.4099998</v>
          </cell>
        </row>
        <row r="55">
          <cell r="D55" t="str">
            <v/>
          </cell>
          <cell r="H55">
            <v>4398</v>
          </cell>
          <cell r="I55" t="str">
            <v>少数股东权益</v>
          </cell>
        </row>
        <row r="56">
          <cell r="C56">
            <v>1998</v>
          </cell>
          <cell r="D56" t="str">
            <v>非流动资产合计</v>
          </cell>
          <cell r="F56">
            <v>2531946211.52</v>
          </cell>
          <cell r="G56">
            <v>962381898.76999998</v>
          </cell>
          <cell r="H56">
            <v>4999</v>
          </cell>
          <cell r="I56" t="str">
            <v>所有者权益(或股东权益)合计</v>
          </cell>
          <cell r="K56">
            <v>3288461974.3200002</v>
          </cell>
          <cell r="L56">
            <v>3352291250.4099998</v>
          </cell>
        </row>
        <row r="57">
          <cell r="C57">
            <v>1999</v>
          </cell>
          <cell r="D57" t="str">
            <v>资产总计</v>
          </cell>
          <cell r="F57">
            <v>4960520839.1000004</v>
          </cell>
          <cell r="G57">
            <v>4340951118.29</v>
          </cell>
          <cell r="H57">
            <v>5000</v>
          </cell>
          <cell r="I57" t="str">
            <v>负债和所有者权益(或股东权益)总计</v>
          </cell>
          <cell r="K57">
            <v>4960520839.1000004</v>
          </cell>
          <cell r="L57">
            <v>4340951118.29</v>
          </cell>
        </row>
        <row r="60">
          <cell r="C60" t="str">
            <v>ItemId3</v>
          </cell>
          <cell r="D60" t="str">
            <v>补充资料：资产减值准备</v>
          </cell>
          <cell r="F60" t="str">
            <v>期末余额</v>
          </cell>
          <cell r="G60" t="str">
            <v>年初余额</v>
          </cell>
        </row>
        <row r="61">
          <cell r="C61">
            <v>1122.1231</v>
          </cell>
          <cell r="D61" t="str">
            <v>应收账款坏账准备</v>
          </cell>
        </row>
        <row r="62">
          <cell r="C62">
            <v>1125.1231</v>
          </cell>
          <cell r="D62" t="str">
            <v>预付款项坏账准备</v>
          </cell>
        </row>
        <row r="63">
          <cell r="C63">
            <v>1221.1231</v>
          </cell>
          <cell r="D63" t="str">
            <v>其他应收款坏账准备</v>
          </cell>
        </row>
        <row r="64">
          <cell r="C64">
            <v>1400.1470999999999</v>
          </cell>
          <cell r="D64" t="str">
            <v>存货跌价准备</v>
          </cell>
        </row>
        <row r="65">
          <cell r="C65">
            <v>1503.1504</v>
          </cell>
          <cell r="D65" t="str">
            <v>可供出售金融资产减值准备</v>
          </cell>
        </row>
        <row r="66">
          <cell r="C66">
            <v>1501.1502</v>
          </cell>
          <cell r="D66" t="str">
            <v>持有至到期投资减值准备</v>
          </cell>
        </row>
        <row r="67">
          <cell r="C67">
            <v>1511.1512</v>
          </cell>
          <cell r="D67" t="str">
            <v>长期股权投资减值准备</v>
          </cell>
        </row>
        <row r="68">
          <cell r="C68">
            <v>1521.1522</v>
          </cell>
          <cell r="D68" t="str">
            <v>投资性房地产减值准备</v>
          </cell>
        </row>
        <row r="69">
          <cell r="C69">
            <v>1601.1603</v>
          </cell>
          <cell r="D69" t="str">
            <v>固定资产减值准备</v>
          </cell>
        </row>
        <row r="70">
          <cell r="C70">
            <v>1605.1608000000001</v>
          </cell>
          <cell r="D70" t="str">
            <v>工程物资减值准备</v>
          </cell>
        </row>
        <row r="71">
          <cell r="C71">
            <v>1604.1606999999999</v>
          </cell>
          <cell r="D71" t="str">
            <v>在建工程减值准备</v>
          </cell>
        </row>
        <row r="72">
          <cell r="C72">
            <v>1621.1623999999999</v>
          </cell>
          <cell r="D72" t="str">
            <v>生产性生物资产减值准备</v>
          </cell>
        </row>
        <row r="73">
          <cell r="C73">
            <v>1631.1632999999999</v>
          </cell>
          <cell r="D73" t="str">
            <v>油气资产减值准备</v>
          </cell>
        </row>
        <row r="74">
          <cell r="C74">
            <v>1701.1703</v>
          </cell>
          <cell r="D74" t="str">
            <v>无形资产减值准备</v>
          </cell>
        </row>
        <row r="75">
          <cell r="C75">
            <v>1711.1712</v>
          </cell>
          <cell r="D75" t="str">
            <v>商誉减值准备</v>
          </cell>
        </row>
        <row r="76">
          <cell r="C76">
            <v>1991.1992</v>
          </cell>
          <cell r="D76" t="str">
            <v>其他</v>
          </cell>
        </row>
        <row r="77">
          <cell r="C77">
            <v>1991</v>
          </cell>
          <cell r="D77" t="str">
            <v>资产减值准备小计</v>
          </cell>
          <cell r="F77">
            <v>0</v>
          </cell>
          <cell r="G77">
            <v>0</v>
          </cell>
        </row>
      </sheetData>
      <sheetData sheetId="5">
        <row r="8">
          <cell r="B8" t="str">
            <v>项目编号</v>
          </cell>
          <cell r="C8" t="str">
            <v>项       目</v>
          </cell>
          <cell r="D8" t="str">
            <v>附注</v>
          </cell>
          <cell r="E8" t="str">
            <v>本期金额</v>
          </cell>
          <cell r="F8" t="str">
            <v>上期金额</v>
          </cell>
        </row>
        <row r="9">
          <cell r="B9">
            <v>6098</v>
          </cell>
          <cell r="C9" t="str">
            <v>一、营业总收入</v>
          </cell>
          <cell r="E9">
            <v>2016283544.3499999</v>
          </cell>
          <cell r="F9">
            <v>2348621041.3899999</v>
          </cell>
        </row>
        <row r="10">
          <cell r="B10">
            <v>6001</v>
          </cell>
          <cell r="C10" t="str">
            <v>一、营业收入</v>
          </cell>
          <cell r="D10" t="str">
            <v>XJ</v>
          </cell>
          <cell r="E10">
            <v>2016283544.3499999</v>
          </cell>
          <cell r="F10">
            <v>2348621041.3899999</v>
          </cell>
        </row>
        <row r="11">
          <cell r="B11">
            <v>6011</v>
          </cell>
          <cell r="C11" t="str">
            <v>利息收入</v>
          </cell>
        </row>
        <row r="12">
          <cell r="B12">
            <v>6030</v>
          </cell>
          <cell r="C12" t="str">
            <v>已赚保费</v>
          </cell>
        </row>
        <row r="13">
          <cell r="B13">
            <v>6021</v>
          </cell>
          <cell r="C13" t="str">
            <v>手续费及佣金收入</v>
          </cell>
        </row>
        <row r="14">
          <cell r="B14">
            <v>6598</v>
          </cell>
          <cell r="C14" t="str">
            <v>二、营业总成本</v>
          </cell>
          <cell r="E14">
            <v>1775505867.23</v>
          </cell>
          <cell r="F14">
            <v>2008462605.75</v>
          </cell>
        </row>
        <row r="15">
          <cell r="B15">
            <v>6401</v>
          </cell>
          <cell r="C15" t="str">
            <v>减：营业成本</v>
          </cell>
          <cell r="D15" t="str">
            <v>ZW</v>
          </cell>
          <cell r="E15">
            <v>1543029658.23</v>
          </cell>
          <cell r="F15">
            <v>1818004850.1199999</v>
          </cell>
        </row>
        <row r="16">
          <cell r="B16">
            <v>6411</v>
          </cell>
          <cell r="C16" t="str">
            <v>利息支出</v>
          </cell>
        </row>
        <row r="17">
          <cell r="B17">
            <v>6421</v>
          </cell>
          <cell r="C17" t="str">
            <v>手续费及佣金支出</v>
          </cell>
        </row>
        <row r="18">
          <cell r="B18">
            <v>6531</v>
          </cell>
          <cell r="C18" t="str">
            <v>退保金</v>
          </cell>
        </row>
        <row r="19">
          <cell r="B19">
            <v>6510</v>
          </cell>
          <cell r="C19" t="str">
            <v>赔付支出净额</v>
          </cell>
        </row>
        <row r="20">
          <cell r="B20">
            <v>6505</v>
          </cell>
          <cell r="C20" t="str">
            <v>提取保险合同准备金净额</v>
          </cell>
        </row>
        <row r="21">
          <cell r="B21">
            <v>6521</v>
          </cell>
          <cell r="C21" t="str">
            <v>保单红利支出</v>
          </cell>
        </row>
        <row r="22">
          <cell r="B22">
            <v>6542</v>
          </cell>
          <cell r="C22" t="str">
            <v>分保费用</v>
          </cell>
        </row>
        <row r="23">
          <cell r="B23">
            <v>6600</v>
          </cell>
          <cell r="C23" t="str">
            <v>营业税金及附加</v>
          </cell>
          <cell r="D23" t="str">
            <v>XJ</v>
          </cell>
          <cell r="E23">
            <v>8364519.6399999997</v>
          </cell>
          <cell r="F23">
            <v>13865392.26</v>
          </cell>
        </row>
        <row r="24">
          <cell r="B24">
            <v>6601</v>
          </cell>
          <cell r="C24" t="str">
            <v>销售费用</v>
          </cell>
          <cell r="D24" t="str">
            <v>ZZS</v>
          </cell>
          <cell r="E24">
            <v>147780440.72</v>
          </cell>
          <cell r="F24">
            <v>120937414.23999999</v>
          </cell>
        </row>
        <row r="25">
          <cell r="B25">
            <v>6602</v>
          </cell>
          <cell r="C25" t="str">
            <v>管理费用</v>
          </cell>
          <cell r="D25" t="str">
            <v>ZZS</v>
          </cell>
          <cell r="E25">
            <v>179548459.72999999</v>
          </cell>
          <cell r="F25">
            <v>102245024.79000001</v>
          </cell>
        </row>
        <row r="26">
          <cell r="B26">
            <v>6603</v>
          </cell>
          <cell r="C26" t="str">
            <v>财务费用</v>
          </cell>
          <cell r="D26" t="str">
            <v>SH</v>
          </cell>
          <cell r="E26">
            <v>-104240602.16</v>
          </cell>
          <cell r="F26">
            <v>-49618908.770000003</v>
          </cell>
        </row>
        <row r="27">
          <cell r="B27">
            <v>6671</v>
          </cell>
          <cell r="C27" t="str">
            <v>资产减值损失</v>
          </cell>
          <cell r="D27" t="str">
            <v>ZZS</v>
          </cell>
          <cell r="E27">
            <v>1023391.07</v>
          </cell>
          <cell r="F27">
            <v>3028833.11</v>
          </cell>
        </row>
        <row r="28">
          <cell r="B28">
            <v>6101</v>
          </cell>
          <cell r="C28" t="str">
            <v>加：公允价值变动收益（损失以“-”号填列）</v>
          </cell>
        </row>
        <row r="29">
          <cell r="B29">
            <v>6111</v>
          </cell>
          <cell r="C29" t="str">
            <v>投资收益（损失以“-”号填列）</v>
          </cell>
          <cell r="D29" t="str">
            <v>LR</v>
          </cell>
          <cell r="E29">
            <v>14999382.07</v>
          </cell>
          <cell r="F29">
            <v>130080000</v>
          </cell>
        </row>
        <row r="30">
          <cell r="B30">
            <v>6111.01</v>
          </cell>
          <cell r="C30" t="str">
            <v>其中：对联营企业和合营企业的投资收益</v>
          </cell>
        </row>
        <row r="31">
          <cell r="B31">
            <v>6161</v>
          </cell>
          <cell r="C31" t="str">
            <v>汇兑收益（损失以“-”号填列）</v>
          </cell>
        </row>
        <row r="32">
          <cell r="B32">
            <v>6689</v>
          </cell>
          <cell r="C32" t="str">
            <v>二、营业利润（亏损以“-”号填列）</v>
          </cell>
          <cell r="E32">
            <v>255777059.19</v>
          </cell>
          <cell r="F32">
            <v>470238435.63999999</v>
          </cell>
        </row>
        <row r="33">
          <cell r="B33">
            <v>6710</v>
          </cell>
          <cell r="C33" t="str">
            <v>加：营业外收入</v>
          </cell>
          <cell r="D33" t="str">
            <v>ZQ</v>
          </cell>
          <cell r="E33">
            <v>9325799.5899999999</v>
          </cell>
          <cell r="F33">
            <v>5949716.1399999997</v>
          </cell>
        </row>
        <row r="34">
          <cell r="B34">
            <v>6711</v>
          </cell>
          <cell r="C34" t="str">
            <v>减：营业外支出</v>
          </cell>
          <cell r="D34" t="str">
            <v>ZQ</v>
          </cell>
          <cell r="E34">
            <v>6431368.4699999997</v>
          </cell>
          <cell r="F34">
            <v>6992364.7000000002</v>
          </cell>
        </row>
        <row r="35">
          <cell r="B35">
            <v>6711.01</v>
          </cell>
          <cell r="C35" t="str">
            <v>其中：非流动资产处置损失</v>
          </cell>
        </row>
        <row r="36">
          <cell r="B36">
            <v>6788</v>
          </cell>
          <cell r="C36" t="str">
            <v>三、利润总额（亏损总额以“-”号填列）</v>
          </cell>
          <cell r="E36">
            <v>258671490.31</v>
          </cell>
          <cell r="F36">
            <v>469195787.07999998</v>
          </cell>
        </row>
        <row r="37">
          <cell r="B37">
            <v>6791</v>
          </cell>
          <cell r="C37" t="str">
            <v>减：所得税费用</v>
          </cell>
          <cell r="D37" t="str">
            <v>XJ</v>
          </cell>
          <cell r="E37">
            <v>38500766.399999999</v>
          </cell>
          <cell r="F37">
            <v>46427969.969999999</v>
          </cell>
        </row>
        <row r="38">
          <cell r="B38">
            <v>6799</v>
          </cell>
          <cell r="C38" t="str">
            <v>四、净利润（净亏损以“-”号填列）</v>
          </cell>
          <cell r="E38">
            <v>220170723.91</v>
          </cell>
          <cell r="F38">
            <v>422767817.11000001</v>
          </cell>
        </row>
        <row r="39">
          <cell r="B39">
            <v>6805</v>
          </cell>
          <cell r="C39" t="str">
            <v>其中：被合并方在合并前实现的净利润</v>
          </cell>
        </row>
        <row r="40">
          <cell r="B40">
            <v>6811</v>
          </cell>
          <cell r="C40" t="str">
            <v>归属于母公司所有者的净利润</v>
          </cell>
          <cell r="E40">
            <v>220170723.91</v>
          </cell>
          <cell r="F40">
            <v>422767817.11000001</v>
          </cell>
        </row>
        <row r="41">
          <cell r="B41">
            <v>6812</v>
          </cell>
          <cell r="C41" t="str">
            <v>少数股东损益</v>
          </cell>
        </row>
        <row r="42">
          <cell r="B42">
            <v>6820</v>
          </cell>
          <cell r="C42" t="str">
            <v>五、每股收益：</v>
          </cell>
        </row>
        <row r="43">
          <cell r="B43">
            <v>6821</v>
          </cell>
          <cell r="C43" t="str">
            <v>（一）基本每股收益</v>
          </cell>
        </row>
        <row r="44">
          <cell r="B44">
            <v>6822</v>
          </cell>
          <cell r="C44" t="str">
            <v>（二）稀释每股收益</v>
          </cell>
        </row>
        <row r="45">
          <cell r="B45">
            <v>6829</v>
          </cell>
          <cell r="C45" t="str">
            <v>六、其他综合收益</v>
          </cell>
          <cell r="E45">
            <v>0</v>
          </cell>
          <cell r="F45">
            <v>0</v>
          </cell>
        </row>
        <row r="46">
          <cell r="B46">
            <v>6839</v>
          </cell>
          <cell r="C46" t="str">
            <v>七、综合收益总额</v>
          </cell>
          <cell r="E46">
            <v>220170723.91</v>
          </cell>
          <cell r="F46">
            <v>422767817.11000001</v>
          </cell>
        </row>
        <row r="47">
          <cell r="B47">
            <v>6841</v>
          </cell>
          <cell r="C47" t="str">
            <v>归属于母公司所有者的综合收益总额</v>
          </cell>
          <cell r="E47">
            <v>220170723.91</v>
          </cell>
          <cell r="F47">
            <v>422767817.11000001</v>
          </cell>
        </row>
        <row r="48">
          <cell r="B48">
            <v>6842</v>
          </cell>
          <cell r="C48" t="str">
            <v>归属于少数股东的综合收益总额</v>
          </cell>
        </row>
      </sheetData>
      <sheetData sheetId="6"/>
      <sheetData sheetId="7">
        <row r="8">
          <cell r="B8" t="str">
            <v>项目编号</v>
          </cell>
          <cell r="C8" t="str">
            <v>项       目</v>
          </cell>
          <cell r="D8" t="str">
            <v>附注</v>
          </cell>
          <cell r="E8" t="str">
            <v>本期金额</v>
          </cell>
          <cell r="F8" t="str">
            <v>上期金额</v>
          </cell>
        </row>
        <row r="9">
          <cell r="B9">
            <v>7000</v>
          </cell>
          <cell r="C9" t="str">
            <v>一、经营活动产生的现金流量：</v>
          </cell>
        </row>
        <row r="10">
          <cell r="B10">
            <v>7001</v>
          </cell>
          <cell r="C10" t="str">
            <v>销售商品、提供劳务收到的现金</v>
          </cell>
          <cell r="E10">
            <v>2771414046.5999999</v>
          </cell>
          <cell r="F10">
            <v>3137983282.0999999</v>
          </cell>
        </row>
        <row r="11">
          <cell r="B11">
            <v>7011</v>
          </cell>
          <cell r="C11" t="str">
            <v>客户存款和同业存放款项净增加额</v>
          </cell>
        </row>
        <row r="12">
          <cell r="B12">
            <v>7012</v>
          </cell>
          <cell r="C12" t="str">
            <v>向中央银行借款净增加额</v>
          </cell>
        </row>
        <row r="13">
          <cell r="B13">
            <v>7013</v>
          </cell>
          <cell r="C13" t="str">
            <v>向其他金融机构拆入资金净增加额</v>
          </cell>
        </row>
        <row r="14">
          <cell r="B14">
            <v>7014</v>
          </cell>
          <cell r="C14" t="str">
            <v>收到原保险合同保费取得的现金</v>
          </cell>
        </row>
        <row r="15">
          <cell r="B15">
            <v>7015</v>
          </cell>
          <cell r="C15" t="str">
            <v>收到再保险业务现金净额</v>
          </cell>
        </row>
        <row r="16">
          <cell r="B16">
            <v>7016</v>
          </cell>
          <cell r="C16" t="str">
            <v>保户储金及投资款净增加额</v>
          </cell>
        </row>
        <row r="17">
          <cell r="B17">
            <v>7021</v>
          </cell>
          <cell r="C17" t="str">
            <v>处置交易性金融资产净增加额</v>
          </cell>
        </row>
        <row r="18">
          <cell r="B18">
            <v>7023</v>
          </cell>
          <cell r="C18" t="str">
            <v>收取利息、手续费及佣金的现金</v>
          </cell>
        </row>
        <row r="19">
          <cell r="B19">
            <v>7025</v>
          </cell>
          <cell r="C19" t="str">
            <v>拆入资金净增加额</v>
          </cell>
        </row>
        <row r="20">
          <cell r="B20">
            <v>7026</v>
          </cell>
          <cell r="C20" t="str">
            <v>回购业务资金净增加额</v>
          </cell>
        </row>
        <row r="21">
          <cell r="B21">
            <v>7031</v>
          </cell>
          <cell r="C21" t="str">
            <v>收到的税费返还</v>
          </cell>
          <cell r="E21">
            <v>0</v>
          </cell>
        </row>
        <row r="22">
          <cell r="B22">
            <v>7046</v>
          </cell>
          <cell r="C22" t="str">
            <v>收到其他与经营活动有关的现金</v>
          </cell>
          <cell r="E22">
            <v>254903369.75999999</v>
          </cell>
          <cell r="F22">
            <v>50345719.700000003</v>
          </cell>
        </row>
        <row r="23">
          <cell r="B23">
            <v>7048</v>
          </cell>
          <cell r="C23" t="str">
            <v>经营活动现金流入小计</v>
          </cell>
          <cell r="E23">
            <v>3026317416.3600001</v>
          </cell>
          <cell r="F23">
            <v>3188329001.8000002</v>
          </cell>
        </row>
        <row r="24">
          <cell r="B24">
            <v>7051</v>
          </cell>
          <cell r="C24" t="str">
            <v>购买商品、接受劳务支付的现金</v>
          </cell>
          <cell r="E24">
            <v>1688478902.1900001</v>
          </cell>
          <cell r="F24">
            <v>1796238758.5599999</v>
          </cell>
        </row>
        <row r="25">
          <cell r="B25">
            <v>7053</v>
          </cell>
          <cell r="C25" t="str">
            <v>客户贷款及垫款净增加额</v>
          </cell>
        </row>
        <row r="26">
          <cell r="B26">
            <v>7054</v>
          </cell>
          <cell r="C26" t="str">
            <v>存放中央银行和同业款项净增加额</v>
          </cell>
        </row>
        <row r="27">
          <cell r="B27">
            <v>7055</v>
          </cell>
          <cell r="C27" t="str">
            <v>支付原保险合同赔付款项的现金</v>
          </cell>
        </row>
        <row r="28">
          <cell r="B28">
            <v>7056</v>
          </cell>
          <cell r="C28" t="str">
            <v>支付利息、手续费及佣金的现金</v>
          </cell>
        </row>
        <row r="29">
          <cell r="B29">
            <v>7057</v>
          </cell>
          <cell r="C29" t="str">
            <v>支付保单红利的现金</v>
          </cell>
        </row>
        <row r="30">
          <cell r="B30">
            <v>7061</v>
          </cell>
          <cell r="C30" t="str">
            <v>支付给职工以及为职工支付的现金</v>
          </cell>
          <cell r="E30">
            <v>140639571.87</v>
          </cell>
          <cell r="F30">
            <v>130845080.84999999</v>
          </cell>
        </row>
        <row r="31">
          <cell r="B31">
            <v>7071</v>
          </cell>
          <cell r="C31" t="str">
            <v>支付的各项税费</v>
          </cell>
          <cell r="E31">
            <v>117033179.14</v>
          </cell>
          <cell r="F31">
            <v>177357432.16999999</v>
          </cell>
        </row>
        <row r="32">
          <cell r="B32">
            <v>7096</v>
          </cell>
          <cell r="C32" t="str">
            <v>支付其他与经营活动有关的现金</v>
          </cell>
          <cell r="E32">
            <v>216352739.53999999</v>
          </cell>
          <cell r="F32">
            <v>137415899</v>
          </cell>
        </row>
        <row r="33">
          <cell r="B33">
            <v>7098</v>
          </cell>
          <cell r="C33" t="str">
            <v>经营活动现金流出小计</v>
          </cell>
          <cell r="E33">
            <v>2162504392.7399998</v>
          </cell>
          <cell r="F33">
            <v>2241857170.5799999</v>
          </cell>
        </row>
        <row r="34">
          <cell r="B34">
            <v>7099</v>
          </cell>
          <cell r="C34" t="str">
            <v>经营活动产生的现金流量净额</v>
          </cell>
          <cell r="E34">
            <v>863813023.62</v>
          </cell>
          <cell r="F34">
            <v>946471831.22000003</v>
          </cell>
        </row>
        <row r="35">
          <cell r="B35">
            <v>7100</v>
          </cell>
          <cell r="C35" t="str">
            <v>二、投资活动产生的现金流量：</v>
          </cell>
        </row>
        <row r="36">
          <cell r="B36">
            <v>7101</v>
          </cell>
          <cell r="C36" t="str">
            <v>收回投资收到的现金</v>
          </cell>
          <cell r="E36">
            <v>0</v>
          </cell>
          <cell r="F36">
            <v>0</v>
          </cell>
        </row>
        <row r="37">
          <cell r="B37">
            <v>7105</v>
          </cell>
          <cell r="C37" t="str">
            <v>取得投资收益收到的现金</v>
          </cell>
          <cell r="E37">
            <v>12307048.74</v>
          </cell>
          <cell r="F37">
            <v>80000</v>
          </cell>
        </row>
        <row r="38">
          <cell r="B38">
            <v>7111</v>
          </cell>
          <cell r="C38" t="str">
            <v>处置固定资产、无形资产和其他长期资产收回的现金净额</v>
          </cell>
          <cell r="E38">
            <v>6597101.9699999997</v>
          </cell>
          <cell r="F38">
            <v>307117.40999999997</v>
          </cell>
        </row>
        <row r="39">
          <cell r="B39">
            <v>7121</v>
          </cell>
          <cell r="C39" t="str">
            <v>处置子公司及其他营业单位收到的现金净额</v>
          </cell>
          <cell r="E39">
            <v>5000000</v>
          </cell>
          <cell r="F39">
            <v>0</v>
          </cell>
        </row>
        <row r="40">
          <cell r="B40">
            <v>7146</v>
          </cell>
          <cell r="C40" t="str">
            <v>收到其他与投资活动有关的现金</v>
          </cell>
          <cell r="E40">
            <v>150000000</v>
          </cell>
          <cell r="F40">
            <v>0</v>
          </cell>
        </row>
        <row r="41">
          <cell r="B41">
            <v>7148</v>
          </cell>
          <cell r="C41" t="str">
            <v>投资活动现金流入小计</v>
          </cell>
          <cell r="E41">
            <v>173904150.71000001</v>
          </cell>
          <cell r="F41">
            <v>387117.41</v>
          </cell>
        </row>
        <row r="42">
          <cell r="B42">
            <v>7151</v>
          </cell>
          <cell r="C42" t="str">
            <v>购建固定资产、无形资产和其他长期资产支付的现金</v>
          </cell>
          <cell r="E42">
            <v>93364546.969999999</v>
          </cell>
          <cell r="F42">
            <v>37772248.530000001</v>
          </cell>
        </row>
        <row r="43">
          <cell r="B43">
            <v>7161</v>
          </cell>
          <cell r="C43" t="str">
            <v>投资支付的现金</v>
          </cell>
          <cell r="E43">
            <v>1265000000.02</v>
          </cell>
          <cell r="F43">
            <v>25000000</v>
          </cell>
        </row>
        <row r="44">
          <cell r="B44">
            <v>7165</v>
          </cell>
          <cell r="C44" t="str">
            <v>质押贷款净增加额</v>
          </cell>
        </row>
        <row r="45">
          <cell r="B45">
            <v>7171</v>
          </cell>
          <cell r="C45" t="str">
            <v>取得子公司及其他营业单位支付的现金净额</v>
          </cell>
          <cell r="E45">
            <v>602104500</v>
          </cell>
          <cell r="F45">
            <v>0</v>
          </cell>
        </row>
        <row r="46">
          <cell r="B46">
            <v>7196</v>
          </cell>
          <cell r="C46" t="str">
            <v>支付其他与投资活动有关的现金</v>
          </cell>
          <cell r="E46">
            <v>0</v>
          </cell>
          <cell r="F46">
            <v>150000000</v>
          </cell>
        </row>
        <row r="47">
          <cell r="B47">
            <v>7198</v>
          </cell>
          <cell r="C47" t="str">
            <v>投资活动现金流出小计</v>
          </cell>
          <cell r="E47">
            <v>1960469046.99</v>
          </cell>
          <cell r="F47">
            <v>212772248.53</v>
          </cell>
        </row>
        <row r="48">
          <cell r="B48">
            <v>7199</v>
          </cell>
          <cell r="C48" t="str">
            <v>投资活动产生的现金流量净额</v>
          </cell>
          <cell r="E48">
            <v>-1786564896.28</v>
          </cell>
          <cell r="F48">
            <v>-212385131.12</v>
          </cell>
        </row>
        <row r="49">
          <cell r="B49">
            <v>7200</v>
          </cell>
          <cell r="C49" t="str">
            <v>三、筹资活动产生的现金流量：</v>
          </cell>
        </row>
        <row r="50">
          <cell r="B50">
            <v>7201</v>
          </cell>
          <cell r="C50" t="str">
            <v>吸收投资收到的现金</v>
          </cell>
          <cell r="E50">
            <v>0</v>
          </cell>
          <cell r="F50">
            <v>2150000000</v>
          </cell>
        </row>
        <row r="51">
          <cell r="B51">
            <v>7201.01</v>
          </cell>
          <cell r="C51" t="str">
            <v>其中：子公司吸收少数股东投资收到的现金</v>
          </cell>
          <cell r="E51" t="e">
            <v>#N/A</v>
          </cell>
        </row>
        <row r="52">
          <cell r="B52">
            <v>7211</v>
          </cell>
          <cell r="C52" t="str">
            <v>取得借款收到的现金</v>
          </cell>
          <cell r="E52">
            <v>0</v>
          </cell>
        </row>
        <row r="53">
          <cell r="B53">
            <v>7221</v>
          </cell>
          <cell r="C53" t="str">
            <v>发行债券收到的现金</v>
          </cell>
        </row>
        <row r="54">
          <cell r="B54">
            <v>7246</v>
          </cell>
          <cell r="C54" t="str">
            <v>收到其他与筹资活动有关的现金</v>
          </cell>
          <cell r="E54">
            <v>0</v>
          </cell>
        </row>
        <row r="55">
          <cell r="B55">
            <v>7248</v>
          </cell>
          <cell r="C55" t="str">
            <v>筹资活动现金流入小计</v>
          </cell>
          <cell r="E55">
            <v>0</v>
          </cell>
          <cell r="F55">
            <v>2150000000</v>
          </cell>
        </row>
        <row r="56">
          <cell r="B56">
            <v>7251</v>
          </cell>
          <cell r="C56" t="str">
            <v>偿还债务支付的现金</v>
          </cell>
          <cell r="E56">
            <v>0</v>
          </cell>
        </row>
        <row r="57">
          <cell r="B57">
            <v>7261</v>
          </cell>
          <cell r="C57" t="str">
            <v>分配股利、利润或偿付利息支付的现金</v>
          </cell>
          <cell r="E57">
            <v>284000000</v>
          </cell>
          <cell r="F57">
            <v>136412601.5</v>
          </cell>
        </row>
        <row r="58">
          <cell r="B58">
            <v>7261.01</v>
          </cell>
          <cell r="C58" t="str">
            <v>其中：子公司支付给少数股东的股利、利润</v>
          </cell>
          <cell r="E58" t="e">
            <v>#N/A</v>
          </cell>
        </row>
        <row r="59">
          <cell r="B59">
            <v>7296</v>
          </cell>
          <cell r="C59" t="str">
            <v>支付其他与筹资活动有关的现金</v>
          </cell>
          <cell r="E59">
            <v>0</v>
          </cell>
          <cell r="F59">
            <v>122422351.95</v>
          </cell>
        </row>
        <row r="60">
          <cell r="B60">
            <v>7298</v>
          </cell>
          <cell r="C60" t="str">
            <v>筹资活动现金流出小计</v>
          </cell>
          <cell r="E60">
            <v>284000000</v>
          </cell>
          <cell r="F60">
            <v>258834953.44999999</v>
          </cell>
        </row>
        <row r="61">
          <cell r="B61">
            <v>7299</v>
          </cell>
          <cell r="C61" t="str">
            <v>筹资活动产生的现金流量净额</v>
          </cell>
          <cell r="E61">
            <v>-284000000</v>
          </cell>
          <cell r="F61">
            <v>1891165046.55</v>
          </cell>
        </row>
        <row r="62">
          <cell r="B62">
            <v>7309</v>
          </cell>
          <cell r="C62" t="str">
            <v>四、汇率变动对现金及现金等价物的影响</v>
          </cell>
          <cell r="F62">
            <v>-2547.23</v>
          </cell>
        </row>
        <row r="63">
          <cell r="B63">
            <v>7348</v>
          </cell>
          <cell r="C63" t="str">
            <v>五、现金及现金等价物净增加额</v>
          </cell>
          <cell r="E63">
            <v>-1206751872.6600001</v>
          </cell>
          <cell r="F63">
            <v>2625249199.4200001</v>
          </cell>
        </row>
        <row r="64">
          <cell r="B64">
            <v>7349</v>
          </cell>
          <cell r="C64" t="str">
            <v>加：期初现金及现金等价物余额</v>
          </cell>
          <cell r="E64">
            <v>2957437945.2399998</v>
          </cell>
          <cell r="F64">
            <v>332188745.81999999</v>
          </cell>
        </row>
        <row r="65">
          <cell r="B65">
            <v>7399</v>
          </cell>
          <cell r="C65" t="str">
            <v>六、期末现金及现金等价物余额</v>
          </cell>
          <cell r="E65">
            <v>1750686072.5799999</v>
          </cell>
          <cell r="F65">
            <v>2957437945.2399998</v>
          </cell>
        </row>
        <row r="69">
          <cell r="C69" t="str">
            <v>补充资料</v>
          </cell>
          <cell r="E69" t="str">
            <v>本年金额</v>
          </cell>
          <cell r="F69" t="str">
            <v>上年金额</v>
          </cell>
        </row>
        <row r="70">
          <cell r="B70">
            <v>7501</v>
          </cell>
          <cell r="C70" t="str">
            <v>1.将净利润调节为经营活动现金流量：</v>
          </cell>
        </row>
        <row r="71">
          <cell r="B71">
            <v>7502</v>
          </cell>
          <cell r="C71" t="str">
            <v>净利润</v>
          </cell>
          <cell r="E71">
            <v>297542351.88999999</v>
          </cell>
          <cell r="F71">
            <v>422767817.11000001</v>
          </cell>
        </row>
        <row r="72">
          <cell r="B72">
            <v>7503</v>
          </cell>
          <cell r="C72" t="str">
            <v>加：资产减值准备</v>
          </cell>
          <cell r="E72">
            <v>3028933.19</v>
          </cell>
          <cell r="F72">
            <v>3028833.11</v>
          </cell>
        </row>
        <row r="73">
          <cell r="B73">
            <v>7505</v>
          </cell>
          <cell r="C73" t="str">
            <v>固定资产折旧、油气资产折耗、生产性生物资产折旧</v>
          </cell>
          <cell r="E73">
            <v>20589602.100000001</v>
          </cell>
          <cell r="F73">
            <v>18481103.149999999</v>
          </cell>
        </row>
        <row r="74">
          <cell r="B74">
            <v>7506</v>
          </cell>
          <cell r="C74" t="str">
            <v>无形资产摊销</v>
          </cell>
          <cell r="E74">
            <v>4373080.09</v>
          </cell>
          <cell r="F74">
            <v>2768101.74</v>
          </cell>
        </row>
        <row r="75">
          <cell r="B75">
            <v>7507</v>
          </cell>
          <cell r="C75" t="str">
            <v>长期待摊费用摊销</v>
          </cell>
          <cell r="E75">
            <v>121590.57</v>
          </cell>
          <cell r="F75">
            <v>774002.5</v>
          </cell>
        </row>
        <row r="76">
          <cell r="B76">
            <v>7508</v>
          </cell>
          <cell r="C76" t="str">
            <v>处置固定资产、无形资产和其他长期资产的损失（收益以“－”号填列）</v>
          </cell>
          <cell r="E76">
            <v>168896.06</v>
          </cell>
          <cell r="F76">
            <v>179694.66</v>
          </cell>
        </row>
        <row r="77">
          <cell r="B77">
            <v>7509</v>
          </cell>
          <cell r="C77" t="str">
            <v>固定资产报废损失（收益以“－”号填列）</v>
          </cell>
          <cell r="E77">
            <v>1645325.18</v>
          </cell>
        </row>
        <row r="78">
          <cell r="B78">
            <v>7510</v>
          </cell>
          <cell r="C78" t="str">
            <v>公允价值变动损失（收益以“－”号填列）</v>
          </cell>
        </row>
        <row r="79">
          <cell r="B79">
            <v>7511</v>
          </cell>
          <cell r="C79" t="str">
            <v>财务费用（收益以“－”号填列）</v>
          </cell>
          <cell r="F79">
            <v>-3829889.58</v>
          </cell>
        </row>
        <row r="80">
          <cell r="B80">
            <v>7512</v>
          </cell>
          <cell r="C80" t="str">
            <v>投资损失（收益以“－”号填列）</v>
          </cell>
          <cell r="E80">
            <v>-113714008.29000001</v>
          </cell>
          <cell r="F80">
            <v>-130080000</v>
          </cell>
        </row>
        <row r="81">
          <cell r="B81">
            <v>7515</v>
          </cell>
          <cell r="C81" t="str">
            <v>递延所得税资产减少（增加以“－”号填列）</v>
          </cell>
          <cell r="E81">
            <v>220321.09</v>
          </cell>
          <cell r="F81">
            <v>-2524482.0699999998</v>
          </cell>
        </row>
        <row r="82">
          <cell r="B82">
            <v>7516</v>
          </cell>
          <cell r="C82" t="str">
            <v>递延所得税负债增加（减少以“－”号填列）</v>
          </cell>
          <cell r="F82">
            <v>0</v>
          </cell>
        </row>
        <row r="83">
          <cell r="B83">
            <v>7517</v>
          </cell>
          <cell r="C83" t="str">
            <v>存货的减少（增加以“－”号填列）</v>
          </cell>
          <cell r="E83">
            <v>-4306457.96</v>
          </cell>
          <cell r="F83">
            <v>-15377534.98</v>
          </cell>
        </row>
        <row r="84">
          <cell r="B84">
            <v>7518</v>
          </cell>
          <cell r="C84" t="str">
            <v>经营性应收项目的减少（增加以“－”号填列）</v>
          </cell>
          <cell r="E84">
            <v>-43124511.109999999</v>
          </cell>
          <cell r="F84">
            <v>-25382038.48</v>
          </cell>
        </row>
        <row r="85">
          <cell r="B85">
            <v>7519</v>
          </cell>
          <cell r="C85" t="str">
            <v>经营性应付项目的增加（减少以“－”号填列）</v>
          </cell>
          <cell r="E85">
            <v>697267900.80999994</v>
          </cell>
          <cell r="F85">
            <v>675666224.05999994</v>
          </cell>
        </row>
        <row r="86">
          <cell r="B86">
            <v>7523</v>
          </cell>
          <cell r="C86" t="str">
            <v>其他</v>
          </cell>
        </row>
        <row r="87">
          <cell r="B87">
            <v>7525</v>
          </cell>
          <cell r="C87" t="str">
            <v>经营活动产生的现金流量净额</v>
          </cell>
          <cell r="E87">
            <v>863813023.62</v>
          </cell>
          <cell r="F87">
            <v>946471831.22000003</v>
          </cell>
        </row>
        <row r="88">
          <cell r="B88">
            <v>7526</v>
          </cell>
          <cell r="C88" t="str">
            <v>2.不涉及现金收支的重大投资和筹资活动：</v>
          </cell>
        </row>
        <row r="89">
          <cell r="B89">
            <v>7527</v>
          </cell>
          <cell r="C89" t="str">
            <v>债务转为资本</v>
          </cell>
        </row>
        <row r="90">
          <cell r="B90">
            <v>7528</v>
          </cell>
          <cell r="C90" t="str">
            <v>一年内到期的可转换公司债券</v>
          </cell>
        </row>
        <row r="91">
          <cell r="B91">
            <v>7529</v>
          </cell>
          <cell r="C91" t="str">
            <v>融资租入固定资产</v>
          </cell>
        </row>
        <row r="92">
          <cell r="B92">
            <v>7533</v>
          </cell>
          <cell r="C92" t="str">
            <v>3.现金及现金等价物净变动情况：</v>
          </cell>
        </row>
        <row r="93">
          <cell r="B93">
            <v>7535</v>
          </cell>
          <cell r="C93" t="str">
            <v>现金的期末余额</v>
          </cell>
          <cell r="E93">
            <v>1750686072.5799999</v>
          </cell>
          <cell r="F93">
            <v>2957437945.2399998</v>
          </cell>
        </row>
        <row r="94">
          <cell r="B94">
            <v>7536</v>
          </cell>
          <cell r="C94" t="str">
            <v>减：现金的年初余额</v>
          </cell>
          <cell r="E94">
            <v>2957437945.2399998</v>
          </cell>
          <cell r="F94">
            <v>332188745.81999999</v>
          </cell>
        </row>
        <row r="95">
          <cell r="B95">
            <v>7537</v>
          </cell>
          <cell r="C95" t="str">
            <v>加：现金等价物的期末余额</v>
          </cell>
          <cell r="E95">
            <v>0</v>
          </cell>
        </row>
        <row r="96">
          <cell r="B96">
            <v>7538</v>
          </cell>
          <cell r="C96" t="str">
            <v>减：现金等价物的年初余额</v>
          </cell>
        </row>
        <row r="97">
          <cell r="B97">
            <v>7539</v>
          </cell>
          <cell r="C97" t="str">
            <v>现金及现金等价物净增加额</v>
          </cell>
          <cell r="E97">
            <v>-1206751872.6600001</v>
          </cell>
          <cell r="F97">
            <v>2625249199.4200001</v>
          </cell>
        </row>
      </sheetData>
      <sheetData sheetId="8">
        <row r="2">
          <cell r="D2" t="str">
            <v>81</v>
          </cell>
          <cell r="E2" t="str">
            <v>82</v>
          </cell>
          <cell r="F2" t="str">
            <v>83</v>
          </cell>
          <cell r="G2" t="str">
            <v>84</v>
          </cell>
          <cell r="H2" t="str">
            <v>85</v>
          </cell>
          <cell r="I2" t="str">
            <v>86</v>
          </cell>
          <cell r="J2" t="str">
            <v>87</v>
          </cell>
          <cell r="K2" t="str">
            <v>88</v>
          </cell>
          <cell r="L2" t="str">
            <v>89</v>
          </cell>
          <cell r="M2" t="str">
            <v>80</v>
          </cell>
          <cell r="N2">
            <v>81</v>
          </cell>
          <cell r="O2">
            <v>82</v>
          </cell>
          <cell r="P2">
            <v>83</v>
          </cell>
          <cell r="Q2">
            <v>84</v>
          </cell>
          <cell r="R2">
            <v>85</v>
          </cell>
          <cell r="S2">
            <v>86</v>
          </cell>
          <cell r="T2">
            <v>87</v>
          </cell>
          <cell r="U2">
            <v>88</v>
          </cell>
          <cell r="V2">
            <v>89</v>
          </cell>
          <cell r="W2">
            <v>80</v>
          </cell>
        </row>
        <row r="3">
          <cell r="B3" t="str">
            <v>00</v>
          </cell>
          <cell r="C3" t="str">
            <v>所有者权益变动表</v>
          </cell>
        </row>
        <row r="4">
          <cell r="C4" t="str">
            <v xml:space="preserve">2013年度 </v>
          </cell>
          <cell r="W4" t="str">
            <v>会企04表</v>
          </cell>
        </row>
        <row r="5">
          <cell r="C5" t="str">
            <v>编制单位：日出东方太阳能股份有限公司</v>
          </cell>
          <cell r="S5" t="str">
            <v>单位：元   币种：人民币</v>
          </cell>
        </row>
        <row r="6">
          <cell r="D6" t="str">
            <v>本期金额</v>
          </cell>
          <cell r="N6" t="str">
            <v>上年同期金额</v>
          </cell>
        </row>
        <row r="7">
          <cell r="D7" t="str">
            <v>归属于母公司所有者权益</v>
          </cell>
          <cell r="N7" t="str">
            <v>归属于母公司所有者权益</v>
          </cell>
        </row>
        <row r="8">
          <cell r="B8" t="str">
            <v>ItemId1</v>
          </cell>
          <cell r="C8" t="str">
            <v>项       目</v>
          </cell>
          <cell r="D8" t="str">
            <v>实收资本</v>
          </cell>
          <cell r="E8" t="str">
            <v>资本公积</v>
          </cell>
          <cell r="F8" t="str">
            <v>减：库存股</v>
          </cell>
          <cell r="G8" t="str">
            <v>专项储备</v>
          </cell>
          <cell r="H8" t="str">
            <v>盈余公积</v>
          </cell>
          <cell r="I8" t="str">
            <v xml:space="preserve">一般风险准备 </v>
          </cell>
          <cell r="J8" t="str">
            <v>未分配利润</v>
          </cell>
          <cell r="K8" t="str">
            <v>其他</v>
          </cell>
          <cell r="L8" t="str">
            <v>少数股东权益</v>
          </cell>
          <cell r="M8" t="str">
            <v>所有者权益合计</v>
          </cell>
          <cell r="N8" t="str">
            <v>实收资本</v>
          </cell>
          <cell r="O8" t="str">
            <v>资本公积</v>
          </cell>
          <cell r="P8" t="str">
            <v>减：库存股</v>
          </cell>
          <cell r="Q8" t="str">
            <v>专项储备</v>
          </cell>
          <cell r="R8" t="str">
            <v>盈余公积</v>
          </cell>
          <cell r="S8" t="str">
            <v xml:space="preserve">一般风险准备 </v>
          </cell>
          <cell r="T8" t="str">
            <v>未分配利润</v>
          </cell>
          <cell r="U8" t="str">
            <v>其他</v>
          </cell>
          <cell r="V8" t="str">
            <v>少数股东权益</v>
          </cell>
          <cell r="W8" t="str">
            <v>所有者权益合计</v>
          </cell>
        </row>
        <row r="9">
          <cell r="B9" t="str">
            <v>01</v>
          </cell>
          <cell r="C9" t="str">
            <v>一、上年年末余额</v>
          </cell>
          <cell r="D9">
            <v>400000000</v>
          </cell>
          <cell r="E9">
            <v>2340093315.98</v>
          </cell>
          <cell r="H9">
            <v>81583400.599999994</v>
          </cell>
          <cell r="J9">
            <v>530614533.82999998</v>
          </cell>
          <cell r="M9">
            <v>3352291250.4099998</v>
          </cell>
          <cell r="N9">
            <v>300000000</v>
          </cell>
          <cell r="O9">
            <v>412515667.93000001</v>
          </cell>
          <cell r="R9">
            <v>39306618.890000001</v>
          </cell>
          <cell r="T9">
            <v>290123498.43000001</v>
          </cell>
          <cell r="W9">
            <v>1041945785.25</v>
          </cell>
        </row>
        <row r="10">
          <cell r="B10" t="str">
            <v>02</v>
          </cell>
          <cell r="C10" t="str">
            <v>加：会计政策变更</v>
          </cell>
          <cell r="M10">
            <v>0</v>
          </cell>
          <cell r="W10">
            <v>0</v>
          </cell>
        </row>
        <row r="11">
          <cell r="B11" t="str">
            <v>03</v>
          </cell>
          <cell r="C11" t="str">
            <v>前期差错更正</v>
          </cell>
          <cell r="M11">
            <v>0</v>
          </cell>
          <cell r="W11">
            <v>0</v>
          </cell>
        </row>
        <row r="12">
          <cell r="B12" t="str">
            <v>09</v>
          </cell>
          <cell r="C12" t="str">
            <v>其他</v>
          </cell>
          <cell r="M12">
            <v>0</v>
          </cell>
          <cell r="W12">
            <v>0</v>
          </cell>
        </row>
        <row r="13">
          <cell r="B13" t="str">
            <v>10</v>
          </cell>
          <cell r="C13" t="str">
            <v>二、本年年初余额</v>
          </cell>
          <cell r="D13">
            <v>400000000</v>
          </cell>
          <cell r="E13">
            <v>2340093315.98</v>
          </cell>
          <cell r="F13">
            <v>0</v>
          </cell>
          <cell r="G13">
            <v>0</v>
          </cell>
          <cell r="H13">
            <v>81583400.599999994</v>
          </cell>
          <cell r="I13">
            <v>0</v>
          </cell>
          <cell r="J13">
            <v>530614533.82999998</v>
          </cell>
          <cell r="K13">
            <v>0</v>
          </cell>
          <cell r="L13">
            <v>0</v>
          </cell>
          <cell r="M13">
            <v>3352291250.4099998</v>
          </cell>
          <cell r="N13">
            <v>300000000</v>
          </cell>
          <cell r="O13">
            <v>412515667.93000001</v>
          </cell>
          <cell r="P13">
            <v>0</v>
          </cell>
          <cell r="Q13">
            <v>0</v>
          </cell>
          <cell r="R13">
            <v>39306618.890000001</v>
          </cell>
          <cell r="S13">
            <v>0</v>
          </cell>
          <cell r="T13">
            <v>290123498.43000001</v>
          </cell>
          <cell r="U13">
            <v>0</v>
          </cell>
          <cell r="V13">
            <v>0</v>
          </cell>
          <cell r="W13">
            <v>1041945785.25</v>
          </cell>
        </row>
        <row r="14">
          <cell r="B14" t="str">
            <v>90</v>
          </cell>
          <cell r="C14" t="str">
            <v>三、本期增减变动金额（减少以“-”号填列）</v>
          </cell>
          <cell r="D14">
            <v>0</v>
          </cell>
          <cell r="E14">
            <v>0</v>
          </cell>
          <cell r="F14">
            <v>0</v>
          </cell>
          <cell r="G14">
            <v>0</v>
          </cell>
          <cell r="H14">
            <v>22017072.390000001</v>
          </cell>
          <cell r="I14">
            <v>0</v>
          </cell>
          <cell r="J14">
            <v>-85846348.480000004</v>
          </cell>
          <cell r="K14">
            <v>0</v>
          </cell>
          <cell r="L14">
            <v>0</v>
          </cell>
          <cell r="M14">
            <v>-63829276.090000004</v>
          </cell>
          <cell r="N14">
            <v>100000000</v>
          </cell>
          <cell r="O14">
            <v>1927577648.05</v>
          </cell>
          <cell r="P14">
            <v>0</v>
          </cell>
          <cell r="Q14">
            <v>0</v>
          </cell>
          <cell r="R14">
            <v>42276781.710000001</v>
          </cell>
          <cell r="S14">
            <v>0</v>
          </cell>
          <cell r="T14">
            <v>240491035.40000001</v>
          </cell>
          <cell r="U14">
            <v>0</v>
          </cell>
          <cell r="V14">
            <v>0</v>
          </cell>
          <cell r="W14">
            <v>2310345465.1599998</v>
          </cell>
        </row>
        <row r="15">
          <cell r="B15" t="str">
            <v>21</v>
          </cell>
          <cell r="C15" t="str">
            <v>（一）净利润</v>
          </cell>
          <cell r="J15">
            <v>220170723.91</v>
          </cell>
          <cell r="M15">
            <v>220170723.91</v>
          </cell>
          <cell r="T15">
            <v>422767817.11000001</v>
          </cell>
          <cell r="W15">
            <v>422767817.11000001</v>
          </cell>
        </row>
        <row r="16">
          <cell r="B16" t="str">
            <v>30</v>
          </cell>
          <cell r="C16" t="str">
            <v>（二）其他综合收益</v>
          </cell>
          <cell r="M16">
            <v>0</v>
          </cell>
          <cell r="W16">
            <v>0</v>
          </cell>
        </row>
        <row r="17">
          <cell r="B17" t="str">
            <v>40</v>
          </cell>
          <cell r="C17" t="str">
            <v>上述（一）和（二）小计</v>
          </cell>
          <cell r="D17">
            <v>0</v>
          </cell>
          <cell r="E17">
            <v>0</v>
          </cell>
          <cell r="F17">
            <v>0</v>
          </cell>
          <cell r="G17">
            <v>0</v>
          </cell>
          <cell r="H17">
            <v>0</v>
          </cell>
          <cell r="I17">
            <v>0</v>
          </cell>
          <cell r="J17">
            <v>220170723.91</v>
          </cell>
          <cell r="K17">
            <v>0</v>
          </cell>
          <cell r="L17">
            <v>0</v>
          </cell>
          <cell r="M17">
            <v>220170723.91</v>
          </cell>
          <cell r="N17">
            <v>0</v>
          </cell>
          <cell r="O17">
            <v>0</v>
          </cell>
          <cell r="P17">
            <v>0</v>
          </cell>
          <cell r="Q17">
            <v>0</v>
          </cell>
          <cell r="R17">
            <v>0</v>
          </cell>
          <cell r="S17">
            <v>0</v>
          </cell>
          <cell r="T17">
            <v>422767817.11000001</v>
          </cell>
          <cell r="U17">
            <v>0</v>
          </cell>
          <cell r="V17">
            <v>0</v>
          </cell>
          <cell r="W17">
            <v>422767817.11000001</v>
          </cell>
        </row>
        <row r="18">
          <cell r="B18" t="str">
            <v>50</v>
          </cell>
          <cell r="C18" t="str">
            <v>（三）所有者投入和减少资本</v>
          </cell>
          <cell r="D18">
            <v>0</v>
          </cell>
          <cell r="E18">
            <v>0</v>
          </cell>
          <cell r="F18">
            <v>0</v>
          </cell>
          <cell r="G18">
            <v>0</v>
          </cell>
          <cell r="H18">
            <v>0</v>
          </cell>
          <cell r="I18">
            <v>0</v>
          </cell>
          <cell r="J18">
            <v>0</v>
          </cell>
          <cell r="K18">
            <v>0</v>
          </cell>
          <cell r="L18">
            <v>0</v>
          </cell>
          <cell r="M18">
            <v>0</v>
          </cell>
          <cell r="N18">
            <v>100000000</v>
          </cell>
          <cell r="O18">
            <v>1927577648.05</v>
          </cell>
          <cell r="P18">
            <v>0</v>
          </cell>
          <cell r="Q18">
            <v>0</v>
          </cell>
          <cell r="R18">
            <v>0</v>
          </cell>
          <cell r="S18">
            <v>0</v>
          </cell>
          <cell r="T18">
            <v>0</v>
          </cell>
          <cell r="U18">
            <v>0</v>
          </cell>
          <cell r="V18">
            <v>0</v>
          </cell>
          <cell r="W18">
            <v>2027577648.05</v>
          </cell>
        </row>
        <row r="19">
          <cell r="B19" t="str">
            <v>51</v>
          </cell>
          <cell r="C19" t="str">
            <v>1．所有者投入资本</v>
          </cell>
          <cell r="M19">
            <v>0</v>
          </cell>
          <cell r="N19">
            <v>100000000</v>
          </cell>
          <cell r="O19">
            <v>1927577648.05</v>
          </cell>
          <cell r="W19">
            <v>2027577648.05</v>
          </cell>
        </row>
        <row r="20">
          <cell r="B20" t="str">
            <v>52</v>
          </cell>
          <cell r="C20" t="str">
            <v>2．股份支付计入所有者权益的金额</v>
          </cell>
          <cell r="M20">
            <v>0</v>
          </cell>
          <cell r="W20">
            <v>0</v>
          </cell>
        </row>
        <row r="21">
          <cell r="B21" t="str">
            <v>56</v>
          </cell>
          <cell r="C21" t="str">
            <v>3．其他</v>
          </cell>
          <cell r="M21">
            <v>0</v>
          </cell>
          <cell r="W21">
            <v>0</v>
          </cell>
        </row>
        <row r="22">
          <cell r="B22" t="str">
            <v>60</v>
          </cell>
          <cell r="C22" t="str">
            <v>（四）利润分配</v>
          </cell>
          <cell r="D22">
            <v>0</v>
          </cell>
          <cell r="E22">
            <v>0</v>
          </cell>
          <cell r="F22">
            <v>0</v>
          </cell>
          <cell r="G22">
            <v>0</v>
          </cell>
          <cell r="H22">
            <v>22017072.390000001</v>
          </cell>
          <cell r="I22">
            <v>0</v>
          </cell>
          <cell r="J22">
            <v>-306017072.38999999</v>
          </cell>
          <cell r="K22">
            <v>0</v>
          </cell>
          <cell r="L22">
            <v>0</v>
          </cell>
          <cell r="M22">
            <v>-284000000</v>
          </cell>
          <cell r="N22">
            <v>0</v>
          </cell>
          <cell r="O22">
            <v>0</v>
          </cell>
          <cell r="P22">
            <v>0</v>
          </cell>
          <cell r="Q22">
            <v>0</v>
          </cell>
          <cell r="R22">
            <v>42276781.710000001</v>
          </cell>
          <cell r="S22">
            <v>0</v>
          </cell>
          <cell r="T22">
            <v>-182276781.71000001</v>
          </cell>
          <cell r="U22">
            <v>0</v>
          </cell>
          <cell r="V22">
            <v>0</v>
          </cell>
          <cell r="W22">
            <v>-140000000</v>
          </cell>
        </row>
        <row r="23">
          <cell r="B23" t="str">
            <v>61</v>
          </cell>
          <cell r="C23" t="str">
            <v>1．提取盈余公积</v>
          </cell>
          <cell r="H23">
            <v>22017072.390000001</v>
          </cell>
          <cell r="J23">
            <v>-22017072.390000001</v>
          </cell>
          <cell r="M23">
            <v>0</v>
          </cell>
          <cell r="R23">
            <v>42276781.710000001</v>
          </cell>
          <cell r="T23">
            <v>-42276781.710000001</v>
          </cell>
          <cell r="W23">
            <v>0</v>
          </cell>
        </row>
        <row r="24">
          <cell r="B24" t="str">
            <v>62</v>
          </cell>
          <cell r="C24" t="str">
            <v>2．提取一般风险准备</v>
          </cell>
          <cell r="M24">
            <v>0</v>
          </cell>
          <cell r="W24">
            <v>0</v>
          </cell>
        </row>
        <row r="25">
          <cell r="B25" t="str">
            <v>63</v>
          </cell>
          <cell r="C25" t="str">
            <v>3．对所有者（或股东）的分配</v>
          </cell>
          <cell r="J25">
            <v>-284000000</v>
          </cell>
          <cell r="M25">
            <v>-284000000</v>
          </cell>
          <cell r="T25">
            <v>-140000000</v>
          </cell>
          <cell r="W25">
            <v>-140000000</v>
          </cell>
        </row>
        <row r="26">
          <cell r="B26" t="str">
            <v>66</v>
          </cell>
          <cell r="C26" t="str">
            <v>4．其他</v>
          </cell>
          <cell r="M26">
            <v>0</v>
          </cell>
          <cell r="W26">
            <v>0</v>
          </cell>
        </row>
        <row r="27">
          <cell r="B27" t="str">
            <v>70</v>
          </cell>
          <cell r="C27" t="str">
            <v>（五）所有者权益内部结转</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row>
        <row r="28">
          <cell r="B28" t="str">
            <v>71</v>
          </cell>
          <cell r="C28" t="str">
            <v>1．资本公积转增资本（或股本）</v>
          </cell>
          <cell r="M28">
            <v>0</v>
          </cell>
          <cell r="W28">
            <v>0</v>
          </cell>
        </row>
        <row r="29">
          <cell r="B29" t="str">
            <v>72</v>
          </cell>
          <cell r="C29" t="str">
            <v>2．盈余公积转增资本（或股本）</v>
          </cell>
          <cell r="M29">
            <v>0</v>
          </cell>
          <cell r="W29">
            <v>0</v>
          </cell>
        </row>
        <row r="30">
          <cell r="B30" t="str">
            <v>73</v>
          </cell>
          <cell r="C30" t="str">
            <v>3．盈余公积弥补亏损</v>
          </cell>
          <cell r="M30">
            <v>0</v>
          </cell>
          <cell r="W30">
            <v>0</v>
          </cell>
        </row>
        <row r="31">
          <cell r="B31" t="str">
            <v>76</v>
          </cell>
          <cell r="C31" t="str">
            <v>4．其他</v>
          </cell>
          <cell r="M31">
            <v>0</v>
          </cell>
          <cell r="W31">
            <v>0</v>
          </cell>
        </row>
        <row r="32">
          <cell r="B32" t="str">
            <v>80</v>
          </cell>
          <cell r="C32" t="str">
            <v xml:space="preserve"> （六）专项储备</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row>
        <row r="33">
          <cell r="B33" t="str">
            <v>81</v>
          </cell>
          <cell r="C33" t="str">
            <v>1．本期提取</v>
          </cell>
          <cell r="M33">
            <v>0</v>
          </cell>
          <cell r="W33">
            <v>0</v>
          </cell>
        </row>
        <row r="34">
          <cell r="B34" t="str">
            <v>82</v>
          </cell>
          <cell r="C34" t="str">
            <v>2．本期使用</v>
          </cell>
          <cell r="M34">
            <v>0</v>
          </cell>
          <cell r="W34">
            <v>0</v>
          </cell>
        </row>
        <row r="35">
          <cell r="B35" t="str">
            <v>96</v>
          </cell>
          <cell r="C35" t="str">
            <v>（七）其他</v>
          </cell>
          <cell r="M35">
            <v>0</v>
          </cell>
          <cell r="W35">
            <v>0</v>
          </cell>
        </row>
        <row r="36">
          <cell r="B36" t="str">
            <v>99</v>
          </cell>
          <cell r="C36" t="str">
            <v>四、本期期末余额</v>
          </cell>
          <cell r="D36">
            <v>400000000</v>
          </cell>
          <cell r="E36">
            <v>2340093315.98</v>
          </cell>
          <cell r="F36">
            <v>0</v>
          </cell>
          <cell r="G36">
            <v>0</v>
          </cell>
          <cell r="H36">
            <v>103600472.98999999</v>
          </cell>
          <cell r="I36">
            <v>0</v>
          </cell>
          <cell r="J36">
            <v>444768185.35000002</v>
          </cell>
          <cell r="K36">
            <v>0</v>
          </cell>
          <cell r="L36">
            <v>0</v>
          </cell>
          <cell r="M36">
            <v>3288461974.3200002</v>
          </cell>
          <cell r="N36">
            <v>400000000</v>
          </cell>
          <cell r="O36">
            <v>2340093315.98</v>
          </cell>
          <cell r="P36">
            <v>0</v>
          </cell>
          <cell r="Q36">
            <v>0</v>
          </cell>
          <cell r="R36">
            <v>81583400.599999994</v>
          </cell>
          <cell r="S36">
            <v>0</v>
          </cell>
          <cell r="T36">
            <v>530614533.82999998</v>
          </cell>
          <cell r="U36">
            <v>0</v>
          </cell>
          <cell r="V36">
            <v>0</v>
          </cell>
          <cell r="W36">
            <v>3352291250.4099998</v>
          </cell>
        </row>
      </sheetData>
      <sheetData sheetId="9">
        <row r="6">
          <cell r="D6">
            <v>0</v>
          </cell>
          <cell r="E6">
            <v>0</v>
          </cell>
          <cell r="F6" t="str">
            <v>本期</v>
          </cell>
          <cell r="G6" t="str">
            <v>本期</v>
          </cell>
          <cell r="H6" t="str">
            <v>本期</v>
          </cell>
          <cell r="I6" t="str">
            <v>本期</v>
          </cell>
          <cell r="J6" t="str">
            <v>上期</v>
          </cell>
          <cell r="K6" t="str">
            <v>上期</v>
          </cell>
          <cell r="L6" t="str">
            <v>上期</v>
          </cell>
          <cell r="M6" t="str">
            <v>上期</v>
          </cell>
        </row>
        <row r="7">
          <cell r="D7">
            <v>0</v>
          </cell>
          <cell r="E7">
            <v>0</v>
          </cell>
          <cell r="F7" t="str">
            <v>本期</v>
          </cell>
          <cell r="G7">
            <v>0</v>
          </cell>
          <cell r="H7">
            <v>0</v>
          </cell>
          <cell r="I7">
            <v>0</v>
          </cell>
          <cell r="J7" t="str">
            <v>上期</v>
          </cell>
          <cell r="K7">
            <v>0</v>
          </cell>
          <cell r="L7">
            <v>0</v>
          </cell>
          <cell r="M7">
            <v>0</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row>
        <row r="9">
          <cell r="D9">
            <v>1</v>
          </cell>
          <cell r="E9" t="str">
            <v>资产负债表</v>
          </cell>
          <cell r="F9">
            <v>0</v>
          </cell>
          <cell r="G9">
            <v>0</v>
          </cell>
          <cell r="H9">
            <v>0</v>
          </cell>
          <cell r="I9">
            <v>0</v>
          </cell>
          <cell r="J9">
            <v>0</v>
          </cell>
          <cell r="K9">
            <v>0</v>
          </cell>
          <cell r="L9">
            <v>0</v>
          </cell>
          <cell r="M9">
            <v>0</v>
          </cell>
        </row>
        <row r="10">
          <cell r="D10">
            <v>1000</v>
          </cell>
          <cell r="E10" t="str">
            <v>流动资产项目</v>
          </cell>
          <cell r="F10">
            <v>0</v>
          </cell>
          <cell r="G10">
            <v>0</v>
          </cell>
          <cell r="H10">
            <v>0</v>
          </cell>
          <cell r="I10">
            <v>0</v>
          </cell>
          <cell r="J10">
            <v>0</v>
          </cell>
          <cell r="K10">
            <v>0</v>
          </cell>
          <cell r="L10">
            <v>0</v>
          </cell>
          <cell r="M10">
            <v>0</v>
          </cell>
        </row>
        <row r="11">
          <cell r="D11">
            <v>1015</v>
          </cell>
          <cell r="E11" t="str">
            <v>货币资金</v>
          </cell>
          <cell r="F11">
            <v>1750686072.5799999</v>
          </cell>
          <cell r="G11">
            <v>0</v>
          </cell>
          <cell r="H11">
            <v>0</v>
          </cell>
          <cell r="I11">
            <v>1750686072.5799999</v>
          </cell>
          <cell r="J11">
            <v>2957437945.2399998</v>
          </cell>
          <cell r="K11">
            <v>0</v>
          </cell>
          <cell r="L11">
            <v>0</v>
          </cell>
          <cell r="M11">
            <v>2957437945.2399998</v>
          </cell>
        </row>
        <row r="12">
          <cell r="D12">
            <v>1021</v>
          </cell>
          <cell r="E12" t="str">
            <v>结算备付金</v>
          </cell>
          <cell r="F12">
            <v>0</v>
          </cell>
          <cell r="G12">
            <v>0</v>
          </cell>
          <cell r="H12">
            <v>0</v>
          </cell>
          <cell r="I12">
            <v>0</v>
          </cell>
          <cell r="J12">
            <v>0</v>
          </cell>
          <cell r="K12">
            <v>0</v>
          </cell>
          <cell r="L12">
            <v>0</v>
          </cell>
          <cell r="M12">
            <v>0</v>
          </cell>
        </row>
        <row r="13">
          <cell r="D13">
            <v>1302</v>
          </cell>
          <cell r="E13" t="str">
            <v>拆出资金</v>
          </cell>
          <cell r="F13">
            <v>0</v>
          </cell>
          <cell r="G13">
            <v>0</v>
          </cell>
          <cell r="H13">
            <v>0</v>
          </cell>
          <cell r="I13">
            <v>0</v>
          </cell>
          <cell r="J13">
            <v>0</v>
          </cell>
          <cell r="K13">
            <v>0</v>
          </cell>
          <cell r="L13">
            <v>0</v>
          </cell>
          <cell r="M13">
            <v>0</v>
          </cell>
        </row>
        <row r="14">
          <cell r="D14">
            <v>1101</v>
          </cell>
          <cell r="E14" t="str">
            <v>交易性金融资产</v>
          </cell>
          <cell r="F14">
            <v>175000000.02000001</v>
          </cell>
          <cell r="G14">
            <v>0</v>
          </cell>
          <cell r="H14">
            <v>175000000.02000001</v>
          </cell>
          <cell r="I14">
            <v>0</v>
          </cell>
          <cell r="J14">
            <v>0</v>
          </cell>
          <cell r="K14">
            <v>0</v>
          </cell>
          <cell r="L14">
            <v>0</v>
          </cell>
          <cell r="M14">
            <v>0</v>
          </cell>
        </row>
        <row r="15">
          <cell r="D15">
            <v>1121</v>
          </cell>
          <cell r="E15" t="str">
            <v>应收票据</v>
          </cell>
          <cell r="F15">
            <v>57765597.380000003</v>
          </cell>
          <cell r="G15">
            <v>0</v>
          </cell>
          <cell r="H15">
            <v>0</v>
          </cell>
          <cell r="I15">
            <v>57765597.380000003</v>
          </cell>
          <cell r="J15">
            <v>39847810.969999999</v>
          </cell>
          <cell r="K15">
            <v>0</v>
          </cell>
          <cell r="L15">
            <v>0</v>
          </cell>
          <cell r="M15">
            <v>39847810.969999999</v>
          </cell>
        </row>
        <row r="16">
          <cell r="D16">
            <v>1122</v>
          </cell>
          <cell r="E16" t="str">
            <v>应收账款</v>
          </cell>
          <cell r="F16">
            <v>3904942.68</v>
          </cell>
          <cell r="G16">
            <v>32457330.210000001</v>
          </cell>
          <cell r="H16">
            <v>2962653.63</v>
          </cell>
          <cell r="I16">
            <v>33399619.260000002</v>
          </cell>
          <cell r="J16">
            <v>1460421.52</v>
          </cell>
          <cell r="K16">
            <v>0</v>
          </cell>
          <cell r="L16">
            <v>0</v>
          </cell>
          <cell r="M16">
            <v>1460421.52</v>
          </cell>
        </row>
        <row r="17">
          <cell r="D17">
            <v>1125</v>
          </cell>
          <cell r="E17" t="str">
            <v>预付款项</v>
          </cell>
          <cell r="F17">
            <v>71851048.549999997</v>
          </cell>
          <cell r="G17">
            <v>11370817.369999999</v>
          </cell>
          <cell r="H17">
            <v>37850215.009999998</v>
          </cell>
          <cell r="I17">
            <v>45371650.909999996</v>
          </cell>
          <cell r="J17">
            <v>92925456.030000001</v>
          </cell>
          <cell r="K17">
            <v>0</v>
          </cell>
          <cell r="L17">
            <v>0</v>
          </cell>
          <cell r="M17">
            <v>92925456.030000001</v>
          </cell>
        </row>
        <row r="18">
          <cell r="D18">
            <v>1127</v>
          </cell>
          <cell r="E18" t="str">
            <v>应收保费</v>
          </cell>
          <cell r="F18">
            <v>0</v>
          </cell>
          <cell r="G18">
            <v>0</v>
          </cell>
          <cell r="H18">
            <v>0</v>
          </cell>
          <cell r="I18">
            <v>0</v>
          </cell>
          <cell r="J18">
            <v>0</v>
          </cell>
          <cell r="K18">
            <v>0</v>
          </cell>
          <cell r="L18">
            <v>0</v>
          </cell>
          <cell r="M18">
            <v>0</v>
          </cell>
        </row>
        <row r="19">
          <cell r="D19">
            <v>1211</v>
          </cell>
          <cell r="E19" t="str">
            <v>应收分保账款</v>
          </cell>
          <cell r="F19">
            <v>0</v>
          </cell>
          <cell r="G19">
            <v>0</v>
          </cell>
          <cell r="H19">
            <v>0</v>
          </cell>
          <cell r="I19">
            <v>0</v>
          </cell>
          <cell r="J19">
            <v>0</v>
          </cell>
          <cell r="K19">
            <v>0</v>
          </cell>
          <cell r="L19">
            <v>0</v>
          </cell>
          <cell r="M19">
            <v>0</v>
          </cell>
        </row>
        <row r="20">
          <cell r="D20">
            <v>1212</v>
          </cell>
          <cell r="E20" t="str">
            <v>应收分保合同准备金</v>
          </cell>
          <cell r="F20">
            <v>0</v>
          </cell>
          <cell r="G20">
            <v>0</v>
          </cell>
          <cell r="H20">
            <v>0</v>
          </cell>
          <cell r="I20">
            <v>0</v>
          </cell>
          <cell r="J20">
            <v>0</v>
          </cell>
          <cell r="K20">
            <v>0</v>
          </cell>
          <cell r="L20">
            <v>0</v>
          </cell>
          <cell r="M20">
            <v>0</v>
          </cell>
        </row>
        <row r="21">
          <cell r="D21">
            <v>1132</v>
          </cell>
          <cell r="E21" t="str">
            <v>应收利息</v>
          </cell>
          <cell r="F21">
            <v>87294109.040000007</v>
          </cell>
          <cell r="G21">
            <v>-31239557.48</v>
          </cell>
          <cell r="H21">
            <v>0</v>
          </cell>
          <cell r="I21">
            <v>56054551.560000002</v>
          </cell>
          <cell r="J21">
            <v>16335723.67</v>
          </cell>
          <cell r="K21">
            <v>0</v>
          </cell>
          <cell r="L21">
            <v>0</v>
          </cell>
          <cell r="M21">
            <v>16335723.67</v>
          </cell>
        </row>
        <row r="22">
          <cell r="D22">
            <v>1131</v>
          </cell>
          <cell r="E22" t="str">
            <v>应收股利</v>
          </cell>
          <cell r="F22">
            <v>130000000</v>
          </cell>
          <cell r="G22">
            <v>91450000</v>
          </cell>
          <cell r="H22">
            <v>0</v>
          </cell>
          <cell r="I22">
            <v>221450000</v>
          </cell>
          <cell r="J22">
            <v>130000000</v>
          </cell>
          <cell r="K22">
            <v>0</v>
          </cell>
          <cell r="L22">
            <v>0</v>
          </cell>
          <cell r="M22">
            <v>130000000</v>
          </cell>
        </row>
        <row r="23">
          <cell r="D23">
            <v>1221</v>
          </cell>
          <cell r="E23" t="str">
            <v>其他应收款</v>
          </cell>
          <cell r="F23">
            <v>20682812.16</v>
          </cell>
          <cell r="G23">
            <v>3676651.27</v>
          </cell>
          <cell r="H23">
            <v>11936160.460000001</v>
          </cell>
          <cell r="I23">
            <v>12423302.970000001</v>
          </cell>
          <cell r="J23">
            <v>12107216.68</v>
          </cell>
          <cell r="K23">
            <v>0</v>
          </cell>
          <cell r="L23">
            <v>0</v>
          </cell>
          <cell r="M23">
            <v>12107216.68</v>
          </cell>
        </row>
        <row r="24">
          <cell r="D24">
            <v>1111</v>
          </cell>
          <cell r="E24" t="str">
            <v>买入返售金融资产</v>
          </cell>
          <cell r="F24">
            <v>0</v>
          </cell>
          <cell r="G24">
            <v>0</v>
          </cell>
          <cell r="H24">
            <v>0</v>
          </cell>
          <cell r="I24">
            <v>0</v>
          </cell>
          <cell r="J24">
            <v>0</v>
          </cell>
          <cell r="K24">
            <v>0</v>
          </cell>
          <cell r="L24">
            <v>0</v>
          </cell>
          <cell r="M24">
            <v>0</v>
          </cell>
        </row>
        <row r="25">
          <cell r="D25">
            <v>1400</v>
          </cell>
          <cell r="E25" t="str">
            <v>存货</v>
          </cell>
          <cell r="F25">
            <v>131390045.17</v>
          </cell>
          <cell r="G25">
            <v>1371058.2</v>
          </cell>
          <cell r="H25">
            <v>0</v>
          </cell>
          <cell r="I25">
            <v>132761103.37</v>
          </cell>
          <cell r="J25">
            <v>128454645.41</v>
          </cell>
          <cell r="K25">
            <v>0</v>
          </cell>
          <cell r="L25">
            <v>0</v>
          </cell>
          <cell r="M25">
            <v>128454645.41</v>
          </cell>
        </row>
        <row r="26">
          <cell r="D26">
            <v>1495</v>
          </cell>
          <cell r="E26" t="str">
            <v>一年内到期的非流动资产</v>
          </cell>
          <cell r="F26">
            <v>0</v>
          </cell>
          <cell r="G26">
            <v>0</v>
          </cell>
          <cell r="H26">
            <v>0</v>
          </cell>
          <cell r="I26">
            <v>0</v>
          </cell>
          <cell r="J26">
            <v>0</v>
          </cell>
          <cell r="K26">
            <v>0</v>
          </cell>
          <cell r="L26">
            <v>0</v>
          </cell>
          <cell r="M26">
            <v>0</v>
          </cell>
        </row>
        <row r="27">
          <cell r="D27">
            <v>1496</v>
          </cell>
          <cell r="E27" t="str">
            <v>其他流动资产</v>
          </cell>
          <cell r="F27">
            <v>0</v>
          </cell>
          <cell r="G27">
            <v>1205000000.02</v>
          </cell>
          <cell r="H27">
            <v>0</v>
          </cell>
          <cell r="I27">
            <v>1205000000.02</v>
          </cell>
          <cell r="J27">
            <v>0</v>
          </cell>
          <cell r="K27">
            <v>0</v>
          </cell>
          <cell r="L27">
            <v>0</v>
          </cell>
          <cell r="M27">
            <v>0</v>
          </cell>
        </row>
        <row r="28">
          <cell r="D28">
            <v>1498</v>
          </cell>
          <cell r="E28" t="str">
            <v>流动资产</v>
          </cell>
          <cell r="F28">
            <v>2428574627.5799999</v>
          </cell>
          <cell r="G28">
            <v>1314086299.5899999</v>
          </cell>
          <cell r="H28">
            <v>227749029.12</v>
          </cell>
          <cell r="I28">
            <v>3514911898.0500002</v>
          </cell>
          <cell r="J28">
            <v>3378569219.52</v>
          </cell>
          <cell r="K28">
            <v>0</v>
          </cell>
          <cell r="L28">
            <v>0</v>
          </cell>
          <cell r="M28">
            <v>3378569219.52</v>
          </cell>
        </row>
        <row r="29">
          <cell r="D29">
            <v>1500</v>
          </cell>
          <cell r="E29" t="str">
            <v>非流动资产项目</v>
          </cell>
          <cell r="F29">
            <v>0</v>
          </cell>
          <cell r="G29">
            <v>0</v>
          </cell>
          <cell r="H29">
            <v>0</v>
          </cell>
          <cell r="I29">
            <v>0</v>
          </cell>
          <cell r="J29">
            <v>0</v>
          </cell>
          <cell r="K29">
            <v>0</v>
          </cell>
          <cell r="L29">
            <v>0</v>
          </cell>
          <cell r="M29">
            <v>0</v>
          </cell>
        </row>
        <row r="30">
          <cell r="D30">
            <v>1600</v>
          </cell>
          <cell r="E30" t="str">
            <v>发放委托贷款及垫款</v>
          </cell>
          <cell r="F30">
            <v>0</v>
          </cell>
          <cell r="G30">
            <v>0</v>
          </cell>
          <cell r="H30">
            <v>0</v>
          </cell>
          <cell r="I30">
            <v>0</v>
          </cell>
          <cell r="J30">
            <v>0</v>
          </cell>
          <cell r="K30">
            <v>0</v>
          </cell>
          <cell r="L30">
            <v>0</v>
          </cell>
          <cell r="M30">
            <v>0</v>
          </cell>
        </row>
        <row r="31">
          <cell r="D31">
            <v>1503</v>
          </cell>
          <cell r="E31" t="str">
            <v>可供出售金融资产</v>
          </cell>
          <cell r="F31">
            <v>10000000</v>
          </cell>
          <cell r="G31">
            <v>0</v>
          </cell>
          <cell r="H31">
            <v>10000000</v>
          </cell>
          <cell r="I31">
            <v>0</v>
          </cell>
          <cell r="J31">
            <v>0</v>
          </cell>
          <cell r="K31">
            <v>0</v>
          </cell>
          <cell r="L31">
            <v>0</v>
          </cell>
          <cell r="M31">
            <v>0</v>
          </cell>
        </row>
        <row r="32">
          <cell r="D32">
            <v>1501</v>
          </cell>
          <cell r="E32" t="str">
            <v>持有至到期投资</v>
          </cell>
          <cell r="F32">
            <v>660000000</v>
          </cell>
          <cell r="G32">
            <v>0</v>
          </cell>
          <cell r="H32">
            <v>660000000</v>
          </cell>
          <cell r="I32">
            <v>0</v>
          </cell>
          <cell r="J32">
            <v>0</v>
          </cell>
          <cell r="K32">
            <v>0</v>
          </cell>
          <cell r="L32">
            <v>0</v>
          </cell>
          <cell r="M32">
            <v>0</v>
          </cell>
        </row>
        <row r="33">
          <cell r="D33">
            <v>1531</v>
          </cell>
          <cell r="E33" t="str">
            <v>长期应收款</v>
          </cell>
          <cell r="F33">
            <v>0</v>
          </cell>
          <cell r="G33">
            <v>0</v>
          </cell>
          <cell r="H33">
            <v>0</v>
          </cell>
          <cell r="I33">
            <v>0</v>
          </cell>
          <cell r="J33">
            <v>0</v>
          </cell>
          <cell r="K33">
            <v>0</v>
          </cell>
          <cell r="L33">
            <v>0</v>
          </cell>
          <cell r="M33">
            <v>0</v>
          </cell>
        </row>
        <row r="34">
          <cell r="D34">
            <v>1511</v>
          </cell>
          <cell r="E34" t="str">
            <v>长期股权投资</v>
          </cell>
          <cell r="F34">
            <v>1136886148.4300001</v>
          </cell>
          <cell r="G34">
            <v>14236365.119999999</v>
          </cell>
          <cell r="H34">
            <v>2690254.19</v>
          </cell>
          <cell r="I34">
            <v>1148432259.3599999</v>
          </cell>
          <cell r="J34">
            <v>539781648.42999995</v>
          </cell>
          <cell r="K34">
            <v>0</v>
          </cell>
          <cell r="L34">
            <v>0</v>
          </cell>
          <cell r="M34">
            <v>539781648.42999995</v>
          </cell>
        </row>
        <row r="35">
          <cell r="D35">
            <v>1521</v>
          </cell>
          <cell r="E35" t="str">
            <v>投资性房地产</v>
          </cell>
          <cell r="F35">
            <v>0</v>
          </cell>
          <cell r="G35">
            <v>0</v>
          </cell>
          <cell r="H35">
            <v>0</v>
          </cell>
          <cell r="I35">
            <v>0</v>
          </cell>
          <cell r="J35">
            <v>0</v>
          </cell>
          <cell r="K35">
            <v>0</v>
          </cell>
          <cell r="L35">
            <v>0</v>
          </cell>
          <cell r="M35">
            <v>0</v>
          </cell>
        </row>
        <row r="36">
          <cell r="D36">
            <v>1601</v>
          </cell>
          <cell r="E36" t="str">
            <v>固定资产</v>
          </cell>
          <cell r="F36">
            <v>188711416.13</v>
          </cell>
          <cell r="G36">
            <v>4300190.46</v>
          </cell>
          <cell r="H36">
            <v>325253.28000000003</v>
          </cell>
          <cell r="I36">
            <v>192686353.31</v>
          </cell>
          <cell r="J36">
            <v>182043179.80000001</v>
          </cell>
          <cell r="K36">
            <v>0</v>
          </cell>
          <cell r="L36">
            <v>0</v>
          </cell>
          <cell r="M36">
            <v>182043179.80000001</v>
          </cell>
        </row>
        <row r="37">
          <cell r="D37">
            <v>1604</v>
          </cell>
          <cell r="E37" t="str">
            <v>在建工程</v>
          </cell>
          <cell r="F37">
            <v>36096245.659999996</v>
          </cell>
          <cell r="G37">
            <v>0</v>
          </cell>
          <cell r="H37">
            <v>3375274.24</v>
          </cell>
          <cell r="I37">
            <v>32720971.420000002</v>
          </cell>
          <cell r="J37">
            <v>9420456.6099999994</v>
          </cell>
          <cell r="K37">
            <v>0</v>
          </cell>
          <cell r="L37">
            <v>0</v>
          </cell>
          <cell r="M37">
            <v>9420456.6099999994</v>
          </cell>
        </row>
        <row r="38">
          <cell r="D38">
            <v>1605</v>
          </cell>
          <cell r="E38" t="str">
            <v>工程物资</v>
          </cell>
          <cell r="F38">
            <v>0</v>
          </cell>
          <cell r="G38">
            <v>0</v>
          </cell>
          <cell r="H38">
            <v>0</v>
          </cell>
          <cell r="I38">
            <v>0</v>
          </cell>
          <cell r="J38">
            <v>0</v>
          </cell>
          <cell r="K38">
            <v>0</v>
          </cell>
          <cell r="L38">
            <v>0</v>
          </cell>
          <cell r="M38">
            <v>0</v>
          </cell>
        </row>
        <row r="39">
          <cell r="D39">
            <v>1606</v>
          </cell>
          <cell r="E39" t="str">
            <v>固定资产清理</v>
          </cell>
          <cell r="F39">
            <v>0</v>
          </cell>
          <cell r="G39">
            <v>0</v>
          </cell>
          <cell r="H39">
            <v>0</v>
          </cell>
          <cell r="I39">
            <v>0</v>
          </cell>
          <cell r="J39">
            <v>0</v>
          </cell>
          <cell r="K39">
            <v>0</v>
          </cell>
          <cell r="L39">
            <v>0</v>
          </cell>
          <cell r="M39">
            <v>0</v>
          </cell>
        </row>
        <row r="40">
          <cell r="D40">
            <v>1621</v>
          </cell>
          <cell r="E40" t="str">
            <v>生产性生物资产</v>
          </cell>
          <cell r="F40">
            <v>0</v>
          </cell>
          <cell r="G40">
            <v>0</v>
          </cell>
          <cell r="H40">
            <v>0</v>
          </cell>
          <cell r="I40">
            <v>0</v>
          </cell>
          <cell r="J40">
            <v>0</v>
          </cell>
          <cell r="K40">
            <v>0</v>
          </cell>
          <cell r="L40">
            <v>0</v>
          </cell>
          <cell r="M40">
            <v>0</v>
          </cell>
        </row>
        <row r="41">
          <cell r="D41">
            <v>1631</v>
          </cell>
          <cell r="E41" t="str">
            <v>油气资产</v>
          </cell>
          <cell r="F41">
            <v>0</v>
          </cell>
          <cell r="G41">
            <v>0</v>
          </cell>
          <cell r="H41">
            <v>0</v>
          </cell>
          <cell r="I41">
            <v>0</v>
          </cell>
          <cell r="J41">
            <v>0</v>
          </cell>
          <cell r="K41">
            <v>0</v>
          </cell>
          <cell r="L41">
            <v>0</v>
          </cell>
          <cell r="M41">
            <v>0</v>
          </cell>
        </row>
        <row r="42">
          <cell r="D42">
            <v>1701</v>
          </cell>
          <cell r="E42" t="str">
            <v>无形资产</v>
          </cell>
          <cell r="F42">
            <v>74425523.810000002</v>
          </cell>
          <cell r="G42">
            <v>0</v>
          </cell>
          <cell r="H42">
            <v>0</v>
          </cell>
          <cell r="I42">
            <v>74425523.810000002</v>
          </cell>
          <cell r="J42">
            <v>72623909.079999998</v>
          </cell>
          <cell r="K42">
            <v>0</v>
          </cell>
          <cell r="L42">
            <v>0</v>
          </cell>
          <cell r="M42">
            <v>72623909.079999998</v>
          </cell>
        </row>
        <row r="43">
          <cell r="D43">
            <v>1700</v>
          </cell>
          <cell r="E43" t="str">
            <v>开发支出</v>
          </cell>
          <cell r="F43">
            <v>0</v>
          </cell>
          <cell r="G43">
            <v>0</v>
          </cell>
          <cell r="H43">
            <v>0</v>
          </cell>
          <cell r="I43">
            <v>0</v>
          </cell>
          <cell r="J43">
            <v>0</v>
          </cell>
          <cell r="K43">
            <v>0</v>
          </cell>
          <cell r="L43">
            <v>0</v>
          </cell>
          <cell r="M43">
            <v>0</v>
          </cell>
        </row>
        <row r="44">
          <cell r="D44">
            <v>1711</v>
          </cell>
          <cell r="E44" t="str">
            <v>商誉</v>
          </cell>
          <cell r="F44">
            <v>0</v>
          </cell>
          <cell r="G44">
            <v>0</v>
          </cell>
          <cell r="H44">
            <v>0</v>
          </cell>
          <cell r="I44">
            <v>0</v>
          </cell>
          <cell r="J44">
            <v>0</v>
          </cell>
          <cell r="K44">
            <v>0</v>
          </cell>
          <cell r="L44">
            <v>0</v>
          </cell>
          <cell r="M44">
            <v>0</v>
          </cell>
        </row>
        <row r="45">
          <cell r="D45">
            <v>1801</v>
          </cell>
          <cell r="E45" t="str">
            <v>长期待摊费用</v>
          </cell>
          <cell r="F45">
            <v>635841.43000000005</v>
          </cell>
          <cell r="G45">
            <v>0</v>
          </cell>
          <cell r="H45">
            <v>0</v>
          </cell>
          <cell r="I45">
            <v>635841.43000000005</v>
          </cell>
          <cell r="J45">
            <v>0</v>
          </cell>
          <cell r="K45">
            <v>0</v>
          </cell>
          <cell r="L45">
            <v>0</v>
          </cell>
          <cell r="M45">
            <v>0</v>
          </cell>
        </row>
        <row r="46">
          <cell r="D46">
            <v>1811</v>
          </cell>
          <cell r="E46" t="str">
            <v>递延所得税资产</v>
          </cell>
          <cell r="F46">
            <v>5191036.0599999996</v>
          </cell>
          <cell r="G46">
            <v>-730318.97</v>
          </cell>
          <cell r="H46">
            <v>0</v>
          </cell>
          <cell r="I46">
            <v>4460717.09</v>
          </cell>
          <cell r="J46">
            <v>4681038.18</v>
          </cell>
          <cell r="K46">
            <v>0</v>
          </cell>
          <cell r="L46">
            <v>0</v>
          </cell>
          <cell r="M46">
            <v>4681038.18</v>
          </cell>
        </row>
        <row r="47">
          <cell r="D47">
            <v>1996</v>
          </cell>
          <cell r="E47" t="str">
            <v>其他非流动资产</v>
          </cell>
          <cell r="F47">
            <v>420000000</v>
          </cell>
          <cell r="G47">
            <v>85355375.530000001</v>
          </cell>
          <cell r="H47">
            <v>420000000</v>
          </cell>
          <cell r="I47">
            <v>85355375.530000001</v>
          </cell>
          <cell r="J47">
            <v>153831666.66999999</v>
          </cell>
          <cell r="K47">
            <v>0</v>
          </cell>
          <cell r="L47">
            <v>0</v>
          </cell>
          <cell r="M47">
            <v>153831666.66999999</v>
          </cell>
        </row>
        <row r="48">
          <cell r="D48">
            <v>1998</v>
          </cell>
          <cell r="E48" t="str">
            <v>非流动资产</v>
          </cell>
          <cell r="F48">
            <v>2531946211.52</v>
          </cell>
          <cell r="G48">
            <v>103161612.14</v>
          </cell>
          <cell r="H48">
            <v>1096390781.71</v>
          </cell>
          <cell r="I48">
            <v>1538717041.95</v>
          </cell>
          <cell r="J48">
            <v>962381898.76999998</v>
          </cell>
          <cell r="K48">
            <v>0</v>
          </cell>
          <cell r="L48">
            <v>0</v>
          </cell>
          <cell r="M48">
            <v>962381898.76999998</v>
          </cell>
        </row>
        <row r="49">
          <cell r="D49">
            <v>1999</v>
          </cell>
          <cell r="E49" t="str">
            <v>资产</v>
          </cell>
          <cell r="F49">
            <v>4960520839.1000004</v>
          </cell>
          <cell r="G49">
            <v>1417247911.73</v>
          </cell>
          <cell r="H49">
            <v>1324139810.8299999</v>
          </cell>
          <cell r="I49">
            <v>5053628940</v>
          </cell>
          <cell r="J49">
            <v>4340951118.29</v>
          </cell>
          <cell r="K49">
            <v>0</v>
          </cell>
          <cell r="L49">
            <v>0</v>
          </cell>
          <cell r="M49">
            <v>4340951118.29</v>
          </cell>
        </row>
        <row r="50">
          <cell r="D50">
            <v>2000</v>
          </cell>
          <cell r="E50" t="str">
            <v>流动负债项目</v>
          </cell>
          <cell r="F50">
            <v>0</v>
          </cell>
          <cell r="G50">
            <v>0</v>
          </cell>
          <cell r="H50">
            <v>0</v>
          </cell>
          <cell r="I50">
            <v>0</v>
          </cell>
          <cell r="J50">
            <v>0</v>
          </cell>
          <cell r="K50">
            <v>0</v>
          </cell>
          <cell r="L50">
            <v>0</v>
          </cell>
          <cell r="M50">
            <v>0</v>
          </cell>
        </row>
        <row r="51">
          <cell r="D51">
            <v>2001</v>
          </cell>
          <cell r="E51" t="str">
            <v>短期借款</v>
          </cell>
          <cell r="F51">
            <v>0</v>
          </cell>
          <cell r="G51">
            <v>0</v>
          </cell>
          <cell r="H51">
            <v>0</v>
          </cell>
          <cell r="I51">
            <v>0</v>
          </cell>
          <cell r="J51">
            <v>0</v>
          </cell>
          <cell r="K51">
            <v>0</v>
          </cell>
          <cell r="L51">
            <v>0</v>
          </cell>
          <cell r="M51">
            <v>0</v>
          </cell>
        </row>
        <row r="52">
          <cell r="D52">
            <v>2004</v>
          </cell>
          <cell r="E52" t="str">
            <v>向中央银行借款</v>
          </cell>
          <cell r="F52">
            <v>0</v>
          </cell>
          <cell r="G52">
            <v>0</v>
          </cell>
          <cell r="H52">
            <v>0</v>
          </cell>
          <cell r="I52">
            <v>0</v>
          </cell>
          <cell r="J52">
            <v>0</v>
          </cell>
          <cell r="K52">
            <v>0</v>
          </cell>
          <cell r="L52">
            <v>0</v>
          </cell>
          <cell r="M52">
            <v>0</v>
          </cell>
        </row>
        <row r="53">
          <cell r="D53">
            <v>2010</v>
          </cell>
          <cell r="E53" t="str">
            <v>吸收存款及同业存放</v>
          </cell>
          <cell r="F53">
            <v>0</v>
          </cell>
          <cell r="G53">
            <v>0</v>
          </cell>
          <cell r="H53">
            <v>0</v>
          </cell>
          <cell r="I53">
            <v>0</v>
          </cell>
          <cell r="J53">
            <v>0</v>
          </cell>
          <cell r="K53">
            <v>0</v>
          </cell>
          <cell r="L53">
            <v>0</v>
          </cell>
          <cell r="M53">
            <v>0</v>
          </cell>
        </row>
        <row r="54">
          <cell r="D54">
            <v>2003</v>
          </cell>
          <cell r="E54" t="str">
            <v>拆入资金</v>
          </cell>
          <cell r="F54">
            <v>0</v>
          </cell>
          <cell r="G54">
            <v>0</v>
          </cell>
          <cell r="H54">
            <v>0</v>
          </cell>
          <cell r="I54">
            <v>0</v>
          </cell>
          <cell r="J54">
            <v>0</v>
          </cell>
          <cell r="K54">
            <v>0</v>
          </cell>
          <cell r="L54">
            <v>0</v>
          </cell>
          <cell r="M54">
            <v>0</v>
          </cell>
        </row>
        <row r="55">
          <cell r="D55">
            <v>2101</v>
          </cell>
          <cell r="E55" t="str">
            <v>交易性金融负债</v>
          </cell>
          <cell r="F55">
            <v>0</v>
          </cell>
          <cell r="G55">
            <v>0</v>
          </cell>
          <cell r="H55">
            <v>0</v>
          </cell>
          <cell r="I55">
            <v>0</v>
          </cell>
          <cell r="J55">
            <v>0</v>
          </cell>
          <cell r="K55">
            <v>0</v>
          </cell>
          <cell r="L55">
            <v>0</v>
          </cell>
          <cell r="M55">
            <v>0</v>
          </cell>
        </row>
        <row r="56">
          <cell r="D56">
            <v>2201</v>
          </cell>
          <cell r="E56" t="str">
            <v>应付票据</v>
          </cell>
          <cell r="F56">
            <v>0</v>
          </cell>
          <cell r="G56">
            <v>0</v>
          </cell>
          <cell r="H56">
            <v>0</v>
          </cell>
          <cell r="I56">
            <v>0</v>
          </cell>
          <cell r="J56">
            <v>0</v>
          </cell>
          <cell r="K56">
            <v>0</v>
          </cell>
          <cell r="L56">
            <v>0</v>
          </cell>
          <cell r="M56">
            <v>0</v>
          </cell>
        </row>
        <row r="57">
          <cell r="D57">
            <v>2202</v>
          </cell>
          <cell r="E57" t="str">
            <v>应付账款</v>
          </cell>
          <cell r="F57">
            <v>138543009.33000001</v>
          </cell>
          <cell r="G57">
            <v>104043474.64</v>
          </cell>
          <cell r="H57">
            <v>100896590.66</v>
          </cell>
          <cell r="I57">
            <v>135396125.34999999</v>
          </cell>
          <cell r="J57">
            <v>263861109.38999999</v>
          </cell>
          <cell r="K57">
            <v>0</v>
          </cell>
          <cell r="L57">
            <v>0</v>
          </cell>
          <cell r="M57">
            <v>263861109.38999999</v>
          </cell>
        </row>
        <row r="58">
          <cell r="D58">
            <v>2205</v>
          </cell>
          <cell r="E58" t="str">
            <v>预收款项</v>
          </cell>
          <cell r="F58">
            <v>1328402806.79</v>
          </cell>
          <cell r="G58">
            <v>69850056.480000004</v>
          </cell>
          <cell r="H58">
            <v>2328421.23</v>
          </cell>
          <cell r="I58">
            <v>1260881171.54</v>
          </cell>
          <cell r="J58">
            <v>621922741.46000004</v>
          </cell>
          <cell r="K58">
            <v>0</v>
          </cell>
          <cell r="L58">
            <v>0</v>
          </cell>
          <cell r="M58">
            <v>621922741.46000004</v>
          </cell>
        </row>
        <row r="59">
          <cell r="D59">
            <v>2111</v>
          </cell>
          <cell r="E59" t="str">
            <v>卖出回购金融资产款</v>
          </cell>
          <cell r="F59">
            <v>0</v>
          </cell>
          <cell r="G59">
            <v>0</v>
          </cell>
          <cell r="H59">
            <v>0</v>
          </cell>
          <cell r="I59">
            <v>0</v>
          </cell>
          <cell r="J59">
            <v>0</v>
          </cell>
          <cell r="K59">
            <v>0</v>
          </cell>
          <cell r="L59">
            <v>0</v>
          </cell>
          <cell r="M59">
            <v>0</v>
          </cell>
        </row>
        <row r="60">
          <cell r="D60">
            <v>2240</v>
          </cell>
          <cell r="E60" t="str">
            <v>应付手续费及佣金</v>
          </cell>
          <cell r="F60">
            <v>0</v>
          </cell>
          <cell r="G60">
            <v>0</v>
          </cell>
          <cell r="H60">
            <v>0</v>
          </cell>
          <cell r="I60">
            <v>0</v>
          </cell>
          <cell r="J60">
            <v>0</v>
          </cell>
          <cell r="K60">
            <v>0</v>
          </cell>
          <cell r="L60">
            <v>0</v>
          </cell>
          <cell r="M60">
            <v>0</v>
          </cell>
        </row>
        <row r="61">
          <cell r="D61">
            <v>2211</v>
          </cell>
          <cell r="E61" t="str">
            <v>应付职工薪酬</v>
          </cell>
          <cell r="F61">
            <v>19147797.640000001</v>
          </cell>
          <cell r="G61">
            <v>470184.35</v>
          </cell>
          <cell r="H61">
            <v>0</v>
          </cell>
          <cell r="I61">
            <v>18677613.289999999</v>
          </cell>
          <cell r="J61">
            <v>19593402.850000001</v>
          </cell>
          <cell r="K61">
            <v>0</v>
          </cell>
          <cell r="L61">
            <v>0</v>
          </cell>
          <cell r="M61">
            <v>19593402.850000001</v>
          </cell>
        </row>
        <row r="62">
          <cell r="D62">
            <v>2221</v>
          </cell>
          <cell r="E62" t="str">
            <v>应交税费</v>
          </cell>
          <cell r="F62">
            <v>25849717.09</v>
          </cell>
          <cell r="G62">
            <v>57322.45</v>
          </cell>
          <cell r="H62">
            <v>-7492347.0099999998</v>
          </cell>
          <cell r="I62">
            <v>18300047.629999999</v>
          </cell>
          <cell r="J62">
            <v>24215225.879999999</v>
          </cell>
          <cell r="K62">
            <v>0</v>
          </cell>
          <cell r="L62">
            <v>0</v>
          </cell>
          <cell r="M62">
            <v>24215225.879999999</v>
          </cell>
        </row>
        <row r="63">
          <cell r="D63">
            <v>2231</v>
          </cell>
          <cell r="E63" t="str">
            <v>应付利息</v>
          </cell>
          <cell r="F63">
            <v>0</v>
          </cell>
          <cell r="G63">
            <v>0</v>
          </cell>
          <cell r="H63">
            <v>0</v>
          </cell>
          <cell r="I63">
            <v>0</v>
          </cell>
          <cell r="J63">
            <v>0</v>
          </cell>
          <cell r="K63">
            <v>0</v>
          </cell>
          <cell r="L63">
            <v>0</v>
          </cell>
          <cell r="M63">
            <v>0</v>
          </cell>
        </row>
        <row r="64">
          <cell r="D64">
            <v>2232</v>
          </cell>
          <cell r="E64" t="str">
            <v>应付股利</v>
          </cell>
          <cell r="F64">
            <v>0</v>
          </cell>
          <cell r="G64">
            <v>0</v>
          </cell>
          <cell r="H64">
            <v>0</v>
          </cell>
          <cell r="I64">
            <v>0</v>
          </cell>
          <cell r="J64">
            <v>0</v>
          </cell>
          <cell r="K64">
            <v>0</v>
          </cell>
          <cell r="L64">
            <v>0</v>
          </cell>
          <cell r="M64">
            <v>0</v>
          </cell>
        </row>
        <row r="65">
          <cell r="D65">
            <v>2241</v>
          </cell>
          <cell r="E65" t="str">
            <v>其他应付款</v>
          </cell>
          <cell r="F65">
            <v>112911776.84999999</v>
          </cell>
          <cell r="G65">
            <v>-106826.5</v>
          </cell>
          <cell r="H65">
            <v>106672055.8</v>
          </cell>
          <cell r="I65">
            <v>219690659.15000001</v>
          </cell>
          <cell r="J65">
            <v>25576157.789999999</v>
          </cell>
          <cell r="K65">
            <v>0</v>
          </cell>
          <cell r="L65">
            <v>0</v>
          </cell>
          <cell r="M65">
            <v>25576157.789999999</v>
          </cell>
        </row>
        <row r="66">
          <cell r="D66">
            <v>2261</v>
          </cell>
          <cell r="E66" t="str">
            <v>应付分保账款</v>
          </cell>
          <cell r="F66">
            <v>0</v>
          </cell>
          <cell r="G66">
            <v>0</v>
          </cell>
          <cell r="H66">
            <v>0</v>
          </cell>
          <cell r="I66">
            <v>0</v>
          </cell>
          <cell r="J66">
            <v>0</v>
          </cell>
          <cell r="K66">
            <v>0</v>
          </cell>
          <cell r="L66">
            <v>0</v>
          </cell>
          <cell r="M66">
            <v>0</v>
          </cell>
        </row>
        <row r="67">
          <cell r="D67">
            <v>2310</v>
          </cell>
          <cell r="E67" t="str">
            <v>保险合同准备金</v>
          </cell>
          <cell r="F67">
            <v>0</v>
          </cell>
          <cell r="G67">
            <v>0</v>
          </cell>
          <cell r="H67">
            <v>0</v>
          </cell>
          <cell r="I67">
            <v>0</v>
          </cell>
          <cell r="J67">
            <v>0</v>
          </cell>
          <cell r="K67">
            <v>0</v>
          </cell>
          <cell r="L67">
            <v>0</v>
          </cell>
          <cell r="M67">
            <v>0</v>
          </cell>
        </row>
        <row r="68">
          <cell r="D68">
            <v>2311</v>
          </cell>
          <cell r="E68" t="str">
            <v>代理买卖证券款</v>
          </cell>
          <cell r="F68">
            <v>0</v>
          </cell>
          <cell r="G68">
            <v>0</v>
          </cell>
          <cell r="H68">
            <v>0</v>
          </cell>
          <cell r="I68">
            <v>0</v>
          </cell>
          <cell r="J68">
            <v>0</v>
          </cell>
          <cell r="K68">
            <v>0</v>
          </cell>
          <cell r="L68">
            <v>0</v>
          </cell>
          <cell r="M68">
            <v>0</v>
          </cell>
        </row>
        <row r="69">
          <cell r="D69">
            <v>2312</v>
          </cell>
          <cell r="E69" t="str">
            <v>代理承销证券款</v>
          </cell>
          <cell r="F69">
            <v>0</v>
          </cell>
          <cell r="G69">
            <v>0</v>
          </cell>
          <cell r="H69">
            <v>0</v>
          </cell>
          <cell r="I69">
            <v>0</v>
          </cell>
          <cell r="J69">
            <v>0</v>
          </cell>
          <cell r="K69">
            <v>0</v>
          </cell>
          <cell r="L69">
            <v>0</v>
          </cell>
          <cell r="M69">
            <v>0</v>
          </cell>
        </row>
        <row r="70">
          <cell r="D70">
            <v>2395</v>
          </cell>
          <cell r="E70" t="str">
            <v>一年内到期的非流动负债</v>
          </cell>
          <cell r="F70">
            <v>0</v>
          </cell>
          <cell r="G70">
            <v>0</v>
          </cell>
          <cell r="H70">
            <v>0</v>
          </cell>
          <cell r="I70">
            <v>0</v>
          </cell>
          <cell r="J70">
            <v>0</v>
          </cell>
          <cell r="K70">
            <v>0</v>
          </cell>
          <cell r="L70">
            <v>0</v>
          </cell>
          <cell r="M70">
            <v>0</v>
          </cell>
        </row>
        <row r="71">
          <cell r="D71">
            <v>2396</v>
          </cell>
          <cell r="E71" t="str">
            <v>其他流动负债</v>
          </cell>
          <cell r="F71">
            <v>0</v>
          </cell>
          <cell r="G71">
            <v>0</v>
          </cell>
          <cell r="H71">
            <v>0</v>
          </cell>
          <cell r="I71">
            <v>0</v>
          </cell>
          <cell r="J71">
            <v>0</v>
          </cell>
          <cell r="K71">
            <v>0</v>
          </cell>
          <cell r="L71">
            <v>0</v>
          </cell>
          <cell r="M71">
            <v>0</v>
          </cell>
        </row>
        <row r="72">
          <cell r="D72">
            <v>2498</v>
          </cell>
          <cell r="E72" t="str">
            <v>流动负债</v>
          </cell>
          <cell r="F72">
            <v>1624855107.7</v>
          </cell>
          <cell r="G72">
            <v>174314211.41999999</v>
          </cell>
          <cell r="H72">
            <v>202404720.68000001</v>
          </cell>
          <cell r="I72">
            <v>1652945616.96</v>
          </cell>
          <cell r="J72">
            <v>955168637.37</v>
          </cell>
          <cell r="K72">
            <v>0</v>
          </cell>
          <cell r="L72">
            <v>0</v>
          </cell>
          <cell r="M72">
            <v>955168637.37</v>
          </cell>
        </row>
        <row r="73">
          <cell r="D73">
            <v>2500</v>
          </cell>
          <cell r="E73" t="str">
            <v>非流动负债项目</v>
          </cell>
          <cell r="F73">
            <v>0</v>
          </cell>
          <cell r="G73">
            <v>0</v>
          </cell>
          <cell r="H73">
            <v>0</v>
          </cell>
          <cell r="I73">
            <v>0</v>
          </cell>
          <cell r="J73">
            <v>0</v>
          </cell>
          <cell r="K73">
            <v>0</v>
          </cell>
          <cell r="L73">
            <v>0</v>
          </cell>
          <cell r="M73">
            <v>0</v>
          </cell>
        </row>
        <row r="74">
          <cell r="D74">
            <v>2501</v>
          </cell>
          <cell r="E74" t="str">
            <v>长期借款</v>
          </cell>
          <cell r="F74">
            <v>0</v>
          </cell>
          <cell r="G74">
            <v>0</v>
          </cell>
          <cell r="H74">
            <v>0</v>
          </cell>
          <cell r="I74">
            <v>0</v>
          </cell>
          <cell r="J74">
            <v>0</v>
          </cell>
          <cell r="K74">
            <v>0</v>
          </cell>
          <cell r="L74">
            <v>0</v>
          </cell>
          <cell r="M74">
            <v>0</v>
          </cell>
        </row>
        <row r="75">
          <cell r="D75">
            <v>2502</v>
          </cell>
          <cell r="E75" t="str">
            <v>应付债券</v>
          </cell>
          <cell r="F75">
            <v>0</v>
          </cell>
          <cell r="G75">
            <v>0</v>
          </cell>
          <cell r="H75">
            <v>0</v>
          </cell>
          <cell r="I75">
            <v>0</v>
          </cell>
          <cell r="J75">
            <v>0</v>
          </cell>
          <cell r="K75">
            <v>0</v>
          </cell>
          <cell r="L75">
            <v>0</v>
          </cell>
          <cell r="M75">
            <v>0</v>
          </cell>
        </row>
        <row r="76">
          <cell r="D76">
            <v>2701</v>
          </cell>
          <cell r="E76" t="str">
            <v>长期应付款</v>
          </cell>
          <cell r="F76">
            <v>0</v>
          </cell>
          <cell r="G76">
            <v>0</v>
          </cell>
          <cell r="H76">
            <v>0</v>
          </cell>
          <cell r="I76">
            <v>0</v>
          </cell>
          <cell r="J76">
            <v>0</v>
          </cell>
          <cell r="K76">
            <v>0</v>
          </cell>
          <cell r="L76">
            <v>0</v>
          </cell>
          <cell r="M76">
            <v>0</v>
          </cell>
        </row>
        <row r="77">
          <cell r="D77">
            <v>2711</v>
          </cell>
          <cell r="E77" t="str">
            <v>专项应付款</v>
          </cell>
          <cell r="F77">
            <v>5736495</v>
          </cell>
          <cell r="G77">
            <v>3000000</v>
          </cell>
          <cell r="H77">
            <v>0</v>
          </cell>
          <cell r="I77">
            <v>2736495</v>
          </cell>
          <cell r="J77">
            <v>0</v>
          </cell>
          <cell r="K77">
            <v>0</v>
          </cell>
          <cell r="L77">
            <v>0</v>
          </cell>
          <cell r="M77">
            <v>0</v>
          </cell>
        </row>
        <row r="78">
          <cell r="D78">
            <v>2801</v>
          </cell>
          <cell r="E78" t="str">
            <v>预计负债</v>
          </cell>
          <cell r="F78">
            <v>29243726.359999999</v>
          </cell>
          <cell r="G78">
            <v>17460420.5</v>
          </cell>
          <cell r="H78">
            <v>1126384.1599999999</v>
          </cell>
          <cell r="I78">
            <v>12909690.02</v>
          </cell>
          <cell r="J78">
            <v>16042980.51</v>
          </cell>
          <cell r="K78">
            <v>0</v>
          </cell>
          <cell r="L78">
            <v>0</v>
          </cell>
          <cell r="M78">
            <v>16042980.51</v>
          </cell>
        </row>
        <row r="79">
          <cell r="D79">
            <v>2901</v>
          </cell>
          <cell r="E79" t="str">
            <v>递延所得税负债</v>
          </cell>
          <cell r="F79">
            <v>0</v>
          </cell>
          <cell r="G79">
            <v>0</v>
          </cell>
          <cell r="H79">
            <v>0</v>
          </cell>
          <cell r="I79">
            <v>0</v>
          </cell>
          <cell r="J79">
            <v>0</v>
          </cell>
          <cell r="K79">
            <v>0</v>
          </cell>
          <cell r="L79">
            <v>0</v>
          </cell>
          <cell r="M79">
            <v>0</v>
          </cell>
        </row>
        <row r="80">
          <cell r="D80">
            <v>2996</v>
          </cell>
          <cell r="E80" t="str">
            <v>其他非流动负债</v>
          </cell>
          <cell r="F80">
            <v>12223535.720000001</v>
          </cell>
          <cell r="G80">
            <v>0</v>
          </cell>
          <cell r="H80">
            <v>6980000</v>
          </cell>
          <cell r="I80">
            <v>19203535.719999999</v>
          </cell>
          <cell r="J80">
            <v>17448250</v>
          </cell>
          <cell r="K80">
            <v>0</v>
          </cell>
          <cell r="L80">
            <v>0</v>
          </cell>
          <cell r="M80">
            <v>17448250</v>
          </cell>
        </row>
        <row r="81">
          <cell r="D81">
            <v>2998</v>
          </cell>
          <cell r="E81" t="str">
            <v>非流动负债</v>
          </cell>
          <cell r="F81">
            <v>47203757.079999998</v>
          </cell>
          <cell r="G81">
            <v>20460420.5</v>
          </cell>
          <cell r="H81">
            <v>8106384.1600000001</v>
          </cell>
          <cell r="I81">
            <v>34849720.740000002</v>
          </cell>
          <cell r="J81">
            <v>33491230.510000002</v>
          </cell>
          <cell r="K81">
            <v>0</v>
          </cell>
          <cell r="L81">
            <v>0</v>
          </cell>
          <cell r="M81">
            <v>33491230.510000002</v>
          </cell>
        </row>
        <row r="82">
          <cell r="D82">
            <v>2999</v>
          </cell>
          <cell r="E82" t="str">
            <v>负债</v>
          </cell>
          <cell r="F82">
            <v>1672058864.78</v>
          </cell>
          <cell r="G82">
            <v>194774631.91999999</v>
          </cell>
          <cell r="H82">
            <v>210511104.84</v>
          </cell>
          <cell r="I82">
            <v>1687795337.7</v>
          </cell>
          <cell r="J82">
            <v>988659867.88</v>
          </cell>
          <cell r="K82">
            <v>0</v>
          </cell>
          <cell r="L82">
            <v>0</v>
          </cell>
          <cell r="M82">
            <v>988659867.88</v>
          </cell>
        </row>
        <row r="83">
          <cell r="D83">
            <v>4000</v>
          </cell>
          <cell r="E83" t="str">
            <v>所有者权益项目</v>
          </cell>
          <cell r="F83">
            <v>0</v>
          </cell>
          <cell r="G83">
            <v>0</v>
          </cell>
          <cell r="H83">
            <v>0</v>
          </cell>
          <cell r="I83">
            <v>0</v>
          </cell>
          <cell r="J83">
            <v>0</v>
          </cell>
          <cell r="K83">
            <v>0</v>
          </cell>
          <cell r="L83">
            <v>0</v>
          </cell>
          <cell r="M83">
            <v>0</v>
          </cell>
        </row>
        <row r="84">
          <cell r="D84">
            <v>4001</v>
          </cell>
          <cell r="E84" t="str">
            <v>实收资本</v>
          </cell>
          <cell r="F84">
            <v>400000000</v>
          </cell>
          <cell r="G84">
            <v>0</v>
          </cell>
          <cell r="H84">
            <v>0</v>
          </cell>
          <cell r="I84">
            <v>400000000</v>
          </cell>
          <cell r="J84">
            <v>400000000</v>
          </cell>
          <cell r="K84">
            <v>0</v>
          </cell>
          <cell r="L84">
            <v>0</v>
          </cell>
          <cell r="M84">
            <v>400000000</v>
          </cell>
        </row>
        <row r="85">
          <cell r="D85">
            <v>4002</v>
          </cell>
          <cell r="E85" t="str">
            <v>资本公积</v>
          </cell>
          <cell r="F85">
            <v>2340093315.98</v>
          </cell>
          <cell r="G85">
            <v>0</v>
          </cell>
          <cell r="H85">
            <v>0</v>
          </cell>
          <cell r="I85">
            <v>2340093315.98</v>
          </cell>
          <cell r="J85">
            <v>2340093315.98</v>
          </cell>
          <cell r="K85">
            <v>0</v>
          </cell>
          <cell r="L85">
            <v>0</v>
          </cell>
          <cell r="M85">
            <v>2340093315.98</v>
          </cell>
        </row>
        <row r="86">
          <cell r="D86">
            <v>4201</v>
          </cell>
          <cell r="E86" t="str">
            <v>库存股</v>
          </cell>
          <cell r="F86">
            <v>0</v>
          </cell>
          <cell r="G86">
            <v>0</v>
          </cell>
          <cell r="H86">
            <v>0</v>
          </cell>
          <cell r="I86">
            <v>0</v>
          </cell>
          <cell r="J86">
            <v>0</v>
          </cell>
          <cell r="K86">
            <v>0</v>
          </cell>
          <cell r="L86">
            <v>0</v>
          </cell>
          <cell r="M86">
            <v>0</v>
          </cell>
        </row>
        <row r="87">
          <cell r="D87">
            <v>4301</v>
          </cell>
          <cell r="E87" t="str">
            <v>专项储备</v>
          </cell>
          <cell r="F87">
            <v>0</v>
          </cell>
          <cell r="G87">
            <v>0</v>
          </cell>
          <cell r="H87">
            <v>0</v>
          </cell>
          <cell r="I87">
            <v>0</v>
          </cell>
          <cell r="J87">
            <v>0</v>
          </cell>
          <cell r="K87">
            <v>0</v>
          </cell>
          <cell r="L87">
            <v>0</v>
          </cell>
          <cell r="M87">
            <v>0</v>
          </cell>
        </row>
        <row r="88">
          <cell r="D88">
            <v>4101</v>
          </cell>
          <cell r="E88" t="str">
            <v>盈余公积</v>
          </cell>
          <cell r="F88">
            <v>103600472.98999999</v>
          </cell>
          <cell r="G88">
            <v>0</v>
          </cell>
          <cell r="H88">
            <v>7737162.7999999998</v>
          </cell>
          <cell r="I88">
            <v>111337635.79000001</v>
          </cell>
          <cell r="J88">
            <v>81583400.599999994</v>
          </cell>
          <cell r="K88">
            <v>0</v>
          </cell>
          <cell r="L88">
            <v>0</v>
          </cell>
          <cell r="M88">
            <v>81583400.599999994</v>
          </cell>
        </row>
        <row r="89">
          <cell r="D89">
            <v>4102</v>
          </cell>
          <cell r="E89" t="str">
            <v>一般风险准备</v>
          </cell>
          <cell r="F89">
            <v>0</v>
          </cell>
          <cell r="G89">
            <v>0</v>
          </cell>
          <cell r="H89">
            <v>0</v>
          </cell>
          <cell r="I89">
            <v>0</v>
          </cell>
          <cell r="J89">
            <v>0</v>
          </cell>
          <cell r="K89">
            <v>0</v>
          </cell>
          <cell r="L89">
            <v>0</v>
          </cell>
          <cell r="M89">
            <v>0</v>
          </cell>
        </row>
        <row r="90">
          <cell r="D90">
            <v>4200</v>
          </cell>
          <cell r="E90" t="str">
            <v>未分配利润</v>
          </cell>
          <cell r="F90">
            <v>444768185.35000002</v>
          </cell>
          <cell r="G90">
            <v>59243674.590000004</v>
          </cell>
          <cell r="H90">
            <v>128878139.77</v>
          </cell>
          <cell r="I90">
            <v>514402650.52999997</v>
          </cell>
          <cell r="J90">
            <v>530614533.82999998</v>
          </cell>
          <cell r="K90">
            <v>0</v>
          </cell>
          <cell r="L90">
            <v>0</v>
          </cell>
          <cell r="M90">
            <v>530614533.82999998</v>
          </cell>
        </row>
        <row r="91">
          <cell r="D91">
            <v>4210</v>
          </cell>
          <cell r="E91" t="str">
            <v>外币报表折算差额</v>
          </cell>
          <cell r="F91">
            <v>0</v>
          </cell>
          <cell r="G91">
            <v>0</v>
          </cell>
          <cell r="H91">
            <v>0</v>
          </cell>
          <cell r="I91">
            <v>0</v>
          </cell>
          <cell r="J91">
            <v>0</v>
          </cell>
          <cell r="K91">
            <v>0</v>
          </cell>
          <cell r="L91">
            <v>0</v>
          </cell>
          <cell r="M91">
            <v>0</v>
          </cell>
        </row>
        <row r="92">
          <cell r="D92">
            <v>4298</v>
          </cell>
          <cell r="E92" t="str">
            <v>归属于母公司所有者权益</v>
          </cell>
          <cell r="F92">
            <v>3288461974.3200002</v>
          </cell>
          <cell r="G92">
            <v>59243674.590000004</v>
          </cell>
          <cell r="H92">
            <v>136615302.56999999</v>
          </cell>
          <cell r="I92">
            <v>3365833602.3000002</v>
          </cell>
          <cell r="J92">
            <v>3352291250.4099998</v>
          </cell>
          <cell r="K92">
            <v>0</v>
          </cell>
          <cell r="L92">
            <v>0</v>
          </cell>
          <cell r="M92">
            <v>3352291250.4099998</v>
          </cell>
        </row>
        <row r="93">
          <cell r="D93">
            <v>4398</v>
          </cell>
          <cell r="E93" t="str">
            <v>少数股东权益</v>
          </cell>
          <cell r="F93">
            <v>0</v>
          </cell>
          <cell r="G93">
            <v>0</v>
          </cell>
          <cell r="H93">
            <v>0</v>
          </cell>
          <cell r="I93">
            <v>0</v>
          </cell>
          <cell r="J93">
            <v>0</v>
          </cell>
          <cell r="K93">
            <v>0</v>
          </cell>
          <cell r="L93">
            <v>0</v>
          </cell>
          <cell r="M93">
            <v>0</v>
          </cell>
        </row>
        <row r="94">
          <cell r="D94">
            <v>4999</v>
          </cell>
          <cell r="E94" t="str">
            <v>所有者权益</v>
          </cell>
          <cell r="F94">
            <v>3288461974.3200002</v>
          </cell>
          <cell r="G94">
            <v>59243674.590000004</v>
          </cell>
          <cell r="H94">
            <v>136615302.56999999</v>
          </cell>
          <cell r="I94">
            <v>3365833602.3000002</v>
          </cell>
          <cell r="J94">
            <v>3352291250.4099998</v>
          </cell>
          <cell r="K94">
            <v>0</v>
          </cell>
          <cell r="L94">
            <v>0</v>
          </cell>
          <cell r="M94">
            <v>3352291250.4099998</v>
          </cell>
        </row>
        <row r="95">
          <cell r="D95">
            <v>5000</v>
          </cell>
          <cell r="E95" t="str">
            <v>负债和所有者权益</v>
          </cell>
          <cell r="F95">
            <v>4960520839.1000004</v>
          </cell>
          <cell r="G95">
            <v>254018306.50999999</v>
          </cell>
          <cell r="H95">
            <v>347126407.41000003</v>
          </cell>
          <cell r="I95">
            <v>5053628940</v>
          </cell>
          <cell r="J95">
            <v>4340951118.29</v>
          </cell>
          <cell r="K95">
            <v>0</v>
          </cell>
          <cell r="L95">
            <v>0</v>
          </cell>
          <cell r="M95">
            <v>4340951118.29</v>
          </cell>
        </row>
        <row r="96">
          <cell r="D96">
            <v>6</v>
          </cell>
          <cell r="E96" t="str">
            <v>利润表</v>
          </cell>
          <cell r="F96">
            <v>0</v>
          </cell>
          <cell r="G96">
            <v>0</v>
          </cell>
          <cell r="H96">
            <v>0</v>
          </cell>
          <cell r="I96">
            <v>0</v>
          </cell>
          <cell r="J96">
            <v>0</v>
          </cell>
          <cell r="K96">
            <v>0</v>
          </cell>
          <cell r="L96">
            <v>0</v>
          </cell>
          <cell r="M96">
            <v>0</v>
          </cell>
        </row>
        <row r="97">
          <cell r="D97">
            <v>6098</v>
          </cell>
          <cell r="E97" t="str">
            <v>营业总收入</v>
          </cell>
          <cell r="F97">
            <v>2016283544.3499999</v>
          </cell>
          <cell r="G97">
            <v>0</v>
          </cell>
          <cell r="H97">
            <v>0</v>
          </cell>
          <cell r="I97">
            <v>2016283544.3499999</v>
          </cell>
          <cell r="J97">
            <v>2348621041.3899999</v>
          </cell>
          <cell r="K97">
            <v>0</v>
          </cell>
          <cell r="L97">
            <v>0</v>
          </cell>
          <cell r="M97">
            <v>2348621041.3899999</v>
          </cell>
        </row>
        <row r="98">
          <cell r="D98">
            <v>6001</v>
          </cell>
          <cell r="E98" t="str">
            <v>营业收入</v>
          </cell>
          <cell r="F98">
            <v>2016283544.3499999</v>
          </cell>
          <cell r="G98">
            <v>0</v>
          </cell>
          <cell r="H98">
            <v>0</v>
          </cell>
          <cell r="I98">
            <v>2016283544.3499999</v>
          </cell>
          <cell r="J98">
            <v>2348621041.3899999</v>
          </cell>
          <cell r="K98">
            <v>0</v>
          </cell>
          <cell r="L98">
            <v>0</v>
          </cell>
          <cell r="M98">
            <v>2348621041.3899999</v>
          </cell>
        </row>
        <row r="99">
          <cell r="D99">
            <v>6011</v>
          </cell>
          <cell r="E99" t="str">
            <v>利息收入</v>
          </cell>
          <cell r="F99">
            <v>0</v>
          </cell>
          <cell r="G99">
            <v>0</v>
          </cell>
          <cell r="H99">
            <v>0</v>
          </cell>
          <cell r="I99">
            <v>0</v>
          </cell>
          <cell r="J99">
            <v>0</v>
          </cell>
          <cell r="K99">
            <v>0</v>
          </cell>
          <cell r="L99">
            <v>0</v>
          </cell>
          <cell r="M99">
            <v>0</v>
          </cell>
        </row>
        <row r="100">
          <cell r="D100">
            <v>6030</v>
          </cell>
          <cell r="E100" t="str">
            <v>已赚保费</v>
          </cell>
          <cell r="F100">
            <v>0</v>
          </cell>
          <cell r="G100">
            <v>0</v>
          </cell>
          <cell r="H100">
            <v>0</v>
          </cell>
          <cell r="I100">
            <v>0</v>
          </cell>
          <cell r="J100">
            <v>0</v>
          </cell>
          <cell r="K100">
            <v>0</v>
          </cell>
          <cell r="L100">
            <v>0</v>
          </cell>
          <cell r="M100">
            <v>0</v>
          </cell>
        </row>
        <row r="101">
          <cell r="D101">
            <v>6021</v>
          </cell>
          <cell r="E101" t="str">
            <v>手续费及佣金收入</v>
          </cell>
          <cell r="F101">
            <v>0</v>
          </cell>
          <cell r="G101">
            <v>0</v>
          </cell>
          <cell r="H101">
            <v>0</v>
          </cell>
          <cell r="I101">
            <v>0</v>
          </cell>
          <cell r="J101">
            <v>0</v>
          </cell>
          <cell r="K101">
            <v>0</v>
          </cell>
          <cell r="L101">
            <v>0</v>
          </cell>
          <cell r="M101">
            <v>0</v>
          </cell>
        </row>
        <row r="102">
          <cell r="D102">
            <v>6598</v>
          </cell>
          <cell r="E102" t="str">
            <v>营业总成本</v>
          </cell>
          <cell r="F102">
            <v>1775505867.23</v>
          </cell>
          <cell r="G102">
            <v>52412032.299999997</v>
          </cell>
          <cell r="H102">
            <v>30594169.579999998</v>
          </cell>
          <cell r="I102">
            <v>1797323729.95</v>
          </cell>
          <cell r="J102">
            <v>2008462605.75</v>
          </cell>
          <cell r="K102">
            <v>0</v>
          </cell>
          <cell r="L102">
            <v>0</v>
          </cell>
          <cell r="M102">
            <v>2008462605.75</v>
          </cell>
        </row>
        <row r="103">
          <cell r="D103">
            <v>6401</v>
          </cell>
          <cell r="E103" t="str">
            <v>营业成本</v>
          </cell>
          <cell r="F103">
            <v>1543029658.23</v>
          </cell>
          <cell r="G103">
            <v>44683441.539999999</v>
          </cell>
          <cell r="H103">
            <v>3479765.09</v>
          </cell>
          <cell r="I103">
            <v>1584233334.6800001</v>
          </cell>
          <cell r="J103">
            <v>1818004850.1199999</v>
          </cell>
          <cell r="K103">
            <v>0</v>
          </cell>
          <cell r="L103">
            <v>0</v>
          </cell>
          <cell r="M103">
            <v>1818004850.1199999</v>
          </cell>
        </row>
        <row r="104">
          <cell r="D104">
            <v>6411</v>
          </cell>
          <cell r="E104" t="str">
            <v>利息支出</v>
          </cell>
          <cell r="F104">
            <v>0</v>
          </cell>
          <cell r="G104">
            <v>0</v>
          </cell>
          <cell r="H104">
            <v>0</v>
          </cell>
          <cell r="I104">
            <v>0</v>
          </cell>
          <cell r="J104">
            <v>0</v>
          </cell>
          <cell r="K104">
            <v>0</v>
          </cell>
          <cell r="L104">
            <v>0</v>
          </cell>
          <cell r="M104">
            <v>0</v>
          </cell>
        </row>
        <row r="105">
          <cell r="D105">
            <v>6421</v>
          </cell>
          <cell r="E105" t="str">
            <v>手续费及佣金支出</v>
          </cell>
          <cell r="F105">
            <v>0</v>
          </cell>
          <cell r="G105">
            <v>0</v>
          </cell>
          <cell r="H105">
            <v>0</v>
          </cell>
          <cell r="I105">
            <v>0</v>
          </cell>
          <cell r="J105">
            <v>0</v>
          </cell>
          <cell r="K105">
            <v>0</v>
          </cell>
          <cell r="L105">
            <v>0</v>
          </cell>
          <cell r="M105">
            <v>0</v>
          </cell>
        </row>
        <row r="106">
          <cell r="D106">
            <v>6531</v>
          </cell>
          <cell r="E106" t="str">
            <v>退保金</v>
          </cell>
          <cell r="F106">
            <v>0</v>
          </cell>
          <cell r="G106">
            <v>0</v>
          </cell>
          <cell r="H106">
            <v>0</v>
          </cell>
          <cell r="I106">
            <v>0</v>
          </cell>
          <cell r="J106">
            <v>0</v>
          </cell>
          <cell r="K106">
            <v>0</v>
          </cell>
          <cell r="L106">
            <v>0</v>
          </cell>
          <cell r="M106">
            <v>0</v>
          </cell>
        </row>
        <row r="107">
          <cell r="D107">
            <v>6510</v>
          </cell>
          <cell r="E107" t="str">
            <v>赔付支出净额</v>
          </cell>
          <cell r="F107">
            <v>0</v>
          </cell>
          <cell r="G107">
            <v>0</v>
          </cell>
          <cell r="H107">
            <v>0</v>
          </cell>
          <cell r="I107">
            <v>0</v>
          </cell>
          <cell r="J107">
            <v>0</v>
          </cell>
          <cell r="K107">
            <v>0</v>
          </cell>
          <cell r="L107">
            <v>0</v>
          </cell>
          <cell r="M107">
            <v>0</v>
          </cell>
        </row>
        <row r="108">
          <cell r="D108">
            <v>6505</v>
          </cell>
          <cell r="E108" t="str">
            <v>提取保险合同准备金净额</v>
          </cell>
          <cell r="F108">
            <v>0</v>
          </cell>
          <cell r="G108">
            <v>0</v>
          </cell>
          <cell r="H108">
            <v>0</v>
          </cell>
          <cell r="I108">
            <v>0</v>
          </cell>
          <cell r="J108">
            <v>0</v>
          </cell>
          <cell r="K108">
            <v>0</v>
          </cell>
          <cell r="L108">
            <v>0</v>
          </cell>
          <cell r="M108">
            <v>0</v>
          </cell>
        </row>
        <row r="109">
          <cell r="D109">
            <v>6521</v>
          </cell>
          <cell r="E109" t="str">
            <v>保单红利支出</v>
          </cell>
          <cell r="F109">
            <v>0</v>
          </cell>
          <cell r="G109">
            <v>0</v>
          </cell>
          <cell r="H109">
            <v>0</v>
          </cell>
          <cell r="I109">
            <v>0</v>
          </cell>
          <cell r="J109">
            <v>0</v>
          </cell>
          <cell r="K109">
            <v>0</v>
          </cell>
          <cell r="L109">
            <v>0</v>
          </cell>
          <cell r="M109">
            <v>0</v>
          </cell>
        </row>
        <row r="110">
          <cell r="D110">
            <v>6542</v>
          </cell>
          <cell r="E110" t="str">
            <v>分保费用</v>
          </cell>
          <cell r="F110">
            <v>0</v>
          </cell>
          <cell r="G110">
            <v>0</v>
          </cell>
          <cell r="H110">
            <v>0</v>
          </cell>
          <cell r="I110">
            <v>0</v>
          </cell>
          <cell r="J110">
            <v>0</v>
          </cell>
          <cell r="K110">
            <v>0</v>
          </cell>
          <cell r="L110">
            <v>0</v>
          </cell>
          <cell r="M110">
            <v>0</v>
          </cell>
        </row>
        <row r="111">
          <cell r="D111">
            <v>6600</v>
          </cell>
          <cell r="E111" t="str">
            <v>营业税金及附加</v>
          </cell>
          <cell r="F111">
            <v>8364519.6399999997</v>
          </cell>
          <cell r="G111">
            <v>0</v>
          </cell>
          <cell r="H111">
            <v>0</v>
          </cell>
          <cell r="I111">
            <v>8364519.6399999997</v>
          </cell>
          <cell r="J111">
            <v>13865392.26</v>
          </cell>
          <cell r="K111">
            <v>0</v>
          </cell>
          <cell r="L111">
            <v>0</v>
          </cell>
          <cell r="M111">
            <v>13865392.26</v>
          </cell>
        </row>
        <row r="112">
          <cell r="D112">
            <v>6601</v>
          </cell>
          <cell r="E112" t="str">
            <v>销售费用</v>
          </cell>
          <cell r="F112">
            <v>147780440.72</v>
          </cell>
          <cell r="G112">
            <v>3723595.41</v>
          </cell>
          <cell r="H112">
            <v>7208123.8600000003</v>
          </cell>
          <cell r="I112">
            <v>144295912.27000001</v>
          </cell>
          <cell r="J112">
            <v>120937414.23999999</v>
          </cell>
          <cell r="K112">
            <v>0</v>
          </cell>
          <cell r="L112">
            <v>0</v>
          </cell>
          <cell r="M112">
            <v>120937414.23999999</v>
          </cell>
        </row>
        <row r="113">
          <cell r="D113">
            <v>6602</v>
          </cell>
          <cell r="E113" t="str">
            <v>管理费用</v>
          </cell>
          <cell r="F113">
            <v>179548459.72999999</v>
          </cell>
          <cell r="G113">
            <v>1984000.41</v>
          </cell>
          <cell r="H113">
            <v>45988588.109999999</v>
          </cell>
          <cell r="I113">
            <v>135543872.03</v>
          </cell>
          <cell r="J113">
            <v>102245024.79000001</v>
          </cell>
          <cell r="K113">
            <v>0</v>
          </cell>
          <cell r="L113">
            <v>0</v>
          </cell>
          <cell r="M113">
            <v>102245024.79000001</v>
          </cell>
        </row>
        <row r="114">
          <cell r="D114">
            <v>6603</v>
          </cell>
          <cell r="E114" t="str">
            <v>财务费用</v>
          </cell>
          <cell r="F114">
            <v>-104240602.16</v>
          </cell>
          <cell r="G114">
            <v>15452.82</v>
          </cell>
          <cell r="H114">
            <v>-26082307.48</v>
          </cell>
          <cell r="I114">
            <v>-78142841.859999999</v>
          </cell>
          <cell r="J114">
            <v>-49618908.770000003</v>
          </cell>
          <cell r="K114">
            <v>0</v>
          </cell>
          <cell r="L114">
            <v>0</v>
          </cell>
          <cell r="M114">
            <v>-49618908.770000003</v>
          </cell>
        </row>
        <row r="115">
          <cell r="D115">
            <v>6671</v>
          </cell>
          <cell r="E115" t="str">
            <v>资产减值损失</v>
          </cell>
          <cell r="F115">
            <v>1023391.07</v>
          </cell>
          <cell r="G115">
            <v>2005542.12</v>
          </cell>
          <cell r="H115">
            <v>0</v>
          </cell>
          <cell r="I115">
            <v>3028933.19</v>
          </cell>
          <cell r="J115">
            <v>3028833.11</v>
          </cell>
          <cell r="K115">
            <v>0</v>
          </cell>
          <cell r="L115">
            <v>0</v>
          </cell>
          <cell r="M115">
            <v>3028833.11</v>
          </cell>
        </row>
        <row r="116">
          <cell r="D116">
            <v>6101</v>
          </cell>
          <cell r="E116" t="str">
            <v>公允价值变动收益</v>
          </cell>
          <cell r="F116">
            <v>0</v>
          </cell>
          <cell r="G116">
            <v>0</v>
          </cell>
          <cell r="H116">
            <v>0</v>
          </cell>
          <cell r="I116">
            <v>0</v>
          </cell>
          <cell r="J116">
            <v>0</v>
          </cell>
          <cell r="K116">
            <v>0</v>
          </cell>
          <cell r="L116">
            <v>0</v>
          </cell>
          <cell r="M116">
            <v>0</v>
          </cell>
        </row>
        <row r="117">
          <cell r="D117">
            <v>6111</v>
          </cell>
          <cell r="E117" t="str">
            <v>投资收益</v>
          </cell>
          <cell r="F117">
            <v>14999382.07</v>
          </cell>
          <cell r="G117">
            <v>0</v>
          </cell>
          <cell r="H117">
            <v>98714626.219999999</v>
          </cell>
          <cell r="I117">
            <v>113714008.29000001</v>
          </cell>
          <cell r="J117">
            <v>130080000</v>
          </cell>
          <cell r="K117">
            <v>0</v>
          </cell>
          <cell r="L117">
            <v>0</v>
          </cell>
          <cell r="M117">
            <v>130080000</v>
          </cell>
        </row>
        <row r="118">
          <cell r="D118">
            <v>6111.01</v>
          </cell>
          <cell r="E118" t="str">
            <v>对联营企业和合营企业的投资收益</v>
          </cell>
          <cell r="F118">
            <v>0</v>
          </cell>
          <cell r="G118">
            <v>0</v>
          </cell>
          <cell r="H118">
            <v>0</v>
          </cell>
          <cell r="I118">
            <v>0</v>
          </cell>
          <cell r="J118">
            <v>0</v>
          </cell>
          <cell r="K118">
            <v>0</v>
          </cell>
          <cell r="L118">
            <v>0</v>
          </cell>
          <cell r="M118">
            <v>0</v>
          </cell>
        </row>
        <row r="119">
          <cell r="D119">
            <v>6161</v>
          </cell>
          <cell r="E119" t="str">
            <v>汇兑收益</v>
          </cell>
          <cell r="F119">
            <v>0</v>
          </cell>
          <cell r="G119">
            <v>0</v>
          </cell>
          <cell r="H119">
            <v>0</v>
          </cell>
          <cell r="I119">
            <v>0</v>
          </cell>
          <cell r="J119">
            <v>0</v>
          </cell>
          <cell r="K119">
            <v>0</v>
          </cell>
          <cell r="L119">
            <v>0</v>
          </cell>
          <cell r="M119">
            <v>0</v>
          </cell>
        </row>
        <row r="120">
          <cell r="D120">
            <v>6689</v>
          </cell>
          <cell r="E120" t="str">
            <v>营业利润</v>
          </cell>
          <cell r="F120">
            <v>255777059.19</v>
          </cell>
          <cell r="G120">
            <v>52412032.299999997</v>
          </cell>
          <cell r="H120">
            <v>129308795.8</v>
          </cell>
          <cell r="I120">
            <v>332673822.69</v>
          </cell>
          <cell r="J120">
            <v>470238435.63999999</v>
          </cell>
          <cell r="K120">
            <v>0</v>
          </cell>
          <cell r="L120">
            <v>0</v>
          </cell>
          <cell r="M120">
            <v>470238435.63999999</v>
          </cell>
        </row>
        <row r="121">
          <cell r="D121">
            <v>6710</v>
          </cell>
          <cell r="E121" t="str">
            <v>营业外收入</v>
          </cell>
          <cell r="F121">
            <v>9325799.5899999999</v>
          </cell>
          <cell r="G121">
            <v>3980000</v>
          </cell>
          <cell r="H121">
            <v>0</v>
          </cell>
          <cell r="I121">
            <v>5345799.59</v>
          </cell>
          <cell r="J121">
            <v>5949716.1399999997</v>
          </cell>
          <cell r="K121">
            <v>0</v>
          </cell>
          <cell r="L121">
            <v>0</v>
          </cell>
          <cell r="M121">
            <v>5949716.1399999997</v>
          </cell>
        </row>
        <row r="122">
          <cell r="D122">
            <v>6711</v>
          </cell>
          <cell r="E122" t="str">
            <v>营业外支出</v>
          </cell>
          <cell r="F122">
            <v>6431368.4699999997</v>
          </cell>
          <cell r="G122">
            <v>2606826.5</v>
          </cell>
          <cell r="H122">
            <v>299662.94</v>
          </cell>
          <cell r="I122">
            <v>8738532.0299999993</v>
          </cell>
          <cell r="J122">
            <v>6992364.7000000002</v>
          </cell>
          <cell r="K122">
            <v>0</v>
          </cell>
          <cell r="L122">
            <v>0</v>
          </cell>
          <cell r="M122">
            <v>6992364.7000000002</v>
          </cell>
        </row>
        <row r="123">
          <cell r="D123">
            <v>6711.01</v>
          </cell>
          <cell r="E123" t="str">
            <v>非流动资产处置损失</v>
          </cell>
          <cell r="F123">
            <v>0</v>
          </cell>
          <cell r="G123">
            <v>0</v>
          </cell>
          <cell r="H123">
            <v>0</v>
          </cell>
          <cell r="I123">
            <v>0</v>
          </cell>
          <cell r="J123">
            <v>0</v>
          </cell>
          <cell r="K123">
            <v>0</v>
          </cell>
          <cell r="L123">
            <v>0</v>
          </cell>
          <cell r="M123">
            <v>0</v>
          </cell>
        </row>
        <row r="124">
          <cell r="D124">
            <v>6788</v>
          </cell>
          <cell r="E124" t="str">
            <v>利润总额</v>
          </cell>
          <cell r="F124">
            <v>258671490.31</v>
          </cell>
          <cell r="G124">
            <v>58998858.799999997</v>
          </cell>
          <cell r="H124">
            <v>129608458.73999999</v>
          </cell>
          <cell r="I124">
            <v>329281090.25</v>
          </cell>
          <cell r="J124">
            <v>469195787.07999998</v>
          </cell>
          <cell r="K124">
            <v>0</v>
          </cell>
          <cell r="L124">
            <v>0</v>
          </cell>
          <cell r="M124">
            <v>469195787.07999998</v>
          </cell>
        </row>
        <row r="125">
          <cell r="D125">
            <v>6791</v>
          </cell>
          <cell r="E125" t="str">
            <v>所得税费用</v>
          </cell>
          <cell r="F125">
            <v>38500766.399999999</v>
          </cell>
          <cell r="G125">
            <v>-7492347.0099999998</v>
          </cell>
          <cell r="H125">
            <v>-730318.97</v>
          </cell>
          <cell r="I125">
            <v>31738738.359999999</v>
          </cell>
          <cell r="J125">
            <v>46427969.969999999</v>
          </cell>
          <cell r="K125">
            <v>0</v>
          </cell>
          <cell r="L125">
            <v>0</v>
          </cell>
          <cell r="M125">
            <v>46427969.969999999</v>
          </cell>
        </row>
        <row r="126">
          <cell r="D126">
            <v>6799</v>
          </cell>
          <cell r="E126" t="str">
            <v>净利润</v>
          </cell>
          <cell r="F126">
            <v>220170723.91</v>
          </cell>
          <cell r="G126">
            <v>51506511.789999999</v>
          </cell>
          <cell r="H126">
            <v>128878139.77</v>
          </cell>
          <cell r="I126">
            <v>297542351.88999999</v>
          </cell>
          <cell r="J126">
            <v>422767817.11000001</v>
          </cell>
          <cell r="K126">
            <v>0</v>
          </cell>
          <cell r="L126">
            <v>0</v>
          </cell>
          <cell r="M126">
            <v>422767817.11000001</v>
          </cell>
        </row>
        <row r="127">
          <cell r="D127">
            <v>6805</v>
          </cell>
          <cell r="E127" t="str">
            <v>被合并方在合并前实现的净利润</v>
          </cell>
          <cell r="F127">
            <v>0</v>
          </cell>
          <cell r="G127">
            <v>0</v>
          </cell>
          <cell r="H127">
            <v>0</v>
          </cell>
          <cell r="I127">
            <v>0</v>
          </cell>
          <cell r="J127">
            <v>0</v>
          </cell>
          <cell r="K127">
            <v>0</v>
          </cell>
          <cell r="L127">
            <v>0</v>
          </cell>
          <cell r="M127">
            <v>0</v>
          </cell>
        </row>
        <row r="128">
          <cell r="D128">
            <v>6811</v>
          </cell>
          <cell r="E128" t="str">
            <v>归属于母公司所有者的净利润</v>
          </cell>
          <cell r="F128">
            <v>220170723.91</v>
          </cell>
          <cell r="G128">
            <v>51506511.789999999</v>
          </cell>
          <cell r="H128">
            <v>128878139.77</v>
          </cell>
          <cell r="I128">
            <v>297542351.88999999</v>
          </cell>
          <cell r="J128">
            <v>422767817.11000001</v>
          </cell>
          <cell r="K128">
            <v>0</v>
          </cell>
          <cell r="L128">
            <v>0</v>
          </cell>
          <cell r="M128">
            <v>422767817.11000001</v>
          </cell>
        </row>
        <row r="129">
          <cell r="D129">
            <v>6812</v>
          </cell>
          <cell r="E129" t="str">
            <v>少数股东损益</v>
          </cell>
          <cell r="F129">
            <v>0</v>
          </cell>
          <cell r="G129">
            <v>0</v>
          </cell>
          <cell r="H129">
            <v>0</v>
          </cell>
          <cell r="I129">
            <v>0</v>
          </cell>
          <cell r="J129">
            <v>0</v>
          </cell>
          <cell r="K129">
            <v>0</v>
          </cell>
          <cell r="L129">
            <v>0</v>
          </cell>
          <cell r="M129">
            <v>0</v>
          </cell>
        </row>
        <row r="130">
          <cell r="D130">
            <v>6820</v>
          </cell>
          <cell r="E130" t="str">
            <v>每股收益</v>
          </cell>
          <cell r="F130">
            <v>0</v>
          </cell>
          <cell r="G130">
            <v>0</v>
          </cell>
          <cell r="H130">
            <v>0</v>
          </cell>
          <cell r="I130">
            <v>0</v>
          </cell>
          <cell r="J130">
            <v>0</v>
          </cell>
          <cell r="K130">
            <v>0</v>
          </cell>
          <cell r="L130">
            <v>0</v>
          </cell>
          <cell r="M130">
            <v>0</v>
          </cell>
        </row>
        <row r="131">
          <cell r="D131">
            <v>6821</v>
          </cell>
          <cell r="E131" t="str">
            <v>基本每股收益</v>
          </cell>
          <cell r="F131">
            <v>0</v>
          </cell>
          <cell r="G131">
            <v>0</v>
          </cell>
          <cell r="H131">
            <v>0</v>
          </cell>
          <cell r="I131">
            <v>0</v>
          </cell>
          <cell r="J131">
            <v>0</v>
          </cell>
          <cell r="K131">
            <v>0</v>
          </cell>
          <cell r="L131">
            <v>0</v>
          </cell>
          <cell r="M131">
            <v>0</v>
          </cell>
        </row>
        <row r="132">
          <cell r="D132">
            <v>6822</v>
          </cell>
          <cell r="E132" t="str">
            <v>稀释每股收益</v>
          </cell>
          <cell r="F132">
            <v>0</v>
          </cell>
          <cell r="G132">
            <v>0</v>
          </cell>
          <cell r="H132">
            <v>0</v>
          </cell>
          <cell r="I132">
            <v>0</v>
          </cell>
          <cell r="J132">
            <v>0</v>
          </cell>
          <cell r="K132">
            <v>0</v>
          </cell>
          <cell r="L132">
            <v>0</v>
          </cell>
          <cell r="M132">
            <v>0</v>
          </cell>
        </row>
        <row r="133">
          <cell r="D133">
            <v>6829</v>
          </cell>
          <cell r="E133" t="str">
            <v>其他综合收益</v>
          </cell>
          <cell r="F133">
            <v>0</v>
          </cell>
          <cell r="G133">
            <v>0</v>
          </cell>
          <cell r="H133">
            <v>0</v>
          </cell>
          <cell r="I133">
            <v>0</v>
          </cell>
          <cell r="J133">
            <v>0</v>
          </cell>
          <cell r="K133">
            <v>0</v>
          </cell>
          <cell r="L133">
            <v>0</v>
          </cell>
          <cell r="M133">
            <v>0</v>
          </cell>
        </row>
        <row r="134">
          <cell r="D134">
            <v>6839</v>
          </cell>
          <cell r="E134" t="str">
            <v>综合收益总额</v>
          </cell>
          <cell r="F134">
            <v>220170723.91</v>
          </cell>
          <cell r="G134">
            <v>51506511.789999999</v>
          </cell>
          <cell r="H134">
            <v>128878139.77</v>
          </cell>
          <cell r="I134">
            <v>297542351.88999999</v>
          </cell>
          <cell r="J134">
            <v>422767817.11000001</v>
          </cell>
          <cell r="K134">
            <v>0</v>
          </cell>
          <cell r="L134">
            <v>0</v>
          </cell>
          <cell r="M134">
            <v>422767817.11000001</v>
          </cell>
        </row>
        <row r="135">
          <cell r="D135">
            <v>6841</v>
          </cell>
          <cell r="E135" t="str">
            <v>归属于母公司所有者的综合收益总额</v>
          </cell>
          <cell r="F135">
            <v>220170723.91</v>
          </cell>
          <cell r="G135">
            <v>51506511.789999999</v>
          </cell>
          <cell r="H135">
            <v>128878139.77</v>
          </cell>
          <cell r="I135">
            <v>297542351.88999999</v>
          </cell>
          <cell r="J135">
            <v>422767817.11000001</v>
          </cell>
          <cell r="K135">
            <v>0</v>
          </cell>
          <cell r="L135">
            <v>0</v>
          </cell>
          <cell r="M135">
            <v>422767817.11000001</v>
          </cell>
        </row>
        <row r="136">
          <cell r="D136">
            <v>6842</v>
          </cell>
          <cell r="E136" t="str">
            <v>归属于少数股东的综合收益总额</v>
          </cell>
          <cell r="F136">
            <v>0</v>
          </cell>
          <cell r="G136">
            <v>0</v>
          </cell>
          <cell r="H136">
            <v>0</v>
          </cell>
          <cell r="I136">
            <v>0</v>
          </cell>
          <cell r="J136">
            <v>0</v>
          </cell>
          <cell r="K136">
            <v>0</v>
          </cell>
          <cell r="L136">
            <v>0</v>
          </cell>
          <cell r="M136">
            <v>0</v>
          </cell>
        </row>
        <row r="137">
          <cell r="D137">
            <v>8</v>
          </cell>
          <cell r="E137" t="str">
            <v>所有者权益变动表</v>
          </cell>
          <cell r="F137">
            <v>0</v>
          </cell>
          <cell r="G137">
            <v>0</v>
          </cell>
          <cell r="H137">
            <v>0</v>
          </cell>
          <cell r="I137">
            <v>0</v>
          </cell>
          <cell r="J137">
            <v>0</v>
          </cell>
          <cell r="K137">
            <v>0</v>
          </cell>
          <cell r="L137">
            <v>0</v>
          </cell>
          <cell r="M137">
            <v>0</v>
          </cell>
        </row>
        <row r="138">
          <cell r="D138">
            <v>8000</v>
          </cell>
          <cell r="E138" t="str">
            <v>所有者权益增减变动</v>
          </cell>
          <cell r="F138">
            <v>0</v>
          </cell>
          <cell r="G138">
            <v>0</v>
          </cell>
          <cell r="H138">
            <v>0</v>
          </cell>
          <cell r="I138">
            <v>0</v>
          </cell>
          <cell r="J138">
            <v>0</v>
          </cell>
          <cell r="K138">
            <v>0</v>
          </cell>
          <cell r="L138">
            <v>0</v>
          </cell>
          <cell r="M138">
            <v>0</v>
          </cell>
        </row>
        <row r="139">
          <cell r="D139">
            <v>8001</v>
          </cell>
          <cell r="E139" t="str">
            <v>所有者权益_上年年末余额</v>
          </cell>
          <cell r="F139">
            <v>3352291250.4099998</v>
          </cell>
          <cell r="G139">
            <v>0</v>
          </cell>
          <cell r="H139">
            <v>0</v>
          </cell>
          <cell r="I139">
            <v>3352291250.4099998</v>
          </cell>
          <cell r="J139">
            <v>1041945785.25</v>
          </cell>
          <cell r="K139">
            <v>0</v>
          </cell>
          <cell r="L139">
            <v>0</v>
          </cell>
          <cell r="M139">
            <v>1041945785.25</v>
          </cell>
        </row>
        <row r="140">
          <cell r="D140">
            <v>8002</v>
          </cell>
          <cell r="E140" t="str">
            <v>所有者权益_会计政策变更调整上年年末余额</v>
          </cell>
          <cell r="F140">
            <v>0</v>
          </cell>
          <cell r="G140">
            <v>0</v>
          </cell>
          <cell r="H140">
            <v>0</v>
          </cell>
          <cell r="I140">
            <v>0</v>
          </cell>
          <cell r="J140">
            <v>0</v>
          </cell>
          <cell r="K140">
            <v>0</v>
          </cell>
          <cell r="L140">
            <v>0</v>
          </cell>
          <cell r="M140">
            <v>0</v>
          </cell>
        </row>
        <row r="141">
          <cell r="D141">
            <v>8003</v>
          </cell>
          <cell r="E141" t="str">
            <v>所有者权益_前期差错更正调整上年年末余额</v>
          </cell>
          <cell r="F141">
            <v>0</v>
          </cell>
          <cell r="G141">
            <v>0</v>
          </cell>
          <cell r="H141">
            <v>0</v>
          </cell>
          <cell r="I141">
            <v>0</v>
          </cell>
          <cell r="J141">
            <v>0</v>
          </cell>
          <cell r="K141">
            <v>0</v>
          </cell>
          <cell r="L141">
            <v>0</v>
          </cell>
          <cell r="M141">
            <v>0</v>
          </cell>
        </row>
        <row r="142">
          <cell r="D142">
            <v>8009</v>
          </cell>
          <cell r="E142" t="str">
            <v>所有者权益_其他原因调整上年年末余额</v>
          </cell>
          <cell r="F142">
            <v>0</v>
          </cell>
          <cell r="G142">
            <v>0</v>
          </cell>
          <cell r="H142">
            <v>0</v>
          </cell>
          <cell r="I142">
            <v>0</v>
          </cell>
          <cell r="J142">
            <v>0</v>
          </cell>
          <cell r="K142">
            <v>0</v>
          </cell>
          <cell r="L142">
            <v>0</v>
          </cell>
          <cell r="M142">
            <v>0</v>
          </cell>
        </row>
        <row r="143">
          <cell r="D143">
            <v>8010</v>
          </cell>
          <cell r="E143" t="str">
            <v>所有者权益_本年年初余额</v>
          </cell>
          <cell r="F143">
            <v>3352291250.4099998</v>
          </cell>
          <cell r="G143">
            <v>0</v>
          </cell>
          <cell r="H143">
            <v>0</v>
          </cell>
          <cell r="I143">
            <v>3352291250.4099998</v>
          </cell>
          <cell r="J143">
            <v>1041945785.25</v>
          </cell>
          <cell r="K143">
            <v>0</v>
          </cell>
          <cell r="L143">
            <v>0</v>
          </cell>
          <cell r="M143">
            <v>1041945785.25</v>
          </cell>
        </row>
        <row r="144">
          <cell r="D144">
            <v>8090</v>
          </cell>
          <cell r="E144" t="str">
            <v>所有者权益_本期增减变动金额</v>
          </cell>
          <cell r="F144">
            <v>-63829276.090000004</v>
          </cell>
          <cell r="G144">
            <v>59243674.590000004</v>
          </cell>
          <cell r="H144">
            <v>136615302.56999999</v>
          </cell>
          <cell r="I144">
            <v>13542351.890000001</v>
          </cell>
          <cell r="J144">
            <v>2310345465.1599998</v>
          </cell>
          <cell r="K144">
            <v>0</v>
          </cell>
          <cell r="L144">
            <v>0</v>
          </cell>
          <cell r="M144">
            <v>2310345465.1599998</v>
          </cell>
        </row>
        <row r="145">
          <cell r="D145">
            <v>8021</v>
          </cell>
          <cell r="E145" t="str">
            <v>所有者权益_净利润增加权益</v>
          </cell>
          <cell r="F145">
            <v>220170723.91</v>
          </cell>
          <cell r="G145">
            <v>51506511.789999999</v>
          </cell>
          <cell r="H145">
            <v>128878139.77</v>
          </cell>
          <cell r="I145">
            <v>297542351.88999999</v>
          </cell>
          <cell r="J145">
            <v>422767817.11000001</v>
          </cell>
          <cell r="K145">
            <v>0</v>
          </cell>
          <cell r="L145">
            <v>0</v>
          </cell>
          <cell r="M145">
            <v>422767817.11000001</v>
          </cell>
        </row>
        <row r="146">
          <cell r="D146">
            <v>8030</v>
          </cell>
          <cell r="E146" t="str">
            <v>所有者权益_其他综合收益增加权益</v>
          </cell>
          <cell r="F146">
            <v>0</v>
          </cell>
          <cell r="G146">
            <v>0</v>
          </cell>
          <cell r="H146">
            <v>0</v>
          </cell>
          <cell r="I146">
            <v>0</v>
          </cell>
          <cell r="J146">
            <v>0</v>
          </cell>
          <cell r="K146">
            <v>0</v>
          </cell>
          <cell r="L146">
            <v>0</v>
          </cell>
          <cell r="M146">
            <v>0</v>
          </cell>
        </row>
        <row r="147">
          <cell r="D147">
            <v>8040</v>
          </cell>
          <cell r="E147" t="str">
            <v>所有者权益_净利润与其他综合收益增加权益</v>
          </cell>
          <cell r="F147">
            <v>220170723.91</v>
          </cell>
          <cell r="G147">
            <v>51506511.789999999</v>
          </cell>
          <cell r="H147">
            <v>128878139.77</v>
          </cell>
          <cell r="I147">
            <v>297542351.88999999</v>
          </cell>
          <cell r="J147">
            <v>422767817.11000001</v>
          </cell>
          <cell r="K147">
            <v>0</v>
          </cell>
          <cell r="L147">
            <v>0</v>
          </cell>
          <cell r="M147">
            <v>422767817.11000001</v>
          </cell>
        </row>
        <row r="148">
          <cell r="D148">
            <v>8050</v>
          </cell>
          <cell r="E148" t="str">
            <v>所有者权益_所有者投入和减少资本影响权益</v>
          </cell>
          <cell r="F148">
            <v>0</v>
          </cell>
          <cell r="G148">
            <v>0</v>
          </cell>
          <cell r="H148">
            <v>0</v>
          </cell>
          <cell r="I148">
            <v>0</v>
          </cell>
          <cell r="J148">
            <v>2027577648.05</v>
          </cell>
          <cell r="K148">
            <v>0</v>
          </cell>
          <cell r="L148">
            <v>0</v>
          </cell>
          <cell r="M148">
            <v>2027577648.05</v>
          </cell>
        </row>
        <row r="149">
          <cell r="D149">
            <v>8051</v>
          </cell>
          <cell r="E149" t="str">
            <v>所有者权益_所有者投入资本增加权益</v>
          </cell>
          <cell r="F149">
            <v>0</v>
          </cell>
          <cell r="G149">
            <v>0</v>
          </cell>
          <cell r="H149">
            <v>0</v>
          </cell>
          <cell r="I149">
            <v>0</v>
          </cell>
          <cell r="J149">
            <v>2027577648.05</v>
          </cell>
          <cell r="K149">
            <v>0</v>
          </cell>
          <cell r="L149">
            <v>0</v>
          </cell>
          <cell r="M149">
            <v>2027577648.05</v>
          </cell>
        </row>
        <row r="150">
          <cell r="D150">
            <v>8052</v>
          </cell>
          <cell r="E150" t="str">
            <v>所有者权益_股份支付计入所有者权益的金额</v>
          </cell>
          <cell r="F150">
            <v>0</v>
          </cell>
          <cell r="G150">
            <v>0</v>
          </cell>
          <cell r="H150">
            <v>0</v>
          </cell>
          <cell r="I150">
            <v>0</v>
          </cell>
          <cell r="J150">
            <v>0</v>
          </cell>
          <cell r="K150">
            <v>0</v>
          </cell>
          <cell r="L150">
            <v>0</v>
          </cell>
          <cell r="M150">
            <v>0</v>
          </cell>
        </row>
        <row r="151">
          <cell r="D151">
            <v>8056</v>
          </cell>
          <cell r="E151" t="str">
            <v>所有者权益_所有者其他投入和减少资本</v>
          </cell>
          <cell r="F151">
            <v>0</v>
          </cell>
          <cell r="G151">
            <v>0</v>
          </cell>
          <cell r="H151">
            <v>0</v>
          </cell>
          <cell r="I151">
            <v>0</v>
          </cell>
          <cell r="J151">
            <v>0</v>
          </cell>
          <cell r="K151">
            <v>0</v>
          </cell>
          <cell r="L151">
            <v>0</v>
          </cell>
          <cell r="M151">
            <v>0</v>
          </cell>
        </row>
        <row r="152">
          <cell r="D152">
            <v>8060</v>
          </cell>
          <cell r="E152" t="str">
            <v>所有者权益_利润分配影响权益</v>
          </cell>
          <cell r="F152">
            <v>-284000000</v>
          </cell>
          <cell r="G152">
            <v>7737162.7999999998</v>
          </cell>
          <cell r="H152">
            <v>7737162.7999999998</v>
          </cell>
          <cell r="I152">
            <v>-284000000</v>
          </cell>
          <cell r="J152">
            <v>-140000000</v>
          </cell>
          <cell r="K152">
            <v>0</v>
          </cell>
          <cell r="L152">
            <v>0</v>
          </cell>
          <cell r="M152">
            <v>-140000000</v>
          </cell>
        </row>
        <row r="153">
          <cell r="D153">
            <v>8061</v>
          </cell>
          <cell r="E153" t="str">
            <v>所有者权益_提取盈余公积影响权益</v>
          </cell>
          <cell r="F153">
            <v>0</v>
          </cell>
          <cell r="G153">
            <v>7737162.7999999998</v>
          </cell>
          <cell r="H153">
            <v>7737162.7999999998</v>
          </cell>
          <cell r="I153">
            <v>0</v>
          </cell>
          <cell r="J153">
            <v>0</v>
          </cell>
          <cell r="K153">
            <v>0</v>
          </cell>
          <cell r="L153">
            <v>0</v>
          </cell>
          <cell r="M153">
            <v>0</v>
          </cell>
        </row>
        <row r="154">
          <cell r="D154">
            <v>8062</v>
          </cell>
          <cell r="E154" t="str">
            <v>所有者权益_提取一般风险准备影响权益</v>
          </cell>
          <cell r="F154">
            <v>0</v>
          </cell>
          <cell r="G154">
            <v>0</v>
          </cell>
          <cell r="H154">
            <v>0</v>
          </cell>
          <cell r="I154">
            <v>0</v>
          </cell>
          <cell r="J154">
            <v>0</v>
          </cell>
          <cell r="K154">
            <v>0</v>
          </cell>
          <cell r="L154">
            <v>0</v>
          </cell>
          <cell r="M154">
            <v>0</v>
          </cell>
        </row>
        <row r="155">
          <cell r="D155">
            <v>8063</v>
          </cell>
          <cell r="E155" t="str">
            <v>所有者权益_对所有者的分配影响权益</v>
          </cell>
          <cell r="F155">
            <v>-284000000</v>
          </cell>
          <cell r="G155">
            <v>0</v>
          </cell>
          <cell r="H155">
            <v>0</v>
          </cell>
          <cell r="I155">
            <v>-284000000</v>
          </cell>
          <cell r="J155">
            <v>-140000000</v>
          </cell>
          <cell r="K155">
            <v>0</v>
          </cell>
          <cell r="L155">
            <v>0</v>
          </cell>
          <cell r="M155">
            <v>-140000000</v>
          </cell>
        </row>
        <row r="156">
          <cell r="D156">
            <v>8066</v>
          </cell>
          <cell r="E156" t="str">
            <v>所有者权益_其他利润分配影响权益</v>
          </cell>
          <cell r="F156">
            <v>0</v>
          </cell>
          <cell r="G156">
            <v>0</v>
          </cell>
          <cell r="H156">
            <v>0</v>
          </cell>
          <cell r="I156">
            <v>0</v>
          </cell>
          <cell r="J156">
            <v>0</v>
          </cell>
          <cell r="K156">
            <v>0</v>
          </cell>
          <cell r="L156">
            <v>0</v>
          </cell>
          <cell r="M156">
            <v>0</v>
          </cell>
        </row>
        <row r="157">
          <cell r="D157">
            <v>8070</v>
          </cell>
          <cell r="E157" t="str">
            <v>所有者权益_所有者权益内部结转</v>
          </cell>
          <cell r="F157">
            <v>0</v>
          </cell>
          <cell r="G157">
            <v>0</v>
          </cell>
          <cell r="H157">
            <v>0</v>
          </cell>
          <cell r="I157">
            <v>0</v>
          </cell>
          <cell r="J157">
            <v>0</v>
          </cell>
          <cell r="K157">
            <v>0</v>
          </cell>
          <cell r="L157">
            <v>0</v>
          </cell>
          <cell r="M157">
            <v>0</v>
          </cell>
        </row>
        <row r="158">
          <cell r="D158">
            <v>8071</v>
          </cell>
          <cell r="E158" t="str">
            <v>所有者权益_资本公积转增资本影响权益</v>
          </cell>
          <cell r="F158">
            <v>0</v>
          </cell>
          <cell r="G158">
            <v>0</v>
          </cell>
          <cell r="H158">
            <v>0</v>
          </cell>
          <cell r="I158">
            <v>0</v>
          </cell>
          <cell r="J158">
            <v>0</v>
          </cell>
          <cell r="K158">
            <v>0</v>
          </cell>
          <cell r="L158">
            <v>0</v>
          </cell>
          <cell r="M158">
            <v>0</v>
          </cell>
        </row>
        <row r="159">
          <cell r="D159">
            <v>8072</v>
          </cell>
          <cell r="E159" t="str">
            <v>所有者权益_盈余公积转增资本影响权益</v>
          </cell>
          <cell r="F159">
            <v>0</v>
          </cell>
          <cell r="G159">
            <v>0</v>
          </cell>
          <cell r="H159">
            <v>0</v>
          </cell>
          <cell r="I159">
            <v>0</v>
          </cell>
          <cell r="J159">
            <v>0</v>
          </cell>
          <cell r="K159">
            <v>0</v>
          </cell>
          <cell r="L159">
            <v>0</v>
          </cell>
          <cell r="M159">
            <v>0</v>
          </cell>
        </row>
        <row r="160">
          <cell r="D160">
            <v>8073</v>
          </cell>
          <cell r="E160" t="str">
            <v>所有者权益_盈余公积弥补亏损影响权益</v>
          </cell>
          <cell r="F160">
            <v>0</v>
          </cell>
          <cell r="G160">
            <v>0</v>
          </cell>
          <cell r="H160">
            <v>0</v>
          </cell>
          <cell r="I160">
            <v>0</v>
          </cell>
          <cell r="J160">
            <v>0</v>
          </cell>
          <cell r="K160">
            <v>0</v>
          </cell>
          <cell r="L160">
            <v>0</v>
          </cell>
          <cell r="M160">
            <v>0</v>
          </cell>
        </row>
        <row r="161">
          <cell r="D161">
            <v>8076</v>
          </cell>
          <cell r="E161" t="str">
            <v>所有者权益_所有者权益其他内部结转</v>
          </cell>
          <cell r="F161">
            <v>0</v>
          </cell>
          <cell r="G161">
            <v>0</v>
          </cell>
          <cell r="H161">
            <v>0</v>
          </cell>
          <cell r="I161">
            <v>0</v>
          </cell>
          <cell r="J161">
            <v>0</v>
          </cell>
          <cell r="K161">
            <v>0</v>
          </cell>
          <cell r="L161">
            <v>0</v>
          </cell>
          <cell r="M161">
            <v>0</v>
          </cell>
        </row>
        <row r="162">
          <cell r="D162">
            <v>8080</v>
          </cell>
          <cell r="E162" t="str">
            <v>所有者权益_专项储备影响权益</v>
          </cell>
          <cell r="F162">
            <v>0</v>
          </cell>
          <cell r="G162">
            <v>0</v>
          </cell>
          <cell r="H162">
            <v>0</v>
          </cell>
          <cell r="I162">
            <v>0</v>
          </cell>
          <cell r="J162">
            <v>0</v>
          </cell>
          <cell r="K162">
            <v>0</v>
          </cell>
          <cell r="L162">
            <v>0</v>
          </cell>
          <cell r="M162">
            <v>0</v>
          </cell>
        </row>
        <row r="163">
          <cell r="D163">
            <v>8081</v>
          </cell>
          <cell r="E163" t="str">
            <v>所有者权益_专项储备本期提取</v>
          </cell>
          <cell r="F163">
            <v>0</v>
          </cell>
          <cell r="G163">
            <v>0</v>
          </cell>
          <cell r="H163">
            <v>0</v>
          </cell>
          <cell r="I163">
            <v>0</v>
          </cell>
          <cell r="J163">
            <v>0</v>
          </cell>
          <cell r="K163">
            <v>0</v>
          </cell>
          <cell r="L163">
            <v>0</v>
          </cell>
          <cell r="M163">
            <v>0</v>
          </cell>
        </row>
        <row r="164">
          <cell r="D164">
            <v>8082</v>
          </cell>
          <cell r="E164" t="str">
            <v>所有者权益_专项储备本期使用</v>
          </cell>
          <cell r="F164">
            <v>0</v>
          </cell>
          <cell r="G164">
            <v>0</v>
          </cell>
          <cell r="H164">
            <v>0</v>
          </cell>
          <cell r="I164">
            <v>0</v>
          </cell>
          <cell r="J164">
            <v>0</v>
          </cell>
          <cell r="K164">
            <v>0</v>
          </cell>
          <cell r="L164">
            <v>0</v>
          </cell>
          <cell r="M164">
            <v>0</v>
          </cell>
        </row>
        <row r="165">
          <cell r="D165">
            <v>8096</v>
          </cell>
          <cell r="E165" t="str">
            <v>所有者权益_本期其他增减变动</v>
          </cell>
          <cell r="F165">
            <v>0</v>
          </cell>
          <cell r="G165">
            <v>0</v>
          </cell>
          <cell r="H165">
            <v>0</v>
          </cell>
          <cell r="I165">
            <v>0</v>
          </cell>
          <cell r="J165">
            <v>0</v>
          </cell>
          <cell r="K165">
            <v>0</v>
          </cell>
          <cell r="L165">
            <v>0</v>
          </cell>
          <cell r="M165">
            <v>0</v>
          </cell>
        </row>
        <row r="166">
          <cell r="D166">
            <v>8099</v>
          </cell>
          <cell r="E166" t="str">
            <v>所有者权益_本期期末余额</v>
          </cell>
          <cell r="F166">
            <v>3288461974.3200002</v>
          </cell>
          <cell r="G166">
            <v>59243674.590000004</v>
          </cell>
          <cell r="H166">
            <v>136615302.56999999</v>
          </cell>
          <cell r="I166">
            <v>3365833602.3000002</v>
          </cell>
          <cell r="J166">
            <v>3352291250.4099998</v>
          </cell>
          <cell r="K166">
            <v>0</v>
          </cell>
          <cell r="L166">
            <v>0</v>
          </cell>
          <cell r="M166">
            <v>3352291250.4099998</v>
          </cell>
        </row>
        <row r="167">
          <cell r="D167">
            <v>8100</v>
          </cell>
          <cell r="E167" t="str">
            <v>实收资本增减变动</v>
          </cell>
          <cell r="F167">
            <v>0</v>
          </cell>
          <cell r="G167">
            <v>0</v>
          </cell>
          <cell r="H167">
            <v>0</v>
          </cell>
          <cell r="I167">
            <v>0</v>
          </cell>
          <cell r="J167">
            <v>0</v>
          </cell>
          <cell r="K167">
            <v>0</v>
          </cell>
          <cell r="L167">
            <v>0</v>
          </cell>
          <cell r="M167">
            <v>0</v>
          </cell>
        </row>
        <row r="168">
          <cell r="D168">
            <v>8101</v>
          </cell>
          <cell r="E168" t="str">
            <v>实收资本_上年年末余额</v>
          </cell>
          <cell r="F168">
            <v>400000000</v>
          </cell>
          <cell r="G168">
            <v>0</v>
          </cell>
          <cell r="H168">
            <v>0</v>
          </cell>
          <cell r="I168">
            <v>400000000</v>
          </cell>
          <cell r="J168">
            <v>300000000</v>
          </cell>
          <cell r="K168">
            <v>0</v>
          </cell>
          <cell r="L168">
            <v>0</v>
          </cell>
          <cell r="M168">
            <v>300000000</v>
          </cell>
        </row>
        <row r="169">
          <cell r="D169">
            <v>8102</v>
          </cell>
          <cell r="E169" t="str">
            <v>实收资本_会计政策变更调整上年年末余额</v>
          </cell>
          <cell r="F169">
            <v>0</v>
          </cell>
          <cell r="G169">
            <v>0</v>
          </cell>
          <cell r="H169">
            <v>0</v>
          </cell>
          <cell r="I169">
            <v>0</v>
          </cell>
          <cell r="J169">
            <v>0</v>
          </cell>
          <cell r="K169">
            <v>0</v>
          </cell>
          <cell r="L169">
            <v>0</v>
          </cell>
          <cell r="M169">
            <v>0</v>
          </cell>
        </row>
        <row r="170">
          <cell r="D170">
            <v>8103</v>
          </cell>
          <cell r="E170" t="str">
            <v>实收资本_前期差错更正调整上年年末余额</v>
          </cell>
          <cell r="F170">
            <v>0</v>
          </cell>
          <cell r="G170">
            <v>0</v>
          </cell>
          <cell r="H170">
            <v>0</v>
          </cell>
          <cell r="I170">
            <v>0</v>
          </cell>
          <cell r="J170">
            <v>0</v>
          </cell>
          <cell r="K170">
            <v>0</v>
          </cell>
          <cell r="L170">
            <v>0</v>
          </cell>
          <cell r="M170">
            <v>0</v>
          </cell>
        </row>
        <row r="171">
          <cell r="D171">
            <v>8109</v>
          </cell>
          <cell r="E171" t="str">
            <v>实收资本_其他原因调整上年年末余额</v>
          </cell>
          <cell r="F171">
            <v>0</v>
          </cell>
          <cell r="G171">
            <v>0</v>
          </cell>
          <cell r="H171">
            <v>0</v>
          </cell>
          <cell r="I171">
            <v>0</v>
          </cell>
          <cell r="J171">
            <v>0</v>
          </cell>
          <cell r="K171">
            <v>0</v>
          </cell>
          <cell r="L171">
            <v>0</v>
          </cell>
          <cell r="M171">
            <v>0</v>
          </cell>
        </row>
        <row r="172">
          <cell r="D172">
            <v>8110</v>
          </cell>
          <cell r="E172" t="str">
            <v>实收资本_本年年初余额</v>
          </cell>
          <cell r="F172">
            <v>400000000</v>
          </cell>
          <cell r="G172">
            <v>0</v>
          </cell>
          <cell r="H172">
            <v>0</v>
          </cell>
          <cell r="I172">
            <v>400000000</v>
          </cell>
          <cell r="J172">
            <v>300000000</v>
          </cell>
          <cell r="K172">
            <v>0</v>
          </cell>
          <cell r="L172">
            <v>0</v>
          </cell>
          <cell r="M172">
            <v>300000000</v>
          </cell>
        </row>
        <row r="173">
          <cell r="D173">
            <v>8190</v>
          </cell>
          <cell r="E173" t="str">
            <v>实收资本_本期增减变动金额</v>
          </cell>
          <cell r="F173">
            <v>0</v>
          </cell>
          <cell r="G173">
            <v>0</v>
          </cell>
          <cell r="H173">
            <v>0</v>
          </cell>
          <cell r="I173">
            <v>0</v>
          </cell>
          <cell r="J173">
            <v>100000000</v>
          </cell>
          <cell r="K173">
            <v>0</v>
          </cell>
          <cell r="L173">
            <v>0</v>
          </cell>
          <cell r="M173">
            <v>100000000</v>
          </cell>
        </row>
        <row r="174">
          <cell r="D174">
            <v>8121</v>
          </cell>
          <cell r="E174" t="str">
            <v>实收资本_净利润增加权益</v>
          </cell>
          <cell r="F174">
            <v>0</v>
          </cell>
          <cell r="G174">
            <v>0</v>
          </cell>
          <cell r="H174">
            <v>0</v>
          </cell>
          <cell r="I174">
            <v>0</v>
          </cell>
          <cell r="J174">
            <v>0</v>
          </cell>
          <cell r="K174">
            <v>0</v>
          </cell>
          <cell r="L174">
            <v>0</v>
          </cell>
          <cell r="M174">
            <v>0</v>
          </cell>
        </row>
        <row r="175">
          <cell r="D175">
            <v>8130</v>
          </cell>
          <cell r="E175" t="str">
            <v>实收资本_其他综合收益增加权益</v>
          </cell>
          <cell r="F175">
            <v>0</v>
          </cell>
          <cell r="G175">
            <v>0</v>
          </cell>
          <cell r="H175">
            <v>0</v>
          </cell>
          <cell r="I175">
            <v>0</v>
          </cell>
          <cell r="J175">
            <v>0</v>
          </cell>
          <cell r="K175">
            <v>0</v>
          </cell>
          <cell r="L175">
            <v>0</v>
          </cell>
          <cell r="M175">
            <v>0</v>
          </cell>
        </row>
        <row r="176">
          <cell r="D176">
            <v>8140</v>
          </cell>
          <cell r="E176" t="str">
            <v>实收资本_净利润与其他综合收益增加权益</v>
          </cell>
          <cell r="F176">
            <v>0</v>
          </cell>
          <cell r="G176">
            <v>0</v>
          </cell>
          <cell r="H176">
            <v>0</v>
          </cell>
          <cell r="I176">
            <v>0</v>
          </cell>
          <cell r="J176">
            <v>0</v>
          </cell>
          <cell r="K176">
            <v>0</v>
          </cell>
          <cell r="L176">
            <v>0</v>
          </cell>
          <cell r="M176">
            <v>0</v>
          </cell>
        </row>
        <row r="177">
          <cell r="D177">
            <v>8150</v>
          </cell>
          <cell r="E177" t="str">
            <v>实收资本_所有者投入和减少资本影响权益</v>
          </cell>
          <cell r="F177">
            <v>0</v>
          </cell>
          <cell r="G177">
            <v>0</v>
          </cell>
          <cell r="H177">
            <v>0</v>
          </cell>
          <cell r="I177">
            <v>0</v>
          </cell>
          <cell r="J177">
            <v>100000000</v>
          </cell>
          <cell r="K177">
            <v>0</v>
          </cell>
          <cell r="L177">
            <v>0</v>
          </cell>
          <cell r="M177">
            <v>100000000</v>
          </cell>
        </row>
        <row r="178">
          <cell r="D178">
            <v>8151</v>
          </cell>
          <cell r="E178" t="str">
            <v>实收资本_所有者投入资本</v>
          </cell>
          <cell r="F178">
            <v>0</v>
          </cell>
          <cell r="G178">
            <v>0</v>
          </cell>
          <cell r="H178">
            <v>0</v>
          </cell>
          <cell r="I178">
            <v>0</v>
          </cell>
          <cell r="J178">
            <v>100000000</v>
          </cell>
          <cell r="K178">
            <v>0</v>
          </cell>
          <cell r="L178">
            <v>0</v>
          </cell>
          <cell r="M178">
            <v>100000000</v>
          </cell>
        </row>
        <row r="179">
          <cell r="D179">
            <v>8152</v>
          </cell>
          <cell r="E179" t="str">
            <v>实收资本_股份支付计入所有者权益的金额</v>
          </cell>
          <cell r="F179">
            <v>0</v>
          </cell>
          <cell r="G179">
            <v>0</v>
          </cell>
          <cell r="H179">
            <v>0</v>
          </cell>
          <cell r="I179">
            <v>0</v>
          </cell>
          <cell r="J179">
            <v>0</v>
          </cell>
          <cell r="K179">
            <v>0</v>
          </cell>
          <cell r="L179">
            <v>0</v>
          </cell>
          <cell r="M179">
            <v>0</v>
          </cell>
        </row>
        <row r="180">
          <cell r="D180">
            <v>8156</v>
          </cell>
          <cell r="E180" t="str">
            <v>实收资本_所有者其他投入和减少资本</v>
          </cell>
          <cell r="F180">
            <v>0</v>
          </cell>
          <cell r="G180">
            <v>0</v>
          </cell>
          <cell r="H180">
            <v>0</v>
          </cell>
          <cell r="I180">
            <v>0</v>
          </cell>
          <cell r="J180">
            <v>0</v>
          </cell>
          <cell r="K180">
            <v>0</v>
          </cell>
          <cell r="L180">
            <v>0</v>
          </cell>
          <cell r="M180">
            <v>0</v>
          </cell>
        </row>
        <row r="181">
          <cell r="D181">
            <v>8160</v>
          </cell>
          <cell r="E181" t="str">
            <v>实收资本_利润分配影响权益</v>
          </cell>
          <cell r="F181">
            <v>0</v>
          </cell>
          <cell r="G181">
            <v>0</v>
          </cell>
          <cell r="H181">
            <v>0</v>
          </cell>
          <cell r="I181">
            <v>0</v>
          </cell>
          <cell r="J181">
            <v>0</v>
          </cell>
          <cell r="K181">
            <v>0</v>
          </cell>
          <cell r="L181">
            <v>0</v>
          </cell>
          <cell r="M181">
            <v>0</v>
          </cell>
        </row>
        <row r="182">
          <cell r="D182">
            <v>8161</v>
          </cell>
          <cell r="E182" t="str">
            <v>实收资本_提取盈余公积影响权益</v>
          </cell>
          <cell r="F182">
            <v>0</v>
          </cell>
          <cell r="G182">
            <v>0</v>
          </cell>
          <cell r="H182">
            <v>0</v>
          </cell>
          <cell r="I182">
            <v>0</v>
          </cell>
          <cell r="J182">
            <v>0</v>
          </cell>
          <cell r="K182">
            <v>0</v>
          </cell>
          <cell r="L182">
            <v>0</v>
          </cell>
          <cell r="M182">
            <v>0</v>
          </cell>
        </row>
        <row r="183">
          <cell r="D183">
            <v>8162</v>
          </cell>
          <cell r="E183" t="str">
            <v>实收资本_提取一般风险准备影响权益</v>
          </cell>
          <cell r="F183">
            <v>0</v>
          </cell>
          <cell r="G183">
            <v>0</v>
          </cell>
          <cell r="H183">
            <v>0</v>
          </cell>
          <cell r="I183">
            <v>0</v>
          </cell>
          <cell r="J183">
            <v>0</v>
          </cell>
          <cell r="K183">
            <v>0</v>
          </cell>
          <cell r="L183">
            <v>0</v>
          </cell>
          <cell r="M183">
            <v>0</v>
          </cell>
        </row>
        <row r="184">
          <cell r="D184">
            <v>8163</v>
          </cell>
          <cell r="E184" t="str">
            <v>实收资本_对所有者的分配影响权益</v>
          </cell>
          <cell r="F184">
            <v>0</v>
          </cell>
          <cell r="G184">
            <v>0</v>
          </cell>
          <cell r="H184">
            <v>0</v>
          </cell>
          <cell r="I184">
            <v>0</v>
          </cell>
          <cell r="J184">
            <v>0</v>
          </cell>
          <cell r="K184">
            <v>0</v>
          </cell>
          <cell r="L184">
            <v>0</v>
          </cell>
          <cell r="M184">
            <v>0</v>
          </cell>
        </row>
        <row r="185">
          <cell r="D185">
            <v>8166</v>
          </cell>
          <cell r="E185" t="str">
            <v>实收资本_其他利润分配影响权益</v>
          </cell>
          <cell r="F185">
            <v>0</v>
          </cell>
          <cell r="G185">
            <v>0</v>
          </cell>
          <cell r="H185">
            <v>0</v>
          </cell>
          <cell r="I185">
            <v>0</v>
          </cell>
          <cell r="J185">
            <v>0</v>
          </cell>
          <cell r="K185">
            <v>0</v>
          </cell>
          <cell r="L185">
            <v>0</v>
          </cell>
          <cell r="M185">
            <v>0</v>
          </cell>
        </row>
        <row r="186">
          <cell r="D186">
            <v>8170</v>
          </cell>
          <cell r="E186" t="str">
            <v>实收资本_所有者权益内部结转</v>
          </cell>
          <cell r="F186">
            <v>0</v>
          </cell>
          <cell r="G186">
            <v>0</v>
          </cell>
          <cell r="H186">
            <v>0</v>
          </cell>
          <cell r="I186">
            <v>0</v>
          </cell>
          <cell r="J186">
            <v>0</v>
          </cell>
          <cell r="K186">
            <v>0</v>
          </cell>
          <cell r="L186">
            <v>0</v>
          </cell>
          <cell r="M186">
            <v>0</v>
          </cell>
        </row>
        <row r="187">
          <cell r="D187">
            <v>8171</v>
          </cell>
          <cell r="E187" t="str">
            <v>实收资本_资本公积转增</v>
          </cell>
          <cell r="F187">
            <v>0</v>
          </cell>
          <cell r="G187">
            <v>0</v>
          </cell>
          <cell r="H187">
            <v>0</v>
          </cell>
          <cell r="I187">
            <v>0</v>
          </cell>
          <cell r="J187">
            <v>0</v>
          </cell>
          <cell r="K187">
            <v>0</v>
          </cell>
          <cell r="L187">
            <v>0</v>
          </cell>
          <cell r="M187">
            <v>0</v>
          </cell>
        </row>
        <row r="188">
          <cell r="D188">
            <v>8172</v>
          </cell>
          <cell r="E188" t="str">
            <v>实收资本_盈余公积转增</v>
          </cell>
          <cell r="F188">
            <v>0</v>
          </cell>
          <cell r="G188">
            <v>0</v>
          </cell>
          <cell r="H188">
            <v>0</v>
          </cell>
          <cell r="I188">
            <v>0</v>
          </cell>
          <cell r="J188">
            <v>0</v>
          </cell>
          <cell r="K188">
            <v>0</v>
          </cell>
          <cell r="L188">
            <v>0</v>
          </cell>
          <cell r="M188">
            <v>0</v>
          </cell>
        </row>
        <row r="189">
          <cell r="D189">
            <v>8173</v>
          </cell>
          <cell r="E189" t="str">
            <v>实收资本_盈余公积弥补亏损影响权益</v>
          </cell>
          <cell r="F189">
            <v>0</v>
          </cell>
          <cell r="G189">
            <v>0</v>
          </cell>
          <cell r="H189">
            <v>0</v>
          </cell>
          <cell r="I189">
            <v>0</v>
          </cell>
          <cell r="J189">
            <v>0</v>
          </cell>
          <cell r="K189">
            <v>0</v>
          </cell>
          <cell r="L189">
            <v>0</v>
          </cell>
          <cell r="M189">
            <v>0</v>
          </cell>
        </row>
        <row r="190">
          <cell r="D190">
            <v>8176</v>
          </cell>
          <cell r="E190" t="str">
            <v>实收资本_所有者权益其他内部结转</v>
          </cell>
          <cell r="F190">
            <v>0</v>
          </cell>
          <cell r="G190">
            <v>0</v>
          </cell>
          <cell r="H190">
            <v>0</v>
          </cell>
          <cell r="I190">
            <v>0</v>
          </cell>
          <cell r="J190">
            <v>0</v>
          </cell>
          <cell r="K190">
            <v>0</v>
          </cell>
          <cell r="L190">
            <v>0</v>
          </cell>
          <cell r="M190">
            <v>0</v>
          </cell>
        </row>
        <row r="191">
          <cell r="D191">
            <v>8180</v>
          </cell>
          <cell r="E191" t="str">
            <v>实收资本_专项储备影响权益</v>
          </cell>
          <cell r="F191">
            <v>0</v>
          </cell>
          <cell r="G191">
            <v>0</v>
          </cell>
          <cell r="H191">
            <v>0</v>
          </cell>
          <cell r="I191">
            <v>0</v>
          </cell>
          <cell r="J191">
            <v>0</v>
          </cell>
          <cell r="K191">
            <v>0</v>
          </cell>
          <cell r="L191">
            <v>0</v>
          </cell>
          <cell r="M191">
            <v>0</v>
          </cell>
        </row>
        <row r="192">
          <cell r="D192">
            <v>8181</v>
          </cell>
          <cell r="E192" t="str">
            <v>实收资本_专项储备本期提取</v>
          </cell>
          <cell r="F192">
            <v>0</v>
          </cell>
          <cell r="G192">
            <v>0</v>
          </cell>
          <cell r="H192">
            <v>0</v>
          </cell>
          <cell r="I192">
            <v>0</v>
          </cell>
          <cell r="J192">
            <v>0</v>
          </cell>
          <cell r="K192">
            <v>0</v>
          </cell>
          <cell r="L192">
            <v>0</v>
          </cell>
          <cell r="M192">
            <v>0</v>
          </cell>
        </row>
        <row r="193">
          <cell r="D193">
            <v>8182</v>
          </cell>
          <cell r="E193" t="str">
            <v>实收资本_专项储备本期使用</v>
          </cell>
          <cell r="F193">
            <v>0</v>
          </cell>
          <cell r="G193">
            <v>0</v>
          </cell>
          <cell r="H193">
            <v>0</v>
          </cell>
          <cell r="I193">
            <v>0</v>
          </cell>
          <cell r="J193">
            <v>0</v>
          </cell>
          <cell r="K193">
            <v>0</v>
          </cell>
          <cell r="L193">
            <v>0</v>
          </cell>
          <cell r="M193">
            <v>0</v>
          </cell>
        </row>
        <row r="194">
          <cell r="D194">
            <v>8196</v>
          </cell>
          <cell r="E194" t="str">
            <v>实收资本_本期其他增减变动</v>
          </cell>
          <cell r="F194">
            <v>0</v>
          </cell>
          <cell r="G194">
            <v>0</v>
          </cell>
          <cell r="H194">
            <v>0</v>
          </cell>
          <cell r="I194">
            <v>0</v>
          </cell>
          <cell r="J194">
            <v>0</v>
          </cell>
          <cell r="K194">
            <v>0</v>
          </cell>
          <cell r="L194">
            <v>0</v>
          </cell>
          <cell r="M194">
            <v>0</v>
          </cell>
        </row>
        <row r="195">
          <cell r="D195">
            <v>8199</v>
          </cell>
          <cell r="E195" t="str">
            <v>实收资本_本期期末余额</v>
          </cell>
          <cell r="F195">
            <v>400000000</v>
          </cell>
          <cell r="G195">
            <v>0</v>
          </cell>
          <cell r="H195">
            <v>0</v>
          </cell>
          <cell r="I195">
            <v>400000000</v>
          </cell>
          <cell r="J195">
            <v>400000000</v>
          </cell>
          <cell r="K195">
            <v>0</v>
          </cell>
          <cell r="L195">
            <v>0</v>
          </cell>
          <cell r="M195">
            <v>400000000</v>
          </cell>
        </row>
        <row r="196">
          <cell r="D196">
            <v>8200</v>
          </cell>
          <cell r="E196" t="str">
            <v>资本公积增减变动</v>
          </cell>
          <cell r="F196">
            <v>0</v>
          </cell>
          <cell r="G196">
            <v>0</v>
          </cell>
          <cell r="H196">
            <v>0</v>
          </cell>
          <cell r="I196">
            <v>0</v>
          </cell>
          <cell r="J196">
            <v>0</v>
          </cell>
          <cell r="K196">
            <v>0</v>
          </cell>
          <cell r="L196">
            <v>0</v>
          </cell>
          <cell r="M196">
            <v>0</v>
          </cell>
        </row>
        <row r="197">
          <cell r="D197">
            <v>8201</v>
          </cell>
          <cell r="E197" t="str">
            <v>资本公积_上年年末余额</v>
          </cell>
          <cell r="F197">
            <v>2340093315.98</v>
          </cell>
          <cell r="G197">
            <v>0</v>
          </cell>
          <cell r="H197">
            <v>0</v>
          </cell>
          <cell r="I197">
            <v>2340093315.98</v>
          </cell>
          <cell r="J197">
            <v>412515667.93000001</v>
          </cell>
          <cell r="K197">
            <v>0</v>
          </cell>
          <cell r="L197">
            <v>0</v>
          </cell>
          <cell r="M197">
            <v>412515667.93000001</v>
          </cell>
        </row>
        <row r="198">
          <cell r="D198">
            <v>8202</v>
          </cell>
          <cell r="E198" t="str">
            <v>资本公积_会计政策变更调整上年年末余额</v>
          </cell>
          <cell r="F198">
            <v>0</v>
          </cell>
          <cell r="G198">
            <v>0</v>
          </cell>
          <cell r="H198">
            <v>0</v>
          </cell>
          <cell r="I198">
            <v>0</v>
          </cell>
          <cell r="J198">
            <v>0</v>
          </cell>
          <cell r="K198">
            <v>0</v>
          </cell>
          <cell r="L198">
            <v>0</v>
          </cell>
          <cell r="M198">
            <v>0</v>
          </cell>
        </row>
        <row r="199">
          <cell r="D199">
            <v>8203</v>
          </cell>
          <cell r="E199" t="str">
            <v>资本公积_前期差错更正调整上年年末余额</v>
          </cell>
          <cell r="F199">
            <v>0</v>
          </cell>
          <cell r="G199">
            <v>0</v>
          </cell>
          <cell r="H199">
            <v>0</v>
          </cell>
          <cell r="I199">
            <v>0</v>
          </cell>
          <cell r="J199">
            <v>0</v>
          </cell>
          <cell r="K199">
            <v>0</v>
          </cell>
          <cell r="L199">
            <v>0</v>
          </cell>
          <cell r="M199">
            <v>0</v>
          </cell>
        </row>
        <row r="200">
          <cell r="D200">
            <v>8209</v>
          </cell>
          <cell r="E200" t="str">
            <v>资本公积_其他原因调整上年年末余额</v>
          </cell>
          <cell r="F200">
            <v>0</v>
          </cell>
          <cell r="G200">
            <v>0</v>
          </cell>
          <cell r="H200">
            <v>0</v>
          </cell>
          <cell r="I200">
            <v>0</v>
          </cell>
          <cell r="J200">
            <v>0</v>
          </cell>
          <cell r="K200">
            <v>0</v>
          </cell>
          <cell r="L200">
            <v>0</v>
          </cell>
          <cell r="M200">
            <v>0</v>
          </cell>
        </row>
        <row r="201">
          <cell r="D201">
            <v>8210</v>
          </cell>
          <cell r="E201" t="str">
            <v>资本公积_本年年初余额</v>
          </cell>
          <cell r="F201">
            <v>2340093315.98</v>
          </cell>
          <cell r="G201">
            <v>0</v>
          </cell>
          <cell r="H201">
            <v>0</v>
          </cell>
          <cell r="I201">
            <v>2340093315.98</v>
          </cell>
          <cell r="J201">
            <v>412515667.93000001</v>
          </cell>
          <cell r="K201">
            <v>0</v>
          </cell>
          <cell r="L201">
            <v>0</v>
          </cell>
          <cell r="M201">
            <v>412515667.93000001</v>
          </cell>
        </row>
        <row r="202">
          <cell r="D202">
            <v>8290</v>
          </cell>
          <cell r="E202" t="str">
            <v>资本公积_本期增减变动金额</v>
          </cell>
          <cell r="F202">
            <v>0</v>
          </cell>
          <cell r="G202">
            <v>0</v>
          </cell>
          <cell r="H202">
            <v>0</v>
          </cell>
          <cell r="I202">
            <v>0</v>
          </cell>
          <cell r="J202">
            <v>1927577648.05</v>
          </cell>
          <cell r="K202">
            <v>0</v>
          </cell>
          <cell r="L202">
            <v>0</v>
          </cell>
          <cell r="M202">
            <v>1927577648.05</v>
          </cell>
        </row>
        <row r="203">
          <cell r="D203">
            <v>8221</v>
          </cell>
          <cell r="E203" t="str">
            <v>资本公积_净利润增加权益</v>
          </cell>
          <cell r="F203">
            <v>0</v>
          </cell>
          <cell r="G203">
            <v>0</v>
          </cell>
          <cell r="H203">
            <v>0</v>
          </cell>
          <cell r="I203">
            <v>0</v>
          </cell>
          <cell r="J203">
            <v>0</v>
          </cell>
          <cell r="K203">
            <v>0</v>
          </cell>
          <cell r="L203">
            <v>0</v>
          </cell>
          <cell r="M203">
            <v>0</v>
          </cell>
        </row>
        <row r="204">
          <cell r="D204">
            <v>8230</v>
          </cell>
          <cell r="E204" t="str">
            <v>资本公积_其他综合收益</v>
          </cell>
          <cell r="F204">
            <v>0</v>
          </cell>
          <cell r="G204">
            <v>0</v>
          </cell>
          <cell r="H204">
            <v>0</v>
          </cell>
          <cell r="I204">
            <v>0</v>
          </cell>
          <cell r="J204">
            <v>0</v>
          </cell>
          <cell r="K204">
            <v>0</v>
          </cell>
          <cell r="L204">
            <v>0</v>
          </cell>
          <cell r="M204">
            <v>0</v>
          </cell>
        </row>
        <row r="205">
          <cell r="D205">
            <v>8240</v>
          </cell>
          <cell r="E205" t="str">
            <v>资本公积_净利润与其他综合收益增加权益</v>
          </cell>
          <cell r="F205">
            <v>0</v>
          </cell>
          <cell r="G205">
            <v>0</v>
          </cell>
          <cell r="H205">
            <v>0</v>
          </cell>
          <cell r="I205">
            <v>0</v>
          </cell>
          <cell r="J205">
            <v>0</v>
          </cell>
          <cell r="K205">
            <v>0</v>
          </cell>
          <cell r="L205">
            <v>0</v>
          </cell>
          <cell r="M205">
            <v>0</v>
          </cell>
        </row>
        <row r="206">
          <cell r="D206">
            <v>8250</v>
          </cell>
          <cell r="E206" t="str">
            <v>资本公积_所有者投入和减少资本影响权益</v>
          </cell>
          <cell r="F206">
            <v>0</v>
          </cell>
          <cell r="G206">
            <v>0</v>
          </cell>
          <cell r="H206">
            <v>0</v>
          </cell>
          <cell r="I206">
            <v>0</v>
          </cell>
          <cell r="J206">
            <v>1927577648.05</v>
          </cell>
          <cell r="K206">
            <v>0</v>
          </cell>
          <cell r="L206">
            <v>0</v>
          </cell>
          <cell r="M206">
            <v>1927577648.05</v>
          </cell>
        </row>
        <row r="207">
          <cell r="D207">
            <v>8251</v>
          </cell>
          <cell r="E207" t="str">
            <v>资本公积_所有者投入资本</v>
          </cell>
          <cell r="F207">
            <v>0</v>
          </cell>
          <cell r="G207">
            <v>0</v>
          </cell>
          <cell r="H207">
            <v>0</v>
          </cell>
          <cell r="I207">
            <v>0</v>
          </cell>
          <cell r="J207">
            <v>1927577648.05</v>
          </cell>
          <cell r="K207">
            <v>0</v>
          </cell>
          <cell r="L207">
            <v>0</v>
          </cell>
          <cell r="M207">
            <v>1927577648.05</v>
          </cell>
        </row>
        <row r="208">
          <cell r="D208">
            <v>8252</v>
          </cell>
          <cell r="E208" t="str">
            <v>资本公积_股份支付</v>
          </cell>
          <cell r="F208">
            <v>0</v>
          </cell>
          <cell r="G208">
            <v>0</v>
          </cell>
          <cell r="H208">
            <v>0</v>
          </cell>
          <cell r="I208">
            <v>0</v>
          </cell>
          <cell r="J208">
            <v>0</v>
          </cell>
          <cell r="K208">
            <v>0</v>
          </cell>
          <cell r="L208">
            <v>0</v>
          </cell>
          <cell r="M208">
            <v>0</v>
          </cell>
        </row>
        <row r="209">
          <cell r="D209">
            <v>8256</v>
          </cell>
          <cell r="E209" t="str">
            <v>资本公积_所有者其他投入和减少资本</v>
          </cell>
          <cell r="F209">
            <v>0</v>
          </cell>
          <cell r="G209">
            <v>0</v>
          </cell>
          <cell r="H209">
            <v>0</v>
          </cell>
          <cell r="I209">
            <v>0</v>
          </cell>
          <cell r="J209">
            <v>0</v>
          </cell>
          <cell r="K209">
            <v>0</v>
          </cell>
          <cell r="L209">
            <v>0</v>
          </cell>
          <cell r="M209">
            <v>0</v>
          </cell>
        </row>
        <row r="210">
          <cell r="D210">
            <v>8260</v>
          </cell>
          <cell r="E210" t="str">
            <v>资本公积_利润分配影响权益</v>
          </cell>
          <cell r="F210">
            <v>0</v>
          </cell>
          <cell r="G210">
            <v>0</v>
          </cell>
          <cell r="H210">
            <v>0</v>
          </cell>
          <cell r="I210">
            <v>0</v>
          </cell>
          <cell r="J210">
            <v>0</v>
          </cell>
          <cell r="K210">
            <v>0</v>
          </cell>
          <cell r="L210">
            <v>0</v>
          </cell>
          <cell r="M210">
            <v>0</v>
          </cell>
        </row>
        <row r="211">
          <cell r="D211">
            <v>8261</v>
          </cell>
          <cell r="E211" t="str">
            <v>资本公积_提取盈余公积影响权益</v>
          </cell>
          <cell r="F211">
            <v>0</v>
          </cell>
          <cell r="G211">
            <v>0</v>
          </cell>
          <cell r="H211">
            <v>0</v>
          </cell>
          <cell r="I211">
            <v>0</v>
          </cell>
          <cell r="J211">
            <v>0</v>
          </cell>
          <cell r="K211">
            <v>0</v>
          </cell>
          <cell r="L211">
            <v>0</v>
          </cell>
          <cell r="M211">
            <v>0</v>
          </cell>
        </row>
        <row r="212">
          <cell r="D212">
            <v>8262</v>
          </cell>
          <cell r="E212" t="str">
            <v>资本公积_提取一般风险准备影响权益</v>
          </cell>
          <cell r="F212">
            <v>0</v>
          </cell>
          <cell r="G212">
            <v>0</v>
          </cell>
          <cell r="H212">
            <v>0</v>
          </cell>
          <cell r="I212">
            <v>0</v>
          </cell>
          <cell r="J212">
            <v>0</v>
          </cell>
          <cell r="K212">
            <v>0</v>
          </cell>
          <cell r="L212">
            <v>0</v>
          </cell>
          <cell r="M212">
            <v>0</v>
          </cell>
        </row>
        <row r="213">
          <cell r="D213">
            <v>8263</v>
          </cell>
          <cell r="E213" t="str">
            <v>资本公积_对所有者的分配影响权益</v>
          </cell>
          <cell r="F213">
            <v>0</v>
          </cell>
          <cell r="G213">
            <v>0</v>
          </cell>
          <cell r="H213">
            <v>0</v>
          </cell>
          <cell r="I213">
            <v>0</v>
          </cell>
          <cell r="J213">
            <v>0</v>
          </cell>
          <cell r="K213">
            <v>0</v>
          </cell>
          <cell r="L213">
            <v>0</v>
          </cell>
          <cell r="M213">
            <v>0</v>
          </cell>
        </row>
        <row r="214">
          <cell r="D214">
            <v>8266</v>
          </cell>
          <cell r="E214" t="str">
            <v>资本公积_其他利润分配</v>
          </cell>
          <cell r="F214">
            <v>0</v>
          </cell>
          <cell r="G214">
            <v>0</v>
          </cell>
          <cell r="H214">
            <v>0</v>
          </cell>
          <cell r="I214">
            <v>0</v>
          </cell>
          <cell r="J214">
            <v>0</v>
          </cell>
          <cell r="K214">
            <v>0</v>
          </cell>
          <cell r="L214">
            <v>0</v>
          </cell>
          <cell r="M214">
            <v>0</v>
          </cell>
        </row>
        <row r="215">
          <cell r="D215">
            <v>8270</v>
          </cell>
          <cell r="E215" t="str">
            <v>资本公积_所有者权益内部结转</v>
          </cell>
          <cell r="F215">
            <v>0</v>
          </cell>
          <cell r="G215">
            <v>0</v>
          </cell>
          <cell r="H215">
            <v>0</v>
          </cell>
          <cell r="I215">
            <v>0</v>
          </cell>
          <cell r="J215">
            <v>0</v>
          </cell>
          <cell r="K215">
            <v>0</v>
          </cell>
          <cell r="L215">
            <v>0</v>
          </cell>
          <cell r="M215">
            <v>0</v>
          </cell>
        </row>
        <row r="216">
          <cell r="D216">
            <v>8271</v>
          </cell>
          <cell r="E216" t="str">
            <v>资本公积_转增资本</v>
          </cell>
          <cell r="F216">
            <v>0</v>
          </cell>
          <cell r="G216">
            <v>0</v>
          </cell>
          <cell r="H216">
            <v>0</v>
          </cell>
          <cell r="I216">
            <v>0</v>
          </cell>
          <cell r="J216">
            <v>0</v>
          </cell>
          <cell r="K216">
            <v>0</v>
          </cell>
          <cell r="L216">
            <v>0</v>
          </cell>
          <cell r="M216">
            <v>0</v>
          </cell>
        </row>
        <row r="217">
          <cell r="D217">
            <v>8272</v>
          </cell>
          <cell r="E217" t="str">
            <v>资本公积_盈余公积转增资本影响权益</v>
          </cell>
          <cell r="F217">
            <v>0</v>
          </cell>
          <cell r="G217">
            <v>0</v>
          </cell>
          <cell r="H217">
            <v>0</v>
          </cell>
          <cell r="I217">
            <v>0</v>
          </cell>
          <cell r="J217">
            <v>0</v>
          </cell>
          <cell r="K217">
            <v>0</v>
          </cell>
          <cell r="L217">
            <v>0</v>
          </cell>
          <cell r="M217">
            <v>0</v>
          </cell>
        </row>
        <row r="218">
          <cell r="D218">
            <v>8273</v>
          </cell>
          <cell r="E218" t="str">
            <v>资本公积_盈余公积弥补亏损影响权益</v>
          </cell>
          <cell r="F218">
            <v>0</v>
          </cell>
          <cell r="G218">
            <v>0</v>
          </cell>
          <cell r="H218">
            <v>0</v>
          </cell>
          <cell r="I218">
            <v>0</v>
          </cell>
          <cell r="J218">
            <v>0</v>
          </cell>
          <cell r="K218">
            <v>0</v>
          </cell>
          <cell r="L218">
            <v>0</v>
          </cell>
          <cell r="M218">
            <v>0</v>
          </cell>
        </row>
        <row r="219">
          <cell r="D219">
            <v>8276</v>
          </cell>
          <cell r="E219" t="str">
            <v>资本公积_所有者权益其他内部结转</v>
          </cell>
          <cell r="F219">
            <v>0</v>
          </cell>
          <cell r="G219">
            <v>0</v>
          </cell>
          <cell r="H219">
            <v>0</v>
          </cell>
          <cell r="I219">
            <v>0</v>
          </cell>
          <cell r="J219">
            <v>0</v>
          </cell>
          <cell r="K219">
            <v>0</v>
          </cell>
          <cell r="L219">
            <v>0</v>
          </cell>
          <cell r="M219">
            <v>0</v>
          </cell>
        </row>
        <row r="220">
          <cell r="D220">
            <v>8280</v>
          </cell>
          <cell r="E220" t="str">
            <v>资本公积_专项储备影响权益</v>
          </cell>
          <cell r="F220">
            <v>0</v>
          </cell>
          <cell r="G220">
            <v>0</v>
          </cell>
          <cell r="H220">
            <v>0</v>
          </cell>
          <cell r="I220">
            <v>0</v>
          </cell>
          <cell r="J220">
            <v>0</v>
          </cell>
          <cell r="K220">
            <v>0</v>
          </cell>
          <cell r="L220">
            <v>0</v>
          </cell>
          <cell r="M220">
            <v>0</v>
          </cell>
        </row>
        <row r="221">
          <cell r="D221">
            <v>8281</v>
          </cell>
          <cell r="E221" t="str">
            <v>资本公积_专项储备本期提取</v>
          </cell>
          <cell r="F221">
            <v>0</v>
          </cell>
          <cell r="G221">
            <v>0</v>
          </cell>
          <cell r="H221">
            <v>0</v>
          </cell>
          <cell r="I221">
            <v>0</v>
          </cell>
          <cell r="J221">
            <v>0</v>
          </cell>
          <cell r="K221">
            <v>0</v>
          </cell>
          <cell r="L221">
            <v>0</v>
          </cell>
          <cell r="M221">
            <v>0</v>
          </cell>
        </row>
        <row r="222">
          <cell r="D222">
            <v>8282</v>
          </cell>
          <cell r="E222" t="str">
            <v>资本公积_专项储备本期使用</v>
          </cell>
          <cell r="F222">
            <v>0</v>
          </cell>
          <cell r="G222">
            <v>0</v>
          </cell>
          <cell r="H222">
            <v>0</v>
          </cell>
          <cell r="I222">
            <v>0</v>
          </cell>
          <cell r="J222">
            <v>0</v>
          </cell>
          <cell r="K222">
            <v>0</v>
          </cell>
          <cell r="L222">
            <v>0</v>
          </cell>
          <cell r="M222">
            <v>0</v>
          </cell>
        </row>
        <row r="223">
          <cell r="D223">
            <v>8296</v>
          </cell>
          <cell r="E223" t="str">
            <v>资本公积_本期其他增减变动</v>
          </cell>
          <cell r="F223">
            <v>0</v>
          </cell>
          <cell r="G223">
            <v>0</v>
          </cell>
          <cell r="H223">
            <v>0</v>
          </cell>
          <cell r="I223">
            <v>0</v>
          </cell>
          <cell r="J223">
            <v>0</v>
          </cell>
          <cell r="K223">
            <v>0</v>
          </cell>
          <cell r="L223">
            <v>0</v>
          </cell>
          <cell r="M223">
            <v>0</v>
          </cell>
        </row>
        <row r="224">
          <cell r="D224">
            <v>8299</v>
          </cell>
          <cell r="E224" t="str">
            <v>资本公积_本期期末余额</v>
          </cell>
          <cell r="F224">
            <v>2340093315.98</v>
          </cell>
          <cell r="G224">
            <v>0</v>
          </cell>
          <cell r="H224">
            <v>0</v>
          </cell>
          <cell r="I224">
            <v>2340093315.98</v>
          </cell>
          <cell r="J224">
            <v>2340093315.98</v>
          </cell>
          <cell r="K224">
            <v>0</v>
          </cell>
          <cell r="L224">
            <v>0</v>
          </cell>
          <cell r="M224">
            <v>2340093315.98</v>
          </cell>
        </row>
        <row r="225">
          <cell r="D225">
            <v>8300</v>
          </cell>
          <cell r="E225" t="str">
            <v>库存股增减变动</v>
          </cell>
          <cell r="F225">
            <v>0</v>
          </cell>
          <cell r="G225">
            <v>0</v>
          </cell>
          <cell r="H225">
            <v>0</v>
          </cell>
          <cell r="I225">
            <v>0</v>
          </cell>
          <cell r="J225">
            <v>0</v>
          </cell>
          <cell r="K225">
            <v>0</v>
          </cell>
          <cell r="L225">
            <v>0</v>
          </cell>
          <cell r="M225">
            <v>0</v>
          </cell>
        </row>
        <row r="226">
          <cell r="D226">
            <v>8301</v>
          </cell>
          <cell r="E226" t="str">
            <v>库存股_上年年末余额</v>
          </cell>
          <cell r="F226">
            <v>0</v>
          </cell>
          <cell r="G226">
            <v>0</v>
          </cell>
          <cell r="H226">
            <v>0</v>
          </cell>
          <cell r="I226">
            <v>0</v>
          </cell>
          <cell r="J226">
            <v>0</v>
          </cell>
          <cell r="K226">
            <v>0</v>
          </cell>
          <cell r="L226">
            <v>0</v>
          </cell>
          <cell r="M226">
            <v>0</v>
          </cell>
        </row>
        <row r="227">
          <cell r="D227">
            <v>8302</v>
          </cell>
          <cell r="E227" t="str">
            <v>库存股_会计政策变更调整上年年末余额</v>
          </cell>
          <cell r="F227">
            <v>0</v>
          </cell>
          <cell r="G227">
            <v>0</v>
          </cell>
          <cell r="H227">
            <v>0</v>
          </cell>
          <cell r="I227">
            <v>0</v>
          </cell>
          <cell r="J227">
            <v>0</v>
          </cell>
          <cell r="K227">
            <v>0</v>
          </cell>
          <cell r="L227">
            <v>0</v>
          </cell>
          <cell r="M227">
            <v>0</v>
          </cell>
        </row>
        <row r="228">
          <cell r="D228">
            <v>8303</v>
          </cell>
          <cell r="E228" t="str">
            <v>库存股_前期差错更正调整上年年末余额</v>
          </cell>
          <cell r="F228">
            <v>0</v>
          </cell>
          <cell r="G228">
            <v>0</v>
          </cell>
          <cell r="H228">
            <v>0</v>
          </cell>
          <cell r="I228">
            <v>0</v>
          </cell>
          <cell r="J228">
            <v>0</v>
          </cell>
          <cell r="K228">
            <v>0</v>
          </cell>
          <cell r="L228">
            <v>0</v>
          </cell>
          <cell r="M228">
            <v>0</v>
          </cell>
        </row>
        <row r="229">
          <cell r="D229">
            <v>8309</v>
          </cell>
          <cell r="E229" t="str">
            <v>库存股_其他原因调整上年年末余额</v>
          </cell>
          <cell r="F229">
            <v>0</v>
          </cell>
          <cell r="G229">
            <v>0</v>
          </cell>
          <cell r="H229">
            <v>0</v>
          </cell>
          <cell r="I229">
            <v>0</v>
          </cell>
          <cell r="J229">
            <v>0</v>
          </cell>
          <cell r="K229">
            <v>0</v>
          </cell>
          <cell r="L229">
            <v>0</v>
          </cell>
          <cell r="M229">
            <v>0</v>
          </cell>
        </row>
        <row r="230">
          <cell r="D230">
            <v>8310</v>
          </cell>
          <cell r="E230" t="str">
            <v>库存股_本年年初余额</v>
          </cell>
          <cell r="F230">
            <v>0</v>
          </cell>
          <cell r="G230">
            <v>0</v>
          </cell>
          <cell r="H230">
            <v>0</v>
          </cell>
          <cell r="I230">
            <v>0</v>
          </cell>
          <cell r="J230">
            <v>0</v>
          </cell>
          <cell r="K230">
            <v>0</v>
          </cell>
          <cell r="L230">
            <v>0</v>
          </cell>
          <cell r="M230">
            <v>0</v>
          </cell>
        </row>
        <row r="231">
          <cell r="D231">
            <v>8390</v>
          </cell>
          <cell r="E231" t="str">
            <v>库存股_本期增减变动金额</v>
          </cell>
          <cell r="F231">
            <v>0</v>
          </cell>
          <cell r="G231">
            <v>0</v>
          </cell>
          <cell r="H231">
            <v>0</v>
          </cell>
          <cell r="I231">
            <v>0</v>
          </cell>
          <cell r="J231">
            <v>0</v>
          </cell>
          <cell r="K231">
            <v>0</v>
          </cell>
          <cell r="L231">
            <v>0</v>
          </cell>
          <cell r="M231">
            <v>0</v>
          </cell>
        </row>
        <row r="232">
          <cell r="D232">
            <v>8321</v>
          </cell>
          <cell r="E232" t="str">
            <v>库存股_净利润增加权益</v>
          </cell>
          <cell r="F232">
            <v>0</v>
          </cell>
          <cell r="G232">
            <v>0</v>
          </cell>
          <cell r="H232">
            <v>0</v>
          </cell>
          <cell r="I232">
            <v>0</v>
          </cell>
          <cell r="J232">
            <v>0</v>
          </cell>
          <cell r="K232">
            <v>0</v>
          </cell>
          <cell r="L232">
            <v>0</v>
          </cell>
          <cell r="M232">
            <v>0</v>
          </cell>
        </row>
        <row r="233">
          <cell r="D233">
            <v>8330</v>
          </cell>
          <cell r="E233" t="str">
            <v>库存股_其他综合收益增加权益</v>
          </cell>
          <cell r="F233">
            <v>0</v>
          </cell>
          <cell r="G233">
            <v>0</v>
          </cell>
          <cell r="H233">
            <v>0</v>
          </cell>
          <cell r="I233">
            <v>0</v>
          </cell>
          <cell r="J233">
            <v>0</v>
          </cell>
          <cell r="K233">
            <v>0</v>
          </cell>
          <cell r="L233">
            <v>0</v>
          </cell>
          <cell r="M233">
            <v>0</v>
          </cell>
        </row>
        <row r="234">
          <cell r="D234">
            <v>8340</v>
          </cell>
          <cell r="E234" t="str">
            <v>库存股_净利润与其他综合收益增加权益</v>
          </cell>
          <cell r="F234">
            <v>0</v>
          </cell>
          <cell r="G234">
            <v>0</v>
          </cell>
          <cell r="H234">
            <v>0</v>
          </cell>
          <cell r="I234">
            <v>0</v>
          </cell>
          <cell r="J234">
            <v>0</v>
          </cell>
          <cell r="K234">
            <v>0</v>
          </cell>
          <cell r="L234">
            <v>0</v>
          </cell>
          <cell r="M234">
            <v>0</v>
          </cell>
        </row>
        <row r="235">
          <cell r="D235">
            <v>8350</v>
          </cell>
          <cell r="E235" t="str">
            <v>库存股_所有者投入和减少资本影响权益</v>
          </cell>
          <cell r="F235">
            <v>0</v>
          </cell>
          <cell r="G235">
            <v>0</v>
          </cell>
          <cell r="H235">
            <v>0</v>
          </cell>
          <cell r="I235">
            <v>0</v>
          </cell>
          <cell r="J235">
            <v>0</v>
          </cell>
          <cell r="K235">
            <v>0</v>
          </cell>
          <cell r="L235">
            <v>0</v>
          </cell>
          <cell r="M235">
            <v>0</v>
          </cell>
        </row>
        <row r="236">
          <cell r="D236">
            <v>8351</v>
          </cell>
          <cell r="E236" t="str">
            <v>库存股_所有者投入资本</v>
          </cell>
          <cell r="F236">
            <v>0</v>
          </cell>
          <cell r="G236">
            <v>0</v>
          </cell>
          <cell r="H236">
            <v>0</v>
          </cell>
          <cell r="I236">
            <v>0</v>
          </cell>
          <cell r="J236">
            <v>0</v>
          </cell>
          <cell r="K236">
            <v>0</v>
          </cell>
          <cell r="L236">
            <v>0</v>
          </cell>
          <cell r="M236">
            <v>0</v>
          </cell>
        </row>
        <row r="237">
          <cell r="D237">
            <v>8352</v>
          </cell>
          <cell r="E237" t="str">
            <v>库存股_股份支付</v>
          </cell>
          <cell r="F237">
            <v>0</v>
          </cell>
          <cell r="G237">
            <v>0</v>
          </cell>
          <cell r="H237">
            <v>0</v>
          </cell>
          <cell r="I237">
            <v>0</v>
          </cell>
          <cell r="J237">
            <v>0</v>
          </cell>
          <cell r="K237">
            <v>0</v>
          </cell>
          <cell r="L237">
            <v>0</v>
          </cell>
          <cell r="M237">
            <v>0</v>
          </cell>
        </row>
        <row r="238">
          <cell r="D238">
            <v>8356</v>
          </cell>
          <cell r="E238" t="str">
            <v>库存股_所有者其他投入和减少资本</v>
          </cell>
          <cell r="F238">
            <v>0</v>
          </cell>
          <cell r="G238">
            <v>0</v>
          </cell>
          <cell r="H238">
            <v>0</v>
          </cell>
          <cell r="I238">
            <v>0</v>
          </cell>
          <cell r="J238">
            <v>0</v>
          </cell>
          <cell r="K238">
            <v>0</v>
          </cell>
          <cell r="L238">
            <v>0</v>
          </cell>
          <cell r="M238">
            <v>0</v>
          </cell>
        </row>
        <row r="239">
          <cell r="D239">
            <v>8360</v>
          </cell>
          <cell r="E239" t="str">
            <v>库存股_利润分配影响权益</v>
          </cell>
          <cell r="F239">
            <v>0</v>
          </cell>
          <cell r="G239">
            <v>0</v>
          </cell>
          <cell r="H239">
            <v>0</v>
          </cell>
          <cell r="I239">
            <v>0</v>
          </cell>
          <cell r="J239">
            <v>0</v>
          </cell>
          <cell r="K239">
            <v>0</v>
          </cell>
          <cell r="L239">
            <v>0</v>
          </cell>
          <cell r="M239">
            <v>0</v>
          </cell>
        </row>
        <row r="240">
          <cell r="D240">
            <v>8361</v>
          </cell>
          <cell r="E240" t="str">
            <v>库存股_提取盈余公积影响权益</v>
          </cell>
          <cell r="F240">
            <v>0</v>
          </cell>
          <cell r="G240">
            <v>0</v>
          </cell>
          <cell r="H240">
            <v>0</v>
          </cell>
          <cell r="I240">
            <v>0</v>
          </cell>
          <cell r="J240">
            <v>0</v>
          </cell>
          <cell r="K240">
            <v>0</v>
          </cell>
          <cell r="L240">
            <v>0</v>
          </cell>
          <cell r="M240">
            <v>0</v>
          </cell>
        </row>
        <row r="241">
          <cell r="D241">
            <v>8362</v>
          </cell>
          <cell r="E241" t="str">
            <v>库存股_提取一般风险准备影响权益</v>
          </cell>
          <cell r="F241">
            <v>0</v>
          </cell>
          <cell r="G241">
            <v>0</v>
          </cell>
          <cell r="H241">
            <v>0</v>
          </cell>
          <cell r="I241">
            <v>0</v>
          </cell>
          <cell r="J241">
            <v>0</v>
          </cell>
          <cell r="K241">
            <v>0</v>
          </cell>
          <cell r="L241">
            <v>0</v>
          </cell>
          <cell r="M241">
            <v>0</v>
          </cell>
        </row>
        <row r="242">
          <cell r="D242">
            <v>8363</v>
          </cell>
          <cell r="E242" t="str">
            <v>库存股_对所有者的分配</v>
          </cell>
          <cell r="F242">
            <v>0</v>
          </cell>
          <cell r="G242">
            <v>0</v>
          </cell>
          <cell r="H242">
            <v>0</v>
          </cell>
          <cell r="I242">
            <v>0</v>
          </cell>
          <cell r="J242">
            <v>0</v>
          </cell>
          <cell r="K242">
            <v>0</v>
          </cell>
          <cell r="L242">
            <v>0</v>
          </cell>
          <cell r="M242">
            <v>0</v>
          </cell>
        </row>
        <row r="243">
          <cell r="D243">
            <v>8366</v>
          </cell>
          <cell r="E243" t="str">
            <v>库存股_其他利润分配</v>
          </cell>
          <cell r="F243">
            <v>0</v>
          </cell>
          <cell r="G243">
            <v>0</v>
          </cell>
          <cell r="H243">
            <v>0</v>
          </cell>
          <cell r="I243">
            <v>0</v>
          </cell>
          <cell r="J243">
            <v>0</v>
          </cell>
          <cell r="K243">
            <v>0</v>
          </cell>
          <cell r="L243">
            <v>0</v>
          </cell>
          <cell r="M243">
            <v>0</v>
          </cell>
        </row>
        <row r="244">
          <cell r="D244">
            <v>8370</v>
          </cell>
          <cell r="E244" t="str">
            <v>库存股_所有者权益内部结转</v>
          </cell>
          <cell r="F244">
            <v>0</v>
          </cell>
          <cell r="G244">
            <v>0</v>
          </cell>
          <cell r="H244">
            <v>0</v>
          </cell>
          <cell r="I244">
            <v>0</v>
          </cell>
          <cell r="J244">
            <v>0</v>
          </cell>
          <cell r="K244">
            <v>0</v>
          </cell>
          <cell r="L244">
            <v>0</v>
          </cell>
          <cell r="M244">
            <v>0</v>
          </cell>
        </row>
        <row r="245">
          <cell r="D245">
            <v>8371</v>
          </cell>
          <cell r="E245" t="str">
            <v>库存股_资本公积转增资本影响权益</v>
          </cell>
          <cell r="F245">
            <v>0</v>
          </cell>
          <cell r="G245">
            <v>0</v>
          </cell>
          <cell r="H245">
            <v>0</v>
          </cell>
          <cell r="I245">
            <v>0</v>
          </cell>
          <cell r="J245">
            <v>0</v>
          </cell>
          <cell r="K245">
            <v>0</v>
          </cell>
          <cell r="L245">
            <v>0</v>
          </cell>
          <cell r="M245">
            <v>0</v>
          </cell>
        </row>
        <row r="246">
          <cell r="D246">
            <v>8372</v>
          </cell>
          <cell r="E246" t="str">
            <v>库存股_盈余公积转增资本影响权益</v>
          </cell>
          <cell r="F246">
            <v>0</v>
          </cell>
          <cell r="G246">
            <v>0</v>
          </cell>
          <cell r="H246">
            <v>0</v>
          </cell>
          <cell r="I246">
            <v>0</v>
          </cell>
          <cell r="J246">
            <v>0</v>
          </cell>
          <cell r="K246">
            <v>0</v>
          </cell>
          <cell r="L246">
            <v>0</v>
          </cell>
          <cell r="M246">
            <v>0</v>
          </cell>
        </row>
        <row r="247">
          <cell r="D247">
            <v>8373</v>
          </cell>
          <cell r="E247" t="str">
            <v>库存股_盈余公积弥补亏损影响权益</v>
          </cell>
          <cell r="F247">
            <v>0</v>
          </cell>
          <cell r="G247">
            <v>0</v>
          </cell>
          <cell r="H247">
            <v>0</v>
          </cell>
          <cell r="I247">
            <v>0</v>
          </cell>
          <cell r="J247">
            <v>0</v>
          </cell>
          <cell r="K247">
            <v>0</v>
          </cell>
          <cell r="L247">
            <v>0</v>
          </cell>
          <cell r="M247">
            <v>0</v>
          </cell>
        </row>
        <row r="248">
          <cell r="D248">
            <v>8376</v>
          </cell>
          <cell r="E248" t="str">
            <v>库存股_所有者权益其他内部结转</v>
          </cell>
          <cell r="F248">
            <v>0</v>
          </cell>
          <cell r="G248">
            <v>0</v>
          </cell>
          <cell r="H248">
            <v>0</v>
          </cell>
          <cell r="I248">
            <v>0</v>
          </cell>
          <cell r="J248">
            <v>0</v>
          </cell>
          <cell r="K248">
            <v>0</v>
          </cell>
          <cell r="L248">
            <v>0</v>
          </cell>
          <cell r="M248">
            <v>0</v>
          </cell>
        </row>
        <row r="249">
          <cell r="D249">
            <v>8380</v>
          </cell>
          <cell r="E249" t="str">
            <v>库存股_专项储备影响权益</v>
          </cell>
          <cell r="F249">
            <v>0</v>
          </cell>
          <cell r="G249">
            <v>0</v>
          </cell>
          <cell r="H249">
            <v>0</v>
          </cell>
          <cell r="I249">
            <v>0</v>
          </cell>
          <cell r="J249">
            <v>0</v>
          </cell>
          <cell r="K249">
            <v>0</v>
          </cell>
          <cell r="L249">
            <v>0</v>
          </cell>
          <cell r="M249">
            <v>0</v>
          </cell>
        </row>
        <row r="250">
          <cell r="D250">
            <v>8381</v>
          </cell>
          <cell r="E250" t="str">
            <v>库存股_专项储备本期提取</v>
          </cell>
          <cell r="F250">
            <v>0</v>
          </cell>
          <cell r="G250">
            <v>0</v>
          </cell>
          <cell r="H250">
            <v>0</v>
          </cell>
          <cell r="I250">
            <v>0</v>
          </cell>
          <cell r="J250">
            <v>0</v>
          </cell>
          <cell r="K250">
            <v>0</v>
          </cell>
          <cell r="L250">
            <v>0</v>
          </cell>
          <cell r="M250">
            <v>0</v>
          </cell>
        </row>
        <row r="251">
          <cell r="D251">
            <v>8382</v>
          </cell>
          <cell r="E251" t="str">
            <v>库存股_专项储备本期使用</v>
          </cell>
          <cell r="F251">
            <v>0</v>
          </cell>
          <cell r="G251">
            <v>0</v>
          </cell>
          <cell r="H251">
            <v>0</v>
          </cell>
          <cell r="I251">
            <v>0</v>
          </cell>
          <cell r="J251">
            <v>0</v>
          </cell>
          <cell r="K251">
            <v>0</v>
          </cell>
          <cell r="L251">
            <v>0</v>
          </cell>
          <cell r="M251">
            <v>0</v>
          </cell>
        </row>
        <row r="252">
          <cell r="D252">
            <v>8396</v>
          </cell>
          <cell r="E252" t="str">
            <v>库存股_本期其他增减变动</v>
          </cell>
          <cell r="F252">
            <v>0</v>
          </cell>
          <cell r="G252">
            <v>0</v>
          </cell>
          <cell r="H252">
            <v>0</v>
          </cell>
          <cell r="I252">
            <v>0</v>
          </cell>
          <cell r="J252">
            <v>0</v>
          </cell>
          <cell r="K252">
            <v>0</v>
          </cell>
          <cell r="L252">
            <v>0</v>
          </cell>
          <cell r="M252">
            <v>0</v>
          </cell>
        </row>
        <row r="253">
          <cell r="D253">
            <v>8399</v>
          </cell>
          <cell r="E253" t="str">
            <v>库存股_本期期末余额</v>
          </cell>
          <cell r="F253">
            <v>0</v>
          </cell>
          <cell r="G253">
            <v>0</v>
          </cell>
          <cell r="H253">
            <v>0</v>
          </cell>
          <cell r="I253">
            <v>0</v>
          </cell>
          <cell r="J253">
            <v>0</v>
          </cell>
          <cell r="K253">
            <v>0</v>
          </cell>
          <cell r="L253">
            <v>0</v>
          </cell>
          <cell r="M253">
            <v>0</v>
          </cell>
        </row>
        <row r="254">
          <cell r="D254">
            <v>8400</v>
          </cell>
          <cell r="E254" t="str">
            <v>专项储备增减变动</v>
          </cell>
          <cell r="F254">
            <v>0</v>
          </cell>
          <cell r="G254">
            <v>0</v>
          </cell>
          <cell r="H254">
            <v>0</v>
          </cell>
          <cell r="I254">
            <v>0</v>
          </cell>
          <cell r="J254">
            <v>0</v>
          </cell>
          <cell r="K254">
            <v>0</v>
          </cell>
          <cell r="L254">
            <v>0</v>
          </cell>
          <cell r="M254">
            <v>0</v>
          </cell>
        </row>
        <row r="255">
          <cell r="D255">
            <v>8401</v>
          </cell>
          <cell r="E255" t="str">
            <v>专项储备_上年年末余额</v>
          </cell>
          <cell r="F255">
            <v>0</v>
          </cell>
          <cell r="G255">
            <v>0</v>
          </cell>
          <cell r="H255">
            <v>0</v>
          </cell>
          <cell r="I255">
            <v>0</v>
          </cell>
          <cell r="J255">
            <v>0</v>
          </cell>
          <cell r="K255">
            <v>0</v>
          </cell>
          <cell r="L255">
            <v>0</v>
          </cell>
          <cell r="M255">
            <v>0</v>
          </cell>
        </row>
        <row r="256">
          <cell r="D256">
            <v>8402</v>
          </cell>
          <cell r="E256" t="str">
            <v>专项储备_会计政策变更调整上年年末余额</v>
          </cell>
          <cell r="F256">
            <v>0</v>
          </cell>
          <cell r="G256">
            <v>0</v>
          </cell>
          <cell r="H256">
            <v>0</v>
          </cell>
          <cell r="I256">
            <v>0</v>
          </cell>
          <cell r="J256">
            <v>0</v>
          </cell>
          <cell r="K256">
            <v>0</v>
          </cell>
          <cell r="L256">
            <v>0</v>
          </cell>
          <cell r="M256">
            <v>0</v>
          </cell>
        </row>
        <row r="257">
          <cell r="D257">
            <v>8403</v>
          </cell>
          <cell r="E257" t="str">
            <v>专项储备_前期差错更正调整上年年末余额</v>
          </cell>
          <cell r="F257">
            <v>0</v>
          </cell>
          <cell r="G257">
            <v>0</v>
          </cell>
          <cell r="H257">
            <v>0</v>
          </cell>
          <cell r="I257">
            <v>0</v>
          </cell>
          <cell r="J257">
            <v>0</v>
          </cell>
          <cell r="K257">
            <v>0</v>
          </cell>
          <cell r="L257">
            <v>0</v>
          </cell>
          <cell r="M257">
            <v>0</v>
          </cell>
        </row>
        <row r="258">
          <cell r="D258">
            <v>8409</v>
          </cell>
          <cell r="E258" t="str">
            <v>专项储备_其他原因调整上年年末余额</v>
          </cell>
          <cell r="F258">
            <v>0</v>
          </cell>
          <cell r="G258">
            <v>0</v>
          </cell>
          <cell r="H258">
            <v>0</v>
          </cell>
          <cell r="I258">
            <v>0</v>
          </cell>
          <cell r="J258">
            <v>0</v>
          </cell>
          <cell r="K258">
            <v>0</v>
          </cell>
          <cell r="L258">
            <v>0</v>
          </cell>
          <cell r="M258">
            <v>0</v>
          </cell>
        </row>
        <row r="259">
          <cell r="D259">
            <v>8410</v>
          </cell>
          <cell r="E259" t="str">
            <v>专项储备_本年年初余额</v>
          </cell>
          <cell r="F259">
            <v>0</v>
          </cell>
          <cell r="G259">
            <v>0</v>
          </cell>
          <cell r="H259">
            <v>0</v>
          </cell>
          <cell r="I259">
            <v>0</v>
          </cell>
          <cell r="J259">
            <v>0</v>
          </cell>
          <cell r="K259">
            <v>0</v>
          </cell>
          <cell r="L259">
            <v>0</v>
          </cell>
          <cell r="M259">
            <v>0</v>
          </cell>
        </row>
        <row r="260">
          <cell r="D260">
            <v>8490</v>
          </cell>
          <cell r="E260" t="str">
            <v>专项储备_本期增减变动金额</v>
          </cell>
          <cell r="F260">
            <v>0</v>
          </cell>
          <cell r="G260">
            <v>0</v>
          </cell>
          <cell r="H260">
            <v>0</v>
          </cell>
          <cell r="I260">
            <v>0</v>
          </cell>
          <cell r="J260">
            <v>0</v>
          </cell>
          <cell r="K260">
            <v>0</v>
          </cell>
          <cell r="L260">
            <v>0</v>
          </cell>
          <cell r="M260">
            <v>0</v>
          </cell>
        </row>
        <row r="261">
          <cell r="D261">
            <v>8421</v>
          </cell>
          <cell r="E261" t="str">
            <v>专项储备_净利润增加权益</v>
          </cell>
          <cell r="F261">
            <v>0</v>
          </cell>
          <cell r="G261">
            <v>0</v>
          </cell>
          <cell r="H261">
            <v>0</v>
          </cell>
          <cell r="I261">
            <v>0</v>
          </cell>
          <cell r="J261">
            <v>0</v>
          </cell>
          <cell r="K261">
            <v>0</v>
          </cell>
          <cell r="L261">
            <v>0</v>
          </cell>
          <cell r="M261">
            <v>0</v>
          </cell>
        </row>
        <row r="262">
          <cell r="D262">
            <v>8430</v>
          </cell>
          <cell r="E262" t="str">
            <v>专项储备_其他综合收益增加权益</v>
          </cell>
          <cell r="F262">
            <v>0</v>
          </cell>
          <cell r="G262">
            <v>0</v>
          </cell>
          <cell r="H262">
            <v>0</v>
          </cell>
          <cell r="I262">
            <v>0</v>
          </cell>
          <cell r="J262">
            <v>0</v>
          </cell>
          <cell r="K262">
            <v>0</v>
          </cell>
          <cell r="L262">
            <v>0</v>
          </cell>
          <cell r="M262">
            <v>0</v>
          </cell>
        </row>
        <row r="263">
          <cell r="D263">
            <v>8440</v>
          </cell>
          <cell r="E263" t="str">
            <v>专项储备_净利润与其他综合收益增加权益</v>
          </cell>
          <cell r="F263">
            <v>0</v>
          </cell>
          <cell r="G263">
            <v>0</v>
          </cell>
          <cell r="H263">
            <v>0</v>
          </cell>
          <cell r="I263">
            <v>0</v>
          </cell>
          <cell r="J263">
            <v>0</v>
          </cell>
          <cell r="K263">
            <v>0</v>
          </cell>
          <cell r="L263">
            <v>0</v>
          </cell>
          <cell r="M263">
            <v>0</v>
          </cell>
        </row>
        <row r="264">
          <cell r="D264">
            <v>8450</v>
          </cell>
          <cell r="E264" t="str">
            <v>专项储备_所有者投入和减少资本影响权益</v>
          </cell>
          <cell r="F264">
            <v>0</v>
          </cell>
          <cell r="G264">
            <v>0</v>
          </cell>
          <cell r="H264">
            <v>0</v>
          </cell>
          <cell r="I264">
            <v>0</v>
          </cell>
          <cell r="J264">
            <v>0</v>
          </cell>
          <cell r="K264">
            <v>0</v>
          </cell>
          <cell r="L264">
            <v>0</v>
          </cell>
          <cell r="M264">
            <v>0</v>
          </cell>
        </row>
        <row r="265">
          <cell r="D265">
            <v>8451</v>
          </cell>
          <cell r="E265" t="str">
            <v>专项储备_所有者投入资本增加权益</v>
          </cell>
          <cell r="F265">
            <v>0</v>
          </cell>
          <cell r="G265">
            <v>0</v>
          </cell>
          <cell r="H265">
            <v>0</v>
          </cell>
          <cell r="I265">
            <v>0</v>
          </cell>
          <cell r="J265">
            <v>0</v>
          </cell>
          <cell r="K265">
            <v>0</v>
          </cell>
          <cell r="L265">
            <v>0</v>
          </cell>
          <cell r="M265">
            <v>0</v>
          </cell>
        </row>
        <row r="266">
          <cell r="D266">
            <v>8452</v>
          </cell>
          <cell r="E266" t="str">
            <v>专项储备_股份支付计入所有者权益的金额</v>
          </cell>
          <cell r="F266">
            <v>0</v>
          </cell>
          <cell r="G266">
            <v>0</v>
          </cell>
          <cell r="H266">
            <v>0</v>
          </cell>
          <cell r="I266">
            <v>0</v>
          </cell>
          <cell r="J266">
            <v>0</v>
          </cell>
          <cell r="K266">
            <v>0</v>
          </cell>
          <cell r="L266">
            <v>0</v>
          </cell>
          <cell r="M266">
            <v>0</v>
          </cell>
        </row>
        <row r="267">
          <cell r="D267">
            <v>8456</v>
          </cell>
          <cell r="E267" t="str">
            <v>专项储备_所有者其他投入和减少资本</v>
          </cell>
          <cell r="F267">
            <v>0</v>
          </cell>
          <cell r="G267">
            <v>0</v>
          </cell>
          <cell r="H267">
            <v>0</v>
          </cell>
          <cell r="I267">
            <v>0</v>
          </cell>
          <cell r="J267">
            <v>0</v>
          </cell>
          <cell r="K267">
            <v>0</v>
          </cell>
          <cell r="L267">
            <v>0</v>
          </cell>
          <cell r="M267">
            <v>0</v>
          </cell>
        </row>
        <row r="268">
          <cell r="D268">
            <v>8460</v>
          </cell>
          <cell r="E268" t="str">
            <v>专项储备_利润分配影响权益</v>
          </cell>
          <cell r="F268">
            <v>0</v>
          </cell>
          <cell r="G268">
            <v>0</v>
          </cell>
          <cell r="H268">
            <v>0</v>
          </cell>
          <cell r="I268">
            <v>0</v>
          </cell>
          <cell r="J268">
            <v>0</v>
          </cell>
          <cell r="K268">
            <v>0</v>
          </cell>
          <cell r="L268">
            <v>0</v>
          </cell>
          <cell r="M268">
            <v>0</v>
          </cell>
        </row>
        <row r="269">
          <cell r="D269">
            <v>8461</v>
          </cell>
          <cell r="E269" t="str">
            <v>专项储备_提取盈余公积影响权益</v>
          </cell>
          <cell r="F269">
            <v>0</v>
          </cell>
          <cell r="G269">
            <v>0</v>
          </cell>
          <cell r="H269">
            <v>0</v>
          </cell>
          <cell r="I269">
            <v>0</v>
          </cell>
          <cell r="J269">
            <v>0</v>
          </cell>
          <cell r="K269">
            <v>0</v>
          </cell>
          <cell r="L269">
            <v>0</v>
          </cell>
          <cell r="M269">
            <v>0</v>
          </cell>
        </row>
        <row r="270">
          <cell r="D270">
            <v>8462</v>
          </cell>
          <cell r="E270" t="str">
            <v>专项储备_提取一般风险准备影响权益</v>
          </cell>
          <cell r="F270">
            <v>0</v>
          </cell>
          <cell r="G270">
            <v>0</v>
          </cell>
          <cell r="H270">
            <v>0</v>
          </cell>
          <cell r="I270">
            <v>0</v>
          </cell>
          <cell r="J270">
            <v>0</v>
          </cell>
          <cell r="K270">
            <v>0</v>
          </cell>
          <cell r="L270">
            <v>0</v>
          </cell>
          <cell r="M270">
            <v>0</v>
          </cell>
        </row>
        <row r="271">
          <cell r="D271">
            <v>8463</v>
          </cell>
          <cell r="E271" t="str">
            <v>专项储备_对所有者的分配影响权益</v>
          </cell>
          <cell r="F271">
            <v>0</v>
          </cell>
          <cell r="G271">
            <v>0</v>
          </cell>
          <cell r="H271">
            <v>0</v>
          </cell>
          <cell r="I271">
            <v>0</v>
          </cell>
          <cell r="J271">
            <v>0</v>
          </cell>
          <cell r="K271">
            <v>0</v>
          </cell>
          <cell r="L271">
            <v>0</v>
          </cell>
          <cell r="M271">
            <v>0</v>
          </cell>
        </row>
        <row r="272">
          <cell r="D272">
            <v>8466</v>
          </cell>
          <cell r="E272" t="str">
            <v>专项储备_其他利润分配影响权益</v>
          </cell>
          <cell r="F272">
            <v>0</v>
          </cell>
          <cell r="G272">
            <v>0</v>
          </cell>
          <cell r="H272">
            <v>0</v>
          </cell>
          <cell r="I272">
            <v>0</v>
          </cell>
          <cell r="J272">
            <v>0</v>
          </cell>
          <cell r="K272">
            <v>0</v>
          </cell>
          <cell r="L272">
            <v>0</v>
          </cell>
          <cell r="M272">
            <v>0</v>
          </cell>
        </row>
        <row r="273">
          <cell r="D273">
            <v>8470</v>
          </cell>
          <cell r="E273" t="str">
            <v>专项储备_所有者权益内部结转</v>
          </cell>
          <cell r="F273">
            <v>0</v>
          </cell>
          <cell r="G273">
            <v>0</v>
          </cell>
          <cell r="H273">
            <v>0</v>
          </cell>
          <cell r="I273">
            <v>0</v>
          </cell>
          <cell r="J273">
            <v>0</v>
          </cell>
          <cell r="K273">
            <v>0</v>
          </cell>
          <cell r="L273">
            <v>0</v>
          </cell>
          <cell r="M273">
            <v>0</v>
          </cell>
        </row>
        <row r="274">
          <cell r="D274">
            <v>8471</v>
          </cell>
          <cell r="E274" t="str">
            <v>专项储备_资本公积转增资本影响权益</v>
          </cell>
          <cell r="F274">
            <v>0</v>
          </cell>
          <cell r="G274">
            <v>0</v>
          </cell>
          <cell r="H274">
            <v>0</v>
          </cell>
          <cell r="I274">
            <v>0</v>
          </cell>
          <cell r="J274">
            <v>0</v>
          </cell>
          <cell r="K274">
            <v>0</v>
          </cell>
          <cell r="L274">
            <v>0</v>
          </cell>
          <cell r="M274">
            <v>0</v>
          </cell>
        </row>
        <row r="275">
          <cell r="D275">
            <v>8472</v>
          </cell>
          <cell r="E275" t="str">
            <v>专项储备_盈余公积转增资本影响权益</v>
          </cell>
          <cell r="F275">
            <v>0</v>
          </cell>
          <cell r="G275">
            <v>0</v>
          </cell>
          <cell r="H275">
            <v>0</v>
          </cell>
          <cell r="I275">
            <v>0</v>
          </cell>
          <cell r="J275">
            <v>0</v>
          </cell>
          <cell r="K275">
            <v>0</v>
          </cell>
          <cell r="L275">
            <v>0</v>
          </cell>
          <cell r="M275">
            <v>0</v>
          </cell>
        </row>
        <row r="276">
          <cell r="D276">
            <v>8473</v>
          </cell>
          <cell r="E276" t="str">
            <v>专项储备_盈余公积弥补亏损影响权益</v>
          </cell>
          <cell r="F276">
            <v>0</v>
          </cell>
          <cell r="G276">
            <v>0</v>
          </cell>
          <cell r="H276">
            <v>0</v>
          </cell>
          <cell r="I276">
            <v>0</v>
          </cell>
          <cell r="J276">
            <v>0</v>
          </cell>
          <cell r="K276">
            <v>0</v>
          </cell>
          <cell r="L276">
            <v>0</v>
          </cell>
          <cell r="M276">
            <v>0</v>
          </cell>
        </row>
        <row r="277">
          <cell r="D277">
            <v>8476</v>
          </cell>
          <cell r="E277" t="str">
            <v>专项储备_所有者权益其他内部结转</v>
          </cell>
          <cell r="F277">
            <v>0</v>
          </cell>
          <cell r="G277">
            <v>0</v>
          </cell>
          <cell r="H277">
            <v>0</v>
          </cell>
          <cell r="I277">
            <v>0</v>
          </cell>
          <cell r="J277">
            <v>0</v>
          </cell>
          <cell r="K277">
            <v>0</v>
          </cell>
          <cell r="L277">
            <v>0</v>
          </cell>
          <cell r="M277">
            <v>0</v>
          </cell>
        </row>
        <row r="278">
          <cell r="D278">
            <v>8480</v>
          </cell>
          <cell r="E278" t="str">
            <v>专项储备_专项储备影响权益</v>
          </cell>
          <cell r="F278">
            <v>0</v>
          </cell>
          <cell r="G278">
            <v>0</v>
          </cell>
          <cell r="H278">
            <v>0</v>
          </cell>
          <cell r="I278">
            <v>0</v>
          </cell>
          <cell r="J278">
            <v>0</v>
          </cell>
          <cell r="K278">
            <v>0</v>
          </cell>
          <cell r="L278">
            <v>0</v>
          </cell>
          <cell r="M278">
            <v>0</v>
          </cell>
        </row>
        <row r="279">
          <cell r="D279">
            <v>8481</v>
          </cell>
          <cell r="E279" t="str">
            <v>专项储备_本期提取</v>
          </cell>
          <cell r="F279">
            <v>0</v>
          </cell>
          <cell r="G279">
            <v>0</v>
          </cell>
          <cell r="H279">
            <v>0</v>
          </cell>
          <cell r="I279">
            <v>0</v>
          </cell>
          <cell r="J279">
            <v>0</v>
          </cell>
          <cell r="K279">
            <v>0</v>
          </cell>
          <cell r="L279">
            <v>0</v>
          </cell>
          <cell r="M279">
            <v>0</v>
          </cell>
        </row>
        <row r="280">
          <cell r="D280">
            <v>8482</v>
          </cell>
          <cell r="E280" t="str">
            <v>专项储备_本期使用</v>
          </cell>
          <cell r="F280">
            <v>0</v>
          </cell>
          <cell r="G280">
            <v>0</v>
          </cell>
          <cell r="H280">
            <v>0</v>
          </cell>
          <cell r="I280">
            <v>0</v>
          </cell>
          <cell r="J280">
            <v>0</v>
          </cell>
          <cell r="K280">
            <v>0</v>
          </cell>
          <cell r="L280">
            <v>0</v>
          </cell>
          <cell r="M280">
            <v>0</v>
          </cell>
        </row>
        <row r="281">
          <cell r="D281">
            <v>8496</v>
          </cell>
          <cell r="E281" t="str">
            <v>专项储备_本期其他增减变动</v>
          </cell>
          <cell r="F281">
            <v>0</v>
          </cell>
          <cell r="G281">
            <v>0</v>
          </cell>
          <cell r="H281">
            <v>0</v>
          </cell>
          <cell r="I281">
            <v>0</v>
          </cell>
          <cell r="J281">
            <v>0</v>
          </cell>
          <cell r="K281">
            <v>0</v>
          </cell>
          <cell r="L281">
            <v>0</v>
          </cell>
          <cell r="M281">
            <v>0</v>
          </cell>
        </row>
        <row r="282">
          <cell r="D282">
            <v>8499</v>
          </cell>
          <cell r="E282" t="str">
            <v>专项储备_本期期末余额</v>
          </cell>
          <cell r="F282">
            <v>0</v>
          </cell>
          <cell r="G282">
            <v>0</v>
          </cell>
          <cell r="H282">
            <v>0</v>
          </cell>
          <cell r="I282">
            <v>0</v>
          </cell>
          <cell r="J282">
            <v>0</v>
          </cell>
          <cell r="K282">
            <v>0</v>
          </cell>
          <cell r="L282">
            <v>0</v>
          </cell>
          <cell r="M282">
            <v>0</v>
          </cell>
        </row>
        <row r="283">
          <cell r="D283">
            <v>8500</v>
          </cell>
          <cell r="E283" t="str">
            <v>盈余公积增减变动</v>
          </cell>
          <cell r="F283">
            <v>0</v>
          </cell>
          <cell r="G283">
            <v>0</v>
          </cell>
          <cell r="H283">
            <v>0</v>
          </cell>
          <cell r="I283">
            <v>0</v>
          </cell>
          <cell r="J283">
            <v>0</v>
          </cell>
          <cell r="K283">
            <v>0</v>
          </cell>
          <cell r="L283">
            <v>0</v>
          </cell>
          <cell r="M283">
            <v>0</v>
          </cell>
        </row>
        <row r="284">
          <cell r="D284">
            <v>8501</v>
          </cell>
          <cell r="E284" t="str">
            <v>盈余公积_上年年末余额</v>
          </cell>
          <cell r="F284">
            <v>81583400.599999994</v>
          </cell>
          <cell r="G284">
            <v>0</v>
          </cell>
          <cell r="H284">
            <v>0</v>
          </cell>
          <cell r="I284">
            <v>81583400.599999994</v>
          </cell>
          <cell r="J284">
            <v>39306618.890000001</v>
          </cell>
          <cell r="K284">
            <v>0</v>
          </cell>
          <cell r="L284">
            <v>0</v>
          </cell>
          <cell r="M284">
            <v>39306618.890000001</v>
          </cell>
        </row>
        <row r="285">
          <cell r="D285">
            <v>8502</v>
          </cell>
          <cell r="E285" t="str">
            <v>盈余公积_会计政策变更调整上年年末余额</v>
          </cell>
          <cell r="F285">
            <v>0</v>
          </cell>
          <cell r="G285">
            <v>0</v>
          </cell>
          <cell r="H285">
            <v>0</v>
          </cell>
          <cell r="I285">
            <v>0</v>
          </cell>
          <cell r="J285">
            <v>0</v>
          </cell>
          <cell r="K285">
            <v>0</v>
          </cell>
          <cell r="L285">
            <v>0</v>
          </cell>
          <cell r="M285">
            <v>0</v>
          </cell>
        </row>
        <row r="286">
          <cell r="D286">
            <v>8503</v>
          </cell>
          <cell r="E286" t="str">
            <v>盈余公积_前期差错更正调整上年年末余额</v>
          </cell>
          <cell r="F286">
            <v>0</v>
          </cell>
          <cell r="G286">
            <v>0</v>
          </cell>
          <cell r="H286">
            <v>0</v>
          </cell>
          <cell r="I286">
            <v>0</v>
          </cell>
          <cell r="J286">
            <v>0</v>
          </cell>
          <cell r="K286">
            <v>0</v>
          </cell>
          <cell r="L286">
            <v>0</v>
          </cell>
          <cell r="M286">
            <v>0</v>
          </cell>
        </row>
        <row r="287">
          <cell r="D287">
            <v>8509</v>
          </cell>
          <cell r="E287" t="str">
            <v>盈余公积_其他原因调整上年年末余额</v>
          </cell>
          <cell r="F287">
            <v>0</v>
          </cell>
          <cell r="G287">
            <v>0</v>
          </cell>
          <cell r="H287">
            <v>0</v>
          </cell>
          <cell r="I287">
            <v>0</v>
          </cell>
          <cell r="J287">
            <v>0</v>
          </cell>
          <cell r="K287">
            <v>0</v>
          </cell>
          <cell r="L287">
            <v>0</v>
          </cell>
          <cell r="M287">
            <v>0</v>
          </cell>
        </row>
        <row r="288">
          <cell r="D288">
            <v>8510</v>
          </cell>
          <cell r="E288" t="str">
            <v>盈余公积_本年年初余额</v>
          </cell>
          <cell r="F288">
            <v>81583400.599999994</v>
          </cell>
          <cell r="G288">
            <v>0</v>
          </cell>
          <cell r="H288">
            <v>0</v>
          </cell>
          <cell r="I288">
            <v>81583400.599999994</v>
          </cell>
          <cell r="J288">
            <v>39306618.890000001</v>
          </cell>
          <cell r="K288">
            <v>0</v>
          </cell>
          <cell r="L288">
            <v>0</v>
          </cell>
          <cell r="M288">
            <v>39306618.890000001</v>
          </cell>
        </row>
        <row r="289">
          <cell r="D289">
            <v>8590</v>
          </cell>
          <cell r="E289" t="str">
            <v>盈余公积_本期增减变动金额</v>
          </cell>
          <cell r="F289">
            <v>22017072.390000001</v>
          </cell>
          <cell r="G289">
            <v>0</v>
          </cell>
          <cell r="H289">
            <v>7737162.7999999998</v>
          </cell>
          <cell r="I289">
            <v>29754235.190000001</v>
          </cell>
          <cell r="J289">
            <v>42276781.710000001</v>
          </cell>
          <cell r="K289">
            <v>0</v>
          </cell>
          <cell r="L289">
            <v>0</v>
          </cell>
          <cell r="M289">
            <v>42276781.710000001</v>
          </cell>
        </row>
        <row r="290">
          <cell r="D290">
            <v>8521</v>
          </cell>
          <cell r="E290" t="str">
            <v>盈余公积_净利润增加权益</v>
          </cell>
          <cell r="F290">
            <v>0</v>
          </cell>
          <cell r="G290">
            <v>0</v>
          </cell>
          <cell r="H290">
            <v>0</v>
          </cell>
          <cell r="I290">
            <v>0</v>
          </cell>
          <cell r="J290">
            <v>0</v>
          </cell>
          <cell r="K290">
            <v>0</v>
          </cell>
          <cell r="L290">
            <v>0</v>
          </cell>
          <cell r="M290">
            <v>0</v>
          </cell>
        </row>
        <row r="291">
          <cell r="D291">
            <v>8530</v>
          </cell>
          <cell r="E291" t="str">
            <v>盈余公积_其他综合收益增加权益</v>
          </cell>
          <cell r="F291">
            <v>0</v>
          </cell>
          <cell r="G291">
            <v>0</v>
          </cell>
          <cell r="H291">
            <v>0</v>
          </cell>
          <cell r="I291">
            <v>0</v>
          </cell>
          <cell r="J291">
            <v>0</v>
          </cell>
          <cell r="K291">
            <v>0</v>
          </cell>
          <cell r="L291">
            <v>0</v>
          </cell>
          <cell r="M291">
            <v>0</v>
          </cell>
        </row>
        <row r="292">
          <cell r="D292">
            <v>8540</v>
          </cell>
          <cell r="E292" t="str">
            <v>盈余公积_净利润与其他综合收益增加权益</v>
          </cell>
          <cell r="F292">
            <v>0</v>
          </cell>
          <cell r="G292">
            <v>0</v>
          </cell>
          <cell r="H292">
            <v>0</v>
          </cell>
          <cell r="I292">
            <v>0</v>
          </cell>
          <cell r="J292">
            <v>0</v>
          </cell>
          <cell r="K292">
            <v>0</v>
          </cell>
          <cell r="L292">
            <v>0</v>
          </cell>
          <cell r="M292">
            <v>0</v>
          </cell>
        </row>
        <row r="293">
          <cell r="D293">
            <v>8550</v>
          </cell>
          <cell r="E293" t="str">
            <v>盈余公积_所有者投入和减少资本影响权益</v>
          </cell>
          <cell r="F293">
            <v>0</v>
          </cell>
          <cell r="G293">
            <v>0</v>
          </cell>
          <cell r="H293">
            <v>0</v>
          </cell>
          <cell r="I293">
            <v>0</v>
          </cell>
          <cell r="J293">
            <v>0</v>
          </cell>
          <cell r="K293">
            <v>0</v>
          </cell>
          <cell r="L293">
            <v>0</v>
          </cell>
          <cell r="M293">
            <v>0</v>
          </cell>
        </row>
        <row r="294">
          <cell r="D294">
            <v>8551</v>
          </cell>
          <cell r="E294" t="str">
            <v>盈余公积_所有者投入资本增加权益</v>
          </cell>
          <cell r="F294">
            <v>0</v>
          </cell>
          <cell r="G294">
            <v>0</v>
          </cell>
          <cell r="H294">
            <v>0</v>
          </cell>
          <cell r="I294">
            <v>0</v>
          </cell>
          <cell r="J294">
            <v>0</v>
          </cell>
          <cell r="K294">
            <v>0</v>
          </cell>
          <cell r="L294">
            <v>0</v>
          </cell>
          <cell r="M294">
            <v>0</v>
          </cell>
        </row>
        <row r="295">
          <cell r="D295">
            <v>8552</v>
          </cell>
          <cell r="E295" t="str">
            <v>盈余公积_股份支付计入所有者权益的金额</v>
          </cell>
          <cell r="F295">
            <v>0</v>
          </cell>
          <cell r="G295">
            <v>0</v>
          </cell>
          <cell r="H295">
            <v>0</v>
          </cell>
          <cell r="I295">
            <v>0</v>
          </cell>
          <cell r="J295">
            <v>0</v>
          </cell>
          <cell r="K295">
            <v>0</v>
          </cell>
          <cell r="L295">
            <v>0</v>
          </cell>
          <cell r="M295">
            <v>0</v>
          </cell>
        </row>
        <row r="296">
          <cell r="D296">
            <v>8556</v>
          </cell>
          <cell r="E296" t="str">
            <v>盈余公积_所有者其他投入和减少资本</v>
          </cell>
          <cell r="F296">
            <v>0</v>
          </cell>
          <cell r="G296">
            <v>0</v>
          </cell>
          <cell r="H296">
            <v>0</v>
          </cell>
          <cell r="I296">
            <v>0</v>
          </cell>
          <cell r="J296">
            <v>0</v>
          </cell>
          <cell r="K296">
            <v>0</v>
          </cell>
          <cell r="L296">
            <v>0</v>
          </cell>
          <cell r="M296">
            <v>0</v>
          </cell>
        </row>
        <row r="297">
          <cell r="D297">
            <v>8560</v>
          </cell>
          <cell r="E297" t="str">
            <v>盈余公积_利润分配影响权益</v>
          </cell>
          <cell r="F297">
            <v>22017072.390000001</v>
          </cell>
          <cell r="G297">
            <v>0</v>
          </cell>
          <cell r="H297">
            <v>7737162.7999999998</v>
          </cell>
          <cell r="I297">
            <v>29754235.190000001</v>
          </cell>
          <cell r="J297">
            <v>42276781.710000001</v>
          </cell>
          <cell r="K297">
            <v>0</v>
          </cell>
          <cell r="L297">
            <v>0</v>
          </cell>
          <cell r="M297">
            <v>42276781.710000001</v>
          </cell>
        </row>
        <row r="298">
          <cell r="D298">
            <v>8561</v>
          </cell>
          <cell r="E298" t="str">
            <v>盈余公积_提取</v>
          </cell>
          <cell r="F298">
            <v>22017072.390000001</v>
          </cell>
          <cell r="G298">
            <v>0</v>
          </cell>
          <cell r="H298">
            <v>7737162.7999999998</v>
          </cell>
          <cell r="I298">
            <v>29754235.190000001</v>
          </cell>
          <cell r="J298">
            <v>42276781.710000001</v>
          </cell>
          <cell r="K298">
            <v>0</v>
          </cell>
          <cell r="L298">
            <v>0</v>
          </cell>
          <cell r="M298">
            <v>42276781.710000001</v>
          </cell>
        </row>
        <row r="299">
          <cell r="D299">
            <v>8562</v>
          </cell>
          <cell r="E299" t="str">
            <v>盈余公积_提取一般风险准备影响权益</v>
          </cell>
          <cell r="F299">
            <v>0</v>
          </cell>
          <cell r="G299">
            <v>0</v>
          </cell>
          <cell r="H299">
            <v>0</v>
          </cell>
          <cell r="I299">
            <v>0</v>
          </cell>
          <cell r="J299">
            <v>0</v>
          </cell>
          <cell r="K299">
            <v>0</v>
          </cell>
          <cell r="L299">
            <v>0</v>
          </cell>
          <cell r="M299">
            <v>0</v>
          </cell>
        </row>
        <row r="300">
          <cell r="D300">
            <v>8563</v>
          </cell>
          <cell r="E300" t="str">
            <v>盈余公积_对所有者的分配</v>
          </cell>
          <cell r="F300">
            <v>0</v>
          </cell>
          <cell r="G300">
            <v>0</v>
          </cell>
          <cell r="H300">
            <v>0</v>
          </cell>
          <cell r="I300">
            <v>0</v>
          </cell>
          <cell r="J300">
            <v>0</v>
          </cell>
          <cell r="K300">
            <v>0</v>
          </cell>
          <cell r="L300">
            <v>0</v>
          </cell>
          <cell r="M300">
            <v>0</v>
          </cell>
        </row>
        <row r="301">
          <cell r="D301">
            <v>8566</v>
          </cell>
          <cell r="E301" t="str">
            <v>盈余公积_其他利润分配</v>
          </cell>
          <cell r="F301">
            <v>0</v>
          </cell>
          <cell r="G301">
            <v>0</v>
          </cell>
          <cell r="H301">
            <v>0</v>
          </cell>
          <cell r="I301">
            <v>0</v>
          </cell>
          <cell r="J301">
            <v>0</v>
          </cell>
          <cell r="K301">
            <v>0</v>
          </cell>
          <cell r="L301">
            <v>0</v>
          </cell>
          <cell r="M301">
            <v>0</v>
          </cell>
        </row>
        <row r="302">
          <cell r="D302">
            <v>8570</v>
          </cell>
          <cell r="E302" t="str">
            <v>盈余公积_所有者权益内部结转</v>
          </cell>
          <cell r="F302">
            <v>0</v>
          </cell>
          <cell r="G302">
            <v>0</v>
          </cell>
          <cell r="H302">
            <v>0</v>
          </cell>
          <cell r="I302">
            <v>0</v>
          </cell>
          <cell r="J302">
            <v>0</v>
          </cell>
          <cell r="K302">
            <v>0</v>
          </cell>
          <cell r="L302">
            <v>0</v>
          </cell>
          <cell r="M302">
            <v>0</v>
          </cell>
        </row>
        <row r="303">
          <cell r="D303">
            <v>8571</v>
          </cell>
          <cell r="E303" t="str">
            <v>盈余公积_资本公积转增资本影响权益</v>
          </cell>
          <cell r="F303">
            <v>0</v>
          </cell>
          <cell r="G303">
            <v>0</v>
          </cell>
          <cell r="H303">
            <v>0</v>
          </cell>
          <cell r="I303">
            <v>0</v>
          </cell>
          <cell r="J303">
            <v>0</v>
          </cell>
          <cell r="K303">
            <v>0</v>
          </cell>
          <cell r="L303">
            <v>0</v>
          </cell>
          <cell r="M303">
            <v>0</v>
          </cell>
        </row>
        <row r="304">
          <cell r="D304">
            <v>8572</v>
          </cell>
          <cell r="E304" t="str">
            <v>盈余公积_转增资本</v>
          </cell>
          <cell r="F304">
            <v>0</v>
          </cell>
          <cell r="G304">
            <v>0</v>
          </cell>
          <cell r="H304">
            <v>0</v>
          </cell>
          <cell r="I304">
            <v>0</v>
          </cell>
          <cell r="J304">
            <v>0</v>
          </cell>
          <cell r="K304">
            <v>0</v>
          </cell>
          <cell r="L304">
            <v>0</v>
          </cell>
          <cell r="M304">
            <v>0</v>
          </cell>
        </row>
        <row r="305">
          <cell r="D305">
            <v>8573</v>
          </cell>
          <cell r="E305" t="str">
            <v>盈余公积_弥补亏损</v>
          </cell>
          <cell r="F305">
            <v>0</v>
          </cell>
          <cell r="G305">
            <v>0</v>
          </cell>
          <cell r="H305">
            <v>0</v>
          </cell>
          <cell r="I305">
            <v>0</v>
          </cell>
          <cell r="J305">
            <v>0</v>
          </cell>
          <cell r="K305">
            <v>0</v>
          </cell>
          <cell r="L305">
            <v>0</v>
          </cell>
          <cell r="M305">
            <v>0</v>
          </cell>
        </row>
        <row r="306">
          <cell r="D306">
            <v>8576</v>
          </cell>
          <cell r="E306" t="str">
            <v>盈余公积_所有者权益其他内部结转</v>
          </cell>
          <cell r="F306">
            <v>0</v>
          </cell>
          <cell r="G306">
            <v>0</v>
          </cell>
          <cell r="H306">
            <v>0</v>
          </cell>
          <cell r="I306">
            <v>0</v>
          </cell>
          <cell r="J306">
            <v>0</v>
          </cell>
          <cell r="K306">
            <v>0</v>
          </cell>
          <cell r="L306">
            <v>0</v>
          </cell>
          <cell r="M306">
            <v>0</v>
          </cell>
        </row>
        <row r="307">
          <cell r="D307">
            <v>8580</v>
          </cell>
          <cell r="E307" t="str">
            <v>盈余公积_专项储备影响权益</v>
          </cell>
          <cell r="F307">
            <v>0</v>
          </cell>
          <cell r="G307">
            <v>0</v>
          </cell>
          <cell r="H307">
            <v>0</v>
          </cell>
          <cell r="I307">
            <v>0</v>
          </cell>
          <cell r="J307">
            <v>0</v>
          </cell>
          <cell r="K307">
            <v>0</v>
          </cell>
          <cell r="L307">
            <v>0</v>
          </cell>
          <cell r="M307">
            <v>0</v>
          </cell>
        </row>
        <row r="308">
          <cell r="D308">
            <v>8581</v>
          </cell>
          <cell r="E308" t="str">
            <v>盈余公积_专项储备本期提取</v>
          </cell>
          <cell r="F308">
            <v>0</v>
          </cell>
          <cell r="G308">
            <v>0</v>
          </cell>
          <cell r="H308">
            <v>0</v>
          </cell>
          <cell r="I308">
            <v>0</v>
          </cell>
          <cell r="J308">
            <v>0</v>
          </cell>
          <cell r="K308">
            <v>0</v>
          </cell>
          <cell r="L308">
            <v>0</v>
          </cell>
          <cell r="M308">
            <v>0</v>
          </cell>
        </row>
        <row r="309">
          <cell r="D309">
            <v>8582</v>
          </cell>
          <cell r="E309" t="str">
            <v>盈余公积_专项储备本期使用</v>
          </cell>
          <cell r="F309">
            <v>0</v>
          </cell>
          <cell r="G309">
            <v>0</v>
          </cell>
          <cell r="H309">
            <v>0</v>
          </cell>
          <cell r="I309">
            <v>0</v>
          </cell>
          <cell r="J309">
            <v>0</v>
          </cell>
          <cell r="K309">
            <v>0</v>
          </cell>
          <cell r="L309">
            <v>0</v>
          </cell>
          <cell r="M309">
            <v>0</v>
          </cell>
        </row>
        <row r="310">
          <cell r="D310">
            <v>8596</v>
          </cell>
          <cell r="E310" t="str">
            <v>盈余公积_本期其他增减变动</v>
          </cell>
          <cell r="F310">
            <v>0</v>
          </cell>
          <cell r="G310">
            <v>0</v>
          </cell>
          <cell r="H310">
            <v>0</v>
          </cell>
          <cell r="I310">
            <v>0</v>
          </cell>
          <cell r="J310">
            <v>0</v>
          </cell>
          <cell r="K310">
            <v>0</v>
          </cell>
          <cell r="L310">
            <v>0</v>
          </cell>
          <cell r="M310">
            <v>0</v>
          </cell>
        </row>
        <row r="311">
          <cell r="D311">
            <v>8599</v>
          </cell>
          <cell r="E311" t="str">
            <v>盈余公积_本期期末余额</v>
          </cell>
          <cell r="F311">
            <v>103600472.98999999</v>
          </cell>
          <cell r="G311">
            <v>0</v>
          </cell>
          <cell r="H311">
            <v>7737162.7999999998</v>
          </cell>
          <cell r="I311">
            <v>111337635.79000001</v>
          </cell>
          <cell r="J311">
            <v>81583400.599999994</v>
          </cell>
          <cell r="K311">
            <v>0</v>
          </cell>
          <cell r="L311">
            <v>0</v>
          </cell>
          <cell r="M311">
            <v>81583400.599999994</v>
          </cell>
        </row>
        <row r="312">
          <cell r="D312">
            <v>8600</v>
          </cell>
          <cell r="E312" t="str">
            <v>一般风险准备增减变动</v>
          </cell>
          <cell r="F312">
            <v>0</v>
          </cell>
          <cell r="G312">
            <v>0</v>
          </cell>
          <cell r="H312">
            <v>0</v>
          </cell>
          <cell r="I312">
            <v>0</v>
          </cell>
          <cell r="J312">
            <v>0</v>
          </cell>
          <cell r="K312">
            <v>0</v>
          </cell>
          <cell r="L312">
            <v>0</v>
          </cell>
          <cell r="M312">
            <v>0</v>
          </cell>
        </row>
        <row r="313">
          <cell r="D313">
            <v>8601</v>
          </cell>
          <cell r="E313" t="str">
            <v>一般风险准备_上年年末余额</v>
          </cell>
          <cell r="F313">
            <v>0</v>
          </cell>
          <cell r="G313">
            <v>0</v>
          </cell>
          <cell r="H313">
            <v>0</v>
          </cell>
          <cell r="I313">
            <v>0</v>
          </cell>
          <cell r="J313">
            <v>0</v>
          </cell>
          <cell r="K313">
            <v>0</v>
          </cell>
          <cell r="L313">
            <v>0</v>
          </cell>
          <cell r="M313">
            <v>0</v>
          </cell>
        </row>
        <row r="314">
          <cell r="D314">
            <v>8602</v>
          </cell>
          <cell r="E314" t="str">
            <v>一般风险准备_会计政策变更调整上年年末余额</v>
          </cell>
          <cell r="F314">
            <v>0</v>
          </cell>
          <cell r="G314">
            <v>0</v>
          </cell>
          <cell r="H314">
            <v>0</v>
          </cell>
          <cell r="I314">
            <v>0</v>
          </cell>
          <cell r="J314">
            <v>0</v>
          </cell>
          <cell r="K314">
            <v>0</v>
          </cell>
          <cell r="L314">
            <v>0</v>
          </cell>
          <cell r="M314">
            <v>0</v>
          </cell>
        </row>
        <row r="315">
          <cell r="D315">
            <v>8603</v>
          </cell>
          <cell r="E315" t="str">
            <v>一般风险准备_前期差错更正调整上年年末余额</v>
          </cell>
          <cell r="F315">
            <v>0</v>
          </cell>
          <cell r="G315">
            <v>0</v>
          </cell>
          <cell r="H315">
            <v>0</v>
          </cell>
          <cell r="I315">
            <v>0</v>
          </cell>
          <cell r="J315">
            <v>0</v>
          </cell>
          <cell r="K315">
            <v>0</v>
          </cell>
          <cell r="L315">
            <v>0</v>
          </cell>
          <cell r="M315">
            <v>0</v>
          </cell>
        </row>
        <row r="316">
          <cell r="D316">
            <v>8609</v>
          </cell>
          <cell r="E316" t="str">
            <v>一般风险准备_其他原因调整上年年末余额</v>
          </cell>
          <cell r="F316">
            <v>0</v>
          </cell>
          <cell r="G316">
            <v>0</v>
          </cell>
          <cell r="H316">
            <v>0</v>
          </cell>
          <cell r="I316">
            <v>0</v>
          </cell>
          <cell r="J316">
            <v>0</v>
          </cell>
          <cell r="K316">
            <v>0</v>
          </cell>
          <cell r="L316">
            <v>0</v>
          </cell>
          <cell r="M316">
            <v>0</v>
          </cell>
        </row>
        <row r="317">
          <cell r="D317">
            <v>8610</v>
          </cell>
          <cell r="E317" t="str">
            <v>一般风险准备_本年年初余额</v>
          </cell>
          <cell r="F317">
            <v>0</v>
          </cell>
          <cell r="G317">
            <v>0</v>
          </cell>
          <cell r="H317">
            <v>0</v>
          </cell>
          <cell r="I317">
            <v>0</v>
          </cell>
          <cell r="J317">
            <v>0</v>
          </cell>
          <cell r="K317">
            <v>0</v>
          </cell>
          <cell r="L317">
            <v>0</v>
          </cell>
          <cell r="M317">
            <v>0</v>
          </cell>
        </row>
        <row r="318">
          <cell r="D318">
            <v>8690</v>
          </cell>
          <cell r="E318" t="str">
            <v>一般风险准备_本期增减变动金额</v>
          </cell>
          <cell r="F318">
            <v>0</v>
          </cell>
          <cell r="G318">
            <v>0</v>
          </cell>
          <cell r="H318">
            <v>0</v>
          </cell>
          <cell r="I318">
            <v>0</v>
          </cell>
          <cell r="J318">
            <v>0</v>
          </cell>
          <cell r="K318">
            <v>0</v>
          </cell>
          <cell r="L318">
            <v>0</v>
          </cell>
          <cell r="M318">
            <v>0</v>
          </cell>
        </row>
        <row r="319">
          <cell r="D319">
            <v>8621</v>
          </cell>
          <cell r="E319" t="str">
            <v>一般风险准备_净利润增加权益</v>
          </cell>
          <cell r="F319">
            <v>0</v>
          </cell>
          <cell r="G319">
            <v>0</v>
          </cell>
          <cell r="H319">
            <v>0</v>
          </cell>
          <cell r="I319">
            <v>0</v>
          </cell>
          <cell r="J319">
            <v>0</v>
          </cell>
          <cell r="K319">
            <v>0</v>
          </cell>
          <cell r="L319">
            <v>0</v>
          </cell>
          <cell r="M319">
            <v>0</v>
          </cell>
        </row>
        <row r="320">
          <cell r="D320">
            <v>8630</v>
          </cell>
          <cell r="E320" t="str">
            <v>一般风险准备_其他综合收益增加权益</v>
          </cell>
          <cell r="F320">
            <v>0</v>
          </cell>
          <cell r="G320">
            <v>0</v>
          </cell>
          <cell r="H320">
            <v>0</v>
          </cell>
          <cell r="I320">
            <v>0</v>
          </cell>
          <cell r="J320">
            <v>0</v>
          </cell>
          <cell r="K320">
            <v>0</v>
          </cell>
          <cell r="L320">
            <v>0</v>
          </cell>
          <cell r="M320">
            <v>0</v>
          </cell>
        </row>
        <row r="321">
          <cell r="D321">
            <v>8640</v>
          </cell>
          <cell r="E321" t="str">
            <v>一般风险准备_净利润与其他综合收益增加权益</v>
          </cell>
          <cell r="F321">
            <v>0</v>
          </cell>
          <cell r="G321">
            <v>0</v>
          </cell>
          <cell r="H321">
            <v>0</v>
          </cell>
          <cell r="I321">
            <v>0</v>
          </cell>
          <cell r="J321">
            <v>0</v>
          </cell>
          <cell r="K321">
            <v>0</v>
          </cell>
          <cell r="L321">
            <v>0</v>
          </cell>
          <cell r="M321">
            <v>0</v>
          </cell>
        </row>
        <row r="322">
          <cell r="D322">
            <v>8650</v>
          </cell>
          <cell r="E322" t="str">
            <v>一般风险准备_所有者投入和减少资本影响权益</v>
          </cell>
          <cell r="F322">
            <v>0</v>
          </cell>
          <cell r="G322">
            <v>0</v>
          </cell>
          <cell r="H322">
            <v>0</v>
          </cell>
          <cell r="I322">
            <v>0</v>
          </cell>
          <cell r="J322">
            <v>0</v>
          </cell>
          <cell r="K322">
            <v>0</v>
          </cell>
          <cell r="L322">
            <v>0</v>
          </cell>
          <cell r="M322">
            <v>0</v>
          </cell>
        </row>
        <row r="323">
          <cell r="D323">
            <v>8651</v>
          </cell>
          <cell r="E323" t="str">
            <v>一般风险准备_所有者投入资本增加权益</v>
          </cell>
          <cell r="F323">
            <v>0</v>
          </cell>
          <cell r="G323">
            <v>0</v>
          </cell>
          <cell r="H323">
            <v>0</v>
          </cell>
          <cell r="I323">
            <v>0</v>
          </cell>
          <cell r="J323">
            <v>0</v>
          </cell>
          <cell r="K323">
            <v>0</v>
          </cell>
          <cell r="L323">
            <v>0</v>
          </cell>
          <cell r="M323">
            <v>0</v>
          </cell>
        </row>
        <row r="324">
          <cell r="D324">
            <v>8652</v>
          </cell>
          <cell r="E324" t="str">
            <v>一般风险准备_股份支付计入所有者权益的金额</v>
          </cell>
          <cell r="F324">
            <v>0</v>
          </cell>
          <cell r="G324">
            <v>0</v>
          </cell>
          <cell r="H324">
            <v>0</v>
          </cell>
          <cell r="I324">
            <v>0</v>
          </cell>
          <cell r="J324">
            <v>0</v>
          </cell>
          <cell r="K324">
            <v>0</v>
          </cell>
          <cell r="L324">
            <v>0</v>
          </cell>
          <cell r="M324">
            <v>0</v>
          </cell>
        </row>
        <row r="325">
          <cell r="D325">
            <v>8656</v>
          </cell>
          <cell r="E325" t="str">
            <v>一般风险准备_所有者其他投入和减少资本</v>
          </cell>
          <cell r="F325">
            <v>0</v>
          </cell>
          <cell r="G325">
            <v>0</v>
          </cell>
          <cell r="H325">
            <v>0</v>
          </cell>
          <cell r="I325">
            <v>0</v>
          </cell>
          <cell r="J325">
            <v>0</v>
          </cell>
          <cell r="K325">
            <v>0</v>
          </cell>
          <cell r="L325">
            <v>0</v>
          </cell>
          <cell r="M325">
            <v>0</v>
          </cell>
        </row>
        <row r="326">
          <cell r="D326">
            <v>8660</v>
          </cell>
          <cell r="E326" t="str">
            <v>一般风险准备_利润分配影响权益</v>
          </cell>
          <cell r="F326">
            <v>0</v>
          </cell>
          <cell r="G326">
            <v>0</v>
          </cell>
          <cell r="H326">
            <v>0</v>
          </cell>
          <cell r="I326">
            <v>0</v>
          </cell>
          <cell r="J326">
            <v>0</v>
          </cell>
          <cell r="K326">
            <v>0</v>
          </cell>
          <cell r="L326">
            <v>0</v>
          </cell>
          <cell r="M326">
            <v>0</v>
          </cell>
        </row>
        <row r="327">
          <cell r="D327">
            <v>8661</v>
          </cell>
          <cell r="E327" t="str">
            <v>一般风险准备_提取盈余公积影响权益</v>
          </cell>
          <cell r="F327">
            <v>0</v>
          </cell>
          <cell r="G327">
            <v>0</v>
          </cell>
          <cell r="H327">
            <v>0</v>
          </cell>
          <cell r="I327">
            <v>0</v>
          </cell>
          <cell r="J327">
            <v>0</v>
          </cell>
          <cell r="K327">
            <v>0</v>
          </cell>
          <cell r="L327">
            <v>0</v>
          </cell>
          <cell r="M327">
            <v>0</v>
          </cell>
        </row>
        <row r="328">
          <cell r="D328">
            <v>8662</v>
          </cell>
          <cell r="E328" t="str">
            <v>一般风险准备_提取</v>
          </cell>
          <cell r="F328">
            <v>0</v>
          </cell>
          <cell r="G328">
            <v>0</v>
          </cell>
          <cell r="H328">
            <v>0</v>
          </cell>
          <cell r="I328">
            <v>0</v>
          </cell>
          <cell r="J328">
            <v>0</v>
          </cell>
          <cell r="K328">
            <v>0</v>
          </cell>
          <cell r="L328">
            <v>0</v>
          </cell>
          <cell r="M328">
            <v>0</v>
          </cell>
        </row>
        <row r="329">
          <cell r="D329">
            <v>8663</v>
          </cell>
          <cell r="E329" t="str">
            <v>一般风险准备_对所有者的分配影响权益</v>
          </cell>
          <cell r="F329">
            <v>0</v>
          </cell>
          <cell r="G329">
            <v>0</v>
          </cell>
          <cell r="H329">
            <v>0</v>
          </cell>
          <cell r="I329">
            <v>0</v>
          </cell>
          <cell r="J329">
            <v>0</v>
          </cell>
          <cell r="K329">
            <v>0</v>
          </cell>
          <cell r="L329">
            <v>0</v>
          </cell>
          <cell r="M329">
            <v>0</v>
          </cell>
        </row>
        <row r="330">
          <cell r="D330">
            <v>8666</v>
          </cell>
          <cell r="E330" t="str">
            <v>一般风险准备_其他利润分配</v>
          </cell>
          <cell r="F330">
            <v>0</v>
          </cell>
          <cell r="G330">
            <v>0</v>
          </cell>
          <cell r="H330">
            <v>0</v>
          </cell>
          <cell r="I330">
            <v>0</v>
          </cell>
          <cell r="J330">
            <v>0</v>
          </cell>
          <cell r="K330">
            <v>0</v>
          </cell>
          <cell r="L330">
            <v>0</v>
          </cell>
          <cell r="M330">
            <v>0</v>
          </cell>
        </row>
        <row r="331">
          <cell r="D331">
            <v>8670</v>
          </cell>
          <cell r="E331" t="str">
            <v>一般风险准备_所有者权益内部结转</v>
          </cell>
          <cell r="F331">
            <v>0</v>
          </cell>
          <cell r="G331">
            <v>0</v>
          </cell>
          <cell r="H331">
            <v>0</v>
          </cell>
          <cell r="I331">
            <v>0</v>
          </cell>
          <cell r="J331">
            <v>0</v>
          </cell>
          <cell r="K331">
            <v>0</v>
          </cell>
          <cell r="L331">
            <v>0</v>
          </cell>
          <cell r="M331">
            <v>0</v>
          </cell>
        </row>
        <row r="332">
          <cell r="D332">
            <v>8671</v>
          </cell>
          <cell r="E332" t="str">
            <v>一般风险准备_资本公积转增资本影响权益</v>
          </cell>
          <cell r="F332">
            <v>0</v>
          </cell>
          <cell r="G332">
            <v>0</v>
          </cell>
          <cell r="H332">
            <v>0</v>
          </cell>
          <cell r="I332">
            <v>0</v>
          </cell>
          <cell r="J332">
            <v>0</v>
          </cell>
          <cell r="K332">
            <v>0</v>
          </cell>
          <cell r="L332">
            <v>0</v>
          </cell>
          <cell r="M332">
            <v>0</v>
          </cell>
        </row>
        <row r="333">
          <cell r="D333">
            <v>8672</v>
          </cell>
          <cell r="E333" t="str">
            <v>一般风险准备_盈余公积转增资本影响权益</v>
          </cell>
          <cell r="F333">
            <v>0</v>
          </cell>
          <cell r="G333">
            <v>0</v>
          </cell>
          <cell r="H333">
            <v>0</v>
          </cell>
          <cell r="I333">
            <v>0</v>
          </cell>
          <cell r="J333">
            <v>0</v>
          </cell>
          <cell r="K333">
            <v>0</v>
          </cell>
          <cell r="L333">
            <v>0</v>
          </cell>
          <cell r="M333">
            <v>0</v>
          </cell>
        </row>
        <row r="334">
          <cell r="D334">
            <v>8673</v>
          </cell>
          <cell r="E334" t="str">
            <v>一般风险准备_盈余公积弥补亏损影响权益</v>
          </cell>
          <cell r="F334">
            <v>0</v>
          </cell>
          <cell r="G334">
            <v>0</v>
          </cell>
          <cell r="H334">
            <v>0</v>
          </cell>
          <cell r="I334">
            <v>0</v>
          </cell>
          <cell r="J334">
            <v>0</v>
          </cell>
          <cell r="K334">
            <v>0</v>
          </cell>
          <cell r="L334">
            <v>0</v>
          </cell>
          <cell r="M334">
            <v>0</v>
          </cell>
        </row>
        <row r="335">
          <cell r="D335">
            <v>8676</v>
          </cell>
          <cell r="E335" t="str">
            <v>一般风险准备_所有者权益其他内部结转</v>
          </cell>
          <cell r="F335">
            <v>0</v>
          </cell>
          <cell r="G335">
            <v>0</v>
          </cell>
          <cell r="H335">
            <v>0</v>
          </cell>
          <cell r="I335">
            <v>0</v>
          </cell>
          <cell r="J335">
            <v>0</v>
          </cell>
          <cell r="K335">
            <v>0</v>
          </cell>
          <cell r="L335">
            <v>0</v>
          </cell>
          <cell r="M335">
            <v>0</v>
          </cell>
        </row>
        <row r="336">
          <cell r="D336">
            <v>8680</v>
          </cell>
          <cell r="E336" t="str">
            <v>一般风险准备_专项储备影响权益</v>
          </cell>
          <cell r="F336">
            <v>0</v>
          </cell>
          <cell r="G336">
            <v>0</v>
          </cell>
          <cell r="H336">
            <v>0</v>
          </cell>
          <cell r="I336">
            <v>0</v>
          </cell>
          <cell r="J336">
            <v>0</v>
          </cell>
          <cell r="K336">
            <v>0</v>
          </cell>
          <cell r="L336">
            <v>0</v>
          </cell>
          <cell r="M336">
            <v>0</v>
          </cell>
        </row>
        <row r="337">
          <cell r="D337">
            <v>8681</v>
          </cell>
          <cell r="E337" t="str">
            <v>一般风险准备_专项储备本期提取</v>
          </cell>
          <cell r="F337">
            <v>0</v>
          </cell>
          <cell r="G337">
            <v>0</v>
          </cell>
          <cell r="H337">
            <v>0</v>
          </cell>
          <cell r="I337">
            <v>0</v>
          </cell>
          <cell r="J337">
            <v>0</v>
          </cell>
          <cell r="K337">
            <v>0</v>
          </cell>
          <cell r="L337">
            <v>0</v>
          </cell>
          <cell r="M337">
            <v>0</v>
          </cell>
        </row>
        <row r="338">
          <cell r="D338">
            <v>8682</v>
          </cell>
          <cell r="E338" t="str">
            <v>一般风险准备_专项储备本期使用</v>
          </cell>
          <cell r="F338">
            <v>0</v>
          </cell>
          <cell r="G338">
            <v>0</v>
          </cell>
          <cell r="H338">
            <v>0</v>
          </cell>
          <cell r="I338">
            <v>0</v>
          </cell>
          <cell r="J338">
            <v>0</v>
          </cell>
          <cell r="K338">
            <v>0</v>
          </cell>
          <cell r="L338">
            <v>0</v>
          </cell>
          <cell r="M338">
            <v>0</v>
          </cell>
        </row>
        <row r="339">
          <cell r="D339">
            <v>8696</v>
          </cell>
          <cell r="E339" t="str">
            <v>一般风险准备_本期其他增减变动</v>
          </cell>
          <cell r="F339">
            <v>0</v>
          </cell>
          <cell r="G339">
            <v>0</v>
          </cell>
          <cell r="H339">
            <v>0</v>
          </cell>
          <cell r="I339">
            <v>0</v>
          </cell>
          <cell r="J339">
            <v>0</v>
          </cell>
          <cell r="K339">
            <v>0</v>
          </cell>
          <cell r="L339">
            <v>0</v>
          </cell>
          <cell r="M339">
            <v>0</v>
          </cell>
        </row>
        <row r="340">
          <cell r="D340">
            <v>8699</v>
          </cell>
          <cell r="E340" t="str">
            <v>一般风险准备_本期期末余额</v>
          </cell>
          <cell r="F340">
            <v>0</v>
          </cell>
          <cell r="G340">
            <v>0</v>
          </cell>
          <cell r="H340">
            <v>0</v>
          </cell>
          <cell r="I340">
            <v>0</v>
          </cell>
          <cell r="J340">
            <v>0</v>
          </cell>
          <cell r="K340">
            <v>0</v>
          </cell>
          <cell r="L340">
            <v>0</v>
          </cell>
          <cell r="M340">
            <v>0</v>
          </cell>
        </row>
        <row r="341">
          <cell r="D341">
            <v>8700</v>
          </cell>
          <cell r="E341" t="str">
            <v>未分配利润增减变动</v>
          </cell>
          <cell r="F341">
            <v>0</v>
          </cell>
          <cell r="G341">
            <v>0</v>
          </cell>
          <cell r="H341">
            <v>0</v>
          </cell>
          <cell r="I341">
            <v>0</v>
          </cell>
          <cell r="J341">
            <v>0</v>
          </cell>
          <cell r="K341">
            <v>0</v>
          </cell>
          <cell r="L341">
            <v>0</v>
          </cell>
          <cell r="M341">
            <v>0</v>
          </cell>
        </row>
        <row r="342">
          <cell r="D342">
            <v>8701</v>
          </cell>
          <cell r="E342" t="str">
            <v>未分配利润_上年年末余额</v>
          </cell>
          <cell r="F342">
            <v>530614533.82999998</v>
          </cell>
          <cell r="G342">
            <v>0</v>
          </cell>
          <cell r="H342">
            <v>0</v>
          </cell>
          <cell r="I342">
            <v>530614533.82999998</v>
          </cell>
          <cell r="J342">
            <v>290123498.43000001</v>
          </cell>
          <cell r="K342">
            <v>0</v>
          </cell>
          <cell r="L342">
            <v>0</v>
          </cell>
          <cell r="M342">
            <v>290123498.43000001</v>
          </cell>
        </row>
        <row r="343">
          <cell r="D343">
            <v>8702</v>
          </cell>
          <cell r="E343" t="str">
            <v>未分配利润_会计政策变更调整上年年末余额</v>
          </cell>
          <cell r="F343">
            <v>0</v>
          </cell>
          <cell r="G343">
            <v>0</v>
          </cell>
          <cell r="H343">
            <v>0</v>
          </cell>
          <cell r="I343">
            <v>0</v>
          </cell>
          <cell r="J343">
            <v>0</v>
          </cell>
          <cell r="K343">
            <v>0</v>
          </cell>
          <cell r="L343">
            <v>0</v>
          </cell>
          <cell r="M343">
            <v>0</v>
          </cell>
        </row>
        <row r="344">
          <cell r="D344">
            <v>8703</v>
          </cell>
          <cell r="E344" t="str">
            <v>未分配利润_前期差错更正调整上年年末余额</v>
          </cell>
          <cell r="F344">
            <v>0</v>
          </cell>
          <cell r="G344">
            <v>0</v>
          </cell>
          <cell r="H344">
            <v>0</v>
          </cell>
          <cell r="I344">
            <v>0</v>
          </cell>
          <cell r="J344">
            <v>0</v>
          </cell>
          <cell r="K344">
            <v>0</v>
          </cell>
          <cell r="L344">
            <v>0</v>
          </cell>
          <cell r="M344">
            <v>0</v>
          </cell>
        </row>
        <row r="345">
          <cell r="D345">
            <v>8709</v>
          </cell>
          <cell r="E345" t="str">
            <v>未分配利润_其他原因调整上年年末余额</v>
          </cell>
          <cell r="F345">
            <v>0</v>
          </cell>
          <cell r="G345">
            <v>0</v>
          </cell>
          <cell r="H345">
            <v>0</v>
          </cell>
          <cell r="I345">
            <v>0</v>
          </cell>
          <cell r="J345">
            <v>0</v>
          </cell>
          <cell r="K345">
            <v>0</v>
          </cell>
          <cell r="L345">
            <v>0</v>
          </cell>
          <cell r="M345">
            <v>0</v>
          </cell>
        </row>
        <row r="346">
          <cell r="D346">
            <v>8710</v>
          </cell>
          <cell r="E346" t="str">
            <v>未分配利润_本年年初余额</v>
          </cell>
          <cell r="F346">
            <v>530614533.82999998</v>
          </cell>
          <cell r="G346">
            <v>0</v>
          </cell>
          <cell r="H346">
            <v>0</v>
          </cell>
          <cell r="I346">
            <v>530614533.82999998</v>
          </cell>
          <cell r="J346">
            <v>290123498.43000001</v>
          </cell>
          <cell r="K346">
            <v>0</v>
          </cell>
          <cell r="L346">
            <v>0</v>
          </cell>
          <cell r="M346">
            <v>290123498.43000001</v>
          </cell>
        </row>
        <row r="347">
          <cell r="D347">
            <v>8790</v>
          </cell>
          <cell r="E347" t="str">
            <v>未分配利润_本期增减变动金额</v>
          </cell>
          <cell r="F347">
            <v>-85846348.480000004</v>
          </cell>
          <cell r="G347">
            <v>59243674.590000004</v>
          </cell>
          <cell r="H347">
            <v>128878139.77</v>
          </cell>
          <cell r="I347">
            <v>-16211883.300000001</v>
          </cell>
          <cell r="J347">
            <v>240491035.40000001</v>
          </cell>
          <cell r="K347">
            <v>0</v>
          </cell>
          <cell r="L347">
            <v>0</v>
          </cell>
          <cell r="M347">
            <v>240491035.40000001</v>
          </cell>
        </row>
        <row r="348">
          <cell r="D348">
            <v>8721</v>
          </cell>
          <cell r="E348" t="str">
            <v>未分配利润_净利润增加权益</v>
          </cell>
          <cell r="F348">
            <v>220170723.91</v>
          </cell>
          <cell r="G348">
            <v>51506511.789999999</v>
          </cell>
          <cell r="H348">
            <v>128878139.77</v>
          </cell>
          <cell r="I348">
            <v>297542351.88999999</v>
          </cell>
          <cell r="J348">
            <v>422767817.11000001</v>
          </cell>
          <cell r="K348">
            <v>0</v>
          </cell>
          <cell r="L348">
            <v>0</v>
          </cell>
          <cell r="M348">
            <v>422767817.11000001</v>
          </cell>
        </row>
        <row r="349">
          <cell r="D349">
            <v>8730</v>
          </cell>
          <cell r="E349" t="str">
            <v>未分配利润_其他综合收益增加权益</v>
          </cell>
          <cell r="F349">
            <v>0</v>
          </cell>
          <cell r="G349">
            <v>0</v>
          </cell>
          <cell r="H349">
            <v>0</v>
          </cell>
          <cell r="I349">
            <v>0</v>
          </cell>
          <cell r="J349">
            <v>0</v>
          </cell>
          <cell r="K349">
            <v>0</v>
          </cell>
          <cell r="L349">
            <v>0</v>
          </cell>
          <cell r="M349">
            <v>0</v>
          </cell>
        </row>
        <row r="350">
          <cell r="D350">
            <v>8740</v>
          </cell>
          <cell r="E350" t="str">
            <v>未分配利润_净利润与其他综合收益增加权益</v>
          </cell>
          <cell r="F350">
            <v>220170723.91</v>
          </cell>
          <cell r="G350">
            <v>51506511.789999999</v>
          </cell>
          <cell r="H350">
            <v>128878139.77</v>
          </cell>
          <cell r="I350">
            <v>297542351.88999999</v>
          </cell>
          <cell r="J350">
            <v>422767817.11000001</v>
          </cell>
          <cell r="K350">
            <v>0</v>
          </cell>
          <cell r="L350">
            <v>0</v>
          </cell>
          <cell r="M350">
            <v>422767817.11000001</v>
          </cell>
        </row>
        <row r="351">
          <cell r="D351">
            <v>8750</v>
          </cell>
          <cell r="E351" t="str">
            <v>未分配利润_所有者投入和减少资本影响权益</v>
          </cell>
          <cell r="F351">
            <v>0</v>
          </cell>
          <cell r="G351">
            <v>0</v>
          </cell>
          <cell r="H351">
            <v>0</v>
          </cell>
          <cell r="I351">
            <v>0</v>
          </cell>
          <cell r="J351">
            <v>0</v>
          </cell>
          <cell r="K351">
            <v>0</v>
          </cell>
          <cell r="L351">
            <v>0</v>
          </cell>
          <cell r="M351">
            <v>0</v>
          </cell>
        </row>
        <row r="352">
          <cell r="D352">
            <v>8751</v>
          </cell>
          <cell r="E352" t="str">
            <v>未分配利润_所有者投入资本增加权益</v>
          </cell>
          <cell r="F352">
            <v>0</v>
          </cell>
          <cell r="G352">
            <v>0</v>
          </cell>
          <cell r="H352">
            <v>0</v>
          </cell>
          <cell r="I352">
            <v>0</v>
          </cell>
          <cell r="J352">
            <v>0</v>
          </cell>
          <cell r="K352">
            <v>0</v>
          </cell>
          <cell r="L352">
            <v>0</v>
          </cell>
          <cell r="M352">
            <v>0</v>
          </cell>
        </row>
        <row r="353">
          <cell r="D353">
            <v>8752</v>
          </cell>
          <cell r="E353" t="str">
            <v>未分配利润_股份支付计入所有者权益的金额</v>
          </cell>
          <cell r="F353">
            <v>0</v>
          </cell>
          <cell r="G353">
            <v>0</v>
          </cell>
          <cell r="H353">
            <v>0</v>
          </cell>
          <cell r="I353">
            <v>0</v>
          </cell>
          <cell r="J353">
            <v>0</v>
          </cell>
          <cell r="K353">
            <v>0</v>
          </cell>
          <cell r="L353">
            <v>0</v>
          </cell>
          <cell r="M353">
            <v>0</v>
          </cell>
        </row>
        <row r="354">
          <cell r="D354">
            <v>8756</v>
          </cell>
          <cell r="E354" t="str">
            <v>未分配利润_所有者其他投入和减少资本</v>
          </cell>
          <cell r="F354">
            <v>0</v>
          </cell>
          <cell r="G354">
            <v>0</v>
          </cell>
          <cell r="H354">
            <v>0</v>
          </cell>
          <cell r="I354">
            <v>0</v>
          </cell>
          <cell r="J354">
            <v>0</v>
          </cell>
          <cell r="K354">
            <v>0</v>
          </cell>
          <cell r="L354">
            <v>0</v>
          </cell>
          <cell r="M354">
            <v>0</v>
          </cell>
        </row>
        <row r="355">
          <cell r="D355">
            <v>8760</v>
          </cell>
          <cell r="E355" t="str">
            <v>未分配利润_利润分配影响权益</v>
          </cell>
          <cell r="F355">
            <v>-306017072.38999999</v>
          </cell>
          <cell r="G355">
            <v>7737162.7999999998</v>
          </cell>
          <cell r="H355">
            <v>0</v>
          </cell>
          <cell r="I355">
            <v>-313754235.19</v>
          </cell>
          <cell r="J355">
            <v>-182276781.71000001</v>
          </cell>
          <cell r="K355">
            <v>0</v>
          </cell>
          <cell r="L355">
            <v>0</v>
          </cell>
          <cell r="M355">
            <v>-182276781.71000001</v>
          </cell>
        </row>
        <row r="356">
          <cell r="D356">
            <v>8761</v>
          </cell>
          <cell r="E356" t="str">
            <v>未分配利润_提取盈余公积</v>
          </cell>
          <cell r="F356">
            <v>-22017072.390000001</v>
          </cell>
          <cell r="G356">
            <v>7737162.7999999998</v>
          </cell>
          <cell r="H356">
            <v>0</v>
          </cell>
          <cell r="I356">
            <v>-29754235.190000001</v>
          </cell>
          <cell r="J356">
            <v>-42276781.710000001</v>
          </cell>
          <cell r="K356">
            <v>0</v>
          </cell>
          <cell r="L356">
            <v>0</v>
          </cell>
          <cell r="M356">
            <v>-42276781.710000001</v>
          </cell>
        </row>
        <row r="357">
          <cell r="D357">
            <v>8762</v>
          </cell>
          <cell r="E357" t="str">
            <v>未分配利润_提取一般风险准备</v>
          </cell>
          <cell r="F357">
            <v>0</v>
          </cell>
          <cell r="G357">
            <v>0</v>
          </cell>
          <cell r="H357">
            <v>0</v>
          </cell>
          <cell r="I357">
            <v>0</v>
          </cell>
          <cell r="J357">
            <v>0</v>
          </cell>
          <cell r="K357">
            <v>0</v>
          </cell>
          <cell r="L357">
            <v>0</v>
          </cell>
          <cell r="M357">
            <v>0</v>
          </cell>
        </row>
        <row r="358">
          <cell r="D358">
            <v>8763</v>
          </cell>
          <cell r="E358" t="str">
            <v>未分配利润_对所有者的分配</v>
          </cell>
          <cell r="F358">
            <v>-284000000</v>
          </cell>
          <cell r="G358">
            <v>0</v>
          </cell>
          <cell r="H358">
            <v>0</v>
          </cell>
          <cell r="I358">
            <v>-284000000</v>
          </cell>
          <cell r="J358">
            <v>-140000000</v>
          </cell>
          <cell r="K358">
            <v>0</v>
          </cell>
          <cell r="L358">
            <v>0</v>
          </cell>
          <cell r="M358">
            <v>-140000000</v>
          </cell>
        </row>
        <row r="359">
          <cell r="D359">
            <v>8766</v>
          </cell>
          <cell r="E359" t="str">
            <v>未分配利润_其他利润分配</v>
          </cell>
          <cell r="F359">
            <v>0</v>
          </cell>
          <cell r="G359">
            <v>0</v>
          </cell>
          <cell r="H359">
            <v>0</v>
          </cell>
          <cell r="I359">
            <v>0</v>
          </cell>
          <cell r="J359">
            <v>0</v>
          </cell>
          <cell r="K359">
            <v>0</v>
          </cell>
          <cell r="L359">
            <v>0</v>
          </cell>
          <cell r="M359">
            <v>0</v>
          </cell>
        </row>
        <row r="360">
          <cell r="D360">
            <v>8770</v>
          </cell>
          <cell r="E360" t="str">
            <v>未分配利润_所有者权益内部结转</v>
          </cell>
          <cell r="F360">
            <v>0</v>
          </cell>
          <cell r="G360">
            <v>0</v>
          </cell>
          <cell r="H360">
            <v>0</v>
          </cell>
          <cell r="I360">
            <v>0</v>
          </cell>
          <cell r="J360">
            <v>0</v>
          </cell>
          <cell r="K360">
            <v>0</v>
          </cell>
          <cell r="L360">
            <v>0</v>
          </cell>
          <cell r="M360">
            <v>0</v>
          </cell>
        </row>
        <row r="361">
          <cell r="D361">
            <v>8771</v>
          </cell>
          <cell r="E361" t="str">
            <v>未分配利润_资本公积转增资本影响权益</v>
          </cell>
          <cell r="F361">
            <v>0</v>
          </cell>
          <cell r="G361">
            <v>0</v>
          </cell>
          <cell r="H361">
            <v>0</v>
          </cell>
          <cell r="I361">
            <v>0</v>
          </cell>
          <cell r="J361">
            <v>0</v>
          </cell>
          <cell r="K361">
            <v>0</v>
          </cell>
          <cell r="L361">
            <v>0</v>
          </cell>
          <cell r="M361">
            <v>0</v>
          </cell>
        </row>
        <row r="362">
          <cell r="D362">
            <v>8772</v>
          </cell>
          <cell r="E362" t="str">
            <v>未分配利润_盈余公积转增资本影响权益</v>
          </cell>
          <cell r="F362">
            <v>0</v>
          </cell>
          <cell r="G362">
            <v>0</v>
          </cell>
          <cell r="H362">
            <v>0</v>
          </cell>
          <cell r="I362">
            <v>0</v>
          </cell>
          <cell r="J362">
            <v>0</v>
          </cell>
          <cell r="K362">
            <v>0</v>
          </cell>
          <cell r="L362">
            <v>0</v>
          </cell>
          <cell r="M362">
            <v>0</v>
          </cell>
        </row>
        <row r="363">
          <cell r="D363">
            <v>8773</v>
          </cell>
          <cell r="E363" t="str">
            <v>未分配利润_盈余公积弥补亏损</v>
          </cell>
          <cell r="F363">
            <v>0</v>
          </cell>
          <cell r="G363">
            <v>0</v>
          </cell>
          <cell r="H363">
            <v>0</v>
          </cell>
          <cell r="I363">
            <v>0</v>
          </cell>
          <cell r="J363">
            <v>0</v>
          </cell>
          <cell r="K363">
            <v>0</v>
          </cell>
          <cell r="L363">
            <v>0</v>
          </cell>
          <cell r="M363">
            <v>0</v>
          </cell>
        </row>
        <row r="364">
          <cell r="D364">
            <v>8776</v>
          </cell>
          <cell r="E364" t="str">
            <v>未分配利润_所有者权益其他内部结转</v>
          </cell>
          <cell r="F364">
            <v>0</v>
          </cell>
          <cell r="G364">
            <v>0</v>
          </cell>
          <cell r="H364">
            <v>0</v>
          </cell>
          <cell r="I364">
            <v>0</v>
          </cell>
          <cell r="J364">
            <v>0</v>
          </cell>
          <cell r="K364">
            <v>0</v>
          </cell>
          <cell r="L364">
            <v>0</v>
          </cell>
          <cell r="M364">
            <v>0</v>
          </cell>
        </row>
        <row r="365">
          <cell r="D365">
            <v>8780</v>
          </cell>
          <cell r="E365" t="str">
            <v>未分配利润_专项储备影响权益</v>
          </cell>
          <cell r="F365">
            <v>0</v>
          </cell>
          <cell r="G365">
            <v>0</v>
          </cell>
          <cell r="H365">
            <v>0</v>
          </cell>
          <cell r="I365">
            <v>0</v>
          </cell>
          <cell r="J365">
            <v>0</v>
          </cell>
          <cell r="K365">
            <v>0</v>
          </cell>
          <cell r="L365">
            <v>0</v>
          </cell>
          <cell r="M365">
            <v>0</v>
          </cell>
        </row>
        <row r="366">
          <cell r="D366">
            <v>8781</v>
          </cell>
          <cell r="E366" t="str">
            <v>未分配利润_专项储备本期提取</v>
          </cell>
          <cell r="F366">
            <v>0</v>
          </cell>
          <cell r="G366">
            <v>0</v>
          </cell>
          <cell r="H366">
            <v>0</v>
          </cell>
          <cell r="I366">
            <v>0</v>
          </cell>
          <cell r="J366">
            <v>0</v>
          </cell>
          <cell r="K366">
            <v>0</v>
          </cell>
          <cell r="L366">
            <v>0</v>
          </cell>
          <cell r="M366">
            <v>0</v>
          </cell>
        </row>
        <row r="367">
          <cell r="D367">
            <v>8782</v>
          </cell>
          <cell r="E367" t="str">
            <v>未分配利润_专项储备本期使用</v>
          </cell>
          <cell r="F367">
            <v>0</v>
          </cell>
          <cell r="G367">
            <v>0</v>
          </cell>
          <cell r="H367">
            <v>0</v>
          </cell>
          <cell r="I367">
            <v>0</v>
          </cell>
          <cell r="J367">
            <v>0</v>
          </cell>
          <cell r="K367">
            <v>0</v>
          </cell>
          <cell r="L367">
            <v>0</v>
          </cell>
          <cell r="M367">
            <v>0</v>
          </cell>
        </row>
        <row r="368">
          <cell r="D368">
            <v>8796</v>
          </cell>
          <cell r="E368" t="str">
            <v>未分配利润_本期其他增减变动</v>
          </cell>
          <cell r="F368">
            <v>0</v>
          </cell>
          <cell r="G368">
            <v>0</v>
          </cell>
          <cell r="H368">
            <v>0</v>
          </cell>
          <cell r="I368">
            <v>0</v>
          </cell>
          <cell r="J368">
            <v>0</v>
          </cell>
          <cell r="K368">
            <v>0</v>
          </cell>
          <cell r="L368">
            <v>0</v>
          </cell>
          <cell r="M368">
            <v>0</v>
          </cell>
        </row>
        <row r="369">
          <cell r="D369">
            <v>8799</v>
          </cell>
          <cell r="E369" t="str">
            <v>未分配利润_本期期末余额</v>
          </cell>
          <cell r="F369">
            <v>444768185.35000002</v>
          </cell>
          <cell r="G369">
            <v>59243674.590000004</v>
          </cell>
          <cell r="H369">
            <v>128878139.77</v>
          </cell>
          <cell r="I369">
            <v>514402650.52999997</v>
          </cell>
          <cell r="J369">
            <v>530614533.82999998</v>
          </cell>
          <cell r="K369">
            <v>0</v>
          </cell>
          <cell r="L369">
            <v>0</v>
          </cell>
          <cell r="M369">
            <v>530614533.82999998</v>
          </cell>
        </row>
        <row r="370">
          <cell r="D370">
            <v>8800</v>
          </cell>
          <cell r="E370" t="str">
            <v>其他归属于母公司权益增减变动</v>
          </cell>
          <cell r="F370">
            <v>0</v>
          </cell>
          <cell r="G370">
            <v>0</v>
          </cell>
          <cell r="H370">
            <v>0</v>
          </cell>
          <cell r="I370">
            <v>0</v>
          </cell>
          <cell r="J370">
            <v>0</v>
          </cell>
          <cell r="K370">
            <v>0</v>
          </cell>
          <cell r="L370">
            <v>0</v>
          </cell>
          <cell r="M370">
            <v>0</v>
          </cell>
        </row>
        <row r="371">
          <cell r="D371">
            <v>8801</v>
          </cell>
          <cell r="E371" t="str">
            <v>其他归属于母公司权益_上年年末余额</v>
          </cell>
          <cell r="F371">
            <v>0</v>
          </cell>
          <cell r="G371">
            <v>0</v>
          </cell>
          <cell r="H371">
            <v>0</v>
          </cell>
          <cell r="I371">
            <v>0</v>
          </cell>
          <cell r="J371">
            <v>0</v>
          </cell>
          <cell r="K371">
            <v>0</v>
          </cell>
          <cell r="L371">
            <v>0</v>
          </cell>
          <cell r="M371">
            <v>0</v>
          </cell>
        </row>
        <row r="372">
          <cell r="D372">
            <v>8802</v>
          </cell>
          <cell r="E372" t="str">
            <v>其他归属于母公司权益_会计政策变更调整上年年末余额</v>
          </cell>
          <cell r="F372">
            <v>0</v>
          </cell>
          <cell r="G372">
            <v>0</v>
          </cell>
          <cell r="H372">
            <v>0</v>
          </cell>
          <cell r="I372">
            <v>0</v>
          </cell>
          <cell r="J372">
            <v>0</v>
          </cell>
          <cell r="K372">
            <v>0</v>
          </cell>
          <cell r="L372">
            <v>0</v>
          </cell>
          <cell r="M372">
            <v>0</v>
          </cell>
        </row>
        <row r="373">
          <cell r="D373">
            <v>8803</v>
          </cell>
          <cell r="E373" t="str">
            <v>其他归属于母公司权益_前期差错更正调整上年年末余额</v>
          </cell>
          <cell r="F373">
            <v>0</v>
          </cell>
          <cell r="G373">
            <v>0</v>
          </cell>
          <cell r="H373">
            <v>0</v>
          </cell>
          <cell r="I373">
            <v>0</v>
          </cell>
          <cell r="J373">
            <v>0</v>
          </cell>
          <cell r="K373">
            <v>0</v>
          </cell>
          <cell r="L373">
            <v>0</v>
          </cell>
          <cell r="M373">
            <v>0</v>
          </cell>
        </row>
        <row r="374">
          <cell r="D374">
            <v>8809</v>
          </cell>
          <cell r="E374" t="str">
            <v>其他归属于母公司权益_其他原因调整上年年末余额</v>
          </cell>
          <cell r="F374">
            <v>0</v>
          </cell>
          <cell r="G374">
            <v>0</v>
          </cell>
          <cell r="H374">
            <v>0</v>
          </cell>
          <cell r="I374">
            <v>0</v>
          </cell>
          <cell r="J374">
            <v>0</v>
          </cell>
          <cell r="K374">
            <v>0</v>
          </cell>
          <cell r="L374">
            <v>0</v>
          </cell>
          <cell r="M374">
            <v>0</v>
          </cell>
        </row>
        <row r="375">
          <cell r="D375">
            <v>8810</v>
          </cell>
          <cell r="E375" t="str">
            <v>其他归属于母公司权益_本年年初余额</v>
          </cell>
          <cell r="F375">
            <v>0</v>
          </cell>
          <cell r="G375">
            <v>0</v>
          </cell>
          <cell r="H375">
            <v>0</v>
          </cell>
          <cell r="I375">
            <v>0</v>
          </cell>
          <cell r="J375">
            <v>0</v>
          </cell>
          <cell r="K375">
            <v>0</v>
          </cell>
          <cell r="L375">
            <v>0</v>
          </cell>
          <cell r="M375">
            <v>0</v>
          </cell>
        </row>
        <row r="376">
          <cell r="D376">
            <v>8890</v>
          </cell>
          <cell r="E376" t="str">
            <v>其他归属于母公司权益_本期增减变动金额</v>
          </cell>
          <cell r="F376">
            <v>0</v>
          </cell>
          <cell r="G376">
            <v>0</v>
          </cell>
          <cell r="H376">
            <v>0</v>
          </cell>
          <cell r="I376">
            <v>0</v>
          </cell>
          <cell r="J376">
            <v>0</v>
          </cell>
          <cell r="K376">
            <v>0</v>
          </cell>
          <cell r="L376">
            <v>0</v>
          </cell>
          <cell r="M376">
            <v>0</v>
          </cell>
        </row>
        <row r="377">
          <cell r="D377">
            <v>8821</v>
          </cell>
          <cell r="E377" t="str">
            <v>其他归属于母公司权益_净利润增加权益</v>
          </cell>
          <cell r="F377">
            <v>0</v>
          </cell>
          <cell r="G377">
            <v>0</v>
          </cell>
          <cell r="H377">
            <v>0</v>
          </cell>
          <cell r="I377">
            <v>0</v>
          </cell>
          <cell r="J377">
            <v>0</v>
          </cell>
          <cell r="K377">
            <v>0</v>
          </cell>
          <cell r="L377">
            <v>0</v>
          </cell>
          <cell r="M377">
            <v>0</v>
          </cell>
        </row>
        <row r="378">
          <cell r="D378">
            <v>8830</v>
          </cell>
          <cell r="E378" t="str">
            <v>其他归属于母公司权益_其他综合收益</v>
          </cell>
          <cell r="F378">
            <v>0</v>
          </cell>
          <cell r="G378">
            <v>0</v>
          </cell>
          <cell r="H378">
            <v>0</v>
          </cell>
          <cell r="I378">
            <v>0</v>
          </cell>
          <cell r="J378">
            <v>0</v>
          </cell>
          <cell r="K378">
            <v>0</v>
          </cell>
          <cell r="L378">
            <v>0</v>
          </cell>
          <cell r="M378">
            <v>0</v>
          </cell>
        </row>
        <row r="379">
          <cell r="D379">
            <v>8840</v>
          </cell>
          <cell r="E379" t="str">
            <v>其他归属于母公司权益_净利润与其他综合收益增加权益</v>
          </cell>
          <cell r="F379">
            <v>0</v>
          </cell>
          <cell r="G379">
            <v>0</v>
          </cell>
          <cell r="H379">
            <v>0</v>
          </cell>
          <cell r="I379">
            <v>0</v>
          </cell>
          <cell r="J379">
            <v>0</v>
          </cell>
          <cell r="K379">
            <v>0</v>
          </cell>
          <cell r="L379">
            <v>0</v>
          </cell>
          <cell r="M379">
            <v>0</v>
          </cell>
        </row>
        <row r="380">
          <cell r="D380">
            <v>8850</v>
          </cell>
          <cell r="E380" t="str">
            <v>其他归属于母公司权益_所有者投入和减少资本影响权益</v>
          </cell>
          <cell r="F380">
            <v>0</v>
          </cell>
          <cell r="G380">
            <v>0</v>
          </cell>
          <cell r="H380">
            <v>0</v>
          </cell>
          <cell r="I380">
            <v>0</v>
          </cell>
          <cell r="J380">
            <v>0</v>
          </cell>
          <cell r="K380">
            <v>0</v>
          </cell>
          <cell r="L380">
            <v>0</v>
          </cell>
          <cell r="M380">
            <v>0</v>
          </cell>
        </row>
        <row r="381">
          <cell r="D381">
            <v>8851</v>
          </cell>
          <cell r="E381" t="str">
            <v>其他归属于母公司权益_所有者投入资本</v>
          </cell>
          <cell r="F381">
            <v>0</v>
          </cell>
          <cell r="G381">
            <v>0</v>
          </cell>
          <cell r="H381">
            <v>0</v>
          </cell>
          <cell r="I381">
            <v>0</v>
          </cell>
          <cell r="J381">
            <v>0</v>
          </cell>
          <cell r="K381">
            <v>0</v>
          </cell>
          <cell r="L381">
            <v>0</v>
          </cell>
          <cell r="M381">
            <v>0</v>
          </cell>
        </row>
        <row r="382">
          <cell r="D382">
            <v>8852</v>
          </cell>
          <cell r="E382" t="str">
            <v>其他归属于母公司权益_股份支付</v>
          </cell>
          <cell r="F382">
            <v>0</v>
          </cell>
          <cell r="G382">
            <v>0</v>
          </cell>
          <cell r="H382">
            <v>0</v>
          </cell>
          <cell r="I382">
            <v>0</v>
          </cell>
          <cell r="J382">
            <v>0</v>
          </cell>
          <cell r="K382">
            <v>0</v>
          </cell>
          <cell r="L382">
            <v>0</v>
          </cell>
          <cell r="M382">
            <v>0</v>
          </cell>
        </row>
        <row r="383">
          <cell r="D383">
            <v>8856</v>
          </cell>
          <cell r="E383" t="str">
            <v>其他归属于母公司权益_所有者其他投入和减少资本</v>
          </cell>
          <cell r="F383">
            <v>0</v>
          </cell>
          <cell r="G383">
            <v>0</v>
          </cell>
          <cell r="H383">
            <v>0</v>
          </cell>
          <cell r="I383">
            <v>0</v>
          </cell>
          <cell r="J383">
            <v>0</v>
          </cell>
          <cell r="K383">
            <v>0</v>
          </cell>
          <cell r="L383">
            <v>0</v>
          </cell>
          <cell r="M383">
            <v>0</v>
          </cell>
        </row>
        <row r="384">
          <cell r="D384">
            <v>8860</v>
          </cell>
          <cell r="E384" t="str">
            <v>其他归属于母公司权益_利润分配影响权益</v>
          </cell>
          <cell r="F384">
            <v>0</v>
          </cell>
          <cell r="G384">
            <v>0</v>
          </cell>
          <cell r="H384">
            <v>0</v>
          </cell>
          <cell r="I384">
            <v>0</v>
          </cell>
          <cell r="J384">
            <v>0</v>
          </cell>
          <cell r="K384">
            <v>0</v>
          </cell>
          <cell r="L384">
            <v>0</v>
          </cell>
          <cell r="M384">
            <v>0</v>
          </cell>
        </row>
        <row r="385">
          <cell r="D385">
            <v>8861</v>
          </cell>
          <cell r="E385" t="str">
            <v>其他归属于母公司权益_提取盈余公积</v>
          </cell>
          <cell r="F385">
            <v>0</v>
          </cell>
          <cell r="G385">
            <v>0</v>
          </cell>
          <cell r="H385">
            <v>0</v>
          </cell>
          <cell r="I385">
            <v>0</v>
          </cell>
          <cell r="J385">
            <v>0</v>
          </cell>
          <cell r="K385">
            <v>0</v>
          </cell>
          <cell r="L385">
            <v>0</v>
          </cell>
          <cell r="M385">
            <v>0</v>
          </cell>
        </row>
        <row r="386">
          <cell r="D386">
            <v>8862</v>
          </cell>
          <cell r="E386" t="str">
            <v>其他归属于母公司权益_提取一般风险准备</v>
          </cell>
          <cell r="F386">
            <v>0</v>
          </cell>
          <cell r="G386">
            <v>0</v>
          </cell>
          <cell r="H386">
            <v>0</v>
          </cell>
          <cell r="I386">
            <v>0</v>
          </cell>
          <cell r="J386">
            <v>0</v>
          </cell>
          <cell r="K386">
            <v>0</v>
          </cell>
          <cell r="L386">
            <v>0</v>
          </cell>
          <cell r="M386">
            <v>0</v>
          </cell>
        </row>
        <row r="387">
          <cell r="D387">
            <v>8863</v>
          </cell>
          <cell r="E387" t="str">
            <v>其他归属于母公司权益_对所有者的分配</v>
          </cell>
          <cell r="F387">
            <v>0</v>
          </cell>
          <cell r="G387">
            <v>0</v>
          </cell>
          <cell r="H387">
            <v>0</v>
          </cell>
          <cell r="I387">
            <v>0</v>
          </cell>
          <cell r="J387">
            <v>0</v>
          </cell>
          <cell r="K387">
            <v>0</v>
          </cell>
          <cell r="L387">
            <v>0</v>
          </cell>
          <cell r="M387">
            <v>0</v>
          </cell>
        </row>
        <row r="388">
          <cell r="D388">
            <v>8866</v>
          </cell>
          <cell r="E388" t="str">
            <v>其他归属于母公司权益_其他利润分配</v>
          </cell>
          <cell r="F388">
            <v>0</v>
          </cell>
          <cell r="G388">
            <v>0</v>
          </cell>
          <cell r="H388">
            <v>0</v>
          </cell>
          <cell r="I388">
            <v>0</v>
          </cell>
          <cell r="J388">
            <v>0</v>
          </cell>
          <cell r="K388">
            <v>0</v>
          </cell>
          <cell r="L388">
            <v>0</v>
          </cell>
          <cell r="M388">
            <v>0</v>
          </cell>
        </row>
        <row r="389">
          <cell r="D389">
            <v>8870</v>
          </cell>
          <cell r="E389" t="str">
            <v>其他归属于母公司权益_所有者权益内部结转</v>
          </cell>
          <cell r="F389">
            <v>0</v>
          </cell>
          <cell r="G389">
            <v>0</v>
          </cell>
          <cell r="H389">
            <v>0</v>
          </cell>
          <cell r="I389">
            <v>0</v>
          </cell>
          <cell r="J389">
            <v>0</v>
          </cell>
          <cell r="K389">
            <v>0</v>
          </cell>
          <cell r="L389">
            <v>0</v>
          </cell>
          <cell r="M389">
            <v>0</v>
          </cell>
        </row>
        <row r="390">
          <cell r="D390">
            <v>8871</v>
          </cell>
          <cell r="E390" t="str">
            <v>其他归属于母公司权益_资本公积转增资本</v>
          </cell>
          <cell r="F390">
            <v>0</v>
          </cell>
          <cell r="G390">
            <v>0</v>
          </cell>
          <cell r="H390">
            <v>0</v>
          </cell>
          <cell r="I390">
            <v>0</v>
          </cell>
          <cell r="J390">
            <v>0</v>
          </cell>
          <cell r="K390">
            <v>0</v>
          </cell>
          <cell r="L390">
            <v>0</v>
          </cell>
          <cell r="M390">
            <v>0</v>
          </cell>
        </row>
        <row r="391">
          <cell r="D391">
            <v>8872</v>
          </cell>
          <cell r="E391" t="str">
            <v>其他归属于母公司权益_盈余公积转增资本</v>
          </cell>
          <cell r="F391">
            <v>0</v>
          </cell>
          <cell r="G391">
            <v>0</v>
          </cell>
          <cell r="H391">
            <v>0</v>
          </cell>
          <cell r="I391">
            <v>0</v>
          </cell>
          <cell r="J391">
            <v>0</v>
          </cell>
          <cell r="K391">
            <v>0</v>
          </cell>
          <cell r="L391">
            <v>0</v>
          </cell>
          <cell r="M391">
            <v>0</v>
          </cell>
        </row>
        <row r="392">
          <cell r="D392">
            <v>8873</v>
          </cell>
          <cell r="E392" t="str">
            <v>其他归属于母公司权益_盈余公积弥补亏损</v>
          </cell>
          <cell r="F392">
            <v>0</v>
          </cell>
          <cell r="G392">
            <v>0</v>
          </cell>
          <cell r="H392">
            <v>0</v>
          </cell>
          <cell r="I392">
            <v>0</v>
          </cell>
          <cell r="J392">
            <v>0</v>
          </cell>
          <cell r="K392">
            <v>0</v>
          </cell>
          <cell r="L392">
            <v>0</v>
          </cell>
          <cell r="M392">
            <v>0</v>
          </cell>
        </row>
        <row r="393">
          <cell r="D393">
            <v>8876</v>
          </cell>
          <cell r="E393" t="str">
            <v>其他归属于母公司权益_所有者权益其他内部结转</v>
          </cell>
          <cell r="F393">
            <v>0</v>
          </cell>
          <cell r="G393">
            <v>0</v>
          </cell>
          <cell r="H393">
            <v>0</v>
          </cell>
          <cell r="I393">
            <v>0</v>
          </cell>
          <cell r="J393">
            <v>0</v>
          </cell>
          <cell r="K393">
            <v>0</v>
          </cell>
          <cell r="L393">
            <v>0</v>
          </cell>
          <cell r="M393">
            <v>0</v>
          </cell>
        </row>
        <row r="394">
          <cell r="D394">
            <v>8880</v>
          </cell>
          <cell r="E394" t="str">
            <v>其他归属于母公司权益_专项储备影响权益</v>
          </cell>
          <cell r="F394">
            <v>0</v>
          </cell>
          <cell r="G394">
            <v>0</v>
          </cell>
          <cell r="H394">
            <v>0</v>
          </cell>
          <cell r="I394">
            <v>0</v>
          </cell>
          <cell r="J394">
            <v>0</v>
          </cell>
          <cell r="K394">
            <v>0</v>
          </cell>
          <cell r="L394">
            <v>0</v>
          </cell>
          <cell r="M394">
            <v>0</v>
          </cell>
        </row>
        <row r="395">
          <cell r="D395">
            <v>8881</v>
          </cell>
          <cell r="E395" t="str">
            <v>其他归属于母公司权益_专项储备本期提取</v>
          </cell>
          <cell r="F395">
            <v>0</v>
          </cell>
          <cell r="G395">
            <v>0</v>
          </cell>
          <cell r="H395">
            <v>0</v>
          </cell>
          <cell r="I395">
            <v>0</v>
          </cell>
          <cell r="J395">
            <v>0</v>
          </cell>
          <cell r="K395">
            <v>0</v>
          </cell>
          <cell r="L395">
            <v>0</v>
          </cell>
          <cell r="M395">
            <v>0</v>
          </cell>
        </row>
        <row r="396">
          <cell r="D396">
            <v>8882</v>
          </cell>
          <cell r="E396" t="str">
            <v>其他归属于母公司权益_专项储备本期使用</v>
          </cell>
          <cell r="F396">
            <v>0</v>
          </cell>
          <cell r="G396">
            <v>0</v>
          </cell>
          <cell r="H396">
            <v>0</v>
          </cell>
          <cell r="I396">
            <v>0</v>
          </cell>
          <cell r="J396">
            <v>0</v>
          </cell>
          <cell r="K396">
            <v>0</v>
          </cell>
          <cell r="L396">
            <v>0</v>
          </cell>
          <cell r="M396">
            <v>0</v>
          </cell>
        </row>
        <row r="397">
          <cell r="D397">
            <v>8896</v>
          </cell>
          <cell r="E397" t="str">
            <v>其他归属于母公司权益_本期其他增减变动</v>
          </cell>
          <cell r="F397">
            <v>0</v>
          </cell>
          <cell r="G397">
            <v>0</v>
          </cell>
          <cell r="H397">
            <v>0</v>
          </cell>
          <cell r="I397">
            <v>0</v>
          </cell>
          <cell r="J397">
            <v>0</v>
          </cell>
          <cell r="K397">
            <v>0</v>
          </cell>
          <cell r="L397">
            <v>0</v>
          </cell>
          <cell r="M397">
            <v>0</v>
          </cell>
        </row>
        <row r="398">
          <cell r="D398">
            <v>8899</v>
          </cell>
          <cell r="E398" t="str">
            <v>其他归属于母公司权益_本期期末余额</v>
          </cell>
          <cell r="F398">
            <v>0</v>
          </cell>
          <cell r="G398">
            <v>0</v>
          </cell>
          <cell r="H398">
            <v>0</v>
          </cell>
          <cell r="I398">
            <v>0</v>
          </cell>
          <cell r="J398">
            <v>0</v>
          </cell>
          <cell r="K398">
            <v>0</v>
          </cell>
          <cell r="L398">
            <v>0</v>
          </cell>
          <cell r="M398">
            <v>0</v>
          </cell>
        </row>
        <row r="399">
          <cell r="D399">
            <v>8900</v>
          </cell>
          <cell r="E399" t="str">
            <v>少数股东权益增减变动</v>
          </cell>
          <cell r="F399">
            <v>0</v>
          </cell>
          <cell r="G399">
            <v>0</v>
          </cell>
          <cell r="H399">
            <v>0</v>
          </cell>
          <cell r="I399">
            <v>0</v>
          </cell>
          <cell r="J399">
            <v>0</v>
          </cell>
          <cell r="K399">
            <v>0</v>
          </cell>
          <cell r="L399">
            <v>0</v>
          </cell>
          <cell r="M399">
            <v>0</v>
          </cell>
        </row>
        <row r="400">
          <cell r="D400">
            <v>8901</v>
          </cell>
          <cell r="E400" t="str">
            <v>少数股东权益_上年年末余额</v>
          </cell>
          <cell r="F400">
            <v>0</v>
          </cell>
          <cell r="G400">
            <v>0</v>
          </cell>
          <cell r="H400">
            <v>0</v>
          </cell>
          <cell r="I400">
            <v>0</v>
          </cell>
          <cell r="J400">
            <v>0</v>
          </cell>
          <cell r="K400">
            <v>0</v>
          </cell>
          <cell r="L400">
            <v>0</v>
          </cell>
          <cell r="M400">
            <v>0</v>
          </cell>
        </row>
        <row r="401">
          <cell r="D401">
            <v>8902</v>
          </cell>
          <cell r="E401" t="str">
            <v>少数股东权益_会计政策变更调整上年年末余额</v>
          </cell>
          <cell r="F401">
            <v>0</v>
          </cell>
          <cell r="G401">
            <v>0</v>
          </cell>
          <cell r="H401">
            <v>0</v>
          </cell>
          <cell r="I401">
            <v>0</v>
          </cell>
          <cell r="J401">
            <v>0</v>
          </cell>
          <cell r="K401">
            <v>0</v>
          </cell>
          <cell r="L401">
            <v>0</v>
          </cell>
          <cell r="M401">
            <v>0</v>
          </cell>
        </row>
        <row r="402">
          <cell r="D402">
            <v>8903</v>
          </cell>
          <cell r="E402" t="str">
            <v>少数股东权益_前期差错更正调整上年年末余额</v>
          </cell>
          <cell r="F402">
            <v>0</v>
          </cell>
          <cell r="G402">
            <v>0</v>
          </cell>
          <cell r="H402">
            <v>0</v>
          </cell>
          <cell r="I402">
            <v>0</v>
          </cell>
          <cell r="J402">
            <v>0</v>
          </cell>
          <cell r="K402">
            <v>0</v>
          </cell>
          <cell r="L402">
            <v>0</v>
          </cell>
          <cell r="M402">
            <v>0</v>
          </cell>
        </row>
        <row r="403">
          <cell r="D403">
            <v>8909</v>
          </cell>
          <cell r="E403" t="str">
            <v>少数股东权益_其他原因调整上年年末余额</v>
          </cell>
          <cell r="F403">
            <v>0</v>
          </cell>
          <cell r="G403">
            <v>0</v>
          </cell>
          <cell r="H403">
            <v>0</v>
          </cell>
          <cell r="I403">
            <v>0</v>
          </cell>
          <cell r="J403">
            <v>0</v>
          </cell>
          <cell r="K403">
            <v>0</v>
          </cell>
          <cell r="L403">
            <v>0</v>
          </cell>
          <cell r="M403">
            <v>0</v>
          </cell>
        </row>
        <row r="404">
          <cell r="D404">
            <v>8910</v>
          </cell>
          <cell r="E404" t="str">
            <v>少数股东权益_本年年初余额</v>
          </cell>
          <cell r="F404">
            <v>0</v>
          </cell>
          <cell r="G404">
            <v>0</v>
          </cell>
          <cell r="H404">
            <v>0</v>
          </cell>
          <cell r="I404">
            <v>0</v>
          </cell>
          <cell r="J404">
            <v>0</v>
          </cell>
          <cell r="K404">
            <v>0</v>
          </cell>
          <cell r="L404">
            <v>0</v>
          </cell>
          <cell r="M404">
            <v>0</v>
          </cell>
        </row>
        <row r="405">
          <cell r="D405">
            <v>8990</v>
          </cell>
          <cell r="E405" t="str">
            <v>少数股东权益_本期增减变动金额</v>
          </cell>
          <cell r="F405">
            <v>0</v>
          </cell>
          <cell r="G405">
            <v>0</v>
          </cell>
          <cell r="H405">
            <v>0</v>
          </cell>
          <cell r="I405">
            <v>0</v>
          </cell>
          <cell r="J405">
            <v>0</v>
          </cell>
          <cell r="K405">
            <v>0</v>
          </cell>
          <cell r="L405">
            <v>0</v>
          </cell>
          <cell r="M405">
            <v>0</v>
          </cell>
        </row>
        <row r="406">
          <cell r="D406">
            <v>8921</v>
          </cell>
          <cell r="E406" t="str">
            <v>少数股东权益_净利润</v>
          </cell>
          <cell r="F406">
            <v>0</v>
          </cell>
          <cell r="G406">
            <v>0</v>
          </cell>
          <cell r="H406">
            <v>0</v>
          </cell>
          <cell r="I406">
            <v>0</v>
          </cell>
          <cell r="J406">
            <v>0</v>
          </cell>
          <cell r="K406">
            <v>0</v>
          </cell>
          <cell r="L406">
            <v>0</v>
          </cell>
          <cell r="M406">
            <v>0</v>
          </cell>
        </row>
        <row r="407">
          <cell r="D407">
            <v>8930</v>
          </cell>
          <cell r="E407" t="str">
            <v>少数股东权益_其他综合收益</v>
          </cell>
          <cell r="F407">
            <v>0</v>
          </cell>
          <cell r="G407">
            <v>0</v>
          </cell>
          <cell r="H407">
            <v>0</v>
          </cell>
          <cell r="I407">
            <v>0</v>
          </cell>
          <cell r="J407">
            <v>0</v>
          </cell>
          <cell r="K407">
            <v>0</v>
          </cell>
          <cell r="L407">
            <v>0</v>
          </cell>
          <cell r="M407">
            <v>0</v>
          </cell>
        </row>
        <row r="408">
          <cell r="D408">
            <v>8940</v>
          </cell>
          <cell r="E408" t="str">
            <v>少数股东权益_净利润与其他综合收益增加权益</v>
          </cell>
          <cell r="F408">
            <v>0</v>
          </cell>
          <cell r="G408">
            <v>0</v>
          </cell>
          <cell r="H408">
            <v>0</v>
          </cell>
          <cell r="I408">
            <v>0</v>
          </cell>
          <cell r="J408">
            <v>0</v>
          </cell>
          <cell r="K408">
            <v>0</v>
          </cell>
          <cell r="L408">
            <v>0</v>
          </cell>
          <cell r="M408">
            <v>0</v>
          </cell>
        </row>
        <row r="409">
          <cell r="D409">
            <v>8950</v>
          </cell>
          <cell r="E409" t="str">
            <v>少数股东权益_所有者投入和减少资本影响权益</v>
          </cell>
          <cell r="F409">
            <v>0</v>
          </cell>
          <cell r="G409">
            <v>0</v>
          </cell>
          <cell r="H409">
            <v>0</v>
          </cell>
          <cell r="I409">
            <v>0</v>
          </cell>
          <cell r="J409">
            <v>0</v>
          </cell>
          <cell r="K409">
            <v>0</v>
          </cell>
          <cell r="L409">
            <v>0</v>
          </cell>
          <cell r="M409">
            <v>0</v>
          </cell>
        </row>
        <row r="410">
          <cell r="D410">
            <v>8951</v>
          </cell>
          <cell r="E410" t="str">
            <v>少数股东权益_所有者投入资本</v>
          </cell>
          <cell r="F410">
            <v>0</v>
          </cell>
          <cell r="G410">
            <v>0</v>
          </cell>
          <cell r="H410">
            <v>0</v>
          </cell>
          <cell r="I410">
            <v>0</v>
          </cell>
          <cell r="J410">
            <v>0</v>
          </cell>
          <cell r="K410">
            <v>0</v>
          </cell>
          <cell r="L410">
            <v>0</v>
          </cell>
          <cell r="M410">
            <v>0</v>
          </cell>
        </row>
        <row r="411">
          <cell r="D411">
            <v>8952</v>
          </cell>
          <cell r="E411" t="str">
            <v>少数股东权益_股份支付</v>
          </cell>
          <cell r="F411">
            <v>0</v>
          </cell>
          <cell r="G411">
            <v>0</v>
          </cell>
          <cell r="H411">
            <v>0</v>
          </cell>
          <cell r="I411">
            <v>0</v>
          </cell>
          <cell r="J411">
            <v>0</v>
          </cell>
          <cell r="K411">
            <v>0</v>
          </cell>
          <cell r="L411">
            <v>0</v>
          </cell>
          <cell r="M411">
            <v>0</v>
          </cell>
        </row>
        <row r="412">
          <cell r="D412">
            <v>8956</v>
          </cell>
          <cell r="E412" t="str">
            <v>少数股东权益_所有者其他投入和减少资本</v>
          </cell>
          <cell r="F412">
            <v>0</v>
          </cell>
          <cell r="G412">
            <v>0</v>
          </cell>
          <cell r="H412">
            <v>0</v>
          </cell>
          <cell r="I412">
            <v>0</v>
          </cell>
          <cell r="J412">
            <v>0</v>
          </cell>
          <cell r="K412">
            <v>0</v>
          </cell>
          <cell r="L412">
            <v>0</v>
          </cell>
          <cell r="M412">
            <v>0</v>
          </cell>
        </row>
        <row r="413">
          <cell r="D413">
            <v>8960</v>
          </cell>
          <cell r="E413" t="str">
            <v>少数股东权益_利润分配影响权益</v>
          </cell>
          <cell r="F413">
            <v>0</v>
          </cell>
          <cell r="G413">
            <v>0</v>
          </cell>
          <cell r="H413">
            <v>0</v>
          </cell>
          <cell r="I413">
            <v>0</v>
          </cell>
          <cell r="J413">
            <v>0</v>
          </cell>
          <cell r="K413">
            <v>0</v>
          </cell>
          <cell r="L413">
            <v>0</v>
          </cell>
          <cell r="M413">
            <v>0</v>
          </cell>
        </row>
        <row r="414">
          <cell r="D414">
            <v>8961</v>
          </cell>
          <cell r="E414" t="str">
            <v>少数股东权益_提取盈余公积影响权益</v>
          </cell>
          <cell r="F414">
            <v>0</v>
          </cell>
          <cell r="G414">
            <v>0</v>
          </cell>
          <cell r="H414">
            <v>0</v>
          </cell>
          <cell r="I414">
            <v>0</v>
          </cell>
          <cell r="J414">
            <v>0</v>
          </cell>
          <cell r="K414">
            <v>0</v>
          </cell>
          <cell r="L414">
            <v>0</v>
          </cell>
          <cell r="M414">
            <v>0</v>
          </cell>
        </row>
        <row r="415">
          <cell r="D415">
            <v>8962</v>
          </cell>
          <cell r="E415" t="str">
            <v>少数股东权益_提取一般风险准备影响权益</v>
          </cell>
          <cell r="F415">
            <v>0</v>
          </cell>
          <cell r="G415">
            <v>0</v>
          </cell>
          <cell r="H415">
            <v>0</v>
          </cell>
          <cell r="I415">
            <v>0</v>
          </cell>
          <cell r="J415">
            <v>0</v>
          </cell>
          <cell r="K415">
            <v>0</v>
          </cell>
          <cell r="L415">
            <v>0</v>
          </cell>
          <cell r="M415">
            <v>0</v>
          </cell>
        </row>
        <row r="416">
          <cell r="D416">
            <v>8963</v>
          </cell>
          <cell r="E416" t="str">
            <v>少数股东权益_对所有者的分配</v>
          </cell>
          <cell r="F416">
            <v>0</v>
          </cell>
          <cell r="G416">
            <v>0</v>
          </cell>
          <cell r="H416">
            <v>0</v>
          </cell>
          <cell r="I416">
            <v>0</v>
          </cell>
          <cell r="J416">
            <v>0</v>
          </cell>
          <cell r="K416">
            <v>0</v>
          </cell>
          <cell r="L416">
            <v>0</v>
          </cell>
          <cell r="M416">
            <v>0</v>
          </cell>
        </row>
        <row r="417">
          <cell r="D417">
            <v>8966</v>
          </cell>
          <cell r="E417" t="str">
            <v>少数股东权益_其他利润分配</v>
          </cell>
          <cell r="F417">
            <v>0</v>
          </cell>
          <cell r="G417">
            <v>0</v>
          </cell>
          <cell r="H417">
            <v>0</v>
          </cell>
          <cell r="I417">
            <v>0</v>
          </cell>
          <cell r="J417">
            <v>0</v>
          </cell>
          <cell r="K417">
            <v>0</v>
          </cell>
          <cell r="L417">
            <v>0</v>
          </cell>
          <cell r="M417">
            <v>0</v>
          </cell>
        </row>
        <row r="418">
          <cell r="D418">
            <v>8970</v>
          </cell>
          <cell r="E418" t="str">
            <v>少数股东权益_所有者权益内部结转</v>
          </cell>
          <cell r="F418">
            <v>0</v>
          </cell>
          <cell r="G418">
            <v>0</v>
          </cell>
          <cell r="H418">
            <v>0</v>
          </cell>
          <cell r="I418">
            <v>0</v>
          </cell>
          <cell r="J418">
            <v>0</v>
          </cell>
          <cell r="K418">
            <v>0</v>
          </cell>
          <cell r="L418">
            <v>0</v>
          </cell>
          <cell r="M418">
            <v>0</v>
          </cell>
        </row>
        <row r="419">
          <cell r="D419">
            <v>8971</v>
          </cell>
          <cell r="E419" t="str">
            <v>少数股东权益_资本公积转增资本影响权益</v>
          </cell>
          <cell r="F419">
            <v>0</v>
          </cell>
          <cell r="G419">
            <v>0</v>
          </cell>
          <cell r="H419">
            <v>0</v>
          </cell>
          <cell r="I419">
            <v>0</v>
          </cell>
          <cell r="J419">
            <v>0</v>
          </cell>
          <cell r="K419">
            <v>0</v>
          </cell>
          <cell r="L419">
            <v>0</v>
          </cell>
          <cell r="M419">
            <v>0</v>
          </cell>
        </row>
        <row r="420">
          <cell r="D420">
            <v>8972</v>
          </cell>
          <cell r="E420" t="str">
            <v>少数股东权益_盈余公积转增资本影响权益</v>
          </cell>
          <cell r="F420">
            <v>0</v>
          </cell>
          <cell r="G420">
            <v>0</v>
          </cell>
          <cell r="H420">
            <v>0</v>
          </cell>
          <cell r="I420">
            <v>0</v>
          </cell>
          <cell r="J420">
            <v>0</v>
          </cell>
          <cell r="K420">
            <v>0</v>
          </cell>
          <cell r="L420">
            <v>0</v>
          </cell>
          <cell r="M420">
            <v>0</v>
          </cell>
        </row>
        <row r="421">
          <cell r="D421">
            <v>8973</v>
          </cell>
          <cell r="E421" t="str">
            <v>少数股东权益_盈余公积弥补亏损影响权益</v>
          </cell>
          <cell r="F421">
            <v>0</v>
          </cell>
          <cell r="G421">
            <v>0</v>
          </cell>
          <cell r="H421">
            <v>0</v>
          </cell>
          <cell r="I421">
            <v>0</v>
          </cell>
          <cell r="J421">
            <v>0</v>
          </cell>
          <cell r="K421">
            <v>0</v>
          </cell>
          <cell r="L421">
            <v>0</v>
          </cell>
          <cell r="M421">
            <v>0</v>
          </cell>
        </row>
        <row r="422">
          <cell r="D422">
            <v>8976</v>
          </cell>
          <cell r="E422" t="str">
            <v>少数股东权益_所有者权益其他内部结转</v>
          </cell>
          <cell r="F422">
            <v>0</v>
          </cell>
          <cell r="G422">
            <v>0</v>
          </cell>
          <cell r="H422">
            <v>0</v>
          </cell>
          <cell r="I422">
            <v>0</v>
          </cell>
          <cell r="J422">
            <v>0</v>
          </cell>
          <cell r="K422">
            <v>0</v>
          </cell>
          <cell r="L422">
            <v>0</v>
          </cell>
          <cell r="M422">
            <v>0</v>
          </cell>
        </row>
        <row r="423">
          <cell r="D423">
            <v>8980</v>
          </cell>
          <cell r="E423" t="str">
            <v>少数股东权益_专项储备影响权益</v>
          </cell>
          <cell r="F423">
            <v>0</v>
          </cell>
          <cell r="G423">
            <v>0</v>
          </cell>
          <cell r="H423">
            <v>0</v>
          </cell>
          <cell r="I423">
            <v>0</v>
          </cell>
          <cell r="J423">
            <v>0</v>
          </cell>
          <cell r="K423">
            <v>0</v>
          </cell>
          <cell r="L423">
            <v>0</v>
          </cell>
          <cell r="M423">
            <v>0</v>
          </cell>
        </row>
        <row r="424">
          <cell r="D424">
            <v>8981</v>
          </cell>
          <cell r="E424" t="str">
            <v>少数股东权益_专项储备本期提取</v>
          </cell>
          <cell r="F424">
            <v>0</v>
          </cell>
          <cell r="G424">
            <v>0</v>
          </cell>
          <cell r="H424">
            <v>0</v>
          </cell>
          <cell r="I424">
            <v>0</v>
          </cell>
          <cell r="J424">
            <v>0</v>
          </cell>
          <cell r="K424">
            <v>0</v>
          </cell>
          <cell r="L424">
            <v>0</v>
          </cell>
          <cell r="M424">
            <v>0</v>
          </cell>
        </row>
        <row r="425">
          <cell r="D425">
            <v>8982</v>
          </cell>
          <cell r="E425" t="str">
            <v>少数股东权益_专项储备本期使用</v>
          </cell>
          <cell r="F425">
            <v>0</v>
          </cell>
          <cell r="G425">
            <v>0</v>
          </cell>
          <cell r="H425">
            <v>0</v>
          </cell>
          <cell r="I425">
            <v>0</v>
          </cell>
          <cell r="J425">
            <v>0</v>
          </cell>
          <cell r="K425">
            <v>0</v>
          </cell>
          <cell r="L425">
            <v>0</v>
          </cell>
          <cell r="M425">
            <v>0</v>
          </cell>
        </row>
        <row r="426">
          <cell r="D426">
            <v>8996</v>
          </cell>
          <cell r="E426" t="str">
            <v>少数股东权益_本期其他增减变动</v>
          </cell>
          <cell r="F426">
            <v>0</v>
          </cell>
          <cell r="G426">
            <v>0</v>
          </cell>
          <cell r="H426">
            <v>0</v>
          </cell>
          <cell r="I426">
            <v>0</v>
          </cell>
          <cell r="J426">
            <v>0</v>
          </cell>
          <cell r="K426">
            <v>0</v>
          </cell>
          <cell r="L426">
            <v>0</v>
          </cell>
          <cell r="M426">
            <v>0</v>
          </cell>
        </row>
        <row r="427">
          <cell r="D427">
            <v>8999</v>
          </cell>
          <cell r="E427" t="str">
            <v>少数股东权益_本期期末余额</v>
          </cell>
          <cell r="F427">
            <v>0</v>
          </cell>
          <cell r="G427">
            <v>0</v>
          </cell>
          <cell r="H427">
            <v>0</v>
          </cell>
          <cell r="I427">
            <v>0</v>
          </cell>
          <cell r="J427">
            <v>0</v>
          </cell>
          <cell r="K427">
            <v>0</v>
          </cell>
          <cell r="L427">
            <v>0</v>
          </cell>
          <cell r="M427">
            <v>0</v>
          </cell>
        </row>
        <row r="428">
          <cell r="D428">
            <v>7</v>
          </cell>
          <cell r="E428" t="str">
            <v>现金流量表</v>
          </cell>
          <cell r="F428">
            <v>0</v>
          </cell>
          <cell r="G428">
            <v>0</v>
          </cell>
          <cell r="H428">
            <v>0</v>
          </cell>
          <cell r="I428">
            <v>0</v>
          </cell>
          <cell r="J428">
            <v>0</v>
          </cell>
          <cell r="K428">
            <v>0</v>
          </cell>
          <cell r="L428">
            <v>0</v>
          </cell>
          <cell r="M428">
            <v>0</v>
          </cell>
        </row>
        <row r="429">
          <cell r="D429">
            <v>7000</v>
          </cell>
          <cell r="E429" t="str">
            <v>经营活动现金流量项目</v>
          </cell>
          <cell r="F429">
            <v>0</v>
          </cell>
          <cell r="G429">
            <v>0</v>
          </cell>
          <cell r="H429">
            <v>0</v>
          </cell>
          <cell r="I429">
            <v>0</v>
          </cell>
          <cell r="J429">
            <v>0</v>
          </cell>
          <cell r="K429">
            <v>0</v>
          </cell>
          <cell r="L429">
            <v>0</v>
          </cell>
          <cell r="M429">
            <v>0</v>
          </cell>
        </row>
        <row r="430">
          <cell r="D430">
            <v>7001</v>
          </cell>
          <cell r="E430" t="str">
            <v>销售商品提供劳务收到的现金</v>
          </cell>
          <cell r="F430">
            <v>2771414046.5999999</v>
          </cell>
          <cell r="G430">
            <v>0</v>
          </cell>
          <cell r="H430">
            <v>0</v>
          </cell>
          <cell r="I430">
            <v>2771414046.5999999</v>
          </cell>
          <cell r="J430">
            <v>3137983282.0999999</v>
          </cell>
          <cell r="K430">
            <v>0</v>
          </cell>
          <cell r="L430">
            <v>0</v>
          </cell>
          <cell r="M430">
            <v>3137983282.0999999</v>
          </cell>
        </row>
        <row r="431">
          <cell r="D431">
            <v>7011</v>
          </cell>
          <cell r="E431" t="str">
            <v>客户存款和同业存放款项净增加额</v>
          </cell>
          <cell r="F431">
            <v>0</v>
          </cell>
          <cell r="G431">
            <v>0</v>
          </cell>
          <cell r="H431">
            <v>0</v>
          </cell>
          <cell r="I431">
            <v>0</v>
          </cell>
          <cell r="J431">
            <v>0</v>
          </cell>
          <cell r="K431">
            <v>0</v>
          </cell>
          <cell r="L431">
            <v>0</v>
          </cell>
          <cell r="M431">
            <v>0</v>
          </cell>
        </row>
        <row r="432">
          <cell r="D432">
            <v>7012</v>
          </cell>
          <cell r="E432" t="str">
            <v>向中央银行借款净增加额</v>
          </cell>
          <cell r="F432">
            <v>0</v>
          </cell>
          <cell r="G432">
            <v>0</v>
          </cell>
          <cell r="H432">
            <v>0</v>
          </cell>
          <cell r="I432">
            <v>0</v>
          </cell>
          <cell r="J432">
            <v>0</v>
          </cell>
          <cell r="K432">
            <v>0</v>
          </cell>
          <cell r="L432">
            <v>0</v>
          </cell>
          <cell r="M432">
            <v>0</v>
          </cell>
        </row>
        <row r="433">
          <cell r="D433">
            <v>7013</v>
          </cell>
          <cell r="E433" t="str">
            <v>向其他金融机构拆入资金净增加额</v>
          </cell>
          <cell r="F433">
            <v>0</v>
          </cell>
          <cell r="G433">
            <v>0</v>
          </cell>
          <cell r="H433">
            <v>0</v>
          </cell>
          <cell r="I433">
            <v>0</v>
          </cell>
          <cell r="J433">
            <v>0</v>
          </cell>
          <cell r="K433">
            <v>0</v>
          </cell>
          <cell r="L433">
            <v>0</v>
          </cell>
          <cell r="M433">
            <v>0</v>
          </cell>
        </row>
        <row r="434">
          <cell r="D434">
            <v>7014</v>
          </cell>
          <cell r="E434" t="str">
            <v>收到原保险合同保费取得的现金</v>
          </cell>
          <cell r="F434">
            <v>0</v>
          </cell>
          <cell r="G434">
            <v>0</v>
          </cell>
          <cell r="H434">
            <v>0</v>
          </cell>
          <cell r="I434">
            <v>0</v>
          </cell>
          <cell r="J434">
            <v>0</v>
          </cell>
          <cell r="K434">
            <v>0</v>
          </cell>
          <cell r="L434">
            <v>0</v>
          </cell>
          <cell r="M434">
            <v>0</v>
          </cell>
        </row>
        <row r="435">
          <cell r="D435">
            <v>7015</v>
          </cell>
          <cell r="E435" t="str">
            <v>收到再保险业务现金净额</v>
          </cell>
          <cell r="F435">
            <v>0</v>
          </cell>
          <cell r="G435">
            <v>0</v>
          </cell>
          <cell r="H435">
            <v>0</v>
          </cell>
          <cell r="I435">
            <v>0</v>
          </cell>
          <cell r="J435">
            <v>0</v>
          </cell>
          <cell r="K435">
            <v>0</v>
          </cell>
          <cell r="L435">
            <v>0</v>
          </cell>
          <cell r="M435">
            <v>0</v>
          </cell>
        </row>
        <row r="436">
          <cell r="D436">
            <v>7016</v>
          </cell>
          <cell r="E436" t="str">
            <v>保户储金及投资款净增加额</v>
          </cell>
          <cell r="F436">
            <v>0</v>
          </cell>
          <cell r="G436">
            <v>0</v>
          </cell>
          <cell r="H436">
            <v>0</v>
          </cell>
          <cell r="I436">
            <v>0</v>
          </cell>
          <cell r="J436">
            <v>0</v>
          </cell>
          <cell r="K436">
            <v>0</v>
          </cell>
          <cell r="L436">
            <v>0</v>
          </cell>
          <cell r="M436">
            <v>0</v>
          </cell>
        </row>
        <row r="437">
          <cell r="D437">
            <v>7021</v>
          </cell>
          <cell r="E437" t="str">
            <v>处置交易性金融资产净增加额</v>
          </cell>
          <cell r="F437">
            <v>0</v>
          </cell>
          <cell r="G437">
            <v>0</v>
          </cell>
          <cell r="H437">
            <v>0</v>
          </cell>
          <cell r="I437">
            <v>0</v>
          </cell>
          <cell r="J437">
            <v>0</v>
          </cell>
          <cell r="K437">
            <v>0</v>
          </cell>
          <cell r="L437">
            <v>0</v>
          </cell>
          <cell r="M437">
            <v>0</v>
          </cell>
        </row>
        <row r="438">
          <cell r="D438">
            <v>7023</v>
          </cell>
          <cell r="E438" t="str">
            <v>收取利息手续费及佣金的现金</v>
          </cell>
          <cell r="F438">
            <v>0</v>
          </cell>
          <cell r="G438">
            <v>0</v>
          </cell>
          <cell r="H438">
            <v>0</v>
          </cell>
          <cell r="I438">
            <v>0</v>
          </cell>
          <cell r="J438">
            <v>0</v>
          </cell>
          <cell r="K438">
            <v>0</v>
          </cell>
          <cell r="L438">
            <v>0</v>
          </cell>
          <cell r="M438">
            <v>0</v>
          </cell>
        </row>
        <row r="439">
          <cell r="D439">
            <v>7025</v>
          </cell>
          <cell r="E439" t="str">
            <v>拆入资金净增加额</v>
          </cell>
          <cell r="F439">
            <v>0</v>
          </cell>
          <cell r="G439">
            <v>0</v>
          </cell>
          <cell r="H439">
            <v>0</v>
          </cell>
          <cell r="I439">
            <v>0</v>
          </cell>
          <cell r="J439">
            <v>0</v>
          </cell>
          <cell r="K439">
            <v>0</v>
          </cell>
          <cell r="L439">
            <v>0</v>
          </cell>
          <cell r="M439">
            <v>0</v>
          </cell>
        </row>
        <row r="440">
          <cell r="D440">
            <v>7026</v>
          </cell>
          <cell r="E440" t="str">
            <v>回购业务资金净增加额</v>
          </cell>
          <cell r="F440">
            <v>0</v>
          </cell>
          <cell r="G440">
            <v>0</v>
          </cell>
          <cell r="H440">
            <v>0</v>
          </cell>
          <cell r="I440">
            <v>0</v>
          </cell>
          <cell r="J440">
            <v>0</v>
          </cell>
          <cell r="K440">
            <v>0</v>
          </cell>
          <cell r="L440">
            <v>0</v>
          </cell>
          <cell r="M440">
            <v>0</v>
          </cell>
        </row>
        <row r="441">
          <cell r="D441">
            <v>7031</v>
          </cell>
          <cell r="E441" t="str">
            <v>收到的税费返还</v>
          </cell>
          <cell r="F441">
            <v>0</v>
          </cell>
          <cell r="G441">
            <v>0</v>
          </cell>
          <cell r="H441">
            <v>0</v>
          </cell>
          <cell r="I441">
            <v>0</v>
          </cell>
          <cell r="J441">
            <v>0</v>
          </cell>
          <cell r="K441">
            <v>0</v>
          </cell>
          <cell r="L441">
            <v>0</v>
          </cell>
          <cell r="M441">
            <v>0</v>
          </cell>
        </row>
        <row r="442">
          <cell r="D442">
            <v>7046</v>
          </cell>
          <cell r="E442" t="str">
            <v>收到其他与经营活动有关的现金</v>
          </cell>
          <cell r="F442">
            <v>254903369.75999999</v>
          </cell>
          <cell r="G442">
            <v>0</v>
          </cell>
          <cell r="H442">
            <v>0</v>
          </cell>
          <cell r="I442">
            <v>254903369.75999999</v>
          </cell>
          <cell r="J442">
            <v>50345719.700000003</v>
          </cell>
          <cell r="K442">
            <v>0</v>
          </cell>
          <cell r="L442">
            <v>0</v>
          </cell>
          <cell r="M442">
            <v>50345719.700000003</v>
          </cell>
        </row>
        <row r="443">
          <cell r="D443">
            <v>7048</v>
          </cell>
          <cell r="E443" t="str">
            <v>经营活动现金流入</v>
          </cell>
          <cell r="F443">
            <v>3026317416.3600001</v>
          </cell>
          <cell r="G443">
            <v>0</v>
          </cell>
          <cell r="H443">
            <v>0</v>
          </cell>
          <cell r="I443">
            <v>3026317416.3600001</v>
          </cell>
          <cell r="J443">
            <v>3188329001.8000002</v>
          </cell>
          <cell r="K443">
            <v>0</v>
          </cell>
          <cell r="L443">
            <v>0</v>
          </cell>
          <cell r="M443">
            <v>3188329001.8000002</v>
          </cell>
        </row>
        <row r="444">
          <cell r="D444">
            <v>7051</v>
          </cell>
          <cell r="E444" t="str">
            <v>购买商品接受劳务支付的现金</v>
          </cell>
          <cell r="F444">
            <v>1688478902.1900001</v>
          </cell>
          <cell r="G444">
            <v>0</v>
          </cell>
          <cell r="H444">
            <v>0</v>
          </cell>
          <cell r="I444">
            <v>1688478902.1900001</v>
          </cell>
          <cell r="J444">
            <v>1796238758.5599999</v>
          </cell>
          <cell r="K444">
            <v>0</v>
          </cell>
          <cell r="L444">
            <v>0</v>
          </cell>
          <cell r="M444">
            <v>1796238758.5599999</v>
          </cell>
        </row>
        <row r="445">
          <cell r="D445">
            <v>7053</v>
          </cell>
          <cell r="E445" t="str">
            <v>客户贷款及垫款净增加额</v>
          </cell>
          <cell r="F445">
            <v>0</v>
          </cell>
          <cell r="G445">
            <v>0</v>
          </cell>
          <cell r="H445">
            <v>0</v>
          </cell>
          <cell r="I445">
            <v>0</v>
          </cell>
          <cell r="J445">
            <v>0</v>
          </cell>
          <cell r="K445">
            <v>0</v>
          </cell>
          <cell r="L445">
            <v>0</v>
          </cell>
          <cell r="M445">
            <v>0</v>
          </cell>
        </row>
        <row r="446">
          <cell r="D446">
            <v>7054</v>
          </cell>
          <cell r="E446" t="str">
            <v>存放中央银行和同业款项净增加额</v>
          </cell>
          <cell r="F446">
            <v>0</v>
          </cell>
          <cell r="G446">
            <v>0</v>
          </cell>
          <cell r="H446">
            <v>0</v>
          </cell>
          <cell r="I446">
            <v>0</v>
          </cell>
          <cell r="J446">
            <v>0</v>
          </cell>
          <cell r="K446">
            <v>0</v>
          </cell>
          <cell r="L446">
            <v>0</v>
          </cell>
          <cell r="M446">
            <v>0</v>
          </cell>
        </row>
        <row r="447">
          <cell r="D447">
            <v>7055</v>
          </cell>
          <cell r="E447" t="str">
            <v>支付原保险合同赔付款项的现金</v>
          </cell>
          <cell r="F447">
            <v>0</v>
          </cell>
          <cell r="G447">
            <v>0</v>
          </cell>
          <cell r="H447">
            <v>0</v>
          </cell>
          <cell r="I447">
            <v>0</v>
          </cell>
          <cell r="J447">
            <v>0</v>
          </cell>
          <cell r="K447">
            <v>0</v>
          </cell>
          <cell r="L447">
            <v>0</v>
          </cell>
          <cell r="M447">
            <v>0</v>
          </cell>
        </row>
        <row r="448">
          <cell r="D448">
            <v>7056</v>
          </cell>
          <cell r="E448" t="str">
            <v>支付利息手续费及佣金的现金</v>
          </cell>
          <cell r="F448">
            <v>0</v>
          </cell>
          <cell r="G448">
            <v>0</v>
          </cell>
          <cell r="H448">
            <v>0</v>
          </cell>
          <cell r="I448">
            <v>0</v>
          </cell>
          <cell r="J448">
            <v>0</v>
          </cell>
          <cell r="K448">
            <v>0</v>
          </cell>
          <cell r="L448">
            <v>0</v>
          </cell>
          <cell r="M448">
            <v>0</v>
          </cell>
        </row>
        <row r="449">
          <cell r="D449">
            <v>7057</v>
          </cell>
          <cell r="E449" t="str">
            <v>支付保单红利的现金</v>
          </cell>
          <cell r="F449">
            <v>0</v>
          </cell>
          <cell r="G449">
            <v>0</v>
          </cell>
          <cell r="H449">
            <v>0</v>
          </cell>
          <cell r="I449">
            <v>0</v>
          </cell>
          <cell r="J449">
            <v>0</v>
          </cell>
          <cell r="K449">
            <v>0</v>
          </cell>
          <cell r="L449">
            <v>0</v>
          </cell>
          <cell r="M449">
            <v>0</v>
          </cell>
        </row>
        <row r="450">
          <cell r="D450">
            <v>7061</v>
          </cell>
          <cell r="E450" t="str">
            <v>支付给职工以及为职工支付的现金</v>
          </cell>
          <cell r="F450">
            <v>140639571.87</v>
          </cell>
          <cell r="G450">
            <v>0</v>
          </cell>
          <cell r="H450">
            <v>0</v>
          </cell>
          <cell r="I450">
            <v>140639571.87</v>
          </cell>
          <cell r="J450">
            <v>130845080.84999999</v>
          </cell>
          <cell r="K450">
            <v>0</v>
          </cell>
          <cell r="L450">
            <v>0</v>
          </cell>
          <cell r="M450">
            <v>130845080.84999999</v>
          </cell>
        </row>
        <row r="451">
          <cell r="D451">
            <v>7071</v>
          </cell>
          <cell r="E451" t="str">
            <v>支付的各项税费</v>
          </cell>
          <cell r="F451">
            <v>117033179.14</v>
          </cell>
          <cell r="G451">
            <v>0</v>
          </cell>
          <cell r="H451">
            <v>0</v>
          </cell>
          <cell r="I451">
            <v>117033179.14</v>
          </cell>
          <cell r="J451">
            <v>177357432.16999999</v>
          </cell>
          <cell r="K451">
            <v>0</v>
          </cell>
          <cell r="L451">
            <v>0</v>
          </cell>
          <cell r="M451">
            <v>177357432.16999999</v>
          </cell>
        </row>
        <row r="452">
          <cell r="D452">
            <v>7096</v>
          </cell>
          <cell r="E452" t="str">
            <v>支付其他与经营活动有关的现金</v>
          </cell>
          <cell r="F452">
            <v>216352739.53999999</v>
          </cell>
          <cell r="G452">
            <v>0</v>
          </cell>
          <cell r="H452">
            <v>0</v>
          </cell>
          <cell r="I452">
            <v>216352739.53999999</v>
          </cell>
          <cell r="J452">
            <v>137415899</v>
          </cell>
          <cell r="K452">
            <v>0</v>
          </cell>
          <cell r="L452">
            <v>0</v>
          </cell>
          <cell r="M452">
            <v>137415899</v>
          </cell>
        </row>
        <row r="453">
          <cell r="D453">
            <v>7098</v>
          </cell>
          <cell r="E453" t="str">
            <v>经营活动现金流出</v>
          </cell>
          <cell r="F453">
            <v>2162504392.7399998</v>
          </cell>
          <cell r="G453">
            <v>0</v>
          </cell>
          <cell r="H453">
            <v>0</v>
          </cell>
          <cell r="I453">
            <v>2162504392.7399998</v>
          </cell>
          <cell r="J453">
            <v>2241857170.5799999</v>
          </cell>
          <cell r="K453">
            <v>0</v>
          </cell>
          <cell r="L453">
            <v>0</v>
          </cell>
          <cell r="M453">
            <v>2241857170.5799999</v>
          </cell>
        </row>
        <row r="454">
          <cell r="D454">
            <v>7099</v>
          </cell>
          <cell r="E454" t="str">
            <v>经营活动产生的现金流量净额</v>
          </cell>
          <cell r="F454">
            <v>863813023.62</v>
          </cell>
          <cell r="G454">
            <v>0</v>
          </cell>
          <cell r="H454">
            <v>0</v>
          </cell>
          <cell r="I454">
            <v>863813023.62</v>
          </cell>
          <cell r="J454">
            <v>946471831.22000003</v>
          </cell>
          <cell r="K454">
            <v>0</v>
          </cell>
          <cell r="L454">
            <v>0</v>
          </cell>
          <cell r="M454">
            <v>946471831.22000003</v>
          </cell>
        </row>
        <row r="455">
          <cell r="D455">
            <v>7100</v>
          </cell>
          <cell r="E455" t="str">
            <v>投资活动现金流量项目</v>
          </cell>
          <cell r="F455">
            <v>0</v>
          </cell>
          <cell r="G455">
            <v>0</v>
          </cell>
          <cell r="H455">
            <v>0</v>
          </cell>
          <cell r="I455">
            <v>0</v>
          </cell>
          <cell r="J455">
            <v>0</v>
          </cell>
          <cell r="K455">
            <v>0</v>
          </cell>
          <cell r="L455">
            <v>0</v>
          </cell>
          <cell r="M455">
            <v>0</v>
          </cell>
        </row>
        <row r="456">
          <cell r="D456">
            <v>7101</v>
          </cell>
          <cell r="E456" t="str">
            <v>收回投资收到的现金</v>
          </cell>
          <cell r="F456">
            <v>0</v>
          </cell>
          <cell r="G456">
            <v>0</v>
          </cell>
          <cell r="H456">
            <v>0</v>
          </cell>
          <cell r="I456">
            <v>0</v>
          </cell>
          <cell r="J456">
            <v>0</v>
          </cell>
          <cell r="K456">
            <v>0</v>
          </cell>
          <cell r="L456">
            <v>0</v>
          </cell>
          <cell r="M456">
            <v>0</v>
          </cell>
        </row>
        <row r="457">
          <cell r="D457">
            <v>7105</v>
          </cell>
          <cell r="E457" t="str">
            <v>取得投资收益收到的现金</v>
          </cell>
          <cell r="F457">
            <v>12307048.74</v>
          </cell>
          <cell r="G457">
            <v>0</v>
          </cell>
          <cell r="H457">
            <v>0</v>
          </cell>
          <cell r="I457">
            <v>12307048.74</v>
          </cell>
          <cell r="J457">
            <v>80000</v>
          </cell>
          <cell r="K457">
            <v>0</v>
          </cell>
          <cell r="L457">
            <v>0</v>
          </cell>
          <cell r="M457">
            <v>80000</v>
          </cell>
        </row>
        <row r="458">
          <cell r="D458">
            <v>7111</v>
          </cell>
          <cell r="E458" t="str">
            <v>处置固定资产无形资产长期资产收回的现金</v>
          </cell>
          <cell r="F458">
            <v>6597101.9699999997</v>
          </cell>
          <cell r="G458">
            <v>0</v>
          </cell>
          <cell r="H458">
            <v>0</v>
          </cell>
          <cell r="I458">
            <v>6597101.9699999997</v>
          </cell>
          <cell r="J458">
            <v>307117.40999999997</v>
          </cell>
          <cell r="K458">
            <v>0</v>
          </cell>
          <cell r="L458">
            <v>0</v>
          </cell>
          <cell r="M458">
            <v>307117.40999999997</v>
          </cell>
        </row>
        <row r="459">
          <cell r="D459">
            <v>7121</v>
          </cell>
          <cell r="E459" t="str">
            <v>处置子公司及其他营业单位收到的现金净额</v>
          </cell>
          <cell r="F459">
            <v>5000000</v>
          </cell>
          <cell r="G459">
            <v>0</v>
          </cell>
          <cell r="H459">
            <v>0</v>
          </cell>
          <cell r="I459">
            <v>5000000</v>
          </cell>
          <cell r="J459">
            <v>0</v>
          </cell>
          <cell r="K459">
            <v>0</v>
          </cell>
          <cell r="L459">
            <v>0</v>
          </cell>
          <cell r="M459">
            <v>0</v>
          </cell>
        </row>
        <row r="460">
          <cell r="D460">
            <v>7146</v>
          </cell>
          <cell r="E460" t="str">
            <v>收到其他与投资活动有关的现金</v>
          </cell>
          <cell r="F460">
            <v>150000000</v>
          </cell>
          <cell r="G460">
            <v>0</v>
          </cell>
          <cell r="H460">
            <v>0</v>
          </cell>
          <cell r="I460">
            <v>150000000</v>
          </cell>
          <cell r="J460">
            <v>0</v>
          </cell>
          <cell r="K460">
            <v>0</v>
          </cell>
          <cell r="L460">
            <v>0</v>
          </cell>
          <cell r="M460">
            <v>0</v>
          </cell>
        </row>
        <row r="461">
          <cell r="D461">
            <v>7148</v>
          </cell>
          <cell r="E461" t="str">
            <v>投资活动现金流入</v>
          </cell>
          <cell r="F461">
            <v>173904150.71000001</v>
          </cell>
          <cell r="G461">
            <v>0</v>
          </cell>
          <cell r="H461">
            <v>0</v>
          </cell>
          <cell r="I461">
            <v>173904150.71000001</v>
          </cell>
          <cell r="J461">
            <v>387117.41</v>
          </cell>
          <cell r="K461">
            <v>0</v>
          </cell>
          <cell r="L461">
            <v>0</v>
          </cell>
          <cell r="M461">
            <v>387117.41</v>
          </cell>
        </row>
        <row r="462">
          <cell r="D462">
            <v>7151</v>
          </cell>
          <cell r="E462" t="str">
            <v>购建固定资产无形资产长期资产支付的现金</v>
          </cell>
          <cell r="F462">
            <v>93364546.969999999</v>
          </cell>
          <cell r="G462">
            <v>0</v>
          </cell>
          <cell r="H462">
            <v>0</v>
          </cell>
          <cell r="I462">
            <v>93364546.969999999</v>
          </cell>
          <cell r="J462">
            <v>37772248.530000001</v>
          </cell>
          <cell r="K462">
            <v>0</v>
          </cell>
          <cell r="L462">
            <v>0</v>
          </cell>
          <cell r="M462">
            <v>37772248.530000001</v>
          </cell>
        </row>
        <row r="463">
          <cell r="D463">
            <v>7161</v>
          </cell>
          <cell r="E463" t="str">
            <v>投资支付的现金</v>
          </cell>
          <cell r="F463">
            <v>1265000000.02</v>
          </cell>
          <cell r="G463">
            <v>0</v>
          </cell>
          <cell r="H463">
            <v>0</v>
          </cell>
          <cell r="I463">
            <v>1265000000.02</v>
          </cell>
          <cell r="J463">
            <v>25000000</v>
          </cell>
          <cell r="K463">
            <v>0</v>
          </cell>
          <cell r="L463">
            <v>0</v>
          </cell>
          <cell r="M463">
            <v>25000000</v>
          </cell>
        </row>
        <row r="464">
          <cell r="D464">
            <v>7165</v>
          </cell>
          <cell r="E464" t="str">
            <v>质押贷款净增加额</v>
          </cell>
          <cell r="F464">
            <v>0</v>
          </cell>
          <cell r="G464">
            <v>0</v>
          </cell>
          <cell r="H464">
            <v>0</v>
          </cell>
          <cell r="I464">
            <v>0</v>
          </cell>
          <cell r="J464">
            <v>0</v>
          </cell>
          <cell r="K464">
            <v>0</v>
          </cell>
          <cell r="L464">
            <v>0</v>
          </cell>
          <cell r="M464">
            <v>0</v>
          </cell>
        </row>
        <row r="465">
          <cell r="D465">
            <v>7171</v>
          </cell>
          <cell r="E465" t="str">
            <v>取得子公司及其他营业单位支付的现金净额</v>
          </cell>
          <cell r="F465">
            <v>602104500</v>
          </cell>
          <cell r="G465">
            <v>0</v>
          </cell>
          <cell r="H465">
            <v>0</v>
          </cell>
          <cell r="I465">
            <v>602104500</v>
          </cell>
          <cell r="J465">
            <v>0</v>
          </cell>
          <cell r="K465">
            <v>0</v>
          </cell>
          <cell r="L465">
            <v>0</v>
          </cell>
          <cell r="M465">
            <v>0</v>
          </cell>
        </row>
        <row r="466">
          <cell r="D466">
            <v>7196</v>
          </cell>
          <cell r="E466" t="str">
            <v>支付其他与投资活动有关的现金</v>
          </cell>
          <cell r="F466">
            <v>0</v>
          </cell>
          <cell r="G466">
            <v>0</v>
          </cell>
          <cell r="H466">
            <v>0</v>
          </cell>
          <cell r="I466">
            <v>0</v>
          </cell>
          <cell r="J466">
            <v>150000000</v>
          </cell>
          <cell r="K466">
            <v>0</v>
          </cell>
          <cell r="L466">
            <v>0</v>
          </cell>
          <cell r="M466">
            <v>150000000</v>
          </cell>
        </row>
        <row r="467">
          <cell r="D467">
            <v>7198</v>
          </cell>
          <cell r="E467" t="str">
            <v>投资活动现金流出</v>
          </cell>
          <cell r="F467">
            <v>1960469046.99</v>
          </cell>
          <cell r="G467">
            <v>0</v>
          </cell>
          <cell r="H467">
            <v>0</v>
          </cell>
          <cell r="I467">
            <v>1960469046.99</v>
          </cell>
          <cell r="J467">
            <v>212772248.53</v>
          </cell>
          <cell r="K467">
            <v>0</v>
          </cell>
          <cell r="L467">
            <v>0</v>
          </cell>
          <cell r="M467">
            <v>212772248.53</v>
          </cell>
        </row>
        <row r="468">
          <cell r="D468">
            <v>7199</v>
          </cell>
          <cell r="E468" t="str">
            <v>投资活动产生的现金流量净额</v>
          </cell>
          <cell r="F468">
            <v>-1786564896.28</v>
          </cell>
          <cell r="G468">
            <v>0</v>
          </cell>
          <cell r="H468">
            <v>0</v>
          </cell>
          <cell r="I468">
            <v>-1786564896.28</v>
          </cell>
          <cell r="J468">
            <v>-212385131.12</v>
          </cell>
          <cell r="K468">
            <v>0</v>
          </cell>
          <cell r="L468">
            <v>0</v>
          </cell>
          <cell r="M468">
            <v>-212385131.12</v>
          </cell>
        </row>
        <row r="469">
          <cell r="D469">
            <v>7200</v>
          </cell>
          <cell r="E469" t="str">
            <v>筹资活动现金流量项目</v>
          </cell>
          <cell r="F469">
            <v>0</v>
          </cell>
          <cell r="G469">
            <v>0</v>
          </cell>
          <cell r="H469">
            <v>0</v>
          </cell>
          <cell r="I469">
            <v>0</v>
          </cell>
          <cell r="J469">
            <v>0</v>
          </cell>
          <cell r="K469">
            <v>0</v>
          </cell>
          <cell r="L469">
            <v>0</v>
          </cell>
          <cell r="M469">
            <v>0</v>
          </cell>
        </row>
        <row r="470">
          <cell r="D470">
            <v>7201</v>
          </cell>
          <cell r="E470" t="str">
            <v>吸收投资收到的现金</v>
          </cell>
          <cell r="F470">
            <v>0</v>
          </cell>
          <cell r="G470">
            <v>0</v>
          </cell>
          <cell r="H470">
            <v>0</v>
          </cell>
          <cell r="I470">
            <v>0</v>
          </cell>
          <cell r="J470">
            <v>2150000000</v>
          </cell>
          <cell r="K470">
            <v>0</v>
          </cell>
          <cell r="L470">
            <v>0</v>
          </cell>
          <cell r="M470">
            <v>2150000000</v>
          </cell>
        </row>
        <row r="471">
          <cell r="D471">
            <v>7201.01</v>
          </cell>
          <cell r="E471" t="str">
            <v>子公司吸收少数股东投资收到的现金</v>
          </cell>
          <cell r="F471" t="e">
            <v>#N/A</v>
          </cell>
          <cell r="G471">
            <v>0</v>
          </cell>
          <cell r="H471">
            <v>0</v>
          </cell>
          <cell r="I471" t="e">
            <v>#N/A</v>
          </cell>
          <cell r="J471">
            <v>0</v>
          </cell>
          <cell r="K471">
            <v>0</v>
          </cell>
          <cell r="L471">
            <v>0</v>
          </cell>
          <cell r="M471">
            <v>0</v>
          </cell>
        </row>
        <row r="472">
          <cell r="D472">
            <v>7211</v>
          </cell>
          <cell r="E472" t="str">
            <v>取得借款收到的现金</v>
          </cell>
          <cell r="F472">
            <v>0</v>
          </cell>
          <cell r="G472">
            <v>0</v>
          </cell>
          <cell r="H472">
            <v>0</v>
          </cell>
          <cell r="I472">
            <v>0</v>
          </cell>
          <cell r="J472">
            <v>0</v>
          </cell>
          <cell r="K472">
            <v>0</v>
          </cell>
          <cell r="L472">
            <v>0</v>
          </cell>
          <cell r="M472">
            <v>0</v>
          </cell>
        </row>
        <row r="473">
          <cell r="D473">
            <v>7221</v>
          </cell>
          <cell r="E473" t="str">
            <v>发行债券收到的现金</v>
          </cell>
          <cell r="F473">
            <v>0</v>
          </cell>
          <cell r="G473">
            <v>0</v>
          </cell>
          <cell r="H473">
            <v>0</v>
          </cell>
          <cell r="I473">
            <v>0</v>
          </cell>
          <cell r="J473">
            <v>0</v>
          </cell>
          <cell r="K473">
            <v>0</v>
          </cell>
          <cell r="L473">
            <v>0</v>
          </cell>
          <cell r="M473">
            <v>0</v>
          </cell>
        </row>
        <row r="474">
          <cell r="D474">
            <v>7246</v>
          </cell>
          <cell r="E474" t="str">
            <v>收到其他与筹资活动有关的现金</v>
          </cell>
          <cell r="F474">
            <v>0</v>
          </cell>
          <cell r="G474">
            <v>0</v>
          </cell>
          <cell r="H474">
            <v>0</v>
          </cell>
          <cell r="I474">
            <v>0</v>
          </cell>
          <cell r="J474">
            <v>0</v>
          </cell>
          <cell r="K474">
            <v>0</v>
          </cell>
          <cell r="L474">
            <v>0</v>
          </cell>
          <cell r="M474">
            <v>0</v>
          </cell>
        </row>
        <row r="475">
          <cell r="D475">
            <v>7248</v>
          </cell>
          <cell r="E475" t="str">
            <v>筹资活动现金流入</v>
          </cell>
          <cell r="F475">
            <v>0</v>
          </cell>
          <cell r="G475">
            <v>0</v>
          </cell>
          <cell r="H475">
            <v>0</v>
          </cell>
          <cell r="I475">
            <v>0</v>
          </cell>
          <cell r="J475">
            <v>2150000000</v>
          </cell>
          <cell r="K475">
            <v>0</v>
          </cell>
          <cell r="L475">
            <v>0</v>
          </cell>
          <cell r="M475">
            <v>2150000000</v>
          </cell>
        </row>
        <row r="476">
          <cell r="D476">
            <v>7251</v>
          </cell>
          <cell r="E476" t="str">
            <v>偿还债务支付的现金</v>
          </cell>
          <cell r="F476">
            <v>0</v>
          </cell>
          <cell r="G476">
            <v>0</v>
          </cell>
          <cell r="H476">
            <v>0</v>
          </cell>
          <cell r="I476">
            <v>0</v>
          </cell>
          <cell r="J476">
            <v>0</v>
          </cell>
          <cell r="K476">
            <v>0</v>
          </cell>
          <cell r="L476">
            <v>0</v>
          </cell>
          <cell r="M476">
            <v>0</v>
          </cell>
        </row>
        <row r="477">
          <cell r="D477">
            <v>7261</v>
          </cell>
          <cell r="E477" t="str">
            <v>分配利润偿付利息支付的现金</v>
          </cell>
          <cell r="F477">
            <v>284000000</v>
          </cell>
          <cell r="G477">
            <v>0</v>
          </cell>
          <cell r="H477">
            <v>0</v>
          </cell>
          <cell r="I477">
            <v>284000000</v>
          </cell>
          <cell r="J477">
            <v>136412601.5</v>
          </cell>
          <cell r="K477">
            <v>0</v>
          </cell>
          <cell r="L477">
            <v>0</v>
          </cell>
          <cell r="M477">
            <v>136412601.5</v>
          </cell>
        </row>
        <row r="478">
          <cell r="D478">
            <v>7261.01</v>
          </cell>
          <cell r="E478" t="str">
            <v>子公司支付给少数股东的利润</v>
          </cell>
          <cell r="F478" t="e">
            <v>#N/A</v>
          </cell>
          <cell r="G478">
            <v>0</v>
          </cell>
          <cell r="H478">
            <v>0</v>
          </cell>
          <cell r="I478" t="e">
            <v>#N/A</v>
          </cell>
          <cell r="J478">
            <v>0</v>
          </cell>
          <cell r="K478">
            <v>0</v>
          </cell>
          <cell r="L478">
            <v>0</v>
          </cell>
          <cell r="M478">
            <v>0</v>
          </cell>
        </row>
        <row r="479">
          <cell r="D479">
            <v>7296</v>
          </cell>
          <cell r="E479" t="str">
            <v>支付其他与筹资活动有关的现金</v>
          </cell>
          <cell r="F479">
            <v>0</v>
          </cell>
          <cell r="G479">
            <v>0</v>
          </cell>
          <cell r="H479">
            <v>0</v>
          </cell>
          <cell r="I479">
            <v>0</v>
          </cell>
          <cell r="J479">
            <v>122422351.95</v>
          </cell>
          <cell r="K479">
            <v>0</v>
          </cell>
          <cell r="L479">
            <v>0</v>
          </cell>
          <cell r="M479">
            <v>122422351.95</v>
          </cell>
        </row>
        <row r="480">
          <cell r="D480">
            <v>7298</v>
          </cell>
          <cell r="E480" t="str">
            <v>筹资活动现金流出</v>
          </cell>
          <cell r="F480">
            <v>284000000</v>
          </cell>
          <cell r="G480">
            <v>0</v>
          </cell>
          <cell r="H480">
            <v>0</v>
          </cell>
          <cell r="I480">
            <v>284000000</v>
          </cell>
          <cell r="J480">
            <v>258834953.44999999</v>
          </cell>
          <cell r="K480">
            <v>0</v>
          </cell>
          <cell r="L480">
            <v>0</v>
          </cell>
          <cell r="M480">
            <v>258834953.44999999</v>
          </cell>
        </row>
        <row r="481">
          <cell r="D481">
            <v>7299</v>
          </cell>
          <cell r="E481" t="str">
            <v>筹资活动产生的现金流量净额</v>
          </cell>
          <cell r="F481">
            <v>-284000000</v>
          </cell>
          <cell r="G481">
            <v>0</v>
          </cell>
          <cell r="H481">
            <v>0</v>
          </cell>
          <cell r="I481">
            <v>-284000000</v>
          </cell>
          <cell r="J481">
            <v>1891165046.55</v>
          </cell>
          <cell r="K481">
            <v>0</v>
          </cell>
          <cell r="L481">
            <v>0</v>
          </cell>
          <cell r="M481">
            <v>1891165046.55</v>
          </cell>
        </row>
        <row r="482">
          <cell r="D482">
            <v>7309</v>
          </cell>
          <cell r="E482" t="str">
            <v>汇率变动对现金及现金等价物的影响</v>
          </cell>
          <cell r="F482">
            <v>0</v>
          </cell>
          <cell r="G482">
            <v>0</v>
          </cell>
          <cell r="H482">
            <v>0</v>
          </cell>
          <cell r="I482">
            <v>0</v>
          </cell>
          <cell r="J482">
            <v>-2547.23</v>
          </cell>
          <cell r="K482">
            <v>0</v>
          </cell>
          <cell r="L482">
            <v>0</v>
          </cell>
          <cell r="M482">
            <v>-2547.23</v>
          </cell>
        </row>
        <row r="483">
          <cell r="D483">
            <v>7348</v>
          </cell>
          <cell r="E483" t="str">
            <v>现金及现金等价物净增加额</v>
          </cell>
          <cell r="F483">
            <v>-1206751872.6600001</v>
          </cell>
          <cell r="G483">
            <v>0</v>
          </cell>
          <cell r="H483">
            <v>0</v>
          </cell>
          <cell r="I483">
            <v>-1206751872.6600001</v>
          </cell>
          <cell r="J483">
            <v>2625249199.4200001</v>
          </cell>
          <cell r="K483">
            <v>0</v>
          </cell>
          <cell r="L483">
            <v>0</v>
          </cell>
          <cell r="M483">
            <v>2625249199.4200001</v>
          </cell>
        </row>
        <row r="484">
          <cell r="D484">
            <v>7349</v>
          </cell>
          <cell r="E484" t="str">
            <v>期初现金及现金等价物余额</v>
          </cell>
          <cell r="F484">
            <v>2957437945.2399998</v>
          </cell>
          <cell r="G484">
            <v>0</v>
          </cell>
          <cell r="H484">
            <v>0</v>
          </cell>
          <cell r="I484">
            <v>2957437945.2399998</v>
          </cell>
          <cell r="J484">
            <v>332188745.81999999</v>
          </cell>
          <cell r="K484">
            <v>0</v>
          </cell>
          <cell r="L484">
            <v>0</v>
          </cell>
          <cell r="M484">
            <v>332188745.81999999</v>
          </cell>
        </row>
        <row r="485">
          <cell r="D485">
            <v>7399</v>
          </cell>
          <cell r="E485" t="str">
            <v>期末现金及现金等价物余额</v>
          </cell>
          <cell r="F485">
            <v>1750686072.5799999</v>
          </cell>
          <cell r="G485">
            <v>0</v>
          </cell>
          <cell r="H485">
            <v>0</v>
          </cell>
          <cell r="I485">
            <v>1750686072.5799999</v>
          </cell>
          <cell r="J485">
            <v>2957437945.2399998</v>
          </cell>
          <cell r="K485">
            <v>0</v>
          </cell>
          <cell r="L485">
            <v>0</v>
          </cell>
          <cell r="M485">
            <v>2957437945.2399998</v>
          </cell>
        </row>
        <row r="486">
          <cell r="D486">
            <v>19</v>
          </cell>
          <cell r="E486" t="str">
            <v>资产负债表补充资料：资产减值准备</v>
          </cell>
          <cell r="F486">
            <v>0</v>
          </cell>
          <cell r="G486">
            <v>0</v>
          </cell>
          <cell r="H486">
            <v>0</v>
          </cell>
          <cell r="I486">
            <v>0</v>
          </cell>
          <cell r="J486">
            <v>0</v>
          </cell>
          <cell r="K486">
            <v>0</v>
          </cell>
          <cell r="L486">
            <v>0</v>
          </cell>
          <cell r="M486">
            <v>0</v>
          </cell>
        </row>
        <row r="487">
          <cell r="D487">
            <v>1122.1231</v>
          </cell>
          <cell r="E487" t="str">
            <v>应收账款坏账准备</v>
          </cell>
          <cell r="F487">
            <v>0</v>
          </cell>
          <cell r="G487">
            <v>0</v>
          </cell>
          <cell r="H487">
            <v>-86272.69</v>
          </cell>
          <cell r="I487">
            <v>-86272.69</v>
          </cell>
          <cell r="J487">
            <v>0</v>
          </cell>
          <cell r="K487">
            <v>0</v>
          </cell>
          <cell r="L487">
            <v>0</v>
          </cell>
          <cell r="M487">
            <v>0</v>
          </cell>
        </row>
        <row r="488">
          <cell r="D488">
            <v>1125.1231</v>
          </cell>
          <cell r="E488" t="str">
            <v>预付款项坏账准备</v>
          </cell>
          <cell r="F488">
            <v>0</v>
          </cell>
          <cell r="G488">
            <v>0</v>
          </cell>
          <cell r="H488">
            <v>0</v>
          </cell>
          <cell r="I488">
            <v>0</v>
          </cell>
          <cell r="J488">
            <v>0</v>
          </cell>
          <cell r="K488">
            <v>0</v>
          </cell>
          <cell r="L488">
            <v>0</v>
          </cell>
          <cell r="M488">
            <v>0</v>
          </cell>
        </row>
        <row r="489">
          <cell r="D489">
            <v>1221.1231</v>
          </cell>
          <cell r="E489" t="str">
            <v>其他应收款坏账准备</v>
          </cell>
          <cell r="F489">
            <v>0</v>
          </cell>
          <cell r="G489">
            <v>0</v>
          </cell>
          <cell r="H489">
            <v>1216049.52</v>
          </cell>
          <cell r="I489">
            <v>1216049.52</v>
          </cell>
          <cell r="J489">
            <v>0</v>
          </cell>
          <cell r="K489">
            <v>0</v>
          </cell>
          <cell r="L489">
            <v>0</v>
          </cell>
          <cell r="M489">
            <v>0</v>
          </cell>
        </row>
        <row r="490">
          <cell r="D490">
            <v>1400.1470999999999</v>
          </cell>
          <cell r="E490" t="str">
            <v>存货跌价准备</v>
          </cell>
          <cell r="F490">
            <v>0</v>
          </cell>
          <cell r="G490">
            <v>0</v>
          </cell>
          <cell r="H490">
            <v>0</v>
          </cell>
          <cell r="I490">
            <v>0</v>
          </cell>
          <cell r="J490">
            <v>0</v>
          </cell>
          <cell r="K490">
            <v>0</v>
          </cell>
          <cell r="L490">
            <v>0</v>
          </cell>
          <cell r="M490">
            <v>0</v>
          </cell>
        </row>
        <row r="491">
          <cell r="D491">
            <v>1503.1504</v>
          </cell>
          <cell r="E491" t="str">
            <v>可供出售金融资产减值准备</v>
          </cell>
          <cell r="F491">
            <v>0</v>
          </cell>
          <cell r="G491">
            <v>0</v>
          </cell>
          <cell r="H491">
            <v>0</v>
          </cell>
          <cell r="I491">
            <v>0</v>
          </cell>
          <cell r="J491">
            <v>0</v>
          </cell>
          <cell r="K491">
            <v>0</v>
          </cell>
          <cell r="L491">
            <v>0</v>
          </cell>
          <cell r="M491">
            <v>0</v>
          </cell>
        </row>
        <row r="492">
          <cell r="D492">
            <v>1501.1502</v>
          </cell>
          <cell r="E492" t="str">
            <v>持有至到期投资减值准备</v>
          </cell>
          <cell r="F492">
            <v>0</v>
          </cell>
          <cell r="G492">
            <v>0</v>
          </cell>
          <cell r="H492">
            <v>0</v>
          </cell>
          <cell r="I492">
            <v>0</v>
          </cell>
          <cell r="J492">
            <v>0</v>
          </cell>
          <cell r="K492">
            <v>0</v>
          </cell>
          <cell r="L492">
            <v>0</v>
          </cell>
          <cell r="M492">
            <v>0</v>
          </cell>
        </row>
        <row r="493">
          <cell r="D493">
            <v>1511.1512</v>
          </cell>
          <cell r="E493" t="str">
            <v>长期股权投资减值准备</v>
          </cell>
          <cell r="F493">
            <v>0</v>
          </cell>
          <cell r="G493">
            <v>0</v>
          </cell>
          <cell r="H493">
            <v>875765.29</v>
          </cell>
          <cell r="I493">
            <v>875765.29</v>
          </cell>
          <cell r="J493">
            <v>0</v>
          </cell>
          <cell r="K493">
            <v>0</v>
          </cell>
          <cell r="L493">
            <v>0</v>
          </cell>
          <cell r="M493">
            <v>0</v>
          </cell>
        </row>
        <row r="494">
          <cell r="D494">
            <v>1521.1522</v>
          </cell>
          <cell r="E494" t="str">
            <v>投资性房地产减值准备</v>
          </cell>
          <cell r="F494">
            <v>0</v>
          </cell>
          <cell r="G494">
            <v>0</v>
          </cell>
          <cell r="H494">
            <v>0</v>
          </cell>
          <cell r="I494">
            <v>0</v>
          </cell>
          <cell r="J494">
            <v>0</v>
          </cell>
          <cell r="K494">
            <v>0</v>
          </cell>
          <cell r="L494">
            <v>0</v>
          </cell>
          <cell r="M494">
            <v>0</v>
          </cell>
        </row>
        <row r="495">
          <cell r="D495">
            <v>1601.1603</v>
          </cell>
          <cell r="E495" t="str">
            <v>固定资产减值准备</v>
          </cell>
          <cell r="F495">
            <v>0</v>
          </cell>
          <cell r="G495">
            <v>0</v>
          </cell>
          <cell r="H495">
            <v>0</v>
          </cell>
          <cell r="I495">
            <v>0</v>
          </cell>
          <cell r="J495">
            <v>0</v>
          </cell>
          <cell r="K495">
            <v>0</v>
          </cell>
          <cell r="L495">
            <v>0</v>
          </cell>
          <cell r="M495">
            <v>0</v>
          </cell>
        </row>
        <row r="496">
          <cell r="D496">
            <v>1605.1608000000001</v>
          </cell>
          <cell r="E496" t="str">
            <v>工程物资减值准备</v>
          </cell>
          <cell r="F496">
            <v>0</v>
          </cell>
          <cell r="G496">
            <v>0</v>
          </cell>
          <cell r="H496">
            <v>0</v>
          </cell>
          <cell r="I496">
            <v>0</v>
          </cell>
          <cell r="J496">
            <v>0</v>
          </cell>
          <cell r="K496">
            <v>0</v>
          </cell>
          <cell r="L496">
            <v>0</v>
          </cell>
          <cell r="M496">
            <v>0</v>
          </cell>
        </row>
        <row r="497">
          <cell r="D497">
            <v>1604.1606999999999</v>
          </cell>
          <cell r="E497" t="str">
            <v>在建工程减值准备</v>
          </cell>
          <cell r="F497">
            <v>0</v>
          </cell>
          <cell r="G497">
            <v>0</v>
          </cell>
          <cell r="H497">
            <v>0</v>
          </cell>
          <cell r="I497">
            <v>0</v>
          </cell>
          <cell r="J497">
            <v>0</v>
          </cell>
          <cell r="K497">
            <v>0</v>
          </cell>
          <cell r="L497">
            <v>0</v>
          </cell>
          <cell r="M497">
            <v>0</v>
          </cell>
        </row>
        <row r="498">
          <cell r="D498">
            <v>1621.1623999999999</v>
          </cell>
          <cell r="E498" t="str">
            <v>生产性生物资产减值准备</v>
          </cell>
          <cell r="F498">
            <v>0</v>
          </cell>
          <cell r="G498">
            <v>0</v>
          </cell>
          <cell r="H498">
            <v>0</v>
          </cell>
          <cell r="I498">
            <v>0</v>
          </cell>
          <cell r="J498">
            <v>0</v>
          </cell>
          <cell r="K498">
            <v>0</v>
          </cell>
          <cell r="L498">
            <v>0</v>
          </cell>
          <cell r="M498">
            <v>0</v>
          </cell>
        </row>
        <row r="499">
          <cell r="D499">
            <v>1631.1632999999999</v>
          </cell>
          <cell r="E499" t="str">
            <v>油气资产减值准备</v>
          </cell>
          <cell r="F499">
            <v>0</v>
          </cell>
          <cell r="G499">
            <v>0</v>
          </cell>
          <cell r="H499">
            <v>0</v>
          </cell>
          <cell r="I499">
            <v>0</v>
          </cell>
          <cell r="J499">
            <v>0</v>
          </cell>
          <cell r="K499">
            <v>0</v>
          </cell>
          <cell r="L499">
            <v>0</v>
          </cell>
          <cell r="M499">
            <v>0</v>
          </cell>
        </row>
        <row r="500">
          <cell r="D500">
            <v>1701.1703</v>
          </cell>
          <cell r="E500" t="str">
            <v>无形资产减值准备</v>
          </cell>
          <cell r="F500">
            <v>0</v>
          </cell>
          <cell r="G500">
            <v>0</v>
          </cell>
          <cell r="H500">
            <v>0</v>
          </cell>
          <cell r="I500">
            <v>0</v>
          </cell>
          <cell r="J500">
            <v>0</v>
          </cell>
          <cell r="K500">
            <v>0</v>
          </cell>
          <cell r="L500">
            <v>0</v>
          </cell>
          <cell r="M500">
            <v>0</v>
          </cell>
        </row>
        <row r="501">
          <cell r="D501">
            <v>1711.1712</v>
          </cell>
          <cell r="E501" t="str">
            <v>商誉减值准备</v>
          </cell>
          <cell r="F501">
            <v>0</v>
          </cell>
          <cell r="G501">
            <v>0</v>
          </cell>
          <cell r="H501">
            <v>0</v>
          </cell>
          <cell r="I501">
            <v>0</v>
          </cell>
          <cell r="J501">
            <v>0</v>
          </cell>
          <cell r="K501">
            <v>0</v>
          </cell>
          <cell r="L501">
            <v>0</v>
          </cell>
          <cell r="M501">
            <v>0</v>
          </cell>
        </row>
        <row r="502">
          <cell r="D502">
            <v>1991.1992</v>
          </cell>
          <cell r="E502" t="str">
            <v>其他减值准备</v>
          </cell>
          <cell r="F502">
            <v>0</v>
          </cell>
          <cell r="G502">
            <v>0</v>
          </cell>
          <cell r="H502">
            <v>0</v>
          </cell>
          <cell r="I502">
            <v>0</v>
          </cell>
          <cell r="J502">
            <v>0</v>
          </cell>
          <cell r="K502">
            <v>0</v>
          </cell>
          <cell r="L502">
            <v>0</v>
          </cell>
          <cell r="M502">
            <v>0</v>
          </cell>
        </row>
        <row r="503">
          <cell r="D503">
            <v>1991</v>
          </cell>
          <cell r="E503" t="str">
            <v>资产减值准备</v>
          </cell>
          <cell r="F503">
            <v>0</v>
          </cell>
          <cell r="G503">
            <v>0</v>
          </cell>
          <cell r="H503">
            <v>2005542.12</v>
          </cell>
          <cell r="I503">
            <v>2005542.12</v>
          </cell>
          <cell r="J503">
            <v>0</v>
          </cell>
          <cell r="K503">
            <v>0</v>
          </cell>
          <cell r="L503">
            <v>0</v>
          </cell>
          <cell r="M503">
            <v>0</v>
          </cell>
        </row>
        <row r="504">
          <cell r="D504">
            <v>7500</v>
          </cell>
          <cell r="E504" t="str">
            <v>现金流量表补充资料</v>
          </cell>
          <cell r="F504">
            <v>0</v>
          </cell>
          <cell r="G504" t="str">
            <v>以下须手工调整，不从CFJE表取数</v>
          </cell>
          <cell r="H504">
            <v>0</v>
          </cell>
          <cell r="I504">
            <v>0</v>
          </cell>
          <cell r="J504">
            <v>0</v>
          </cell>
          <cell r="K504" t="str">
            <v>以下须手工调整，不从CFJE表取数</v>
          </cell>
          <cell r="L504">
            <v>0</v>
          </cell>
          <cell r="M504">
            <v>0</v>
          </cell>
        </row>
        <row r="505">
          <cell r="D505">
            <v>7501</v>
          </cell>
          <cell r="E505" t="str">
            <v>将净利润调节为经营活动现金流量</v>
          </cell>
          <cell r="F505">
            <v>0</v>
          </cell>
          <cell r="G505" t="str">
            <v>调增</v>
          </cell>
          <cell r="H505" t="str">
            <v>调减</v>
          </cell>
          <cell r="I505">
            <v>0</v>
          </cell>
          <cell r="J505">
            <v>0</v>
          </cell>
          <cell r="K505" t="str">
            <v>调增</v>
          </cell>
          <cell r="L505" t="str">
            <v>调减</v>
          </cell>
          <cell r="M505">
            <v>0</v>
          </cell>
        </row>
        <row r="506">
          <cell r="D506">
            <v>7502</v>
          </cell>
          <cell r="E506" t="str">
            <v>净利润金额</v>
          </cell>
          <cell r="F506">
            <v>297542351.88999999</v>
          </cell>
          <cell r="G506">
            <v>0</v>
          </cell>
          <cell r="H506">
            <v>0</v>
          </cell>
          <cell r="I506">
            <v>297542351.88999999</v>
          </cell>
          <cell r="J506">
            <v>422767817.11000001</v>
          </cell>
          <cell r="K506">
            <v>0</v>
          </cell>
          <cell r="L506">
            <v>0</v>
          </cell>
          <cell r="M506">
            <v>422767817.11000001</v>
          </cell>
        </row>
        <row r="507">
          <cell r="D507">
            <v>7503</v>
          </cell>
          <cell r="E507" t="str">
            <v>资产减值准备金额</v>
          </cell>
          <cell r="F507">
            <v>3028933.19</v>
          </cell>
          <cell r="G507">
            <v>0</v>
          </cell>
          <cell r="H507">
            <v>0</v>
          </cell>
          <cell r="I507">
            <v>3028933.19</v>
          </cell>
          <cell r="J507">
            <v>3028833.11</v>
          </cell>
          <cell r="K507">
            <v>0</v>
          </cell>
          <cell r="L507">
            <v>0</v>
          </cell>
          <cell r="M507">
            <v>3028833.11</v>
          </cell>
        </row>
        <row r="508">
          <cell r="D508">
            <v>7505</v>
          </cell>
          <cell r="E508" t="str">
            <v>固定资产折旧、油气资产折耗、生产性生物资产折旧</v>
          </cell>
          <cell r="F508">
            <v>20589602.100000001</v>
          </cell>
          <cell r="G508">
            <v>0</v>
          </cell>
          <cell r="H508">
            <v>0</v>
          </cell>
          <cell r="I508">
            <v>20589602.100000001</v>
          </cell>
          <cell r="J508">
            <v>18481103.149999999</v>
          </cell>
          <cell r="K508">
            <v>0</v>
          </cell>
          <cell r="L508">
            <v>0</v>
          </cell>
          <cell r="M508">
            <v>18481103.149999999</v>
          </cell>
        </row>
        <row r="509">
          <cell r="D509">
            <v>7506</v>
          </cell>
          <cell r="E509" t="str">
            <v>无形资产摊销</v>
          </cell>
          <cell r="F509">
            <v>4373080.09</v>
          </cell>
          <cell r="G509">
            <v>0</v>
          </cell>
          <cell r="H509">
            <v>0</v>
          </cell>
          <cell r="I509">
            <v>4373080.09</v>
          </cell>
          <cell r="J509">
            <v>2768101.74</v>
          </cell>
          <cell r="K509">
            <v>0</v>
          </cell>
          <cell r="L509">
            <v>0</v>
          </cell>
          <cell r="M509">
            <v>2768101.74</v>
          </cell>
        </row>
        <row r="510">
          <cell r="D510">
            <v>7507</v>
          </cell>
          <cell r="E510" t="str">
            <v>长期待摊费用摊销</v>
          </cell>
          <cell r="F510">
            <v>121590.57</v>
          </cell>
          <cell r="G510">
            <v>0</v>
          </cell>
          <cell r="H510">
            <v>0</v>
          </cell>
          <cell r="I510">
            <v>121590.57</v>
          </cell>
          <cell r="J510">
            <v>774002.5</v>
          </cell>
          <cell r="K510">
            <v>0</v>
          </cell>
          <cell r="L510">
            <v>0</v>
          </cell>
          <cell r="M510">
            <v>774002.5</v>
          </cell>
        </row>
        <row r="511">
          <cell r="D511">
            <v>7508</v>
          </cell>
          <cell r="E511" t="str">
            <v>处置固定资产、无形资产和其他长期资产的损失</v>
          </cell>
          <cell r="F511">
            <v>168896.06</v>
          </cell>
          <cell r="G511">
            <v>0</v>
          </cell>
          <cell r="H511">
            <v>0</v>
          </cell>
          <cell r="I511">
            <v>168896.06</v>
          </cell>
          <cell r="J511">
            <v>179694.66</v>
          </cell>
          <cell r="K511">
            <v>0</v>
          </cell>
          <cell r="L511">
            <v>0</v>
          </cell>
          <cell r="M511">
            <v>179694.66</v>
          </cell>
        </row>
        <row r="512">
          <cell r="D512">
            <v>7509</v>
          </cell>
          <cell r="E512" t="str">
            <v>固定资产报废损失</v>
          </cell>
          <cell r="F512">
            <v>1645325.18</v>
          </cell>
          <cell r="G512">
            <v>0</v>
          </cell>
          <cell r="H512">
            <v>0</v>
          </cell>
          <cell r="I512">
            <v>1645325.18</v>
          </cell>
          <cell r="J512">
            <v>0</v>
          </cell>
          <cell r="K512">
            <v>0</v>
          </cell>
          <cell r="L512">
            <v>0</v>
          </cell>
          <cell r="M512">
            <v>0</v>
          </cell>
        </row>
        <row r="513">
          <cell r="D513">
            <v>7510</v>
          </cell>
          <cell r="E513" t="str">
            <v>公允价值变动损失</v>
          </cell>
          <cell r="F513">
            <v>0</v>
          </cell>
          <cell r="G513">
            <v>0</v>
          </cell>
          <cell r="H513">
            <v>0</v>
          </cell>
          <cell r="I513">
            <v>0</v>
          </cell>
          <cell r="J513">
            <v>0</v>
          </cell>
          <cell r="K513">
            <v>0</v>
          </cell>
          <cell r="L513">
            <v>0</v>
          </cell>
          <cell r="M513">
            <v>0</v>
          </cell>
        </row>
        <row r="514">
          <cell r="D514">
            <v>7511</v>
          </cell>
          <cell r="E514" t="str">
            <v>财务费用金额</v>
          </cell>
          <cell r="F514">
            <v>0</v>
          </cell>
          <cell r="G514">
            <v>0</v>
          </cell>
          <cell r="H514">
            <v>0</v>
          </cell>
          <cell r="I514">
            <v>0</v>
          </cell>
          <cell r="J514">
            <v>-3829889.58</v>
          </cell>
          <cell r="K514">
            <v>0</v>
          </cell>
          <cell r="L514">
            <v>0</v>
          </cell>
          <cell r="M514">
            <v>-3829889.58</v>
          </cell>
        </row>
        <row r="515">
          <cell r="D515">
            <v>7512</v>
          </cell>
          <cell r="E515" t="str">
            <v>投资损失</v>
          </cell>
          <cell r="F515">
            <v>-113714008.29000001</v>
          </cell>
          <cell r="G515">
            <v>0</v>
          </cell>
          <cell r="H515">
            <v>0</v>
          </cell>
          <cell r="I515">
            <v>-113714008.29000001</v>
          </cell>
          <cell r="J515">
            <v>-130080000</v>
          </cell>
          <cell r="K515">
            <v>0</v>
          </cell>
          <cell r="L515">
            <v>0</v>
          </cell>
          <cell r="M515">
            <v>-130080000</v>
          </cell>
        </row>
        <row r="516">
          <cell r="D516">
            <v>7515</v>
          </cell>
          <cell r="E516" t="str">
            <v>递延所得税资产减少</v>
          </cell>
          <cell r="F516">
            <v>220321.09</v>
          </cell>
          <cell r="G516">
            <v>0</v>
          </cell>
          <cell r="H516">
            <v>0</v>
          </cell>
          <cell r="I516">
            <v>220321.09</v>
          </cell>
          <cell r="J516">
            <v>-2524482.0699999998</v>
          </cell>
          <cell r="K516">
            <v>0</v>
          </cell>
          <cell r="L516">
            <v>0</v>
          </cell>
          <cell r="M516">
            <v>-2524482.0699999998</v>
          </cell>
        </row>
        <row r="517">
          <cell r="D517">
            <v>7516</v>
          </cell>
          <cell r="E517" t="str">
            <v>递延所得税负债增加</v>
          </cell>
          <cell r="F517">
            <v>0</v>
          </cell>
          <cell r="G517">
            <v>0</v>
          </cell>
          <cell r="H517">
            <v>0</v>
          </cell>
          <cell r="I517">
            <v>0</v>
          </cell>
          <cell r="J517">
            <v>0</v>
          </cell>
          <cell r="K517">
            <v>0</v>
          </cell>
          <cell r="L517">
            <v>0</v>
          </cell>
          <cell r="M517">
            <v>0</v>
          </cell>
        </row>
        <row r="518">
          <cell r="D518">
            <v>7517</v>
          </cell>
          <cell r="E518" t="str">
            <v>存货的减少</v>
          </cell>
          <cell r="F518">
            <v>-4306457.96</v>
          </cell>
          <cell r="G518">
            <v>0</v>
          </cell>
          <cell r="H518">
            <v>0</v>
          </cell>
          <cell r="I518">
            <v>-4306457.96</v>
          </cell>
          <cell r="J518">
            <v>-15377534.98</v>
          </cell>
          <cell r="K518">
            <v>0</v>
          </cell>
          <cell r="L518">
            <v>0</v>
          </cell>
          <cell r="M518">
            <v>-15377534.98</v>
          </cell>
        </row>
        <row r="519">
          <cell r="D519">
            <v>7518</v>
          </cell>
          <cell r="E519" t="str">
            <v>经营性应收项目的减少</v>
          </cell>
          <cell r="F519">
            <v>-43124511.109999999</v>
          </cell>
          <cell r="G519">
            <v>0</v>
          </cell>
          <cell r="H519">
            <v>0</v>
          </cell>
          <cell r="I519">
            <v>-43124511.109999999</v>
          </cell>
          <cell r="J519">
            <v>-25382038.48</v>
          </cell>
          <cell r="K519">
            <v>0</v>
          </cell>
          <cell r="L519">
            <v>0</v>
          </cell>
          <cell r="M519">
            <v>-25382038.48</v>
          </cell>
        </row>
        <row r="520">
          <cell r="D520">
            <v>7519</v>
          </cell>
          <cell r="E520" t="str">
            <v>经营性应付项目的增加</v>
          </cell>
          <cell r="F520">
            <v>697267900.80999994</v>
          </cell>
          <cell r="G520">
            <v>0</v>
          </cell>
          <cell r="H520">
            <v>0</v>
          </cell>
          <cell r="I520">
            <v>697267900.80999994</v>
          </cell>
          <cell r="J520">
            <v>675666224.05999994</v>
          </cell>
          <cell r="K520">
            <v>0</v>
          </cell>
          <cell r="L520">
            <v>0</v>
          </cell>
          <cell r="M520">
            <v>675666224.05999994</v>
          </cell>
        </row>
        <row r="521">
          <cell r="D521">
            <v>7523</v>
          </cell>
          <cell r="E521" t="str">
            <v>其他将净利润调节为经营活动现金流量项目</v>
          </cell>
          <cell r="F521">
            <v>0</v>
          </cell>
          <cell r="G521">
            <v>0</v>
          </cell>
          <cell r="H521">
            <v>0</v>
          </cell>
          <cell r="I521">
            <v>0</v>
          </cell>
          <cell r="J521">
            <v>0</v>
          </cell>
          <cell r="K521">
            <v>0</v>
          </cell>
          <cell r="L521">
            <v>0</v>
          </cell>
          <cell r="M521">
            <v>0</v>
          </cell>
        </row>
        <row r="522">
          <cell r="D522">
            <v>7525</v>
          </cell>
          <cell r="E522" t="str">
            <v>经营活动产生的现金流量净额</v>
          </cell>
          <cell r="F522">
            <v>863813023.62</v>
          </cell>
          <cell r="G522">
            <v>0</v>
          </cell>
          <cell r="H522">
            <v>0</v>
          </cell>
          <cell r="I522">
            <v>863813023.62</v>
          </cell>
          <cell r="J522">
            <v>946471831.22000003</v>
          </cell>
          <cell r="K522">
            <v>0</v>
          </cell>
          <cell r="L522">
            <v>0</v>
          </cell>
          <cell r="M522">
            <v>946471831.22000003</v>
          </cell>
        </row>
        <row r="523">
          <cell r="D523">
            <v>7526</v>
          </cell>
          <cell r="E523" t="str">
            <v>不涉及现金收支的重大投资和筹资活动</v>
          </cell>
          <cell r="F523">
            <v>0</v>
          </cell>
          <cell r="G523">
            <v>0</v>
          </cell>
          <cell r="H523">
            <v>0</v>
          </cell>
          <cell r="I523">
            <v>0</v>
          </cell>
          <cell r="J523">
            <v>0</v>
          </cell>
          <cell r="K523">
            <v>0</v>
          </cell>
          <cell r="L523">
            <v>0</v>
          </cell>
          <cell r="M523">
            <v>0</v>
          </cell>
        </row>
        <row r="524">
          <cell r="D524">
            <v>7527</v>
          </cell>
          <cell r="E524" t="str">
            <v>债务转为资本</v>
          </cell>
          <cell r="F524">
            <v>0</v>
          </cell>
          <cell r="G524">
            <v>0</v>
          </cell>
          <cell r="H524">
            <v>0</v>
          </cell>
          <cell r="I524">
            <v>0</v>
          </cell>
          <cell r="J524">
            <v>0</v>
          </cell>
          <cell r="K524">
            <v>0</v>
          </cell>
          <cell r="L524">
            <v>0</v>
          </cell>
          <cell r="M524">
            <v>0</v>
          </cell>
        </row>
        <row r="525">
          <cell r="D525">
            <v>7528</v>
          </cell>
          <cell r="E525" t="str">
            <v>一年内到期的可转换公司债券</v>
          </cell>
          <cell r="F525">
            <v>0</v>
          </cell>
          <cell r="G525">
            <v>0</v>
          </cell>
          <cell r="H525">
            <v>0</v>
          </cell>
          <cell r="I525">
            <v>0</v>
          </cell>
          <cell r="J525">
            <v>0</v>
          </cell>
          <cell r="K525">
            <v>0</v>
          </cell>
          <cell r="L525">
            <v>0</v>
          </cell>
          <cell r="M525">
            <v>0</v>
          </cell>
        </row>
        <row r="526">
          <cell r="D526">
            <v>7529</v>
          </cell>
          <cell r="E526" t="str">
            <v>融资租入固定资产</v>
          </cell>
          <cell r="F526">
            <v>0</v>
          </cell>
          <cell r="G526">
            <v>0</v>
          </cell>
          <cell r="H526">
            <v>0</v>
          </cell>
          <cell r="I526">
            <v>0</v>
          </cell>
          <cell r="J526">
            <v>0</v>
          </cell>
          <cell r="K526">
            <v>0</v>
          </cell>
          <cell r="L526">
            <v>0</v>
          </cell>
          <cell r="M526">
            <v>0</v>
          </cell>
        </row>
        <row r="527">
          <cell r="D527">
            <v>7533</v>
          </cell>
          <cell r="E527" t="str">
            <v>现金及现金等价物净变动情况</v>
          </cell>
          <cell r="F527">
            <v>0</v>
          </cell>
          <cell r="G527">
            <v>0</v>
          </cell>
          <cell r="H527">
            <v>0</v>
          </cell>
          <cell r="I527">
            <v>0</v>
          </cell>
          <cell r="J527">
            <v>0</v>
          </cell>
          <cell r="K527">
            <v>0</v>
          </cell>
          <cell r="L527">
            <v>0</v>
          </cell>
          <cell r="M527">
            <v>0</v>
          </cell>
        </row>
        <row r="528">
          <cell r="D528">
            <v>7535</v>
          </cell>
          <cell r="E528" t="str">
            <v>现金的期末余额</v>
          </cell>
          <cell r="F528">
            <v>1750686072.5799999</v>
          </cell>
          <cell r="G528">
            <v>0</v>
          </cell>
          <cell r="H528">
            <v>0</v>
          </cell>
          <cell r="I528">
            <v>1750686072.5799999</v>
          </cell>
          <cell r="J528">
            <v>2957437945.2399998</v>
          </cell>
          <cell r="K528">
            <v>0</v>
          </cell>
          <cell r="L528">
            <v>0</v>
          </cell>
          <cell r="M528">
            <v>2957437945.2399998</v>
          </cell>
        </row>
        <row r="529">
          <cell r="D529">
            <v>7536</v>
          </cell>
          <cell r="E529" t="str">
            <v>减：现金的年初余额</v>
          </cell>
          <cell r="F529">
            <v>2957437945.2399998</v>
          </cell>
          <cell r="G529">
            <v>0</v>
          </cell>
          <cell r="H529">
            <v>0</v>
          </cell>
          <cell r="I529">
            <v>2957437945.2399998</v>
          </cell>
          <cell r="J529">
            <v>332188745.81999999</v>
          </cell>
          <cell r="K529">
            <v>0</v>
          </cell>
          <cell r="L529">
            <v>0</v>
          </cell>
          <cell r="M529">
            <v>332188745.81999999</v>
          </cell>
        </row>
        <row r="530">
          <cell r="D530">
            <v>7537</v>
          </cell>
          <cell r="E530" t="str">
            <v>加：现金等价物的期末余额</v>
          </cell>
          <cell r="F530">
            <v>0</v>
          </cell>
          <cell r="G530">
            <v>0</v>
          </cell>
          <cell r="H530">
            <v>0</v>
          </cell>
          <cell r="I530">
            <v>0</v>
          </cell>
          <cell r="J530">
            <v>0</v>
          </cell>
          <cell r="K530">
            <v>0</v>
          </cell>
          <cell r="L530">
            <v>0</v>
          </cell>
          <cell r="M530">
            <v>0</v>
          </cell>
        </row>
        <row r="531">
          <cell r="D531">
            <v>7538</v>
          </cell>
          <cell r="E531" t="str">
            <v>减：现金等价物的年初余额</v>
          </cell>
          <cell r="F531">
            <v>0</v>
          </cell>
          <cell r="G531">
            <v>0</v>
          </cell>
          <cell r="H531">
            <v>0</v>
          </cell>
          <cell r="I531">
            <v>0</v>
          </cell>
          <cell r="J531">
            <v>0</v>
          </cell>
          <cell r="K531">
            <v>0</v>
          </cell>
          <cell r="L531">
            <v>0</v>
          </cell>
          <cell r="M531">
            <v>0</v>
          </cell>
        </row>
        <row r="532">
          <cell r="D532">
            <v>7539</v>
          </cell>
          <cell r="E532" t="str">
            <v>现金及现金等价物净增加额</v>
          </cell>
          <cell r="F532">
            <v>-1206751872.6600001</v>
          </cell>
          <cell r="G532">
            <v>0</v>
          </cell>
          <cell r="H532">
            <v>0</v>
          </cell>
          <cell r="I532">
            <v>-1206751872.6600001</v>
          </cell>
          <cell r="J532">
            <v>2625249199.4200001</v>
          </cell>
          <cell r="K532">
            <v>0</v>
          </cell>
          <cell r="L532">
            <v>0</v>
          </cell>
          <cell r="M532">
            <v>2625249199.4200001</v>
          </cell>
        </row>
      </sheetData>
      <sheetData sheetId="10"/>
      <sheetData sheetId="11"/>
      <sheetData sheetId="12">
        <row r="50">
          <cell r="C50" t="str">
            <v>现金流量表补充资料</v>
          </cell>
          <cell r="E50" t="str">
            <v>本年金额</v>
          </cell>
          <cell r="F50" t="str">
            <v>上年金额</v>
          </cell>
        </row>
        <row r="51">
          <cell r="B51">
            <v>7501</v>
          </cell>
          <cell r="C51" t="str">
            <v>1.将净利润调节为经营活动现金流量：</v>
          </cell>
        </row>
        <row r="52">
          <cell r="B52">
            <v>7502</v>
          </cell>
          <cell r="C52" t="str">
            <v>净利润</v>
          </cell>
          <cell r="E52">
            <v>297542351.88999999</v>
          </cell>
          <cell r="F52">
            <v>422767817.11000001</v>
          </cell>
        </row>
        <row r="53">
          <cell r="B53">
            <v>7503</v>
          </cell>
          <cell r="C53" t="str">
            <v>加：资产减值准备</v>
          </cell>
          <cell r="E53">
            <v>3028933.19</v>
          </cell>
          <cell r="F53">
            <v>3028833.11</v>
          </cell>
        </row>
        <row r="54">
          <cell r="B54">
            <v>7505</v>
          </cell>
          <cell r="C54" t="str">
            <v>固定资产折旧、油气资产折耗、生产性生物资产折旧</v>
          </cell>
          <cell r="E54">
            <v>20589602.100000001</v>
          </cell>
          <cell r="F54">
            <v>18481103.149999999</v>
          </cell>
        </row>
        <row r="55">
          <cell r="B55">
            <v>7506</v>
          </cell>
          <cell r="C55" t="str">
            <v>无形资产摊销</v>
          </cell>
          <cell r="E55">
            <v>4373080.09</v>
          </cell>
          <cell r="F55">
            <v>2768101.74</v>
          </cell>
        </row>
        <row r="56">
          <cell r="B56">
            <v>7507</v>
          </cell>
          <cell r="C56" t="str">
            <v>长期待摊费用摊销</v>
          </cell>
          <cell r="E56">
            <v>121590.57</v>
          </cell>
          <cell r="F56">
            <v>774002.5</v>
          </cell>
        </row>
        <row r="57">
          <cell r="B57">
            <v>7508</v>
          </cell>
          <cell r="C57" t="str">
            <v>处置固定资产、无形资产和其他长期资产的损失（收益以“－”号填列）</v>
          </cell>
          <cell r="E57">
            <v>168896.06</v>
          </cell>
          <cell r="F57">
            <v>179694.66</v>
          </cell>
        </row>
        <row r="58">
          <cell r="B58">
            <v>7509</v>
          </cell>
          <cell r="C58" t="str">
            <v>固定资产报废损失（收益以“－”号填列）</v>
          </cell>
          <cell r="E58">
            <v>1645325.18</v>
          </cell>
          <cell r="F58">
            <v>0</v>
          </cell>
        </row>
        <row r="59">
          <cell r="B59">
            <v>7510</v>
          </cell>
          <cell r="C59" t="str">
            <v>公允价值变动损失（收益以“－”号填列）</v>
          </cell>
          <cell r="E59">
            <v>0</v>
          </cell>
          <cell r="F59">
            <v>0</v>
          </cell>
        </row>
        <row r="60">
          <cell r="B60">
            <v>7511</v>
          </cell>
          <cell r="C60" t="str">
            <v>财务费用（收益以“－”号填列）</v>
          </cell>
          <cell r="E60">
            <v>0</v>
          </cell>
          <cell r="F60">
            <v>-3829889.58</v>
          </cell>
        </row>
        <row r="61">
          <cell r="B61">
            <v>7512</v>
          </cell>
          <cell r="C61" t="str">
            <v>投资损失（收益以“－”号填列）</v>
          </cell>
          <cell r="E61">
            <v>-113714008.29000001</v>
          </cell>
          <cell r="F61">
            <v>-130080000</v>
          </cell>
        </row>
        <row r="62">
          <cell r="B62">
            <v>7515</v>
          </cell>
          <cell r="C62" t="str">
            <v>递延所得税资产减少（增加以“－”号填列）</v>
          </cell>
          <cell r="E62">
            <v>220321.09</v>
          </cell>
          <cell r="F62">
            <v>-2524482.0699999998</v>
          </cell>
        </row>
        <row r="63">
          <cell r="B63">
            <v>7516</v>
          </cell>
          <cell r="C63" t="str">
            <v>递延所得税负债增加（减少以“－”号填列）</v>
          </cell>
          <cell r="E63">
            <v>0</v>
          </cell>
          <cell r="F63">
            <v>0</v>
          </cell>
        </row>
        <row r="64">
          <cell r="B64">
            <v>7517</v>
          </cell>
          <cell r="C64" t="str">
            <v>存货的减少（增加以“－”号填列）</v>
          </cell>
          <cell r="E64">
            <v>-4306457.96</v>
          </cell>
          <cell r="F64">
            <v>-15377534.98</v>
          </cell>
        </row>
        <row r="65">
          <cell r="B65">
            <v>7518</v>
          </cell>
          <cell r="C65" t="str">
            <v>经营性应收项目的减少（增加以“－”号填列）</v>
          </cell>
          <cell r="E65">
            <v>-43124511.109999999</v>
          </cell>
          <cell r="F65">
            <v>-25382038.48</v>
          </cell>
        </row>
        <row r="66">
          <cell r="B66">
            <v>7519</v>
          </cell>
          <cell r="C66" t="str">
            <v>经营性应付项目的增加（减少以“－”号填列）</v>
          </cell>
          <cell r="E66">
            <v>697267900.80999994</v>
          </cell>
          <cell r="F66">
            <v>675666224.05999994</v>
          </cell>
        </row>
        <row r="67">
          <cell r="B67">
            <v>7523</v>
          </cell>
          <cell r="C67" t="str">
            <v>其他</v>
          </cell>
          <cell r="E67">
            <v>0</v>
          </cell>
          <cell r="F67">
            <v>0</v>
          </cell>
        </row>
        <row r="68">
          <cell r="B68">
            <v>7525</v>
          </cell>
          <cell r="C68" t="str">
            <v>经营活动产生的现金流量净额</v>
          </cell>
          <cell r="E68">
            <v>863813023.62</v>
          </cell>
          <cell r="F68">
            <v>946471831.22000003</v>
          </cell>
        </row>
        <row r="69">
          <cell r="B69">
            <v>7526</v>
          </cell>
          <cell r="C69" t="str">
            <v>2.不涉及现金收支的重大投资和筹资活动：</v>
          </cell>
        </row>
        <row r="70">
          <cell r="B70">
            <v>7527</v>
          </cell>
          <cell r="C70" t="str">
            <v>债务转为资本</v>
          </cell>
          <cell r="E70">
            <v>0</v>
          </cell>
          <cell r="F70">
            <v>0</v>
          </cell>
        </row>
        <row r="71">
          <cell r="B71">
            <v>7528</v>
          </cell>
          <cell r="C71" t="str">
            <v>一年内到期的可转换公司债券</v>
          </cell>
          <cell r="E71">
            <v>0</v>
          </cell>
          <cell r="F71">
            <v>0</v>
          </cell>
        </row>
        <row r="72">
          <cell r="B72">
            <v>7529</v>
          </cell>
          <cell r="C72" t="str">
            <v>融资租入固定资产</v>
          </cell>
          <cell r="E72">
            <v>0</v>
          </cell>
          <cell r="F72">
            <v>0</v>
          </cell>
        </row>
        <row r="73">
          <cell r="B73">
            <v>7533</v>
          </cell>
          <cell r="C73" t="str">
            <v>3.现金及现金等价物净变动情况：</v>
          </cell>
        </row>
        <row r="74">
          <cell r="B74">
            <v>7535</v>
          </cell>
          <cell r="C74" t="str">
            <v>现金的期末余额</v>
          </cell>
          <cell r="E74">
            <v>1750686072.5799999</v>
          </cell>
          <cell r="F74">
            <v>2957437945.2399998</v>
          </cell>
        </row>
        <row r="75">
          <cell r="B75">
            <v>7536</v>
          </cell>
          <cell r="C75" t="str">
            <v>减：现金的年初余额</v>
          </cell>
          <cell r="E75">
            <v>2957437945.2399998</v>
          </cell>
          <cell r="F75">
            <v>332188745.81999999</v>
          </cell>
        </row>
        <row r="76">
          <cell r="B76">
            <v>7537</v>
          </cell>
          <cell r="C76" t="str">
            <v>加：现金等价物的期末余额</v>
          </cell>
          <cell r="E76">
            <v>0</v>
          </cell>
          <cell r="F76">
            <v>0</v>
          </cell>
        </row>
        <row r="77">
          <cell r="B77">
            <v>7538</v>
          </cell>
          <cell r="C77" t="str">
            <v>减：现金等价物的年初余额</v>
          </cell>
          <cell r="E77">
            <v>0</v>
          </cell>
          <cell r="F77">
            <v>0</v>
          </cell>
        </row>
        <row r="78">
          <cell r="B78">
            <v>7539</v>
          </cell>
          <cell r="C78" t="str">
            <v>现金及现金等价物净增加额</v>
          </cell>
          <cell r="E78">
            <v>-1206751872.6600001</v>
          </cell>
          <cell r="F78">
            <v>2625249199.4200001</v>
          </cell>
        </row>
      </sheetData>
      <sheetData sheetId="13" refreshError="1"/>
      <sheetData sheetId="14"/>
      <sheetData sheetId="15" refreshError="1"/>
      <sheetData sheetId="16"/>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E"/>
      <sheetName val="冲销调整"/>
      <sheetName val="TB"/>
      <sheetName val="递延所得税计算表"/>
      <sheetName val="坏账及减值表"/>
      <sheetName val="所得税计算表"/>
      <sheetName val="CF底稿"/>
      <sheetName val="BS"/>
      <sheetName val="IS"/>
      <sheetName val="preCF"/>
      <sheetName val="CF"/>
      <sheetName val="CE"/>
      <sheetName val="Chart1"/>
      <sheetName val="AJE"/>
      <sheetName val="noteChecks"/>
      <sheetName val="Notes"/>
      <sheetName val="423J应付账款审计调整事项汇总"/>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D2">
            <v>0</v>
          </cell>
          <cell r="E2" t="str">
            <v>：</v>
          </cell>
          <cell r="F2">
            <v>0</v>
          </cell>
          <cell r="G2" t="str">
            <v>资产负债表</v>
          </cell>
          <cell r="H2">
            <v>0</v>
          </cell>
          <cell r="I2">
            <v>1</v>
          </cell>
          <cell r="J2">
            <v>0</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D3">
            <v>0</v>
          </cell>
          <cell r="E3" t="str">
            <v>：</v>
          </cell>
          <cell r="F3">
            <v>0</v>
          </cell>
          <cell r="G3" t="str">
            <v>流动资产：</v>
          </cell>
          <cell r="H3">
            <v>0</v>
          </cell>
          <cell r="I3">
            <v>1000</v>
          </cell>
          <cell r="J3">
            <v>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E4">
            <v>0</v>
          </cell>
          <cell r="F4">
            <v>3100</v>
          </cell>
          <cell r="G4" t="str">
            <v>货币资金</v>
          </cell>
          <cell r="H4">
            <v>0</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F5">
            <v>0</v>
          </cell>
          <cell r="G5" t="str">
            <v>结算备付金</v>
          </cell>
          <cell r="H5">
            <v>0</v>
          </cell>
          <cell r="I5">
            <v>1021</v>
          </cell>
          <cell r="J5" t="str">
            <v>J</v>
          </cell>
          <cell r="M5" t="str">
            <v>以公允价值计量且其变动计入当期损益的金融资产</v>
          </cell>
          <cell r="P5" t="str">
            <v>支付给职工以及为职工支付的现金</v>
          </cell>
          <cell r="S5" t="str">
            <v>1101a</v>
          </cell>
          <cell r="T5" t="str">
            <v>以公允价值计量且其变动计入当期损益的金融资产</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F6">
            <v>0</v>
          </cell>
          <cell r="G6" t="str">
            <v>拆出资金</v>
          </cell>
          <cell r="H6">
            <v>0</v>
          </cell>
          <cell r="I6">
            <v>1302</v>
          </cell>
          <cell r="J6" t="str">
            <v>J</v>
          </cell>
          <cell r="M6" t="str">
            <v>衍生金融资产</v>
          </cell>
          <cell r="P6" t="str">
            <v>支付的各项税费</v>
          </cell>
          <cell r="S6" t="str">
            <v>1101c</v>
          </cell>
          <cell r="T6" t="str">
            <v>以公允价值计量且其变动计入当期损益的金融资产（证券公司适用）</v>
          </cell>
          <cell r="U6" t="str">
            <v>项       目</v>
          </cell>
          <cell r="V6">
            <v>1</v>
          </cell>
          <cell r="W6">
            <v>1101</v>
          </cell>
          <cell r="X6">
            <v>2</v>
          </cell>
          <cell r="AG6" t="str">
            <v>客户初步同意调整</v>
          </cell>
          <cell r="AI6" t="str">
            <v>已取得关键证据</v>
          </cell>
          <cell r="AK6" t="str">
            <v>6损益</v>
          </cell>
        </row>
        <row r="7">
          <cell r="B7">
            <v>1101</v>
          </cell>
          <cell r="C7" t="str">
            <v>以公允价值计量且其变动计入当期损益的金融资产</v>
          </cell>
          <cell r="D7">
            <v>1</v>
          </cell>
          <cell r="E7">
            <v>0</v>
          </cell>
          <cell r="F7" t="str">
            <v>3210_3280</v>
          </cell>
          <cell r="G7" t="str">
            <v>以公允价值计量且其变动计入当期损益的金融资产</v>
          </cell>
          <cell r="H7">
            <v>0</v>
          </cell>
          <cell r="I7">
            <v>1101</v>
          </cell>
          <cell r="J7" t="str">
            <v>J</v>
          </cell>
          <cell r="M7" t="str">
            <v>应收票据</v>
          </cell>
          <cell r="P7" t="str">
            <v>支付其他与经营活动有关的现金</v>
          </cell>
          <cell r="S7" t="str">
            <v>1115a</v>
          </cell>
          <cell r="T7" t="str">
            <v>衍生金融资产</v>
          </cell>
          <cell r="U7" t="str">
            <v>项       目</v>
          </cell>
          <cell r="V7">
            <v>1</v>
          </cell>
          <cell r="W7">
            <v>1115</v>
          </cell>
          <cell r="X7">
            <v>1</v>
          </cell>
          <cell r="AG7" t="str">
            <v>客户有异议须继续沟通</v>
          </cell>
          <cell r="AK7" t="str">
            <v>61损益_收入</v>
          </cell>
        </row>
        <row r="8">
          <cell r="B8">
            <v>1115</v>
          </cell>
          <cell r="C8" t="str">
            <v>衍生金融资产</v>
          </cell>
          <cell r="D8">
            <v>1</v>
          </cell>
          <cell r="E8" t="str">
            <v>Ｘ</v>
          </cell>
          <cell r="F8">
            <v>3280</v>
          </cell>
          <cell r="G8" t="str">
            <v>衍生金融资产</v>
          </cell>
          <cell r="H8">
            <v>0</v>
          </cell>
          <cell r="I8">
            <v>1115</v>
          </cell>
          <cell r="J8" t="str">
            <v>J</v>
          </cell>
          <cell r="M8" t="str">
            <v>应收账款</v>
          </cell>
          <cell r="P8" t="str">
            <v>收回投资收到的现金</v>
          </cell>
          <cell r="S8" t="str">
            <v>1123a</v>
          </cell>
          <cell r="T8" t="str">
            <v>应收票据及应收账款分类列示</v>
          </cell>
          <cell r="U8" t="str">
            <v>项       目</v>
          </cell>
          <cell r="V8">
            <v>1</v>
          </cell>
          <cell r="W8">
            <v>1123</v>
          </cell>
          <cell r="X8">
            <v>1</v>
          </cell>
          <cell r="AG8" t="str">
            <v>客户不同意调整</v>
          </cell>
          <cell r="AK8" t="str">
            <v>65损益_费用</v>
          </cell>
        </row>
        <row r="9">
          <cell r="B9">
            <v>1121</v>
          </cell>
          <cell r="C9" t="str">
            <v>应收票据</v>
          </cell>
          <cell r="D9">
            <v>1</v>
          </cell>
          <cell r="E9">
            <v>0</v>
          </cell>
          <cell r="F9">
            <v>3310</v>
          </cell>
          <cell r="G9" t="str">
            <v>其中：应收票据</v>
          </cell>
          <cell r="H9">
            <v>0</v>
          </cell>
          <cell r="I9">
            <v>1121</v>
          </cell>
          <cell r="J9" t="str">
            <v>J</v>
          </cell>
          <cell r="M9" t="str">
            <v>应收账款坏账准备</v>
          </cell>
          <cell r="P9" t="str">
            <v>取得投资收益收到的现金</v>
          </cell>
          <cell r="S9" t="str">
            <v>1121a</v>
          </cell>
          <cell r="T9" t="str">
            <v>应收票据分类</v>
          </cell>
          <cell r="U9" t="str">
            <v>种       类</v>
          </cell>
          <cell r="V9">
            <v>1</v>
          </cell>
          <cell r="W9">
            <v>1121</v>
          </cell>
          <cell r="X9">
            <v>1</v>
          </cell>
          <cell r="AG9" t="str">
            <v>客户正式同意调整</v>
          </cell>
        </row>
        <row r="10">
          <cell r="B10">
            <v>1122</v>
          </cell>
          <cell r="C10" t="str">
            <v>应收账款</v>
          </cell>
          <cell r="D10">
            <v>1</v>
          </cell>
          <cell r="E10">
            <v>0</v>
          </cell>
          <cell r="F10">
            <v>3320</v>
          </cell>
          <cell r="G10" t="str">
            <v>其中：应收账款</v>
          </cell>
          <cell r="H10">
            <v>0</v>
          </cell>
          <cell r="I10">
            <v>1122</v>
          </cell>
          <cell r="J10" t="str">
            <v>J</v>
          </cell>
          <cell r="M10" t="str">
            <v>应收票据及应收账款</v>
          </cell>
          <cell r="P10" t="str">
            <v>处置固定资产无形资产长期资产收回的现金</v>
          </cell>
          <cell r="S10" t="str">
            <v>1121b</v>
          </cell>
          <cell r="T10" t="str">
            <v>期末已质押的应收票据</v>
          </cell>
          <cell r="U10" t="str">
            <v>种       类</v>
          </cell>
          <cell r="V10">
            <v>1</v>
          </cell>
          <cell r="W10">
            <v>1121</v>
          </cell>
          <cell r="X10">
            <v>2</v>
          </cell>
          <cell r="AG10" t="str">
            <v>经理复核</v>
          </cell>
        </row>
        <row r="11">
          <cell r="B11">
            <v>1125</v>
          </cell>
          <cell r="C11" t="str">
            <v>预付款项</v>
          </cell>
          <cell r="D11">
            <v>1</v>
          </cell>
          <cell r="E11">
            <v>0</v>
          </cell>
          <cell r="F11">
            <v>3330</v>
          </cell>
          <cell r="G11" t="str">
            <v>预付款项</v>
          </cell>
          <cell r="H11">
            <v>0</v>
          </cell>
          <cell r="I11">
            <v>1125</v>
          </cell>
          <cell r="J11" t="str">
            <v>J</v>
          </cell>
          <cell r="M11" t="str">
            <v>预付款项</v>
          </cell>
          <cell r="P11" t="str">
            <v>处置子公司及其他营业单位收到的现金净额</v>
          </cell>
          <cell r="S11" t="str">
            <v>1121d</v>
          </cell>
          <cell r="T11" t="str">
            <v>期末已背书或贴现但尚未到期的应收票据</v>
          </cell>
          <cell r="U11" t="str">
            <v>种       类</v>
          </cell>
          <cell r="V11">
            <v>1</v>
          </cell>
          <cell r="W11">
            <v>1121</v>
          </cell>
          <cell r="X11">
            <v>2</v>
          </cell>
          <cell r="AG11" t="str">
            <v>合伙人复核</v>
          </cell>
        </row>
        <row r="12">
          <cell r="B12">
            <v>1127</v>
          </cell>
          <cell r="C12" t="str">
            <v>应收保费</v>
          </cell>
          <cell r="D12">
            <v>1</v>
          </cell>
          <cell r="E12" t="str">
            <v>△</v>
          </cell>
          <cell r="F12">
            <v>0</v>
          </cell>
          <cell r="G12" t="str">
            <v>应收保费</v>
          </cell>
          <cell r="H12">
            <v>0</v>
          </cell>
          <cell r="I12">
            <v>1127</v>
          </cell>
          <cell r="J12" t="str">
            <v>J</v>
          </cell>
          <cell r="M12" t="str">
            <v>预付款项坏账准备</v>
          </cell>
          <cell r="P12" t="str">
            <v>收到其他与投资活动有关的现金</v>
          </cell>
          <cell r="S12" t="str">
            <v>1121c</v>
          </cell>
          <cell r="T12" t="str">
            <v>期末因出票人未履约而转为应收账款的票据</v>
          </cell>
          <cell r="U12" t="str">
            <v>种       类</v>
          </cell>
          <cell r="V12">
            <v>1</v>
          </cell>
          <cell r="W12">
            <v>1121</v>
          </cell>
          <cell r="X12">
            <v>2</v>
          </cell>
          <cell r="AG12" t="str">
            <v>质控部复核</v>
          </cell>
        </row>
        <row r="13">
          <cell r="B13">
            <v>1211</v>
          </cell>
          <cell r="C13" t="str">
            <v>应收分保账款</v>
          </cell>
          <cell r="D13">
            <v>1</v>
          </cell>
          <cell r="E13" t="str">
            <v>△</v>
          </cell>
          <cell r="F13">
            <v>0</v>
          </cell>
          <cell r="G13" t="str">
            <v>应收分保账款</v>
          </cell>
          <cell r="H13">
            <v>0</v>
          </cell>
          <cell r="I13">
            <v>1211</v>
          </cell>
          <cell r="J13" t="str">
            <v>J</v>
          </cell>
          <cell r="M13" t="str">
            <v>应收股利</v>
          </cell>
          <cell r="P13" t="str">
            <v>购置固定资产无形资产长期资产支付的现金</v>
          </cell>
          <cell r="S13" t="str">
            <v>1122a</v>
          </cell>
          <cell r="T13" t="str">
            <v>应收账款按种类列示</v>
          </cell>
          <cell r="U13" t="str">
            <v>种       类</v>
          </cell>
          <cell r="V13">
            <v>1</v>
          </cell>
          <cell r="W13">
            <v>1122</v>
          </cell>
          <cell r="X13">
            <v>1</v>
          </cell>
        </row>
        <row r="14">
          <cell r="B14">
            <v>1212</v>
          </cell>
          <cell r="C14" t="str">
            <v>应收分保合同准备金</v>
          </cell>
          <cell r="D14">
            <v>1</v>
          </cell>
          <cell r="E14" t="str">
            <v>△</v>
          </cell>
          <cell r="F14">
            <v>0</v>
          </cell>
          <cell r="G14" t="str">
            <v>应收分保准备金</v>
          </cell>
          <cell r="H14">
            <v>0</v>
          </cell>
          <cell r="I14">
            <v>1212</v>
          </cell>
          <cell r="J14" t="str">
            <v>J</v>
          </cell>
          <cell r="M14" t="str">
            <v>应收利息</v>
          </cell>
          <cell r="P14" t="str">
            <v>投资支付的现金</v>
          </cell>
          <cell r="S14" t="str">
            <v>1122b</v>
          </cell>
          <cell r="T14" t="str">
            <v>应收账款按种类列示（续）</v>
          </cell>
          <cell r="U14" t="str">
            <v>种       类</v>
          </cell>
          <cell r="V14">
            <v>1</v>
          </cell>
          <cell r="W14">
            <v>1122</v>
          </cell>
          <cell r="X14">
            <v>2</v>
          </cell>
        </row>
        <row r="15">
          <cell r="B15">
            <v>1132</v>
          </cell>
          <cell r="C15" t="str">
            <v>应收利息</v>
          </cell>
          <cell r="D15">
            <v>1</v>
          </cell>
          <cell r="E15">
            <v>0</v>
          </cell>
          <cell r="F15">
            <v>3350</v>
          </cell>
          <cell r="G15" t="str">
            <v>其中：应收利息</v>
          </cell>
          <cell r="H15">
            <v>0</v>
          </cell>
          <cell r="I15">
            <v>1132</v>
          </cell>
          <cell r="J15" t="str">
            <v>J</v>
          </cell>
          <cell r="M15" t="str">
            <v>其他应收款</v>
          </cell>
          <cell r="P15" t="str">
            <v>取得子公司及其他营业单位支付的现金净额</v>
          </cell>
          <cell r="S15" t="str">
            <v>1122g</v>
          </cell>
          <cell r="T15" t="str">
            <v>期末单项金额重大并单项计提坏账准备的应收账款</v>
          </cell>
          <cell r="U15" t="str">
            <v>应收账款（按单位）</v>
          </cell>
          <cell r="V15">
            <v>1</v>
          </cell>
          <cell r="W15">
            <v>1122</v>
          </cell>
          <cell r="X15">
            <v>2</v>
          </cell>
        </row>
        <row r="16">
          <cell r="B16">
            <v>1131</v>
          </cell>
          <cell r="C16" t="str">
            <v>应收股利</v>
          </cell>
          <cell r="D16">
            <v>1</v>
          </cell>
          <cell r="E16">
            <v>0</v>
          </cell>
          <cell r="F16">
            <v>3340</v>
          </cell>
          <cell r="G16" t="str">
            <v>其中：应收股利</v>
          </cell>
          <cell r="H16">
            <v>0</v>
          </cell>
          <cell r="I16">
            <v>1131</v>
          </cell>
          <cell r="J16" t="str">
            <v>J</v>
          </cell>
          <cell r="M16" t="str">
            <v>其他应收款坏账准备</v>
          </cell>
          <cell r="P16" t="str">
            <v>支付其他与投资活动有关的现金</v>
          </cell>
          <cell r="S16" t="str">
            <v>1122d</v>
          </cell>
          <cell r="T16" t="str">
            <v>组合中按账龄分析法计提坏账准备的应收账款</v>
          </cell>
          <cell r="U16" t="str">
            <v>账  龄</v>
          </cell>
          <cell r="V16">
            <v>1</v>
          </cell>
          <cell r="W16">
            <v>1122</v>
          </cell>
          <cell r="X16">
            <v>2</v>
          </cell>
        </row>
        <row r="17">
          <cell r="B17">
            <v>1221</v>
          </cell>
          <cell r="C17" t="str">
            <v>其他应收款</v>
          </cell>
          <cell r="D17">
            <v>1</v>
          </cell>
          <cell r="E17">
            <v>0</v>
          </cell>
          <cell r="F17">
            <v>3360</v>
          </cell>
          <cell r="G17" t="str">
            <v>其中：其他应收款</v>
          </cell>
          <cell r="H17">
            <v>0</v>
          </cell>
          <cell r="I17">
            <v>1221</v>
          </cell>
          <cell r="J17" t="str">
            <v>J</v>
          </cell>
          <cell r="M17" t="str">
            <v>持有待售资产</v>
          </cell>
          <cell r="P17" t="str">
            <v>吸收投资收到的现金</v>
          </cell>
          <cell r="S17" t="str">
            <v>1122e</v>
          </cell>
          <cell r="T17" t="str">
            <v>组合中采用余额百分比法计提坏账准备的应收账款</v>
          </cell>
          <cell r="U17" t="str">
            <v>组合名称</v>
          </cell>
          <cell r="V17">
            <v>1</v>
          </cell>
          <cell r="W17">
            <v>1122</v>
          </cell>
          <cell r="X17">
            <v>2</v>
          </cell>
        </row>
        <row r="18">
          <cell r="B18">
            <v>1111</v>
          </cell>
          <cell r="C18" t="str">
            <v>买入返售金融资产</v>
          </cell>
          <cell r="D18">
            <v>1</v>
          </cell>
          <cell r="E18" t="str">
            <v>△</v>
          </cell>
          <cell r="F18">
            <v>0</v>
          </cell>
          <cell r="G18" t="str">
            <v>买入返售金融资产</v>
          </cell>
          <cell r="H18">
            <v>0</v>
          </cell>
          <cell r="I18">
            <v>1111</v>
          </cell>
          <cell r="J18" t="str">
            <v>J</v>
          </cell>
          <cell r="M18" t="str">
            <v>存货</v>
          </cell>
          <cell r="P18" t="str">
            <v>子公司吸收少数股东投资收到的现金</v>
          </cell>
          <cell r="S18" t="str">
            <v>1122f</v>
          </cell>
          <cell r="T18" t="str">
            <v>组合中采用其他方法计提坏账准备的应收账款</v>
          </cell>
          <cell r="U18" t="str">
            <v>组合名称</v>
          </cell>
          <cell r="V18">
            <v>1</v>
          </cell>
          <cell r="W18">
            <v>1122</v>
          </cell>
          <cell r="X18">
            <v>2</v>
          </cell>
        </row>
        <row r="19">
          <cell r="B19">
            <v>1400</v>
          </cell>
          <cell r="C19" t="str">
            <v>存货</v>
          </cell>
          <cell r="D19">
            <v>1</v>
          </cell>
          <cell r="E19">
            <v>0</v>
          </cell>
          <cell r="F19">
            <v>3400</v>
          </cell>
          <cell r="G19" t="str">
            <v>存货</v>
          </cell>
          <cell r="H19">
            <v>0</v>
          </cell>
          <cell r="I19">
            <v>1400</v>
          </cell>
          <cell r="J19" t="str">
            <v>J</v>
          </cell>
          <cell r="M19" t="str">
            <v>材料采购</v>
          </cell>
          <cell r="P19" t="str">
            <v>取得借款收到的现金</v>
          </cell>
          <cell r="S19" t="str">
            <v>1122x</v>
          </cell>
          <cell r="T19" t="str">
            <v>应收账款补充资料</v>
          </cell>
          <cell r="U19" t="str">
            <v>项       目</v>
          </cell>
          <cell r="V19">
            <v>1</v>
          </cell>
          <cell r="W19">
            <v>1122</v>
          </cell>
          <cell r="X19">
            <v>2</v>
          </cell>
        </row>
        <row r="20">
          <cell r="B20">
            <v>1315</v>
          </cell>
          <cell r="C20" t="str">
            <v>持有待售资产</v>
          </cell>
          <cell r="D20">
            <v>1</v>
          </cell>
          <cell r="E20" t="str">
            <v>Ｘ</v>
          </cell>
          <cell r="F20">
            <v>3860</v>
          </cell>
          <cell r="G20" t="str">
            <v>持有待售资产</v>
          </cell>
          <cell r="H20">
            <v>0</v>
          </cell>
          <cell r="I20">
            <v>1315</v>
          </cell>
          <cell r="J20" t="str">
            <v>J</v>
          </cell>
          <cell r="M20" t="str">
            <v>在途物资</v>
          </cell>
          <cell r="P20" t="str">
            <v>收到其他与筹资活动有关的现金</v>
          </cell>
          <cell r="S20" t="str">
            <v>1122h</v>
          </cell>
          <cell r="T20" t="str">
            <v>本期坏账准备转回或收回金额重要的</v>
          </cell>
          <cell r="U20" t="str">
            <v>单位名称</v>
          </cell>
          <cell r="V20">
            <v>1</v>
          </cell>
          <cell r="W20">
            <v>1122</v>
          </cell>
          <cell r="X20">
            <v>2</v>
          </cell>
        </row>
        <row r="21">
          <cell r="B21">
            <v>1495</v>
          </cell>
          <cell r="C21" t="str">
            <v>一年内到期的非流动资产</v>
          </cell>
          <cell r="D21">
            <v>1</v>
          </cell>
          <cell r="E21">
            <v>0</v>
          </cell>
          <cell r="F21">
            <v>3380</v>
          </cell>
          <cell r="G21" t="str">
            <v>一年内到期的非流动资产</v>
          </cell>
          <cell r="H21">
            <v>0</v>
          </cell>
          <cell r="I21">
            <v>1495</v>
          </cell>
          <cell r="J21" t="str">
            <v>J</v>
          </cell>
          <cell r="M21" t="str">
            <v>原材料</v>
          </cell>
          <cell r="P21" t="str">
            <v>偿还债务支付的现金</v>
          </cell>
          <cell r="S21" t="str">
            <v>1122i</v>
          </cell>
          <cell r="T21" t="str">
            <v>本期重要的应收账款核销情况</v>
          </cell>
          <cell r="U21" t="str">
            <v>单位名称</v>
          </cell>
          <cell r="V21">
            <v>1</v>
          </cell>
          <cell r="W21">
            <v>1122</v>
          </cell>
          <cell r="X21">
            <v>2</v>
          </cell>
        </row>
        <row r="22">
          <cell r="B22">
            <v>1496</v>
          </cell>
          <cell r="C22" t="str">
            <v>其他流动资产</v>
          </cell>
          <cell r="D22">
            <v>1</v>
          </cell>
          <cell r="E22">
            <v>0</v>
          </cell>
          <cell r="F22">
            <v>3390</v>
          </cell>
          <cell r="G22" t="str">
            <v>其他流动资产</v>
          </cell>
          <cell r="H22">
            <v>0</v>
          </cell>
          <cell r="I22">
            <v>1496</v>
          </cell>
          <cell r="J22" t="str">
            <v>J</v>
          </cell>
          <cell r="M22" t="str">
            <v>材料成本差异</v>
          </cell>
          <cell r="P22" t="str">
            <v>分配利润偿付利息支付的现金</v>
          </cell>
          <cell r="S22" t="str">
            <v>1122k</v>
          </cell>
          <cell r="T22" t="str">
            <v>按欠款方归集的应收账款期末余额前五名单位情况</v>
          </cell>
          <cell r="U22" t="str">
            <v>单位名称</v>
          </cell>
          <cell r="V22">
            <v>1</v>
          </cell>
          <cell r="W22">
            <v>1122</v>
          </cell>
          <cell r="X22">
            <v>2</v>
          </cell>
        </row>
        <row r="23">
          <cell r="B23">
            <v>1498</v>
          </cell>
          <cell r="C23" t="str">
            <v>流动资产</v>
          </cell>
          <cell r="D23">
            <v>0</v>
          </cell>
          <cell r="E23" t="str">
            <v>＝</v>
          </cell>
          <cell r="F23">
            <v>0</v>
          </cell>
          <cell r="G23" t="str">
            <v>流动资产合计</v>
          </cell>
          <cell r="H23">
            <v>0</v>
          </cell>
          <cell r="I23">
            <v>1498</v>
          </cell>
          <cell r="J23">
            <v>0</v>
          </cell>
          <cell r="M23" t="str">
            <v>库存商品</v>
          </cell>
          <cell r="P23" t="str">
            <v>子公司支付少数股东的现金股利</v>
          </cell>
          <cell r="S23" t="str">
            <v>1122m</v>
          </cell>
          <cell r="T23" t="str">
            <v>因金融资产转移而终止确认的应收账款情况</v>
          </cell>
          <cell r="U23" t="str">
            <v>项       目</v>
          </cell>
          <cell r="V23">
            <v>1</v>
          </cell>
          <cell r="W23">
            <v>1122</v>
          </cell>
          <cell r="X23">
            <v>2</v>
          </cell>
        </row>
        <row r="24">
          <cell r="B24">
            <v>1500</v>
          </cell>
          <cell r="C24" t="str">
            <v>非流动资产项目</v>
          </cell>
          <cell r="D24">
            <v>0</v>
          </cell>
          <cell r="E24" t="str">
            <v>：</v>
          </cell>
          <cell r="F24">
            <v>0</v>
          </cell>
          <cell r="G24" t="str">
            <v>非流动资产：</v>
          </cell>
          <cell r="H24">
            <v>0</v>
          </cell>
          <cell r="I24">
            <v>1500</v>
          </cell>
          <cell r="J24">
            <v>0</v>
          </cell>
          <cell r="M24" t="str">
            <v>发出商品</v>
          </cell>
          <cell r="P24" t="str">
            <v>支付其他与筹资活动有关的现金</v>
          </cell>
          <cell r="S24" t="str">
            <v>1122n</v>
          </cell>
          <cell r="T24" t="str">
            <v>转移应收账款且继续涉入形成的资产的金额</v>
          </cell>
          <cell r="U24" t="str">
            <v>项       目</v>
          </cell>
          <cell r="V24">
            <v>1</v>
          </cell>
          <cell r="W24">
            <v>1122</v>
          </cell>
          <cell r="X24">
            <v>2</v>
          </cell>
        </row>
        <row r="25">
          <cell r="B25">
            <v>1600</v>
          </cell>
          <cell r="C25" t="str">
            <v>发放委托贷款及垫款</v>
          </cell>
          <cell r="D25">
            <v>1</v>
          </cell>
          <cell r="E25" t="str">
            <v>△</v>
          </cell>
          <cell r="F25">
            <v>0</v>
          </cell>
          <cell r="G25" t="str">
            <v>发放贷款及垫款</v>
          </cell>
          <cell r="H25">
            <v>0</v>
          </cell>
          <cell r="I25">
            <v>1600</v>
          </cell>
          <cell r="J25" t="str">
            <v>J</v>
          </cell>
          <cell r="M25" t="str">
            <v>商品进销差价</v>
          </cell>
          <cell r="P25" t="str">
            <v>子公司减资支付给少数股东的现金</v>
          </cell>
          <cell r="S25" t="str">
            <v>1122o</v>
          </cell>
          <cell r="T25" t="str">
            <v>转移应收账款且继续涉入形成的负债的金额</v>
          </cell>
          <cell r="U25" t="str">
            <v>项       目</v>
          </cell>
          <cell r="V25">
            <v>1</v>
          </cell>
          <cell r="W25">
            <v>1122</v>
          </cell>
          <cell r="X25">
            <v>2</v>
          </cell>
        </row>
        <row r="26">
          <cell r="B26">
            <v>1503</v>
          </cell>
          <cell r="C26" t="str">
            <v>可供出售金融资产</v>
          </cell>
          <cell r="D26">
            <v>1</v>
          </cell>
          <cell r="E26">
            <v>0</v>
          </cell>
          <cell r="F26">
            <v>3220</v>
          </cell>
          <cell r="G26" t="str">
            <v>可供出售金融资产</v>
          </cell>
          <cell r="H26">
            <v>0</v>
          </cell>
          <cell r="I26">
            <v>1503</v>
          </cell>
          <cell r="J26" t="str">
            <v>J</v>
          </cell>
          <cell r="M26" t="str">
            <v>委托加工物资</v>
          </cell>
          <cell r="P26" t="str">
            <v>汇率变动对现金及现金等价物的影响</v>
          </cell>
          <cell r="S26" t="str">
            <v>1122c</v>
          </cell>
          <cell r="T26" t="str">
            <v>外币应收账款</v>
          </cell>
          <cell r="U26" t="str">
            <v>币       种</v>
          </cell>
          <cell r="V26">
            <v>1</v>
          </cell>
          <cell r="W26">
            <v>1122</v>
          </cell>
          <cell r="X26">
            <v>2</v>
          </cell>
        </row>
        <row r="27">
          <cell r="B27">
            <v>1501</v>
          </cell>
          <cell r="C27" t="str">
            <v>持有至到期投资</v>
          </cell>
          <cell r="D27">
            <v>1</v>
          </cell>
          <cell r="E27">
            <v>0</v>
          </cell>
          <cell r="F27">
            <v>3230</v>
          </cell>
          <cell r="G27" t="str">
            <v>持有至到期投资</v>
          </cell>
          <cell r="H27">
            <v>0</v>
          </cell>
          <cell r="I27">
            <v>1501</v>
          </cell>
          <cell r="J27" t="str">
            <v>J</v>
          </cell>
          <cell r="M27" t="str">
            <v>周转材料</v>
          </cell>
          <cell r="P27" t="str">
            <v>收到原保险合同保费取得的现金</v>
          </cell>
          <cell r="S27" t="str">
            <v>1122l</v>
          </cell>
          <cell r="T27" t="str">
            <v>关联方应收应付款项——应收账款</v>
          </cell>
          <cell r="U27" t="str">
            <v>关联方</v>
          </cell>
          <cell r="V27">
            <v>1</v>
          </cell>
          <cell r="W27">
            <v>1122</v>
          </cell>
          <cell r="X27">
            <v>2</v>
          </cell>
        </row>
        <row r="28">
          <cell r="B28">
            <v>1531</v>
          </cell>
          <cell r="C28" t="str">
            <v>长期应收款</v>
          </cell>
          <cell r="D28">
            <v>1</v>
          </cell>
          <cell r="E28">
            <v>0</v>
          </cell>
          <cell r="F28">
            <v>3840</v>
          </cell>
          <cell r="G28" t="str">
            <v>长期应收款</v>
          </cell>
          <cell r="H28">
            <v>0</v>
          </cell>
          <cell r="I28">
            <v>1531</v>
          </cell>
          <cell r="J28" t="str">
            <v>J</v>
          </cell>
          <cell r="M28" t="str">
            <v>消耗性生物资产</v>
          </cell>
          <cell r="P28" t="str">
            <v>收到再保险业务现金净额</v>
          </cell>
          <cell r="S28" t="str">
            <v>1125a</v>
          </cell>
          <cell r="T28" t="str">
            <v>预付款项按账龄列示</v>
          </cell>
          <cell r="U28" t="str">
            <v>账       龄</v>
          </cell>
          <cell r="V28">
            <v>1</v>
          </cell>
          <cell r="W28">
            <v>1125</v>
          </cell>
          <cell r="X28">
            <v>1</v>
          </cell>
        </row>
        <row r="29">
          <cell r="B29">
            <v>1515</v>
          </cell>
          <cell r="C29" t="str">
            <v>设定受益计划净资产</v>
          </cell>
          <cell r="D29">
            <v>1</v>
          </cell>
          <cell r="E29" t="str">
            <v>OEI</v>
          </cell>
          <cell r="F29">
            <v>4330</v>
          </cell>
          <cell r="G29" t="str">
            <v>设定受益计划净资产</v>
          </cell>
          <cell r="H29">
            <v>0</v>
          </cell>
          <cell r="I29">
            <v>1515</v>
          </cell>
          <cell r="J29" t="str">
            <v>J</v>
          </cell>
          <cell r="M29" t="str">
            <v>存货跌价准备</v>
          </cell>
          <cell r="P29" t="str">
            <v>保户储金及投资款净增加额</v>
          </cell>
          <cell r="S29" t="str">
            <v>1125d</v>
          </cell>
          <cell r="T29" t="str">
            <v>账龄超过1年的金额重要的预付账款</v>
          </cell>
          <cell r="U29" t="str">
            <v>单位名称</v>
          </cell>
          <cell r="V29">
            <v>1</v>
          </cell>
          <cell r="W29">
            <v>1125</v>
          </cell>
          <cell r="X29">
            <v>2</v>
          </cell>
        </row>
        <row r="30">
          <cell r="B30">
            <v>1511</v>
          </cell>
          <cell r="C30" t="str">
            <v>长期股权投资</v>
          </cell>
          <cell r="D30">
            <v>1</v>
          </cell>
          <cell r="E30">
            <v>0</v>
          </cell>
          <cell r="F30">
            <v>3240</v>
          </cell>
          <cell r="G30" t="str">
            <v>长期股权投资</v>
          </cell>
          <cell r="H30">
            <v>0</v>
          </cell>
          <cell r="I30">
            <v>1511</v>
          </cell>
          <cell r="J30" t="str">
            <v>J</v>
          </cell>
          <cell r="M30" t="str">
            <v>生产成本</v>
          </cell>
          <cell r="P30" t="str">
            <v>处置交易性金融资产净增加额</v>
          </cell>
          <cell r="S30" t="str">
            <v>1125c</v>
          </cell>
          <cell r="T30" t="str">
            <v>按预付对象归集的预付款项期末余额前五名单位情况</v>
          </cell>
          <cell r="U30" t="str">
            <v>单位名称</v>
          </cell>
          <cell r="V30">
            <v>1</v>
          </cell>
          <cell r="W30">
            <v>1125</v>
          </cell>
          <cell r="X30">
            <v>2</v>
          </cell>
        </row>
        <row r="31">
          <cell r="B31">
            <v>1521</v>
          </cell>
          <cell r="C31" t="str">
            <v>投资性房地产</v>
          </cell>
          <cell r="D31">
            <v>1</v>
          </cell>
          <cell r="E31">
            <v>0</v>
          </cell>
          <cell r="F31">
            <v>3710</v>
          </cell>
          <cell r="G31" t="str">
            <v>投资性房地产</v>
          </cell>
          <cell r="H31">
            <v>0</v>
          </cell>
          <cell r="I31">
            <v>1521</v>
          </cell>
          <cell r="J31" t="str">
            <v>J</v>
          </cell>
          <cell r="M31" t="str">
            <v>制造费用</v>
          </cell>
          <cell r="P31" t="str">
            <v>收取利息手续费及佣金的现金</v>
          </cell>
          <cell r="S31" t="str">
            <v>1125b</v>
          </cell>
          <cell r="T31" t="str">
            <v>外币预付款项</v>
          </cell>
          <cell r="U31" t="str">
            <v>币       种</v>
          </cell>
          <cell r="V31">
            <v>1</v>
          </cell>
          <cell r="W31">
            <v>1125</v>
          </cell>
          <cell r="X31">
            <v>2</v>
          </cell>
        </row>
        <row r="32">
          <cell r="B32">
            <v>1601</v>
          </cell>
          <cell r="C32" t="str">
            <v>固定资产</v>
          </cell>
          <cell r="D32">
            <v>1</v>
          </cell>
          <cell r="E32">
            <v>0</v>
          </cell>
          <cell r="F32">
            <v>3720</v>
          </cell>
          <cell r="G32" t="str">
            <v>其中：固定资产</v>
          </cell>
          <cell r="H32">
            <v>0</v>
          </cell>
          <cell r="I32">
            <v>1601</v>
          </cell>
          <cell r="J32" t="str">
            <v>J</v>
          </cell>
          <cell r="M32" t="str">
            <v>工程施工</v>
          </cell>
          <cell r="P32" t="str">
            <v>拆入资金净增加额</v>
          </cell>
          <cell r="S32" t="str">
            <v>1125e</v>
          </cell>
          <cell r="T32" t="str">
            <v>关联方应收应付款项——预付款项</v>
          </cell>
          <cell r="U32" t="str">
            <v>单位名称</v>
          </cell>
          <cell r="V32">
            <v>1</v>
          </cell>
          <cell r="W32">
            <v>1125</v>
          </cell>
          <cell r="X32">
            <v>2</v>
          </cell>
        </row>
        <row r="33">
          <cell r="B33">
            <v>1604</v>
          </cell>
          <cell r="C33" t="str">
            <v>在建工程</v>
          </cell>
          <cell r="D33">
            <v>1</v>
          </cell>
          <cell r="E33">
            <v>0</v>
          </cell>
          <cell r="F33">
            <v>3730</v>
          </cell>
          <cell r="G33" t="str">
            <v>其中：在建工程</v>
          </cell>
          <cell r="H33">
            <v>0</v>
          </cell>
          <cell r="I33">
            <v>1604</v>
          </cell>
          <cell r="J33" t="str">
            <v>J</v>
          </cell>
          <cell r="M33" t="str">
            <v>一年内到期的非流动资产</v>
          </cell>
          <cell r="P33" t="str">
            <v>回购业务资金净增加额</v>
          </cell>
          <cell r="S33" t="str">
            <v>1125f</v>
          </cell>
          <cell r="T33" t="str">
            <v>预付款项按项目列示</v>
          </cell>
          <cell r="U33" t="str">
            <v>项       目</v>
          </cell>
          <cell r="V33">
            <v>1</v>
          </cell>
          <cell r="W33">
            <v>1125</v>
          </cell>
          <cell r="X33">
            <v>2</v>
          </cell>
        </row>
        <row r="34">
          <cell r="B34">
            <v>1605</v>
          </cell>
          <cell r="C34" t="str">
            <v>工程物资</v>
          </cell>
          <cell r="D34">
            <v>1</v>
          </cell>
          <cell r="E34">
            <v>0</v>
          </cell>
          <cell r="F34">
            <v>3740</v>
          </cell>
          <cell r="G34" t="str">
            <v>其中：工程物资</v>
          </cell>
          <cell r="H34">
            <v>0</v>
          </cell>
          <cell r="I34">
            <v>1605</v>
          </cell>
          <cell r="J34" t="str">
            <v>J</v>
          </cell>
          <cell r="M34" t="str">
            <v>其他流动资产</v>
          </cell>
          <cell r="P34" t="str">
            <v>客户贷款及垫款净增加额</v>
          </cell>
          <cell r="S34" t="str">
            <v>1125x</v>
          </cell>
          <cell r="T34" t="str">
            <v>预付款项补充资料</v>
          </cell>
          <cell r="U34" t="str">
            <v>项       目</v>
          </cell>
          <cell r="V34">
            <v>1</v>
          </cell>
          <cell r="W34">
            <v>1125</v>
          </cell>
          <cell r="X34">
            <v>2</v>
          </cell>
        </row>
        <row r="35">
          <cell r="B35">
            <v>1606</v>
          </cell>
          <cell r="C35" t="str">
            <v>固定资产清理</v>
          </cell>
          <cell r="D35">
            <v>1</v>
          </cell>
          <cell r="E35">
            <v>0</v>
          </cell>
          <cell r="F35">
            <v>3750</v>
          </cell>
          <cell r="G35" t="str">
            <v>其中：固定资产清理</v>
          </cell>
          <cell r="H35">
            <v>0</v>
          </cell>
          <cell r="I35">
            <v>1606</v>
          </cell>
          <cell r="J35" t="str">
            <v>J</v>
          </cell>
          <cell r="M35" t="str">
            <v>持有至到期投资</v>
          </cell>
          <cell r="P35" t="str">
            <v>存放中央银行和同业款项净增加额</v>
          </cell>
          <cell r="S35" t="str">
            <v>1220a</v>
          </cell>
          <cell r="T35" t="str">
            <v>其他应收款分类列示</v>
          </cell>
          <cell r="U35" t="str">
            <v>项       目</v>
          </cell>
          <cell r="V35">
            <v>1</v>
          </cell>
          <cell r="W35">
            <v>1220</v>
          </cell>
          <cell r="X35">
            <v>1</v>
          </cell>
        </row>
        <row r="36">
          <cell r="B36">
            <v>1621</v>
          </cell>
          <cell r="C36" t="str">
            <v>生产性生物资产</v>
          </cell>
          <cell r="D36">
            <v>1</v>
          </cell>
          <cell r="E36">
            <v>0</v>
          </cell>
          <cell r="F36">
            <v>3760</v>
          </cell>
          <cell r="G36" t="str">
            <v>生产性生物资产</v>
          </cell>
          <cell r="H36">
            <v>0</v>
          </cell>
          <cell r="I36">
            <v>1621</v>
          </cell>
          <cell r="J36" t="str">
            <v>J</v>
          </cell>
          <cell r="M36" t="str">
            <v>持有至到期投资减值准备</v>
          </cell>
          <cell r="P36" t="str">
            <v>支付原保险合同赔付款项的现金</v>
          </cell>
          <cell r="S36" t="str">
            <v>1132a</v>
          </cell>
          <cell r="T36" t="str">
            <v>应收利息明细项目</v>
          </cell>
          <cell r="U36" t="str">
            <v>项       目</v>
          </cell>
          <cell r="V36">
            <v>1</v>
          </cell>
          <cell r="W36">
            <v>1132</v>
          </cell>
          <cell r="X36">
            <v>1</v>
          </cell>
        </row>
        <row r="37">
          <cell r="B37">
            <v>1631</v>
          </cell>
          <cell r="C37" t="str">
            <v>油气资产</v>
          </cell>
          <cell r="D37">
            <v>1</v>
          </cell>
          <cell r="E37">
            <v>0</v>
          </cell>
          <cell r="F37">
            <v>3770</v>
          </cell>
          <cell r="G37" t="str">
            <v>油气资产</v>
          </cell>
          <cell r="H37">
            <v>0</v>
          </cell>
          <cell r="I37">
            <v>1631</v>
          </cell>
          <cell r="J37" t="str">
            <v>J</v>
          </cell>
          <cell r="M37" t="str">
            <v>可供出售金融资产</v>
          </cell>
          <cell r="P37" t="str">
            <v>支付利息手续费及佣金的现金</v>
          </cell>
          <cell r="S37" t="str">
            <v>1132b</v>
          </cell>
          <cell r="T37" t="str">
            <v>重要的逾期应收利息</v>
          </cell>
          <cell r="U37" t="str">
            <v>借款单位</v>
          </cell>
          <cell r="V37">
            <v>1</v>
          </cell>
          <cell r="W37">
            <v>1132</v>
          </cell>
          <cell r="X37">
            <v>2</v>
          </cell>
        </row>
        <row r="38">
          <cell r="B38">
            <v>1701</v>
          </cell>
          <cell r="C38" t="str">
            <v>无形资产</v>
          </cell>
          <cell r="D38">
            <v>1</v>
          </cell>
          <cell r="E38">
            <v>0</v>
          </cell>
          <cell r="F38">
            <v>3810</v>
          </cell>
          <cell r="G38" t="str">
            <v>无形资产</v>
          </cell>
          <cell r="H38">
            <v>0</v>
          </cell>
          <cell r="I38">
            <v>1701</v>
          </cell>
          <cell r="J38" t="str">
            <v>J</v>
          </cell>
          <cell r="M38" t="str">
            <v>可供出售金融资产减值准备</v>
          </cell>
          <cell r="P38" t="str">
            <v>支付保单红利的现金</v>
          </cell>
          <cell r="S38" t="str">
            <v>1131a</v>
          </cell>
          <cell r="T38" t="str">
            <v>应收股利明细项目</v>
          </cell>
          <cell r="U38" t="str">
            <v>项       目</v>
          </cell>
          <cell r="V38">
            <v>1</v>
          </cell>
          <cell r="W38">
            <v>1131</v>
          </cell>
          <cell r="X38">
            <v>1</v>
          </cell>
        </row>
        <row r="39">
          <cell r="B39">
            <v>1700</v>
          </cell>
          <cell r="C39" t="str">
            <v>开发支出</v>
          </cell>
          <cell r="D39">
            <v>1</v>
          </cell>
          <cell r="E39">
            <v>0</v>
          </cell>
          <cell r="F39">
            <v>3820</v>
          </cell>
          <cell r="G39" t="str">
            <v>开发支出</v>
          </cell>
          <cell r="H39">
            <v>0</v>
          </cell>
          <cell r="I39">
            <v>1700</v>
          </cell>
          <cell r="J39" t="str">
            <v>J</v>
          </cell>
          <cell r="M39" t="str">
            <v>长期股权投资</v>
          </cell>
          <cell r="P39" t="str">
            <v>质押贷款净增加额</v>
          </cell>
          <cell r="S39" t="str">
            <v>1131b</v>
          </cell>
          <cell r="T39" t="str">
            <v>重要的账龄超过1年的应收股利</v>
          </cell>
          <cell r="U39" t="str">
            <v>项       目</v>
          </cell>
          <cell r="V39">
            <v>1</v>
          </cell>
          <cell r="W39">
            <v>1131</v>
          </cell>
          <cell r="X39">
            <v>2</v>
          </cell>
        </row>
        <row r="40">
          <cell r="B40">
            <v>1711</v>
          </cell>
          <cell r="C40" t="str">
            <v>商誉</v>
          </cell>
          <cell r="D40">
            <v>1</v>
          </cell>
          <cell r="E40">
            <v>0</v>
          </cell>
          <cell r="F40">
            <v>3830</v>
          </cell>
          <cell r="G40" t="str">
            <v>商誉</v>
          </cell>
          <cell r="H40">
            <v>0</v>
          </cell>
          <cell r="I40">
            <v>1711</v>
          </cell>
          <cell r="J40" t="str">
            <v>J</v>
          </cell>
          <cell r="M40" t="str">
            <v>长期股权投资减值准备</v>
          </cell>
          <cell r="P40" t="str">
            <v>发行债券收到的现金</v>
          </cell>
          <cell r="S40" t="str">
            <v>1221b</v>
          </cell>
          <cell r="T40" t="str">
            <v>其他应收款按种类列示（续）</v>
          </cell>
          <cell r="U40" t="str">
            <v xml:space="preserve">类       别  </v>
          </cell>
          <cell r="V40">
            <v>1</v>
          </cell>
          <cell r="W40">
            <v>1221</v>
          </cell>
          <cell r="X40">
            <v>2</v>
          </cell>
        </row>
        <row r="41">
          <cell r="B41">
            <v>1801</v>
          </cell>
          <cell r="C41" t="str">
            <v>长期待摊费用</v>
          </cell>
          <cell r="D41">
            <v>1</v>
          </cell>
          <cell r="E41">
            <v>0</v>
          </cell>
          <cell r="F41">
            <v>3850</v>
          </cell>
          <cell r="G41" t="str">
            <v>长期待摊费用</v>
          </cell>
          <cell r="H41">
            <v>0</v>
          </cell>
          <cell r="I41">
            <v>1801</v>
          </cell>
          <cell r="J41" t="str">
            <v>J</v>
          </cell>
          <cell r="M41" t="str">
            <v>设定受益计划净资产</v>
          </cell>
          <cell r="P41" t="str">
            <v>客户存款和同业存放款项净增加额</v>
          </cell>
          <cell r="S41" t="str">
            <v>1221a</v>
          </cell>
          <cell r="T41" t="str">
            <v>其他应收款按种类列示</v>
          </cell>
          <cell r="U41" t="str">
            <v xml:space="preserve">类       别  </v>
          </cell>
          <cell r="V41">
            <v>1</v>
          </cell>
          <cell r="W41">
            <v>1221</v>
          </cell>
          <cell r="X41">
            <v>1</v>
          </cell>
        </row>
        <row r="42">
          <cell r="B42">
            <v>1811</v>
          </cell>
          <cell r="C42" t="str">
            <v>递延所得税资产</v>
          </cell>
          <cell r="D42">
            <v>1</v>
          </cell>
          <cell r="E42">
            <v>0</v>
          </cell>
          <cell r="F42">
            <v>3880</v>
          </cell>
          <cell r="G42" t="str">
            <v>递延所得税资产</v>
          </cell>
          <cell r="H42">
            <v>0</v>
          </cell>
          <cell r="I42">
            <v>1811</v>
          </cell>
          <cell r="J42" t="str">
            <v>J</v>
          </cell>
          <cell r="M42" t="str">
            <v>投资性房地产</v>
          </cell>
          <cell r="P42" t="str">
            <v>向中央银行借款净增加额</v>
          </cell>
          <cell r="S42" t="str">
            <v>1221g</v>
          </cell>
          <cell r="T42" t="str">
            <v>期末单项金额重大并单项计提坏账准备的其他应收款</v>
          </cell>
          <cell r="U42" t="str">
            <v>其他应收款（按单位）</v>
          </cell>
          <cell r="V42">
            <v>1</v>
          </cell>
          <cell r="W42">
            <v>1221</v>
          </cell>
          <cell r="X42">
            <v>2</v>
          </cell>
        </row>
        <row r="43">
          <cell r="B43">
            <v>1996</v>
          </cell>
          <cell r="C43" t="str">
            <v>其他非流动资产</v>
          </cell>
          <cell r="D43">
            <v>1</v>
          </cell>
          <cell r="E43">
            <v>0</v>
          </cell>
          <cell r="F43">
            <v>3890</v>
          </cell>
          <cell r="G43" t="str">
            <v>其他非流动资产</v>
          </cell>
          <cell r="H43">
            <v>0</v>
          </cell>
          <cell r="I43">
            <v>1996</v>
          </cell>
          <cell r="J43" t="str">
            <v>J</v>
          </cell>
          <cell r="M43" t="str">
            <v>投资性房地产减值准备</v>
          </cell>
          <cell r="P43" t="str">
            <v>向其他金融机构拆入资金净增加额</v>
          </cell>
          <cell r="S43" t="str">
            <v>1221d</v>
          </cell>
          <cell r="T43" t="str">
            <v>组合中按账龄分析法计提坏账准备的其他应收款</v>
          </cell>
          <cell r="U43" t="str">
            <v>账  龄</v>
          </cell>
          <cell r="V43">
            <v>1</v>
          </cell>
          <cell r="W43">
            <v>1221</v>
          </cell>
          <cell r="X43">
            <v>2</v>
          </cell>
        </row>
        <row r="44">
          <cell r="B44">
            <v>1998</v>
          </cell>
          <cell r="C44" t="str">
            <v>非流动资产</v>
          </cell>
          <cell r="D44">
            <v>0</v>
          </cell>
          <cell r="E44" t="str">
            <v>＝</v>
          </cell>
          <cell r="F44">
            <v>0</v>
          </cell>
          <cell r="G44" t="str">
            <v>非流动资产合计</v>
          </cell>
          <cell r="H44">
            <v>0</v>
          </cell>
          <cell r="I44">
            <v>1998</v>
          </cell>
          <cell r="J44">
            <v>0</v>
          </cell>
          <cell r="M44" t="str">
            <v>投资性房地产累计折旧</v>
          </cell>
          <cell r="P44" t="str">
            <v>收到原保险合同保费取得的现金</v>
          </cell>
          <cell r="S44" t="str">
            <v>1221e</v>
          </cell>
          <cell r="T44" t="str">
            <v>组合中采用余额百分比法计提坏账准备的其他应收款</v>
          </cell>
          <cell r="U44" t="str">
            <v>组合名称</v>
          </cell>
          <cell r="V44">
            <v>1</v>
          </cell>
          <cell r="W44">
            <v>1221</v>
          </cell>
          <cell r="X44">
            <v>2</v>
          </cell>
        </row>
        <row r="45">
          <cell r="B45">
            <v>1999</v>
          </cell>
          <cell r="C45" t="str">
            <v>资产</v>
          </cell>
          <cell r="D45">
            <v>0</v>
          </cell>
          <cell r="E45" t="str">
            <v>＝</v>
          </cell>
          <cell r="F45">
            <v>0</v>
          </cell>
          <cell r="G45" t="str">
            <v>资产总计</v>
          </cell>
          <cell r="H45">
            <v>0</v>
          </cell>
          <cell r="I45">
            <v>1999</v>
          </cell>
          <cell r="J45">
            <v>0</v>
          </cell>
          <cell r="M45" t="str">
            <v>长期应收款</v>
          </cell>
          <cell r="P45" t="str">
            <v>收到再保险业务现金净额</v>
          </cell>
          <cell r="S45" t="str">
            <v>1221f</v>
          </cell>
          <cell r="T45" t="str">
            <v>组合中采用其他方法计提坏账准备的其他应收款</v>
          </cell>
          <cell r="U45" t="str">
            <v>组合名称</v>
          </cell>
          <cell r="V45">
            <v>1</v>
          </cell>
          <cell r="W45">
            <v>1221</v>
          </cell>
          <cell r="X45">
            <v>2</v>
          </cell>
        </row>
        <row r="46">
          <cell r="B46">
            <v>2000</v>
          </cell>
          <cell r="C46" t="str">
            <v>流动负债项目</v>
          </cell>
          <cell r="D46">
            <v>0</v>
          </cell>
          <cell r="E46" t="str">
            <v>：</v>
          </cell>
          <cell r="F46">
            <v>0</v>
          </cell>
          <cell r="G46" t="str">
            <v>流动负债：</v>
          </cell>
          <cell r="H46">
            <v>0</v>
          </cell>
          <cell r="I46">
            <v>2000</v>
          </cell>
          <cell r="J46">
            <v>0</v>
          </cell>
          <cell r="M46" t="str">
            <v>固定资产</v>
          </cell>
          <cell r="P46" t="str">
            <v>保户储金及投资款净增加额</v>
          </cell>
          <cell r="S46" t="str">
            <v>1221h</v>
          </cell>
          <cell r="T46" t="str">
            <v>本期其他应收款坏账准备转回或收回金额重要的</v>
          </cell>
          <cell r="U46" t="str">
            <v>单位名称</v>
          </cell>
          <cell r="V46">
            <v>1</v>
          </cell>
          <cell r="W46">
            <v>1221</v>
          </cell>
          <cell r="X46">
            <v>2</v>
          </cell>
        </row>
        <row r="47">
          <cell r="B47">
            <v>2001</v>
          </cell>
          <cell r="C47" t="str">
            <v>短期借款</v>
          </cell>
          <cell r="D47">
            <v>-1</v>
          </cell>
          <cell r="E47">
            <v>0</v>
          </cell>
          <cell r="F47">
            <v>4110</v>
          </cell>
          <cell r="G47" t="str">
            <v>短期借款</v>
          </cell>
          <cell r="H47">
            <v>0</v>
          </cell>
          <cell r="I47">
            <v>2001</v>
          </cell>
          <cell r="J47" t="str">
            <v>J</v>
          </cell>
          <cell r="M47" t="str">
            <v>累计折旧</v>
          </cell>
          <cell r="P47" t="str">
            <v>处置交易性金融资产净增加额</v>
          </cell>
          <cell r="S47" t="str">
            <v>1221i</v>
          </cell>
          <cell r="T47" t="str">
            <v>本期重要的其他应收款核销情况</v>
          </cell>
          <cell r="U47" t="str">
            <v>单位名称</v>
          </cell>
          <cell r="V47">
            <v>1</v>
          </cell>
          <cell r="W47">
            <v>1221</v>
          </cell>
          <cell r="X47">
            <v>2</v>
          </cell>
        </row>
        <row r="48">
          <cell r="B48">
            <v>2004</v>
          </cell>
          <cell r="C48" t="str">
            <v>向中央银行借款</v>
          </cell>
          <cell r="D48">
            <v>-1</v>
          </cell>
          <cell r="E48" t="str">
            <v>△</v>
          </cell>
          <cell r="F48">
            <v>0</v>
          </cell>
          <cell r="G48" t="str">
            <v>向中央银行借款</v>
          </cell>
          <cell r="H48">
            <v>0</v>
          </cell>
          <cell r="I48">
            <v>2004</v>
          </cell>
          <cell r="J48" t="str">
            <v>J</v>
          </cell>
          <cell r="M48" t="str">
            <v>固定资产减值准备</v>
          </cell>
          <cell r="P48" t="str">
            <v>收取利息手续费及佣金的现金</v>
          </cell>
          <cell r="S48" t="str">
            <v>1221l</v>
          </cell>
          <cell r="T48" t="str">
            <v>其他应收款按款项性质披露</v>
          </cell>
          <cell r="U48" t="str">
            <v>单位名称</v>
          </cell>
          <cell r="V48">
            <v>1</v>
          </cell>
          <cell r="W48">
            <v>1221</v>
          </cell>
          <cell r="X48">
            <v>2</v>
          </cell>
        </row>
        <row r="49">
          <cell r="B49">
            <v>2010</v>
          </cell>
          <cell r="C49" t="str">
            <v>吸收存款及同业存放</v>
          </cell>
          <cell r="D49">
            <v>-1</v>
          </cell>
          <cell r="E49" t="str">
            <v>△</v>
          </cell>
          <cell r="F49">
            <v>0</v>
          </cell>
          <cell r="G49" t="str">
            <v>吸收存款及同业存放</v>
          </cell>
          <cell r="H49">
            <v>0</v>
          </cell>
          <cell r="I49">
            <v>2010</v>
          </cell>
          <cell r="J49" t="str">
            <v>J</v>
          </cell>
          <cell r="M49" t="str">
            <v>在建工程</v>
          </cell>
          <cell r="P49" t="str">
            <v>拆入资金净增加额</v>
          </cell>
          <cell r="S49" t="str">
            <v>1221k</v>
          </cell>
          <cell r="T49" t="str">
            <v>按欠款方归集的其他应收款期末余额前五名单位情况</v>
          </cell>
          <cell r="U49" t="str">
            <v>单位名称</v>
          </cell>
          <cell r="V49">
            <v>1</v>
          </cell>
          <cell r="W49">
            <v>1221</v>
          </cell>
          <cell r="X49">
            <v>2</v>
          </cell>
        </row>
        <row r="50">
          <cell r="B50">
            <v>2003</v>
          </cell>
          <cell r="C50" t="str">
            <v>拆入资金</v>
          </cell>
          <cell r="D50">
            <v>-1</v>
          </cell>
          <cell r="E50" t="str">
            <v>△</v>
          </cell>
          <cell r="F50">
            <v>0</v>
          </cell>
          <cell r="G50" t="str">
            <v>拆入资金</v>
          </cell>
          <cell r="H50">
            <v>0</v>
          </cell>
          <cell r="I50">
            <v>2003</v>
          </cell>
          <cell r="J50" t="str">
            <v>J</v>
          </cell>
          <cell r="M50" t="str">
            <v>在建工程减值准备</v>
          </cell>
          <cell r="P50" t="str">
            <v>回购业务资金净增加额</v>
          </cell>
          <cell r="S50" t="str">
            <v>1221r</v>
          </cell>
          <cell r="T50" t="str">
            <v>应收政府补助情况</v>
          </cell>
          <cell r="U50" t="str">
            <v>单位名称</v>
          </cell>
          <cell r="V50">
            <v>1</v>
          </cell>
          <cell r="W50">
            <v>1221</v>
          </cell>
          <cell r="X50">
            <v>2</v>
          </cell>
        </row>
        <row r="51">
          <cell r="B51">
            <v>2101</v>
          </cell>
          <cell r="C51" t="str">
            <v>以公允价值计量且其变动计入当期损益的金融负债</v>
          </cell>
          <cell r="D51">
            <v>-1</v>
          </cell>
          <cell r="E51">
            <v>0</v>
          </cell>
          <cell r="F51" t="str">
            <v>4610_4620</v>
          </cell>
          <cell r="G51" t="str">
            <v>以公允价值计量且其变动计入当期损益的金融负债</v>
          </cell>
          <cell r="H51">
            <v>0</v>
          </cell>
          <cell r="I51">
            <v>2101</v>
          </cell>
          <cell r="J51" t="str">
            <v>J</v>
          </cell>
          <cell r="M51" t="str">
            <v>工程物资</v>
          </cell>
          <cell r="P51" t="str">
            <v>客户贷款及垫款净增加额</v>
          </cell>
          <cell r="S51" t="str">
            <v>1221n</v>
          </cell>
          <cell r="T51" t="str">
            <v>因金融资产转移而终止确认的其他应收款情况</v>
          </cell>
          <cell r="U51" t="str">
            <v>项       目</v>
          </cell>
          <cell r="V51">
            <v>1</v>
          </cell>
          <cell r="W51">
            <v>1221</v>
          </cell>
          <cell r="X51">
            <v>2</v>
          </cell>
        </row>
        <row r="52">
          <cell r="B52">
            <v>2115</v>
          </cell>
          <cell r="C52" t="str">
            <v>衍生金融负债</v>
          </cell>
          <cell r="D52">
            <v>-1</v>
          </cell>
          <cell r="E52" t="str">
            <v>Ｘ</v>
          </cell>
          <cell r="F52">
            <v>4620</v>
          </cell>
          <cell r="G52" t="str">
            <v>衍生金融负债</v>
          </cell>
          <cell r="H52">
            <v>0</v>
          </cell>
          <cell r="I52">
            <v>2115</v>
          </cell>
          <cell r="J52" t="str">
            <v>J</v>
          </cell>
          <cell r="M52" t="str">
            <v>工程物资减值准备</v>
          </cell>
          <cell r="P52" t="str">
            <v>存放中央银行和同业款项净增加额</v>
          </cell>
          <cell r="S52" t="str">
            <v>1221o</v>
          </cell>
          <cell r="T52" t="str">
            <v>转移其他应收款且继续涉入形成的资产金额</v>
          </cell>
          <cell r="U52" t="str">
            <v>项       目</v>
          </cell>
          <cell r="V52">
            <v>1</v>
          </cell>
          <cell r="W52">
            <v>1221</v>
          </cell>
          <cell r="X52">
            <v>2</v>
          </cell>
        </row>
        <row r="53">
          <cell r="B53">
            <v>2201</v>
          </cell>
          <cell r="C53" t="str">
            <v>应付票据</v>
          </cell>
          <cell r="D53">
            <v>-1</v>
          </cell>
          <cell r="E53">
            <v>0</v>
          </cell>
          <cell r="F53">
            <v>4220</v>
          </cell>
          <cell r="G53" t="str">
            <v>其中：应付票据</v>
          </cell>
          <cell r="H53">
            <v>0</v>
          </cell>
          <cell r="I53">
            <v>2201</v>
          </cell>
          <cell r="J53" t="str">
            <v>J</v>
          </cell>
          <cell r="M53" t="str">
            <v>固定资产清理</v>
          </cell>
          <cell r="P53" t="str">
            <v>支付原保险合同赔付款项的现金</v>
          </cell>
          <cell r="S53" t="str">
            <v>1221p</v>
          </cell>
          <cell r="T53" t="str">
            <v>转移其他应收款且继续涉入形成的负债金额</v>
          </cell>
          <cell r="U53" t="str">
            <v>项       目</v>
          </cell>
          <cell r="V53">
            <v>1</v>
          </cell>
          <cell r="W53">
            <v>1221</v>
          </cell>
          <cell r="X53">
            <v>2</v>
          </cell>
        </row>
        <row r="54">
          <cell r="B54">
            <v>2202</v>
          </cell>
          <cell r="C54" t="str">
            <v>应付账款</v>
          </cell>
          <cell r="D54">
            <v>-1</v>
          </cell>
          <cell r="E54">
            <v>0</v>
          </cell>
          <cell r="F54">
            <v>4230</v>
          </cell>
          <cell r="G54" t="str">
            <v>其中：应付账款</v>
          </cell>
          <cell r="H54">
            <v>0</v>
          </cell>
          <cell r="I54">
            <v>2202</v>
          </cell>
          <cell r="J54" t="str">
            <v>J</v>
          </cell>
          <cell r="M54" t="str">
            <v>生产性生物资产</v>
          </cell>
          <cell r="P54" t="str">
            <v>支付利息手续费及佣金的现金</v>
          </cell>
          <cell r="S54" t="str">
            <v>1221c</v>
          </cell>
          <cell r="T54" t="str">
            <v>外币其他应收款</v>
          </cell>
          <cell r="U54" t="str">
            <v>币       种</v>
          </cell>
          <cell r="V54">
            <v>1</v>
          </cell>
          <cell r="W54">
            <v>1221</v>
          </cell>
          <cell r="X54">
            <v>2</v>
          </cell>
        </row>
        <row r="55">
          <cell r="B55">
            <v>2205</v>
          </cell>
          <cell r="C55" t="str">
            <v>预收款项</v>
          </cell>
          <cell r="D55">
            <v>-1</v>
          </cell>
          <cell r="E55">
            <v>0</v>
          </cell>
          <cell r="F55">
            <v>4240</v>
          </cell>
          <cell r="G55" t="str">
            <v>预收款项</v>
          </cell>
          <cell r="H55">
            <v>0</v>
          </cell>
          <cell r="I55">
            <v>2205</v>
          </cell>
          <cell r="J55" t="str">
            <v>J</v>
          </cell>
          <cell r="M55" t="str">
            <v>生产性生物资产累计折旧</v>
          </cell>
          <cell r="P55" t="str">
            <v>支付保单红利的现金</v>
          </cell>
          <cell r="S55" t="str">
            <v>1221m</v>
          </cell>
          <cell r="T55" t="str">
            <v>关联方应收应付款项——其他应收款</v>
          </cell>
          <cell r="U55" t="str">
            <v>单位名称</v>
          </cell>
          <cell r="V55">
            <v>1</v>
          </cell>
          <cell r="W55">
            <v>1221</v>
          </cell>
          <cell r="X55">
            <v>2</v>
          </cell>
        </row>
        <row r="56">
          <cell r="B56">
            <v>2111</v>
          </cell>
          <cell r="C56" t="str">
            <v>卖出回购金融资产款</v>
          </cell>
          <cell r="D56">
            <v>-1</v>
          </cell>
          <cell r="E56" t="str">
            <v>△</v>
          </cell>
          <cell r="F56">
            <v>0</v>
          </cell>
          <cell r="G56" t="str">
            <v>卖出回购金融资产款</v>
          </cell>
          <cell r="H56">
            <v>0</v>
          </cell>
          <cell r="I56">
            <v>2111</v>
          </cell>
          <cell r="J56" t="str">
            <v>J</v>
          </cell>
          <cell r="M56" t="str">
            <v>生产性生物资产减值准备</v>
          </cell>
          <cell r="P56" t="str">
            <v>质押贷款净增加额</v>
          </cell>
          <cell r="S56" t="str">
            <v>1221x</v>
          </cell>
          <cell r="T56" t="str">
            <v>其他应收款补充资料</v>
          </cell>
          <cell r="U56" t="str">
            <v>项       目</v>
          </cell>
          <cell r="V56">
            <v>1</v>
          </cell>
          <cell r="W56">
            <v>1221</v>
          </cell>
          <cell r="X56">
            <v>2</v>
          </cell>
        </row>
        <row r="57">
          <cell r="B57">
            <v>2240</v>
          </cell>
          <cell r="C57" t="str">
            <v>应付手续费及佣金</v>
          </cell>
          <cell r="D57">
            <v>-1</v>
          </cell>
          <cell r="E57" t="str">
            <v>△</v>
          </cell>
          <cell r="F57">
            <v>0</v>
          </cell>
          <cell r="G57" t="str">
            <v>应付手续费及佣金</v>
          </cell>
          <cell r="H57">
            <v>0</v>
          </cell>
          <cell r="I57">
            <v>2240</v>
          </cell>
          <cell r="J57" t="str">
            <v>J</v>
          </cell>
          <cell r="M57" t="str">
            <v>油气资产</v>
          </cell>
          <cell r="P57" t="str">
            <v>期初现金及现金等价物余额</v>
          </cell>
          <cell r="S57" t="str">
            <v>1400a</v>
          </cell>
          <cell r="T57" t="str">
            <v>存货分类列示</v>
          </cell>
          <cell r="U57" t="str">
            <v>存货种类</v>
          </cell>
          <cell r="V57">
            <v>1</v>
          </cell>
          <cell r="W57">
            <v>1400</v>
          </cell>
          <cell r="X57">
            <v>1</v>
          </cell>
        </row>
        <row r="58">
          <cell r="B58">
            <v>2211</v>
          </cell>
          <cell r="C58" t="str">
            <v>应付职工薪酬</v>
          </cell>
          <cell r="D58">
            <v>-1</v>
          </cell>
          <cell r="E58">
            <v>0</v>
          </cell>
          <cell r="F58">
            <v>4300</v>
          </cell>
          <cell r="G58" t="str">
            <v>应付职工薪酬</v>
          </cell>
          <cell r="H58">
            <v>0</v>
          </cell>
          <cell r="I58">
            <v>2211</v>
          </cell>
          <cell r="J58" t="str">
            <v>J</v>
          </cell>
          <cell r="M58" t="str">
            <v>累计折耗</v>
          </cell>
          <cell r="P58" t="str">
            <v>现金流量调整</v>
          </cell>
          <cell r="S58" t="str">
            <v>1400b</v>
          </cell>
          <cell r="T58" t="str">
            <v>存货跌价准备的增减变动情况</v>
          </cell>
          <cell r="U58" t="str">
            <v>存货种类</v>
          </cell>
          <cell r="V58">
            <v>1</v>
          </cell>
          <cell r="W58">
            <v>1400</v>
          </cell>
          <cell r="X58">
            <v>2</v>
          </cell>
        </row>
        <row r="59">
          <cell r="B59">
            <v>2221</v>
          </cell>
          <cell r="C59" t="str">
            <v>应交税费</v>
          </cell>
          <cell r="D59">
            <v>-1</v>
          </cell>
          <cell r="E59">
            <v>0</v>
          </cell>
          <cell r="F59">
            <v>4410</v>
          </cell>
          <cell r="G59" t="str">
            <v>应交税费</v>
          </cell>
          <cell r="H59">
            <v>0</v>
          </cell>
          <cell r="I59">
            <v>2221</v>
          </cell>
          <cell r="J59" t="str">
            <v>J</v>
          </cell>
          <cell r="M59" t="str">
            <v>油气资产减值准备</v>
          </cell>
          <cell r="S59" t="str">
            <v>1400c</v>
          </cell>
          <cell r="T59" t="str">
            <v>存货跌价准备计提依据与转回情况</v>
          </cell>
          <cell r="U59" t="str">
            <v>存货种类</v>
          </cell>
          <cell r="V59">
            <v>1</v>
          </cell>
          <cell r="W59">
            <v>1400</v>
          </cell>
          <cell r="X59">
            <v>2</v>
          </cell>
        </row>
        <row r="60">
          <cell r="B60">
            <v>2231</v>
          </cell>
          <cell r="C60" t="str">
            <v>应付利息</v>
          </cell>
          <cell r="D60">
            <v>-1</v>
          </cell>
          <cell r="E60">
            <v>0</v>
          </cell>
          <cell r="F60">
            <v>4250</v>
          </cell>
          <cell r="G60" t="str">
            <v>其中：应付利息</v>
          </cell>
          <cell r="H60">
            <v>0</v>
          </cell>
          <cell r="I60">
            <v>2231</v>
          </cell>
          <cell r="J60" t="str">
            <v>J</v>
          </cell>
          <cell r="M60" t="str">
            <v>开发支出</v>
          </cell>
          <cell r="S60" t="str">
            <v>1400t</v>
          </cell>
          <cell r="T60" t="str">
            <v>存货期末余额中含有借款费用资本化金额的说明</v>
          </cell>
          <cell r="U60" t="str">
            <v>项       目</v>
          </cell>
          <cell r="V60">
            <v>1</v>
          </cell>
          <cell r="W60">
            <v>1400</v>
          </cell>
          <cell r="X60">
            <v>2</v>
          </cell>
        </row>
        <row r="61">
          <cell r="B61">
            <v>2232</v>
          </cell>
          <cell r="C61" t="str">
            <v>应付股利</v>
          </cell>
          <cell r="D61">
            <v>-1</v>
          </cell>
          <cell r="E61">
            <v>0</v>
          </cell>
          <cell r="F61">
            <v>4260</v>
          </cell>
          <cell r="G61" t="str">
            <v>其中：应付股利</v>
          </cell>
          <cell r="H61">
            <v>0</v>
          </cell>
          <cell r="I61">
            <v>2232</v>
          </cell>
          <cell r="J61" t="str">
            <v>J</v>
          </cell>
          <cell r="M61" t="str">
            <v>无形资产</v>
          </cell>
          <cell r="S61" t="str">
            <v>1400d</v>
          </cell>
          <cell r="T61" t="str">
            <v>开发成本</v>
          </cell>
          <cell r="U61" t="str">
            <v>项目名称</v>
          </cell>
          <cell r="V61">
            <v>1</v>
          </cell>
          <cell r="W61">
            <v>1400</v>
          </cell>
          <cell r="X61">
            <v>2</v>
          </cell>
        </row>
        <row r="62">
          <cell r="B62">
            <v>2241</v>
          </cell>
          <cell r="C62" t="str">
            <v>其他应付款</v>
          </cell>
          <cell r="D62">
            <v>-1</v>
          </cell>
          <cell r="E62">
            <v>0</v>
          </cell>
          <cell r="F62">
            <v>4270</v>
          </cell>
          <cell r="G62" t="str">
            <v>其中：其他应付款</v>
          </cell>
          <cell r="H62">
            <v>0</v>
          </cell>
          <cell r="I62">
            <v>2241</v>
          </cell>
          <cell r="J62" t="str">
            <v>J</v>
          </cell>
          <cell r="M62" t="str">
            <v>累计摊销</v>
          </cell>
          <cell r="S62" t="str">
            <v>1400e</v>
          </cell>
          <cell r="T62" t="str">
            <v>开发产品</v>
          </cell>
          <cell r="U62" t="str">
            <v>项目名称</v>
          </cell>
          <cell r="V62">
            <v>1</v>
          </cell>
          <cell r="W62">
            <v>1400</v>
          </cell>
          <cell r="X62">
            <v>2</v>
          </cell>
        </row>
        <row r="63">
          <cell r="B63">
            <v>2261</v>
          </cell>
          <cell r="C63" t="str">
            <v>应付分保账款</v>
          </cell>
          <cell r="D63">
            <v>-1</v>
          </cell>
          <cell r="E63" t="str">
            <v>△</v>
          </cell>
          <cell r="F63">
            <v>0</v>
          </cell>
          <cell r="G63" t="str">
            <v>应付分保账款</v>
          </cell>
          <cell r="H63">
            <v>0</v>
          </cell>
          <cell r="I63">
            <v>2261</v>
          </cell>
          <cell r="J63" t="str">
            <v>J</v>
          </cell>
          <cell r="M63" t="str">
            <v>无形资产减值准备</v>
          </cell>
          <cell r="S63" t="str">
            <v>1400g</v>
          </cell>
          <cell r="T63" t="str">
            <v>周转房</v>
          </cell>
          <cell r="U63" t="str">
            <v>项目名称</v>
          </cell>
          <cell r="V63">
            <v>1</v>
          </cell>
          <cell r="W63">
            <v>1400</v>
          </cell>
          <cell r="X63">
            <v>2</v>
          </cell>
        </row>
        <row r="64">
          <cell r="B64">
            <v>2310</v>
          </cell>
          <cell r="C64" t="str">
            <v>保险合同准备金</v>
          </cell>
          <cell r="D64">
            <v>-1</v>
          </cell>
          <cell r="E64" t="str">
            <v>△</v>
          </cell>
          <cell r="F64">
            <v>0</v>
          </cell>
          <cell r="G64" t="str">
            <v>保险合同准备金</v>
          </cell>
          <cell r="H64">
            <v>0</v>
          </cell>
          <cell r="I64">
            <v>2310</v>
          </cell>
          <cell r="J64" t="str">
            <v>J</v>
          </cell>
          <cell r="M64" t="str">
            <v>商誉</v>
          </cell>
          <cell r="S64" t="str">
            <v>1400h</v>
          </cell>
          <cell r="T64" t="str">
            <v>建造合同形成的已完工未结算资产</v>
          </cell>
          <cell r="U64" t="str">
            <v>项       目</v>
          </cell>
          <cell r="V64">
            <v>1</v>
          </cell>
          <cell r="W64">
            <v>1400</v>
          </cell>
          <cell r="X64">
            <v>2</v>
          </cell>
        </row>
        <row r="65">
          <cell r="B65">
            <v>2311</v>
          </cell>
          <cell r="C65" t="str">
            <v>代理买卖证券款</v>
          </cell>
          <cell r="D65">
            <v>-1</v>
          </cell>
          <cell r="E65" t="str">
            <v>△</v>
          </cell>
          <cell r="F65">
            <v>0</v>
          </cell>
          <cell r="G65" t="str">
            <v>代理买卖证券款</v>
          </cell>
          <cell r="H65">
            <v>0</v>
          </cell>
          <cell r="I65">
            <v>2311</v>
          </cell>
          <cell r="J65" t="str">
            <v>J</v>
          </cell>
          <cell r="M65" t="str">
            <v>商誉减值准备</v>
          </cell>
          <cell r="S65" t="str">
            <v>1400s</v>
          </cell>
          <cell r="T65" t="str">
            <v>期末用于债务担保的存货</v>
          </cell>
          <cell r="U65" t="str">
            <v>项       目</v>
          </cell>
          <cell r="V65">
            <v>1</v>
          </cell>
          <cell r="W65">
            <v>1400</v>
          </cell>
          <cell r="X65">
            <v>2</v>
          </cell>
        </row>
        <row r="66">
          <cell r="B66">
            <v>2312</v>
          </cell>
          <cell r="C66" t="str">
            <v>代理承销证券款</v>
          </cell>
          <cell r="D66">
            <v>-1</v>
          </cell>
          <cell r="E66" t="str">
            <v>△</v>
          </cell>
          <cell r="F66">
            <v>0</v>
          </cell>
          <cell r="G66" t="str">
            <v>代理承销证券款</v>
          </cell>
          <cell r="H66">
            <v>0</v>
          </cell>
          <cell r="I66">
            <v>2312</v>
          </cell>
          <cell r="J66" t="str">
            <v>J</v>
          </cell>
          <cell r="M66" t="str">
            <v>长期待摊费用</v>
          </cell>
          <cell r="S66" t="str">
            <v>1400x</v>
          </cell>
          <cell r="T66" t="str">
            <v>存货补充资料</v>
          </cell>
          <cell r="U66" t="str">
            <v>项       目</v>
          </cell>
          <cell r="V66">
            <v>1</v>
          </cell>
          <cell r="W66">
            <v>1400</v>
          </cell>
          <cell r="X66">
            <v>2</v>
          </cell>
        </row>
        <row r="67">
          <cell r="B67">
            <v>2315</v>
          </cell>
          <cell r="C67" t="str">
            <v>持有待售负债</v>
          </cell>
          <cell r="D67">
            <v>-1</v>
          </cell>
          <cell r="E67" t="str">
            <v>Ｘ</v>
          </cell>
          <cell r="F67">
            <v>4550</v>
          </cell>
          <cell r="G67" t="str">
            <v>持有待售负债</v>
          </cell>
          <cell r="H67">
            <v>0</v>
          </cell>
          <cell r="I67">
            <v>2315</v>
          </cell>
          <cell r="J67" t="str">
            <v>J</v>
          </cell>
          <cell r="M67" t="str">
            <v>递延所得税资产</v>
          </cell>
          <cell r="S67" t="str">
            <v>1315e</v>
          </cell>
          <cell r="T67" t="str">
            <v>持有待售资产明细</v>
          </cell>
          <cell r="U67" t="str">
            <v>项       目</v>
          </cell>
          <cell r="V67">
            <v>1</v>
          </cell>
          <cell r="W67">
            <v>1315</v>
          </cell>
          <cell r="X67">
            <v>1</v>
          </cell>
        </row>
        <row r="68">
          <cell r="B68">
            <v>2395</v>
          </cell>
          <cell r="C68" t="str">
            <v>一年内到期的非流动负债</v>
          </cell>
          <cell r="D68">
            <v>-1</v>
          </cell>
          <cell r="E68">
            <v>0</v>
          </cell>
          <cell r="F68">
            <v>4280</v>
          </cell>
          <cell r="G68" t="str">
            <v>一年内到期的非流动负债</v>
          </cell>
          <cell r="H68">
            <v>0</v>
          </cell>
          <cell r="I68">
            <v>2395</v>
          </cell>
          <cell r="J68" t="str">
            <v>J</v>
          </cell>
          <cell r="M68" t="str">
            <v>其他非流动资产</v>
          </cell>
          <cell r="S68" t="str">
            <v>1315a</v>
          </cell>
          <cell r="T68" t="str">
            <v>持有待售资产</v>
          </cell>
          <cell r="U68" t="str">
            <v>项       目</v>
          </cell>
          <cell r="V68">
            <v>1</v>
          </cell>
          <cell r="W68">
            <v>1315</v>
          </cell>
          <cell r="X68">
            <v>2</v>
          </cell>
        </row>
        <row r="69">
          <cell r="B69">
            <v>2396</v>
          </cell>
          <cell r="C69" t="str">
            <v>其他流动负债</v>
          </cell>
          <cell r="D69">
            <v>-1</v>
          </cell>
          <cell r="E69">
            <v>0</v>
          </cell>
          <cell r="F69">
            <v>4290</v>
          </cell>
          <cell r="G69" t="str">
            <v>其他流动负债</v>
          </cell>
          <cell r="H69">
            <v>0</v>
          </cell>
          <cell r="I69">
            <v>2396</v>
          </cell>
          <cell r="J69" t="str">
            <v>J</v>
          </cell>
          <cell r="M69" t="str">
            <v>公益性生物资产</v>
          </cell>
          <cell r="S69" t="str">
            <v>2315a</v>
          </cell>
          <cell r="T69" t="str">
            <v>持有待售负债</v>
          </cell>
          <cell r="U69" t="str">
            <v>项       目</v>
          </cell>
          <cell r="V69">
            <v>1</v>
          </cell>
          <cell r="W69">
            <v>2315</v>
          </cell>
          <cell r="X69">
            <v>1</v>
          </cell>
        </row>
        <row r="70">
          <cell r="B70">
            <v>2498</v>
          </cell>
          <cell r="C70" t="str">
            <v>流动负债</v>
          </cell>
          <cell r="D70">
            <v>0</v>
          </cell>
          <cell r="E70" t="str">
            <v>＝</v>
          </cell>
          <cell r="F70">
            <v>0</v>
          </cell>
          <cell r="G70" t="str">
            <v>流动负债合计</v>
          </cell>
          <cell r="H70">
            <v>0</v>
          </cell>
          <cell r="I70">
            <v>2498</v>
          </cell>
          <cell r="J70">
            <v>0</v>
          </cell>
          <cell r="M70" t="str">
            <v>短期借款</v>
          </cell>
          <cell r="S70" t="str">
            <v>1315f</v>
          </cell>
          <cell r="T70" t="str">
            <v>持有待售资产减值准备</v>
          </cell>
          <cell r="U70" t="str">
            <v>项       目</v>
          </cell>
          <cell r="V70">
            <v>1</v>
          </cell>
          <cell r="W70">
            <v>1315</v>
          </cell>
          <cell r="X70">
            <v>2</v>
          </cell>
        </row>
        <row r="71">
          <cell r="B71">
            <v>2500</v>
          </cell>
          <cell r="C71" t="str">
            <v>非流动负债项目</v>
          </cell>
          <cell r="D71">
            <v>0</v>
          </cell>
          <cell r="E71" t="str">
            <v>：</v>
          </cell>
          <cell r="F71">
            <v>0</v>
          </cell>
          <cell r="G71" t="str">
            <v>非流动负债：</v>
          </cell>
          <cell r="H71">
            <v>0</v>
          </cell>
          <cell r="I71">
            <v>2500</v>
          </cell>
          <cell r="J71">
            <v>0</v>
          </cell>
          <cell r="M71" t="str">
            <v>以公允价值计量且其变动计入当期损益的金融负债</v>
          </cell>
          <cell r="S71" t="str">
            <v>1315b</v>
          </cell>
          <cell r="T71" t="str">
            <v>持有待售的非流动资产</v>
          </cell>
          <cell r="U71" t="str">
            <v>项       目</v>
          </cell>
          <cell r="V71">
            <v>1</v>
          </cell>
          <cell r="W71">
            <v>1315</v>
          </cell>
          <cell r="X71">
            <v>2</v>
          </cell>
        </row>
        <row r="72">
          <cell r="B72">
            <v>2501</v>
          </cell>
          <cell r="C72" t="str">
            <v>长期借款</v>
          </cell>
          <cell r="D72">
            <v>-1</v>
          </cell>
          <cell r="E72">
            <v>0</v>
          </cell>
          <cell r="F72">
            <v>4120</v>
          </cell>
          <cell r="G72" t="str">
            <v>长期借款</v>
          </cell>
          <cell r="H72">
            <v>0</v>
          </cell>
          <cell r="I72">
            <v>2501</v>
          </cell>
          <cell r="J72" t="str">
            <v>J</v>
          </cell>
          <cell r="M72" t="str">
            <v>衍生金融负债</v>
          </cell>
          <cell r="S72" t="str">
            <v>1315c</v>
          </cell>
          <cell r="T72" t="str">
            <v>持有待售的处置组（一）</v>
          </cell>
          <cell r="U72" t="str">
            <v>项       目</v>
          </cell>
          <cell r="V72">
            <v>1</v>
          </cell>
          <cell r="W72">
            <v>1315</v>
          </cell>
          <cell r="X72">
            <v>2</v>
          </cell>
        </row>
        <row r="73">
          <cell r="B73">
            <v>2502</v>
          </cell>
          <cell r="C73" t="str">
            <v>应付债券</v>
          </cell>
          <cell r="D73">
            <v>-1</v>
          </cell>
          <cell r="E73">
            <v>0</v>
          </cell>
          <cell r="F73">
            <v>4130</v>
          </cell>
          <cell r="G73" t="str">
            <v>应付债券</v>
          </cell>
          <cell r="H73">
            <v>0</v>
          </cell>
          <cell r="I73">
            <v>2502</v>
          </cell>
          <cell r="J73" t="str">
            <v>J</v>
          </cell>
          <cell r="M73" t="str">
            <v>应付票据</v>
          </cell>
          <cell r="S73" t="str">
            <v>1315d</v>
          </cell>
          <cell r="T73" t="str">
            <v>持有待售的处置组（二）</v>
          </cell>
          <cell r="U73" t="str">
            <v>项       目</v>
          </cell>
          <cell r="V73">
            <v>1</v>
          </cell>
          <cell r="W73">
            <v>1315</v>
          </cell>
          <cell r="X73">
            <v>2</v>
          </cell>
        </row>
        <row r="74">
          <cell r="B74">
            <v>2502.11</v>
          </cell>
          <cell r="C74" t="str">
            <v>应付债券_优先股</v>
          </cell>
          <cell r="D74">
            <v>-1</v>
          </cell>
          <cell r="E74" t="str">
            <v>OEI</v>
          </cell>
          <cell r="F74">
            <v>0</v>
          </cell>
          <cell r="G74" t="str">
            <v>其中：优先股</v>
          </cell>
          <cell r="H74">
            <v>0</v>
          </cell>
          <cell r="I74">
            <v>2502.11</v>
          </cell>
          <cell r="J74" t="str">
            <v>J</v>
          </cell>
          <cell r="M74" t="str">
            <v>应付账款</v>
          </cell>
          <cell r="S74" t="str">
            <v>1495a</v>
          </cell>
          <cell r="T74" t="str">
            <v>一年内到期的非流动资产</v>
          </cell>
          <cell r="U74" t="str">
            <v>项       目</v>
          </cell>
          <cell r="V74">
            <v>1</v>
          </cell>
          <cell r="W74">
            <v>1495</v>
          </cell>
          <cell r="X74">
            <v>1</v>
          </cell>
        </row>
        <row r="75">
          <cell r="B75">
            <v>2502.31</v>
          </cell>
          <cell r="C75" t="str">
            <v>应付债券_永续债</v>
          </cell>
          <cell r="D75">
            <v>-1</v>
          </cell>
          <cell r="E75" t="str">
            <v>OEI</v>
          </cell>
          <cell r="F75">
            <v>0</v>
          </cell>
          <cell r="G75" t="str">
            <v xml:space="preserve">      永续债</v>
          </cell>
          <cell r="H75">
            <v>0</v>
          </cell>
          <cell r="I75">
            <v>2502.31</v>
          </cell>
          <cell r="J75" t="str">
            <v>J</v>
          </cell>
          <cell r="M75" t="str">
            <v>应付票据及应付账款</v>
          </cell>
          <cell r="S75" t="str">
            <v>1496a</v>
          </cell>
          <cell r="T75" t="str">
            <v>其他流动资产明细列示</v>
          </cell>
          <cell r="U75" t="str">
            <v>项       目</v>
          </cell>
          <cell r="V75">
            <v>1</v>
          </cell>
          <cell r="W75">
            <v>1496</v>
          </cell>
          <cell r="X75">
            <v>1</v>
          </cell>
        </row>
        <row r="76">
          <cell r="B76">
            <v>2701</v>
          </cell>
          <cell r="C76" t="str">
            <v>长期应付款</v>
          </cell>
          <cell r="D76">
            <v>-1</v>
          </cell>
          <cell r="E76">
            <v>0</v>
          </cell>
          <cell r="F76">
            <v>4510</v>
          </cell>
          <cell r="G76" t="str">
            <v>其中：长期应付款</v>
          </cell>
          <cell r="H76">
            <v>0</v>
          </cell>
          <cell r="I76">
            <v>2701</v>
          </cell>
          <cell r="J76" t="str">
            <v>J</v>
          </cell>
          <cell r="M76" t="str">
            <v>预收款项</v>
          </cell>
          <cell r="S76" t="str">
            <v>1503a</v>
          </cell>
          <cell r="T76" t="str">
            <v>可供出售金融资产情况</v>
          </cell>
          <cell r="U76" t="str">
            <v>项       目</v>
          </cell>
          <cell r="V76">
            <v>1</v>
          </cell>
          <cell r="W76">
            <v>1503</v>
          </cell>
          <cell r="X76">
            <v>1</v>
          </cell>
        </row>
        <row r="77">
          <cell r="B77">
            <v>2715</v>
          </cell>
          <cell r="C77" t="str">
            <v>长期应付职工薪酬</v>
          </cell>
          <cell r="D77">
            <v>-1</v>
          </cell>
          <cell r="E77">
            <v>0</v>
          </cell>
          <cell r="F77">
            <v>4320</v>
          </cell>
          <cell r="G77" t="str">
            <v>长期应付职工薪酬</v>
          </cell>
          <cell r="H77">
            <v>0</v>
          </cell>
          <cell r="I77">
            <v>2715</v>
          </cell>
          <cell r="J77" t="str">
            <v>J</v>
          </cell>
          <cell r="M77" t="str">
            <v>应付职工薪酬</v>
          </cell>
          <cell r="S77" t="str">
            <v>1503e</v>
          </cell>
          <cell r="T77" t="str">
            <v>按公允价值计量的可供出售金融资产</v>
          </cell>
          <cell r="U77" t="str">
            <v>可供出售金融资产分类</v>
          </cell>
          <cell r="V77">
            <v>1</v>
          </cell>
          <cell r="W77">
            <v>1503</v>
          </cell>
          <cell r="X77">
            <v>2</v>
          </cell>
        </row>
        <row r="78">
          <cell r="B78">
            <v>2711</v>
          </cell>
          <cell r="C78" t="str">
            <v>专项应付款</v>
          </cell>
          <cell r="D78">
            <v>-1</v>
          </cell>
          <cell r="E78">
            <v>0</v>
          </cell>
          <cell r="F78">
            <v>4520</v>
          </cell>
          <cell r="G78" t="str">
            <v>其中：专项应付款</v>
          </cell>
          <cell r="H78">
            <v>0</v>
          </cell>
          <cell r="I78">
            <v>2711</v>
          </cell>
          <cell r="J78" t="str">
            <v>J</v>
          </cell>
          <cell r="M78" t="str">
            <v>应交税费</v>
          </cell>
          <cell r="S78" t="str">
            <v>1503f</v>
          </cell>
          <cell r="T78" t="str">
            <v>采用成本计量的可供出售权益工具</v>
          </cell>
          <cell r="U78" t="str">
            <v>被投资单位</v>
          </cell>
          <cell r="V78">
            <v>1</v>
          </cell>
          <cell r="W78">
            <v>1503</v>
          </cell>
          <cell r="X78">
            <v>2</v>
          </cell>
        </row>
        <row r="79">
          <cell r="B79">
            <v>2801</v>
          </cell>
          <cell r="C79" t="str">
            <v>预计负债</v>
          </cell>
          <cell r="D79">
            <v>-1</v>
          </cell>
          <cell r="E79">
            <v>0</v>
          </cell>
          <cell r="F79">
            <v>4530</v>
          </cell>
          <cell r="G79" t="str">
            <v>预计负债</v>
          </cell>
          <cell r="H79">
            <v>0</v>
          </cell>
          <cell r="I79">
            <v>2801</v>
          </cell>
          <cell r="J79" t="str">
            <v>J</v>
          </cell>
          <cell r="M79" t="str">
            <v>应付利息</v>
          </cell>
          <cell r="S79" t="str">
            <v>1503d</v>
          </cell>
          <cell r="T79" t="str">
            <v>报告期内可供出售金融资产减值的变动情况</v>
          </cell>
          <cell r="U79" t="str">
            <v>可供出售金融资产分类</v>
          </cell>
          <cell r="V79">
            <v>1</v>
          </cell>
          <cell r="W79">
            <v>1503</v>
          </cell>
          <cell r="X79">
            <v>2</v>
          </cell>
        </row>
        <row r="80">
          <cell r="B80">
            <v>2401</v>
          </cell>
          <cell r="C80" t="str">
            <v>递延收益</v>
          </cell>
          <cell r="D80">
            <v>-1</v>
          </cell>
          <cell r="E80">
            <v>0</v>
          </cell>
          <cell r="F80">
            <v>4540</v>
          </cell>
          <cell r="G80" t="str">
            <v>递延收益</v>
          </cell>
          <cell r="H80">
            <v>0</v>
          </cell>
          <cell r="I80">
            <v>2401</v>
          </cell>
          <cell r="J80" t="str">
            <v>J</v>
          </cell>
          <cell r="M80" t="str">
            <v>应付股利</v>
          </cell>
          <cell r="S80" t="str">
            <v>1503g</v>
          </cell>
          <cell r="T80" t="str">
            <v>可供出售权益工具期末公允价值大幅下跌或持续下跌但未计提减值准备的相关说明</v>
          </cell>
          <cell r="U80" t="str">
            <v>可供出售权益工具项目</v>
          </cell>
          <cell r="V80">
            <v>1</v>
          </cell>
          <cell r="W80">
            <v>1503</v>
          </cell>
          <cell r="X80">
            <v>2</v>
          </cell>
        </row>
        <row r="81">
          <cell r="B81">
            <v>2901</v>
          </cell>
          <cell r="C81" t="str">
            <v>递延所得税负债</v>
          </cell>
          <cell r="D81">
            <v>-1</v>
          </cell>
          <cell r="E81">
            <v>0</v>
          </cell>
          <cell r="F81">
            <v>4420</v>
          </cell>
          <cell r="G81" t="str">
            <v>递延所得税负债</v>
          </cell>
          <cell r="H81">
            <v>0</v>
          </cell>
          <cell r="I81">
            <v>2901</v>
          </cell>
          <cell r="J81" t="str">
            <v>J</v>
          </cell>
          <cell r="M81" t="str">
            <v>其他应付款</v>
          </cell>
          <cell r="S81" t="str">
            <v>1501a</v>
          </cell>
          <cell r="T81" t="str">
            <v>持有至到期投资分项列示</v>
          </cell>
          <cell r="U81" t="str">
            <v>项       目</v>
          </cell>
          <cell r="V81">
            <v>1</v>
          </cell>
          <cell r="W81">
            <v>1501</v>
          </cell>
          <cell r="X81">
            <v>1</v>
          </cell>
        </row>
        <row r="82">
          <cell r="B82">
            <v>2996</v>
          </cell>
          <cell r="C82" t="str">
            <v>其他非流动负债</v>
          </cell>
          <cell r="D82">
            <v>-1</v>
          </cell>
          <cell r="E82">
            <v>0</v>
          </cell>
          <cell r="F82">
            <v>4590</v>
          </cell>
          <cell r="G82" t="str">
            <v>其他非流动负债</v>
          </cell>
          <cell r="H82">
            <v>0</v>
          </cell>
          <cell r="I82">
            <v>2996</v>
          </cell>
          <cell r="J82" t="str">
            <v>J</v>
          </cell>
          <cell r="M82" t="str">
            <v>持有待售负债</v>
          </cell>
          <cell r="S82" t="str">
            <v>1501d</v>
          </cell>
          <cell r="T82" t="str">
            <v>重要的持有至到期投资</v>
          </cell>
          <cell r="U82" t="str">
            <v>债券项目</v>
          </cell>
          <cell r="V82">
            <v>1</v>
          </cell>
          <cell r="W82">
            <v>1501</v>
          </cell>
          <cell r="X82">
            <v>2</v>
          </cell>
        </row>
        <row r="83">
          <cell r="B83">
            <v>2998</v>
          </cell>
          <cell r="C83" t="str">
            <v>非流动负债</v>
          </cell>
          <cell r="D83">
            <v>0</v>
          </cell>
          <cell r="E83" t="str">
            <v>＝</v>
          </cell>
          <cell r="F83">
            <v>0</v>
          </cell>
          <cell r="G83" t="str">
            <v>非流动负债合计</v>
          </cell>
          <cell r="H83">
            <v>0</v>
          </cell>
          <cell r="I83">
            <v>2998</v>
          </cell>
          <cell r="J83">
            <v>0</v>
          </cell>
          <cell r="M83" t="str">
            <v>一年内到期的非流动负债</v>
          </cell>
          <cell r="S83" t="str">
            <v>1501e</v>
          </cell>
          <cell r="T83" t="str">
            <v>持有至到期投资重分类情况</v>
          </cell>
          <cell r="U83" t="str">
            <v>项       目</v>
          </cell>
          <cell r="V83">
            <v>1</v>
          </cell>
          <cell r="W83">
            <v>1501</v>
          </cell>
          <cell r="X83">
            <v>2</v>
          </cell>
        </row>
        <row r="84">
          <cell r="B84">
            <v>2999</v>
          </cell>
          <cell r="C84" t="str">
            <v>负债</v>
          </cell>
          <cell r="D84">
            <v>0</v>
          </cell>
          <cell r="E84" t="str">
            <v>＝</v>
          </cell>
          <cell r="F84">
            <v>0</v>
          </cell>
          <cell r="G84" t="str">
            <v>负债合计</v>
          </cell>
          <cell r="H84">
            <v>0</v>
          </cell>
          <cell r="I84">
            <v>2999</v>
          </cell>
          <cell r="J84">
            <v>0</v>
          </cell>
          <cell r="M84" t="str">
            <v>其他流动负债</v>
          </cell>
          <cell r="S84" t="str">
            <v>1531a</v>
          </cell>
          <cell r="T84" t="str">
            <v>长期应收款按性质披露</v>
          </cell>
          <cell r="U84" t="str">
            <v>项       目</v>
          </cell>
          <cell r="V84">
            <v>1</v>
          </cell>
          <cell r="W84">
            <v>1531</v>
          </cell>
          <cell r="X84">
            <v>1</v>
          </cell>
        </row>
        <row r="85">
          <cell r="B85">
            <v>4000</v>
          </cell>
          <cell r="C85" t="str">
            <v>所有者权益项目</v>
          </cell>
          <cell r="D85">
            <v>0</v>
          </cell>
          <cell r="E85" t="str">
            <v>：</v>
          </cell>
          <cell r="F85">
            <v>0</v>
          </cell>
          <cell r="G85" t="str">
            <v>股东（或所有者）权益：</v>
          </cell>
          <cell r="H85" t="str">
            <v>所有者权益(或股东权益)：</v>
          </cell>
          <cell r="I85">
            <v>4000</v>
          </cell>
          <cell r="J85">
            <v>0</v>
          </cell>
          <cell r="M85" t="str">
            <v>递延收益</v>
          </cell>
          <cell r="S85" t="str">
            <v>1531b</v>
          </cell>
          <cell r="T85" t="str">
            <v>长期应收款逾期情况</v>
          </cell>
          <cell r="U85" t="str">
            <v>逾  期</v>
          </cell>
          <cell r="V85">
            <v>1</v>
          </cell>
          <cell r="W85">
            <v>1531</v>
          </cell>
          <cell r="X85">
            <v>2</v>
          </cell>
        </row>
        <row r="86">
          <cell r="B86">
            <v>4001</v>
          </cell>
          <cell r="C86" t="str">
            <v>实收资本</v>
          </cell>
          <cell r="D86">
            <v>-1</v>
          </cell>
          <cell r="E86">
            <v>0</v>
          </cell>
          <cell r="F86">
            <v>5110</v>
          </cell>
          <cell r="G86" t="str">
            <v>股本</v>
          </cell>
          <cell r="H86" t="str">
            <v>实收资本（或股本）</v>
          </cell>
          <cell r="I86">
            <v>4001</v>
          </cell>
          <cell r="J86" t="str">
            <v>J</v>
          </cell>
          <cell r="M86" t="str">
            <v>长期借款</v>
          </cell>
          <cell r="S86" t="str">
            <v>1531c</v>
          </cell>
          <cell r="T86" t="str">
            <v>终止确认的长期应收款情况</v>
          </cell>
          <cell r="U86" t="str">
            <v>项       目</v>
          </cell>
          <cell r="V86">
            <v>1</v>
          </cell>
          <cell r="W86">
            <v>1531</v>
          </cell>
          <cell r="X86">
            <v>2</v>
          </cell>
        </row>
        <row r="87">
          <cell r="B87">
            <v>4015</v>
          </cell>
          <cell r="C87" t="str">
            <v>其他权益工具</v>
          </cell>
          <cell r="D87">
            <v>-1</v>
          </cell>
          <cell r="E87" t="str">
            <v>OEI</v>
          </cell>
          <cell r="F87">
            <v>5120</v>
          </cell>
          <cell r="G87" t="str">
            <v>其他权益工具</v>
          </cell>
          <cell r="H87" t="str">
            <v>其他权益工具</v>
          </cell>
          <cell r="I87">
            <v>4015</v>
          </cell>
          <cell r="J87" t="str">
            <v>J</v>
          </cell>
          <cell r="M87" t="str">
            <v>应付债券</v>
          </cell>
          <cell r="S87" t="str">
            <v>1531d</v>
          </cell>
          <cell r="T87" t="str">
            <v>转移长期应收款且继续涉入形成的资产</v>
          </cell>
          <cell r="U87" t="str">
            <v>项       目</v>
          </cell>
          <cell r="V87">
            <v>1</v>
          </cell>
          <cell r="W87">
            <v>1531</v>
          </cell>
          <cell r="X87">
            <v>2</v>
          </cell>
        </row>
        <row r="88">
          <cell r="B88">
            <v>4015.11</v>
          </cell>
          <cell r="C88" t="str">
            <v>其他权益工具_优先股</v>
          </cell>
          <cell r="D88">
            <v>-1</v>
          </cell>
          <cell r="E88" t="str">
            <v>OEI</v>
          </cell>
          <cell r="F88">
            <v>0</v>
          </cell>
          <cell r="G88" t="str">
            <v>其中：优先股</v>
          </cell>
          <cell r="H88" t="str">
            <v>其中：优先股</v>
          </cell>
          <cell r="I88">
            <v>4015.11</v>
          </cell>
          <cell r="J88" t="str">
            <v>J</v>
          </cell>
          <cell r="M88" t="str">
            <v>应付债券_优先股</v>
          </cell>
          <cell r="S88" t="str">
            <v>1531e</v>
          </cell>
          <cell r="T88" t="str">
            <v>转移长期应收款且继续涉入形成的负债</v>
          </cell>
          <cell r="U88" t="str">
            <v>项       目</v>
          </cell>
          <cell r="V88">
            <v>1</v>
          </cell>
          <cell r="W88">
            <v>1531</v>
          </cell>
          <cell r="X88">
            <v>2</v>
          </cell>
        </row>
        <row r="89">
          <cell r="B89">
            <v>4015.31</v>
          </cell>
          <cell r="C89" t="str">
            <v>其他权益工具_永续债</v>
          </cell>
          <cell r="D89">
            <v>-1</v>
          </cell>
          <cell r="E89" t="str">
            <v>OEI</v>
          </cell>
          <cell r="F89">
            <v>0</v>
          </cell>
          <cell r="G89" t="str">
            <v xml:space="preserve">      永续债</v>
          </cell>
          <cell r="H89" t="str">
            <v xml:space="preserve">      永续债</v>
          </cell>
          <cell r="I89">
            <v>4015.31</v>
          </cell>
          <cell r="J89" t="str">
            <v>J</v>
          </cell>
          <cell r="M89" t="str">
            <v>应付债券_永续债</v>
          </cell>
          <cell r="S89" t="str">
            <v>1531f</v>
          </cell>
          <cell r="T89" t="str">
            <v>外币长期应收款</v>
          </cell>
          <cell r="U89" t="str">
            <v>币       种</v>
          </cell>
          <cell r="V89">
            <v>1</v>
          </cell>
          <cell r="W89">
            <v>1531</v>
          </cell>
          <cell r="X89">
            <v>2</v>
          </cell>
        </row>
        <row r="90">
          <cell r="B90">
            <v>4015.91</v>
          </cell>
          <cell r="C90" t="str">
            <v>其他权益工具_其他</v>
          </cell>
          <cell r="D90">
            <v>-1</v>
          </cell>
          <cell r="E90" t="str">
            <v>OEI</v>
          </cell>
          <cell r="F90">
            <v>0</v>
          </cell>
          <cell r="G90" t="str">
            <v xml:space="preserve">      其他</v>
          </cell>
          <cell r="H90" t="str">
            <v xml:space="preserve">      其他</v>
          </cell>
          <cell r="I90">
            <v>4015.91</v>
          </cell>
          <cell r="J90" t="str">
            <v>J</v>
          </cell>
          <cell r="M90" t="str">
            <v>长期应付款</v>
          </cell>
          <cell r="S90" t="str">
            <v>1515a</v>
          </cell>
          <cell r="T90" t="str">
            <v>设定受益计划净资产</v>
          </cell>
          <cell r="U90" t="str">
            <v>项       目</v>
          </cell>
          <cell r="V90">
            <v>1</v>
          </cell>
          <cell r="W90">
            <v>1515</v>
          </cell>
          <cell r="X90">
            <v>1</v>
          </cell>
        </row>
        <row r="91">
          <cell r="B91">
            <v>4002</v>
          </cell>
          <cell r="C91" t="str">
            <v>资本公积</v>
          </cell>
          <cell r="D91">
            <v>-1</v>
          </cell>
          <cell r="E91">
            <v>0</v>
          </cell>
          <cell r="F91">
            <v>5210</v>
          </cell>
          <cell r="G91" t="str">
            <v>资本公积</v>
          </cell>
          <cell r="H91" t="str">
            <v>资本公积</v>
          </cell>
          <cell r="I91">
            <v>4002</v>
          </cell>
          <cell r="J91" t="str">
            <v>J</v>
          </cell>
          <cell r="M91" t="str">
            <v>专项应付款</v>
          </cell>
          <cell r="S91" t="str">
            <v>1515b</v>
          </cell>
          <cell r="T91" t="str">
            <v>设定受益计划义务现值变动情况</v>
          </cell>
          <cell r="U91" t="str">
            <v>项       目</v>
          </cell>
          <cell r="V91">
            <v>1</v>
          </cell>
          <cell r="W91">
            <v>1515</v>
          </cell>
          <cell r="X91">
            <v>2</v>
          </cell>
        </row>
        <row r="92">
          <cell r="B92">
            <v>4201</v>
          </cell>
          <cell r="C92" t="str">
            <v>库存股</v>
          </cell>
          <cell r="D92">
            <v>1</v>
          </cell>
          <cell r="E92">
            <v>0</v>
          </cell>
          <cell r="F92">
            <v>5310</v>
          </cell>
          <cell r="G92" t="str">
            <v>减：库存股</v>
          </cell>
          <cell r="H92" t="str">
            <v>减：库存股</v>
          </cell>
          <cell r="I92">
            <v>4201</v>
          </cell>
          <cell r="J92" t="str">
            <v>J</v>
          </cell>
          <cell r="M92" t="str">
            <v>长期应付职工薪酬</v>
          </cell>
          <cell r="S92" t="str">
            <v>1515c</v>
          </cell>
          <cell r="T92" t="str">
            <v>设定受益计划资产变动情况</v>
          </cell>
          <cell r="U92" t="str">
            <v>项       目</v>
          </cell>
          <cell r="V92">
            <v>1</v>
          </cell>
          <cell r="W92">
            <v>1515</v>
          </cell>
          <cell r="X92">
            <v>2</v>
          </cell>
        </row>
        <row r="93">
          <cell r="B93">
            <v>4215</v>
          </cell>
          <cell r="C93" t="str">
            <v>其他综合收益</v>
          </cell>
          <cell r="D93">
            <v>-1</v>
          </cell>
          <cell r="E93">
            <v>0</v>
          </cell>
          <cell r="F93">
            <v>6710</v>
          </cell>
          <cell r="G93" t="str">
            <v>其他综合收益</v>
          </cell>
          <cell r="H93" t="str">
            <v>其他综合收益</v>
          </cell>
          <cell r="I93">
            <v>4215</v>
          </cell>
          <cell r="J93" t="str">
            <v>J</v>
          </cell>
          <cell r="M93" t="str">
            <v>预计负债</v>
          </cell>
          <cell r="S93" t="str">
            <v>1515d</v>
          </cell>
          <cell r="T93" t="str">
            <v>设定受益计划净资产变动情况</v>
          </cell>
          <cell r="U93" t="str">
            <v>项       目</v>
          </cell>
          <cell r="V93">
            <v>1</v>
          </cell>
          <cell r="W93">
            <v>1515</v>
          </cell>
          <cell r="X93">
            <v>2</v>
          </cell>
        </row>
        <row r="94">
          <cell r="B94">
            <v>4301</v>
          </cell>
          <cell r="C94" t="str">
            <v>专项储备</v>
          </cell>
          <cell r="D94">
            <v>-1</v>
          </cell>
          <cell r="E94">
            <v>0</v>
          </cell>
          <cell r="F94">
            <v>5510</v>
          </cell>
          <cell r="G94" t="str">
            <v>专项储备</v>
          </cell>
          <cell r="H94" t="str">
            <v>专项储备</v>
          </cell>
          <cell r="I94">
            <v>4301</v>
          </cell>
          <cell r="J94" t="str">
            <v>J</v>
          </cell>
          <cell r="M94" t="str">
            <v>递延所得税负债</v>
          </cell>
          <cell r="S94" t="str">
            <v>1515e</v>
          </cell>
          <cell r="T94" t="str">
            <v>未折现的离职后福利预计到期分析</v>
          </cell>
          <cell r="U94" t="str">
            <v>项       目</v>
          </cell>
          <cell r="V94">
            <v>1</v>
          </cell>
          <cell r="W94">
            <v>1515</v>
          </cell>
          <cell r="X94">
            <v>2</v>
          </cell>
        </row>
        <row r="95">
          <cell r="B95">
            <v>4101</v>
          </cell>
          <cell r="C95" t="str">
            <v>盈余公积</v>
          </cell>
          <cell r="D95">
            <v>-1</v>
          </cell>
          <cell r="E95">
            <v>0</v>
          </cell>
          <cell r="F95">
            <v>5410</v>
          </cell>
          <cell r="G95" t="str">
            <v>盈余公积</v>
          </cell>
          <cell r="H95" t="str">
            <v>盈余公积</v>
          </cell>
          <cell r="I95">
            <v>4101</v>
          </cell>
          <cell r="J95" t="str">
            <v>J</v>
          </cell>
          <cell r="M95" t="str">
            <v>其他非流动负债</v>
          </cell>
          <cell r="S95" t="str">
            <v>1515f</v>
          </cell>
          <cell r="T95" t="str">
            <v>设定受益计划资产明细</v>
          </cell>
          <cell r="U95" t="str">
            <v>项       目</v>
          </cell>
          <cell r="V95">
            <v>1</v>
          </cell>
          <cell r="W95">
            <v>1515</v>
          </cell>
          <cell r="X95">
            <v>2</v>
          </cell>
        </row>
        <row r="96">
          <cell r="B96">
            <v>4102</v>
          </cell>
          <cell r="C96" t="str">
            <v>一般风险准备</v>
          </cell>
          <cell r="D96">
            <v>-1</v>
          </cell>
          <cell r="E96">
            <v>0</v>
          </cell>
          <cell r="F96">
            <v>0</v>
          </cell>
          <cell r="G96" t="str">
            <v>一般风险准备</v>
          </cell>
          <cell r="H96" t="str">
            <v>一般风险准备</v>
          </cell>
          <cell r="I96">
            <v>4102</v>
          </cell>
          <cell r="J96" t="str">
            <v>J</v>
          </cell>
          <cell r="M96" t="str">
            <v>营业收入</v>
          </cell>
          <cell r="S96" t="str">
            <v>1515g</v>
          </cell>
          <cell r="T96" t="str">
            <v>设定受益计划精算假设</v>
          </cell>
          <cell r="U96" t="str">
            <v>项       目</v>
          </cell>
          <cell r="V96">
            <v>1</v>
          </cell>
          <cell r="W96">
            <v>1515</v>
          </cell>
          <cell r="X96">
            <v>2</v>
          </cell>
        </row>
        <row r="97">
          <cell r="B97">
            <v>4200</v>
          </cell>
          <cell r="C97" t="str">
            <v>未分配利润</v>
          </cell>
          <cell r="D97">
            <v>-1</v>
          </cell>
          <cell r="E97">
            <v>0</v>
          </cell>
          <cell r="F97">
            <v>5610</v>
          </cell>
          <cell r="G97" t="str">
            <v>未分配利润</v>
          </cell>
          <cell r="H97" t="str">
            <v>未分配利润</v>
          </cell>
          <cell r="I97">
            <v>4200</v>
          </cell>
          <cell r="J97" t="str">
            <v>J</v>
          </cell>
          <cell r="M97" t="str">
            <v>公允价值变动收益</v>
          </cell>
          <cell r="S97" t="str">
            <v>1515h</v>
          </cell>
          <cell r="T97" t="str">
            <v>设定受益计划敏感性分析</v>
          </cell>
          <cell r="U97" t="str">
            <v>项       目</v>
          </cell>
          <cell r="V97">
            <v>1</v>
          </cell>
          <cell r="W97">
            <v>1515</v>
          </cell>
          <cell r="X97">
            <v>2</v>
          </cell>
        </row>
        <row r="98">
          <cell r="B98">
            <v>4210</v>
          </cell>
          <cell r="C98" t="str">
            <v>外币报表折算差额</v>
          </cell>
          <cell r="D98">
            <v>-1</v>
          </cell>
          <cell r="E98" t="str">
            <v>※</v>
          </cell>
          <cell r="F98">
            <v>0</v>
          </cell>
          <cell r="G98" t="str">
            <v>外币报表折算差额</v>
          </cell>
          <cell r="H98" t="str">
            <v>外币报表折算差额</v>
          </cell>
          <cell r="I98">
            <v>4210</v>
          </cell>
          <cell r="J98">
            <v>0</v>
          </cell>
          <cell r="M98" t="str">
            <v>投资收益</v>
          </cell>
          <cell r="S98" t="str">
            <v>1511b</v>
          </cell>
          <cell r="T98" t="str">
            <v>长期股权投资本期增减变动</v>
          </cell>
          <cell r="U98" t="str">
            <v>被投资单位</v>
          </cell>
          <cell r="V98">
            <v>1</v>
          </cell>
          <cell r="W98">
            <v>1511</v>
          </cell>
          <cell r="X98">
            <v>1</v>
          </cell>
        </row>
        <row r="99">
          <cell r="B99">
            <v>4298</v>
          </cell>
          <cell r="C99" t="str">
            <v>归属于母公司所有者权益</v>
          </cell>
          <cell r="D99">
            <v>0</v>
          </cell>
          <cell r="E99" t="str">
            <v>※</v>
          </cell>
          <cell r="F99">
            <v>0</v>
          </cell>
          <cell r="G99" t="str">
            <v>归属于母公司股东权益合计</v>
          </cell>
          <cell r="H99" t="str">
            <v>归属于母公司所有者权益合计</v>
          </cell>
          <cell r="I99">
            <v>4298</v>
          </cell>
          <cell r="J99">
            <v>0</v>
          </cell>
          <cell r="M99" t="str">
            <v>对联营企业和合营企业的投资收益</v>
          </cell>
          <cell r="S99" t="str">
            <v>1511a</v>
          </cell>
          <cell r="T99" t="str">
            <v>长期股权投资分项列示</v>
          </cell>
          <cell r="U99" t="str">
            <v>被投资单位</v>
          </cell>
          <cell r="V99">
            <v>1</v>
          </cell>
          <cell r="W99">
            <v>1511</v>
          </cell>
          <cell r="X99">
            <v>2</v>
          </cell>
        </row>
        <row r="100">
          <cell r="B100">
            <v>4398</v>
          </cell>
          <cell r="C100" t="str">
            <v>少数股东权益</v>
          </cell>
          <cell r="D100">
            <v>-1</v>
          </cell>
          <cell r="E100" t="str">
            <v>※</v>
          </cell>
          <cell r="F100">
            <v>0</v>
          </cell>
          <cell r="G100" t="str">
            <v>少数股东权益</v>
          </cell>
          <cell r="H100" t="str">
            <v>少数股东权益</v>
          </cell>
          <cell r="I100">
            <v>4398</v>
          </cell>
          <cell r="J100" t="str">
            <v>J</v>
          </cell>
          <cell r="M100" t="str">
            <v>资产处置收益</v>
          </cell>
          <cell r="S100" t="str">
            <v>1521d</v>
          </cell>
          <cell r="T100" t="str">
            <v>按成本计量的投资性房地产账面原值</v>
          </cell>
          <cell r="U100" t="str">
            <v>项       目</v>
          </cell>
          <cell r="V100">
            <v>1</v>
          </cell>
          <cell r="W100">
            <v>1521</v>
          </cell>
          <cell r="X100">
            <v>2</v>
          </cell>
        </row>
        <row r="101">
          <cell r="B101">
            <v>4999</v>
          </cell>
          <cell r="C101" t="str">
            <v>所有者权益</v>
          </cell>
          <cell r="D101">
            <v>0</v>
          </cell>
          <cell r="E101" t="str">
            <v>＝</v>
          </cell>
          <cell r="F101">
            <v>0</v>
          </cell>
          <cell r="G101" t="str">
            <v>股东（或所有者）权益合计</v>
          </cell>
          <cell r="H101" t="str">
            <v>所有者权益（或股东权益）合计</v>
          </cell>
          <cell r="I101">
            <v>4999</v>
          </cell>
          <cell r="J101">
            <v>0</v>
          </cell>
          <cell r="M101" t="str">
            <v>其他收益</v>
          </cell>
          <cell r="S101" t="str">
            <v>1521e</v>
          </cell>
          <cell r="T101" t="str">
            <v>按成本计量的投资性房地产累计折旧和累计摊销</v>
          </cell>
          <cell r="U101" t="str">
            <v>项       目</v>
          </cell>
          <cell r="V101">
            <v>1</v>
          </cell>
          <cell r="W101">
            <v>1521</v>
          </cell>
          <cell r="X101">
            <v>2</v>
          </cell>
        </row>
        <row r="102">
          <cell r="B102">
            <v>5000</v>
          </cell>
          <cell r="C102" t="str">
            <v>负债和所有者权益</v>
          </cell>
          <cell r="D102">
            <v>0</v>
          </cell>
          <cell r="E102" t="str">
            <v>＝</v>
          </cell>
          <cell r="F102">
            <v>0</v>
          </cell>
          <cell r="G102" t="str">
            <v>负债和股东（或所有者）权益总计</v>
          </cell>
          <cell r="H102" t="str">
            <v>负债和所有者权益（或股东权益）总计</v>
          </cell>
          <cell r="I102">
            <v>5000</v>
          </cell>
          <cell r="J102">
            <v>0</v>
          </cell>
          <cell r="M102" t="str">
            <v>营业成本</v>
          </cell>
          <cell r="S102" t="str">
            <v>1521f</v>
          </cell>
          <cell r="T102" t="str">
            <v>按成本计量的投资性房地产减值准备</v>
          </cell>
          <cell r="U102" t="str">
            <v>项       目</v>
          </cell>
          <cell r="V102">
            <v>1</v>
          </cell>
          <cell r="W102">
            <v>1521</v>
          </cell>
          <cell r="X102">
            <v>2</v>
          </cell>
        </row>
        <row r="103">
          <cell r="B103">
            <v>6</v>
          </cell>
          <cell r="C103" t="str">
            <v>利润表</v>
          </cell>
          <cell r="D103">
            <v>0</v>
          </cell>
          <cell r="E103" t="str">
            <v>：</v>
          </cell>
          <cell r="F103">
            <v>0</v>
          </cell>
          <cell r="G103" t="str">
            <v>利润表</v>
          </cell>
          <cell r="H103">
            <v>0</v>
          </cell>
          <cell r="I103">
            <v>6</v>
          </cell>
          <cell r="J103">
            <v>0</v>
          </cell>
          <cell r="M103" t="str">
            <v>税金及附加</v>
          </cell>
          <cell r="S103" t="str">
            <v>1521g</v>
          </cell>
          <cell r="T103" t="str">
            <v>按成本计量的投资性房地产账面价值</v>
          </cell>
          <cell r="U103" t="str">
            <v>项       目</v>
          </cell>
          <cell r="V103">
            <v>1</v>
          </cell>
          <cell r="W103">
            <v>1521</v>
          </cell>
          <cell r="X103">
            <v>1</v>
          </cell>
        </row>
        <row r="104">
          <cell r="B104">
            <v>6098</v>
          </cell>
          <cell r="C104" t="str">
            <v>营业总收入</v>
          </cell>
          <cell r="D104">
            <v>0</v>
          </cell>
          <cell r="E104" t="str">
            <v>※</v>
          </cell>
          <cell r="F104">
            <v>0</v>
          </cell>
          <cell r="G104" t="str">
            <v>一、营业总收入</v>
          </cell>
          <cell r="H104" t="str">
            <v>一、营业总收入</v>
          </cell>
          <cell r="I104">
            <v>6098</v>
          </cell>
          <cell r="J104">
            <v>0</v>
          </cell>
          <cell r="M104" t="str">
            <v>销售费用</v>
          </cell>
          <cell r="S104" t="str">
            <v>1521b</v>
          </cell>
          <cell r="T104" t="str">
            <v>按公允价值计量的投资性房地产</v>
          </cell>
          <cell r="U104" t="str">
            <v>项       目</v>
          </cell>
          <cell r="V104">
            <v>1</v>
          </cell>
          <cell r="W104">
            <v>1521</v>
          </cell>
          <cell r="X104">
            <v>2</v>
          </cell>
        </row>
        <row r="105">
          <cell r="B105">
            <v>6001</v>
          </cell>
          <cell r="C105" t="str">
            <v>营业收入</v>
          </cell>
          <cell r="D105">
            <v>-1</v>
          </cell>
          <cell r="E105">
            <v>0</v>
          </cell>
          <cell r="F105">
            <v>6100</v>
          </cell>
          <cell r="G105" t="str">
            <v>一、营业收入</v>
          </cell>
          <cell r="H105" t="str">
            <v>其中：营业收入</v>
          </cell>
          <cell r="I105">
            <v>6001</v>
          </cell>
          <cell r="J105" t="str">
            <v>J</v>
          </cell>
          <cell r="M105" t="str">
            <v>管理费用</v>
          </cell>
          <cell r="S105" t="str">
            <v>1521c</v>
          </cell>
          <cell r="T105" t="str">
            <v>未办妥产权证书的情况</v>
          </cell>
          <cell r="U105" t="str">
            <v>项       目</v>
          </cell>
          <cell r="V105">
            <v>1</v>
          </cell>
          <cell r="W105">
            <v>1521</v>
          </cell>
          <cell r="X105">
            <v>2</v>
          </cell>
        </row>
        <row r="106">
          <cell r="B106">
            <v>6011</v>
          </cell>
          <cell r="C106" t="str">
            <v>利息收入</v>
          </cell>
          <cell r="D106">
            <v>-1</v>
          </cell>
          <cell r="E106" t="str">
            <v>△</v>
          </cell>
          <cell r="F106">
            <v>0</v>
          </cell>
          <cell r="G106" t="str">
            <v>利息收入</v>
          </cell>
          <cell r="H106" t="str">
            <v>利息收入</v>
          </cell>
          <cell r="I106">
            <v>6011</v>
          </cell>
          <cell r="J106" t="str">
            <v>J</v>
          </cell>
          <cell r="M106" t="str">
            <v>财务费用</v>
          </cell>
          <cell r="S106" t="str">
            <v>1521s</v>
          </cell>
          <cell r="T106" t="str">
            <v>投资性房地产抵押情况</v>
          </cell>
          <cell r="U106" t="str">
            <v>抵押资产明细项目</v>
          </cell>
          <cell r="V106">
            <v>1</v>
          </cell>
          <cell r="W106">
            <v>1521</v>
          </cell>
          <cell r="X106">
            <v>2</v>
          </cell>
        </row>
        <row r="107">
          <cell r="B107">
            <v>6030</v>
          </cell>
          <cell r="C107" t="str">
            <v>已赚保费</v>
          </cell>
          <cell r="D107">
            <v>-1</v>
          </cell>
          <cell r="E107" t="str">
            <v>△</v>
          </cell>
          <cell r="F107">
            <v>0</v>
          </cell>
          <cell r="G107" t="str">
            <v>已赚保费</v>
          </cell>
          <cell r="H107" t="str">
            <v>已赚保费</v>
          </cell>
          <cell r="I107">
            <v>6030</v>
          </cell>
          <cell r="J107" t="str">
            <v>J</v>
          </cell>
          <cell r="M107" t="str">
            <v>财务费用_利息费用</v>
          </cell>
          <cell r="S107" t="str">
            <v>1521a</v>
          </cell>
          <cell r="T107" t="str">
            <v>采用成本计量模式的投资性房地产增减变动</v>
          </cell>
          <cell r="U107" t="str">
            <v>项       目</v>
          </cell>
          <cell r="V107">
            <v>1</v>
          </cell>
          <cell r="W107">
            <v>1521</v>
          </cell>
          <cell r="X107">
            <v>2</v>
          </cell>
        </row>
        <row r="108">
          <cell r="B108">
            <v>6021</v>
          </cell>
          <cell r="C108" t="str">
            <v>手续费及佣金收入</v>
          </cell>
          <cell r="D108">
            <v>-1</v>
          </cell>
          <cell r="E108" t="str">
            <v>△</v>
          </cell>
          <cell r="F108">
            <v>0</v>
          </cell>
          <cell r="G108" t="str">
            <v>手续费及佣金收入</v>
          </cell>
          <cell r="H108" t="str">
            <v>手续费及佣金收入</v>
          </cell>
          <cell r="I108">
            <v>6021</v>
          </cell>
          <cell r="J108" t="str">
            <v>J</v>
          </cell>
          <cell r="M108" t="str">
            <v>财务费用_利息收入</v>
          </cell>
          <cell r="S108" t="str">
            <v>1611a</v>
          </cell>
          <cell r="T108" t="str">
            <v>固定资产分类列示</v>
          </cell>
          <cell r="U108" t="str">
            <v>项       目</v>
          </cell>
          <cell r="V108">
            <v>1</v>
          </cell>
          <cell r="W108">
            <v>1611</v>
          </cell>
          <cell r="X108">
            <v>1</v>
          </cell>
        </row>
        <row r="109">
          <cell r="B109">
            <v>6598</v>
          </cell>
          <cell r="C109" t="str">
            <v>营业总成本</v>
          </cell>
          <cell r="D109">
            <v>0</v>
          </cell>
          <cell r="E109" t="str">
            <v>※</v>
          </cell>
          <cell r="F109">
            <v>0</v>
          </cell>
          <cell r="G109" t="str">
            <v>二、营业总成本</v>
          </cell>
          <cell r="H109" t="str">
            <v>二、营业总成本</v>
          </cell>
          <cell r="I109">
            <v>6598</v>
          </cell>
          <cell r="J109">
            <v>0</v>
          </cell>
          <cell r="M109" t="str">
            <v>研发费用</v>
          </cell>
          <cell r="S109" t="str">
            <v>1601g</v>
          </cell>
          <cell r="T109" t="str">
            <v>固定资产原值</v>
          </cell>
          <cell r="U109" t="str">
            <v>项       目</v>
          </cell>
          <cell r="V109">
            <v>1</v>
          </cell>
          <cell r="W109">
            <v>1601</v>
          </cell>
          <cell r="X109">
            <v>2</v>
          </cell>
        </row>
        <row r="110">
          <cell r="B110">
            <v>6401</v>
          </cell>
          <cell r="C110" t="str">
            <v>营业成本</v>
          </cell>
          <cell r="D110">
            <v>1</v>
          </cell>
          <cell r="E110">
            <v>0</v>
          </cell>
          <cell r="F110">
            <v>6200</v>
          </cell>
          <cell r="G110" t="str">
            <v>减：营业成本</v>
          </cell>
          <cell r="H110" t="str">
            <v>其中：营业成本</v>
          </cell>
          <cell r="I110">
            <v>6401</v>
          </cell>
          <cell r="J110" t="str">
            <v>J</v>
          </cell>
          <cell r="M110" t="str">
            <v>资产减值损失</v>
          </cell>
          <cell r="S110" t="str">
            <v>1601h</v>
          </cell>
          <cell r="T110" t="str">
            <v>固定资产累计折旧</v>
          </cell>
          <cell r="U110" t="str">
            <v>项       目</v>
          </cell>
          <cell r="V110">
            <v>1</v>
          </cell>
          <cell r="W110">
            <v>1601</v>
          </cell>
          <cell r="X110">
            <v>2</v>
          </cell>
        </row>
        <row r="111">
          <cell r="B111">
            <v>6411</v>
          </cell>
          <cell r="C111" t="str">
            <v>利息支出</v>
          </cell>
          <cell r="D111">
            <v>1</v>
          </cell>
          <cell r="E111" t="str">
            <v>△</v>
          </cell>
          <cell r="F111">
            <v>0</v>
          </cell>
          <cell r="G111" t="str">
            <v>利息支出</v>
          </cell>
          <cell r="H111" t="str">
            <v>利息支出</v>
          </cell>
          <cell r="I111">
            <v>6411</v>
          </cell>
          <cell r="J111" t="str">
            <v>J</v>
          </cell>
          <cell r="M111" t="str">
            <v>营业外收入</v>
          </cell>
          <cell r="S111" t="str">
            <v>1601i</v>
          </cell>
          <cell r="T111" t="str">
            <v>固定资产减值准备</v>
          </cell>
          <cell r="U111" t="str">
            <v>项       目</v>
          </cell>
          <cell r="V111">
            <v>1</v>
          </cell>
          <cell r="W111">
            <v>1601</v>
          </cell>
          <cell r="X111">
            <v>2</v>
          </cell>
        </row>
        <row r="112">
          <cell r="B112">
            <v>6421</v>
          </cell>
          <cell r="C112" t="str">
            <v>手续费及佣金支出</v>
          </cell>
          <cell r="D112">
            <v>1</v>
          </cell>
          <cell r="E112" t="str">
            <v>△</v>
          </cell>
          <cell r="F112">
            <v>0</v>
          </cell>
          <cell r="G112" t="str">
            <v>手续费及佣金支出</v>
          </cell>
          <cell r="H112" t="str">
            <v>手续费及佣金支出</v>
          </cell>
          <cell r="I112">
            <v>6421</v>
          </cell>
          <cell r="J112" t="str">
            <v>J</v>
          </cell>
          <cell r="M112" t="str">
            <v>营业外支出</v>
          </cell>
          <cell r="S112" t="str">
            <v>1601j</v>
          </cell>
          <cell r="T112" t="str">
            <v>固定资产账面价值</v>
          </cell>
          <cell r="U112" t="str">
            <v>项       目</v>
          </cell>
          <cell r="V112">
            <v>1</v>
          </cell>
          <cell r="W112">
            <v>1601</v>
          </cell>
          <cell r="X112">
            <v>1</v>
          </cell>
        </row>
        <row r="113">
          <cell r="B113">
            <v>6531</v>
          </cell>
          <cell r="C113" t="str">
            <v>退保金</v>
          </cell>
          <cell r="D113">
            <v>1</v>
          </cell>
          <cell r="E113" t="str">
            <v>△</v>
          </cell>
          <cell r="F113">
            <v>0</v>
          </cell>
          <cell r="G113" t="str">
            <v>退保金</v>
          </cell>
          <cell r="H113" t="str">
            <v>退保金</v>
          </cell>
          <cell r="I113">
            <v>6531</v>
          </cell>
          <cell r="J113" t="str">
            <v>J</v>
          </cell>
          <cell r="M113" t="str">
            <v>所得税费用</v>
          </cell>
          <cell r="S113" t="str">
            <v>1601b</v>
          </cell>
          <cell r="T113" t="str">
            <v>暂时闲置的固定资产情况</v>
          </cell>
          <cell r="U113" t="str">
            <v>类       别</v>
          </cell>
          <cell r="V113">
            <v>1</v>
          </cell>
          <cell r="W113">
            <v>1601</v>
          </cell>
          <cell r="X113">
            <v>2</v>
          </cell>
        </row>
        <row r="114">
          <cell r="B114">
            <v>6510</v>
          </cell>
          <cell r="C114" t="str">
            <v>赔付支出净额</v>
          </cell>
          <cell r="D114">
            <v>1</v>
          </cell>
          <cell r="E114" t="str">
            <v>△</v>
          </cell>
          <cell r="F114">
            <v>0</v>
          </cell>
          <cell r="G114" t="str">
            <v>赔付支出净额</v>
          </cell>
          <cell r="H114" t="str">
            <v>赔付支出净额</v>
          </cell>
          <cell r="I114">
            <v>6510</v>
          </cell>
          <cell r="J114" t="str">
            <v>J</v>
          </cell>
          <cell r="M114" t="str">
            <v>少数股东损益</v>
          </cell>
          <cell r="S114" t="str">
            <v>1601c</v>
          </cell>
          <cell r="T114" t="str">
            <v>通过融资租赁租入的固定资产情况</v>
          </cell>
          <cell r="U114" t="str">
            <v>资产类别</v>
          </cell>
          <cell r="V114">
            <v>1</v>
          </cell>
          <cell r="W114">
            <v>1601</v>
          </cell>
          <cell r="X114">
            <v>2</v>
          </cell>
        </row>
        <row r="115">
          <cell r="B115">
            <v>6505</v>
          </cell>
          <cell r="C115" t="str">
            <v>提取保险合同准备金净额</v>
          </cell>
          <cell r="D115">
            <v>1</v>
          </cell>
          <cell r="E115" t="str">
            <v>△</v>
          </cell>
          <cell r="F115">
            <v>0</v>
          </cell>
          <cell r="G115" t="str">
            <v>提取保险合同准备金净额</v>
          </cell>
          <cell r="H115" t="str">
            <v>提取保险合同准备金净额</v>
          </cell>
          <cell r="I115">
            <v>6505</v>
          </cell>
          <cell r="J115" t="str">
            <v>J</v>
          </cell>
          <cell r="M115" t="str">
            <v>重新计量设定受益计划变动额</v>
          </cell>
          <cell r="S115" t="str">
            <v>1601d</v>
          </cell>
          <cell r="T115" t="str">
            <v>通过经营租赁租出的固定资产</v>
          </cell>
          <cell r="U115" t="str">
            <v>资产类别</v>
          </cell>
          <cell r="V115">
            <v>1</v>
          </cell>
          <cell r="W115">
            <v>1601</v>
          </cell>
          <cell r="X115">
            <v>2</v>
          </cell>
        </row>
        <row r="116">
          <cell r="B116">
            <v>6521</v>
          </cell>
          <cell r="C116" t="str">
            <v>保单红利支出</v>
          </cell>
          <cell r="D116">
            <v>1</v>
          </cell>
          <cell r="E116" t="str">
            <v>△</v>
          </cell>
          <cell r="F116">
            <v>0</v>
          </cell>
          <cell r="G116" t="str">
            <v>保单红利支出</v>
          </cell>
          <cell r="H116" t="str">
            <v>保单红利支出</v>
          </cell>
          <cell r="I116">
            <v>6521</v>
          </cell>
          <cell r="J116" t="str">
            <v>J</v>
          </cell>
          <cell r="M116" t="str">
            <v>权益法下不能转损益的其他综合收益</v>
          </cell>
          <cell r="S116" t="str">
            <v>1601f</v>
          </cell>
          <cell r="T116" t="str">
            <v>未办妥产权证书的固定资产情况</v>
          </cell>
          <cell r="U116" t="str">
            <v>项       目</v>
          </cell>
          <cell r="V116">
            <v>1</v>
          </cell>
          <cell r="W116">
            <v>1601</v>
          </cell>
          <cell r="X116">
            <v>2</v>
          </cell>
        </row>
        <row r="117">
          <cell r="B117">
            <v>6542</v>
          </cell>
          <cell r="C117" t="str">
            <v>分保费用</v>
          </cell>
          <cell r="D117">
            <v>1</v>
          </cell>
          <cell r="E117" t="str">
            <v>△</v>
          </cell>
          <cell r="F117">
            <v>0</v>
          </cell>
          <cell r="G117" t="str">
            <v>分保费用</v>
          </cell>
          <cell r="H117" t="str">
            <v>分保费用</v>
          </cell>
          <cell r="I117">
            <v>6542</v>
          </cell>
          <cell r="J117" t="str">
            <v>J</v>
          </cell>
          <cell r="M117" t="str">
            <v>其他以后不能重分类进损益的其他综合收益</v>
          </cell>
          <cell r="S117" t="str">
            <v>1601s</v>
          </cell>
          <cell r="T117" t="str">
            <v>固定资产抵押情况</v>
          </cell>
          <cell r="U117" t="str">
            <v>抵押资产明细项目</v>
          </cell>
          <cell r="V117">
            <v>1</v>
          </cell>
          <cell r="W117">
            <v>1601</v>
          </cell>
          <cell r="X117">
            <v>2</v>
          </cell>
        </row>
        <row r="118">
          <cell r="B118">
            <v>6600</v>
          </cell>
          <cell r="C118" t="str">
            <v>税金及附加</v>
          </cell>
          <cell r="D118">
            <v>1</v>
          </cell>
          <cell r="E118">
            <v>0</v>
          </cell>
          <cell r="F118">
            <v>6610</v>
          </cell>
          <cell r="G118" t="str">
            <v>税金及附加</v>
          </cell>
          <cell r="H118" t="str">
            <v>税金及附加</v>
          </cell>
          <cell r="I118">
            <v>6600</v>
          </cell>
          <cell r="J118" t="str">
            <v>J</v>
          </cell>
          <cell r="M118" t="str">
            <v>权益法下可转损益的其他综合收益</v>
          </cell>
          <cell r="S118" t="str">
            <v>1601t</v>
          </cell>
          <cell r="T118" t="str">
            <v>本期冲减固定资产账面价值的政府补助</v>
          </cell>
          <cell r="U118" t="str">
            <v>项       目</v>
          </cell>
          <cell r="V118">
            <v>1</v>
          </cell>
          <cell r="W118">
            <v>1601</v>
          </cell>
          <cell r="X118">
            <v>2</v>
          </cell>
        </row>
        <row r="119">
          <cell r="B119">
            <v>6601</v>
          </cell>
          <cell r="C119" t="str">
            <v>销售费用</v>
          </cell>
          <cell r="D119">
            <v>1</v>
          </cell>
          <cell r="E119">
            <v>0</v>
          </cell>
          <cell r="F119">
            <v>6310</v>
          </cell>
          <cell r="G119" t="str">
            <v>销售费用</v>
          </cell>
          <cell r="H119" t="str">
            <v>销售费用</v>
          </cell>
          <cell r="I119">
            <v>6601</v>
          </cell>
          <cell r="J119" t="str">
            <v>J</v>
          </cell>
          <cell r="M119" t="str">
            <v>可供出售金融资产公允价值变动损益</v>
          </cell>
          <cell r="S119" t="str">
            <v>1601a</v>
          </cell>
          <cell r="T119" t="str">
            <v>固定资产及其累计折旧明细项目和增减变动</v>
          </cell>
          <cell r="U119" t="str">
            <v>项       目</v>
          </cell>
          <cell r="V119">
            <v>1</v>
          </cell>
          <cell r="W119">
            <v>1601</v>
          </cell>
          <cell r="X119">
            <v>2</v>
          </cell>
        </row>
        <row r="120">
          <cell r="B120">
            <v>6602</v>
          </cell>
          <cell r="C120" t="str">
            <v>管理费用</v>
          </cell>
          <cell r="D120">
            <v>1</v>
          </cell>
          <cell r="E120">
            <v>0</v>
          </cell>
          <cell r="F120">
            <v>6320</v>
          </cell>
          <cell r="G120" t="str">
            <v>管理费用</v>
          </cell>
          <cell r="H120" t="str">
            <v>管理费用</v>
          </cell>
          <cell r="I120">
            <v>6602</v>
          </cell>
          <cell r="J120" t="str">
            <v>J</v>
          </cell>
          <cell r="M120" t="str">
            <v>持有至到期投资重分类为可供出售金融资产损益</v>
          </cell>
          <cell r="S120" t="str">
            <v>1601x</v>
          </cell>
          <cell r="T120" t="str">
            <v>固定资产累计折旧补充资料</v>
          </cell>
          <cell r="U120" t="str">
            <v>项       目</v>
          </cell>
          <cell r="V120">
            <v>1</v>
          </cell>
          <cell r="W120">
            <v>1601</v>
          </cell>
          <cell r="X120">
            <v>2</v>
          </cell>
        </row>
        <row r="121">
          <cell r="B121">
            <v>6603</v>
          </cell>
          <cell r="C121" t="str">
            <v>财务费用</v>
          </cell>
          <cell r="D121">
            <v>1</v>
          </cell>
          <cell r="E121">
            <v>0</v>
          </cell>
          <cell r="F121">
            <v>6330</v>
          </cell>
          <cell r="G121" t="str">
            <v>财务费用</v>
          </cell>
          <cell r="H121" t="str">
            <v>财务费用</v>
          </cell>
          <cell r="I121">
            <v>6603</v>
          </cell>
          <cell r="J121" t="str">
            <v>J</v>
          </cell>
          <cell r="M121" t="str">
            <v>现金流量套期损益的有效部分</v>
          </cell>
          <cell r="S121" t="str">
            <v>1616a</v>
          </cell>
          <cell r="T121" t="str">
            <v>在建工程分类列示</v>
          </cell>
          <cell r="U121" t="str">
            <v>项       目</v>
          </cell>
          <cell r="V121">
            <v>1</v>
          </cell>
          <cell r="W121">
            <v>1616</v>
          </cell>
          <cell r="X121">
            <v>1</v>
          </cell>
        </row>
        <row r="122">
          <cell r="B122">
            <v>6671</v>
          </cell>
          <cell r="C122" t="str">
            <v>资产减值损失</v>
          </cell>
          <cell r="D122">
            <v>1</v>
          </cell>
          <cell r="E122">
            <v>0</v>
          </cell>
          <cell r="F122">
            <v>6350</v>
          </cell>
          <cell r="G122" t="str">
            <v>资产减值损失</v>
          </cell>
          <cell r="H122" t="str">
            <v>资产减值损失</v>
          </cell>
          <cell r="I122">
            <v>6671</v>
          </cell>
          <cell r="J122" t="str">
            <v>J</v>
          </cell>
          <cell r="M122" t="str">
            <v>外币财务报表折算差额</v>
          </cell>
          <cell r="S122" t="str">
            <v>1604a</v>
          </cell>
          <cell r="T122" t="str">
            <v>在建工程明细</v>
          </cell>
          <cell r="U122" t="str">
            <v>项       目</v>
          </cell>
          <cell r="V122">
            <v>1</v>
          </cell>
          <cell r="W122">
            <v>1604</v>
          </cell>
          <cell r="X122">
            <v>1</v>
          </cell>
        </row>
        <row r="123">
          <cell r="B123">
            <v>6101</v>
          </cell>
          <cell r="C123" t="str">
            <v>公允价值变动收益</v>
          </cell>
          <cell r="D123">
            <v>-1</v>
          </cell>
          <cell r="E123">
            <v>0</v>
          </cell>
          <cell r="F123">
            <v>6410</v>
          </cell>
          <cell r="G123" t="str">
            <v>公允价值变动收益（损失以“-”号填列）</v>
          </cell>
          <cell r="H123" t="str">
            <v>公允价值变动收益（损失以“-”号填列）</v>
          </cell>
          <cell r="I123">
            <v>6101</v>
          </cell>
          <cell r="J123" t="str">
            <v>J</v>
          </cell>
          <cell r="M123" t="str">
            <v>自用房地产或作为存货的房地产转换为以公允价值计量的投资性房地产在转换日公允价值大于账面价值部分</v>
          </cell>
          <cell r="S123" t="str">
            <v>1604c</v>
          </cell>
          <cell r="T123" t="str">
            <v>重要在建工程项目变动情况（续）</v>
          </cell>
          <cell r="U123" t="str">
            <v>工程名称</v>
          </cell>
          <cell r="V123">
            <v>1</v>
          </cell>
          <cell r="W123">
            <v>1604</v>
          </cell>
          <cell r="X123">
            <v>2</v>
          </cell>
        </row>
        <row r="124">
          <cell r="B124">
            <v>6111</v>
          </cell>
          <cell r="C124" t="str">
            <v>投资收益</v>
          </cell>
          <cell r="D124">
            <v>-1</v>
          </cell>
          <cell r="E124">
            <v>0</v>
          </cell>
          <cell r="F124">
            <v>6420</v>
          </cell>
          <cell r="G124" t="str">
            <v>投资收益（损失以“-”号填列）</v>
          </cell>
          <cell r="H124" t="str">
            <v>投资收益（损失以“-”号填列）</v>
          </cell>
          <cell r="I124">
            <v>6111</v>
          </cell>
          <cell r="J124" t="str">
            <v>J</v>
          </cell>
          <cell r="M124" t="str">
            <v>多次交易分步处置子公司股权构成一揽子交易的丧失控制权之前各次交易处置价款与对应净资产账面价值份额的差额</v>
          </cell>
          <cell r="S124" t="str">
            <v>1604b</v>
          </cell>
          <cell r="T124" t="str">
            <v>重要在建工程项目变动情况</v>
          </cell>
          <cell r="U124" t="str">
            <v>工程名称</v>
          </cell>
          <cell r="V124">
            <v>1</v>
          </cell>
          <cell r="W124">
            <v>1604</v>
          </cell>
          <cell r="X124">
            <v>2</v>
          </cell>
        </row>
        <row r="125">
          <cell r="B125">
            <v>6111.01</v>
          </cell>
          <cell r="C125" t="str">
            <v>对联营企业和合营企业的投资收益</v>
          </cell>
          <cell r="D125">
            <v>-1</v>
          </cell>
          <cell r="E125">
            <v>0</v>
          </cell>
          <cell r="F125">
            <v>0</v>
          </cell>
          <cell r="G125" t="str">
            <v>其中：对联营企业和合营企业的投资收益</v>
          </cell>
          <cell r="H125" t="str">
            <v>其中：对联营企业和合营企业的投资收益</v>
          </cell>
          <cell r="I125">
            <v>6111.01</v>
          </cell>
          <cell r="J125" t="str">
            <v>J</v>
          </cell>
          <cell r="M125" t="str">
            <v>其他以后将重分类进损益的其他综合收益</v>
          </cell>
          <cell r="S125" t="str">
            <v>1604d</v>
          </cell>
          <cell r="T125" t="str">
            <v>在建工程减值准备</v>
          </cell>
          <cell r="U125" t="str">
            <v>项       目</v>
          </cell>
          <cell r="V125">
            <v>1</v>
          </cell>
          <cell r="W125">
            <v>1604</v>
          </cell>
          <cell r="X125">
            <v>2</v>
          </cell>
        </row>
        <row r="126">
          <cell r="B126">
            <v>6161</v>
          </cell>
          <cell r="C126" t="str">
            <v>汇兑收益</v>
          </cell>
          <cell r="D126">
            <v>-1</v>
          </cell>
          <cell r="E126" t="str">
            <v>△</v>
          </cell>
          <cell r="F126">
            <v>0</v>
          </cell>
          <cell r="G126" t="str">
            <v>汇兑收益（损失以“-”号填列）</v>
          </cell>
          <cell r="H126" t="str">
            <v>汇兑收益（损失以“-”号填列）</v>
          </cell>
          <cell r="I126">
            <v>6161</v>
          </cell>
          <cell r="J126" t="str">
            <v>J</v>
          </cell>
          <cell r="M126" t="str">
            <v>少数股东其他综合收益_重新计量设定受益计划变动额</v>
          </cell>
          <cell r="S126" t="str">
            <v>1605a</v>
          </cell>
          <cell r="T126" t="str">
            <v>工程物资明细项目</v>
          </cell>
          <cell r="U126" t="str">
            <v>项       目</v>
          </cell>
          <cell r="V126">
            <v>1</v>
          </cell>
          <cell r="W126">
            <v>1605</v>
          </cell>
          <cell r="X126">
            <v>1</v>
          </cell>
        </row>
        <row r="127">
          <cell r="B127">
            <v>6689</v>
          </cell>
          <cell r="C127" t="str">
            <v>营业利润</v>
          </cell>
          <cell r="D127">
            <v>0</v>
          </cell>
          <cell r="E127" t="str">
            <v>＝</v>
          </cell>
          <cell r="F127">
            <v>0</v>
          </cell>
          <cell r="G127" t="str">
            <v>二、营业利润（亏损以“-”号填列）</v>
          </cell>
          <cell r="H127" t="str">
            <v>三、营业利润（亏损以“-”号填列）</v>
          </cell>
          <cell r="I127">
            <v>6689</v>
          </cell>
          <cell r="J127">
            <v>0</v>
          </cell>
          <cell r="M127" t="str">
            <v>少数股东其他综合收益_权益法下不能转损益的其他综合收益</v>
          </cell>
          <cell r="S127" t="str">
            <v>1606a</v>
          </cell>
          <cell r="T127" t="str">
            <v>固定资产清理明细项目</v>
          </cell>
          <cell r="U127" t="str">
            <v>类       别</v>
          </cell>
          <cell r="V127">
            <v>1</v>
          </cell>
          <cell r="W127">
            <v>1606</v>
          </cell>
          <cell r="X127">
            <v>1</v>
          </cell>
        </row>
        <row r="128">
          <cell r="B128">
            <v>6710</v>
          </cell>
          <cell r="C128" t="str">
            <v>营业外收入</v>
          </cell>
          <cell r="D128">
            <v>-1</v>
          </cell>
          <cell r="E128">
            <v>0</v>
          </cell>
          <cell r="F128">
            <v>6510</v>
          </cell>
          <cell r="G128" t="str">
            <v>加：营业外收入</v>
          </cell>
          <cell r="H128" t="str">
            <v>加：营业外收入</v>
          </cell>
          <cell r="I128">
            <v>6710</v>
          </cell>
          <cell r="J128" t="str">
            <v>J</v>
          </cell>
          <cell r="M128" t="str">
            <v>少数股东其他综合收益_其他以后不能重分类进损益的其他综合收益</v>
          </cell>
          <cell r="S128" t="str">
            <v>1621c</v>
          </cell>
          <cell r="T128" t="str">
            <v>以成本计量的生产性生物资产账面原值</v>
          </cell>
          <cell r="U128" t="str">
            <v>项       目</v>
          </cell>
          <cell r="V128">
            <v>1</v>
          </cell>
          <cell r="W128">
            <v>1621</v>
          </cell>
          <cell r="X128">
            <v>2</v>
          </cell>
        </row>
        <row r="129">
          <cell r="B129">
            <v>6710.11</v>
          </cell>
          <cell r="C129" t="str">
            <v>营业外收入_非流动资产处置利得</v>
          </cell>
          <cell r="D129">
            <v>-1</v>
          </cell>
          <cell r="E129">
            <v>0</v>
          </cell>
          <cell r="F129">
            <v>0</v>
          </cell>
          <cell r="G129" t="str">
            <v>其中：非流动资产处置利得</v>
          </cell>
          <cell r="H129" t="str">
            <v>其中：非流动资产处置利得</v>
          </cell>
          <cell r="I129">
            <v>6710.11</v>
          </cell>
          <cell r="J129">
            <v>0</v>
          </cell>
          <cell r="M129" t="str">
            <v>少数股东其他综合收益_权益法下可转损益的其他综合收益</v>
          </cell>
          <cell r="S129" t="str">
            <v>1621d</v>
          </cell>
          <cell r="T129" t="str">
            <v>以成本计量的生产性生物资产累计折旧</v>
          </cell>
          <cell r="U129" t="str">
            <v>项       目</v>
          </cell>
          <cell r="V129">
            <v>1</v>
          </cell>
          <cell r="W129">
            <v>1621</v>
          </cell>
          <cell r="X129">
            <v>2</v>
          </cell>
        </row>
        <row r="130">
          <cell r="B130">
            <v>6711</v>
          </cell>
          <cell r="C130" t="str">
            <v>营业外支出</v>
          </cell>
          <cell r="D130">
            <v>1</v>
          </cell>
          <cell r="E130">
            <v>0</v>
          </cell>
          <cell r="F130">
            <v>6520</v>
          </cell>
          <cell r="G130" t="str">
            <v>减：营业外支出</v>
          </cell>
          <cell r="H130" t="str">
            <v>减：营业外支出</v>
          </cell>
          <cell r="I130">
            <v>6711</v>
          </cell>
          <cell r="J130" t="str">
            <v>J</v>
          </cell>
          <cell r="M130" t="str">
            <v>少数股东其他综合收益_可供出售金融资产公允价值变动损益</v>
          </cell>
          <cell r="S130" t="str">
            <v>1621e</v>
          </cell>
          <cell r="T130" t="str">
            <v>以成本计量的生产性生物资产减值准备</v>
          </cell>
          <cell r="U130" t="str">
            <v>项       目</v>
          </cell>
          <cell r="V130">
            <v>1</v>
          </cell>
          <cell r="W130">
            <v>1621</v>
          </cell>
          <cell r="X130">
            <v>2</v>
          </cell>
        </row>
        <row r="131">
          <cell r="B131">
            <v>6711.01</v>
          </cell>
          <cell r="C131" t="str">
            <v>非流动资产处置损失</v>
          </cell>
          <cell r="D131">
            <v>1</v>
          </cell>
          <cell r="E131">
            <v>0</v>
          </cell>
          <cell r="F131">
            <v>0</v>
          </cell>
          <cell r="G131" t="str">
            <v>其中：非流动资产处置损失</v>
          </cell>
          <cell r="H131" t="str">
            <v>其中：非流动资产处置损失</v>
          </cell>
          <cell r="I131">
            <v>6711.01</v>
          </cell>
          <cell r="J131">
            <v>0</v>
          </cell>
          <cell r="M131" t="str">
            <v>少数股东其他综合收益_持有至到期投资重分类为可供出售金融资产损益</v>
          </cell>
          <cell r="S131" t="str">
            <v>1621f</v>
          </cell>
          <cell r="T131" t="str">
            <v>以成本计量的生产性生物资产账面价值</v>
          </cell>
          <cell r="U131" t="str">
            <v>项       目</v>
          </cell>
          <cell r="V131">
            <v>1</v>
          </cell>
          <cell r="W131">
            <v>1621</v>
          </cell>
          <cell r="X131">
            <v>1</v>
          </cell>
        </row>
        <row r="132">
          <cell r="B132">
            <v>6788</v>
          </cell>
          <cell r="C132" t="str">
            <v>利润总额</v>
          </cell>
          <cell r="D132">
            <v>0</v>
          </cell>
          <cell r="E132" t="str">
            <v>＝</v>
          </cell>
          <cell r="F132">
            <v>0</v>
          </cell>
          <cell r="G132" t="str">
            <v>三、利润总额（亏损总额以“-”号填列）</v>
          </cell>
          <cell r="H132" t="str">
            <v>四、利润总额（亏损总额以“-”号填列）</v>
          </cell>
          <cell r="I132">
            <v>6788</v>
          </cell>
          <cell r="J132">
            <v>0</v>
          </cell>
          <cell r="M132" t="str">
            <v>少数股东其他综合收益_现金流量套期损益的有效部分</v>
          </cell>
          <cell r="S132" t="str">
            <v>1621b</v>
          </cell>
          <cell r="T132" t="str">
            <v>以公允价值计量的生产性生物资产明细列示</v>
          </cell>
          <cell r="U132" t="str">
            <v>项       目</v>
          </cell>
          <cell r="V132">
            <v>1</v>
          </cell>
          <cell r="W132">
            <v>1621</v>
          </cell>
          <cell r="X132">
            <v>2</v>
          </cell>
        </row>
        <row r="133">
          <cell r="B133">
            <v>6791</v>
          </cell>
          <cell r="C133" t="str">
            <v>所得税费用</v>
          </cell>
          <cell r="D133">
            <v>1</v>
          </cell>
          <cell r="E133">
            <v>0</v>
          </cell>
          <cell r="F133">
            <v>6620</v>
          </cell>
          <cell r="G133" t="str">
            <v>减：所得税费用</v>
          </cell>
          <cell r="H133" t="str">
            <v>减：所得税费用</v>
          </cell>
          <cell r="I133">
            <v>6791</v>
          </cell>
          <cell r="J133" t="str">
            <v>J</v>
          </cell>
          <cell r="M133" t="str">
            <v>少数股东其他综合收益_外币财务报表折算差额</v>
          </cell>
          <cell r="S133" t="str">
            <v>1621a</v>
          </cell>
          <cell r="T133" t="str">
            <v>以成本计量的生产性生物资产明细列示</v>
          </cell>
          <cell r="U133" t="str">
            <v>项       目</v>
          </cell>
          <cell r="V133">
            <v>1</v>
          </cell>
          <cell r="W133">
            <v>1621</v>
          </cell>
          <cell r="X133">
            <v>2</v>
          </cell>
        </row>
        <row r="134">
          <cell r="B134">
            <v>6799</v>
          </cell>
          <cell r="C134" t="str">
            <v>净利润</v>
          </cell>
          <cell r="D134">
            <v>0</v>
          </cell>
          <cell r="E134" t="str">
            <v>＝</v>
          </cell>
          <cell r="F134">
            <v>0</v>
          </cell>
          <cell r="G134" t="str">
            <v>四、净利润（净亏损以“-”号填列）</v>
          </cell>
          <cell r="H134" t="str">
            <v>五、净利润（净亏损以“-”号填列）</v>
          </cell>
          <cell r="I134">
            <v>6799</v>
          </cell>
          <cell r="J134">
            <v>0</v>
          </cell>
          <cell r="M134" t="str">
            <v>少数股东其他综合收益_自用房地产或作为存货的房地产转换为以公允价值计量的投资性房地产在转换日公允价值大于账面价值部分</v>
          </cell>
          <cell r="S134" t="str">
            <v>1631a</v>
          </cell>
          <cell r="T134" t="str">
            <v>油气资产明细项目</v>
          </cell>
          <cell r="U134" t="str">
            <v>项       目</v>
          </cell>
          <cell r="V134">
            <v>1</v>
          </cell>
          <cell r="W134">
            <v>1631</v>
          </cell>
          <cell r="X134">
            <v>1</v>
          </cell>
        </row>
        <row r="135">
          <cell r="B135">
            <v>6805</v>
          </cell>
          <cell r="C135" t="str">
            <v>同一控制下企业合并的被合并方在合并前实现的净利润</v>
          </cell>
          <cell r="D135">
            <v>1</v>
          </cell>
          <cell r="E135" t="str">
            <v>※</v>
          </cell>
          <cell r="F135">
            <v>0</v>
          </cell>
          <cell r="G135" t="str">
            <v>其中：同一控制下企业合并的被合并方在合并前实现的净利润</v>
          </cell>
          <cell r="H135" t="str">
            <v>其中：同一控制下企业合并的被合并方在合并前实现的净利润</v>
          </cell>
          <cell r="I135">
            <v>6805</v>
          </cell>
          <cell r="J135">
            <v>0</v>
          </cell>
          <cell r="M135" t="str">
            <v>少数股东其他综合收益_多次交易分步处置子公司股权构成一揽子交易的丧失控制权之前各次交易处置价款与对应净资产账面价值份额的差额</v>
          </cell>
          <cell r="S135" t="str">
            <v>1705b</v>
          </cell>
          <cell r="T135" t="str">
            <v>开发支出明细项目</v>
          </cell>
          <cell r="U135" t="str">
            <v>项       目</v>
          </cell>
          <cell r="V135">
            <v>-1</v>
          </cell>
          <cell r="W135">
            <v>1700</v>
          </cell>
          <cell r="X135">
            <v>1</v>
          </cell>
        </row>
        <row r="136">
          <cell r="B136">
            <v>6811</v>
          </cell>
          <cell r="C136" t="str">
            <v>归属于母公司所有者的净利润</v>
          </cell>
          <cell r="D136">
            <v>-1</v>
          </cell>
          <cell r="E136" t="str">
            <v>※</v>
          </cell>
          <cell r="F136">
            <v>0</v>
          </cell>
          <cell r="G136" t="str">
            <v>归属于母公司股东的净利润</v>
          </cell>
          <cell r="H136" t="str">
            <v>归属于母公司股东的净利润（净亏损以“-”号填列）</v>
          </cell>
          <cell r="I136">
            <v>6811</v>
          </cell>
          <cell r="J136">
            <v>0</v>
          </cell>
          <cell r="M136" t="str">
            <v>少数股东其他综合收益_其他以后将重分类进损益的其他综合收益</v>
          </cell>
          <cell r="S136" t="str">
            <v>1701a</v>
          </cell>
          <cell r="T136" t="str">
            <v>无形资产账面原值</v>
          </cell>
          <cell r="U136" t="str">
            <v>项       目</v>
          </cell>
          <cell r="V136">
            <v>1</v>
          </cell>
          <cell r="W136">
            <v>1701</v>
          </cell>
          <cell r="X136">
            <v>2</v>
          </cell>
        </row>
        <row r="137">
          <cell r="B137">
            <v>6812</v>
          </cell>
          <cell r="C137" t="str">
            <v>少数股东损益</v>
          </cell>
          <cell r="D137">
            <v>1</v>
          </cell>
          <cell r="E137" t="str">
            <v>※</v>
          </cell>
          <cell r="F137">
            <v>0</v>
          </cell>
          <cell r="G137" t="str">
            <v>少数股东损益</v>
          </cell>
          <cell r="H137" t="str">
            <v>其中：少数股东损益（净亏损以“-”号填列）</v>
          </cell>
          <cell r="I137">
            <v>6812</v>
          </cell>
          <cell r="J137" t="str">
            <v>J</v>
          </cell>
          <cell r="M137" t="str">
            <v>实收资本_上年年末余额</v>
          </cell>
          <cell r="S137" t="str">
            <v>1701b</v>
          </cell>
          <cell r="T137" t="str">
            <v>无形资产累计摊销</v>
          </cell>
          <cell r="U137" t="str">
            <v>项       目</v>
          </cell>
          <cell r="V137">
            <v>1</v>
          </cell>
          <cell r="W137">
            <v>1701</v>
          </cell>
          <cell r="X137">
            <v>2</v>
          </cell>
        </row>
        <row r="138">
          <cell r="B138">
            <v>6820</v>
          </cell>
          <cell r="C138" t="str">
            <v>每股收益</v>
          </cell>
          <cell r="D138">
            <v>0</v>
          </cell>
          <cell r="E138" t="str">
            <v>：</v>
          </cell>
          <cell r="F138">
            <v>0</v>
          </cell>
          <cell r="G138" t="str">
            <v>七、每股收益：</v>
          </cell>
          <cell r="H138" t="str">
            <v>八、每股收益：</v>
          </cell>
          <cell r="I138">
            <v>6820</v>
          </cell>
          <cell r="J138">
            <v>0</v>
          </cell>
          <cell r="M138" t="str">
            <v>实收资本_会计政策变更调整上年年末余额</v>
          </cell>
          <cell r="S138" t="str">
            <v>1701c</v>
          </cell>
          <cell r="T138" t="str">
            <v>无形资产减值准备</v>
          </cell>
          <cell r="U138" t="str">
            <v>项       目</v>
          </cell>
          <cell r="V138">
            <v>1</v>
          </cell>
          <cell r="W138">
            <v>1701</v>
          </cell>
          <cell r="X138">
            <v>2</v>
          </cell>
        </row>
        <row r="139">
          <cell r="B139">
            <v>6821</v>
          </cell>
          <cell r="C139" t="str">
            <v>基本每股收益</v>
          </cell>
          <cell r="D139">
            <v>0</v>
          </cell>
          <cell r="E139">
            <v>0</v>
          </cell>
          <cell r="F139">
            <v>0</v>
          </cell>
          <cell r="G139" t="str">
            <v>（一）基本每股收益</v>
          </cell>
          <cell r="H139" t="str">
            <v>基本每股收益</v>
          </cell>
          <cell r="I139">
            <v>6821</v>
          </cell>
          <cell r="J139">
            <v>0</v>
          </cell>
          <cell r="M139" t="str">
            <v>实收资本_前期差错更正调整上年年末余额</v>
          </cell>
          <cell r="S139" t="str">
            <v>1701d</v>
          </cell>
          <cell r="T139" t="str">
            <v>无形资产账面价值</v>
          </cell>
          <cell r="U139" t="str">
            <v>项       目</v>
          </cell>
          <cell r="V139">
            <v>1</v>
          </cell>
          <cell r="W139">
            <v>1701</v>
          </cell>
          <cell r="X139">
            <v>1</v>
          </cell>
        </row>
        <row r="140">
          <cell r="B140">
            <v>6822</v>
          </cell>
          <cell r="C140" t="str">
            <v>稀释每股收益</v>
          </cell>
          <cell r="D140">
            <v>0</v>
          </cell>
          <cell r="E140">
            <v>0</v>
          </cell>
          <cell r="F140">
            <v>0</v>
          </cell>
          <cell r="G140" t="str">
            <v>（二）稀释每股收益</v>
          </cell>
          <cell r="H140" t="str">
            <v>稀释每股收益</v>
          </cell>
          <cell r="I140">
            <v>6822</v>
          </cell>
          <cell r="J140">
            <v>0</v>
          </cell>
          <cell r="M140" t="str">
            <v>实收资本_同一控制下企业合并调整上年年末余额</v>
          </cell>
          <cell r="S140" t="str">
            <v>1701e</v>
          </cell>
          <cell r="T140" t="str">
            <v>未办妥产权证书的土地使用权情况</v>
          </cell>
          <cell r="U140" t="str">
            <v>项       目</v>
          </cell>
          <cell r="V140">
            <v>1</v>
          </cell>
          <cell r="W140">
            <v>1701</v>
          </cell>
          <cell r="X140">
            <v>2</v>
          </cell>
        </row>
        <row r="141">
          <cell r="B141">
            <v>6829</v>
          </cell>
          <cell r="C141" t="str">
            <v>其他综合收益的税后净额</v>
          </cell>
          <cell r="D141">
            <v>0</v>
          </cell>
          <cell r="E141" t="str">
            <v>＝</v>
          </cell>
          <cell r="F141">
            <v>0</v>
          </cell>
          <cell r="G141" t="str">
            <v>五、其他综合收益的税后净额</v>
          </cell>
          <cell r="H141" t="str">
            <v>六、其他综合收益的税后净额</v>
          </cell>
          <cell r="I141">
            <v>6829</v>
          </cell>
          <cell r="J141">
            <v>0</v>
          </cell>
          <cell r="M141" t="str">
            <v>实收资本_其他原因调整上年年末余额</v>
          </cell>
          <cell r="S141" t="str">
            <v>1705t</v>
          </cell>
          <cell r="T141" t="str">
            <v>无形资产抵押情况</v>
          </cell>
          <cell r="U141" t="str">
            <v>项       目</v>
          </cell>
          <cell r="V141">
            <v>1</v>
          </cell>
          <cell r="W141">
            <v>1701</v>
          </cell>
          <cell r="X141">
            <v>2</v>
          </cell>
        </row>
        <row r="142">
          <cell r="B142">
            <v>6829.2</v>
          </cell>
          <cell r="C142" t="str">
            <v>归属于母公司所有者的其他综合收益的税后净额</v>
          </cell>
          <cell r="D142">
            <v>0</v>
          </cell>
          <cell r="E142" t="str">
            <v>※</v>
          </cell>
          <cell r="F142">
            <v>0</v>
          </cell>
          <cell r="G142" t="str">
            <v>归属于母公司股东的其他综合收益的税后净额</v>
          </cell>
          <cell r="H142" t="str">
            <v>归属于母公司股东的其他综合收益的税后净额</v>
          </cell>
          <cell r="I142">
            <v>6829.2</v>
          </cell>
          <cell r="J142">
            <v>0</v>
          </cell>
          <cell r="M142" t="str">
            <v>实收资本_净利润增加权益</v>
          </cell>
          <cell r="S142" t="str">
            <v>1705a</v>
          </cell>
          <cell r="T142" t="str">
            <v>无形资产情况</v>
          </cell>
          <cell r="U142" t="str">
            <v>项       目</v>
          </cell>
          <cell r="V142">
            <v>-1</v>
          </cell>
          <cell r="W142">
            <v>1701</v>
          </cell>
          <cell r="X142">
            <v>2</v>
          </cell>
        </row>
        <row r="143">
          <cell r="B143">
            <v>6829.21</v>
          </cell>
          <cell r="C143" t="str">
            <v>以后不能重分类进损益的其他综合收益</v>
          </cell>
          <cell r="D143">
            <v>0</v>
          </cell>
          <cell r="E143" t="str">
            <v>＝</v>
          </cell>
          <cell r="F143">
            <v>0</v>
          </cell>
          <cell r="G143" t="str">
            <v>（一）不能重分类进损益的其他综合收益</v>
          </cell>
          <cell r="H143" t="str">
            <v>（一）不能重分类进损益的其他综合收益</v>
          </cell>
          <cell r="I143">
            <v>6829.21</v>
          </cell>
          <cell r="J143">
            <v>0</v>
          </cell>
          <cell r="M143" t="str">
            <v>实收资本_其他综合收益增加权益</v>
          </cell>
          <cell r="S143" t="str">
            <v>1701x</v>
          </cell>
          <cell r="T143" t="str">
            <v>无形资产累计摊销补充资料</v>
          </cell>
          <cell r="U143" t="str">
            <v>项       目</v>
          </cell>
          <cell r="V143">
            <v>1</v>
          </cell>
          <cell r="W143">
            <v>1701</v>
          </cell>
          <cell r="X143">
            <v>2</v>
          </cell>
        </row>
        <row r="144">
          <cell r="B144">
            <v>6829.2110000000002</v>
          </cell>
          <cell r="C144" t="str">
            <v>重新计量设定受益计划变动额</v>
          </cell>
          <cell r="D144">
            <v>-1</v>
          </cell>
          <cell r="E144" t="str">
            <v>Ｘ</v>
          </cell>
          <cell r="F144">
            <v>0</v>
          </cell>
          <cell r="G144" t="str">
            <v>1、重新计量设定受益计划变动额</v>
          </cell>
          <cell r="H144" t="str">
            <v>其中：1.重新计量设定受益计划变动额</v>
          </cell>
          <cell r="I144">
            <v>6829.2110000000002</v>
          </cell>
          <cell r="J144" t="str">
            <v>J</v>
          </cell>
          <cell r="M144" t="str">
            <v>实收资本_综合收益总额增加权益</v>
          </cell>
          <cell r="S144" t="str">
            <v>1711a</v>
          </cell>
          <cell r="T144" t="str">
            <v>商誉账面原值</v>
          </cell>
          <cell r="U144" t="str">
            <v>被投资单位名称或形成商誉的事项</v>
          </cell>
          <cell r="V144">
            <v>1</v>
          </cell>
          <cell r="W144">
            <v>1711</v>
          </cell>
          <cell r="X144">
            <v>1</v>
          </cell>
        </row>
        <row r="145">
          <cell r="B145">
            <v>6829.2120000000004</v>
          </cell>
          <cell r="C145" t="str">
            <v>权益法下不能转损益的其他综合收益</v>
          </cell>
          <cell r="D145">
            <v>-1</v>
          </cell>
          <cell r="E145" t="str">
            <v>Ｘ</v>
          </cell>
          <cell r="F145">
            <v>0</v>
          </cell>
          <cell r="G145" t="str">
            <v>2、权益法下不能转损益的其他综合收益</v>
          </cell>
          <cell r="H145" t="str">
            <v>2.权益法下不能转损益的其他综合收益</v>
          </cell>
          <cell r="I145">
            <v>6829.2120000000004</v>
          </cell>
          <cell r="J145" t="str">
            <v>J</v>
          </cell>
          <cell r="M145" t="str">
            <v>实收资本_所有者投入资本</v>
          </cell>
          <cell r="S145" t="str">
            <v>1711b</v>
          </cell>
          <cell r="T145" t="str">
            <v xml:space="preserve">商誉减值准备 </v>
          </cell>
          <cell r="U145" t="str">
            <v>被投资单位名称或形成商誉的事项</v>
          </cell>
          <cell r="V145">
            <v>1</v>
          </cell>
          <cell r="W145">
            <v>1711</v>
          </cell>
          <cell r="X145">
            <v>2</v>
          </cell>
        </row>
        <row r="146">
          <cell r="B146">
            <v>6829.2190000000001</v>
          </cell>
          <cell r="C146" t="str">
            <v>其他以后不能重分类进损益的其他综合收益</v>
          </cell>
          <cell r="D146">
            <v>-1</v>
          </cell>
          <cell r="E146">
            <v>0</v>
          </cell>
          <cell r="F146">
            <v>0</v>
          </cell>
          <cell r="G146" t="str">
            <v>3、其他</v>
          </cell>
          <cell r="H146" t="str">
            <v>3.其他</v>
          </cell>
          <cell r="I146">
            <v>6829.2190000000001</v>
          </cell>
          <cell r="J146" t="str">
            <v>J</v>
          </cell>
          <cell r="M146" t="str">
            <v>实收资本_股份支付计入所有者权益的金额</v>
          </cell>
          <cell r="S146" t="str">
            <v>1801a</v>
          </cell>
          <cell r="T146" t="str">
            <v>长期待摊费用明细项目</v>
          </cell>
          <cell r="U146" t="str">
            <v>项       目</v>
          </cell>
          <cell r="V146">
            <v>1</v>
          </cell>
          <cell r="W146">
            <v>1801</v>
          </cell>
          <cell r="X146">
            <v>1</v>
          </cell>
        </row>
        <row r="147">
          <cell r="B147">
            <v>6829.23</v>
          </cell>
          <cell r="C147" t="str">
            <v>以后将重分类进损益的其他综合收益</v>
          </cell>
          <cell r="D147">
            <v>0</v>
          </cell>
          <cell r="E147" t="str">
            <v>＝</v>
          </cell>
          <cell r="F147">
            <v>0</v>
          </cell>
          <cell r="G147" t="str">
            <v>（二）将重分类进损益的其他综合收益</v>
          </cell>
          <cell r="H147" t="str">
            <v>（二）将重分类进损益的其他综合收益</v>
          </cell>
          <cell r="I147">
            <v>6829.23</v>
          </cell>
          <cell r="J147">
            <v>0</v>
          </cell>
          <cell r="M147" t="str">
            <v>实收资本_其他权益工具持有者投入资本</v>
          </cell>
          <cell r="S147" t="str">
            <v>1801x</v>
          </cell>
          <cell r="T147" t="str">
            <v>长期待摊费用补充资料</v>
          </cell>
          <cell r="U147" t="str">
            <v>项       目</v>
          </cell>
          <cell r="V147">
            <v>1</v>
          </cell>
          <cell r="W147">
            <v>1801</v>
          </cell>
          <cell r="X147">
            <v>2</v>
          </cell>
        </row>
        <row r="148">
          <cell r="B148">
            <v>6829.2309999999998</v>
          </cell>
          <cell r="C148" t="str">
            <v>权益法下可转损益的其他综合收益</v>
          </cell>
          <cell r="D148">
            <v>-1</v>
          </cell>
          <cell r="E148" t="str">
            <v>Ｘ</v>
          </cell>
          <cell r="F148">
            <v>0</v>
          </cell>
          <cell r="G148" t="str">
            <v>1、权益法下可转损益的其他综合收益</v>
          </cell>
          <cell r="H148" t="str">
            <v>其中：1.权益法下可转损益的其他综合收益</v>
          </cell>
          <cell r="I148">
            <v>6829.2309999999998</v>
          </cell>
          <cell r="J148" t="str">
            <v>J</v>
          </cell>
          <cell r="M148" t="str">
            <v>实收资本_所有者其他投入和减少资本</v>
          </cell>
          <cell r="S148" t="str">
            <v>1829a</v>
          </cell>
          <cell r="T148" t="str">
            <v>未经抵销的递延所得税资产</v>
          </cell>
          <cell r="U148" t="str">
            <v>项       目</v>
          </cell>
          <cell r="V148">
            <v>-1</v>
          </cell>
          <cell r="W148">
            <v>1811</v>
          </cell>
          <cell r="X148">
            <v>1</v>
          </cell>
        </row>
        <row r="149">
          <cell r="B149">
            <v>6829.232</v>
          </cell>
          <cell r="C149" t="str">
            <v>可供出售金融资产公允价值变动损益</v>
          </cell>
          <cell r="D149">
            <v>-1</v>
          </cell>
          <cell r="E149" t="str">
            <v>Ｘ</v>
          </cell>
          <cell r="F149">
            <v>0</v>
          </cell>
          <cell r="G149" t="str">
            <v>2、可供出售金融资产公允价值变动损益</v>
          </cell>
          <cell r="H149" t="str">
            <v>2.可供出售金融资产公允价值变动损益</v>
          </cell>
          <cell r="I149">
            <v>6829.232</v>
          </cell>
          <cell r="J149" t="str">
            <v>J</v>
          </cell>
          <cell r="M149" t="str">
            <v>实收资本_提取盈余公积影响权益</v>
          </cell>
          <cell r="S149" t="str">
            <v>1829b</v>
          </cell>
          <cell r="T149" t="str">
            <v>未经抵销的递延所得税负债</v>
          </cell>
          <cell r="U149" t="str">
            <v>项       目</v>
          </cell>
          <cell r="V149">
            <v>-1</v>
          </cell>
          <cell r="W149">
            <v>2901</v>
          </cell>
          <cell r="X149">
            <v>1</v>
          </cell>
        </row>
        <row r="150">
          <cell r="B150">
            <v>6829.2330000000002</v>
          </cell>
          <cell r="C150" t="str">
            <v>持有至到期投资重分类为可供出售金融资产损益</v>
          </cell>
          <cell r="D150">
            <v>-1</v>
          </cell>
          <cell r="E150" t="str">
            <v>Ｘ</v>
          </cell>
          <cell r="F150">
            <v>0</v>
          </cell>
          <cell r="G150" t="str">
            <v>3、持有至到期投资重分类为可供出售金融资产损益</v>
          </cell>
          <cell r="H150" t="str">
            <v>3.持有至到期投资重分类为可供出售金融资产损益</v>
          </cell>
          <cell r="I150">
            <v>6829.2330000000002</v>
          </cell>
          <cell r="J150" t="str">
            <v>J</v>
          </cell>
          <cell r="M150" t="str">
            <v>实收资本_提取一般风险准备影响权益</v>
          </cell>
          <cell r="S150" t="str">
            <v>1829c</v>
          </cell>
          <cell r="T150" t="str">
            <v>以抵销后净额列示的递延所得税资产或负债</v>
          </cell>
          <cell r="U150" t="str">
            <v>项       目</v>
          </cell>
          <cell r="V150">
            <v>-1</v>
          </cell>
          <cell r="W150">
            <v>0</v>
          </cell>
          <cell r="X150">
            <v>2</v>
          </cell>
        </row>
        <row r="151">
          <cell r="B151">
            <v>6829.2340000000004</v>
          </cell>
          <cell r="C151" t="str">
            <v>现金流量套期损益的有效部分</v>
          </cell>
          <cell r="D151">
            <v>-1</v>
          </cell>
          <cell r="E151" t="str">
            <v>Ｘ</v>
          </cell>
          <cell r="F151">
            <v>0</v>
          </cell>
          <cell r="G151" t="str">
            <v>4、现金流量套期损益的有效部分</v>
          </cell>
          <cell r="H151" t="str">
            <v>4.现金流量套期损益的有效部分</v>
          </cell>
          <cell r="I151">
            <v>6829.2340000000004</v>
          </cell>
          <cell r="J151" t="str">
            <v>J</v>
          </cell>
          <cell r="M151" t="str">
            <v>实收资本_对所有者的分配影响权益</v>
          </cell>
          <cell r="S151" t="str">
            <v>1829e</v>
          </cell>
          <cell r="T151" t="str">
            <v>未确认递延所得税资产的可抵扣暂时性差异及可抵扣亏损明细</v>
          </cell>
          <cell r="U151" t="str">
            <v>项       目</v>
          </cell>
          <cell r="V151">
            <v>-1</v>
          </cell>
          <cell r="W151">
            <v>0</v>
          </cell>
          <cell r="X151">
            <v>2</v>
          </cell>
        </row>
        <row r="152">
          <cell r="B152">
            <v>6829.2349999999997</v>
          </cell>
          <cell r="C152" t="str">
            <v>外币财务报表折算差额</v>
          </cell>
          <cell r="D152">
            <v>-1</v>
          </cell>
          <cell r="E152" t="str">
            <v>Ｘ</v>
          </cell>
          <cell r="F152">
            <v>0</v>
          </cell>
          <cell r="G152" t="str">
            <v>5、外币财务报表折算差额</v>
          </cell>
          <cell r="H152" t="str">
            <v>5.外币财务报表折算差额</v>
          </cell>
          <cell r="I152">
            <v>6829.2349999999997</v>
          </cell>
          <cell r="J152" t="str">
            <v>J</v>
          </cell>
          <cell r="M152" t="str">
            <v>实收资本_其他利润分配影响权益</v>
          </cell>
          <cell r="S152" t="str">
            <v>1829f</v>
          </cell>
          <cell r="T152" t="str">
            <v>未确认递延所得税资产的可抵扣亏损将于以下年度到期</v>
          </cell>
          <cell r="U152" t="str">
            <v>年       份</v>
          </cell>
          <cell r="V152">
            <v>-1</v>
          </cell>
          <cell r="W152">
            <v>0</v>
          </cell>
          <cell r="X152">
            <v>2</v>
          </cell>
        </row>
        <row r="153">
          <cell r="B153">
            <v>6829.2359999999999</v>
          </cell>
          <cell r="C153" t="str">
            <v>自用房地产或作为存货的房地产转换为以公允价值计量的投资性房地产在转换日公允价值大于账面价值部分</v>
          </cell>
          <cell r="D153">
            <v>-1</v>
          </cell>
          <cell r="E153" t="str">
            <v>Ｘ</v>
          </cell>
          <cell r="F153">
            <v>0</v>
          </cell>
          <cell r="G153" t="str">
            <v>6、自用房地产或作为存货的房地产转换为以公允价值计量的投资性房地产在转换日公允价值大于账面价值部分</v>
          </cell>
          <cell r="H153" t="str">
            <v>6.自用房地产或作为存货的房地产转换为以公允价值计量的投资性房地产在转换日公允价值大于账面价值部分</v>
          </cell>
          <cell r="I153">
            <v>6829.2359999999999</v>
          </cell>
          <cell r="J153" t="str">
            <v>J</v>
          </cell>
          <cell r="M153" t="str">
            <v>实收资本_资本公积转增</v>
          </cell>
          <cell r="S153" t="str">
            <v>1996a</v>
          </cell>
          <cell r="T153" t="str">
            <v>其他非流动资产明细项目</v>
          </cell>
          <cell r="U153" t="str">
            <v>项       目</v>
          </cell>
          <cell r="V153">
            <v>1</v>
          </cell>
          <cell r="W153">
            <v>1996</v>
          </cell>
          <cell r="X153">
            <v>1</v>
          </cell>
        </row>
        <row r="154">
          <cell r="B154">
            <v>6829.2370000000001</v>
          </cell>
          <cell r="C154" t="str">
            <v>多次交易分步处置子公司股权构成一揽子交易的丧失控制权之前各次交易处置价款与对应净资产账面价值份额的差额</v>
          </cell>
          <cell r="D154">
            <v>-1</v>
          </cell>
          <cell r="E154" t="str">
            <v>Ｘ</v>
          </cell>
          <cell r="F154">
            <v>0</v>
          </cell>
          <cell r="G154" t="str">
            <v>7、多次交易分步处置子公司股权构成一揽子交易的，丧失控制权之前各次交易处置价款与对应净资产账面价值份额的差额</v>
          </cell>
          <cell r="H154" t="str">
            <v>7.多次交易分步处置子公司股权构成一揽子交易的，丧失控制权之前各次交易处置价款与对应净资产账面价值份额的差额</v>
          </cell>
          <cell r="I154">
            <v>6829.2370000000001</v>
          </cell>
          <cell r="J154" t="str">
            <v>J</v>
          </cell>
          <cell r="M154" t="str">
            <v>实收资本_盈余公积转增</v>
          </cell>
          <cell r="S154" t="str">
            <v>2001a</v>
          </cell>
          <cell r="T154" t="str">
            <v>短期借款明细项目</v>
          </cell>
          <cell r="U154" t="str">
            <v>借款类别</v>
          </cell>
          <cell r="V154">
            <v>1</v>
          </cell>
          <cell r="W154">
            <v>2001</v>
          </cell>
          <cell r="X154">
            <v>1</v>
          </cell>
        </row>
        <row r="155">
          <cell r="B155">
            <v>6829.2389999999996</v>
          </cell>
          <cell r="C155" t="str">
            <v>其他以后将重分类进损益的其他综合收益</v>
          </cell>
          <cell r="D155">
            <v>-1</v>
          </cell>
          <cell r="E155">
            <v>0</v>
          </cell>
          <cell r="F155">
            <v>0</v>
          </cell>
          <cell r="G155" t="str">
            <v>8、其他</v>
          </cell>
          <cell r="H155" t="str">
            <v>8.其他</v>
          </cell>
          <cell r="I155">
            <v>6829.2389999999996</v>
          </cell>
          <cell r="J155" t="str">
            <v>J</v>
          </cell>
          <cell r="M155" t="str">
            <v>实收资本_盈余公积弥补亏损影响权益</v>
          </cell>
          <cell r="S155" t="str">
            <v>2001b</v>
          </cell>
          <cell r="T155" t="str">
            <v>重要的逾期借款情况</v>
          </cell>
          <cell r="U155" t="str">
            <v>贷款单位</v>
          </cell>
          <cell r="V155">
            <v>1</v>
          </cell>
          <cell r="W155">
            <v>2001</v>
          </cell>
          <cell r="X155">
            <v>2</v>
          </cell>
        </row>
        <row r="156">
          <cell r="B156">
            <v>6829.5</v>
          </cell>
          <cell r="C156" t="str">
            <v>归属于少数股东的其他综合收益的税后净额</v>
          </cell>
          <cell r="D156">
            <v>1</v>
          </cell>
          <cell r="E156" t="str">
            <v>※</v>
          </cell>
          <cell r="F156">
            <v>0</v>
          </cell>
          <cell r="G156" t="str">
            <v>归属于少数股东的其他综合收益的税后净额</v>
          </cell>
          <cell r="H156" t="str">
            <v>归属于少数股东的其他综合收益的税后净额</v>
          </cell>
          <cell r="I156">
            <v>6829.5</v>
          </cell>
          <cell r="J156">
            <v>0</v>
          </cell>
          <cell r="M156" t="str">
            <v>实收资本_设定受益计划变动额结转留存收益</v>
          </cell>
          <cell r="S156" t="str">
            <v>2001c</v>
          </cell>
          <cell r="T156" t="str">
            <v>外币短期借款</v>
          </cell>
          <cell r="U156" t="str">
            <v>币       种</v>
          </cell>
          <cell r="V156">
            <v>1</v>
          </cell>
          <cell r="W156">
            <v>2001</v>
          </cell>
          <cell r="X156">
            <v>2</v>
          </cell>
        </row>
        <row r="157">
          <cell r="B157">
            <v>6839</v>
          </cell>
          <cell r="C157" t="str">
            <v>综合收益总额</v>
          </cell>
          <cell r="D157">
            <v>0</v>
          </cell>
          <cell r="E157" t="str">
            <v>＝</v>
          </cell>
          <cell r="F157">
            <v>0</v>
          </cell>
          <cell r="G157" t="str">
            <v>六、综合收益总额</v>
          </cell>
          <cell r="H157" t="str">
            <v>七、综合收益总额</v>
          </cell>
          <cell r="I157">
            <v>6839</v>
          </cell>
          <cell r="J157">
            <v>0</v>
          </cell>
          <cell r="M157" t="str">
            <v>实收资本_所有者权益其他内部结转</v>
          </cell>
          <cell r="S157" t="str">
            <v>2001d</v>
          </cell>
          <cell r="T157" t="str">
            <v>短期借款中的质押借款明细列示</v>
          </cell>
          <cell r="U157" t="str">
            <v>项       目</v>
          </cell>
          <cell r="V157">
            <v>1</v>
          </cell>
          <cell r="W157">
            <v>2001</v>
          </cell>
          <cell r="X157">
            <v>2</v>
          </cell>
        </row>
        <row r="158">
          <cell r="B158">
            <v>6841</v>
          </cell>
          <cell r="C158" t="str">
            <v>归属于母公司所有者的综合收益总额</v>
          </cell>
          <cell r="D158">
            <v>-1</v>
          </cell>
          <cell r="E158" t="str">
            <v>※</v>
          </cell>
          <cell r="F158">
            <v>0</v>
          </cell>
          <cell r="G158" t="str">
            <v>归属于母公司股东的综合收益总额</v>
          </cell>
          <cell r="H158" t="str">
            <v>归属于母公司所有者的综合收益总额</v>
          </cell>
          <cell r="I158">
            <v>6841</v>
          </cell>
          <cell r="J158">
            <v>0</v>
          </cell>
          <cell r="M158" t="str">
            <v>实收资本_专项储备本期提取</v>
          </cell>
          <cell r="S158" t="str">
            <v>2001e</v>
          </cell>
          <cell r="T158" t="str">
            <v>短期借款中的抵押借款明细列示</v>
          </cell>
          <cell r="U158" t="str">
            <v>项       目</v>
          </cell>
          <cell r="V158">
            <v>1</v>
          </cell>
          <cell r="W158">
            <v>2001</v>
          </cell>
          <cell r="X158">
            <v>2</v>
          </cell>
        </row>
        <row r="159">
          <cell r="B159">
            <v>6842</v>
          </cell>
          <cell r="C159" t="str">
            <v>归属于少数股东的综合收益总额</v>
          </cell>
          <cell r="D159">
            <v>1</v>
          </cell>
          <cell r="E159" t="str">
            <v>※</v>
          </cell>
          <cell r="F159">
            <v>0</v>
          </cell>
          <cell r="G159" t="str">
            <v>归属于少数股东的综合收益总额</v>
          </cell>
          <cell r="H159" t="str">
            <v>归属于少数股东的综合收益总额</v>
          </cell>
          <cell r="I159">
            <v>6842</v>
          </cell>
          <cell r="J159">
            <v>0</v>
          </cell>
          <cell r="M159" t="str">
            <v>实收资本_专项储备本期使用</v>
          </cell>
          <cell r="S159" t="str">
            <v>2001f</v>
          </cell>
          <cell r="T159" t="str">
            <v>短期借款中的保证借款明细列示</v>
          </cell>
          <cell r="U159" t="str">
            <v>项       目</v>
          </cell>
          <cell r="V159">
            <v>1</v>
          </cell>
          <cell r="W159">
            <v>2001</v>
          </cell>
          <cell r="X159">
            <v>2</v>
          </cell>
        </row>
        <row r="160">
          <cell r="B160">
            <v>8</v>
          </cell>
          <cell r="C160" t="str">
            <v>所有者权益变动表</v>
          </cell>
          <cell r="D160">
            <v>0</v>
          </cell>
          <cell r="E160" t="str">
            <v>：</v>
          </cell>
          <cell r="F160">
            <v>0</v>
          </cell>
          <cell r="G160" t="str">
            <v>所有者权益变动表</v>
          </cell>
          <cell r="H160" t="str">
            <v>所有者权益变动表</v>
          </cell>
          <cell r="I160">
            <v>8</v>
          </cell>
          <cell r="J160">
            <v>0</v>
          </cell>
          <cell r="M160" t="str">
            <v>实收资本_本期其他增减变动</v>
          </cell>
          <cell r="S160" t="str">
            <v>2101a</v>
          </cell>
          <cell r="T160" t="str">
            <v>以公允价值计量且其变动计入当期损益的金融负债</v>
          </cell>
          <cell r="U160" t="str">
            <v>项       目</v>
          </cell>
          <cell r="V160">
            <v>1</v>
          </cell>
          <cell r="W160">
            <v>2101</v>
          </cell>
          <cell r="X160">
            <v>1</v>
          </cell>
        </row>
        <row r="161">
          <cell r="B161">
            <v>8000</v>
          </cell>
          <cell r="C161" t="str">
            <v>所有者权益增减变动</v>
          </cell>
          <cell r="D161">
            <v>0</v>
          </cell>
          <cell r="E161" t="str">
            <v>：</v>
          </cell>
          <cell r="F161">
            <v>0</v>
          </cell>
          <cell r="G161" t="str">
            <v>所有者权益增减变动</v>
          </cell>
          <cell r="H161" t="str">
            <v>所有者权益增减变动</v>
          </cell>
          <cell r="I161">
            <v>8000</v>
          </cell>
          <cell r="J161">
            <v>0</v>
          </cell>
          <cell r="M161" t="str">
            <v>资本公积_上年年末余额</v>
          </cell>
          <cell r="S161" t="str">
            <v>2115a</v>
          </cell>
          <cell r="T161" t="str">
            <v>衍生金融负债</v>
          </cell>
          <cell r="U161" t="str">
            <v>项       目</v>
          </cell>
          <cell r="V161">
            <v>1</v>
          </cell>
          <cell r="W161">
            <v>2115</v>
          </cell>
          <cell r="X161">
            <v>1</v>
          </cell>
        </row>
        <row r="162">
          <cell r="B162">
            <v>8001</v>
          </cell>
          <cell r="C162" t="str">
            <v>所有者权益_上年年末余额</v>
          </cell>
          <cell r="D162">
            <v>-1</v>
          </cell>
          <cell r="E162" t="str">
            <v>＝</v>
          </cell>
          <cell r="F162">
            <v>0</v>
          </cell>
          <cell r="G162" t="str">
            <v>一、上年年末余额</v>
          </cell>
          <cell r="H162" t="str">
            <v>一、上年年末余额</v>
          </cell>
          <cell r="I162">
            <v>8001</v>
          </cell>
          <cell r="J162">
            <v>0</v>
          </cell>
          <cell r="M162" t="str">
            <v>资本公积_会计政策变更调整上年年末余额</v>
          </cell>
          <cell r="S162" t="str">
            <v>2203a</v>
          </cell>
          <cell r="T162" t="str">
            <v>应付票据及应付账款分类列示</v>
          </cell>
          <cell r="U162" t="str">
            <v>项       目</v>
          </cell>
          <cell r="V162">
            <v>1</v>
          </cell>
          <cell r="W162">
            <v>2203</v>
          </cell>
          <cell r="X162">
            <v>1</v>
          </cell>
        </row>
        <row r="163">
          <cell r="B163">
            <v>8002</v>
          </cell>
          <cell r="C163" t="str">
            <v>所有者权益_会计政策变更调整上年年末余额</v>
          </cell>
          <cell r="D163">
            <v>-1</v>
          </cell>
          <cell r="E163" t="str">
            <v>＝</v>
          </cell>
          <cell r="F163">
            <v>0</v>
          </cell>
          <cell r="G163" t="str">
            <v>加：会计政策变更</v>
          </cell>
          <cell r="H163" t="str">
            <v>加：会计政策变更</v>
          </cell>
          <cell r="I163">
            <v>8002</v>
          </cell>
          <cell r="J163">
            <v>0</v>
          </cell>
          <cell r="M163" t="str">
            <v>资本公积_前期差错更正调整上年年末余额</v>
          </cell>
          <cell r="S163" t="str">
            <v>2201a</v>
          </cell>
          <cell r="T163" t="str">
            <v>应付票据明细项目</v>
          </cell>
          <cell r="U163" t="str">
            <v>种       类</v>
          </cell>
          <cell r="V163">
            <v>1</v>
          </cell>
          <cell r="W163">
            <v>2201</v>
          </cell>
          <cell r="X163">
            <v>1</v>
          </cell>
        </row>
        <row r="164">
          <cell r="B164">
            <v>8003</v>
          </cell>
          <cell r="C164" t="str">
            <v>所有者权益_前期差错更正调整上年年末余额</v>
          </cell>
          <cell r="D164">
            <v>-1</v>
          </cell>
          <cell r="E164" t="str">
            <v>＝</v>
          </cell>
          <cell r="F164">
            <v>0</v>
          </cell>
          <cell r="G164" t="str">
            <v>前期差错更正</v>
          </cell>
          <cell r="H164" t="str">
            <v>前期差错更正</v>
          </cell>
          <cell r="I164">
            <v>8003</v>
          </cell>
          <cell r="J164">
            <v>0</v>
          </cell>
          <cell r="M164" t="str">
            <v>资本公积_同一控制下企业合并调整上年年末余额</v>
          </cell>
          <cell r="S164" t="str">
            <v>2202e</v>
          </cell>
          <cell r="T164" t="str">
            <v>应付账款按项目列示</v>
          </cell>
          <cell r="U164" t="str">
            <v>项       目</v>
          </cell>
          <cell r="V164">
            <v>1</v>
          </cell>
          <cell r="W164">
            <v>2202</v>
          </cell>
          <cell r="X164">
            <v>1</v>
          </cell>
        </row>
        <row r="165">
          <cell r="B165">
            <v>8004</v>
          </cell>
          <cell r="C165" t="str">
            <v>所有者权益_同一控制下企业合并调整上年年末余额</v>
          </cell>
          <cell r="D165">
            <v>-1</v>
          </cell>
          <cell r="E165" t="str">
            <v>※＝</v>
          </cell>
          <cell r="F165">
            <v>0</v>
          </cell>
          <cell r="G165" t="str">
            <v>同一控制下企业合并</v>
          </cell>
          <cell r="H165" t="str">
            <v>同一控制下企业合并</v>
          </cell>
          <cell r="I165">
            <v>8004</v>
          </cell>
          <cell r="J165">
            <v>0</v>
          </cell>
          <cell r="M165" t="str">
            <v>资本公积_其他原因调整上年年末余额</v>
          </cell>
          <cell r="S165" t="str">
            <v>2202a</v>
          </cell>
          <cell r="T165" t="str">
            <v>账龄超过1年的重要应付账款</v>
          </cell>
          <cell r="U165" t="str">
            <v>债权人名称</v>
          </cell>
          <cell r="V165">
            <v>1</v>
          </cell>
          <cell r="W165">
            <v>2202</v>
          </cell>
          <cell r="X165">
            <v>2</v>
          </cell>
        </row>
        <row r="166">
          <cell r="B166">
            <v>8009</v>
          </cell>
          <cell r="C166" t="str">
            <v>所有者权益_其他原因调整上年年末余额</v>
          </cell>
          <cell r="D166">
            <v>-1</v>
          </cell>
          <cell r="E166" t="str">
            <v>＝</v>
          </cell>
          <cell r="F166">
            <v>0</v>
          </cell>
          <cell r="G166" t="str">
            <v>其他</v>
          </cell>
          <cell r="H166" t="str">
            <v>其他</v>
          </cell>
          <cell r="I166">
            <v>8009</v>
          </cell>
          <cell r="J166">
            <v>0</v>
          </cell>
          <cell r="M166" t="str">
            <v>资本公积_净利润增加权益</v>
          </cell>
          <cell r="S166" t="str">
            <v>2202d</v>
          </cell>
          <cell r="T166" t="str">
            <v>外币应付账款</v>
          </cell>
          <cell r="U166" t="str">
            <v>币       种</v>
          </cell>
          <cell r="V166">
            <v>1</v>
          </cell>
          <cell r="W166">
            <v>2202</v>
          </cell>
          <cell r="X166">
            <v>2</v>
          </cell>
        </row>
        <row r="167">
          <cell r="B167">
            <v>8010</v>
          </cell>
          <cell r="C167" t="str">
            <v>所有者权益_本年年初余额</v>
          </cell>
          <cell r="D167">
            <v>0</v>
          </cell>
          <cell r="E167" t="str">
            <v>＝</v>
          </cell>
          <cell r="F167">
            <v>0</v>
          </cell>
          <cell r="G167" t="str">
            <v>二、本年年初余额</v>
          </cell>
          <cell r="H167" t="str">
            <v>二、本年年初余额</v>
          </cell>
          <cell r="I167">
            <v>8010</v>
          </cell>
          <cell r="J167">
            <v>0</v>
          </cell>
          <cell r="M167" t="str">
            <v>资本公积_其他综合收益</v>
          </cell>
          <cell r="S167" t="str">
            <v>2202c</v>
          </cell>
          <cell r="T167" t="str">
            <v>关联方应收应付款项——应付账款</v>
          </cell>
          <cell r="U167" t="str">
            <v>关联方</v>
          </cell>
          <cell r="V167">
            <v>1</v>
          </cell>
          <cell r="W167">
            <v>2202</v>
          </cell>
          <cell r="X167">
            <v>2</v>
          </cell>
        </row>
        <row r="168">
          <cell r="B168">
            <v>8090</v>
          </cell>
          <cell r="C168" t="str">
            <v>所有者权益_本期增减变动金额</v>
          </cell>
          <cell r="D168">
            <v>0</v>
          </cell>
          <cell r="E168" t="str">
            <v>＝</v>
          </cell>
          <cell r="F168">
            <v>0</v>
          </cell>
          <cell r="G168" t="str">
            <v>三、本年增减变动金额（减少以“－”号填列）</v>
          </cell>
          <cell r="H168" t="str">
            <v>三、本年增减变动金额（减少以“－”号填列）</v>
          </cell>
          <cell r="I168">
            <v>8090</v>
          </cell>
          <cell r="J168">
            <v>0</v>
          </cell>
          <cell r="M168" t="str">
            <v>资本公积_综合收益总额增加权益</v>
          </cell>
          <cell r="S168" t="str">
            <v>2202f</v>
          </cell>
          <cell r="T168" t="str">
            <v>应付账款按账龄列示</v>
          </cell>
          <cell r="U168" t="str">
            <v>账       龄</v>
          </cell>
          <cell r="V168">
            <v>1</v>
          </cell>
          <cell r="W168">
            <v>2202</v>
          </cell>
          <cell r="X168">
            <v>2</v>
          </cell>
        </row>
        <row r="169">
          <cell r="B169">
            <v>8021</v>
          </cell>
          <cell r="C169" t="str">
            <v>所有者权益_净利润增加权益</v>
          </cell>
          <cell r="D169">
            <v>-1</v>
          </cell>
          <cell r="E169" t="str">
            <v>＝</v>
          </cell>
          <cell r="F169">
            <v>0</v>
          </cell>
          <cell r="G169" t="str">
            <v>（一）净利润</v>
          </cell>
          <cell r="H169">
            <v>0</v>
          </cell>
          <cell r="I169">
            <v>8021</v>
          </cell>
          <cell r="J169">
            <v>0</v>
          </cell>
          <cell r="M169" t="str">
            <v>资本公积_所有者投入资本</v>
          </cell>
          <cell r="S169" t="str">
            <v>2202g</v>
          </cell>
          <cell r="T169" t="str">
            <v>单项金额较大的应付账款</v>
          </cell>
          <cell r="U169" t="str">
            <v>项       目</v>
          </cell>
          <cell r="V169">
            <v>1</v>
          </cell>
          <cell r="W169">
            <v>2202</v>
          </cell>
          <cell r="X169">
            <v>2</v>
          </cell>
        </row>
        <row r="170">
          <cell r="B170">
            <v>8030</v>
          </cell>
          <cell r="C170" t="str">
            <v>所有者权益_其他综合收益增加权益</v>
          </cell>
          <cell r="D170">
            <v>-1</v>
          </cell>
          <cell r="E170" t="str">
            <v>＝</v>
          </cell>
          <cell r="F170">
            <v>0</v>
          </cell>
          <cell r="G170" t="str">
            <v>（二）其他综合收益</v>
          </cell>
          <cell r="H170">
            <v>0</v>
          </cell>
          <cell r="I170">
            <v>8030</v>
          </cell>
          <cell r="J170">
            <v>0</v>
          </cell>
          <cell r="M170" t="str">
            <v>资本公积_股份支付</v>
          </cell>
          <cell r="S170" t="str">
            <v>2202x</v>
          </cell>
          <cell r="T170" t="str">
            <v>应付账款补充资料</v>
          </cell>
          <cell r="U170" t="str">
            <v>项       目</v>
          </cell>
          <cell r="V170">
            <v>1</v>
          </cell>
          <cell r="W170">
            <v>2202</v>
          </cell>
          <cell r="X170">
            <v>2</v>
          </cell>
        </row>
        <row r="171">
          <cell r="B171">
            <v>8040</v>
          </cell>
          <cell r="C171" t="str">
            <v>所有者权益_综合收益总额增加权益</v>
          </cell>
          <cell r="D171">
            <v>0</v>
          </cell>
          <cell r="E171" t="str">
            <v>＝</v>
          </cell>
          <cell r="F171">
            <v>0</v>
          </cell>
          <cell r="G171" t="str">
            <v>（一）综合收益总额</v>
          </cell>
          <cell r="H171" t="str">
            <v>（一）综合收益总额</v>
          </cell>
          <cell r="I171">
            <v>8040</v>
          </cell>
          <cell r="J171">
            <v>0</v>
          </cell>
          <cell r="M171" t="str">
            <v>资本公积_其他权益工具持有者投入资本</v>
          </cell>
          <cell r="S171" t="str">
            <v>2205f</v>
          </cell>
          <cell r="T171" t="str">
            <v>预收账款按项目列示</v>
          </cell>
          <cell r="U171" t="str">
            <v>项       目</v>
          </cell>
          <cell r="V171">
            <v>1</v>
          </cell>
          <cell r="W171">
            <v>2205</v>
          </cell>
          <cell r="X171">
            <v>1</v>
          </cell>
        </row>
        <row r="172">
          <cell r="B172">
            <v>8050</v>
          </cell>
          <cell r="C172" t="str">
            <v>所有者权益_所有者投入和减少资本影响权益</v>
          </cell>
          <cell r="D172">
            <v>0</v>
          </cell>
          <cell r="E172" t="str">
            <v>＝</v>
          </cell>
          <cell r="F172">
            <v>0</v>
          </cell>
          <cell r="G172" t="str">
            <v>（二）所有者投入和减少资本</v>
          </cell>
          <cell r="H172" t="str">
            <v>（二）股东（或所有者）投入和减少资本</v>
          </cell>
          <cell r="I172">
            <v>8050</v>
          </cell>
          <cell r="J172">
            <v>0</v>
          </cell>
          <cell r="M172" t="str">
            <v>资本公积_所有者其他投入和减少资本</v>
          </cell>
          <cell r="S172" t="str">
            <v>2205g</v>
          </cell>
          <cell r="T172" t="str">
            <v>预收账款按账龄列示</v>
          </cell>
          <cell r="U172" t="str">
            <v>账       龄</v>
          </cell>
          <cell r="V172">
            <v>1</v>
          </cell>
          <cell r="W172">
            <v>2205</v>
          </cell>
          <cell r="X172">
            <v>2</v>
          </cell>
        </row>
        <row r="173">
          <cell r="B173">
            <v>8051</v>
          </cell>
          <cell r="C173" t="str">
            <v>所有者权益_所有者投入资本增加权益</v>
          </cell>
          <cell r="D173">
            <v>-1</v>
          </cell>
          <cell r="E173" t="str">
            <v>＝</v>
          </cell>
          <cell r="F173">
            <v>0</v>
          </cell>
          <cell r="G173" t="str">
            <v>1.所有者投入的普通股</v>
          </cell>
          <cell r="H173" t="str">
            <v>1．股东投入的普通股</v>
          </cell>
          <cell r="I173">
            <v>8051</v>
          </cell>
          <cell r="J173">
            <v>0</v>
          </cell>
          <cell r="M173" t="str">
            <v>资本公积_提取盈余公积影响权益</v>
          </cell>
          <cell r="S173" t="str">
            <v>2205a</v>
          </cell>
          <cell r="T173" t="str">
            <v>账龄超过1年的重要预收款项</v>
          </cell>
          <cell r="U173" t="str">
            <v>项       目</v>
          </cell>
          <cell r="V173">
            <v>1</v>
          </cell>
          <cell r="W173">
            <v>2205</v>
          </cell>
          <cell r="X173">
            <v>2</v>
          </cell>
        </row>
        <row r="174">
          <cell r="B174">
            <v>8053</v>
          </cell>
          <cell r="C174" t="str">
            <v>所有者权益_其他权益工具持有者投入资本</v>
          </cell>
          <cell r="D174">
            <v>-1</v>
          </cell>
          <cell r="E174" t="str">
            <v>OEI＝</v>
          </cell>
          <cell r="F174">
            <v>0</v>
          </cell>
          <cell r="G174" t="str">
            <v>2.其他权益工具持有者投入资本</v>
          </cell>
          <cell r="H174" t="str">
            <v>2．其他权益工具持有者投入资本</v>
          </cell>
          <cell r="I174">
            <v>8053</v>
          </cell>
          <cell r="J174">
            <v>0</v>
          </cell>
          <cell r="M174" t="str">
            <v>资本公积_提取一般风险准备影响权益</v>
          </cell>
          <cell r="S174" t="str">
            <v>2205h</v>
          </cell>
          <cell r="T174" t="str">
            <v>建造合同形成的已结算未完工项目</v>
          </cell>
          <cell r="U174" t="str">
            <v>项       目</v>
          </cell>
          <cell r="V174">
            <v>1</v>
          </cell>
          <cell r="W174">
            <v>2205</v>
          </cell>
          <cell r="X174">
            <v>2</v>
          </cell>
        </row>
        <row r="175">
          <cell r="B175">
            <v>8052</v>
          </cell>
          <cell r="C175" t="str">
            <v>所有者权益_股份支付计入所有者权益的金额</v>
          </cell>
          <cell r="D175">
            <v>-1</v>
          </cell>
          <cell r="E175" t="str">
            <v>＝</v>
          </cell>
          <cell r="F175">
            <v>0</v>
          </cell>
          <cell r="G175" t="str">
            <v>3.股份支付计入所有者权益的金额</v>
          </cell>
          <cell r="H175" t="str">
            <v>3．股份支付计入股东权益的金额</v>
          </cell>
          <cell r="I175">
            <v>8052</v>
          </cell>
          <cell r="J175">
            <v>0</v>
          </cell>
          <cell r="M175" t="str">
            <v>资本公积_对所有者的分配影响权益</v>
          </cell>
          <cell r="S175" t="str">
            <v>2205e</v>
          </cell>
          <cell r="T175" t="str">
            <v>预收款项中预售房产收款情况</v>
          </cell>
          <cell r="U175" t="str">
            <v>项目名称</v>
          </cell>
          <cell r="V175">
            <v>1</v>
          </cell>
          <cell r="W175">
            <v>2205</v>
          </cell>
          <cell r="X175">
            <v>2</v>
          </cell>
        </row>
        <row r="176">
          <cell r="B176">
            <v>8056</v>
          </cell>
          <cell r="C176" t="str">
            <v>所有者权益_所有者其他投入和减少资本</v>
          </cell>
          <cell r="D176">
            <v>-1</v>
          </cell>
          <cell r="E176" t="str">
            <v>＝</v>
          </cell>
          <cell r="F176">
            <v>0</v>
          </cell>
          <cell r="G176" t="str">
            <v>4.其他</v>
          </cell>
          <cell r="H176" t="str">
            <v>4．其他</v>
          </cell>
          <cell r="I176">
            <v>8056</v>
          </cell>
          <cell r="J176">
            <v>0</v>
          </cell>
          <cell r="M176" t="str">
            <v>资本公积_其他利润分配</v>
          </cell>
          <cell r="S176" t="str">
            <v>2205d</v>
          </cell>
          <cell r="T176" t="str">
            <v>外币预收款项</v>
          </cell>
          <cell r="U176" t="str">
            <v>币       种</v>
          </cell>
          <cell r="V176">
            <v>1</v>
          </cell>
          <cell r="W176">
            <v>2205</v>
          </cell>
          <cell r="X176">
            <v>2</v>
          </cell>
        </row>
        <row r="177">
          <cell r="B177">
            <v>8060</v>
          </cell>
          <cell r="C177" t="str">
            <v>所有者权益_利润分配影响权益</v>
          </cell>
          <cell r="D177">
            <v>0</v>
          </cell>
          <cell r="E177" t="str">
            <v>＝</v>
          </cell>
          <cell r="F177">
            <v>0</v>
          </cell>
          <cell r="G177" t="str">
            <v>（四）利润分配</v>
          </cell>
          <cell r="H177" t="str">
            <v>（三）利润分配</v>
          </cell>
          <cell r="I177">
            <v>8060</v>
          </cell>
          <cell r="J177">
            <v>0</v>
          </cell>
          <cell r="M177" t="str">
            <v>资本公积_转增资本</v>
          </cell>
          <cell r="S177" t="str">
            <v>2205c</v>
          </cell>
          <cell r="T177" t="str">
            <v>关联方应收应付款项——预收款项</v>
          </cell>
          <cell r="U177" t="str">
            <v>单位名称</v>
          </cell>
          <cell r="V177">
            <v>1</v>
          </cell>
          <cell r="W177">
            <v>2205</v>
          </cell>
          <cell r="X177">
            <v>2</v>
          </cell>
        </row>
        <row r="178">
          <cell r="B178">
            <v>8061</v>
          </cell>
          <cell r="C178" t="str">
            <v>所有者权益_提取盈余公积影响权益</v>
          </cell>
          <cell r="D178">
            <v>-1</v>
          </cell>
          <cell r="E178" t="str">
            <v>＝</v>
          </cell>
          <cell r="F178">
            <v>0</v>
          </cell>
          <cell r="G178" t="str">
            <v>1.提取盈余公积</v>
          </cell>
          <cell r="H178" t="str">
            <v>1．提取盈余公积</v>
          </cell>
          <cell r="I178">
            <v>8061</v>
          </cell>
          <cell r="J178">
            <v>0</v>
          </cell>
          <cell r="M178" t="str">
            <v>资本公积_盈余公积转增资本影响权益</v>
          </cell>
          <cell r="S178" t="str">
            <v>2205x</v>
          </cell>
          <cell r="T178" t="str">
            <v>预收款项补充资料</v>
          </cell>
          <cell r="U178" t="str">
            <v>项       目</v>
          </cell>
          <cell r="V178">
            <v>1</v>
          </cell>
          <cell r="W178">
            <v>2205</v>
          </cell>
          <cell r="X178">
            <v>2</v>
          </cell>
        </row>
        <row r="179">
          <cell r="B179">
            <v>8062</v>
          </cell>
          <cell r="C179" t="str">
            <v>所有者权益_提取一般风险准备影响权益</v>
          </cell>
          <cell r="D179">
            <v>-1</v>
          </cell>
          <cell r="E179" t="str">
            <v>＝</v>
          </cell>
          <cell r="F179">
            <v>0</v>
          </cell>
          <cell r="G179" t="str">
            <v>2.提取一般风险准备</v>
          </cell>
          <cell r="H179" t="str">
            <v>2．提取一般风险准备</v>
          </cell>
          <cell r="I179">
            <v>8062</v>
          </cell>
          <cell r="J179">
            <v>0</v>
          </cell>
          <cell r="M179" t="str">
            <v>资本公积_盈余公积弥补亏损影响权益</v>
          </cell>
          <cell r="S179" t="str">
            <v>2211a</v>
          </cell>
          <cell r="T179" t="str">
            <v>应付职工薪酬明细项目</v>
          </cell>
          <cell r="U179" t="str">
            <v>项       目</v>
          </cell>
          <cell r="V179">
            <v>1</v>
          </cell>
          <cell r="W179">
            <v>2211</v>
          </cell>
          <cell r="X179">
            <v>1</v>
          </cell>
        </row>
        <row r="180">
          <cell r="B180">
            <v>8063</v>
          </cell>
          <cell r="C180" t="str">
            <v>所有者权益_对所有者的分配影响权益</v>
          </cell>
          <cell r="D180">
            <v>-1</v>
          </cell>
          <cell r="E180" t="str">
            <v>＝</v>
          </cell>
          <cell r="F180">
            <v>0</v>
          </cell>
          <cell r="G180" t="str">
            <v>3.对所有者（或股东）的分配</v>
          </cell>
          <cell r="H180" t="str">
            <v>3．对股东（或所有者）的分配</v>
          </cell>
          <cell r="I180">
            <v>8063</v>
          </cell>
          <cell r="J180">
            <v>0</v>
          </cell>
          <cell r="M180" t="str">
            <v>资本公积_设定受益计划变动额结转留存收益</v>
          </cell>
          <cell r="S180" t="str">
            <v>2211b</v>
          </cell>
          <cell r="T180" t="str">
            <v>短期薪酬</v>
          </cell>
          <cell r="U180" t="str">
            <v>项       目</v>
          </cell>
          <cell r="V180">
            <v>1</v>
          </cell>
          <cell r="W180">
            <v>2211</v>
          </cell>
          <cell r="X180">
            <v>2</v>
          </cell>
        </row>
        <row r="181">
          <cell r="B181">
            <v>8066</v>
          </cell>
          <cell r="C181" t="str">
            <v>所有者权益_其他利润分配影响权益</v>
          </cell>
          <cell r="D181">
            <v>-1</v>
          </cell>
          <cell r="E181" t="str">
            <v>＝</v>
          </cell>
          <cell r="F181">
            <v>0</v>
          </cell>
          <cell r="G181" t="str">
            <v>4.其他</v>
          </cell>
          <cell r="H181" t="str">
            <v>4．其他</v>
          </cell>
          <cell r="I181">
            <v>8066</v>
          </cell>
          <cell r="J181">
            <v>0</v>
          </cell>
          <cell r="M181" t="str">
            <v>资本公积_所有者权益其他内部结转</v>
          </cell>
          <cell r="S181" t="str">
            <v>2211c</v>
          </cell>
          <cell r="T181" t="str">
            <v>设定提存计划</v>
          </cell>
          <cell r="U181" t="str">
            <v>项       目</v>
          </cell>
          <cell r="V181">
            <v>1</v>
          </cell>
          <cell r="W181">
            <v>2211</v>
          </cell>
          <cell r="X181">
            <v>2</v>
          </cell>
        </row>
        <row r="182">
          <cell r="B182">
            <v>8070</v>
          </cell>
          <cell r="C182" t="str">
            <v>所有者权益_所有者权益内部结转</v>
          </cell>
          <cell r="D182">
            <v>0</v>
          </cell>
          <cell r="E182" t="str">
            <v>＝</v>
          </cell>
          <cell r="F182">
            <v>0</v>
          </cell>
          <cell r="G182" t="str">
            <v>（五）所有者权益内部结转</v>
          </cell>
          <cell r="H182" t="str">
            <v>（四）股东权益内部结转</v>
          </cell>
          <cell r="I182">
            <v>8070</v>
          </cell>
          <cell r="J182">
            <v>0</v>
          </cell>
          <cell r="M182" t="str">
            <v>资本公积_专项储备本期提取</v>
          </cell>
          <cell r="S182" t="str">
            <v>2211d</v>
          </cell>
          <cell r="T182" t="str">
            <v>应付职工薪酬分类列示</v>
          </cell>
          <cell r="U182" t="str">
            <v>项       目</v>
          </cell>
          <cell r="V182">
            <v>1</v>
          </cell>
          <cell r="W182">
            <v>2211</v>
          </cell>
          <cell r="X182">
            <v>2</v>
          </cell>
        </row>
        <row r="183">
          <cell r="B183">
            <v>8071</v>
          </cell>
          <cell r="C183" t="str">
            <v>所有者权益_资本公积转增资本影响权益</v>
          </cell>
          <cell r="D183">
            <v>-1</v>
          </cell>
          <cell r="E183" t="str">
            <v>＝</v>
          </cell>
          <cell r="F183">
            <v>0</v>
          </cell>
          <cell r="G183" t="str">
            <v>1.资本公积转增资本（或股本）</v>
          </cell>
          <cell r="H183" t="str">
            <v>1．资本公积转增股本（或资本）</v>
          </cell>
          <cell r="I183">
            <v>8071</v>
          </cell>
          <cell r="J183">
            <v>0</v>
          </cell>
          <cell r="M183" t="str">
            <v>资本公积_专项储备本期使用</v>
          </cell>
          <cell r="S183" t="str">
            <v>2211x</v>
          </cell>
          <cell r="T183" t="str">
            <v>应付职工薪酬补充资料</v>
          </cell>
          <cell r="U183" t="str">
            <v>项       目</v>
          </cell>
          <cell r="V183">
            <v>1</v>
          </cell>
          <cell r="W183">
            <v>2211</v>
          </cell>
          <cell r="X183">
            <v>2</v>
          </cell>
        </row>
        <row r="184">
          <cell r="B184">
            <v>8072</v>
          </cell>
          <cell r="C184" t="str">
            <v>所有者权益_盈余公积转增资本影响权益</v>
          </cell>
          <cell r="D184">
            <v>-1</v>
          </cell>
          <cell r="E184" t="str">
            <v>＝</v>
          </cell>
          <cell r="F184">
            <v>0</v>
          </cell>
          <cell r="G184" t="str">
            <v>2.盈余公积转增资本（或股本）</v>
          </cell>
          <cell r="H184" t="str">
            <v>2．盈余公积转增股本（或资本）</v>
          </cell>
          <cell r="I184">
            <v>8072</v>
          </cell>
          <cell r="J184">
            <v>0</v>
          </cell>
          <cell r="M184" t="str">
            <v>资本公积_本期其他增减变动</v>
          </cell>
          <cell r="S184" t="str">
            <v>2221a</v>
          </cell>
          <cell r="T184" t="str">
            <v>应交税费明细项目</v>
          </cell>
          <cell r="U184" t="str">
            <v>项       目</v>
          </cell>
          <cell r="V184">
            <v>1</v>
          </cell>
          <cell r="W184">
            <v>2221</v>
          </cell>
          <cell r="X184">
            <v>1</v>
          </cell>
        </row>
        <row r="185">
          <cell r="B185">
            <v>8073</v>
          </cell>
          <cell r="C185" t="str">
            <v>所有者权益_盈余公积弥补亏损影响权益</v>
          </cell>
          <cell r="D185">
            <v>-1</v>
          </cell>
          <cell r="E185" t="str">
            <v>＝</v>
          </cell>
          <cell r="F185">
            <v>0</v>
          </cell>
          <cell r="G185" t="str">
            <v>3.盈余公积弥补亏损</v>
          </cell>
          <cell r="H185" t="str">
            <v>3．盈余公积弥补亏损</v>
          </cell>
          <cell r="I185">
            <v>8073</v>
          </cell>
          <cell r="J185">
            <v>0</v>
          </cell>
          <cell r="M185" t="str">
            <v>库存股_上年年末余额</v>
          </cell>
          <cell r="S185" t="str">
            <v>2221x</v>
          </cell>
          <cell r="T185" t="str">
            <v>应交税费补充资料</v>
          </cell>
          <cell r="U185" t="str">
            <v>项       目</v>
          </cell>
          <cell r="V185">
            <v>1</v>
          </cell>
          <cell r="W185">
            <v>2221</v>
          </cell>
          <cell r="X185">
            <v>2</v>
          </cell>
        </row>
        <row r="186">
          <cell r="B186">
            <v>8075</v>
          </cell>
          <cell r="C186" t="str">
            <v>所有者权益_设定受益计划变动额结转留存收益</v>
          </cell>
          <cell r="D186">
            <v>-1</v>
          </cell>
          <cell r="E186" t="str">
            <v>OEI＝</v>
          </cell>
          <cell r="F186">
            <v>0</v>
          </cell>
          <cell r="G186" t="str">
            <v>4. 设定受益计划变动额结转留存收益</v>
          </cell>
          <cell r="H186" t="str">
            <v>4．设定受益计划变动额结转留存收益</v>
          </cell>
          <cell r="I186">
            <v>8075</v>
          </cell>
          <cell r="J186">
            <v>0</v>
          </cell>
          <cell r="M186" t="str">
            <v>库存股_会计政策变更调整上年年末余额</v>
          </cell>
          <cell r="S186" t="str">
            <v>2246a</v>
          </cell>
          <cell r="T186" t="str">
            <v>其他应付款分类列示</v>
          </cell>
          <cell r="U186" t="str">
            <v>项       目</v>
          </cell>
          <cell r="V186">
            <v>1</v>
          </cell>
          <cell r="W186">
            <v>2246</v>
          </cell>
          <cell r="X186">
            <v>1</v>
          </cell>
        </row>
        <row r="187">
          <cell r="B187">
            <v>8076</v>
          </cell>
          <cell r="C187" t="str">
            <v>所有者权益_所有者权益其他内部结转</v>
          </cell>
          <cell r="D187">
            <v>-1</v>
          </cell>
          <cell r="E187" t="str">
            <v>＝</v>
          </cell>
          <cell r="F187">
            <v>0</v>
          </cell>
          <cell r="G187" t="str">
            <v>5.其他</v>
          </cell>
          <cell r="H187" t="str">
            <v>5．其他</v>
          </cell>
          <cell r="I187">
            <v>8076</v>
          </cell>
          <cell r="J187">
            <v>0</v>
          </cell>
          <cell r="M187" t="str">
            <v>库存股_前期差错更正调整上年年末余额</v>
          </cell>
          <cell r="S187" t="str">
            <v>2231a</v>
          </cell>
          <cell r="T187" t="str">
            <v>应付利息明细项目</v>
          </cell>
          <cell r="U187" t="str">
            <v>项       目</v>
          </cell>
          <cell r="V187">
            <v>1</v>
          </cell>
          <cell r="W187">
            <v>2231</v>
          </cell>
          <cell r="X187">
            <v>1</v>
          </cell>
        </row>
        <row r="188">
          <cell r="B188">
            <v>8080</v>
          </cell>
          <cell r="C188" t="str">
            <v>所有者权益_专项储备影响权益</v>
          </cell>
          <cell r="D188">
            <v>0</v>
          </cell>
          <cell r="E188" t="str">
            <v>＝</v>
          </cell>
          <cell r="F188">
            <v>0</v>
          </cell>
          <cell r="G188" t="str">
            <v>（三）专项储备提取和使用</v>
          </cell>
          <cell r="H188" t="str">
            <v>（五）专项储备</v>
          </cell>
          <cell r="I188">
            <v>8080</v>
          </cell>
          <cell r="J188">
            <v>0</v>
          </cell>
          <cell r="M188" t="str">
            <v>库存股_同一控制下企业合并调整上年年末余额</v>
          </cell>
          <cell r="S188" t="str">
            <v>2231b</v>
          </cell>
          <cell r="T188" t="str">
            <v xml:space="preserve">重要的逾期未付利息 </v>
          </cell>
          <cell r="U188" t="str">
            <v>借款单位</v>
          </cell>
          <cell r="V188">
            <v>1</v>
          </cell>
          <cell r="W188">
            <v>2231</v>
          </cell>
          <cell r="X188">
            <v>2</v>
          </cell>
        </row>
        <row r="189">
          <cell r="B189">
            <v>8081</v>
          </cell>
          <cell r="C189" t="str">
            <v>所有者权益_专项储备本期提取</v>
          </cell>
          <cell r="D189">
            <v>-1</v>
          </cell>
          <cell r="E189" t="str">
            <v>＝</v>
          </cell>
          <cell r="F189">
            <v>0</v>
          </cell>
          <cell r="G189" t="str">
            <v>1.提取专项储备</v>
          </cell>
          <cell r="H189" t="str">
            <v>1．本期提取</v>
          </cell>
          <cell r="I189">
            <v>8081</v>
          </cell>
          <cell r="J189">
            <v>0</v>
          </cell>
          <cell r="M189" t="str">
            <v>库存股_其他原因调整上年年末余额</v>
          </cell>
          <cell r="S189" t="str">
            <v>2232a</v>
          </cell>
          <cell r="T189" t="str">
            <v>应付股利明细项目</v>
          </cell>
          <cell r="U189" t="str">
            <v>项目（或股东名称）</v>
          </cell>
          <cell r="V189">
            <v>1</v>
          </cell>
          <cell r="W189">
            <v>2232</v>
          </cell>
          <cell r="X189">
            <v>1</v>
          </cell>
        </row>
        <row r="190">
          <cell r="B190">
            <v>8082</v>
          </cell>
          <cell r="C190" t="str">
            <v>所有者权益_专项储备本期使用</v>
          </cell>
          <cell r="D190">
            <v>-1</v>
          </cell>
          <cell r="E190" t="str">
            <v>＝</v>
          </cell>
          <cell r="F190">
            <v>0</v>
          </cell>
          <cell r="G190" t="str">
            <v>2.使用专项储备</v>
          </cell>
          <cell r="H190" t="str">
            <v>2．本期使用（以负号填列）</v>
          </cell>
          <cell r="I190">
            <v>8082</v>
          </cell>
          <cell r="J190">
            <v>0</v>
          </cell>
          <cell r="M190" t="str">
            <v>库存股_净利润增加权益</v>
          </cell>
          <cell r="S190" t="str">
            <v>2232b</v>
          </cell>
          <cell r="T190" t="str">
            <v>重要的超过1年未支付的应付股利</v>
          </cell>
          <cell r="U190" t="str">
            <v>股东名称</v>
          </cell>
          <cell r="V190">
            <v>1</v>
          </cell>
          <cell r="W190">
            <v>2232</v>
          </cell>
          <cell r="X190">
            <v>2</v>
          </cell>
        </row>
        <row r="191">
          <cell r="B191">
            <v>8096</v>
          </cell>
          <cell r="C191" t="str">
            <v>所有者权益_本期其他增减变动</v>
          </cell>
          <cell r="D191">
            <v>-1</v>
          </cell>
          <cell r="E191" t="str">
            <v>＝</v>
          </cell>
          <cell r="F191">
            <v>0</v>
          </cell>
          <cell r="G191" t="str">
            <v>（六）其他</v>
          </cell>
          <cell r="H191" t="str">
            <v>（六）其他</v>
          </cell>
          <cell r="I191">
            <v>8096</v>
          </cell>
          <cell r="J191">
            <v>0</v>
          </cell>
          <cell r="M191" t="str">
            <v>库存股_其他综合收益增加权益</v>
          </cell>
          <cell r="S191" t="str">
            <v>2241e</v>
          </cell>
          <cell r="T191" t="str">
            <v>其他应付款按款项性质列示</v>
          </cell>
          <cell r="U191" t="str">
            <v>项       目</v>
          </cell>
          <cell r="V191">
            <v>1</v>
          </cell>
          <cell r="W191">
            <v>2241</v>
          </cell>
          <cell r="X191">
            <v>1</v>
          </cell>
        </row>
        <row r="192">
          <cell r="B192">
            <v>8099</v>
          </cell>
          <cell r="C192" t="str">
            <v>所有者权益_本期期末余额</v>
          </cell>
          <cell r="D192">
            <v>0</v>
          </cell>
          <cell r="E192" t="str">
            <v>＝</v>
          </cell>
          <cell r="F192">
            <v>0</v>
          </cell>
          <cell r="G192" t="str">
            <v>四、本年年末余额</v>
          </cell>
          <cell r="H192" t="str">
            <v>四、本年年末余额</v>
          </cell>
          <cell r="I192">
            <v>8099</v>
          </cell>
          <cell r="J192">
            <v>0</v>
          </cell>
          <cell r="M192" t="str">
            <v>库存股_综合收益总额增加权益</v>
          </cell>
          <cell r="S192" t="str">
            <v>2241f</v>
          </cell>
          <cell r="T192" t="str">
            <v>其他应付款按账龄列示</v>
          </cell>
          <cell r="U192" t="str">
            <v>项       目</v>
          </cell>
          <cell r="V192">
            <v>1</v>
          </cell>
          <cell r="W192">
            <v>2241</v>
          </cell>
          <cell r="X192">
            <v>2</v>
          </cell>
        </row>
        <row r="193">
          <cell r="B193">
            <v>8100</v>
          </cell>
          <cell r="C193" t="str">
            <v>实收资本增减变动</v>
          </cell>
          <cell r="D193">
            <v>0</v>
          </cell>
          <cell r="E193" t="str">
            <v>：</v>
          </cell>
          <cell r="F193">
            <v>0</v>
          </cell>
          <cell r="G193" t="str">
            <v>实收资本(或股本)增减变动</v>
          </cell>
          <cell r="H193">
            <v>0</v>
          </cell>
          <cell r="I193">
            <v>8100</v>
          </cell>
          <cell r="J193">
            <v>0</v>
          </cell>
          <cell r="M193" t="str">
            <v>库存股_所有者投入资本</v>
          </cell>
          <cell r="S193" t="str">
            <v>2241c</v>
          </cell>
          <cell r="T193" t="str">
            <v>账龄超过1年的重要其他应付款</v>
          </cell>
          <cell r="U193" t="str">
            <v>项       目</v>
          </cell>
          <cell r="V193">
            <v>1</v>
          </cell>
          <cell r="W193">
            <v>2241</v>
          </cell>
          <cell r="X193">
            <v>2</v>
          </cell>
        </row>
        <row r="194">
          <cell r="B194">
            <v>8101</v>
          </cell>
          <cell r="C194" t="str">
            <v>实收资本_上年年末余额</v>
          </cell>
          <cell r="D194">
            <v>-1</v>
          </cell>
          <cell r="E194">
            <v>0</v>
          </cell>
          <cell r="F194">
            <v>5110</v>
          </cell>
          <cell r="G194" t="str">
            <v>一、上年年末余额</v>
          </cell>
          <cell r="H194">
            <v>0</v>
          </cell>
          <cell r="I194">
            <v>8101</v>
          </cell>
          <cell r="J194" t="str">
            <v>J</v>
          </cell>
          <cell r="M194" t="str">
            <v>库存股_股份支付</v>
          </cell>
          <cell r="S194" t="str">
            <v>2241g</v>
          </cell>
          <cell r="T194" t="str">
            <v>外币其他应付款</v>
          </cell>
          <cell r="U194" t="str">
            <v>币       种</v>
          </cell>
          <cell r="V194">
            <v>1</v>
          </cell>
          <cell r="W194">
            <v>2241</v>
          </cell>
          <cell r="X194">
            <v>2</v>
          </cell>
        </row>
        <row r="195">
          <cell r="B195">
            <v>8102</v>
          </cell>
          <cell r="C195" t="str">
            <v>实收资本_会计政策变更调整上年年末余额</v>
          </cell>
          <cell r="D195">
            <v>-1</v>
          </cell>
          <cell r="E195" t="str">
            <v>LOW</v>
          </cell>
          <cell r="F195">
            <v>5110</v>
          </cell>
          <cell r="G195" t="str">
            <v>加：会计政策变更</v>
          </cell>
          <cell r="H195">
            <v>0</v>
          </cell>
          <cell r="I195">
            <v>8102</v>
          </cell>
          <cell r="J195" t="str">
            <v>J</v>
          </cell>
          <cell r="M195" t="str">
            <v>库存股_其他权益工具持有者投入资本</v>
          </cell>
          <cell r="S195" t="str">
            <v>2241a</v>
          </cell>
          <cell r="T195" t="str">
            <v>关联方应收应付款项——其他应付款</v>
          </cell>
          <cell r="U195" t="str">
            <v>项       目</v>
          </cell>
          <cell r="V195">
            <v>1</v>
          </cell>
          <cell r="W195">
            <v>2241</v>
          </cell>
          <cell r="X195">
            <v>2</v>
          </cell>
        </row>
        <row r="196">
          <cell r="B196">
            <v>8103</v>
          </cell>
          <cell r="C196" t="str">
            <v>实收资本_前期差错更正调整上年年末余额</v>
          </cell>
          <cell r="D196">
            <v>-1</v>
          </cell>
          <cell r="E196">
            <v>0</v>
          </cell>
          <cell r="F196">
            <v>5110</v>
          </cell>
          <cell r="G196" t="str">
            <v>前期差错更正</v>
          </cell>
          <cell r="H196">
            <v>0</v>
          </cell>
          <cell r="I196">
            <v>8103</v>
          </cell>
          <cell r="J196" t="str">
            <v>J</v>
          </cell>
          <cell r="M196" t="str">
            <v>库存股_所有者其他投入和减少资本</v>
          </cell>
          <cell r="S196" t="str">
            <v>2241b</v>
          </cell>
          <cell r="T196" t="str">
            <v>单项金额较大的其他应付款</v>
          </cell>
          <cell r="U196" t="str">
            <v>项       目</v>
          </cell>
          <cell r="V196">
            <v>1</v>
          </cell>
          <cell r="W196">
            <v>2241</v>
          </cell>
          <cell r="X196">
            <v>2</v>
          </cell>
        </row>
        <row r="197">
          <cell r="B197">
            <v>8104</v>
          </cell>
          <cell r="C197" t="str">
            <v>实收资本_同一控制下企业合并调整上年年末余额</v>
          </cell>
          <cell r="D197">
            <v>-1</v>
          </cell>
          <cell r="E197" t="str">
            <v>※</v>
          </cell>
          <cell r="F197">
            <v>5110</v>
          </cell>
          <cell r="G197" t="str">
            <v>同一控制下企业合并</v>
          </cell>
          <cell r="H197">
            <v>0</v>
          </cell>
          <cell r="I197">
            <v>8104</v>
          </cell>
          <cell r="J197" t="str">
            <v>J</v>
          </cell>
          <cell r="M197" t="str">
            <v>库存股_提取盈余公积影响权益</v>
          </cell>
          <cell r="S197" t="str">
            <v>2241x</v>
          </cell>
          <cell r="T197" t="str">
            <v>其他应付款补充资料</v>
          </cell>
          <cell r="U197" t="str">
            <v>项       目</v>
          </cell>
          <cell r="V197">
            <v>1</v>
          </cell>
          <cell r="W197">
            <v>2241</v>
          </cell>
          <cell r="X197">
            <v>2</v>
          </cell>
        </row>
        <row r="198">
          <cell r="B198">
            <v>8109</v>
          </cell>
          <cell r="C198" t="str">
            <v>实收资本_其他原因调整上年年末余额</v>
          </cell>
          <cell r="D198">
            <v>-1</v>
          </cell>
          <cell r="E198" t="str">
            <v>LOW</v>
          </cell>
          <cell r="F198">
            <v>5110</v>
          </cell>
          <cell r="G198" t="str">
            <v>其他</v>
          </cell>
          <cell r="H198">
            <v>0</v>
          </cell>
          <cell r="I198">
            <v>8109</v>
          </cell>
          <cell r="J198" t="str">
            <v>J</v>
          </cell>
          <cell r="M198" t="str">
            <v>库存股_提取一般风险准备影响权益</v>
          </cell>
          <cell r="S198" t="str">
            <v>2395a</v>
          </cell>
          <cell r="T198" t="str">
            <v>一年内到期的非流动负债</v>
          </cell>
          <cell r="U198" t="str">
            <v>项       目</v>
          </cell>
          <cell r="V198">
            <v>1</v>
          </cell>
          <cell r="W198">
            <v>2395</v>
          </cell>
          <cell r="X198">
            <v>1</v>
          </cell>
        </row>
        <row r="199">
          <cell r="B199">
            <v>8110</v>
          </cell>
          <cell r="C199" t="str">
            <v>实收资本_本年年初余额</v>
          </cell>
          <cell r="D199">
            <v>0</v>
          </cell>
          <cell r="E199" t="str">
            <v>＝</v>
          </cell>
          <cell r="F199">
            <v>0</v>
          </cell>
          <cell r="G199" t="str">
            <v>二、本年年初余额</v>
          </cell>
          <cell r="H199">
            <v>0</v>
          </cell>
          <cell r="I199">
            <v>8110</v>
          </cell>
          <cell r="J199">
            <v>0</v>
          </cell>
          <cell r="M199" t="str">
            <v>库存股_对所有者的分配</v>
          </cell>
          <cell r="S199" t="str">
            <v>2395b</v>
          </cell>
          <cell r="T199" t="str">
            <v>1年内到期的长期借款</v>
          </cell>
          <cell r="U199" t="str">
            <v>项       目</v>
          </cell>
          <cell r="V199">
            <v>1</v>
          </cell>
          <cell r="W199">
            <v>2395</v>
          </cell>
          <cell r="X199">
            <v>2</v>
          </cell>
        </row>
        <row r="200">
          <cell r="B200">
            <v>8190</v>
          </cell>
          <cell r="C200" t="str">
            <v>实收资本_本期增减变动金额</v>
          </cell>
          <cell r="D200">
            <v>0</v>
          </cell>
          <cell r="E200" t="str">
            <v>＝</v>
          </cell>
          <cell r="F200">
            <v>0</v>
          </cell>
          <cell r="G200" t="str">
            <v>三、本期增减变动金额（减少以“-”号填列）</v>
          </cell>
          <cell r="H200">
            <v>0</v>
          </cell>
          <cell r="I200">
            <v>8190</v>
          </cell>
          <cell r="J200">
            <v>0</v>
          </cell>
          <cell r="M200" t="str">
            <v>库存股_其他利润分配</v>
          </cell>
          <cell r="S200" t="str">
            <v>2395e</v>
          </cell>
          <cell r="T200" t="str">
            <v>1年内到期的应付债券</v>
          </cell>
          <cell r="U200" t="str">
            <v>债券名称</v>
          </cell>
          <cell r="V200">
            <v>1</v>
          </cell>
          <cell r="W200">
            <v>2395</v>
          </cell>
          <cell r="X200">
            <v>2</v>
          </cell>
        </row>
        <row r="201">
          <cell r="B201">
            <v>8150</v>
          </cell>
          <cell r="C201" t="str">
            <v>实收资本_所有者投入和减少资本影响权益</v>
          </cell>
          <cell r="D201">
            <v>0</v>
          </cell>
          <cell r="E201" t="str">
            <v>＝</v>
          </cell>
          <cell r="F201">
            <v>0</v>
          </cell>
          <cell r="G201" t="str">
            <v>（二）所有者投入和减少资本</v>
          </cell>
          <cell r="H201">
            <v>0</v>
          </cell>
          <cell r="I201">
            <v>8150</v>
          </cell>
          <cell r="J201">
            <v>0</v>
          </cell>
          <cell r="M201" t="str">
            <v>库存股_资本公积转增资本影响权益</v>
          </cell>
          <cell r="S201" t="str">
            <v>2395f</v>
          </cell>
          <cell r="T201" t="str">
            <v>一年内到期的长期应付款</v>
          </cell>
          <cell r="U201" t="str">
            <v>项       目</v>
          </cell>
          <cell r="V201">
            <v>1</v>
          </cell>
          <cell r="W201">
            <v>2395</v>
          </cell>
          <cell r="X201">
            <v>2</v>
          </cell>
        </row>
        <row r="202">
          <cell r="B202">
            <v>8151</v>
          </cell>
          <cell r="C202" t="str">
            <v>实收资本_所有者投入资本</v>
          </cell>
          <cell r="D202">
            <v>-1</v>
          </cell>
          <cell r="E202">
            <v>0</v>
          </cell>
          <cell r="F202">
            <v>5110</v>
          </cell>
          <cell r="G202" t="str">
            <v>所有者投入资本</v>
          </cell>
          <cell r="H202">
            <v>0</v>
          </cell>
          <cell r="I202">
            <v>8151</v>
          </cell>
          <cell r="J202" t="str">
            <v>J</v>
          </cell>
          <cell r="M202" t="str">
            <v>库存股_盈余公积转增资本影响权益</v>
          </cell>
          <cell r="S202" t="str">
            <v>2396a</v>
          </cell>
          <cell r="T202" t="str">
            <v>其他流动负债明细项目</v>
          </cell>
          <cell r="U202" t="str">
            <v>项       目</v>
          </cell>
          <cell r="V202">
            <v>1</v>
          </cell>
          <cell r="W202">
            <v>2396</v>
          </cell>
          <cell r="X202">
            <v>1</v>
          </cell>
        </row>
        <row r="203">
          <cell r="B203">
            <v>8153</v>
          </cell>
          <cell r="C203" t="str">
            <v>实收资本_其他权益工具持有者投入资本</v>
          </cell>
          <cell r="D203">
            <v>-1</v>
          </cell>
          <cell r="E203" t="str">
            <v>OEI</v>
          </cell>
          <cell r="F203">
            <v>5110</v>
          </cell>
          <cell r="G203" t="str">
            <v>其他权益工具持有者投入资本</v>
          </cell>
          <cell r="H203">
            <v>0</v>
          </cell>
          <cell r="I203">
            <v>8153</v>
          </cell>
          <cell r="J203" t="str">
            <v>J</v>
          </cell>
          <cell r="M203" t="str">
            <v>库存股_盈余公积弥补亏损影响权益</v>
          </cell>
          <cell r="S203" t="str">
            <v>2396c</v>
          </cell>
          <cell r="T203" t="str">
            <v>短期应付债券</v>
          </cell>
          <cell r="U203" t="str">
            <v>债券名称</v>
          </cell>
          <cell r="V203">
            <v>1</v>
          </cell>
          <cell r="W203">
            <v>2396</v>
          </cell>
          <cell r="X203">
            <v>2</v>
          </cell>
        </row>
        <row r="204">
          <cell r="B204">
            <v>8156</v>
          </cell>
          <cell r="C204" t="str">
            <v>实收资本_所有者其他投入和减少资本</v>
          </cell>
          <cell r="D204">
            <v>-1</v>
          </cell>
          <cell r="E204" t="str">
            <v>LOW</v>
          </cell>
          <cell r="F204">
            <v>5110</v>
          </cell>
          <cell r="G204" t="str">
            <v>其他</v>
          </cell>
          <cell r="H204">
            <v>0</v>
          </cell>
          <cell r="I204">
            <v>8156</v>
          </cell>
          <cell r="J204" t="str">
            <v>J</v>
          </cell>
          <cell r="M204" t="str">
            <v>库存股_设定受益计划变动额结转留存收益</v>
          </cell>
          <cell r="S204" t="str">
            <v>2396b</v>
          </cell>
          <cell r="T204" t="str">
            <v>递延收益——政府补助情况</v>
          </cell>
          <cell r="U204" t="str">
            <v>补助项目</v>
          </cell>
          <cell r="V204">
            <v>1</v>
          </cell>
          <cell r="W204">
            <v>2396</v>
          </cell>
          <cell r="X204">
            <v>2</v>
          </cell>
        </row>
        <row r="205">
          <cell r="B205">
            <v>8170</v>
          </cell>
          <cell r="C205" t="str">
            <v>实收资本_所有者权益内部结转</v>
          </cell>
          <cell r="D205">
            <v>0</v>
          </cell>
          <cell r="E205" t="str">
            <v>＝</v>
          </cell>
          <cell r="F205">
            <v>0</v>
          </cell>
          <cell r="G205" t="str">
            <v>（四）所有者权益内部结转</v>
          </cell>
          <cell r="H205">
            <v>0</v>
          </cell>
          <cell r="I205">
            <v>8170</v>
          </cell>
          <cell r="J205">
            <v>0</v>
          </cell>
          <cell r="M205" t="str">
            <v>库存股_所有者权益其他内部结转</v>
          </cell>
          <cell r="S205" t="str">
            <v>2396d</v>
          </cell>
          <cell r="T205" t="str">
            <v>递延收益——政府补助情况</v>
          </cell>
          <cell r="U205" t="str">
            <v>补助项目</v>
          </cell>
          <cell r="V205">
            <v>1</v>
          </cell>
          <cell r="W205">
            <v>2396</v>
          </cell>
          <cell r="X205">
            <v>2</v>
          </cell>
        </row>
        <row r="206">
          <cell r="B206">
            <v>8171</v>
          </cell>
          <cell r="C206" t="str">
            <v>实收资本_资本公积转增</v>
          </cell>
          <cell r="D206">
            <v>-1</v>
          </cell>
          <cell r="E206">
            <v>0</v>
          </cell>
          <cell r="F206">
            <v>5110</v>
          </cell>
          <cell r="G206" t="str">
            <v>资本公积转增资本（或股本）</v>
          </cell>
          <cell r="H206">
            <v>0</v>
          </cell>
          <cell r="I206">
            <v>8171</v>
          </cell>
          <cell r="J206" t="str">
            <v>J</v>
          </cell>
          <cell r="M206" t="str">
            <v>库存股_专项储备本期提取</v>
          </cell>
          <cell r="S206" t="str">
            <v>2501a</v>
          </cell>
          <cell r="T206" t="str">
            <v>长期借款明细项目</v>
          </cell>
          <cell r="U206" t="str">
            <v>借款类别</v>
          </cell>
          <cell r="V206">
            <v>1</v>
          </cell>
          <cell r="W206">
            <v>2501</v>
          </cell>
          <cell r="X206">
            <v>1</v>
          </cell>
        </row>
        <row r="207">
          <cell r="B207">
            <v>8172</v>
          </cell>
          <cell r="C207" t="str">
            <v>实收资本_盈余公积转增</v>
          </cell>
          <cell r="D207">
            <v>-1</v>
          </cell>
          <cell r="E207">
            <v>0</v>
          </cell>
          <cell r="F207">
            <v>5110</v>
          </cell>
          <cell r="G207" t="str">
            <v>盈余公积转增资本（或股本）</v>
          </cell>
          <cell r="H207">
            <v>0</v>
          </cell>
          <cell r="I207">
            <v>8172</v>
          </cell>
          <cell r="J207" t="str">
            <v>J</v>
          </cell>
          <cell r="M207" t="str">
            <v>库存股_专项储备本期使用</v>
          </cell>
          <cell r="S207" t="str">
            <v>2501d</v>
          </cell>
          <cell r="T207" t="str">
            <v>长期借款中的质押借款明细列示</v>
          </cell>
          <cell r="U207" t="str">
            <v>项       目</v>
          </cell>
          <cell r="V207">
            <v>1</v>
          </cell>
          <cell r="W207">
            <v>2501</v>
          </cell>
          <cell r="X207">
            <v>2</v>
          </cell>
        </row>
        <row r="208">
          <cell r="B208">
            <v>8175</v>
          </cell>
          <cell r="C208" t="str">
            <v>实收资本_设定受益计划变动额结转留存收益</v>
          </cell>
          <cell r="D208">
            <v>-1</v>
          </cell>
          <cell r="E208" t="str">
            <v>OEI</v>
          </cell>
          <cell r="F208">
            <v>5110</v>
          </cell>
          <cell r="G208" t="str">
            <v>设定受益计划变动额结转留存收益</v>
          </cell>
          <cell r="H208">
            <v>0</v>
          </cell>
          <cell r="I208">
            <v>8175</v>
          </cell>
          <cell r="J208" t="str">
            <v>J</v>
          </cell>
          <cell r="M208" t="str">
            <v>库存股_本期其他增减变动</v>
          </cell>
          <cell r="S208" t="str">
            <v>2501e</v>
          </cell>
          <cell r="T208" t="str">
            <v>长期借款中的抵押借款明细列示</v>
          </cell>
          <cell r="U208" t="str">
            <v>项       目</v>
          </cell>
          <cell r="V208">
            <v>1</v>
          </cell>
          <cell r="W208">
            <v>2501</v>
          </cell>
          <cell r="X208">
            <v>2</v>
          </cell>
        </row>
        <row r="209">
          <cell r="B209">
            <v>8176</v>
          </cell>
          <cell r="C209" t="str">
            <v>实收资本_所有者权益其他内部结转</v>
          </cell>
          <cell r="D209">
            <v>-1</v>
          </cell>
          <cell r="E209" t="str">
            <v>LOW</v>
          </cell>
          <cell r="F209">
            <v>5110</v>
          </cell>
          <cell r="G209" t="str">
            <v>其他</v>
          </cell>
          <cell r="H209">
            <v>0</v>
          </cell>
          <cell r="I209">
            <v>8176</v>
          </cell>
          <cell r="J209" t="str">
            <v>J</v>
          </cell>
          <cell r="M209" t="str">
            <v>专项储备_上年年末余额</v>
          </cell>
          <cell r="S209" t="str">
            <v>2501f</v>
          </cell>
          <cell r="T209" t="str">
            <v>长期借款中的保证借款明细列示</v>
          </cell>
          <cell r="U209" t="str">
            <v>项       目</v>
          </cell>
          <cell r="V209">
            <v>1</v>
          </cell>
          <cell r="W209">
            <v>2501</v>
          </cell>
          <cell r="X209">
            <v>2</v>
          </cell>
        </row>
        <row r="210">
          <cell r="B210">
            <v>8196</v>
          </cell>
          <cell r="C210" t="str">
            <v>实收资本_本期其他增减变动</v>
          </cell>
          <cell r="D210">
            <v>-1</v>
          </cell>
          <cell r="E210" t="str">
            <v>LOW</v>
          </cell>
          <cell r="F210">
            <v>5110</v>
          </cell>
          <cell r="G210" t="str">
            <v>（七）其他</v>
          </cell>
          <cell r="H210">
            <v>0</v>
          </cell>
          <cell r="I210">
            <v>8196</v>
          </cell>
          <cell r="J210" t="str">
            <v>J</v>
          </cell>
          <cell r="M210" t="str">
            <v>专项储备_会计政策变更调整上年年末余额</v>
          </cell>
          <cell r="S210" t="str">
            <v>2501c</v>
          </cell>
          <cell r="T210" t="str">
            <v>外币长期借款</v>
          </cell>
          <cell r="U210" t="str">
            <v>币       种</v>
          </cell>
          <cell r="V210">
            <v>1</v>
          </cell>
          <cell r="W210">
            <v>2501</v>
          </cell>
          <cell r="X210">
            <v>2</v>
          </cell>
        </row>
        <row r="211">
          <cell r="B211">
            <v>8199</v>
          </cell>
          <cell r="C211" t="str">
            <v>实收资本_本期期末余额</v>
          </cell>
          <cell r="D211">
            <v>0</v>
          </cell>
          <cell r="E211" t="str">
            <v>＝</v>
          </cell>
          <cell r="F211">
            <v>0</v>
          </cell>
          <cell r="G211" t="str">
            <v>四、本期期末余额</v>
          </cell>
          <cell r="H211">
            <v>0</v>
          </cell>
          <cell r="I211">
            <v>8199</v>
          </cell>
          <cell r="J211">
            <v>0</v>
          </cell>
          <cell r="M211" t="str">
            <v>专项储备_前期差错更正调整上年年末余额</v>
          </cell>
          <cell r="S211" t="str">
            <v>2502b</v>
          </cell>
          <cell r="T211" t="str">
            <v>应付债券明细项目</v>
          </cell>
          <cell r="U211" t="str">
            <v>债券名称</v>
          </cell>
          <cell r="V211">
            <v>1</v>
          </cell>
          <cell r="W211">
            <v>2502</v>
          </cell>
          <cell r="X211">
            <v>1</v>
          </cell>
        </row>
        <row r="212">
          <cell r="B212" t="str">
            <v>8a00</v>
          </cell>
          <cell r="C212" t="str">
            <v>其他权益工具增减变动</v>
          </cell>
          <cell r="D212">
            <v>0</v>
          </cell>
          <cell r="E212" t="str">
            <v>：OEI</v>
          </cell>
          <cell r="F212">
            <v>0</v>
          </cell>
          <cell r="G212" t="str">
            <v>其他权益工具增减变动</v>
          </cell>
          <cell r="H212">
            <v>0</v>
          </cell>
          <cell r="I212" t="str">
            <v>8a00</v>
          </cell>
          <cell r="J212">
            <v>0</v>
          </cell>
          <cell r="M212" t="str">
            <v>专项储备_同一控制下企业合并调整上年年末余额</v>
          </cell>
          <cell r="S212" t="str">
            <v>2502a</v>
          </cell>
          <cell r="T212" t="str">
            <v>应付债券的增减变动</v>
          </cell>
          <cell r="U212" t="str">
            <v>债券名称</v>
          </cell>
          <cell r="V212">
            <v>1</v>
          </cell>
          <cell r="W212">
            <v>2502</v>
          </cell>
          <cell r="X212">
            <v>2</v>
          </cell>
        </row>
        <row r="213">
          <cell r="B213" t="str">
            <v>8b00</v>
          </cell>
          <cell r="C213" t="str">
            <v>其他权益工具（优先股）增减变动</v>
          </cell>
          <cell r="D213">
            <v>0</v>
          </cell>
          <cell r="E213" t="str">
            <v>：OEI</v>
          </cell>
          <cell r="F213">
            <v>0</v>
          </cell>
          <cell r="G213" t="str">
            <v>其他权益工具（优先股）增减变动</v>
          </cell>
          <cell r="H213">
            <v>0</v>
          </cell>
          <cell r="I213" t="str">
            <v>8b00</v>
          </cell>
          <cell r="J213">
            <v>0</v>
          </cell>
          <cell r="M213" t="str">
            <v>专项储备_其他原因调整上年年末余额</v>
          </cell>
          <cell r="S213" t="str">
            <v>2502d</v>
          </cell>
          <cell r="T213" t="str">
            <v>期末发行在外的优先股、永续债等其他金融工具的基本情况</v>
          </cell>
          <cell r="U213" t="str">
            <v>发行在外的金融工具</v>
          </cell>
          <cell r="V213">
            <v>1</v>
          </cell>
          <cell r="W213">
            <v>2502</v>
          </cell>
          <cell r="X213">
            <v>2</v>
          </cell>
        </row>
        <row r="214">
          <cell r="B214" t="str">
            <v>8b01</v>
          </cell>
          <cell r="C214" t="str">
            <v>其他权益工具（优先股）_上年年末余额</v>
          </cell>
          <cell r="D214">
            <v>-1</v>
          </cell>
          <cell r="E214" t="str">
            <v>OEI</v>
          </cell>
          <cell r="F214">
            <v>0</v>
          </cell>
          <cell r="G214" t="str">
            <v>一、上年年末余额</v>
          </cell>
          <cell r="H214">
            <v>0</v>
          </cell>
          <cell r="I214" t="str">
            <v>8b01</v>
          </cell>
          <cell r="J214" t="str">
            <v>J</v>
          </cell>
          <cell r="M214" t="str">
            <v>专项储备_净利润增加权益</v>
          </cell>
          <cell r="S214" t="str">
            <v>2502c</v>
          </cell>
          <cell r="T214" t="str">
            <v>期末发行在外的优先股、永续债等其他金融工具变动情况表</v>
          </cell>
          <cell r="U214" t="str">
            <v>发行在外的金融工具</v>
          </cell>
          <cell r="V214">
            <v>1</v>
          </cell>
          <cell r="W214">
            <v>2502</v>
          </cell>
          <cell r="X214">
            <v>2</v>
          </cell>
        </row>
        <row r="215">
          <cell r="B215" t="str">
            <v>8b02</v>
          </cell>
          <cell r="C215" t="str">
            <v>其他权益工具（优先股）_会计政策变更调整上年年末余额</v>
          </cell>
          <cell r="D215">
            <v>-1</v>
          </cell>
          <cell r="E215" t="str">
            <v>OEI</v>
          </cell>
          <cell r="F215">
            <v>0</v>
          </cell>
          <cell r="G215" t="str">
            <v>加：会计政策变更</v>
          </cell>
          <cell r="H215">
            <v>0</v>
          </cell>
          <cell r="I215" t="str">
            <v>8b02</v>
          </cell>
          <cell r="J215" t="str">
            <v>J</v>
          </cell>
          <cell r="M215" t="str">
            <v>专项储备_其他综合收益增加权益</v>
          </cell>
          <cell r="S215" t="str">
            <v>2706a</v>
          </cell>
          <cell r="T215" t="str">
            <v>长期应付款分类列示</v>
          </cell>
          <cell r="U215" t="str">
            <v>项       目</v>
          </cell>
          <cell r="V215">
            <v>1</v>
          </cell>
          <cell r="W215">
            <v>2706</v>
          </cell>
          <cell r="X215">
            <v>1</v>
          </cell>
        </row>
        <row r="216">
          <cell r="B216" t="str">
            <v>8b03</v>
          </cell>
          <cell r="C216" t="str">
            <v>其他权益工具（优先股）_前期差错更正调整上年年末余额</v>
          </cell>
          <cell r="D216">
            <v>-1</v>
          </cell>
          <cell r="E216" t="str">
            <v>OEI</v>
          </cell>
          <cell r="F216">
            <v>0</v>
          </cell>
          <cell r="G216" t="str">
            <v>前期差错更正</v>
          </cell>
          <cell r="H216">
            <v>0</v>
          </cell>
          <cell r="I216" t="str">
            <v>8b03</v>
          </cell>
          <cell r="J216" t="str">
            <v>J</v>
          </cell>
          <cell r="M216" t="str">
            <v>专项储备_综合收益总额增加权益</v>
          </cell>
          <cell r="S216" t="str">
            <v>2701c</v>
          </cell>
          <cell r="T216" t="str">
            <v>长期应付款明细项目</v>
          </cell>
          <cell r="U216" t="str">
            <v>项       目</v>
          </cell>
          <cell r="V216">
            <v>1</v>
          </cell>
          <cell r="W216">
            <v>2701</v>
          </cell>
          <cell r="X216">
            <v>1</v>
          </cell>
        </row>
        <row r="217">
          <cell r="B217" t="str">
            <v>8b04</v>
          </cell>
          <cell r="C217" t="str">
            <v>其他权益工具（优先股）_同一控制下企业合并调整上年年末余额</v>
          </cell>
          <cell r="D217">
            <v>-1</v>
          </cell>
          <cell r="E217" t="str">
            <v>※OEI</v>
          </cell>
          <cell r="F217">
            <v>0</v>
          </cell>
          <cell r="G217" t="str">
            <v>同一控制下企业合并</v>
          </cell>
          <cell r="H217">
            <v>0</v>
          </cell>
          <cell r="I217" t="str">
            <v>8b04</v>
          </cell>
          <cell r="J217" t="str">
            <v>J</v>
          </cell>
          <cell r="M217" t="str">
            <v>专项储备_所有者投入资本增加权益</v>
          </cell>
          <cell r="S217" t="str">
            <v>2701d</v>
          </cell>
          <cell r="T217" t="str">
            <v>外币长期应付款</v>
          </cell>
          <cell r="U217" t="str">
            <v>币       种</v>
          </cell>
          <cell r="V217">
            <v>1</v>
          </cell>
          <cell r="W217">
            <v>2701</v>
          </cell>
          <cell r="X217">
            <v>2</v>
          </cell>
        </row>
        <row r="218">
          <cell r="B218" t="str">
            <v>8b09</v>
          </cell>
          <cell r="C218" t="str">
            <v>其他权益工具（优先股）_其他原因调整上年年末余额</v>
          </cell>
          <cell r="D218">
            <v>-1</v>
          </cell>
          <cell r="E218" t="str">
            <v>OEI</v>
          </cell>
          <cell r="F218">
            <v>0</v>
          </cell>
          <cell r="G218" t="str">
            <v>其他</v>
          </cell>
          <cell r="H218">
            <v>0</v>
          </cell>
          <cell r="I218" t="str">
            <v>8b09</v>
          </cell>
          <cell r="J218" t="str">
            <v>J</v>
          </cell>
          <cell r="M218" t="str">
            <v>专项储备_股份支付计入所有者权益的金额</v>
          </cell>
          <cell r="S218" t="str">
            <v>2715a</v>
          </cell>
          <cell r="T218" t="str">
            <v>长期应付职工薪酬</v>
          </cell>
          <cell r="U218" t="str">
            <v>项       目</v>
          </cell>
          <cell r="V218">
            <v>1</v>
          </cell>
          <cell r="W218">
            <v>2715</v>
          </cell>
          <cell r="X218">
            <v>1</v>
          </cell>
        </row>
        <row r="219">
          <cell r="B219" t="str">
            <v>8b10</v>
          </cell>
          <cell r="C219" t="str">
            <v>其他权益工具（优先股）_本年年初余额</v>
          </cell>
          <cell r="D219">
            <v>0</v>
          </cell>
          <cell r="E219" t="str">
            <v>OEI＝</v>
          </cell>
          <cell r="F219">
            <v>0</v>
          </cell>
          <cell r="G219" t="str">
            <v>二、本年年初余额</v>
          </cell>
          <cell r="H219">
            <v>0</v>
          </cell>
          <cell r="I219" t="str">
            <v>8b10</v>
          </cell>
          <cell r="J219">
            <v>0</v>
          </cell>
          <cell r="M219" t="str">
            <v>专项储备_其他权益工具持有者投入资本</v>
          </cell>
          <cell r="S219" t="str">
            <v>2715b</v>
          </cell>
          <cell r="T219" t="str">
            <v>设定受益计划义务现值变动情况</v>
          </cell>
          <cell r="U219" t="str">
            <v>项       目</v>
          </cell>
          <cell r="V219">
            <v>1</v>
          </cell>
          <cell r="W219">
            <v>2715</v>
          </cell>
          <cell r="X219">
            <v>2</v>
          </cell>
        </row>
        <row r="220">
          <cell r="B220" t="str">
            <v>8b90</v>
          </cell>
          <cell r="C220" t="str">
            <v>其他权益工具（优先股）_本期增减变动金额</v>
          </cell>
          <cell r="D220">
            <v>0</v>
          </cell>
          <cell r="E220" t="str">
            <v>OEI＝</v>
          </cell>
          <cell r="F220">
            <v>0</v>
          </cell>
          <cell r="G220" t="str">
            <v>三、本期增减变动金额（减少以“-”号填列）</v>
          </cell>
          <cell r="H220">
            <v>0</v>
          </cell>
          <cell r="I220" t="str">
            <v>8b90</v>
          </cell>
          <cell r="J220">
            <v>0</v>
          </cell>
          <cell r="M220" t="str">
            <v>专项储备_所有者其他投入和减少资本</v>
          </cell>
          <cell r="S220" t="str">
            <v>2715c</v>
          </cell>
          <cell r="T220" t="str">
            <v>设定受益计划资产变动情况</v>
          </cell>
          <cell r="U220" t="str">
            <v>项       目</v>
          </cell>
          <cell r="V220">
            <v>1</v>
          </cell>
          <cell r="W220">
            <v>2715</v>
          </cell>
          <cell r="X220">
            <v>2</v>
          </cell>
        </row>
        <row r="221">
          <cell r="B221" t="str">
            <v>8b40</v>
          </cell>
          <cell r="C221" t="str">
            <v>其他权益工具（优先股）_综合收益总额增加权益</v>
          </cell>
          <cell r="D221">
            <v>-1</v>
          </cell>
          <cell r="E221" t="str">
            <v>OEI</v>
          </cell>
          <cell r="F221">
            <v>0</v>
          </cell>
          <cell r="G221" t="str">
            <v>（一）综合收益总额</v>
          </cell>
          <cell r="H221">
            <v>0</v>
          </cell>
          <cell r="I221" t="str">
            <v>8b40</v>
          </cell>
          <cell r="J221" t="str">
            <v>J</v>
          </cell>
          <cell r="M221" t="str">
            <v>专项储备_提取盈余公积影响权益</v>
          </cell>
          <cell r="S221" t="str">
            <v>2715d</v>
          </cell>
          <cell r="T221" t="str">
            <v>设定受益计划净负债变动情况</v>
          </cell>
          <cell r="U221" t="str">
            <v>项       目</v>
          </cell>
          <cell r="V221">
            <v>1</v>
          </cell>
          <cell r="W221">
            <v>2715</v>
          </cell>
          <cell r="X221">
            <v>2</v>
          </cell>
        </row>
        <row r="222">
          <cell r="B222" t="str">
            <v>8b50</v>
          </cell>
          <cell r="C222" t="str">
            <v>其他权益工具（优先股）_所有者投入和减少资本影响权益</v>
          </cell>
          <cell r="D222">
            <v>0</v>
          </cell>
          <cell r="E222" t="str">
            <v>OEI＝</v>
          </cell>
          <cell r="F222">
            <v>0</v>
          </cell>
          <cell r="G222" t="str">
            <v>（二）所有者投入和减少资本</v>
          </cell>
          <cell r="H222">
            <v>0</v>
          </cell>
          <cell r="I222" t="str">
            <v>8b50</v>
          </cell>
          <cell r="J222">
            <v>0</v>
          </cell>
          <cell r="M222" t="str">
            <v>专项储备_提取一般风险准备影响权益</v>
          </cell>
          <cell r="S222" t="str">
            <v>2715e</v>
          </cell>
          <cell r="T222" t="str">
            <v>未折现的离职后福利预计到期分析</v>
          </cell>
          <cell r="U222" t="str">
            <v>项       目</v>
          </cell>
          <cell r="V222">
            <v>1</v>
          </cell>
          <cell r="W222">
            <v>2715</v>
          </cell>
          <cell r="X222">
            <v>2</v>
          </cell>
        </row>
        <row r="223">
          <cell r="B223" t="str">
            <v>8b51</v>
          </cell>
          <cell r="C223" t="str">
            <v>其他权益工具（优先股）_所有者投入资本</v>
          </cell>
          <cell r="D223">
            <v>-1</v>
          </cell>
          <cell r="E223" t="str">
            <v>OEI</v>
          </cell>
          <cell r="F223">
            <v>0</v>
          </cell>
          <cell r="G223" t="str">
            <v>所有者投入资本</v>
          </cell>
          <cell r="H223">
            <v>0</v>
          </cell>
          <cell r="I223" t="str">
            <v>8b51</v>
          </cell>
          <cell r="J223" t="str">
            <v>J</v>
          </cell>
          <cell r="M223" t="str">
            <v>专项储备_对所有者的分配影响权益</v>
          </cell>
          <cell r="S223" t="str">
            <v>2715f</v>
          </cell>
          <cell r="T223" t="str">
            <v>设定受益计划资产明细</v>
          </cell>
          <cell r="U223" t="str">
            <v>项       目</v>
          </cell>
          <cell r="V223">
            <v>1</v>
          </cell>
          <cell r="W223">
            <v>2715</v>
          </cell>
          <cell r="X223">
            <v>2</v>
          </cell>
        </row>
        <row r="224">
          <cell r="B224" t="str">
            <v>8b52</v>
          </cell>
          <cell r="C224" t="str">
            <v>其他权益工具（优先股）_股份支付</v>
          </cell>
          <cell r="D224">
            <v>-1</v>
          </cell>
          <cell r="E224" t="str">
            <v>OEI</v>
          </cell>
          <cell r="F224">
            <v>0</v>
          </cell>
          <cell r="G224" t="str">
            <v>股份支付计入所有者权益的金额</v>
          </cell>
          <cell r="H224">
            <v>0</v>
          </cell>
          <cell r="I224" t="str">
            <v>8b52</v>
          </cell>
          <cell r="J224" t="str">
            <v>J</v>
          </cell>
          <cell r="M224" t="str">
            <v>专项储备_其他利润分配影响权益</v>
          </cell>
          <cell r="S224" t="str">
            <v>2715g</v>
          </cell>
          <cell r="T224" t="str">
            <v>设定受益计划精算假设</v>
          </cell>
          <cell r="U224" t="str">
            <v>项       目</v>
          </cell>
          <cell r="V224">
            <v>1</v>
          </cell>
          <cell r="W224">
            <v>2715</v>
          </cell>
          <cell r="X224">
            <v>2</v>
          </cell>
        </row>
        <row r="225">
          <cell r="B225" t="str">
            <v>8b53</v>
          </cell>
          <cell r="C225" t="str">
            <v>其他权益工具（优先股）_其他权益工具持有者投入资本</v>
          </cell>
          <cell r="D225">
            <v>-1</v>
          </cell>
          <cell r="E225" t="str">
            <v>OEI</v>
          </cell>
          <cell r="F225">
            <v>0</v>
          </cell>
          <cell r="G225" t="str">
            <v>其他权益工具持有者投入资本</v>
          </cell>
          <cell r="H225">
            <v>0</v>
          </cell>
          <cell r="I225" t="str">
            <v>8b53</v>
          </cell>
          <cell r="J225" t="str">
            <v>J</v>
          </cell>
          <cell r="M225" t="str">
            <v>专项储备_资本公积转增资本影响权益</v>
          </cell>
          <cell r="S225" t="str">
            <v>2715h</v>
          </cell>
          <cell r="T225" t="str">
            <v>设定受益计划敏感性分析</v>
          </cell>
          <cell r="U225" t="str">
            <v>项       目</v>
          </cell>
          <cell r="V225">
            <v>1</v>
          </cell>
          <cell r="W225">
            <v>2715</v>
          </cell>
          <cell r="X225">
            <v>2</v>
          </cell>
        </row>
        <row r="226">
          <cell r="B226" t="str">
            <v>8b56</v>
          </cell>
          <cell r="C226" t="str">
            <v>其他权益工具（优先股）_所有者其他投入和减少资本</v>
          </cell>
          <cell r="D226">
            <v>-1</v>
          </cell>
          <cell r="E226" t="str">
            <v>OEI</v>
          </cell>
          <cell r="F226">
            <v>0</v>
          </cell>
          <cell r="G226" t="str">
            <v>其他</v>
          </cell>
          <cell r="H226">
            <v>0</v>
          </cell>
          <cell r="I226" t="str">
            <v>8b56</v>
          </cell>
          <cell r="J226" t="str">
            <v>J</v>
          </cell>
          <cell r="M226" t="str">
            <v>专项储备_盈余公积转增资本影响权益</v>
          </cell>
          <cell r="S226" t="str">
            <v>2711a</v>
          </cell>
          <cell r="T226" t="str">
            <v>专项应付款明细项目</v>
          </cell>
          <cell r="U226" t="str">
            <v>项       目</v>
          </cell>
          <cell r="V226">
            <v>1</v>
          </cell>
          <cell r="W226">
            <v>2711</v>
          </cell>
          <cell r="X226">
            <v>1</v>
          </cell>
        </row>
        <row r="227">
          <cell r="B227" t="str">
            <v>8b60</v>
          </cell>
          <cell r="C227" t="str">
            <v>其他权益工具（优先股）_利润分配影响权益</v>
          </cell>
          <cell r="D227">
            <v>0</v>
          </cell>
          <cell r="E227" t="str">
            <v>OEI＝</v>
          </cell>
          <cell r="F227">
            <v>0</v>
          </cell>
          <cell r="G227" t="str">
            <v>（三）利润分配</v>
          </cell>
          <cell r="H227">
            <v>0</v>
          </cell>
          <cell r="I227" t="str">
            <v>8b60</v>
          </cell>
          <cell r="J227">
            <v>0</v>
          </cell>
          <cell r="M227" t="str">
            <v>专项储备_盈余公积弥补亏损影响权益</v>
          </cell>
          <cell r="S227" t="str">
            <v>2711b</v>
          </cell>
          <cell r="T227" t="str">
            <v>外币专项应付款</v>
          </cell>
          <cell r="U227" t="str">
            <v>币       种</v>
          </cell>
          <cell r="V227">
            <v>1</v>
          </cell>
          <cell r="W227">
            <v>2711</v>
          </cell>
          <cell r="X227">
            <v>2</v>
          </cell>
        </row>
        <row r="228">
          <cell r="B228" t="str">
            <v>8b61</v>
          </cell>
          <cell r="C228" t="str">
            <v>其他权益工具（优先股）_提取盈余公积</v>
          </cell>
          <cell r="D228">
            <v>-1</v>
          </cell>
          <cell r="E228" t="str">
            <v>OEI</v>
          </cell>
          <cell r="F228">
            <v>0</v>
          </cell>
          <cell r="G228" t="str">
            <v>提取盈余公积</v>
          </cell>
          <cell r="H228">
            <v>0</v>
          </cell>
          <cell r="I228" t="str">
            <v>8b61</v>
          </cell>
          <cell r="J228" t="str">
            <v>J</v>
          </cell>
          <cell r="M228" t="str">
            <v>专项储备_设定受益计划变动额结转留存收益</v>
          </cell>
          <cell r="S228" t="str">
            <v>2801a</v>
          </cell>
          <cell r="T228" t="str">
            <v>预计负债明细项目</v>
          </cell>
          <cell r="U228" t="str">
            <v>种       类</v>
          </cell>
          <cell r="V228">
            <v>1</v>
          </cell>
          <cell r="W228">
            <v>2801</v>
          </cell>
          <cell r="X228">
            <v>1</v>
          </cell>
        </row>
        <row r="229">
          <cell r="B229" t="str">
            <v>8b62</v>
          </cell>
          <cell r="C229" t="str">
            <v>其他权益工具（优先股）_提取一般风险准备</v>
          </cell>
          <cell r="D229">
            <v>-1</v>
          </cell>
          <cell r="E229" t="str">
            <v>OEI</v>
          </cell>
          <cell r="F229">
            <v>0</v>
          </cell>
          <cell r="G229" t="str">
            <v>提取一般风险准备</v>
          </cell>
          <cell r="H229">
            <v>0</v>
          </cell>
          <cell r="I229" t="str">
            <v>8b62</v>
          </cell>
          <cell r="J229" t="str">
            <v>J</v>
          </cell>
          <cell r="M229" t="str">
            <v>专项储备_所有者权益其他内部结转</v>
          </cell>
          <cell r="S229" t="str">
            <v>2401a</v>
          </cell>
          <cell r="T229" t="str">
            <v>递延收益</v>
          </cell>
          <cell r="U229" t="str">
            <v>项       目</v>
          </cell>
          <cell r="V229">
            <v>1</v>
          </cell>
          <cell r="W229">
            <v>2401</v>
          </cell>
          <cell r="X229">
            <v>1</v>
          </cell>
        </row>
        <row r="230">
          <cell r="B230" t="str">
            <v>8b63</v>
          </cell>
          <cell r="C230" t="str">
            <v>其他权益工具（优先股）_对所有者的分配</v>
          </cell>
          <cell r="D230">
            <v>-1</v>
          </cell>
          <cell r="E230" t="str">
            <v>OEI</v>
          </cell>
          <cell r="F230">
            <v>0</v>
          </cell>
          <cell r="G230" t="str">
            <v>对所有者（或股东）的分配</v>
          </cell>
          <cell r="H230">
            <v>0</v>
          </cell>
          <cell r="I230" t="str">
            <v>8b63</v>
          </cell>
          <cell r="J230" t="str">
            <v>J</v>
          </cell>
          <cell r="M230" t="str">
            <v>专项储备_本期提取</v>
          </cell>
          <cell r="S230" t="str">
            <v>2401b</v>
          </cell>
          <cell r="T230" t="str">
            <v>递延收益——政府补助情况</v>
          </cell>
          <cell r="U230" t="str">
            <v>补助项目</v>
          </cell>
          <cell r="V230">
            <v>1</v>
          </cell>
          <cell r="W230">
            <v>2401</v>
          </cell>
          <cell r="X230">
            <v>2</v>
          </cell>
        </row>
        <row r="231">
          <cell r="B231" t="str">
            <v>8b66</v>
          </cell>
          <cell r="C231" t="str">
            <v>其他权益工具（优先股）_其他利润分配</v>
          </cell>
          <cell r="D231">
            <v>-1</v>
          </cell>
          <cell r="E231" t="str">
            <v>OEI</v>
          </cell>
          <cell r="F231">
            <v>0</v>
          </cell>
          <cell r="G231" t="str">
            <v>其他</v>
          </cell>
          <cell r="H231">
            <v>0</v>
          </cell>
          <cell r="I231" t="str">
            <v>8b66</v>
          </cell>
          <cell r="J231" t="str">
            <v>J</v>
          </cell>
          <cell r="M231" t="str">
            <v>专项储备_本期使用</v>
          </cell>
          <cell r="S231" t="str">
            <v>2996a</v>
          </cell>
          <cell r="T231" t="str">
            <v>其他非流动负债明细项目</v>
          </cell>
          <cell r="U231" t="str">
            <v>项       目</v>
          </cell>
          <cell r="V231">
            <v>1</v>
          </cell>
          <cell r="W231">
            <v>2996</v>
          </cell>
          <cell r="X231">
            <v>1</v>
          </cell>
        </row>
        <row r="232">
          <cell r="B232" t="str">
            <v>8b70</v>
          </cell>
          <cell r="C232" t="str">
            <v>其他权益工具（优先股）_所有者权益内部结转</v>
          </cell>
          <cell r="D232">
            <v>0</v>
          </cell>
          <cell r="E232" t="str">
            <v>OEI＝</v>
          </cell>
          <cell r="F232">
            <v>0</v>
          </cell>
          <cell r="G232" t="str">
            <v>（四）所有者权益内部结转</v>
          </cell>
          <cell r="H232">
            <v>0</v>
          </cell>
          <cell r="I232" t="str">
            <v>8b70</v>
          </cell>
          <cell r="J232">
            <v>0</v>
          </cell>
          <cell r="M232" t="str">
            <v>专项储备_本期其他增减变动</v>
          </cell>
          <cell r="S232" t="str">
            <v>2996x</v>
          </cell>
          <cell r="T232" t="str">
            <v>其他非流动负债</v>
          </cell>
          <cell r="U232" t="str">
            <v>项       目</v>
          </cell>
          <cell r="V232">
            <v>1</v>
          </cell>
          <cell r="W232">
            <v>2996</v>
          </cell>
          <cell r="X232">
            <v>2</v>
          </cell>
        </row>
        <row r="233">
          <cell r="B233" t="str">
            <v>8b71</v>
          </cell>
          <cell r="C233" t="str">
            <v>其他权益工具（优先股）_资本公积转增资本</v>
          </cell>
          <cell r="D233">
            <v>-1</v>
          </cell>
          <cell r="E233" t="str">
            <v>OEI</v>
          </cell>
          <cell r="F233">
            <v>0</v>
          </cell>
          <cell r="G233" t="str">
            <v>资本公积转增资本（或股本）</v>
          </cell>
          <cell r="H233">
            <v>0</v>
          </cell>
          <cell r="I233" t="str">
            <v>8b71</v>
          </cell>
          <cell r="J233" t="str">
            <v>J</v>
          </cell>
          <cell r="M233" t="str">
            <v>盈余公积_上年年末余额</v>
          </cell>
          <cell r="S233" t="str">
            <v>4001a</v>
          </cell>
          <cell r="T233" t="str">
            <v>股本变动情况</v>
          </cell>
          <cell r="U233" t="str">
            <v>股份类别</v>
          </cell>
          <cell r="V233">
            <v>0</v>
          </cell>
          <cell r="W233">
            <v>4001</v>
          </cell>
          <cell r="X233">
            <v>2</v>
          </cell>
        </row>
        <row r="234">
          <cell r="B234" t="str">
            <v>8b72</v>
          </cell>
          <cell r="C234" t="str">
            <v>其他权益工具（优先股）_盈余公积转增资本</v>
          </cell>
          <cell r="D234">
            <v>-1</v>
          </cell>
          <cell r="E234" t="str">
            <v>OEI</v>
          </cell>
          <cell r="F234">
            <v>0</v>
          </cell>
          <cell r="G234" t="str">
            <v>盈余公积转增资本（或股本）</v>
          </cell>
          <cell r="H234">
            <v>0</v>
          </cell>
          <cell r="I234" t="str">
            <v>8b72</v>
          </cell>
          <cell r="J234" t="str">
            <v>J</v>
          </cell>
          <cell r="M234" t="str">
            <v>盈余公积_会计政策变更调整上年年末余额</v>
          </cell>
          <cell r="S234" t="str">
            <v>4001b</v>
          </cell>
          <cell r="T234" t="str">
            <v>实收资本变动情况</v>
          </cell>
          <cell r="U234" t="str">
            <v>股东名称</v>
          </cell>
          <cell r="V234">
            <v>1</v>
          </cell>
          <cell r="W234">
            <v>4001</v>
          </cell>
          <cell r="X234">
            <v>1</v>
          </cell>
        </row>
        <row r="235">
          <cell r="B235" t="str">
            <v>8b73</v>
          </cell>
          <cell r="C235" t="str">
            <v>其他权益工具（优先股）_盈余公积弥补亏损</v>
          </cell>
          <cell r="D235">
            <v>-1</v>
          </cell>
          <cell r="E235" t="str">
            <v>OEI</v>
          </cell>
          <cell r="F235">
            <v>0</v>
          </cell>
          <cell r="G235" t="str">
            <v>盈余公积弥补亏损</v>
          </cell>
          <cell r="H235">
            <v>0</v>
          </cell>
          <cell r="I235" t="str">
            <v>8b73</v>
          </cell>
          <cell r="J235" t="str">
            <v>J</v>
          </cell>
          <cell r="M235" t="str">
            <v>盈余公积_前期差错更正调整上年年末余额</v>
          </cell>
          <cell r="S235" t="str">
            <v>4015b</v>
          </cell>
          <cell r="T235" t="str">
            <v>期末发行在外的优先股、永续债等其他金融工具的基本情况</v>
          </cell>
          <cell r="U235">
            <v>0</v>
          </cell>
          <cell r="V235">
            <v>1</v>
          </cell>
          <cell r="W235">
            <v>4015</v>
          </cell>
          <cell r="X235">
            <v>2</v>
          </cell>
        </row>
        <row r="236">
          <cell r="B236" t="str">
            <v>8b75</v>
          </cell>
          <cell r="C236" t="str">
            <v>其他权益工具（优先股）_设定受益计划变动额结转留存收益</v>
          </cell>
          <cell r="D236">
            <v>-1</v>
          </cell>
          <cell r="E236" t="str">
            <v>OEI</v>
          </cell>
          <cell r="F236">
            <v>0</v>
          </cell>
          <cell r="G236" t="str">
            <v>设定受益计划变动额结转留存收益</v>
          </cell>
          <cell r="H236">
            <v>0</v>
          </cell>
          <cell r="I236" t="str">
            <v>8b75</v>
          </cell>
          <cell r="J236" t="str">
            <v>J</v>
          </cell>
          <cell r="M236" t="str">
            <v>盈余公积_同一控制下企业合并调整上年年末余额</v>
          </cell>
          <cell r="S236" t="str">
            <v>4015a</v>
          </cell>
          <cell r="T236" t="str">
            <v>期末发行在外的优先股、永续债等其他金融工具变动情况表</v>
          </cell>
          <cell r="U236" t="str">
            <v>发行在外的金融工具</v>
          </cell>
          <cell r="V236">
            <v>1</v>
          </cell>
          <cell r="W236">
            <v>4015</v>
          </cell>
          <cell r="X236">
            <v>1</v>
          </cell>
        </row>
        <row r="237">
          <cell r="B237" t="str">
            <v>8b76</v>
          </cell>
          <cell r="C237" t="str">
            <v>其他权益工具（优先股）_所有者权益其他内部结转</v>
          </cell>
          <cell r="D237">
            <v>-1</v>
          </cell>
          <cell r="E237" t="str">
            <v>OEI</v>
          </cell>
          <cell r="F237">
            <v>0</v>
          </cell>
          <cell r="G237" t="str">
            <v>其他</v>
          </cell>
          <cell r="H237">
            <v>0</v>
          </cell>
          <cell r="I237" t="str">
            <v>8b76</v>
          </cell>
          <cell r="J237" t="str">
            <v>J</v>
          </cell>
          <cell r="M237" t="str">
            <v>盈余公积_其他原因调整上年年末余额</v>
          </cell>
          <cell r="S237" t="str">
            <v>4015c</v>
          </cell>
          <cell r="T237" t="str">
            <v>权益工具持有者的相关信息</v>
          </cell>
          <cell r="U237" t="str">
            <v>项       目</v>
          </cell>
          <cell r="V237">
            <v>1</v>
          </cell>
          <cell r="W237">
            <v>4015</v>
          </cell>
          <cell r="X237">
            <v>2</v>
          </cell>
        </row>
        <row r="238">
          <cell r="B238" t="str">
            <v>8b80</v>
          </cell>
          <cell r="C238" t="str">
            <v>其他权益工具（优先股）_专项储备影响权益</v>
          </cell>
          <cell r="D238">
            <v>0</v>
          </cell>
          <cell r="E238" t="str">
            <v>OEI＝</v>
          </cell>
          <cell r="F238">
            <v>0</v>
          </cell>
          <cell r="G238" t="str">
            <v>（五）专项储备</v>
          </cell>
          <cell r="H238">
            <v>0</v>
          </cell>
          <cell r="I238" t="str">
            <v>8b80</v>
          </cell>
          <cell r="J238">
            <v>0</v>
          </cell>
          <cell r="M238" t="str">
            <v>盈余公积_净利润增加权益</v>
          </cell>
          <cell r="S238" t="str">
            <v>4002a</v>
          </cell>
          <cell r="T238" t="str">
            <v>资本公积变动情况</v>
          </cell>
          <cell r="U238" t="str">
            <v>种       类</v>
          </cell>
          <cell r="V238">
            <v>1</v>
          </cell>
          <cell r="W238">
            <v>4002</v>
          </cell>
          <cell r="X238">
            <v>1</v>
          </cell>
        </row>
        <row r="239">
          <cell r="B239" t="str">
            <v>8b81</v>
          </cell>
          <cell r="C239" t="str">
            <v>其他权益工具（优先股）_专项储备本期提取</v>
          </cell>
          <cell r="D239">
            <v>-1</v>
          </cell>
          <cell r="E239" t="str">
            <v>OEI</v>
          </cell>
          <cell r="F239">
            <v>0</v>
          </cell>
          <cell r="G239" t="str">
            <v>本期提取</v>
          </cell>
          <cell r="H239">
            <v>0</v>
          </cell>
          <cell r="I239" t="str">
            <v>8b81</v>
          </cell>
          <cell r="J239" t="str">
            <v>J</v>
          </cell>
          <cell r="M239" t="str">
            <v>盈余公积_其他综合收益增加权益</v>
          </cell>
          <cell r="S239" t="str">
            <v>4201a</v>
          </cell>
          <cell r="T239" t="str">
            <v>库存股变动情况</v>
          </cell>
          <cell r="U239" t="str">
            <v>项       目</v>
          </cell>
          <cell r="V239">
            <v>1</v>
          </cell>
          <cell r="W239">
            <v>4201</v>
          </cell>
          <cell r="X239">
            <v>1</v>
          </cell>
        </row>
        <row r="240">
          <cell r="B240" t="str">
            <v>8b82</v>
          </cell>
          <cell r="C240" t="str">
            <v>其他权益工具（优先股）_专项储备本期使用</v>
          </cell>
          <cell r="D240">
            <v>-1</v>
          </cell>
          <cell r="E240" t="str">
            <v>OEI</v>
          </cell>
          <cell r="F240">
            <v>0</v>
          </cell>
          <cell r="G240" t="str">
            <v>本期使用</v>
          </cell>
          <cell r="H240">
            <v>0</v>
          </cell>
          <cell r="I240" t="str">
            <v>8b82</v>
          </cell>
          <cell r="J240" t="str">
            <v>J</v>
          </cell>
          <cell r="M240" t="str">
            <v>盈余公积_综合收益总额增加权益</v>
          </cell>
          <cell r="S240" t="str">
            <v>4215a</v>
          </cell>
          <cell r="T240" t="str">
            <v>其他综合收益</v>
          </cell>
          <cell r="U240" t="str">
            <v>项       目</v>
          </cell>
          <cell r="V240">
            <v>1</v>
          </cell>
          <cell r="W240">
            <v>4215</v>
          </cell>
          <cell r="X240">
            <v>1</v>
          </cell>
        </row>
        <row r="241">
          <cell r="B241" t="str">
            <v>8b96</v>
          </cell>
          <cell r="C241" t="str">
            <v>其他权益工具（优先股）_本期其他增减变动</v>
          </cell>
          <cell r="D241">
            <v>-1</v>
          </cell>
          <cell r="E241" t="str">
            <v>OEI</v>
          </cell>
          <cell r="F241">
            <v>0</v>
          </cell>
          <cell r="G241" t="str">
            <v>（七）其他</v>
          </cell>
          <cell r="H241">
            <v>0</v>
          </cell>
          <cell r="I241" t="str">
            <v>8b96</v>
          </cell>
          <cell r="J241" t="str">
            <v>J</v>
          </cell>
          <cell r="M241" t="str">
            <v>盈余公积_所有者投入资本增加权益</v>
          </cell>
          <cell r="S241" t="str">
            <v>4301a</v>
          </cell>
          <cell r="T241" t="str">
            <v>专项储备变动情况</v>
          </cell>
          <cell r="U241" t="str">
            <v>项       目</v>
          </cell>
          <cell r="V241">
            <v>1</v>
          </cell>
          <cell r="W241">
            <v>4301</v>
          </cell>
          <cell r="X241">
            <v>1</v>
          </cell>
        </row>
        <row r="242">
          <cell r="B242" t="str">
            <v>8b99</v>
          </cell>
          <cell r="C242" t="str">
            <v>其他权益工具（优先股）_本期期末余额</v>
          </cell>
          <cell r="D242">
            <v>0</v>
          </cell>
          <cell r="E242" t="str">
            <v>OEI＝</v>
          </cell>
          <cell r="F242">
            <v>0</v>
          </cell>
          <cell r="G242" t="str">
            <v>四、本期期末余额</v>
          </cell>
          <cell r="H242">
            <v>0</v>
          </cell>
          <cell r="I242" t="str">
            <v>8b99</v>
          </cell>
          <cell r="J242">
            <v>0</v>
          </cell>
          <cell r="M242" t="str">
            <v>盈余公积_股份支付计入所有者权益的金额</v>
          </cell>
          <cell r="S242" t="str">
            <v>4101a</v>
          </cell>
          <cell r="T242" t="str">
            <v>盈余公积变动情况</v>
          </cell>
          <cell r="U242" t="str">
            <v>项       目</v>
          </cell>
          <cell r="V242">
            <v>1</v>
          </cell>
          <cell r="W242">
            <v>4101</v>
          </cell>
          <cell r="X242">
            <v>1</v>
          </cell>
        </row>
        <row r="243">
          <cell r="B243" t="str">
            <v>8c00</v>
          </cell>
          <cell r="C243" t="str">
            <v>其他权益工具（永续债）增减变动</v>
          </cell>
          <cell r="D243">
            <v>0</v>
          </cell>
          <cell r="E243" t="str">
            <v>：OEI</v>
          </cell>
          <cell r="F243">
            <v>0</v>
          </cell>
          <cell r="G243" t="str">
            <v>其他权益工具（永续债）增减变动</v>
          </cell>
          <cell r="H243">
            <v>0</v>
          </cell>
          <cell r="I243" t="str">
            <v>8c00</v>
          </cell>
          <cell r="J243">
            <v>0</v>
          </cell>
          <cell r="M243" t="str">
            <v>盈余公积_其他权益工具持有者投入资本</v>
          </cell>
          <cell r="S243" t="str">
            <v>4102a</v>
          </cell>
          <cell r="T243" t="str">
            <v>一般风险准备变动情况</v>
          </cell>
          <cell r="U243" t="str">
            <v>项       目</v>
          </cell>
          <cell r="V243">
            <v>1</v>
          </cell>
          <cell r="W243">
            <v>4102</v>
          </cell>
          <cell r="X243">
            <v>1</v>
          </cell>
        </row>
        <row r="244">
          <cell r="B244" t="str">
            <v>8c01</v>
          </cell>
          <cell r="C244" t="str">
            <v>其他权益工具（永续债）_上年年末余额</v>
          </cell>
          <cell r="D244">
            <v>-1</v>
          </cell>
          <cell r="E244" t="str">
            <v>OEI</v>
          </cell>
          <cell r="F244">
            <v>0</v>
          </cell>
          <cell r="G244" t="str">
            <v>一、上年年末余额</v>
          </cell>
          <cell r="H244">
            <v>0</v>
          </cell>
          <cell r="I244" t="str">
            <v>8c01</v>
          </cell>
          <cell r="J244" t="str">
            <v>J</v>
          </cell>
          <cell r="M244" t="str">
            <v>盈余公积_所有者其他投入和减少资本</v>
          </cell>
          <cell r="S244" t="str">
            <v>4200a</v>
          </cell>
          <cell r="T244" t="str">
            <v>未分配利润增减变动情况</v>
          </cell>
          <cell r="U244" t="str">
            <v>项       目</v>
          </cell>
          <cell r="V244">
            <v>1</v>
          </cell>
          <cell r="W244">
            <v>4200</v>
          </cell>
          <cell r="X244">
            <v>1</v>
          </cell>
        </row>
        <row r="245">
          <cell r="B245" t="str">
            <v>8c02</v>
          </cell>
          <cell r="C245" t="str">
            <v>其他权益工具（永续债）_会计政策变更调整上年年末余额</v>
          </cell>
          <cell r="D245">
            <v>-1</v>
          </cell>
          <cell r="E245" t="str">
            <v>OEI</v>
          </cell>
          <cell r="F245">
            <v>0</v>
          </cell>
          <cell r="G245" t="str">
            <v>加：会计政策变更</v>
          </cell>
          <cell r="H245">
            <v>0</v>
          </cell>
          <cell r="I245" t="str">
            <v>8c02</v>
          </cell>
          <cell r="J245" t="str">
            <v>J</v>
          </cell>
          <cell r="M245" t="str">
            <v>盈余公积_提取</v>
          </cell>
          <cell r="S245" t="str">
            <v>4200b</v>
          </cell>
          <cell r="T245" t="str">
            <v>调整本期期初未分配利润明细情况</v>
          </cell>
          <cell r="U245" t="str">
            <v>调整原因</v>
          </cell>
          <cell r="V245">
            <v>1</v>
          </cell>
          <cell r="W245">
            <v>4200</v>
          </cell>
          <cell r="X245">
            <v>2</v>
          </cell>
        </row>
        <row r="246">
          <cell r="B246" t="str">
            <v>8c03</v>
          </cell>
          <cell r="C246" t="str">
            <v>其他权益工具（永续债）_前期差错更正调整上年年末余额</v>
          </cell>
          <cell r="D246">
            <v>-1</v>
          </cell>
          <cell r="E246" t="str">
            <v>OEI</v>
          </cell>
          <cell r="F246">
            <v>0</v>
          </cell>
          <cell r="G246" t="str">
            <v>前期差错更正</v>
          </cell>
          <cell r="H246">
            <v>0</v>
          </cell>
          <cell r="I246" t="str">
            <v>8c03</v>
          </cell>
          <cell r="J246" t="str">
            <v>J</v>
          </cell>
          <cell r="M246" t="str">
            <v>盈余公积_提取一般风险准备影响权益</v>
          </cell>
          <cell r="S246" t="str">
            <v>6064a</v>
          </cell>
          <cell r="T246" t="str">
            <v>营业收入明细项目</v>
          </cell>
          <cell r="U246" t="str">
            <v>项       目</v>
          </cell>
          <cell r="V246">
            <v>-1</v>
          </cell>
          <cell r="W246">
            <v>6001</v>
          </cell>
          <cell r="X246">
            <v>1</v>
          </cell>
        </row>
        <row r="247">
          <cell r="B247" t="str">
            <v>8c04</v>
          </cell>
          <cell r="C247" t="str">
            <v>其他权益工具（永续债）_同一控制下企业合并调整上年年末余额</v>
          </cell>
          <cell r="D247">
            <v>-1</v>
          </cell>
          <cell r="E247" t="str">
            <v>※OEI</v>
          </cell>
          <cell r="F247">
            <v>0</v>
          </cell>
          <cell r="G247" t="str">
            <v>同一控制下企业合并</v>
          </cell>
          <cell r="H247">
            <v>0</v>
          </cell>
          <cell r="I247" t="str">
            <v>8c04</v>
          </cell>
          <cell r="J247" t="str">
            <v>J</v>
          </cell>
          <cell r="M247" t="str">
            <v>盈余公积_对所有者的分配</v>
          </cell>
          <cell r="S247" t="str">
            <v>6064b</v>
          </cell>
          <cell r="T247" t="str">
            <v>营业成本明细项目</v>
          </cell>
          <cell r="U247" t="str">
            <v>项       目</v>
          </cell>
          <cell r="V247">
            <v>-1</v>
          </cell>
          <cell r="W247">
            <v>6401</v>
          </cell>
          <cell r="X247">
            <v>1</v>
          </cell>
        </row>
        <row r="248">
          <cell r="B248" t="str">
            <v>8c09</v>
          </cell>
          <cell r="C248" t="str">
            <v>其他权益工具（永续债）_其他原因调整上年年末余额</v>
          </cell>
          <cell r="D248">
            <v>-1</v>
          </cell>
          <cell r="E248" t="str">
            <v>OEI</v>
          </cell>
          <cell r="F248">
            <v>0</v>
          </cell>
          <cell r="G248" t="str">
            <v>其他</v>
          </cell>
          <cell r="H248">
            <v>0</v>
          </cell>
          <cell r="I248" t="str">
            <v>8c09</v>
          </cell>
          <cell r="J248" t="str">
            <v>J</v>
          </cell>
          <cell r="M248" t="str">
            <v>盈余公积_其他利润分配</v>
          </cell>
          <cell r="S248" t="str">
            <v>6064c</v>
          </cell>
          <cell r="T248" t="str">
            <v>主营业务按行业类别列示</v>
          </cell>
          <cell r="U248" t="str">
            <v>行业或业务名称</v>
          </cell>
          <cell r="V248">
            <v>-2</v>
          </cell>
          <cell r="W248">
            <v>0</v>
          </cell>
          <cell r="X248">
            <v>2</v>
          </cell>
        </row>
        <row r="249">
          <cell r="B249" t="str">
            <v>8c10</v>
          </cell>
          <cell r="C249" t="str">
            <v>其他权益工具（永续债）_本年年初余额</v>
          </cell>
          <cell r="D249">
            <v>0</v>
          </cell>
          <cell r="E249" t="str">
            <v>OEI＝</v>
          </cell>
          <cell r="F249">
            <v>0</v>
          </cell>
          <cell r="G249" t="str">
            <v>二、本年年初余额</v>
          </cell>
          <cell r="H249">
            <v>0</v>
          </cell>
          <cell r="I249" t="str">
            <v>8c10</v>
          </cell>
          <cell r="J249">
            <v>0</v>
          </cell>
          <cell r="M249" t="str">
            <v>盈余公积_资本公积转增资本影响权益</v>
          </cell>
          <cell r="S249" t="str">
            <v>6064d</v>
          </cell>
          <cell r="T249" t="str">
            <v>主营业务按产品类别列示</v>
          </cell>
          <cell r="U249" t="str">
            <v>产品名称</v>
          </cell>
          <cell r="V249">
            <v>-2</v>
          </cell>
          <cell r="W249">
            <v>0</v>
          </cell>
          <cell r="X249">
            <v>2</v>
          </cell>
        </row>
        <row r="250">
          <cell r="B250" t="str">
            <v>8c90</v>
          </cell>
          <cell r="C250" t="str">
            <v>其他权益工具（永续债）_本期增减变动金额</v>
          </cell>
          <cell r="D250">
            <v>0</v>
          </cell>
          <cell r="E250" t="str">
            <v>OEI＝</v>
          </cell>
          <cell r="F250">
            <v>0</v>
          </cell>
          <cell r="G250" t="str">
            <v>三、本期增减变动金额（减少以“-”号填列）</v>
          </cell>
          <cell r="H250">
            <v>0</v>
          </cell>
          <cell r="I250" t="str">
            <v>8c90</v>
          </cell>
          <cell r="J250">
            <v>0</v>
          </cell>
          <cell r="M250" t="str">
            <v>盈余公积_转增资本</v>
          </cell>
          <cell r="S250" t="str">
            <v>6064e</v>
          </cell>
          <cell r="T250" t="str">
            <v>主营业务按地区类别列示</v>
          </cell>
          <cell r="U250" t="str">
            <v>地区名称</v>
          </cell>
          <cell r="V250">
            <v>-2</v>
          </cell>
          <cell r="W250">
            <v>0</v>
          </cell>
          <cell r="X250">
            <v>2</v>
          </cell>
        </row>
        <row r="251">
          <cell r="B251" t="str">
            <v>8c40</v>
          </cell>
          <cell r="C251" t="str">
            <v>其他权益工具（永续债）_综合收益总额增加权益</v>
          </cell>
          <cell r="D251">
            <v>-1</v>
          </cell>
          <cell r="E251" t="str">
            <v>OEI</v>
          </cell>
          <cell r="F251">
            <v>0</v>
          </cell>
          <cell r="G251" t="str">
            <v>（一）综合收益总额</v>
          </cell>
          <cell r="H251">
            <v>0</v>
          </cell>
          <cell r="I251" t="str">
            <v>8c40</v>
          </cell>
          <cell r="J251" t="str">
            <v>J</v>
          </cell>
          <cell r="M251" t="str">
            <v>盈余公积_弥补亏损</v>
          </cell>
          <cell r="S251" t="str">
            <v>6064f</v>
          </cell>
          <cell r="T251" t="str">
            <v>本期销售前十名情况</v>
          </cell>
          <cell r="U251" t="str">
            <v>客户名称</v>
          </cell>
          <cell r="V251">
            <v>-1</v>
          </cell>
          <cell r="W251">
            <v>6001</v>
          </cell>
          <cell r="X251">
            <v>2</v>
          </cell>
        </row>
        <row r="252">
          <cell r="B252" t="str">
            <v>8c50</v>
          </cell>
          <cell r="C252" t="str">
            <v>其他权益工具（永续债）_所有者投入和减少资本影响权益</v>
          </cell>
          <cell r="D252">
            <v>0</v>
          </cell>
          <cell r="E252" t="str">
            <v>OEI＝</v>
          </cell>
          <cell r="F252">
            <v>0</v>
          </cell>
          <cell r="G252" t="str">
            <v>（二）所有者投入和减少资本</v>
          </cell>
          <cell r="H252">
            <v>0</v>
          </cell>
          <cell r="I252" t="str">
            <v>8c50</v>
          </cell>
          <cell r="J252">
            <v>0</v>
          </cell>
          <cell r="M252" t="str">
            <v>盈余公积_设定受益计划变动额结转留存收益</v>
          </cell>
          <cell r="S252" t="str">
            <v>6064g</v>
          </cell>
          <cell r="T252" t="str">
            <v>本期采购前十名情况</v>
          </cell>
          <cell r="U252" t="str">
            <v>供应商名称</v>
          </cell>
          <cell r="V252">
            <v>-1</v>
          </cell>
          <cell r="W252">
            <v>6401</v>
          </cell>
          <cell r="X252">
            <v>2</v>
          </cell>
        </row>
        <row r="253">
          <cell r="B253" t="str">
            <v>8c51</v>
          </cell>
          <cell r="C253" t="str">
            <v>其他权益工具（永续债）_所有者投入资本</v>
          </cell>
          <cell r="D253">
            <v>-1</v>
          </cell>
          <cell r="E253" t="str">
            <v>OEI</v>
          </cell>
          <cell r="F253">
            <v>0</v>
          </cell>
          <cell r="G253" t="str">
            <v>所有者投入资本</v>
          </cell>
          <cell r="H253">
            <v>0</v>
          </cell>
          <cell r="I253" t="str">
            <v>8c51</v>
          </cell>
          <cell r="J253" t="str">
            <v>J</v>
          </cell>
          <cell r="M253" t="str">
            <v>盈余公积_所有者权益其他内部结转</v>
          </cell>
          <cell r="S253" t="str">
            <v>6001x</v>
          </cell>
          <cell r="T253" t="str">
            <v>营业收入补充资料</v>
          </cell>
          <cell r="U253" t="str">
            <v>项       目</v>
          </cell>
          <cell r="V253">
            <v>-1</v>
          </cell>
          <cell r="W253">
            <v>6001</v>
          </cell>
          <cell r="X253">
            <v>2</v>
          </cell>
        </row>
        <row r="254">
          <cell r="B254" t="str">
            <v>8c52</v>
          </cell>
          <cell r="C254" t="str">
            <v>其他权益工具（永续债）_股份支付</v>
          </cell>
          <cell r="D254">
            <v>-1</v>
          </cell>
          <cell r="E254" t="str">
            <v>OEI</v>
          </cell>
          <cell r="F254">
            <v>0</v>
          </cell>
          <cell r="G254" t="str">
            <v>股份支付计入所有者权益的金额</v>
          </cell>
          <cell r="H254">
            <v>0</v>
          </cell>
          <cell r="I254" t="str">
            <v>8c52</v>
          </cell>
          <cell r="J254" t="str">
            <v>J</v>
          </cell>
          <cell r="M254" t="str">
            <v>盈余公积_专项储备本期提取</v>
          </cell>
          <cell r="S254" t="str">
            <v>6401x</v>
          </cell>
          <cell r="T254" t="str">
            <v>营业成本补充资料</v>
          </cell>
          <cell r="U254" t="str">
            <v>项       目</v>
          </cell>
          <cell r="V254">
            <v>-1</v>
          </cell>
          <cell r="W254">
            <v>6401</v>
          </cell>
          <cell r="X254">
            <v>2</v>
          </cell>
        </row>
        <row r="255">
          <cell r="B255" t="str">
            <v>8c53</v>
          </cell>
          <cell r="C255" t="str">
            <v>其他权益工具（永续债）_其他权益工具持有者投入资本</v>
          </cell>
          <cell r="D255">
            <v>-1</v>
          </cell>
          <cell r="E255" t="str">
            <v>OEI</v>
          </cell>
          <cell r="F255">
            <v>0</v>
          </cell>
          <cell r="G255" t="str">
            <v>其他权益工具持有者投入资本</v>
          </cell>
          <cell r="H255">
            <v>0</v>
          </cell>
          <cell r="I255" t="str">
            <v>8c53</v>
          </cell>
          <cell r="J255" t="str">
            <v>J</v>
          </cell>
          <cell r="M255" t="str">
            <v>盈余公积_专项储备本期使用</v>
          </cell>
          <cell r="S255" t="str">
            <v>6600a</v>
          </cell>
          <cell r="T255" t="str">
            <v>税金及附加明细项目</v>
          </cell>
          <cell r="U255" t="str">
            <v>税       种</v>
          </cell>
          <cell r="V255">
            <v>1</v>
          </cell>
          <cell r="W255">
            <v>6600</v>
          </cell>
          <cell r="X255">
            <v>1</v>
          </cell>
        </row>
        <row r="256">
          <cell r="B256" t="str">
            <v>8c56</v>
          </cell>
          <cell r="C256" t="str">
            <v>其他权益工具（永续债）_所有者其他投入和减少资本</v>
          </cell>
          <cell r="D256">
            <v>-1</v>
          </cell>
          <cell r="E256" t="str">
            <v>OEI</v>
          </cell>
          <cell r="F256">
            <v>0</v>
          </cell>
          <cell r="G256" t="str">
            <v>其他</v>
          </cell>
          <cell r="H256">
            <v>0</v>
          </cell>
          <cell r="I256" t="str">
            <v>8c56</v>
          </cell>
          <cell r="J256" t="str">
            <v>J</v>
          </cell>
          <cell r="M256" t="str">
            <v>盈余公积_本期其他增减变动</v>
          </cell>
          <cell r="S256" t="str">
            <v>6600x</v>
          </cell>
          <cell r="T256" t="str">
            <v>税金及附加补充资料</v>
          </cell>
          <cell r="U256" t="str">
            <v>项       目</v>
          </cell>
          <cell r="V256">
            <v>1</v>
          </cell>
          <cell r="W256">
            <v>6600</v>
          </cell>
          <cell r="X256">
            <v>2</v>
          </cell>
        </row>
        <row r="257">
          <cell r="B257" t="str">
            <v>8c60</v>
          </cell>
          <cell r="C257" t="str">
            <v>其他权益工具（永续债）_利润分配影响权益</v>
          </cell>
          <cell r="D257">
            <v>0</v>
          </cell>
          <cell r="E257" t="str">
            <v>OEI＝</v>
          </cell>
          <cell r="F257">
            <v>0</v>
          </cell>
          <cell r="G257" t="str">
            <v>（三）利润分配</v>
          </cell>
          <cell r="H257">
            <v>0</v>
          </cell>
          <cell r="I257" t="str">
            <v>8c60</v>
          </cell>
          <cell r="J257">
            <v>0</v>
          </cell>
          <cell r="M257" t="str">
            <v>一般风险准备_上年年末余额</v>
          </cell>
          <cell r="S257" t="str">
            <v>6601a</v>
          </cell>
          <cell r="T257" t="str">
            <v>销售费用明细项目</v>
          </cell>
          <cell r="U257" t="str">
            <v>项       目</v>
          </cell>
          <cell r="V257">
            <v>1</v>
          </cell>
          <cell r="W257">
            <v>6601</v>
          </cell>
          <cell r="X257">
            <v>1</v>
          </cell>
        </row>
        <row r="258">
          <cell r="B258" t="str">
            <v>8c61</v>
          </cell>
          <cell r="C258" t="str">
            <v>其他权益工具（永续债）_提取盈余公积</v>
          </cell>
          <cell r="D258">
            <v>-1</v>
          </cell>
          <cell r="E258" t="str">
            <v>OEI</v>
          </cell>
          <cell r="F258">
            <v>0</v>
          </cell>
          <cell r="G258" t="str">
            <v>提取盈余公积</v>
          </cell>
          <cell r="H258">
            <v>0</v>
          </cell>
          <cell r="I258" t="str">
            <v>8c61</v>
          </cell>
          <cell r="J258" t="str">
            <v>J</v>
          </cell>
          <cell r="M258" t="str">
            <v>一般风险准备_会计政策变更调整上年年末余额</v>
          </cell>
          <cell r="S258" t="str">
            <v>6601x</v>
          </cell>
          <cell r="T258" t="str">
            <v>销售费用补充资料</v>
          </cell>
          <cell r="U258" t="str">
            <v>项       目</v>
          </cell>
          <cell r="V258">
            <v>1</v>
          </cell>
          <cell r="W258">
            <v>6601</v>
          </cell>
          <cell r="X258">
            <v>2</v>
          </cell>
        </row>
        <row r="259">
          <cell r="B259" t="str">
            <v>8c62</v>
          </cell>
          <cell r="C259" t="str">
            <v>其他权益工具（永续债）_提取一般风险准备</v>
          </cell>
          <cell r="D259">
            <v>-1</v>
          </cell>
          <cell r="E259" t="str">
            <v>OEI</v>
          </cell>
          <cell r="F259">
            <v>0</v>
          </cell>
          <cell r="G259" t="str">
            <v>提取一般风险准备</v>
          </cell>
          <cell r="H259">
            <v>0</v>
          </cell>
          <cell r="I259" t="str">
            <v>8c62</v>
          </cell>
          <cell r="J259" t="str">
            <v>J</v>
          </cell>
          <cell r="M259" t="str">
            <v>一般风险准备_前期差错更正调整上年年末余额</v>
          </cell>
          <cell r="S259" t="str">
            <v>6602a</v>
          </cell>
          <cell r="T259" t="str">
            <v>管理费用明细项目</v>
          </cell>
          <cell r="U259" t="str">
            <v>项       目</v>
          </cell>
          <cell r="V259">
            <v>1</v>
          </cell>
          <cell r="W259">
            <v>6602</v>
          </cell>
          <cell r="X259">
            <v>1</v>
          </cell>
        </row>
        <row r="260">
          <cell r="B260" t="str">
            <v>8c63</v>
          </cell>
          <cell r="C260" t="str">
            <v>其他权益工具（永续债）_对所有者的分配</v>
          </cell>
          <cell r="D260">
            <v>-1</v>
          </cell>
          <cell r="E260" t="str">
            <v>OEI</v>
          </cell>
          <cell r="F260">
            <v>0</v>
          </cell>
          <cell r="G260" t="str">
            <v>对所有者（或股东）的分配</v>
          </cell>
          <cell r="H260">
            <v>0</v>
          </cell>
          <cell r="I260" t="str">
            <v>8c63</v>
          </cell>
          <cell r="J260" t="str">
            <v>J</v>
          </cell>
          <cell r="M260" t="str">
            <v>一般风险准备_同一控制下企业合并调整上年年末余额</v>
          </cell>
          <cell r="S260" t="str">
            <v>6602x</v>
          </cell>
          <cell r="T260" t="str">
            <v>管理费用补充资料</v>
          </cell>
          <cell r="U260" t="str">
            <v>项       目</v>
          </cell>
          <cell r="V260">
            <v>1</v>
          </cell>
          <cell r="W260">
            <v>6602</v>
          </cell>
          <cell r="X260">
            <v>2</v>
          </cell>
        </row>
        <row r="261">
          <cell r="B261" t="str">
            <v>8c66</v>
          </cell>
          <cell r="C261" t="str">
            <v>其他权益工具（永续债）_其他利润分配</v>
          </cell>
          <cell r="D261">
            <v>-1</v>
          </cell>
          <cell r="E261" t="str">
            <v>OEI</v>
          </cell>
          <cell r="F261">
            <v>0</v>
          </cell>
          <cell r="G261" t="str">
            <v>其他</v>
          </cell>
          <cell r="H261">
            <v>0</v>
          </cell>
          <cell r="I261" t="str">
            <v>8c66</v>
          </cell>
          <cell r="J261" t="str">
            <v>J</v>
          </cell>
          <cell r="M261" t="str">
            <v>一般风险准备_其他原因调整上年年末余额</v>
          </cell>
          <cell r="S261" t="str">
            <v>6606a</v>
          </cell>
          <cell r="T261" t="str">
            <v>研发费用明细项目</v>
          </cell>
          <cell r="U261" t="str">
            <v>项       目</v>
          </cell>
          <cell r="V261">
            <v>1</v>
          </cell>
          <cell r="W261">
            <v>6606</v>
          </cell>
          <cell r="X261">
            <v>1</v>
          </cell>
        </row>
        <row r="262">
          <cell r="B262" t="str">
            <v>8c70</v>
          </cell>
          <cell r="C262" t="str">
            <v>其他权益工具（永续债）_所有者权益内部结转</v>
          </cell>
          <cell r="D262">
            <v>0</v>
          </cell>
          <cell r="E262" t="str">
            <v>OEI＝</v>
          </cell>
          <cell r="F262">
            <v>0</v>
          </cell>
          <cell r="G262" t="str">
            <v>（四）所有者权益内部结转</v>
          </cell>
          <cell r="H262">
            <v>0</v>
          </cell>
          <cell r="I262" t="str">
            <v>8c70</v>
          </cell>
          <cell r="J262">
            <v>0</v>
          </cell>
          <cell r="M262" t="str">
            <v>一般风险准备_净利润增加权益</v>
          </cell>
          <cell r="S262" t="str">
            <v>6603a</v>
          </cell>
          <cell r="T262" t="str">
            <v>财务费用明细项目</v>
          </cell>
          <cell r="U262" t="str">
            <v>项       目</v>
          </cell>
          <cell r="V262">
            <v>1</v>
          </cell>
          <cell r="W262">
            <v>6603</v>
          </cell>
          <cell r="X262">
            <v>1</v>
          </cell>
        </row>
        <row r="263">
          <cell r="B263" t="str">
            <v>8c71</v>
          </cell>
          <cell r="C263" t="str">
            <v>其他权益工具（永续债）_资本公积转增资本</v>
          </cell>
          <cell r="D263">
            <v>-1</v>
          </cell>
          <cell r="E263" t="str">
            <v>OEI</v>
          </cell>
          <cell r="F263">
            <v>0</v>
          </cell>
          <cell r="G263" t="str">
            <v>资本公积转增资本（或股本）</v>
          </cell>
          <cell r="H263">
            <v>0</v>
          </cell>
          <cell r="I263" t="str">
            <v>8c71</v>
          </cell>
          <cell r="J263" t="str">
            <v>J</v>
          </cell>
          <cell r="M263" t="str">
            <v>一般风险准备_其他综合收益增加权益</v>
          </cell>
          <cell r="S263" t="str">
            <v>6603x</v>
          </cell>
          <cell r="T263" t="str">
            <v>财务费用补充资料</v>
          </cell>
          <cell r="U263" t="str">
            <v>项       目</v>
          </cell>
          <cell r="V263">
            <v>1</v>
          </cell>
          <cell r="W263">
            <v>6603</v>
          </cell>
          <cell r="X263">
            <v>2</v>
          </cell>
        </row>
        <row r="264">
          <cell r="B264" t="str">
            <v>8c72</v>
          </cell>
          <cell r="C264" t="str">
            <v>其他权益工具（永续债）_盈余公积转增资本</v>
          </cell>
          <cell r="D264">
            <v>-1</v>
          </cell>
          <cell r="E264" t="str">
            <v>OEI</v>
          </cell>
          <cell r="F264">
            <v>0</v>
          </cell>
          <cell r="G264" t="str">
            <v>盈余公积转增资本（或股本）</v>
          </cell>
          <cell r="H264">
            <v>0</v>
          </cell>
          <cell r="I264" t="str">
            <v>8c72</v>
          </cell>
          <cell r="J264" t="str">
            <v>J</v>
          </cell>
          <cell r="M264" t="str">
            <v>一般风险准备_综合收益总额增加权益</v>
          </cell>
          <cell r="S264" t="str">
            <v>6671a</v>
          </cell>
          <cell r="T264" t="str">
            <v>资产减值损失明细项目</v>
          </cell>
          <cell r="U264" t="str">
            <v>项       目</v>
          </cell>
          <cell r="V264">
            <v>1</v>
          </cell>
          <cell r="W264">
            <v>6671</v>
          </cell>
          <cell r="X264">
            <v>1</v>
          </cell>
        </row>
        <row r="265">
          <cell r="B265" t="str">
            <v>8c73</v>
          </cell>
          <cell r="C265" t="str">
            <v>其他权益工具（永续债）_盈余公积弥补亏损</v>
          </cell>
          <cell r="D265">
            <v>-1</v>
          </cell>
          <cell r="E265" t="str">
            <v>OEI</v>
          </cell>
          <cell r="F265">
            <v>0</v>
          </cell>
          <cell r="G265" t="str">
            <v>盈余公积弥补亏损</v>
          </cell>
          <cell r="H265">
            <v>0</v>
          </cell>
          <cell r="I265" t="str">
            <v>8c73</v>
          </cell>
          <cell r="J265" t="str">
            <v>J</v>
          </cell>
          <cell r="M265" t="str">
            <v>一般风险准备_所有者投入资本增加权益</v>
          </cell>
          <cell r="S265" t="str">
            <v>6101a</v>
          </cell>
          <cell r="T265" t="str">
            <v>公允价值变动收益明细项目</v>
          </cell>
          <cell r="U265" t="str">
            <v>产生公允价值变动收益的来源</v>
          </cell>
          <cell r="V265">
            <v>1</v>
          </cell>
          <cell r="W265">
            <v>6101</v>
          </cell>
          <cell r="X265">
            <v>1</v>
          </cell>
        </row>
        <row r="266">
          <cell r="B266" t="str">
            <v>8c75</v>
          </cell>
          <cell r="C266" t="str">
            <v>其他权益工具（永续债）_设定受益计划变动额结转留存收益</v>
          </cell>
          <cell r="D266">
            <v>-1</v>
          </cell>
          <cell r="E266" t="str">
            <v>OEI</v>
          </cell>
          <cell r="F266">
            <v>0</v>
          </cell>
          <cell r="G266" t="str">
            <v>设定受益计划变动额结转留存收益</v>
          </cell>
          <cell r="H266">
            <v>0</v>
          </cell>
          <cell r="I266" t="str">
            <v>8c75</v>
          </cell>
          <cell r="J266" t="str">
            <v>J</v>
          </cell>
          <cell r="M266" t="str">
            <v>一般风险准备_股份支付计入所有者权益的金额</v>
          </cell>
          <cell r="S266" t="str">
            <v>6111a</v>
          </cell>
          <cell r="T266" t="str">
            <v>投资收益按来源列示</v>
          </cell>
          <cell r="U266" t="str">
            <v>项       目</v>
          </cell>
          <cell r="V266">
            <v>1</v>
          </cell>
          <cell r="W266">
            <v>6111</v>
          </cell>
          <cell r="X266">
            <v>1</v>
          </cell>
        </row>
        <row r="267">
          <cell r="B267" t="str">
            <v>8c76</v>
          </cell>
          <cell r="C267" t="str">
            <v>其他权益工具（永续债）_所有者权益其他内部结转</v>
          </cell>
          <cell r="D267">
            <v>-1</v>
          </cell>
          <cell r="E267" t="str">
            <v>OEI</v>
          </cell>
          <cell r="F267">
            <v>0</v>
          </cell>
          <cell r="G267" t="str">
            <v>其他</v>
          </cell>
          <cell r="H267">
            <v>0</v>
          </cell>
          <cell r="I267" t="str">
            <v>8c76</v>
          </cell>
          <cell r="J267" t="str">
            <v>J</v>
          </cell>
          <cell r="M267" t="str">
            <v>一般风险准备_其他权益工具持有者投入资本</v>
          </cell>
          <cell r="S267" t="str">
            <v>6171a</v>
          </cell>
          <cell r="T267" t="str">
            <v>资产处置收益明细项目</v>
          </cell>
          <cell r="U267" t="str">
            <v>项       目</v>
          </cell>
          <cell r="V267">
            <v>1</v>
          </cell>
          <cell r="W267">
            <v>6171</v>
          </cell>
          <cell r="X267">
            <v>1</v>
          </cell>
        </row>
        <row r="268">
          <cell r="B268" t="str">
            <v>8c80</v>
          </cell>
          <cell r="C268" t="str">
            <v>其他权益工具（永续债）_专项储备影响权益</v>
          </cell>
          <cell r="D268">
            <v>0</v>
          </cell>
          <cell r="E268" t="str">
            <v>OEI＝</v>
          </cell>
          <cell r="F268">
            <v>0</v>
          </cell>
          <cell r="G268" t="str">
            <v>（五）专项储备</v>
          </cell>
          <cell r="H268">
            <v>0</v>
          </cell>
          <cell r="I268" t="str">
            <v>8c80</v>
          </cell>
          <cell r="J268">
            <v>0</v>
          </cell>
          <cell r="M268" t="str">
            <v>一般风险准备_所有者其他投入和减少资本</v>
          </cell>
          <cell r="S268" t="str">
            <v>6181a</v>
          </cell>
          <cell r="T268" t="str">
            <v>其他收益明细项目</v>
          </cell>
          <cell r="U268" t="str">
            <v>项       目</v>
          </cell>
          <cell r="V268">
            <v>1</v>
          </cell>
          <cell r="W268">
            <v>6181</v>
          </cell>
          <cell r="X268">
            <v>1</v>
          </cell>
        </row>
        <row r="269">
          <cell r="B269" t="str">
            <v>8c81</v>
          </cell>
          <cell r="C269" t="str">
            <v>其他权益工具（永续债）_专项储备本期提取</v>
          </cell>
          <cell r="D269">
            <v>-1</v>
          </cell>
          <cell r="E269" t="str">
            <v>OEI</v>
          </cell>
          <cell r="F269">
            <v>0</v>
          </cell>
          <cell r="G269" t="str">
            <v>本期提取</v>
          </cell>
          <cell r="H269">
            <v>0</v>
          </cell>
          <cell r="I269" t="str">
            <v>8c81</v>
          </cell>
          <cell r="J269" t="str">
            <v>J</v>
          </cell>
          <cell r="M269" t="str">
            <v>一般风险准备_提取盈余公积影响权益</v>
          </cell>
          <cell r="S269" t="str">
            <v>6710a</v>
          </cell>
          <cell r="T269" t="str">
            <v>营业外收入明细项目</v>
          </cell>
          <cell r="U269" t="str">
            <v>项       目</v>
          </cell>
          <cell r="V269">
            <v>1</v>
          </cell>
          <cell r="W269">
            <v>6710</v>
          </cell>
          <cell r="X269">
            <v>1</v>
          </cell>
        </row>
        <row r="270">
          <cell r="B270" t="str">
            <v>8c82</v>
          </cell>
          <cell r="C270" t="str">
            <v>其他权益工具（永续债）_专项储备本期使用</v>
          </cell>
          <cell r="D270">
            <v>-1</v>
          </cell>
          <cell r="E270" t="str">
            <v>OEI</v>
          </cell>
          <cell r="F270">
            <v>0</v>
          </cell>
          <cell r="G270" t="str">
            <v>本期使用</v>
          </cell>
          <cell r="H270">
            <v>0</v>
          </cell>
          <cell r="I270" t="str">
            <v>8c82</v>
          </cell>
          <cell r="J270" t="str">
            <v>J</v>
          </cell>
          <cell r="M270" t="str">
            <v>一般风险准备_提取</v>
          </cell>
          <cell r="S270" t="str">
            <v>6710b</v>
          </cell>
          <cell r="T270" t="str">
            <v>政府补助明细列示</v>
          </cell>
          <cell r="U270" t="str">
            <v>项       目</v>
          </cell>
          <cell r="V270">
            <v>1</v>
          </cell>
          <cell r="W270">
            <v>6710</v>
          </cell>
          <cell r="X270">
            <v>2</v>
          </cell>
        </row>
        <row r="271">
          <cell r="B271" t="str">
            <v>8c96</v>
          </cell>
          <cell r="C271" t="str">
            <v>其他权益工具（永续债）_本期其他增减变动</v>
          </cell>
          <cell r="D271">
            <v>-1</v>
          </cell>
          <cell r="E271" t="str">
            <v>OEI</v>
          </cell>
          <cell r="F271">
            <v>0</v>
          </cell>
          <cell r="G271" t="str">
            <v>（七）其他</v>
          </cell>
          <cell r="H271">
            <v>0</v>
          </cell>
          <cell r="I271" t="str">
            <v>8c96</v>
          </cell>
          <cell r="J271" t="str">
            <v>J</v>
          </cell>
          <cell r="M271" t="str">
            <v>一般风险准备_对所有者的分配影响权益</v>
          </cell>
          <cell r="S271" t="str">
            <v>6711a</v>
          </cell>
          <cell r="T271" t="str">
            <v>营业外支出明细项目</v>
          </cell>
          <cell r="U271" t="str">
            <v>项       目</v>
          </cell>
          <cell r="V271">
            <v>1</v>
          </cell>
          <cell r="W271">
            <v>6711</v>
          </cell>
          <cell r="X271">
            <v>1</v>
          </cell>
        </row>
        <row r="272">
          <cell r="B272" t="str">
            <v>8c99</v>
          </cell>
          <cell r="C272" t="str">
            <v>其他权益工具（永续债）_本期期末余额</v>
          </cell>
          <cell r="D272">
            <v>0</v>
          </cell>
          <cell r="E272" t="str">
            <v>OEI＝</v>
          </cell>
          <cell r="F272">
            <v>0</v>
          </cell>
          <cell r="G272" t="str">
            <v>四、本期期末余额</v>
          </cell>
          <cell r="H272">
            <v>0</v>
          </cell>
          <cell r="I272" t="str">
            <v>8c99</v>
          </cell>
          <cell r="J272">
            <v>0</v>
          </cell>
          <cell r="M272" t="str">
            <v>一般风险准备_其他利润分配</v>
          </cell>
          <cell r="S272" t="str">
            <v>6791a</v>
          </cell>
          <cell r="T272" t="str">
            <v>所得税费用明细</v>
          </cell>
          <cell r="U272" t="str">
            <v>项       目</v>
          </cell>
          <cell r="V272">
            <v>1</v>
          </cell>
          <cell r="W272">
            <v>6791</v>
          </cell>
          <cell r="X272">
            <v>1</v>
          </cell>
        </row>
        <row r="273">
          <cell r="B273" t="str">
            <v>8d00</v>
          </cell>
          <cell r="C273" t="str">
            <v>其他权益工具（其他）增减变动</v>
          </cell>
          <cell r="D273">
            <v>0</v>
          </cell>
          <cell r="E273" t="str">
            <v>：OEI</v>
          </cell>
          <cell r="F273">
            <v>0</v>
          </cell>
          <cell r="G273" t="str">
            <v>其他权益工具（其他）增减变动</v>
          </cell>
          <cell r="H273">
            <v>0</v>
          </cell>
          <cell r="I273" t="str">
            <v>8d00</v>
          </cell>
          <cell r="J273">
            <v>0</v>
          </cell>
          <cell r="M273" t="str">
            <v>一般风险准备_资本公积转增资本影响权益</v>
          </cell>
          <cell r="S273" t="str">
            <v>6791b</v>
          </cell>
          <cell r="T273" t="str">
            <v>所得税费用与利润总额的关系</v>
          </cell>
          <cell r="U273" t="str">
            <v>项       目</v>
          </cell>
          <cell r="V273">
            <v>1</v>
          </cell>
          <cell r="W273">
            <v>6791</v>
          </cell>
          <cell r="X273">
            <v>2</v>
          </cell>
        </row>
        <row r="274">
          <cell r="B274" t="str">
            <v>8d01</v>
          </cell>
          <cell r="C274" t="str">
            <v>其他权益工具（其他）_上年年末余额</v>
          </cell>
          <cell r="D274">
            <v>-1</v>
          </cell>
          <cell r="E274" t="str">
            <v>OEI</v>
          </cell>
          <cell r="F274">
            <v>0</v>
          </cell>
          <cell r="G274" t="str">
            <v>一、上年年末余额</v>
          </cell>
          <cell r="H274">
            <v>0</v>
          </cell>
          <cell r="I274" t="str">
            <v>8d01</v>
          </cell>
          <cell r="J274" t="str">
            <v>J</v>
          </cell>
          <cell r="M274" t="str">
            <v>一般风险准备_盈余公积转增资本影响权益</v>
          </cell>
          <cell r="S274" t="str">
            <v>7046a</v>
          </cell>
          <cell r="T274" t="str">
            <v>收到的其他与经营活动有关的现金</v>
          </cell>
          <cell r="U274" t="str">
            <v>项       目</v>
          </cell>
          <cell r="V274">
            <v>1</v>
          </cell>
          <cell r="W274">
            <v>7046</v>
          </cell>
          <cell r="X274">
            <v>1</v>
          </cell>
        </row>
        <row r="275">
          <cell r="B275" t="str">
            <v>8d02</v>
          </cell>
          <cell r="C275" t="str">
            <v>其他权益工具（其他）_会计政策变更调整上年年末余额</v>
          </cell>
          <cell r="D275">
            <v>-1</v>
          </cell>
          <cell r="E275" t="str">
            <v>OEI</v>
          </cell>
          <cell r="F275">
            <v>0</v>
          </cell>
          <cell r="G275" t="str">
            <v>加：会计政策变更</v>
          </cell>
          <cell r="H275">
            <v>0</v>
          </cell>
          <cell r="I275" t="str">
            <v>8d02</v>
          </cell>
          <cell r="J275" t="str">
            <v>J</v>
          </cell>
          <cell r="M275" t="str">
            <v>一般风险准备_盈余公积弥补亏损影响权益</v>
          </cell>
          <cell r="S275" t="str">
            <v>7046x</v>
          </cell>
          <cell r="T275" t="str">
            <v>收到其他与经营活动有关的现金计算表</v>
          </cell>
          <cell r="U275" t="str">
            <v>项       目</v>
          </cell>
          <cell r="V275">
            <v>1</v>
          </cell>
          <cell r="W275">
            <v>7046</v>
          </cell>
          <cell r="X275">
            <v>2</v>
          </cell>
        </row>
        <row r="276">
          <cell r="B276" t="str">
            <v>8d03</v>
          </cell>
          <cell r="C276" t="str">
            <v>其他权益工具（其他）_前期差错更正调整上年年末余额</v>
          </cell>
          <cell r="D276">
            <v>-1</v>
          </cell>
          <cell r="E276" t="str">
            <v>OEI</v>
          </cell>
          <cell r="F276">
            <v>0</v>
          </cell>
          <cell r="G276" t="str">
            <v>前期差错更正</v>
          </cell>
          <cell r="H276">
            <v>0</v>
          </cell>
          <cell r="I276" t="str">
            <v>8d03</v>
          </cell>
          <cell r="J276" t="str">
            <v>J</v>
          </cell>
          <cell r="M276" t="str">
            <v>一般风险准备_设定受益计划变动额结转留存收益</v>
          </cell>
          <cell r="S276" t="str">
            <v>7096a</v>
          </cell>
          <cell r="T276" t="str">
            <v>支付的其他与经营活动有关的现金</v>
          </cell>
          <cell r="U276" t="str">
            <v>项       目</v>
          </cell>
          <cell r="V276">
            <v>1</v>
          </cell>
          <cell r="W276">
            <v>7096</v>
          </cell>
          <cell r="X276">
            <v>1</v>
          </cell>
        </row>
        <row r="277">
          <cell r="B277" t="str">
            <v>8d04</v>
          </cell>
          <cell r="C277" t="str">
            <v>其他权益工具（其他）_同一控制下企业合并调整上年年末余额</v>
          </cell>
          <cell r="D277">
            <v>-1</v>
          </cell>
          <cell r="E277" t="str">
            <v>※OEI</v>
          </cell>
          <cell r="F277">
            <v>0</v>
          </cell>
          <cell r="G277" t="str">
            <v>同一控制下企业合并</v>
          </cell>
          <cell r="H277">
            <v>0</v>
          </cell>
          <cell r="I277" t="str">
            <v>8d04</v>
          </cell>
          <cell r="J277" t="str">
            <v>J</v>
          </cell>
          <cell r="M277" t="str">
            <v>一般风险准备_所有者权益其他内部结转</v>
          </cell>
          <cell r="S277" t="str">
            <v>7096x</v>
          </cell>
          <cell r="T277" t="str">
            <v>支付其他与经营活动有关的现金计算表</v>
          </cell>
          <cell r="U277" t="str">
            <v>项       目</v>
          </cell>
          <cell r="V277">
            <v>1</v>
          </cell>
          <cell r="W277">
            <v>7096</v>
          </cell>
          <cell r="X277">
            <v>2</v>
          </cell>
        </row>
        <row r="278">
          <cell r="B278" t="str">
            <v>8d09</v>
          </cell>
          <cell r="C278" t="str">
            <v>其他权益工具（其他）_其他原因调整上年年末余额</v>
          </cell>
          <cell r="D278">
            <v>-1</v>
          </cell>
          <cell r="E278" t="str">
            <v>OEI</v>
          </cell>
          <cell r="F278">
            <v>0</v>
          </cell>
          <cell r="G278" t="str">
            <v>其他</v>
          </cell>
          <cell r="H278">
            <v>0</v>
          </cell>
          <cell r="I278" t="str">
            <v>8d09</v>
          </cell>
          <cell r="J278" t="str">
            <v>J</v>
          </cell>
          <cell r="M278" t="str">
            <v>一般风险准备_专项储备本期提取</v>
          </cell>
          <cell r="S278" t="str">
            <v>7146a</v>
          </cell>
          <cell r="T278" t="str">
            <v>收到的其他与投资活动有关的现金</v>
          </cell>
          <cell r="U278" t="str">
            <v>项       目</v>
          </cell>
          <cell r="V278">
            <v>1</v>
          </cell>
          <cell r="W278">
            <v>7146</v>
          </cell>
          <cell r="X278">
            <v>1</v>
          </cell>
        </row>
        <row r="279">
          <cell r="B279" t="str">
            <v>8d10</v>
          </cell>
          <cell r="C279" t="str">
            <v>其他权益工具（其他）_本年年初余额</v>
          </cell>
          <cell r="D279">
            <v>0</v>
          </cell>
          <cell r="E279" t="str">
            <v>OEI＝</v>
          </cell>
          <cell r="F279">
            <v>0</v>
          </cell>
          <cell r="G279" t="str">
            <v>二、本年年初余额</v>
          </cell>
          <cell r="H279">
            <v>0</v>
          </cell>
          <cell r="I279" t="str">
            <v>8d10</v>
          </cell>
          <cell r="J279">
            <v>0</v>
          </cell>
          <cell r="M279" t="str">
            <v>一般风险准备_专项储备本期使用</v>
          </cell>
          <cell r="S279" t="str">
            <v>7196a</v>
          </cell>
          <cell r="T279" t="str">
            <v>支付的其他与投资活动有关的现金</v>
          </cell>
          <cell r="U279" t="str">
            <v>项       目</v>
          </cell>
          <cell r="V279">
            <v>1</v>
          </cell>
          <cell r="W279">
            <v>7196</v>
          </cell>
          <cell r="X279">
            <v>1</v>
          </cell>
        </row>
        <row r="280">
          <cell r="B280" t="str">
            <v>8d90</v>
          </cell>
          <cell r="C280" t="str">
            <v>其他权益工具（其他）_本期增减变动金额</v>
          </cell>
          <cell r="D280">
            <v>0</v>
          </cell>
          <cell r="E280" t="str">
            <v>OEI＝</v>
          </cell>
          <cell r="F280">
            <v>0</v>
          </cell>
          <cell r="G280" t="str">
            <v>三、本期增减变动金额（减少以“-”号填列）</v>
          </cell>
          <cell r="H280">
            <v>0</v>
          </cell>
          <cell r="I280" t="str">
            <v>8d90</v>
          </cell>
          <cell r="J280">
            <v>0</v>
          </cell>
          <cell r="M280" t="str">
            <v>一般风险准备_本期其他增减变动</v>
          </cell>
          <cell r="S280" t="str">
            <v>7246a</v>
          </cell>
          <cell r="T280" t="str">
            <v>收到的其他与筹资活动有关的现金</v>
          </cell>
          <cell r="U280" t="str">
            <v>项       目</v>
          </cell>
          <cell r="V280">
            <v>1</v>
          </cell>
          <cell r="W280">
            <v>7246</v>
          </cell>
          <cell r="X280">
            <v>1</v>
          </cell>
        </row>
        <row r="281">
          <cell r="B281" t="str">
            <v>8d40</v>
          </cell>
          <cell r="C281" t="str">
            <v>其他权益工具（其他）_综合收益总额增加权益</v>
          </cell>
          <cell r="D281">
            <v>-1</v>
          </cell>
          <cell r="E281" t="str">
            <v>OEI</v>
          </cell>
          <cell r="F281">
            <v>0</v>
          </cell>
          <cell r="G281" t="str">
            <v>（一）综合收益总额</v>
          </cell>
          <cell r="H281">
            <v>0</v>
          </cell>
          <cell r="I281" t="str">
            <v>8d40</v>
          </cell>
          <cell r="J281" t="str">
            <v>J</v>
          </cell>
          <cell r="M281" t="str">
            <v>未分配利润_上年年末余额</v>
          </cell>
          <cell r="S281" t="str">
            <v>7296a</v>
          </cell>
          <cell r="T281" t="str">
            <v>支付的其他与筹资活动有关的现金</v>
          </cell>
          <cell r="U281" t="str">
            <v>项       目</v>
          </cell>
          <cell r="V281">
            <v>1</v>
          </cell>
          <cell r="W281">
            <v>7296</v>
          </cell>
          <cell r="X281">
            <v>1</v>
          </cell>
        </row>
        <row r="282">
          <cell r="B282" t="str">
            <v>8d50</v>
          </cell>
          <cell r="C282" t="str">
            <v>其他权益工具（其他）_所有者投入和减少资本影响权益</v>
          </cell>
          <cell r="D282">
            <v>0</v>
          </cell>
          <cell r="E282" t="str">
            <v>OEI＝</v>
          </cell>
          <cell r="F282">
            <v>0</v>
          </cell>
          <cell r="G282" t="str">
            <v>（二）所有者投入和减少资本</v>
          </cell>
          <cell r="H282">
            <v>0</v>
          </cell>
          <cell r="I282" t="str">
            <v>8d50</v>
          </cell>
          <cell r="J282">
            <v>0</v>
          </cell>
          <cell r="M282" t="str">
            <v>未分配利润_会计政策变更调整上年年末余额</v>
          </cell>
          <cell r="S282" t="str">
            <v>7001x</v>
          </cell>
          <cell r="T282" t="str">
            <v>销售商品提供劳务收到的现金计算表</v>
          </cell>
          <cell r="U282" t="str">
            <v>项       目</v>
          </cell>
          <cell r="V282">
            <v>1</v>
          </cell>
          <cell r="W282">
            <v>7001</v>
          </cell>
          <cell r="X282">
            <v>2</v>
          </cell>
        </row>
        <row r="283">
          <cell r="B283" t="str">
            <v>8d51</v>
          </cell>
          <cell r="C283" t="str">
            <v>其他权益工具（其他）_所有者投入资本</v>
          </cell>
          <cell r="D283">
            <v>-1</v>
          </cell>
          <cell r="E283" t="str">
            <v>OEI</v>
          </cell>
          <cell r="F283">
            <v>0</v>
          </cell>
          <cell r="G283" t="str">
            <v>所有者投入资本</v>
          </cell>
          <cell r="H283">
            <v>0</v>
          </cell>
          <cell r="I283" t="str">
            <v>8d51</v>
          </cell>
          <cell r="J283" t="str">
            <v>J</v>
          </cell>
          <cell r="M283" t="str">
            <v>未分配利润_前期差错更正调整上年年末余额</v>
          </cell>
          <cell r="S283" t="str">
            <v>7051x</v>
          </cell>
          <cell r="T283" t="str">
            <v>购买商品接受劳务支付的现金计算表</v>
          </cell>
          <cell r="U283" t="str">
            <v>项       目</v>
          </cell>
          <cell r="V283">
            <v>1</v>
          </cell>
          <cell r="W283">
            <v>7051</v>
          </cell>
          <cell r="X283">
            <v>2</v>
          </cell>
        </row>
        <row r="284">
          <cell r="B284" t="str">
            <v>8d52</v>
          </cell>
          <cell r="C284" t="str">
            <v>其他权益工具（其他）_股份支付</v>
          </cell>
          <cell r="D284">
            <v>-1</v>
          </cell>
          <cell r="E284" t="str">
            <v>OEI</v>
          </cell>
          <cell r="F284">
            <v>0</v>
          </cell>
          <cell r="G284" t="str">
            <v>股份支付计入所有者权益的金额</v>
          </cell>
          <cell r="H284">
            <v>0</v>
          </cell>
          <cell r="I284" t="str">
            <v>8d52</v>
          </cell>
          <cell r="J284" t="str">
            <v>J</v>
          </cell>
          <cell r="M284" t="str">
            <v>未分配利润_同一控制下企业合并调整上年年末余额</v>
          </cell>
          <cell r="S284" t="str">
            <v>7061x</v>
          </cell>
          <cell r="T284" t="str">
            <v>支付给职工以及为职工支付的现金计算表</v>
          </cell>
          <cell r="U284" t="str">
            <v>项       目</v>
          </cell>
          <cell r="V284">
            <v>1</v>
          </cell>
          <cell r="W284">
            <v>7061</v>
          </cell>
          <cell r="X284">
            <v>2</v>
          </cell>
        </row>
        <row r="285">
          <cell r="B285" t="str">
            <v>8d53</v>
          </cell>
          <cell r="C285" t="str">
            <v>其他权益工具（其他）_其他权益工具持有者投入资本</v>
          </cell>
          <cell r="D285">
            <v>-1</v>
          </cell>
          <cell r="E285" t="str">
            <v>OEI</v>
          </cell>
          <cell r="F285">
            <v>0</v>
          </cell>
          <cell r="G285" t="str">
            <v>其他权益工具持有者投入资本</v>
          </cell>
          <cell r="H285">
            <v>0</v>
          </cell>
          <cell r="I285" t="str">
            <v>8d53</v>
          </cell>
          <cell r="J285" t="str">
            <v>J</v>
          </cell>
          <cell r="M285" t="str">
            <v>未分配利润_其他原因调整上年年末余额</v>
          </cell>
          <cell r="S285" t="str">
            <v>7071x</v>
          </cell>
          <cell r="T285" t="str">
            <v>支付的各项税费计算表</v>
          </cell>
          <cell r="U285" t="str">
            <v>项       目</v>
          </cell>
          <cell r="V285">
            <v>1</v>
          </cell>
          <cell r="W285">
            <v>7071</v>
          </cell>
          <cell r="X285">
            <v>2</v>
          </cell>
        </row>
        <row r="286">
          <cell r="B286" t="str">
            <v>8d56</v>
          </cell>
          <cell r="C286" t="str">
            <v>其他权益工具（其他）_所有者其他投入和减少资本</v>
          </cell>
          <cell r="D286">
            <v>-1</v>
          </cell>
          <cell r="E286" t="str">
            <v>OEI</v>
          </cell>
          <cell r="F286">
            <v>0</v>
          </cell>
          <cell r="G286" t="str">
            <v>其他</v>
          </cell>
          <cell r="H286">
            <v>0</v>
          </cell>
          <cell r="I286" t="str">
            <v>8d56</v>
          </cell>
          <cell r="J286" t="str">
            <v>J</v>
          </cell>
          <cell r="M286" t="str">
            <v>未分配利润_所有者投入资本增加权益</v>
          </cell>
          <cell r="S286" t="str">
            <v>7101x</v>
          </cell>
          <cell r="T286" t="str">
            <v>收回投资收到的现金计算表</v>
          </cell>
          <cell r="U286" t="str">
            <v>项       目</v>
          </cell>
          <cell r="V286">
            <v>1</v>
          </cell>
          <cell r="W286">
            <v>7101</v>
          </cell>
          <cell r="X286">
            <v>2</v>
          </cell>
        </row>
        <row r="287">
          <cell r="B287" t="str">
            <v>8d60</v>
          </cell>
          <cell r="C287" t="str">
            <v>其他权益工具（其他）_利润分配影响权益</v>
          </cell>
          <cell r="D287">
            <v>0</v>
          </cell>
          <cell r="E287" t="str">
            <v>OEI＝</v>
          </cell>
          <cell r="F287">
            <v>0</v>
          </cell>
          <cell r="G287" t="str">
            <v>（三）利润分配</v>
          </cell>
          <cell r="H287">
            <v>0</v>
          </cell>
          <cell r="I287" t="str">
            <v>8d60</v>
          </cell>
          <cell r="J287">
            <v>0</v>
          </cell>
          <cell r="M287" t="str">
            <v>未分配利润_股份支付计入所有者权益的金额</v>
          </cell>
          <cell r="S287" t="str">
            <v>7105x</v>
          </cell>
          <cell r="T287" t="str">
            <v>取得投资收益收到的现金计算表</v>
          </cell>
          <cell r="U287" t="str">
            <v>项       目</v>
          </cell>
          <cell r="V287">
            <v>1</v>
          </cell>
          <cell r="W287">
            <v>7105</v>
          </cell>
          <cell r="X287">
            <v>2</v>
          </cell>
        </row>
        <row r="288">
          <cell r="B288" t="str">
            <v>8d61</v>
          </cell>
          <cell r="C288" t="str">
            <v>其他权益工具（其他）_提取盈余公积</v>
          </cell>
          <cell r="D288">
            <v>-1</v>
          </cell>
          <cell r="E288" t="str">
            <v>OEI</v>
          </cell>
          <cell r="F288">
            <v>0</v>
          </cell>
          <cell r="G288" t="str">
            <v>提取盈余公积</v>
          </cell>
          <cell r="H288">
            <v>0</v>
          </cell>
          <cell r="I288" t="str">
            <v>8d61</v>
          </cell>
          <cell r="J288" t="str">
            <v>J</v>
          </cell>
          <cell r="M288" t="str">
            <v>未分配利润_其他权益工具持有者投入资本</v>
          </cell>
          <cell r="S288" t="str">
            <v>7111x</v>
          </cell>
          <cell r="T288" t="str">
            <v>处置固定资产无形资产长期资产收回的现金计算表</v>
          </cell>
          <cell r="U288" t="str">
            <v>项       目</v>
          </cell>
          <cell r="V288">
            <v>1</v>
          </cell>
          <cell r="W288">
            <v>7111</v>
          </cell>
          <cell r="X288">
            <v>2</v>
          </cell>
        </row>
        <row r="289">
          <cell r="B289" t="str">
            <v>8d62</v>
          </cell>
          <cell r="C289" t="str">
            <v>其他权益工具（其他）_提取一般风险准备</v>
          </cell>
          <cell r="D289">
            <v>-1</v>
          </cell>
          <cell r="E289" t="str">
            <v>OEI</v>
          </cell>
          <cell r="F289">
            <v>0</v>
          </cell>
          <cell r="G289" t="str">
            <v>提取一般风险准备</v>
          </cell>
          <cell r="H289">
            <v>0</v>
          </cell>
          <cell r="I289" t="str">
            <v>8d62</v>
          </cell>
          <cell r="J289" t="str">
            <v>J</v>
          </cell>
          <cell r="M289" t="str">
            <v>未分配利润_所有者其他投入和减少资本</v>
          </cell>
          <cell r="S289" t="str">
            <v>7151x</v>
          </cell>
          <cell r="T289" t="str">
            <v>购置固定资产无形资产长期资产支付的现金计算表</v>
          </cell>
          <cell r="U289" t="str">
            <v>项       目</v>
          </cell>
          <cell r="V289">
            <v>1</v>
          </cell>
          <cell r="W289">
            <v>7151</v>
          </cell>
          <cell r="X289">
            <v>2</v>
          </cell>
        </row>
        <row r="290">
          <cell r="B290" t="str">
            <v>8d63</v>
          </cell>
          <cell r="C290" t="str">
            <v>其他权益工具（其他）_对所有者的分配</v>
          </cell>
          <cell r="D290">
            <v>-1</v>
          </cell>
          <cell r="E290" t="str">
            <v>OEI</v>
          </cell>
          <cell r="F290">
            <v>0</v>
          </cell>
          <cell r="G290" t="str">
            <v>对所有者（或股东）的分配</v>
          </cell>
          <cell r="H290">
            <v>0</v>
          </cell>
          <cell r="I290" t="str">
            <v>8d63</v>
          </cell>
          <cell r="J290" t="str">
            <v>J</v>
          </cell>
          <cell r="M290" t="str">
            <v>未分配利润_提取盈余公积</v>
          </cell>
          <cell r="S290" t="str">
            <v>7161x</v>
          </cell>
          <cell r="T290" t="str">
            <v>投资支付的现金计算表</v>
          </cell>
          <cell r="U290" t="str">
            <v>项       目</v>
          </cell>
          <cell r="V290">
            <v>1</v>
          </cell>
          <cell r="W290">
            <v>7161</v>
          </cell>
          <cell r="X290">
            <v>2</v>
          </cell>
        </row>
        <row r="291">
          <cell r="B291" t="str">
            <v>8d66</v>
          </cell>
          <cell r="C291" t="str">
            <v>其他权益工具（其他）_其他利润分配</v>
          </cell>
          <cell r="D291">
            <v>-1</v>
          </cell>
          <cell r="E291" t="str">
            <v>OEI</v>
          </cell>
          <cell r="F291">
            <v>0</v>
          </cell>
          <cell r="G291" t="str">
            <v>其他</v>
          </cell>
          <cell r="H291">
            <v>0</v>
          </cell>
          <cell r="I291" t="str">
            <v>8d66</v>
          </cell>
          <cell r="J291" t="str">
            <v>J</v>
          </cell>
          <cell r="M291" t="str">
            <v>未分配利润_提取一般风险准备</v>
          </cell>
          <cell r="S291" t="str">
            <v>7211x</v>
          </cell>
          <cell r="T291" t="str">
            <v>取得借款收到的现金计算表</v>
          </cell>
          <cell r="U291" t="str">
            <v>项       目</v>
          </cell>
          <cell r="V291">
            <v>1</v>
          </cell>
          <cell r="W291">
            <v>7211</v>
          </cell>
          <cell r="X291">
            <v>2</v>
          </cell>
        </row>
        <row r="292">
          <cell r="B292" t="str">
            <v>8d70</v>
          </cell>
          <cell r="C292" t="str">
            <v>其他权益工具（其他）_所有者权益内部结转</v>
          </cell>
          <cell r="D292">
            <v>0</v>
          </cell>
          <cell r="E292" t="str">
            <v>OEI＝</v>
          </cell>
          <cell r="F292">
            <v>0</v>
          </cell>
          <cell r="G292" t="str">
            <v>（四）所有者权益内部结转</v>
          </cell>
          <cell r="H292">
            <v>0</v>
          </cell>
          <cell r="I292" t="str">
            <v>8d70</v>
          </cell>
          <cell r="J292">
            <v>0</v>
          </cell>
          <cell r="M292" t="str">
            <v>未分配利润_对所有者的分配</v>
          </cell>
          <cell r="S292" t="str">
            <v>7251x</v>
          </cell>
          <cell r="T292" t="str">
            <v>偿还债务支付的现金计算表</v>
          </cell>
          <cell r="U292" t="str">
            <v>项       目</v>
          </cell>
          <cell r="V292">
            <v>1</v>
          </cell>
          <cell r="W292">
            <v>7251</v>
          </cell>
          <cell r="X292">
            <v>2</v>
          </cell>
        </row>
        <row r="293">
          <cell r="B293" t="str">
            <v>8d71</v>
          </cell>
          <cell r="C293" t="str">
            <v>其他权益工具（其他）_资本公积转增资本</v>
          </cell>
          <cell r="D293">
            <v>-1</v>
          </cell>
          <cell r="E293" t="str">
            <v>OEI</v>
          </cell>
          <cell r="F293">
            <v>0</v>
          </cell>
          <cell r="G293" t="str">
            <v>资本公积转增资本（或股本）</v>
          </cell>
          <cell r="H293">
            <v>0</v>
          </cell>
          <cell r="I293" t="str">
            <v>8d71</v>
          </cell>
          <cell r="J293" t="str">
            <v>J</v>
          </cell>
          <cell r="M293" t="str">
            <v>未分配利润_其他利润分配</v>
          </cell>
          <cell r="S293" t="str">
            <v>7261x</v>
          </cell>
          <cell r="T293" t="str">
            <v>分配利润偿付利息支付的现金计算表</v>
          </cell>
          <cell r="U293" t="str">
            <v>项       目</v>
          </cell>
          <cell r="V293">
            <v>1</v>
          </cell>
          <cell r="W293">
            <v>7261</v>
          </cell>
          <cell r="X293">
            <v>2</v>
          </cell>
        </row>
        <row r="294">
          <cell r="B294" t="str">
            <v>8d72</v>
          </cell>
          <cell r="C294" t="str">
            <v>其他权益工具（其他）_盈余公积转增资本</v>
          </cell>
          <cell r="D294">
            <v>-1</v>
          </cell>
          <cell r="E294" t="str">
            <v>OEI</v>
          </cell>
          <cell r="F294">
            <v>0</v>
          </cell>
          <cell r="G294" t="str">
            <v>盈余公积转增资本（或股本）</v>
          </cell>
          <cell r="H294">
            <v>0</v>
          </cell>
          <cell r="I294" t="str">
            <v>8d72</v>
          </cell>
          <cell r="J294" t="str">
            <v>J</v>
          </cell>
          <cell r="M294" t="str">
            <v>未分配利润_资本公积转增资本影响权益</v>
          </cell>
          <cell r="S294" t="str">
            <v>7500a</v>
          </cell>
          <cell r="T294" t="str">
            <v>将净利润调节为经营活动现金流量</v>
          </cell>
          <cell r="U294" t="str">
            <v>补充资料</v>
          </cell>
          <cell r="V294">
            <v>-2</v>
          </cell>
          <cell r="W294">
            <v>0</v>
          </cell>
          <cell r="X294">
            <v>2</v>
          </cell>
        </row>
        <row r="295">
          <cell r="B295" t="str">
            <v>8d73</v>
          </cell>
          <cell r="C295" t="str">
            <v>其他权益工具（其他）_盈余公积弥补亏损</v>
          </cell>
          <cell r="D295">
            <v>-1</v>
          </cell>
          <cell r="E295" t="str">
            <v>OEI</v>
          </cell>
          <cell r="F295">
            <v>0</v>
          </cell>
          <cell r="G295" t="str">
            <v>盈余公积弥补亏损</v>
          </cell>
          <cell r="H295">
            <v>0</v>
          </cell>
          <cell r="I295" t="str">
            <v>8d73</v>
          </cell>
          <cell r="J295" t="str">
            <v>J</v>
          </cell>
          <cell r="M295" t="str">
            <v>未分配利润_盈余公积转增资本影响权益</v>
          </cell>
          <cell r="S295" t="str">
            <v>7500b</v>
          </cell>
          <cell r="T295" t="str">
            <v>不涉及现金收支的重大投资和筹资活动</v>
          </cell>
          <cell r="U295" t="str">
            <v>补充资料</v>
          </cell>
          <cell r="V295">
            <v>-2</v>
          </cell>
          <cell r="W295">
            <v>0</v>
          </cell>
          <cell r="X295">
            <v>2</v>
          </cell>
        </row>
        <row r="296">
          <cell r="B296" t="str">
            <v>8d75</v>
          </cell>
          <cell r="C296" t="str">
            <v>其他权益工具（其他）_设定受益计划变动额结转留存收益</v>
          </cell>
          <cell r="D296">
            <v>-1</v>
          </cell>
          <cell r="E296" t="str">
            <v>OEI</v>
          </cell>
          <cell r="F296">
            <v>0</v>
          </cell>
          <cell r="G296" t="str">
            <v>设定受益计划变动额结转留存收益</v>
          </cell>
          <cell r="H296">
            <v>0</v>
          </cell>
          <cell r="I296" t="str">
            <v>8d75</v>
          </cell>
          <cell r="J296" t="str">
            <v>J</v>
          </cell>
          <cell r="M296" t="str">
            <v>未分配利润_盈余公积弥补亏损</v>
          </cell>
          <cell r="S296" t="str">
            <v>7500c</v>
          </cell>
          <cell r="T296" t="str">
            <v>现金及现金等价物净变动情况</v>
          </cell>
          <cell r="U296" t="str">
            <v>补充资料</v>
          </cell>
          <cell r="V296">
            <v>-2</v>
          </cell>
          <cell r="W296">
            <v>0</v>
          </cell>
          <cell r="X296">
            <v>2</v>
          </cell>
        </row>
        <row r="297">
          <cell r="B297" t="str">
            <v>8d76</v>
          </cell>
          <cell r="C297" t="str">
            <v>其他权益工具（其他）_所有者权益其他内部结转</v>
          </cell>
          <cell r="D297">
            <v>-1</v>
          </cell>
          <cell r="E297" t="str">
            <v>OEI</v>
          </cell>
          <cell r="F297">
            <v>0</v>
          </cell>
          <cell r="G297" t="str">
            <v>其他</v>
          </cell>
          <cell r="H297">
            <v>0</v>
          </cell>
          <cell r="I297" t="str">
            <v>8d76</v>
          </cell>
          <cell r="J297" t="str">
            <v>J</v>
          </cell>
          <cell r="M297" t="str">
            <v>未分配利润_设定受益计划变动额结转留存收益</v>
          </cell>
          <cell r="S297" t="str">
            <v>7500g</v>
          </cell>
          <cell r="T297" t="str">
            <v xml:space="preserve">本期支付的取得子公司的现金净额 </v>
          </cell>
          <cell r="U297" t="str">
            <v>项       目</v>
          </cell>
          <cell r="V297">
            <v>-2</v>
          </cell>
          <cell r="W297">
            <v>0</v>
          </cell>
          <cell r="X297">
            <v>2</v>
          </cell>
        </row>
        <row r="298">
          <cell r="B298" t="str">
            <v>8d80</v>
          </cell>
          <cell r="C298" t="str">
            <v>其他权益工具（其他）_专项储备影响权益</v>
          </cell>
          <cell r="D298">
            <v>0</v>
          </cell>
          <cell r="E298" t="str">
            <v>OEI＝</v>
          </cell>
          <cell r="F298">
            <v>0</v>
          </cell>
          <cell r="G298" t="str">
            <v>（五）专项储备</v>
          </cell>
          <cell r="H298">
            <v>0</v>
          </cell>
          <cell r="I298" t="str">
            <v>8d80</v>
          </cell>
          <cell r="J298">
            <v>0</v>
          </cell>
          <cell r="M298" t="str">
            <v>未分配利润_所有者权益其他内部结转</v>
          </cell>
          <cell r="S298" t="str">
            <v>7500h</v>
          </cell>
          <cell r="T298" t="str">
            <v xml:space="preserve">本期收到的处置子公司的现金净额 </v>
          </cell>
          <cell r="U298" t="str">
            <v>项       目</v>
          </cell>
          <cell r="V298">
            <v>-2</v>
          </cell>
          <cell r="W298">
            <v>0</v>
          </cell>
          <cell r="X298">
            <v>2</v>
          </cell>
        </row>
        <row r="299">
          <cell r="B299" t="str">
            <v>8d81</v>
          </cell>
          <cell r="C299" t="str">
            <v>其他权益工具（其他）_专项储备本期提取</v>
          </cell>
          <cell r="D299">
            <v>-1</v>
          </cell>
          <cell r="E299" t="str">
            <v>OEI</v>
          </cell>
          <cell r="F299">
            <v>0</v>
          </cell>
          <cell r="G299" t="str">
            <v>本期提取</v>
          </cell>
          <cell r="H299">
            <v>0</v>
          </cell>
          <cell r="I299" t="str">
            <v>8d81</v>
          </cell>
          <cell r="J299" t="str">
            <v>J</v>
          </cell>
          <cell r="M299" t="str">
            <v>未分配利润_专项储备本期提取</v>
          </cell>
          <cell r="S299" t="str">
            <v>7500e</v>
          </cell>
          <cell r="T299" t="str">
            <v>现金及现金等价物的构成</v>
          </cell>
          <cell r="U299" t="str">
            <v>项       目</v>
          </cell>
          <cell r="V299">
            <v>-2</v>
          </cell>
          <cell r="W299">
            <v>0</v>
          </cell>
          <cell r="X299">
            <v>2</v>
          </cell>
        </row>
        <row r="300">
          <cell r="B300" t="str">
            <v>8d82</v>
          </cell>
          <cell r="C300" t="str">
            <v>其他权益工具（其他）_专项储备本期使用</v>
          </cell>
          <cell r="D300">
            <v>-1</v>
          </cell>
          <cell r="E300" t="str">
            <v>OEI</v>
          </cell>
          <cell r="F300">
            <v>0</v>
          </cell>
          <cell r="G300" t="str">
            <v>本期使用</v>
          </cell>
          <cell r="H300">
            <v>0</v>
          </cell>
          <cell r="I300" t="str">
            <v>8d82</v>
          </cell>
          <cell r="J300" t="str">
            <v>J</v>
          </cell>
          <cell r="M300" t="str">
            <v>未分配利润_专项储备本期使用</v>
          </cell>
          <cell r="S300" t="str">
            <v>7500f</v>
          </cell>
          <cell r="T300" t="str">
            <v>货币资金与现金及现金等价物的调节</v>
          </cell>
          <cell r="U300" t="str">
            <v>项       目</v>
          </cell>
          <cell r="V300">
            <v>-2</v>
          </cell>
          <cell r="W300">
            <v>0</v>
          </cell>
          <cell r="X300">
            <v>2</v>
          </cell>
        </row>
        <row r="301">
          <cell r="B301" t="str">
            <v>8d96</v>
          </cell>
          <cell r="C301" t="str">
            <v>其他权益工具（其他）_本期其他增减变动</v>
          </cell>
          <cell r="D301">
            <v>-1</v>
          </cell>
          <cell r="E301" t="str">
            <v>OEI</v>
          </cell>
          <cell r="F301">
            <v>0</v>
          </cell>
          <cell r="G301" t="str">
            <v>（七）其他</v>
          </cell>
          <cell r="H301">
            <v>0</v>
          </cell>
          <cell r="I301" t="str">
            <v>8d96</v>
          </cell>
          <cell r="J301" t="str">
            <v>J</v>
          </cell>
          <cell r="M301" t="str">
            <v>未分配利润_本期其他增减变动</v>
          </cell>
          <cell r="S301" t="str">
            <v>7500d</v>
          </cell>
          <cell r="T301" t="str">
            <v>本期取得或处置子公司及其他营业单位的有关信息</v>
          </cell>
          <cell r="U301" t="str">
            <v>项       目</v>
          </cell>
          <cell r="V301">
            <v>-2</v>
          </cell>
          <cell r="W301">
            <v>0</v>
          </cell>
          <cell r="X301">
            <v>2</v>
          </cell>
        </row>
        <row r="302">
          <cell r="B302" t="str">
            <v>8d99</v>
          </cell>
          <cell r="C302" t="str">
            <v>其他权益工具（其他）_本期期末余额</v>
          </cell>
          <cell r="D302">
            <v>0</v>
          </cell>
          <cell r="E302" t="str">
            <v>OEI＝</v>
          </cell>
          <cell r="F302">
            <v>0</v>
          </cell>
          <cell r="G302" t="str">
            <v>四、本期期末余额</v>
          </cell>
          <cell r="H302">
            <v>0</v>
          </cell>
          <cell r="I302" t="str">
            <v>8d99</v>
          </cell>
          <cell r="J302">
            <v>0</v>
          </cell>
          <cell r="M302" t="str">
            <v>少数股东权益_上年年末余额</v>
          </cell>
          <cell r="S302" t="str">
            <v>7503a</v>
          </cell>
          <cell r="T302" t="str">
            <v>将净利润调节为经营活动现金流量：资产减值准备金额</v>
          </cell>
          <cell r="U302" t="str">
            <v>项       目</v>
          </cell>
          <cell r="V302">
            <v>1</v>
          </cell>
          <cell r="W302">
            <v>0</v>
          </cell>
          <cell r="X302">
            <v>9</v>
          </cell>
        </row>
        <row r="303">
          <cell r="B303" t="str">
            <v>8g00</v>
          </cell>
          <cell r="C303" t="str">
            <v>其他综合收益增减变动</v>
          </cell>
          <cell r="D303">
            <v>0</v>
          </cell>
          <cell r="E303" t="str">
            <v>：</v>
          </cell>
          <cell r="F303">
            <v>0</v>
          </cell>
          <cell r="G303" t="str">
            <v>其他综合收益增减变动</v>
          </cell>
          <cell r="H303">
            <v>0</v>
          </cell>
          <cell r="I303" t="str">
            <v>8g00</v>
          </cell>
          <cell r="J303">
            <v>0</v>
          </cell>
          <cell r="M303" t="str">
            <v>少数股东权益_会计政策变更调整上年年末余额</v>
          </cell>
          <cell r="S303" t="str">
            <v>7505a</v>
          </cell>
          <cell r="T303" t="str">
            <v>将净利润调节为经营活动现金流量：固定资产折旧、油气资产折耗、生产性生物资产折旧</v>
          </cell>
          <cell r="U303" t="str">
            <v>项       目</v>
          </cell>
          <cell r="V303">
            <v>1</v>
          </cell>
          <cell r="W303">
            <v>0</v>
          </cell>
          <cell r="X303">
            <v>9</v>
          </cell>
        </row>
        <row r="304">
          <cell r="B304" t="str">
            <v>8g01</v>
          </cell>
          <cell r="C304" t="str">
            <v>其他综合收益_上年年末余额</v>
          </cell>
          <cell r="D304">
            <v>-1</v>
          </cell>
          <cell r="E304">
            <v>0</v>
          </cell>
          <cell r="F304">
            <v>0</v>
          </cell>
          <cell r="G304" t="str">
            <v>一、上年年末余额</v>
          </cell>
          <cell r="H304">
            <v>0</v>
          </cell>
          <cell r="I304" t="str">
            <v>8g01</v>
          </cell>
          <cell r="J304" t="str">
            <v>J</v>
          </cell>
          <cell r="M304" t="str">
            <v>少数股东权益_前期差错更正调整上年年末余额</v>
          </cell>
          <cell r="S304" t="str">
            <v>7506a</v>
          </cell>
          <cell r="T304" t="str">
            <v>将净利润调节为经营活动现金流量：无形资产摊销</v>
          </cell>
          <cell r="U304" t="str">
            <v>项       目</v>
          </cell>
          <cell r="V304">
            <v>1</v>
          </cell>
          <cell r="W304">
            <v>0</v>
          </cell>
          <cell r="X304">
            <v>9</v>
          </cell>
        </row>
        <row r="305">
          <cell r="B305" t="str">
            <v>8g02</v>
          </cell>
          <cell r="C305" t="str">
            <v>其他综合收益_会计政策变更调整上年年末余额</v>
          </cell>
          <cell r="D305">
            <v>-1</v>
          </cell>
          <cell r="E305">
            <v>0</v>
          </cell>
          <cell r="F305">
            <v>0</v>
          </cell>
          <cell r="G305" t="str">
            <v>加：会计政策变更</v>
          </cell>
          <cell r="H305">
            <v>0</v>
          </cell>
          <cell r="I305" t="str">
            <v>8g02</v>
          </cell>
          <cell r="J305" t="str">
            <v>J</v>
          </cell>
          <cell r="M305" t="str">
            <v>少数股东权益_同一控制下企业合并调整上年年末余额</v>
          </cell>
          <cell r="S305" t="str">
            <v>7507a</v>
          </cell>
          <cell r="T305" t="str">
            <v>将净利润调节为经营活动现金流量：长期待摊费用摊销</v>
          </cell>
          <cell r="U305" t="str">
            <v>项       目</v>
          </cell>
          <cell r="V305">
            <v>1</v>
          </cell>
          <cell r="W305">
            <v>0</v>
          </cell>
          <cell r="X305">
            <v>9</v>
          </cell>
        </row>
        <row r="306">
          <cell r="B306" t="str">
            <v>8g03</v>
          </cell>
          <cell r="C306" t="str">
            <v>其他综合收益_前期差错更正调整上年年末余额</v>
          </cell>
          <cell r="D306">
            <v>-1</v>
          </cell>
          <cell r="E306">
            <v>0</v>
          </cell>
          <cell r="F306">
            <v>0</v>
          </cell>
          <cell r="G306" t="str">
            <v>前期差错更正</v>
          </cell>
          <cell r="H306">
            <v>0</v>
          </cell>
          <cell r="I306" t="str">
            <v>8g03</v>
          </cell>
          <cell r="J306" t="str">
            <v>J</v>
          </cell>
          <cell r="M306" t="str">
            <v>少数股东权益_其他原因调整上年年末余额</v>
          </cell>
          <cell r="S306" t="str">
            <v>7508a</v>
          </cell>
          <cell r="T306" t="str">
            <v>将净利润调节为经营活动现金流量：处置固定资产、无形资产和其他长期资产的损失</v>
          </cell>
          <cell r="U306" t="str">
            <v>项       目</v>
          </cell>
          <cell r="V306">
            <v>1</v>
          </cell>
          <cell r="W306">
            <v>0</v>
          </cell>
          <cell r="X306">
            <v>9</v>
          </cell>
        </row>
        <row r="307">
          <cell r="B307" t="str">
            <v>8g04</v>
          </cell>
          <cell r="C307" t="str">
            <v>其他综合收益_同一控制下企业合并调整上年年末余额</v>
          </cell>
          <cell r="D307">
            <v>-1</v>
          </cell>
          <cell r="E307" t="str">
            <v>※</v>
          </cell>
          <cell r="F307">
            <v>0</v>
          </cell>
          <cell r="G307" t="str">
            <v>同一控制下企业合并</v>
          </cell>
          <cell r="H307">
            <v>0</v>
          </cell>
          <cell r="I307" t="str">
            <v>8g04</v>
          </cell>
          <cell r="J307" t="str">
            <v>J</v>
          </cell>
          <cell r="M307" t="str">
            <v>少数股东权益_净利润</v>
          </cell>
          <cell r="S307" t="str">
            <v>7509a</v>
          </cell>
          <cell r="T307" t="str">
            <v>将净利润调节为经营活动现金流量：固定资产报废损失</v>
          </cell>
          <cell r="U307" t="str">
            <v>项       目</v>
          </cell>
          <cell r="V307">
            <v>1</v>
          </cell>
          <cell r="W307">
            <v>0</v>
          </cell>
          <cell r="X307">
            <v>9</v>
          </cell>
        </row>
        <row r="308">
          <cell r="B308" t="str">
            <v>8g09</v>
          </cell>
          <cell r="C308" t="str">
            <v>其他综合收益_其他原因调整上年年末余额</v>
          </cell>
          <cell r="D308">
            <v>-1</v>
          </cell>
          <cell r="E308">
            <v>0</v>
          </cell>
          <cell r="F308">
            <v>0</v>
          </cell>
          <cell r="G308" t="str">
            <v>其他</v>
          </cell>
          <cell r="H308">
            <v>0</v>
          </cell>
          <cell r="I308" t="str">
            <v>8g09</v>
          </cell>
          <cell r="J308" t="str">
            <v>J</v>
          </cell>
          <cell r="M308" t="str">
            <v>少数股东权益_其他综合收益</v>
          </cell>
          <cell r="S308" t="str">
            <v>7510a</v>
          </cell>
          <cell r="T308" t="str">
            <v>将净利润调节为经营活动现金流量：公允价值变动损失</v>
          </cell>
          <cell r="U308" t="str">
            <v>项       目</v>
          </cell>
          <cell r="V308">
            <v>1</v>
          </cell>
          <cell r="W308">
            <v>0</v>
          </cell>
          <cell r="X308">
            <v>9</v>
          </cell>
        </row>
        <row r="309">
          <cell r="B309" t="str">
            <v>8g10</v>
          </cell>
          <cell r="C309" t="str">
            <v>其他综合收益_本年年初余额</v>
          </cell>
          <cell r="D309">
            <v>0</v>
          </cell>
          <cell r="E309" t="str">
            <v>＝</v>
          </cell>
          <cell r="F309">
            <v>0</v>
          </cell>
          <cell r="G309" t="str">
            <v>二、本年年初余额</v>
          </cell>
          <cell r="H309">
            <v>0</v>
          </cell>
          <cell r="I309" t="str">
            <v>8g10</v>
          </cell>
          <cell r="J309">
            <v>0</v>
          </cell>
          <cell r="M309" t="str">
            <v>少数股东权益_综合收益总额增加权益</v>
          </cell>
          <cell r="S309" t="str">
            <v>7511a</v>
          </cell>
          <cell r="T309" t="str">
            <v>将净利润调节为经营活动现金流量：财务费用金额</v>
          </cell>
          <cell r="U309" t="str">
            <v>项       目</v>
          </cell>
          <cell r="V309">
            <v>1</v>
          </cell>
          <cell r="W309">
            <v>0</v>
          </cell>
          <cell r="X309">
            <v>9</v>
          </cell>
        </row>
        <row r="310">
          <cell r="B310" t="str">
            <v>8g90</v>
          </cell>
          <cell r="C310" t="str">
            <v>其他综合收益_本期增减变动金额</v>
          </cell>
          <cell r="D310">
            <v>0</v>
          </cell>
          <cell r="E310" t="str">
            <v>＝</v>
          </cell>
          <cell r="F310">
            <v>0</v>
          </cell>
          <cell r="G310" t="str">
            <v>三、本期增减变动金额（减少以“-”号填列）</v>
          </cell>
          <cell r="H310">
            <v>0</v>
          </cell>
          <cell r="I310" t="str">
            <v>8g90</v>
          </cell>
          <cell r="J310">
            <v>0</v>
          </cell>
          <cell r="M310" t="str">
            <v>少数股东权益_所有者投入资本</v>
          </cell>
          <cell r="S310" t="str">
            <v>7512a</v>
          </cell>
          <cell r="T310" t="str">
            <v>将净利润调节为经营活动现金流量：投资损失</v>
          </cell>
          <cell r="U310" t="str">
            <v>项       目</v>
          </cell>
          <cell r="V310">
            <v>1</v>
          </cell>
          <cell r="W310">
            <v>0</v>
          </cell>
          <cell r="X310">
            <v>9</v>
          </cell>
        </row>
        <row r="311">
          <cell r="B311" t="str">
            <v>8g40</v>
          </cell>
          <cell r="C311" t="str">
            <v>其他综合收益_综合收益总额增加权益</v>
          </cell>
          <cell r="D311">
            <v>-1</v>
          </cell>
          <cell r="E311">
            <v>0</v>
          </cell>
          <cell r="F311">
            <v>0</v>
          </cell>
          <cell r="G311" t="str">
            <v>（一）综合收益总额</v>
          </cell>
          <cell r="H311">
            <v>0</v>
          </cell>
          <cell r="I311" t="str">
            <v>8g40</v>
          </cell>
          <cell r="J311">
            <v>0</v>
          </cell>
          <cell r="M311" t="str">
            <v>少数股东权益_股份支付</v>
          </cell>
          <cell r="S311" t="str">
            <v>7515a</v>
          </cell>
          <cell r="T311" t="str">
            <v>将净利润调节为经营活动现金流量：递延所得税资产减少</v>
          </cell>
          <cell r="U311" t="str">
            <v>项       目</v>
          </cell>
          <cell r="V311">
            <v>1</v>
          </cell>
          <cell r="W311">
            <v>0</v>
          </cell>
          <cell r="X311">
            <v>9</v>
          </cell>
        </row>
        <row r="312">
          <cell r="B312" t="str">
            <v>8g50</v>
          </cell>
          <cell r="C312" t="str">
            <v>其他综合收益_所有者投入和减少资本影响权益</v>
          </cell>
          <cell r="D312">
            <v>0</v>
          </cell>
          <cell r="E312" t="str">
            <v>＝</v>
          </cell>
          <cell r="F312">
            <v>0</v>
          </cell>
          <cell r="G312" t="str">
            <v>（二）所有者投入和减少资本</v>
          </cell>
          <cell r="H312">
            <v>0</v>
          </cell>
          <cell r="I312" t="str">
            <v>8g50</v>
          </cell>
          <cell r="J312">
            <v>0</v>
          </cell>
          <cell r="M312" t="str">
            <v>少数股东权益_其他权益工具持有者投入资本</v>
          </cell>
          <cell r="S312" t="str">
            <v>7516a</v>
          </cell>
          <cell r="T312" t="str">
            <v>将净利润调节为经营活动现金流量：递延所得税负债增加</v>
          </cell>
          <cell r="U312" t="str">
            <v>项       目</v>
          </cell>
          <cell r="V312">
            <v>1</v>
          </cell>
          <cell r="W312">
            <v>0</v>
          </cell>
          <cell r="X312">
            <v>9</v>
          </cell>
        </row>
        <row r="313">
          <cell r="B313" t="str">
            <v>8g51</v>
          </cell>
          <cell r="C313" t="str">
            <v>其他综合收益_所有者投入资本</v>
          </cell>
          <cell r="D313">
            <v>-1</v>
          </cell>
          <cell r="E313">
            <v>0</v>
          </cell>
          <cell r="F313">
            <v>0</v>
          </cell>
          <cell r="G313" t="str">
            <v>所有者投入资本</v>
          </cell>
          <cell r="H313">
            <v>0</v>
          </cell>
          <cell r="I313" t="str">
            <v>8g51</v>
          </cell>
          <cell r="J313" t="str">
            <v>J</v>
          </cell>
          <cell r="M313" t="str">
            <v>少数股东权益_所有者其他投入和减少资本</v>
          </cell>
          <cell r="S313" t="str">
            <v>7517a</v>
          </cell>
          <cell r="T313" t="str">
            <v>将净利润调节为经营活动现金流量：存货的减少</v>
          </cell>
          <cell r="U313" t="str">
            <v>项       目</v>
          </cell>
          <cell r="V313">
            <v>1</v>
          </cell>
          <cell r="W313">
            <v>0</v>
          </cell>
          <cell r="X313">
            <v>9</v>
          </cell>
        </row>
        <row r="314">
          <cell r="B314" t="str">
            <v>8g52</v>
          </cell>
          <cell r="C314" t="str">
            <v>其他综合收益_股份支付</v>
          </cell>
          <cell r="D314">
            <v>-1</v>
          </cell>
          <cell r="E314">
            <v>0</v>
          </cell>
          <cell r="F314">
            <v>0</v>
          </cell>
          <cell r="G314" t="str">
            <v>股份支付计入所有者权益的金额</v>
          </cell>
          <cell r="H314">
            <v>0</v>
          </cell>
          <cell r="I314" t="str">
            <v>8g52</v>
          </cell>
          <cell r="J314" t="str">
            <v>J</v>
          </cell>
          <cell r="M314" t="str">
            <v>少数股东权益_提取盈余公积影响权益</v>
          </cell>
          <cell r="S314" t="str">
            <v>7518a</v>
          </cell>
          <cell r="T314" t="str">
            <v>将净利润调节为经营活动现金流量：经营性应收项目的减少</v>
          </cell>
          <cell r="U314" t="str">
            <v>项       目</v>
          </cell>
          <cell r="V314">
            <v>1</v>
          </cell>
          <cell r="W314">
            <v>0</v>
          </cell>
          <cell r="X314">
            <v>9</v>
          </cell>
        </row>
        <row r="315">
          <cell r="B315" t="str">
            <v>8g53</v>
          </cell>
          <cell r="C315" t="str">
            <v>其他综合收益_其他权益工具持有者投入资本</v>
          </cell>
          <cell r="D315">
            <v>-1</v>
          </cell>
          <cell r="E315" t="str">
            <v>OEI</v>
          </cell>
          <cell r="F315">
            <v>0</v>
          </cell>
          <cell r="G315" t="str">
            <v>其他权益工具持有者投入资本</v>
          </cell>
          <cell r="H315">
            <v>0</v>
          </cell>
          <cell r="I315" t="str">
            <v>8g53</v>
          </cell>
          <cell r="J315" t="str">
            <v>J</v>
          </cell>
          <cell r="M315" t="str">
            <v>少数股东权益_提取一般风险准备影响权益</v>
          </cell>
          <cell r="S315" t="str">
            <v>7519a</v>
          </cell>
          <cell r="T315" t="str">
            <v>将净利润调节为经营活动现金流量：经营性应付项目的增加</v>
          </cell>
          <cell r="U315" t="str">
            <v>项       目</v>
          </cell>
          <cell r="V315">
            <v>1</v>
          </cell>
          <cell r="W315">
            <v>0</v>
          </cell>
          <cell r="X315">
            <v>9</v>
          </cell>
        </row>
        <row r="316">
          <cell r="B316" t="str">
            <v>8g56</v>
          </cell>
          <cell r="C316" t="str">
            <v>其他综合收益_所有者其他投入和减少资本</v>
          </cell>
          <cell r="D316">
            <v>-1</v>
          </cell>
          <cell r="E316">
            <v>0</v>
          </cell>
          <cell r="F316">
            <v>0</v>
          </cell>
          <cell r="G316" t="str">
            <v>其他</v>
          </cell>
          <cell r="H316">
            <v>0</v>
          </cell>
          <cell r="I316" t="str">
            <v>8g56</v>
          </cell>
          <cell r="J316" t="str">
            <v>J</v>
          </cell>
          <cell r="M316" t="str">
            <v>少数股东权益_对所有者的分配</v>
          </cell>
          <cell r="S316" t="str">
            <v>7523a</v>
          </cell>
          <cell r="T316" t="str">
            <v>将净利润调节为经营活动现金流量：其他项目</v>
          </cell>
          <cell r="U316" t="str">
            <v>项       目</v>
          </cell>
          <cell r="V316">
            <v>1</v>
          </cell>
          <cell r="W316">
            <v>0</v>
          </cell>
          <cell r="X316">
            <v>9</v>
          </cell>
        </row>
        <row r="317">
          <cell r="B317" t="str">
            <v>8g60</v>
          </cell>
          <cell r="C317" t="str">
            <v>其他综合收益_利润分配影响权益</v>
          </cell>
          <cell r="D317">
            <v>0</v>
          </cell>
          <cell r="E317" t="str">
            <v>＝</v>
          </cell>
          <cell r="F317">
            <v>0</v>
          </cell>
          <cell r="G317" t="str">
            <v>（三）利润分配</v>
          </cell>
          <cell r="H317">
            <v>0</v>
          </cell>
          <cell r="I317" t="str">
            <v>8g60</v>
          </cell>
          <cell r="J317">
            <v>0</v>
          </cell>
          <cell r="M317" t="str">
            <v>少数股东权益_其他利润分配</v>
          </cell>
          <cell r="S317" t="str">
            <v>9314a</v>
          </cell>
          <cell r="T317" t="str">
            <v>所有者权益变动表项目注释</v>
          </cell>
          <cell r="U317" t="str">
            <v>项       目</v>
          </cell>
          <cell r="V317">
            <v>-2</v>
          </cell>
          <cell r="W317">
            <v>0</v>
          </cell>
          <cell r="X317">
            <v>2</v>
          </cell>
        </row>
        <row r="318">
          <cell r="B318" t="str">
            <v>8g61</v>
          </cell>
          <cell r="C318" t="str">
            <v>其他综合收益_提取盈余公积</v>
          </cell>
          <cell r="D318">
            <v>-1</v>
          </cell>
          <cell r="E318">
            <v>0</v>
          </cell>
          <cell r="F318">
            <v>0</v>
          </cell>
          <cell r="G318" t="str">
            <v>提取盈余公积</v>
          </cell>
          <cell r="H318">
            <v>0</v>
          </cell>
          <cell r="I318" t="str">
            <v>8g61</v>
          </cell>
          <cell r="J318" t="str">
            <v>J</v>
          </cell>
          <cell r="M318" t="str">
            <v>少数股东权益_资本公积转增资本影响权益</v>
          </cell>
          <cell r="S318" t="str">
            <v>1997a</v>
          </cell>
          <cell r="T318" t="str">
            <v>所有权或使用权受到限制的资产</v>
          </cell>
          <cell r="U318" t="str">
            <v>所有权受到限制的资产类别</v>
          </cell>
          <cell r="V318">
            <v>-2</v>
          </cell>
          <cell r="W318">
            <v>0</v>
          </cell>
          <cell r="X318">
            <v>2</v>
          </cell>
        </row>
        <row r="319">
          <cell r="B319" t="str">
            <v>8g62</v>
          </cell>
          <cell r="C319" t="str">
            <v>其他综合收益_提取一般风险准备</v>
          </cell>
          <cell r="D319">
            <v>-1</v>
          </cell>
          <cell r="E319">
            <v>0</v>
          </cell>
          <cell r="F319">
            <v>0</v>
          </cell>
          <cell r="G319" t="str">
            <v>提取一般风险准备</v>
          </cell>
          <cell r="H319">
            <v>0</v>
          </cell>
          <cell r="I319" t="str">
            <v>8g62</v>
          </cell>
          <cell r="J319" t="str">
            <v>J</v>
          </cell>
          <cell r="M319" t="str">
            <v>少数股东权益_盈余公积转增资本影响权益</v>
          </cell>
          <cell r="S319" t="str">
            <v>1704a</v>
          </cell>
          <cell r="T319" t="str">
            <v>外币货币性项目</v>
          </cell>
          <cell r="U319" t="str">
            <v>项       目</v>
          </cell>
          <cell r="V319">
            <v>-2</v>
          </cell>
          <cell r="W319">
            <v>0</v>
          </cell>
          <cell r="X319">
            <v>2</v>
          </cell>
        </row>
        <row r="320">
          <cell r="B320" t="str">
            <v>8g63</v>
          </cell>
          <cell r="C320" t="str">
            <v>其他综合收益_对所有者的分配</v>
          </cell>
          <cell r="D320">
            <v>-1</v>
          </cell>
          <cell r="E320">
            <v>0</v>
          </cell>
          <cell r="F320">
            <v>0</v>
          </cell>
          <cell r="G320" t="str">
            <v>对所有者（或股东）的分配</v>
          </cell>
          <cell r="H320">
            <v>0</v>
          </cell>
          <cell r="I320" t="str">
            <v>8g63</v>
          </cell>
          <cell r="J320" t="str">
            <v>J</v>
          </cell>
          <cell r="M320" t="str">
            <v>少数股东权益_盈余公积弥补亏损影响权益</v>
          </cell>
          <cell r="S320" t="str">
            <v>9325a</v>
          </cell>
          <cell r="T320" t="str">
            <v>本集团持有的计息金融工具</v>
          </cell>
          <cell r="U320" t="str">
            <v>项       目</v>
          </cell>
          <cell r="V320">
            <v>-2</v>
          </cell>
          <cell r="W320">
            <v>0</v>
          </cell>
          <cell r="X320">
            <v>2</v>
          </cell>
        </row>
        <row r="321">
          <cell r="B321" t="str">
            <v>8g66</v>
          </cell>
          <cell r="C321" t="str">
            <v>其他综合收益_其他利润分配</v>
          </cell>
          <cell r="D321">
            <v>-1</v>
          </cell>
          <cell r="E321">
            <v>0</v>
          </cell>
          <cell r="F321">
            <v>0</v>
          </cell>
          <cell r="G321" t="str">
            <v>其他</v>
          </cell>
          <cell r="H321">
            <v>0</v>
          </cell>
          <cell r="I321" t="str">
            <v>8g66</v>
          </cell>
          <cell r="J321" t="str">
            <v>J</v>
          </cell>
          <cell r="M321" t="str">
            <v>少数股东权益_设定受益计划变动额结转留存收益</v>
          </cell>
          <cell r="S321" t="str">
            <v>9325e</v>
          </cell>
          <cell r="T321" t="str">
            <v>期末本集团持有的金融资产和金融负债按未折现剩余合同现金流量的到期期限分析</v>
          </cell>
          <cell r="U321" t="str">
            <v>项       目</v>
          </cell>
          <cell r="V321">
            <v>-2</v>
          </cell>
          <cell r="W321">
            <v>0</v>
          </cell>
          <cell r="X321">
            <v>2</v>
          </cell>
        </row>
        <row r="322">
          <cell r="B322" t="str">
            <v>8g70</v>
          </cell>
          <cell r="C322" t="str">
            <v>其他综合收益_所有者权益内部结转</v>
          </cell>
          <cell r="D322">
            <v>0</v>
          </cell>
          <cell r="E322" t="str">
            <v>＝</v>
          </cell>
          <cell r="F322">
            <v>0</v>
          </cell>
          <cell r="G322" t="str">
            <v>（四）所有者权益内部结转</v>
          </cell>
          <cell r="H322">
            <v>0</v>
          </cell>
          <cell r="I322" t="str">
            <v>8g70</v>
          </cell>
          <cell r="J322">
            <v>0</v>
          </cell>
          <cell r="M322" t="str">
            <v>少数股东权益_所有者权益其他内部结转</v>
          </cell>
          <cell r="S322" t="str">
            <v>9325f</v>
          </cell>
          <cell r="T322" t="str">
            <v>期初本集团持有的金融资产和金融负债按未折现剩余合同现金流量的到期期限分析</v>
          </cell>
          <cell r="U322" t="str">
            <v>项       目</v>
          </cell>
          <cell r="V322">
            <v>-2</v>
          </cell>
          <cell r="W322">
            <v>0</v>
          </cell>
          <cell r="X322">
            <v>2</v>
          </cell>
        </row>
        <row r="323">
          <cell r="B323" t="str">
            <v>8g71</v>
          </cell>
          <cell r="C323" t="str">
            <v>其他综合收益_资本公积转增资本</v>
          </cell>
          <cell r="D323">
            <v>-1</v>
          </cell>
          <cell r="E323">
            <v>0</v>
          </cell>
          <cell r="F323">
            <v>0</v>
          </cell>
          <cell r="G323" t="str">
            <v>资本公积转增资本（或股本）</v>
          </cell>
          <cell r="H323">
            <v>0</v>
          </cell>
          <cell r="I323" t="str">
            <v>8g71</v>
          </cell>
          <cell r="J323" t="str">
            <v>J</v>
          </cell>
          <cell r="M323" t="str">
            <v>少数股东权益_专项储备本期提取</v>
          </cell>
          <cell r="S323" t="str">
            <v>9331a</v>
          </cell>
          <cell r="T323" t="str">
            <v>以公允价值计量的项目和金额</v>
          </cell>
          <cell r="U323" t="str">
            <v>项       目</v>
          </cell>
          <cell r="V323">
            <v>-2</v>
          </cell>
          <cell r="W323">
            <v>0</v>
          </cell>
          <cell r="X323">
            <v>2</v>
          </cell>
        </row>
        <row r="324">
          <cell r="B324" t="str">
            <v>8g72</v>
          </cell>
          <cell r="C324" t="str">
            <v>其他综合收益_盈余公积转增资本</v>
          </cell>
          <cell r="D324">
            <v>-1</v>
          </cell>
          <cell r="E324">
            <v>0</v>
          </cell>
          <cell r="F324">
            <v>0</v>
          </cell>
          <cell r="G324" t="str">
            <v>盈余公积转增资本（或股本）</v>
          </cell>
          <cell r="H324">
            <v>0</v>
          </cell>
          <cell r="I324" t="str">
            <v>8g72</v>
          </cell>
          <cell r="J324" t="str">
            <v>J</v>
          </cell>
          <cell r="M324" t="str">
            <v>少数股东权益_专项储备本期使用</v>
          </cell>
          <cell r="S324" t="str">
            <v>9331b</v>
          </cell>
          <cell r="T324" t="str">
            <v>不以公允价值计量但披露其公允价值的项目和金额（期末）</v>
          </cell>
          <cell r="U324" t="str">
            <v>项       目</v>
          </cell>
          <cell r="V324">
            <v>-2</v>
          </cell>
          <cell r="W324">
            <v>0</v>
          </cell>
          <cell r="X324">
            <v>2</v>
          </cell>
        </row>
        <row r="325">
          <cell r="B325" t="str">
            <v>8g73</v>
          </cell>
          <cell r="C325" t="str">
            <v>其他综合收益_盈余公积弥补亏损</v>
          </cell>
          <cell r="D325">
            <v>-1</v>
          </cell>
          <cell r="E325">
            <v>0</v>
          </cell>
          <cell r="F325">
            <v>0</v>
          </cell>
          <cell r="G325" t="str">
            <v>盈余公积弥补亏损</v>
          </cell>
          <cell r="H325">
            <v>0</v>
          </cell>
          <cell r="I325" t="str">
            <v>8g73</v>
          </cell>
          <cell r="J325" t="str">
            <v>J</v>
          </cell>
          <cell r="M325" t="str">
            <v>少数股东权益_本期其他增减变动</v>
          </cell>
          <cell r="S325" t="str">
            <v>9331c</v>
          </cell>
          <cell r="T325" t="str">
            <v>不以公允价值计量但披露其公允价值的项目和金额（期初）</v>
          </cell>
          <cell r="U325" t="str">
            <v>项       目</v>
          </cell>
          <cell r="V325">
            <v>-2</v>
          </cell>
          <cell r="W325">
            <v>0</v>
          </cell>
          <cell r="X325">
            <v>2</v>
          </cell>
        </row>
        <row r="326">
          <cell r="B326" t="str">
            <v>8g75</v>
          </cell>
          <cell r="C326" t="str">
            <v>其他综合收益_设定受益计划变动额结转留存收益</v>
          </cell>
          <cell r="D326">
            <v>-1</v>
          </cell>
          <cell r="E326" t="str">
            <v>OEI</v>
          </cell>
          <cell r="F326">
            <v>0</v>
          </cell>
          <cell r="G326" t="str">
            <v>设定受益计划变动额结转留存收益</v>
          </cell>
          <cell r="H326">
            <v>0</v>
          </cell>
          <cell r="I326" t="str">
            <v>8g75</v>
          </cell>
          <cell r="J326" t="str">
            <v>J</v>
          </cell>
          <cell r="M326" t="str">
            <v>其他权益工具（优先股）_上年年末余额</v>
          </cell>
          <cell r="S326" t="str">
            <v>9331d</v>
          </cell>
          <cell r="T326" t="str">
            <v>第三层次公允价值计量中使用的重要的不可观察输入值的量化信息</v>
          </cell>
          <cell r="U326" t="str">
            <v>项       目</v>
          </cell>
          <cell r="V326">
            <v>-2</v>
          </cell>
          <cell r="W326">
            <v>0</v>
          </cell>
          <cell r="X326">
            <v>2</v>
          </cell>
        </row>
        <row r="327">
          <cell r="B327" t="str">
            <v>8g76</v>
          </cell>
          <cell r="C327" t="str">
            <v>其他综合收益_所有者权益其他内部结转</v>
          </cell>
          <cell r="D327">
            <v>-1</v>
          </cell>
          <cell r="E327">
            <v>0</v>
          </cell>
          <cell r="F327">
            <v>0</v>
          </cell>
          <cell r="G327" t="str">
            <v>其他</v>
          </cell>
          <cell r="H327">
            <v>0</v>
          </cell>
          <cell r="I327" t="str">
            <v>8g76</v>
          </cell>
          <cell r="J327" t="str">
            <v>J</v>
          </cell>
          <cell r="M327" t="str">
            <v>其他权益工具（优先股）_会计政策变更调整上年年末余额</v>
          </cell>
          <cell r="S327" t="str">
            <v>9331e</v>
          </cell>
          <cell r="T327" t="str">
            <v>归入公允价值层级第三层次的公允价值计量的调节表（本期）</v>
          </cell>
          <cell r="U327" t="str">
            <v>项       目</v>
          </cell>
          <cell r="V327">
            <v>-2</v>
          </cell>
          <cell r="W327">
            <v>0</v>
          </cell>
          <cell r="X327">
            <v>2</v>
          </cell>
        </row>
        <row r="328">
          <cell r="B328" t="str">
            <v>8g80</v>
          </cell>
          <cell r="C328" t="str">
            <v>其他综合收益_专项储备影响权益</v>
          </cell>
          <cell r="D328">
            <v>0</v>
          </cell>
          <cell r="E328" t="str">
            <v>＝</v>
          </cell>
          <cell r="F328">
            <v>0</v>
          </cell>
          <cell r="G328" t="str">
            <v>（五）专项储备</v>
          </cell>
          <cell r="H328">
            <v>0</v>
          </cell>
          <cell r="I328" t="str">
            <v>8g80</v>
          </cell>
          <cell r="J328">
            <v>0</v>
          </cell>
          <cell r="M328" t="str">
            <v>其他权益工具（优先股）_前期差错更正调整上年年末余额</v>
          </cell>
          <cell r="S328" t="str">
            <v>9331f</v>
          </cell>
          <cell r="T328" t="str">
            <v>计入当前损益的利得和损失中与金融资产和非金融资产有关的损益信息（本期）</v>
          </cell>
          <cell r="U328" t="str">
            <v>项       目</v>
          </cell>
          <cell r="V328">
            <v>-2</v>
          </cell>
          <cell r="W328">
            <v>0</v>
          </cell>
          <cell r="X328">
            <v>2</v>
          </cell>
        </row>
        <row r="329">
          <cell r="B329" t="str">
            <v>8g81</v>
          </cell>
          <cell r="C329" t="str">
            <v>其他综合收益_专项储备本期提取</v>
          </cell>
          <cell r="D329">
            <v>-1</v>
          </cell>
          <cell r="E329">
            <v>0</v>
          </cell>
          <cell r="F329">
            <v>0</v>
          </cell>
          <cell r="G329" t="str">
            <v>本期提取</v>
          </cell>
          <cell r="H329">
            <v>0</v>
          </cell>
          <cell r="I329" t="str">
            <v>8g81</v>
          </cell>
          <cell r="J329" t="str">
            <v>J</v>
          </cell>
          <cell r="M329" t="str">
            <v>其他权益工具（优先股）_同一控制下企业合并调整上年年末余额</v>
          </cell>
          <cell r="S329" t="str">
            <v>9331g</v>
          </cell>
          <cell r="T329" t="str">
            <v>归入公允价值层级第三层次的公允价值计量的调节表（上期）</v>
          </cell>
          <cell r="U329" t="str">
            <v>项       目</v>
          </cell>
          <cell r="V329">
            <v>-2</v>
          </cell>
          <cell r="W329">
            <v>0</v>
          </cell>
          <cell r="X329">
            <v>2</v>
          </cell>
        </row>
        <row r="330">
          <cell r="B330" t="str">
            <v>8g82</v>
          </cell>
          <cell r="C330" t="str">
            <v>其他综合收益_专项储备本期使用</v>
          </cell>
          <cell r="D330">
            <v>-1</v>
          </cell>
          <cell r="E330">
            <v>0</v>
          </cell>
          <cell r="F330">
            <v>0</v>
          </cell>
          <cell r="G330" t="str">
            <v>本期使用</v>
          </cell>
          <cell r="H330">
            <v>0</v>
          </cell>
          <cell r="I330" t="str">
            <v>8g82</v>
          </cell>
          <cell r="J330" t="str">
            <v>J</v>
          </cell>
          <cell r="M330" t="str">
            <v>其他权益工具（优先股）_其他原因调整上年年末余额</v>
          </cell>
          <cell r="S330" t="str">
            <v>9331h</v>
          </cell>
          <cell r="T330" t="str">
            <v>计入当前损益的利得和损失中与金融资产和非金融资产有关的损益信息（上期）</v>
          </cell>
          <cell r="U330" t="str">
            <v>项       目</v>
          </cell>
          <cell r="V330">
            <v>-2</v>
          </cell>
          <cell r="W330">
            <v>0</v>
          </cell>
          <cell r="X330">
            <v>2</v>
          </cell>
        </row>
        <row r="331">
          <cell r="B331" t="str">
            <v>8g96</v>
          </cell>
          <cell r="C331" t="str">
            <v>其他综合收益_本期其他增减变动</v>
          </cell>
          <cell r="D331">
            <v>-1</v>
          </cell>
          <cell r="E331">
            <v>0</v>
          </cell>
          <cell r="F331">
            <v>0</v>
          </cell>
          <cell r="G331" t="str">
            <v>（七）其他</v>
          </cell>
          <cell r="H331">
            <v>0</v>
          </cell>
          <cell r="I331" t="str">
            <v>8g96</v>
          </cell>
          <cell r="J331" t="str">
            <v>J</v>
          </cell>
          <cell r="M331" t="str">
            <v>其他权益工具（优先股）_综合收益总额增加权益</v>
          </cell>
          <cell r="S331" t="str">
            <v>9120c</v>
          </cell>
          <cell r="T331" t="str">
            <v>关联托管、承包情况——公司受托管理、承包</v>
          </cell>
          <cell r="U331" t="str">
            <v>项       目</v>
          </cell>
          <cell r="V331">
            <v>-2</v>
          </cell>
          <cell r="W331">
            <v>0</v>
          </cell>
          <cell r="X331">
            <v>2</v>
          </cell>
        </row>
        <row r="332">
          <cell r="B332" t="str">
            <v>8g99</v>
          </cell>
          <cell r="C332" t="str">
            <v>其他综合收益_本期期末余额</v>
          </cell>
          <cell r="D332">
            <v>0</v>
          </cell>
          <cell r="E332" t="str">
            <v>＝</v>
          </cell>
          <cell r="F332">
            <v>0</v>
          </cell>
          <cell r="G332" t="str">
            <v>四、本期期末余额</v>
          </cell>
          <cell r="H332">
            <v>0</v>
          </cell>
          <cell r="I332" t="str">
            <v>8g99</v>
          </cell>
          <cell r="J332">
            <v>0</v>
          </cell>
          <cell r="M332" t="str">
            <v>其他权益工具（优先股）_所有者投入资本</v>
          </cell>
          <cell r="S332" t="str">
            <v>9120d</v>
          </cell>
          <cell r="T332" t="str">
            <v>关联托管、承包情况——公司委托管理、出包</v>
          </cell>
          <cell r="U332" t="str">
            <v>项       目</v>
          </cell>
          <cell r="V332">
            <v>-2</v>
          </cell>
          <cell r="W332">
            <v>0</v>
          </cell>
          <cell r="X332">
            <v>2</v>
          </cell>
        </row>
        <row r="333">
          <cell r="B333">
            <v>8200</v>
          </cell>
          <cell r="C333" t="str">
            <v>资本公积增减变动</v>
          </cell>
          <cell r="D333">
            <v>0</v>
          </cell>
          <cell r="E333" t="str">
            <v>：</v>
          </cell>
          <cell r="F333">
            <v>0</v>
          </cell>
          <cell r="G333" t="str">
            <v>资本公积增减变动</v>
          </cell>
          <cell r="H333">
            <v>0</v>
          </cell>
          <cell r="I333">
            <v>8200</v>
          </cell>
          <cell r="J333">
            <v>0</v>
          </cell>
          <cell r="M333" t="str">
            <v>其他权益工具（优先股）_股份支付</v>
          </cell>
          <cell r="S333" t="str">
            <v>9120e</v>
          </cell>
          <cell r="T333" t="str">
            <v>关联租赁情况——公司出租</v>
          </cell>
          <cell r="U333" t="str">
            <v>项       目</v>
          </cell>
          <cell r="V333">
            <v>-2</v>
          </cell>
          <cell r="W333">
            <v>0</v>
          </cell>
          <cell r="X333">
            <v>2</v>
          </cell>
        </row>
        <row r="334">
          <cell r="B334">
            <v>8201</v>
          </cell>
          <cell r="C334" t="str">
            <v>资本公积_上年年末余额</v>
          </cell>
          <cell r="D334">
            <v>-1</v>
          </cell>
          <cell r="E334">
            <v>0</v>
          </cell>
          <cell r="F334">
            <v>5210</v>
          </cell>
          <cell r="G334" t="str">
            <v>一、上年年末余额</v>
          </cell>
          <cell r="H334">
            <v>0</v>
          </cell>
          <cell r="I334">
            <v>8201</v>
          </cell>
          <cell r="J334" t="str">
            <v>J</v>
          </cell>
          <cell r="M334" t="str">
            <v>其他权益工具（优先股）_其他权益工具持有者投入资本</v>
          </cell>
          <cell r="S334" t="str">
            <v>9120f</v>
          </cell>
          <cell r="T334" t="str">
            <v>关联租赁情况——公司承租</v>
          </cell>
          <cell r="U334" t="str">
            <v>项       目</v>
          </cell>
          <cell r="V334">
            <v>-2</v>
          </cell>
          <cell r="W334">
            <v>0</v>
          </cell>
          <cell r="X334">
            <v>2</v>
          </cell>
        </row>
        <row r="335">
          <cell r="B335">
            <v>8202</v>
          </cell>
          <cell r="C335" t="str">
            <v>资本公积_会计政策变更调整上年年末余额</v>
          </cell>
          <cell r="D335">
            <v>-1</v>
          </cell>
          <cell r="E335">
            <v>0</v>
          </cell>
          <cell r="F335">
            <v>5210</v>
          </cell>
          <cell r="G335" t="str">
            <v>加：会计政策变更</v>
          </cell>
          <cell r="H335">
            <v>0</v>
          </cell>
          <cell r="I335">
            <v>8202</v>
          </cell>
          <cell r="J335" t="str">
            <v>J</v>
          </cell>
          <cell r="M335" t="str">
            <v>其他权益工具（优先股）_所有者其他投入和减少资本</v>
          </cell>
          <cell r="S335" t="str">
            <v>9120g</v>
          </cell>
          <cell r="T335" t="str">
            <v>关联担保情况——本集团作为担保方</v>
          </cell>
          <cell r="U335" t="str">
            <v>项       目</v>
          </cell>
          <cell r="V335">
            <v>-2</v>
          </cell>
          <cell r="W335">
            <v>0</v>
          </cell>
          <cell r="X335">
            <v>2</v>
          </cell>
        </row>
        <row r="336">
          <cell r="B336">
            <v>8203</v>
          </cell>
          <cell r="C336" t="str">
            <v>资本公积_前期差错更正调整上年年末余额</v>
          </cell>
          <cell r="D336">
            <v>-1</v>
          </cell>
          <cell r="E336">
            <v>0</v>
          </cell>
          <cell r="F336">
            <v>5210</v>
          </cell>
          <cell r="G336" t="str">
            <v>前期差错更正</v>
          </cell>
          <cell r="H336">
            <v>0</v>
          </cell>
          <cell r="I336">
            <v>8203</v>
          </cell>
          <cell r="J336" t="str">
            <v>J</v>
          </cell>
          <cell r="M336" t="str">
            <v>其他权益工具（优先股）_提取盈余公积</v>
          </cell>
          <cell r="S336" t="str">
            <v>9120h</v>
          </cell>
          <cell r="T336" t="str">
            <v>关联担保情况——本集团作为被担保方</v>
          </cell>
          <cell r="U336" t="str">
            <v>项       目</v>
          </cell>
          <cell r="V336">
            <v>-2</v>
          </cell>
          <cell r="W336">
            <v>0</v>
          </cell>
          <cell r="X336">
            <v>2</v>
          </cell>
        </row>
        <row r="337">
          <cell r="B337">
            <v>8204</v>
          </cell>
          <cell r="C337" t="str">
            <v>资本公积_同一控制下企业合并调整上年年末余额</v>
          </cell>
          <cell r="D337">
            <v>-1</v>
          </cell>
          <cell r="E337" t="str">
            <v>※</v>
          </cell>
          <cell r="F337">
            <v>5210</v>
          </cell>
          <cell r="G337" t="str">
            <v>同一控制下企业合并</v>
          </cell>
          <cell r="H337">
            <v>0</v>
          </cell>
          <cell r="I337">
            <v>8204</v>
          </cell>
          <cell r="J337" t="str">
            <v>J</v>
          </cell>
          <cell r="M337" t="str">
            <v>其他权益工具（优先股）_提取一般风险准备</v>
          </cell>
          <cell r="S337" t="str">
            <v>9120i</v>
          </cell>
          <cell r="T337" t="str">
            <v>关联方资金拆借情况——拆入</v>
          </cell>
          <cell r="U337" t="str">
            <v>项       目</v>
          </cell>
          <cell r="V337">
            <v>-2</v>
          </cell>
          <cell r="W337">
            <v>0</v>
          </cell>
          <cell r="X337">
            <v>2</v>
          </cell>
        </row>
        <row r="338">
          <cell r="B338">
            <v>8209</v>
          </cell>
          <cell r="C338" t="str">
            <v>资本公积_其他原因调整上年年末余额</v>
          </cell>
          <cell r="D338">
            <v>-1</v>
          </cell>
          <cell r="E338">
            <v>0</v>
          </cell>
          <cell r="F338">
            <v>5210</v>
          </cell>
          <cell r="G338" t="str">
            <v>其他</v>
          </cell>
          <cell r="H338">
            <v>0</v>
          </cell>
          <cell r="I338">
            <v>8209</v>
          </cell>
          <cell r="J338" t="str">
            <v>J</v>
          </cell>
          <cell r="M338" t="str">
            <v>其他权益工具（优先股）_对所有者的分配</v>
          </cell>
          <cell r="S338" t="str">
            <v>9120j</v>
          </cell>
          <cell r="T338" t="str">
            <v>关联方资金拆借情况——拆出</v>
          </cell>
          <cell r="U338" t="str">
            <v>项       目</v>
          </cell>
          <cell r="V338">
            <v>-2</v>
          </cell>
          <cell r="W338">
            <v>0</v>
          </cell>
          <cell r="X338">
            <v>2</v>
          </cell>
        </row>
        <row r="339">
          <cell r="B339">
            <v>8210</v>
          </cell>
          <cell r="C339" t="str">
            <v>资本公积_本年年初余额</v>
          </cell>
          <cell r="D339">
            <v>0</v>
          </cell>
          <cell r="E339" t="str">
            <v>＝</v>
          </cell>
          <cell r="F339">
            <v>0</v>
          </cell>
          <cell r="G339" t="str">
            <v>二、本年年初余额</v>
          </cell>
          <cell r="H339">
            <v>0</v>
          </cell>
          <cell r="I339">
            <v>8210</v>
          </cell>
          <cell r="J339">
            <v>0</v>
          </cell>
          <cell r="M339" t="str">
            <v>其他权益工具（优先股）_其他利润分配</v>
          </cell>
          <cell r="S339" t="str">
            <v>9120k</v>
          </cell>
          <cell r="T339" t="str">
            <v>关联方资产转让、债务重组情况</v>
          </cell>
          <cell r="U339" t="str">
            <v>项       目</v>
          </cell>
          <cell r="V339">
            <v>-2</v>
          </cell>
          <cell r="W339">
            <v>0</v>
          </cell>
          <cell r="X339">
            <v>2</v>
          </cell>
        </row>
        <row r="340">
          <cell r="B340">
            <v>8290</v>
          </cell>
          <cell r="C340" t="str">
            <v>资本公积_本期增减变动金额</v>
          </cell>
          <cell r="D340">
            <v>0</v>
          </cell>
          <cell r="E340" t="str">
            <v>＝</v>
          </cell>
          <cell r="F340">
            <v>0</v>
          </cell>
          <cell r="G340" t="str">
            <v>三、本期增减变动金额（减少以“-”号填列）</v>
          </cell>
          <cell r="H340">
            <v>0</v>
          </cell>
          <cell r="I340">
            <v>8290</v>
          </cell>
          <cell r="J340">
            <v>0</v>
          </cell>
          <cell r="M340" t="str">
            <v>其他权益工具（优先股）_资本公积转增资本</v>
          </cell>
          <cell r="S340" t="str">
            <v>9120l</v>
          </cell>
          <cell r="T340" t="str">
            <v>关键管理人员薪酬情况</v>
          </cell>
          <cell r="U340" t="str">
            <v>项       目</v>
          </cell>
          <cell r="V340">
            <v>-2</v>
          </cell>
          <cell r="W340">
            <v>0</v>
          </cell>
          <cell r="X340">
            <v>2</v>
          </cell>
        </row>
        <row r="341">
          <cell r="B341">
            <v>8230</v>
          </cell>
          <cell r="C341" t="str">
            <v>资本公积_其他综合收益</v>
          </cell>
          <cell r="D341">
            <v>-1</v>
          </cell>
          <cell r="E341">
            <v>0</v>
          </cell>
          <cell r="F341">
            <v>5210</v>
          </cell>
          <cell r="G341" t="str">
            <v>（二）其他综合收益</v>
          </cell>
          <cell r="H341">
            <v>0</v>
          </cell>
          <cell r="I341">
            <v>8230</v>
          </cell>
          <cell r="J341" t="str">
            <v>J</v>
          </cell>
          <cell r="M341" t="str">
            <v>其他权益工具（优先股）_盈余公积转增资本</v>
          </cell>
          <cell r="S341" t="str">
            <v>9367a</v>
          </cell>
          <cell r="T341" t="str">
            <v>其他重要事项（终止经营）</v>
          </cell>
          <cell r="U341" t="str">
            <v>项       目</v>
          </cell>
          <cell r="V341">
            <v>-2</v>
          </cell>
          <cell r="W341">
            <v>0</v>
          </cell>
          <cell r="X341">
            <v>2</v>
          </cell>
        </row>
        <row r="342">
          <cell r="B342">
            <v>8240</v>
          </cell>
          <cell r="C342" t="str">
            <v>资本公积_综合收益总额增加权益</v>
          </cell>
          <cell r="D342">
            <v>-1</v>
          </cell>
          <cell r="E342">
            <v>0</v>
          </cell>
          <cell r="F342">
            <v>0</v>
          </cell>
          <cell r="G342" t="str">
            <v>（一）综合收益总额</v>
          </cell>
          <cell r="H342">
            <v>0</v>
          </cell>
          <cell r="I342">
            <v>8240</v>
          </cell>
          <cell r="J342" t="str">
            <v>J</v>
          </cell>
          <cell r="M342" t="str">
            <v>其他权益工具（优先股）_盈余公积弥补亏损</v>
          </cell>
          <cell r="S342" t="str">
            <v>9371e</v>
          </cell>
          <cell r="T342" t="str">
            <v>政府补助按种类列示</v>
          </cell>
          <cell r="U342" t="str">
            <v>种       类</v>
          </cell>
          <cell r="V342">
            <v>-2</v>
          </cell>
          <cell r="W342">
            <v>0</v>
          </cell>
          <cell r="X342">
            <v>2</v>
          </cell>
        </row>
        <row r="343">
          <cell r="B343">
            <v>8250</v>
          </cell>
          <cell r="C343" t="str">
            <v>资本公积_所有者投入和减少资本影响权益</v>
          </cell>
          <cell r="D343">
            <v>0</v>
          </cell>
          <cell r="E343" t="str">
            <v>＝</v>
          </cell>
          <cell r="F343">
            <v>0</v>
          </cell>
          <cell r="G343" t="str">
            <v>（二）所有者投入和减少资本</v>
          </cell>
          <cell r="H343">
            <v>0</v>
          </cell>
          <cell r="I343">
            <v>8250</v>
          </cell>
          <cell r="J343">
            <v>0</v>
          </cell>
          <cell r="M343" t="str">
            <v>其他权益工具（优先股）_设定受益计划变动额结转留存收益</v>
          </cell>
          <cell r="S343" t="str">
            <v>9371a</v>
          </cell>
          <cell r="T343" t="str">
            <v>计入递延收益的政府补助，后续采用总额法计量</v>
          </cell>
          <cell r="U343" t="str">
            <v>项       目</v>
          </cell>
          <cell r="V343">
            <v>-2</v>
          </cell>
          <cell r="W343">
            <v>0</v>
          </cell>
          <cell r="X343">
            <v>2</v>
          </cell>
        </row>
        <row r="344">
          <cell r="B344">
            <v>8251</v>
          </cell>
          <cell r="C344" t="str">
            <v>资本公积_所有者投入资本</v>
          </cell>
          <cell r="D344">
            <v>-1</v>
          </cell>
          <cell r="E344">
            <v>0</v>
          </cell>
          <cell r="F344">
            <v>5210</v>
          </cell>
          <cell r="G344" t="str">
            <v>所有者投入资本</v>
          </cell>
          <cell r="H344">
            <v>0</v>
          </cell>
          <cell r="I344">
            <v>8251</v>
          </cell>
          <cell r="J344" t="str">
            <v>J</v>
          </cell>
          <cell r="M344" t="str">
            <v>其他权益工具（优先股）_所有者权益其他内部结转</v>
          </cell>
          <cell r="S344" t="str">
            <v>9371b</v>
          </cell>
          <cell r="T344" t="str">
            <v>计入递延收益的政府补助，后续采用净额法计量</v>
          </cell>
          <cell r="U344" t="str">
            <v>项       目</v>
          </cell>
          <cell r="V344">
            <v>-2</v>
          </cell>
          <cell r="W344">
            <v>0</v>
          </cell>
          <cell r="X344">
            <v>2</v>
          </cell>
        </row>
        <row r="345">
          <cell r="B345">
            <v>8252</v>
          </cell>
          <cell r="C345" t="str">
            <v>资本公积_股份支付</v>
          </cell>
          <cell r="D345">
            <v>-1</v>
          </cell>
          <cell r="E345">
            <v>0</v>
          </cell>
          <cell r="F345">
            <v>5210</v>
          </cell>
          <cell r="G345" t="str">
            <v>股份支付计入所有者权益的金额</v>
          </cell>
          <cell r="H345">
            <v>0</v>
          </cell>
          <cell r="I345">
            <v>8252</v>
          </cell>
          <cell r="J345" t="str">
            <v>J</v>
          </cell>
          <cell r="M345" t="str">
            <v>其他权益工具（优先股）_专项储备本期提取</v>
          </cell>
          <cell r="S345" t="str">
            <v>9371c</v>
          </cell>
          <cell r="T345" t="str">
            <v>采用总额法计入当期损益的政府补助情况</v>
          </cell>
          <cell r="U345" t="str">
            <v>项       目</v>
          </cell>
          <cell r="V345">
            <v>-2</v>
          </cell>
          <cell r="W345">
            <v>0</v>
          </cell>
          <cell r="X345">
            <v>2</v>
          </cell>
        </row>
        <row r="346">
          <cell r="B346">
            <v>8253</v>
          </cell>
          <cell r="C346" t="str">
            <v>资本公积_其他权益工具持有者投入资本</v>
          </cell>
          <cell r="D346">
            <v>-1</v>
          </cell>
          <cell r="E346" t="str">
            <v>OEI</v>
          </cell>
          <cell r="F346">
            <v>5210</v>
          </cell>
          <cell r="G346" t="str">
            <v>其他权益工具持有者投入资本</v>
          </cell>
          <cell r="H346">
            <v>0</v>
          </cell>
          <cell r="I346">
            <v>8253</v>
          </cell>
          <cell r="J346" t="str">
            <v>J</v>
          </cell>
          <cell r="M346" t="str">
            <v>其他权益工具（优先股）_专项储备本期使用</v>
          </cell>
          <cell r="S346" t="str">
            <v>9371f</v>
          </cell>
          <cell r="T346" t="str">
            <v>采用总额法计入当期损益的政府补助本年返还情况</v>
          </cell>
          <cell r="U346" t="str">
            <v>项       目</v>
          </cell>
          <cell r="V346">
            <v>-2</v>
          </cell>
          <cell r="W346">
            <v>0</v>
          </cell>
          <cell r="X346">
            <v>2</v>
          </cell>
        </row>
        <row r="347">
          <cell r="B347">
            <v>8256</v>
          </cell>
          <cell r="C347" t="str">
            <v>资本公积_所有者其他投入和减少资本</v>
          </cell>
          <cell r="D347">
            <v>-1</v>
          </cell>
          <cell r="E347">
            <v>0</v>
          </cell>
          <cell r="F347">
            <v>5210</v>
          </cell>
          <cell r="G347" t="str">
            <v>其他</v>
          </cell>
          <cell r="H347">
            <v>0</v>
          </cell>
          <cell r="I347">
            <v>8256</v>
          </cell>
          <cell r="J347" t="str">
            <v>J</v>
          </cell>
          <cell r="M347" t="str">
            <v>其他权益工具（优先股）_本期其他增减变动</v>
          </cell>
          <cell r="S347" t="str">
            <v>9371d</v>
          </cell>
          <cell r="T347" t="str">
            <v>采用净额法冲减相关成本的政府补助情况</v>
          </cell>
          <cell r="U347" t="str">
            <v>项       目</v>
          </cell>
          <cell r="V347">
            <v>-2</v>
          </cell>
          <cell r="W347">
            <v>0</v>
          </cell>
          <cell r="X347">
            <v>2</v>
          </cell>
        </row>
        <row r="348">
          <cell r="B348">
            <v>8260</v>
          </cell>
          <cell r="C348" t="str">
            <v>资本公积_利润分配影响权益</v>
          </cell>
          <cell r="D348">
            <v>0</v>
          </cell>
          <cell r="E348" t="str">
            <v>＝</v>
          </cell>
          <cell r="F348">
            <v>0</v>
          </cell>
          <cell r="G348" t="str">
            <v>（三）利润分配</v>
          </cell>
          <cell r="H348">
            <v>0</v>
          </cell>
          <cell r="I348">
            <v>8260</v>
          </cell>
          <cell r="J348">
            <v>0</v>
          </cell>
          <cell r="M348" t="str">
            <v>其他权益工具（永续债）_上年年末余额</v>
          </cell>
          <cell r="S348" t="str">
            <v>9371g</v>
          </cell>
          <cell r="T348" t="str">
            <v>采用净额法冲减相关成本的政府补助本年返还情况</v>
          </cell>
          <cell r="U348" t="str">
            <v>项       目</v>
          </cell>
          <cell r="V348">
            <v>-2</v>
          </cell>
          <cell r="W348">
            <v>0</v>
          </cell>
          <cell r="X348">
            <v>2</v>
          </cell>
        </row>
        <row r="349">
          <cell r="B349">
            <v>8266</v>
          </cell>
          <cell r="C349" t="str">
            <v>资本公积_其他利润分配</v>
          </cell>
          <cell r="D349">
            <v>-1</v>
          </cell>
          <cell r="E349">
            <v>0</v>
          </cell>
          <cell r="F349">
            <v>5210</v>
          </cell>
          <cell r="G349" t="str">
            <v>其他</v>
          </cell>
          <cell r="H349">
            <v>0</v>
          </cell>
          <cell r="I349">
            <v>8266</v>
          </cell>
          <cell r="J349" t="str">
            <v>J</v>
          </cell>
          <cell r="M349" t="str">
            <v>其他权益工具（永续债）_会计政策变更调整上年年末余额</v>
          </cell>
          <cell r="S349" t="str">
            <v>9601a</v>
          </cell>
          <cell r="T349" t="str">
            <v>当期非经常性损益明细表</v>
          </cell>
          <cell r="U349" t="str">
            <v>项       目</v>
          </cell>
          <cell r="V349">
            <v>-2</v>
          </cell>
          <cell r="W349">
            <v>0</v>
          </cell>
          <cell r="X349">
            <v>2</v>
          </cell>
        </row>
        <row r="350">
          <cell r="B350">
            <v>8270</v>
          </cell>
          <cell r="C350" t="str">
            <v>资本公积_所有者权益内部结转</v>
          </cell>
          <cell r="D350">
            <v>0</v>
          </cell>
          <cell r="E350" t="str">
            <v>＝</v>
          </cell>
          <cell r="F350">
            <v>0</v>
          </cell>
          <cell r="G350" t="str">
            <v>（四）所有者权益内部结转</v>
          </cell>
          <cell r="H350">
            <v>0</v>
          </cell>
          <cell r="I350">
            <v>8270</v>
          </cell>
          <cell r="J350">
            <v>0</v>
          </cell>
          <cell r="M350" t="str">
            <v>其他权益工具（永续债）_前期差错更正调整上年年末余额</v>
          </cell>
          <cell r="S350" t="str">
            <v>9601c</v>
          </cell>
          <cell r="T350" t="str">
            <v>将证监会公告列举的非经常性损益项目界定为经常性项目的说明</v>
          </cell>
          <cell r="U350" t="str">
            <v>项       目</v>
          </cell>
          <cell r="V350">
            <v>-2</v>
          </cell>
          <cell r="W350">
            <v>0</v>
          </cell>
          <cell r="X350">
            <v>2</v>
          </cell>
        </row>
        <row r="351">
          <cell r="B351">
            <v>8271</v>
          </cell>
          <cell r="C351" t="str">
            <v>资本公积_转增资本</v>
          </cell>
          <cell r="D351">
            <v>-1</v>
          </cell>
          <cell r="E351">
            <v>0</v>
          </cell>
          <cell r="F351">
            <v>5210</v>
          </cell>
          <cell r="G351" t="str">
            <v>资本公积转增资本（或股本）</v>
          </cell>
          <cell r="H351">
            <v>0</v>
          </cell>
          <cell r="I351">
            <v>8271</v>
          </cell>
          <cell r="J351" t="str">
            <v>J</v>
          </cell>
          <cell r="M351" t="str">
            <v>其他权益工具（永续债）_同一控制下企业合并调整上年年末余额</v>
          </cell>
          <cell r="S351" t="str">
            <v>9601b</v>
          </cell>
          <cell r="T351" t="str">
            <v>其他符合非经常性损益定义的损益项目</v>
          </cell>
          <cell r="U351" t="str">
            <v>项       目</v>
          </cell>
          <cell r="V351">
            <v>-2</v>
          </cell>
          <cell r="W351">
            <v>0</v>
          </cell>
          <cell r="X351">
            <v>2</v>
          </cell>
        </row>
        <row r="352">
          <cell r="B352">
            <v>8275</v>
          </cell>
          <cell r="C352" t="str">
            <v>资本公积_设定受益计划变动额结转留存收益</v>
          </cell>
          <cell r="D352">
            <v>-1</v>
          </cell>
          <cell r="E352" t="str">
            <v>OEI</v>
          </cell>
          <cell r="F352">
            <v>5210</v>
          </cell>
          <cell r="G352" t="str">
            <v>设定受益计划变动额结转留存收益</v>
          </cell>
          <cell r="H352">
            <v>0</v>
          </cell>
          <cell r="I352">
            <v>8275</v>
          </cell>
          <cell r="J352" t="str">
            <v>J</v>
          </cell>
          <cell r="M352" t="str">
            <v>其他权益工具（永续债）_其他原因调整上年年末余额</v>
          </cell>
          <cell r="S352" t="str">
            <v>9601d</v>
          </cell>
          <cell r="T352" t="str">
            <v>报告年度不再作为非经常性损益列报的项目</v>
          </cell>
          <cell r="U352" t="str">
            <v>项       目</v>
          </cell>
          <cell r="V352">
            <v>-2</v>
          </cell>
          <cell r="W352">
            <v>0</v>
          </cell>
          <cell r="X352">
            <v>2</v>
          </cell>
        </row>
        <row r="353">
          <cell r="B353">
            <v>8276</v>
          </cell>
          <cell r="C353" t="str">
            <v>资本公积_所有者权益其他内部结转</v>
          </cell>
          <cell r="D353">
            <v>-1</v>
          </cell>
          <cell r="E353" t="str">
            <v>LOW</v>
          </cell>
          <cell r="F353">
            <v>5210</v>
          </cell>
          <cell r="G353" t="str">
            <v>其他</v>
          </cell>
          <cell r="H353">
            <v>0</v>
          </cell>
          <cell r="I353">
            <v>8276</v>
          </cell>
          <cell r="J353" t="str">
            <v>J</v>
          </cell>
          <cell r="M353" t="str">
            <v>其他权益工具（永续债）_综合收益总额增加权益</v>
          </cell>
          <cell r="S353" t="str">
            <v>9690a</v>
          </cell>
          <cell r="T353" t="str">
            <v>费用按性质分类的补充资料</v>
          </cell>
          <cell r="U353" t="str">
            <v>项       目</v>
          </cell>
          <cell r="V353">
            <v>-2</v>
          </cell>
          <cell r="W353">
            <v>0</v>
          </cell>
          <cell r="X353">
            <v>2</v>
          </cell>
        </row>
        <row r="354">
          <cell r="B354">
            <v>8296</v>
          </cell>
          <cell r="C354" t="str">
            <v>资本公积_本期其他增减变动</v>
          </cell>
          <cell r="D354">
            <v>-1</v>
          </cell>
          <cell r="E354">
            <v>0</v>
          </cell>
          <cell r="F354">
            <v>5210</v>
          </cell>
          <cell r="G354" t="str">
            <v>（七）其他</v>
          </cell>
          <cell r="H354">
            <v>0</v>
          </cell>
          <cell r="I354">
            <v>8296</v>
          </cell>
          <cell r="J354" t="str">
            <v>J</v>
          </cell>
          <cell r="M354" t="str">
            <v>其他权益工具（永续债）_所有者投入资本</v>
          </cell>
          <cell r="S354" t="str">
            <v>9690b</v>
          </cell>
          <cell r="T354" t="str">
            <v>补充资料（一）</v>
          </cell>
          <cell r="U354" t="str">
            <v>项       目</v>
          </cell>
          <cell r="V354">
            <v>-2</v>
          </cell>
          <cell r="W354">
            <v>0</v>
          </cell>
          <cell r="X354">
            <v>2</v>
          </cell>
        </row>
        <row r="355">
          <cell r="B355">
            <v>8299</v>
          </cell>
          <cell r="C355" t="str">
            <v>资本公积_本期期末余额</v>
          </cell>
          <cell r="D355">
            <v>0</v>
          </cell>
          <cell r="E355" t="str">
            <v>＝</v>
          </cell>
          <cell r="F355">
            <v>0</v>
          </cell>
          <cell r="G355" t="str">
            <v>四、本期期末余额</v>
          </cell>
          <cell r="H355">
            <v>0</v>
          </cell>
          <cell r="I355">
            <v>8299</v>
          </cell>
          <cell r="J355">
            <v>0</v>
          </cell>
          <cell r="M355" t="str">
            <v>其他权益工具（永续债）_股份支付</v>
          </cell>
          <cell r="S355" t="str">
            <v>9690c</v>
          </cell>
          <cell r="T355" t="str">
            <v>补充资料（二）</v>
          </cell>
          <cell r="U355" t="str">
            <v>项       目</v>
          </cell>
          <cell r="V355">
            <v>-2</v>
          </cell>
          <cell r="W355">
            <v>0</v>
          </cell>
          <cell r="X355">
            <v>2</v>
          </cell>
        </row>
        <row r="356">
          <cell r="B356">
            <v>8300</v>
          </cell>
          <cell r="C356" t="str">
            <v>库存股增减变动</v>
          </cell>
          <cell r="D356">
            <v>0</v>
          </cell>
          <cell r="E356" t="str">
            <v>：</v>
          </cell>
          <cell r="F356">
            <v>0</v>
          </cell>
          <cell r="G356" t="str">
            <v>减：库存股增减变动</v>
          </cell>
          <cell r="H356">
            <v>0</v>
          </cell>
          <cell r="I356">
            <v>8300</v>
          </cell>
          <cell r="J356">
            <v>0</v>
          </cell>
          <cell r="M356" t="str">
            <v>其他权益工具（永续债）_其他权益工具持有者投入资本</v>
          </cell>
        </row>
        <row r="357">
          <cell r="B357">
            <v>8301</v>
          </cell>
          <cell r="C357" t="str">
            <v>库存股_上年年末余额</v>
          </cell>
          <cell r="D357">
            <v>1</v>
          </cell>
          <cell r="E357">
            <v>0</v>
          </cell>
          <cell r="F357">
            <v>5310</v>
          </cell>
          <cell r="G357" t="str">
            <v>一、上年年末余额</v>
          </cell>
          <cell r="H357">
            <v>0</v>
          </cell>
          <cell r="I357">
            <v>8301</v>
          </cell>
          <cell r="J357" t="str">
            <v>J</v>
          </cell>
          <cell r="M357" t="str">
            <v>其他权益工具（永续债）_所有者其他投入和减少资本</v>
          </cell>
        </row>
        <row r="358">
          <cell r="B358">
            <v>8302</v>
          </cell>
          <cell r="C358" t="str">
            <v>库存股_会计政策变更调整上年年末余额</v>
          </cell>
          <cell r="D358">
            <v>1</v>
          </cell>
          <cell r="E358">
            <v>0</v>
          </cell>
          <cell r="F358">
            <v>5310</v>
          </cell>
          <cell r="G358" t="str">
            <v>加：会计政策变更</v>
          </cell>
          <cell r="H358">
            <v>0</v>
          </cell>
          <cell r="I358">
            <v>8302</v>
          </cell>
          <cell r="J358" t="str">
            <v>J</v>
          </cell>
          <cell r="M358" t="str">
            <v>其他权益工具（永续债）_提取盈余公积</v>
          </cell>
        </row>
        <row r="359">
          <cell r="B359">
            <v>8303</v>
          </cell>
          <cell r="C359" t="str">
            <v>库存股_前期差错更正调整上年年末余额</v>
          </cell>
          <cell r="D359">
            <v>1</v>
          </cell>
          <cell r="E359">
            <v>0</v>
          </cell>
          <cell r="F359">
            <v>5310</v>
          </cell>
          <cell r="G359" t="str">
            <v>前期差错更正</v>
          </cell>
          <cell r="H359">
            <v>0</v>
          </cell>
          <cell r="I359">
            <v>8303</v>
          </cell>
          <cell r="J359" t="str">
            <v>J</v>
          </cell>
          <cell r="M359" t="str">
            <v>其他权益工具（永续债）_提取一般风险准备</v>
          </cell>
        </row>
        <row r="360">
          <cell r="B360">
            <v>8304</v>
          </cell>
          <cell r="C360" t="str">
            <v>库存股_同一控制下企业合并调整上年年末余额</v>
          </cell>
          <cell r="D360">
            <v>1</v>
          </cell>
          <cell r="E360" t="str">
            <v>※</v>
          </cell>
          <cell r="F360">
            <v>5310</v>
          </cell>
          <cell r="G360" t="str">
            <v>同一控制下企业合并</v>
          </cell>
          <cell r="H360">
            <v>0</v>
          </cell>
          <cell r="I360">
            <v>8304</v>
          </cell>
          <cell r="J360" t="str">
            <v>J</v>
          </cell>
          <cell r="M360" t="str">
            <v>其他权益工具（永续债）_对所有者的分配</v>
          </cell>
        </row>
        <row r="361">
          <cell r="B361">
            <v>8309</v>
          </cell>
          <cell r="C361" t="str">
            <v>库存股_其他原因调整上年年末余额</v>
          </cell>
          <cell r="D361">
            <v>1</v>
          </cell>
          <cell r="E361" t="str">
            <v>LOW</v>
          </cell>
          <cell r="F361">
            <v>5310</v>
          </cell>
          <cell r="G361" t="str">
            <v>其他</v>
          </cell>
          <cell r="H361">
            <v>0</v>
          </cell>
          <cell r="I361">
            <v>8309</v>
          </cell>
          <cell r="J361" t="str">
            <v>J</v>
          </cell>
          <cell r="M361" t="str">
            <v>其他权益工具（永续债）_其他利润分配</v>
          </cell>
        </row>
        <row r="362">
          <cell r="B362">
            <v>8310</v>
          </cell>
          <cell r="C362" t="str">
            <v>库存股_本年年初余额</v>
          </cell>
          <cell r="D362">
            <v>0</v>
          </cell>
          <cell r="E362" t="str">
            <v>＝</v>
          </cell>
          <cell r="F362">
            <v>0</v>
          </cell>
          <cell r="G362" t="str">
            <v>二、本年年初余额</v>
          </cell>
          <cell r="H362">
            <v>0</v>
          </cell>
          <cell r="I362">
            <v>8310</v>
          </cell>
          <cell r="J362">
            <v>0</v>
          </cell>
          <cell r="M362" t="str">
            <v>其他权益工具（永续债）_资本公积转增资本</v>
          </cell>
        </row>
        <row r="363">
          <cell r="B363">
            <v>8390</v>
          </cell>
          <cell r="C363" t="str">
            <v>库存股_本期增减变动金额</v>
          </cell>
          <cell r="D363">
            <v>0</v>
          </cell>
          <cell r="E363" t="str">
            <v>＝</v>
          </cell>
          <cell r="F363">
            <v>0</v>
          </cell>
          <cell r="G363" t="str">
            <v>三、本期增减变动金额（减少以“-”号填列）</v>
          </cell>
          <cell r="H363">
            <v>0</v>
          </cell>
          <cell r="I363">
            <v>8390</v>
          </cell>
          <cell r="J363">
            <v>0</v>
          </cell>
          <cell r="M363" t="str">
            <v>其他权益工具（永续债）_盈余公积转增资本</v>
          </cell>
        </row>
        <row r="364">
          <cell r="B364">
            <v>8350</v>
          </cell>
          <cell r="C364" t="str">
            <v>库存股_所有者投入和减少资本影响权益</v>
          </cell>
          <cell r="D364">
            <v>0</v>
          </cell>
          <cell r="E364" t="str">
            <v>＝</v>
          </cell>
          <cell r="F364">
            <v>0</v>
          </cell>
          <cell r="G364" t="str">
            <v>（二）所有者投入和减少资本</v>
          </cell>
          <cell r="H364">
            <v>0</v>
          </cell>
          <cell r="I364">
            <v>8350</v>
          </cell>
          <cell r="J364">
            <v>0</v>
          </cell>
          <cell r="M364" t="str">
            <v>其他权益工具（永续债）_盈余公积弥补亏损</v>
          </cell>
        </row>
        <row r="365">
          <cell r="B365">
            <v>8351</v>
          </cell>
          <cell r="C365" t="str">
            <v>库存股_所有者投入资本</v>
          </cell>
          <cell r="D365">
            <v>1</v>
          </cell>
          <cell r="E365">
            <v>0</v>
          </cell>
          <cell r="F365">
            <v>5310</v>
          </cell>
          <cell r="G365" t="str">
            <v>所有者投入资本</v>
          </cell>
          <cell r="H365">
            <v>0</v>
          </cell>
          <cell r="I365">
            <v>8351</v>
          </cell>
          <cell r="J365" t="str">
            <v>J</v>
          </cell>
          <cell r="M365" t="str">
            <v>其他权益工具（永续债）_设定受益计划变动额结转留存收益</v>
          </cell>
        </row>
        <row r="366">
          <cell r="B366">
            <v>8352</v>
          </cell>
          <cell r="C366" t="str">
            <v>库存股_股份支付</v>
          </cell>
          <cell r="D366">
            <v>1</v>
          </cell>
          <cell r="E366" t="str">
            <v>LOW</v>
          </cell>
          <cell r="F366">
            <v>5310</v>
          </cell>
          <cell r="G366" t="str">
            <v>股份支付计入所有者权益的金额</v>
          </cell>
          <cell r="H366">
            <v>0</v>
          </cell>
          <cell r="I366">
            <v>8352</v>
          </cell>
          <cell r="J366" t="str">
            <v>J</v>
          </cell>
          <cell r="M366" t="str">
            <v>其他权益工具（永续债）_所有者权益其他内部结转</v>
          </cell>
        </row>
        <row r="367">
          <cell r="B367">
            <v>8353</v>
          </cell>
          <cell r="C367" t="str">
            <v>库存股_其他权益工具持有者投入资本</v>
          </cell>
          <cell r="D367">
            <v>1</v>
          </cell>
          <cell r="E367" t="str">
            <v>OEI</v>
          </cell>
          <cell r="F367">
            <v>5310</v>
          </cell>
          <cell r="G367" t="str">
            <v>其他权益工具持有者投入资本</v>
          </cell>
          <cell r="H367">
            <v>0</v>
          </cell>
          <cell r="I367">
            <v>8353</v>
          </cell>
          <cell r="J367" t="str">
            <v>J</v>
          </cell>
          <cell r="M367" t="str">
            <v>其他权益工具（永续债）_专项储备本期提取</v>
          </cell>
        </row>
        <row r="368">
          <cell r="B368">
            <v>8356</v>
          </cell>
          <cell r="C368" t="str">
            <v>库存股_所有者其他投入和减少资本</v>
          </cell>
          <cell r="D368">
            <v>1</v>
          </cell>
          <cell r="E368" t="str">
            <v>LOW</v>
          </cell>
          <cell r="F368">
            <v>5310</v>
          </cell>
          <cell r="G368" t="str">
            <v>其他</v>
          </cell>
          <cell r="H368">
            <v>0</v>
          </cell>
          <cell r="I368">
            <v>8356</v>
          </cell>
          <cell r="J368" t="str">
            <v>J</v>
          </cell>
          <cell r="M368" t="str">
            <v>其他权益工具（永续债）_专项储备本期使用</v>
          </cell>
        </row>
        <row r="369">
          <cell r="B369">
            <v>8360</v>
          </cell>
          <cell r="C369" t="str">
            <v>库存股_利润分配影响权益</v>
          </cell>
          <cell r="D369">
            <v>0</v>
          </cell>
          <cell r="E369" t="str">
            <v>＝</v>
          </cell>
          <cell r="F369">
            <v>0</v>
          </cell>
          <cell r="G369" t="str">
            <v>（三）利润分配</v>
          </cell>
          <cell r="H369">
            <v>0</v>
          </cell>
          <cell r="I369">
            <v>8360</v>
          </cell>
          <cell r="J369">
            <v>0</v>
          </cell>
          <cell r="M369" t="str">
            <v>其他权益工具（永续债）_本期其他增减变动</v>
          </cell>
        </row>
        <row r="370">
          <cell r="B370">
            <v>8363</v>
          </cell>
          <cell r="C370" t="str">
            <v>库存股_对所有者的分配</v>
          </cell>
          <cell r="D370">
            <v>1</v>
          </cell>
          <cell r="E370" t="str">
            <v>LOW</v>
          </cell>
          <cell r="F370">
            <v>5310</v>
          </cell>
          <cell r="G370" t="str">
            <v>对所有者（或股东）的分配</v>
          </cell>
          <cell r="H370">
            <v>0</v>
          </cell>
          <cell r="I370">
            <v>8363</v>
          </cell>
          <cell r="J370" t="str">
            <v>J</v>
          </cell>
          <cell r="M370" t="str">
            <v>其他权益工具（其他）_上年年末余额</v>
          </cell>
        </row>
        <row r="371">
          <cell r="B371">
            <v>8366</v>
          </cell>
          <cell r="C371" t="str">
            <v>库存股_其他利润分配</v>
          </cell>
          <cell r="D371">
            <v>1</v>
          </cell>
          <cell r="E371" t="str">
            <v>LOW</v>
          </cell>
          <cell r="F371">
            <v>5310</v>
          </cell>
          <cell r="G371" t="str">
            <v>其他</v>
          </cell>
          <cell r="H371">
            <v>0</v>
          </cell>
          <cell r="I371">
            <v>8366</v>
          </cell>
          <cell r="J371" t="str">
            <v>J</v>
          </cell>
          <cell r="M371" t="str">
            <v>其他权益工具（其他）_会计政策变更调整上年年末余额</v>
          </cell>
        </row>
        <row r="372">
          <cell r="B372">
            <v>8370</v>
          </cell>
          <cell r="C372" t="str">
            <v>库存股_所有者权益内部结转</v>
          </cell>
          <cell r="D372">
            <v>0</v>
          </cell>
          <cell r="E372" t="str">
            <v>＝</v>
          </cell>
          <cell r="F372">
            <v>0</v>
          </cell>
          <cell r="G372" t="str">
            <v>（四）所有者权益内部结转</v>
          </cell>
          <cell r="H372">
            <v>0</v>
          </cell>
          <cell r="I372">
            <v>8370</v>
          </cell>
          <cell r="J372">
            <v>0</v>
          </cell>
          <cell r="M372" t="str">
            <v>其他权益工具（其他）_前期差错更正调整上年年末余额</v>
          </cell>
        </row>
        <row r="373">
          <cell r="B373">
            <v>8375</v>
          </cell>
          <cell r="C373" t="str">
            <v>库存股_设定受益计划变动额结转留存收益</v>
          </cell>
          <cell r="D373">
            <v>1</v>
          </cell>
          <cell r="E373" t="str">
            <v>OEI</v>
          </cell>
          <cell r="F373">
            <v>5310</v>
          </cell>
          <cell r="G373" t="str">
            <v>设定受益计划变动额结转留存收益</v>
          </cell>
          <cell r="H373">
            <v>0</v>
          </cell>
          <cell r="I373">
            <v>8375</v>
          </cell>
          <cell r="J373" t="str">
            <v>J</v>
          </cell>
          <cell r="M373" t="str">
            <v>其他权益工具（其他）_同一控制下企业合并调整上年年末余额</v>
          </cell>
        </row>
        <row r="374">
          <cell r="B374">
            <v>8376</v>
          </cell>
          <cell r="C374" t="str">
            <v>库存股_所有者权益其他内部结转</v>
          </cell>
          <cell r="D374">
            <v>1</v>
          </cell>
          <cell r="E374">
            <v>0</v>
          </cell>
          <cell r="F374">
            <v>5310</v>
          </cell>
          <cell r="G374" t="str">
            <v>其他</v>
          </cell>
          <cell r="H374">
            <v>0</v>
          </cell>
          <cell r="I374">
            <v>8376</v>
          </cell>
          <cell r="J374" t="str">
            <v>J</v>
          </cell>
          <cell r="M374" t="str">
            <v>其他权益工具（其他）_其他原因调整上年年末余额</v>
          </cell>
        </row>
        <row r="375">
          <cell r="B375">
            <v>8396</v>
          </cell>
          <cell r="C375" t="str">
            <v>库存股_本期其他增减变动</v>
          </cell>
          <cell r="D375">
            <v>1</v>
          </cell>
          <cell r="E375" t="str">
            <v>LOW</v>
          </cell>
          <cell r="F375">
            <v>5310</v>
          </cell>
          <cell r="G375" t="str">
            <v>（七）其他</v>
          </cell>
          <cell r="H375">
            <v>0</v>
          </cell>
          <cell r="I375">
            <v>8396</v>
          </cell>
          <cell r="J375" t="str">
            <v>J</v>
          </cell>
          <cell r="M375" t="str">
            <v>其他权益工具（其他）_综合收益总额增加权益</v>
          </cell>
        </row>
        <row r="376">
          <cell r="B376">
            <v>8399</v>
          </cell>
          <cell r="C376" t="str">
            <v>库存股_本期期末余额</v>
          </cell>
          <cell r="D376">
            <v>0</v>
          </cell>
          <cell r="E376" t="str">
            <v>＝</v>
          </cell>
          <cell r="F376">
            <v>0</v>
          </cell>
          <cell r="G376" t="str">
            <v>四、本期期末余额</v>
          </cell>
          <cell r="H376">
            <v>0</v>
          </cell>
          <cell r="I376">
            <v>8399</v>
          </cell>
          <cell r="J376">
            <v>0</v>
          </cell>
          <cell r="M376" t="str">
            <v>其他权益工具（其他）_所有者投入资本</v>
          </cell>
        </row>
        <row r="377">
          <cell r="B377">
            <v>8400</v>
          </cell>
          <cell r="C377" t="str">
            <v>专项储备增减变动</v>
          </cell>
          <cell r="D377">
            <v>0</v>
          </cell>
          <cell r="E377" t="str">
            <v>：</v>
          </cell>
          <cell r="F377">
            <v>0</v>
          </cell>
          <cell r="G377" t="str">
            <v>专项储备增减变动</v>
          </cell>
          <cell r="H377">
            <v>0</v>
          </cell>
          <cell r="I377">
            <v>8400</v>
          </cell>
          <cell r="J377">
            <v>0</v>
          </cell>
          <cell r="M377" t="str">
            <v>其他权益工具（其他）_股份支付</v>
          </cell>
        </row>
        <row r="378">
          <cell r="B378">
            <v>8401</v>
          </cell>
          <cell r="C378" t="str">
            <v>专项储备_上年年末余额</v>
          </cell>
          <cell r="D378">
            <v>-1</v>
          </cell>
          <cell r="E378">
            <v>0</v>
          </cell>
          <cell r="F378">
            <v>5510</v>
          </cell>
          <cell r="G378" t="str">
            <v>一、上年年末余额</v>
          </cell>
          <cell r="H378">
            <v>0</v>
          </cell>
          <cell r="I378">
            <v>8401</v>
          </cell>
          <cell r="J378" t="str">
            <v>J</v>
          </cell>
          <cell r="M378" t="str">
            <v>其他权益工具（其他）_其他权益工具持有者投入资本</v>
          </cell>
        </row>
        <row r="379">
          <cell r="B379">
            <v>8402</v>
          </cell>
          <cell r="C379" t="str">
            <v>专项储备_会计政策变更调整上年年末余额</v>
          </cell>
          <cell r="D379">
            <v>-1</v>
          </cell>
          <cell r="E379">
            <v>0</v>
          </cell>
          <cell r="F379">
            <v>5510</v>
          </cell>
          <cell r="G379" t="str">
            <v>加：会计政策变更</v>
          </cell>
          <cell r="H379">
            <v>0</v>
          </cell>
          <cell r="I379">
            <v>8402</v>
          </cell>
          <cell r="J379" t="str">
            <v>J</v>
          </cell>
          <cell r="M379" t="str">
            <v>其他权益工具（其他）_所有者其他投入和减少资本</v>
          </cell>
        </row>
        <row r="380">
          <cell r="B380">
            <v>8403</v>
          </cell>
          <cell r="C380" t="str">
            <v>专项储备_前期差错更正调整上年年末余额</v>
          </cell>
          <cell r="D380">
            <v>-1</v>
          </cell>
          <cell r="E380">
            <v>0</v>
          </cell>
          <cell r="F380">
            <v>5510</v>
          </cell>
          <cell r="G380" t="str">
            <v>前期差错更正</v>
          </cell>
          <cell r="H380">
            <v>0</v>
          </cell>
          <cell r="I380">
            <v>8403</v>
          </cell>
          <cell r="J380" t="str">
            <v>J</v>
          </cell>
          <cell r="M380" t="str">
            <v>其他权益工具（其他）_提取盈余公积</v>
          </cell>
        </row>
        <row r="381">
          <cell r="B381">
            <v>8404</v>
          </cell>
          <cell r="C381" t="str">
            <v>专项储备_同一控制下企业合并调整上年年末余额</v>
          </cell>
          <cell r="D381">
            <v>-1</v>
          </cell>
          <cell r="E381" t="str">
            <v>※</v>
          </cell>
          <cell r="F381">
            <v>5510</v>
          </cell>
          <cell r="G381" t="str">
            <v>同一控制下企业合并</v>
          </cell>
          <cell r="H381">
            <v>0</v>
          </cell>
          <cell r="I381">
            <v>8404</v>
          </cell>
          <cell r="J381" t="str">
            <v>J</v>
          </cell>
          <cell r="M381" t="str">
            <v>其他权益工具（其他）_提取一般风险准备</v>
          </cell>
        </row>
        <row r="382">
          <cell r="B382">
            <v>8409</v>
          </cell>
          <cell r="C382" t="str">
            <v>专项储备_其他原因调整上年年末余额</v>
          </cell>
          <cell r="D382">
            <v>-1</v>
          </cell>
          <cell r="E382" t="str">
            <v>LOW</v>
          </cell>
          <cell r="F382">
            <v>5510</v>
          </cell>
          <cell r="G382" t="str">
            <v>其他</v>
          </cell>
          <cell r="H382">
            <v>0</v>
          </cell>
          <cell r="I382">
            <v>8409</v>
          </cell>
          <cell r="J382" t="str">
            <v>J</v>
          </cell>
          <cell r="M382" t="str">
            <v>其他权益工具（其他）_对所有者的分配</v>
          </cell>
        </row>
        <row r="383">
          <cell r="B383">
            <v>8410</v>
          </cell>
          <cell r="C383" t="str">
            <v>专项储备_本年年初余额</v>
          </cell>
          <cell r="D383">
            <v>0</v>
          </cell>
          <cell r="E383" t="str">
            <v>＝</v>
          </cell>
          <cell r="F383">
            <v>0</v>
          </cell>
          <cell r="G383" t="str">
            <v>二、本年年初余额</v>
          </cell>
          <cell r="H383">
            <v>0</v>
          </cell>
          <cell r="I383">
            <v>8410</v>
          </cell>
          <cell r="J383">
            <v>0</v>
          </cell>
          <cell r="M383" t="str">
            <v>其他权益工具（其他）_其他利润分配</v>
          </cell>
        </row>
        <row r="384">
          <cell r="B384">
            <v>8453</v>
          </cell>
          <cell r="C384" t="str">
            <v>专项储备_其他权益工具持有者投入资本</v>
          </cell>
          <cell r="D384">
            <v>-1</v>
          </cell>
          <cell r="E384" t="str">
            <v>OEI</v>
          </cell>
          <cell r="F384">
            <v>5510</v>
          </cell>
          <cell r="G384" t="str">
            <v>其他权益工具持有者投入资本</v>
          </cell>
          <cell r="H384">
            <v>0</v>
          </cell>
          <cell r="I384">
            <v>8453</v>
          </cell>
          <cell r="J384" t="str">
            <v>J</v>
          </cell>
          <cell r="M384" t="str">
            <v>其他权益工具（其他）_资本公积转增资本</v>
          </cell>
        </row>
        <row r="385">
          <cell r="B385">
            <v>8490</v>
          </cell>
          <cell r="C385" t="str">
            <v>专项储备_本期增减变动金额</v>
          </cell>
          <cell r="D385">
            <v>0</v>
          </cell>
          <cell r="E385" t="str">
            <v>＝</v>
          </cell>
          <cell r="F385">
            <v>0</v>
          </cell>
          <cell r="G385" t="str">
            <v>三、本期增减变动金额（减少以“-”号填列）</v>
          </cell>
          <cell r="H385">
            <v>0</v>
          </cell>
          <cell r="I385">
            <v>8490</v>
          </cell>
          <cell r="J385">
            <v>0</v>
          </cell>
          <cell r="M385" t="str">
            <v>其他权益工具（其他）_盈余公积转增资本</v>
          </cell>
        </row>
        <row r="386">
          <cell r="B386">
            <v>8470</v>
          </cell>
          <cell r="C386" t="str">
            <v>专项储备_所有者权益内部结转</v>
          </cell>
          <cell r="D386">
            <v>0</v>
          </cell>
          <cell r="E386" t="str">
            <v>＝</v>
          </cell>
          <cell r="F386">
            <v>0</v>
          </cell>
          <cell r="G386" t="str">
            <v>（四）所有者权益内部结转</v>
          </cell>
          <cell r="H386">
            <v>0</v>
          </cell>
          <cell r="I386">
            <v>8470</v>
          </cell>
          <cell r="J386">
            <v>0</v>
          </cell>
          <cell r="M386" t="str">
            <v>其他权益工具（其他）_盈余公积弥补亏损</v>
          </cell>
        </row>
        <row r="387">
          <cell r="B387">
            <v>8475</v>
          </cell>
          <cell r="C387" t="str">
            <v>专项储备_设定受益计划变动额结转留存收益</v>
          </cell>
          <cell r="D387">
            <v>-1</v>
          </cell>
          <cell r="E387" t="str">
            <v>OEI</v>
          </cell>
          <cell r="F387">
            <v>5510</v>
          </cell>
          <cell r="G387" t="str">
            <v>设定受益计划变动额结转留存收益</v>
          </cell>
          <cell r="H387">
            <v>0</v>
          </cell>
          <cell r="I387">
            <v>8475</v>
          </cell>
          <cell r="J387" t="str">
            <v>J</v>
          </cell>
          <cell r="M387" t="str">
            <v>其他权益工具（其他）_设定受益计划变动额结转留存收益</v>
          </cell>
        </row>
        <row r="388">
          <cell r="B388">
            <v>8476</v>
          </cell>
          <cell r="C388" t="str">
            <v>专项储备_所有者权益其他内部结转</v>
          </cell>
          <cell r="D388">
            <v>-1</v>
          </cell>
          <cell r="E388" t="str">
            <v>LOW</v>
          </cell>
          <cell r="F388">
            <v>5510</v>
          </cell>
          <cell r="G388" t="str">
            <v>其他</v>
          </cell>
          <cell r="H388">
            <v>0</v>
          </cell>
          <cell r="I388">
            <v>8476</v>
          </cell>
          <cell r="J388" t="str">
            <v>J</v>
          </cell>
          <cell r="M388" t="str">
            <v>其他权益工具（其他）_所有者权益其他内部结转</v>
          </cell>
        </row>
        <row r="389">
          <cell r="B389">
            <v>8480</v>
          </cell>
          <cell r="C389" t="str">
            <v>专项储备_专项储备影响权益</v>
          </cell>
          <cell r="D389">
            <v>0</v>
          </cell>
          <cell r="E389" t="str">
            <v>＝</v>
          </cell>
          <cell r="F389">
            <v>0</v>
          </cell>
          <cell r="G389" t="str">
            <v>（五）专项储备</v>
          </cell>
          <cell r="H389">
            <v>0</v>
          </cell>
          <cell r="I389">
            <v>8480</v>
          </cell>
          <cell r="J389">
            <v>0</v>
          </cell>
          <cell r="M389" t="str">
            <v>其他权益工具（其他）_专项储备本期提取</v>
          </cell>
        </row>
        <row r="390">
          <cell r="B390">
            <v>8481</v>
          </cell>
          <cell r="C390" t="str">
            <v>专项储备_本期提取</v>
          </cell>
          <cell r="D390">
            <v>-1</v>
          </cell>
          <cell r="E390">
            <v>0</v>
          </cell>
          <cell r="F390">
            <v>5510</v>
          </cell>
          <cell r="G390" t="str">
            <v>本期提取</v>
          </cell>
          <cell r="H390">
            <v>0</v>
          </cell>
          <cell r="I390">
            <v>8481</v>
          </cell>
          <cell r="J390" t="str">
            <v>J</v>
          </cell>
          <cell r="M390" t="str">
            <v>其他权益工具（其他）_专项储备本期使用</v>
          </cell>
        </row>
        <row r="391">
          <cell r="B391">
            <v>8482</v>
          </cell>
          <cell r="C391" t="str">
            <v>专项储备_本期使用</v>
          </cell>
          <cell r="D391">
            <v>-1</v>
          </cell>
          <cell r="E391">
            <v>0</v>
          </cell>
          <cell r="F391">
            <v>5510</v>
          </cell>
          <cell r="G391" t="str">
            <v>本期使用</v>
          </cell>
          <cell r="H391">
            <v>0</v>
          </cell>
          <cell r="I391">
            <v>8482</v>
          </cell>
          <cell r="J391" t="str">
            <v>J</v>
          </cell>
          <cell r="M391" t="str">
            <v>其他权益工具（其他）_本期其他增减变动</v>
          </cell>
        </row>
        <row r="392">
          <cell r="B392">
            <v>8496</v>
          </cell>
          <cell r="C392" t="str">
            <v>专项储备_本期其他增减变动</v>
          </cell>
          <cell r="D392">
            <v>-1</v>
          </cell>
          <cell r="E392" t="str">
            <v>LOW</v>
          </cell>
          <cell r="F392">
            <v>5510</v>
          </cell>
          <cell r="G392" t="str">
            <v>（七）其他</v>
          </cell>
          <cell r="H392">
            <v>0</v>
          </cell>
          <cell r="I392">
            <v>8496</v>
          </cell>
          <cell r="J392" t="str">
            <v>J</v>
          </cell>
          <cell r="M392" t="str">
            <v>其他综合收益_上年年末余额</v>
          </cell>
        </row>
        <row r="393">
          <cell r="B393">
            <v>8499</v>
          </cell>
          <cell r="C393" t="str">
            <v>专项储备_本期期末余额</v>
          </cell>
          <cell r="D393">
            <v>0</v>
          </cell>
          <cell r="E393" t="str">
            <v>＝</v>
          </cell>
          <cell r="F393">
            <v>0</v>
          </cell>
          <cell r="G393" t="str">
            <v>四、本期期末余额</v>
          </cell>
          <cell r="H393">
            <v>0</v>
          </cell>
          <cell r="I393">
            <v>8499</v>
          </cell>
          <cell r="J393">
            <v>0</v>
          </cell>
          <cell r="M393" t="str">
            <v>其他综合收益_会计政策变更调整上年年末余额</v>
          </cell>
        </row>
        <row r="394">
          <cell r="B394">
            <v>8500</v>
          </cell>
          <cell r="C394" t="str">
            <v>盈余公积增减变动</v>
          </cell>
          <cell r="D394">
            <v>0</v>
          </cell>
          <cell r="E394" t="str">
            <v>：</v>
          </cell>
          <cell r="F394">
            <v>0</v>
          </cell>
          <cell r="G394" t="str">
            <v>盈余公积增减变动</v>
          </cell>
          <cell r="H394">
            <v>0</v>
          </cell>
          <cell r="I394">
            <v>8500</v>
          </cell>
          <cell r="J394">
            <v>0</v>
          </cell>
          <cell r="M394" t="str">
            <v>其他综合收益_前期差错更正调整上年年末余额</v>
          </cell>
        </row>
        <row r="395">
          <cell r="B395">
            <v>8501</v>
          </cell>
          <cell r="C395" t="str">
            <v>盈余公积_上年年末余额</v>
          </cell>
          <cell r="D395">
            <v>-1</v>
          </cell>
          <cell r="E395">
            <v>0</v>
          </cell>
          <cell r="F395">
            <v>5410</v>
          </cell>
          <cell r="G395" t="str">
            <v>一、上年年末余额</v>
          </cell>
          <cell r="H395">
            <v>0</v>
          </cell>
          <cell r="I395">
            <v>8501</v>
          </cell>
          <cell r="J395" t="str">
            <v>J</v>
          </cell>
          <cell r="M395" t="str">
            <v>其他综合收益_同一控制下企业合并调整上年年末余额</v>
          </cell>
        </row>
        <row r="396">
          <cell r="B396">
            <v>8502</v>
          </cell>
          <cell r="C396" t="str">
            <v>盈余公积_会计政策变更调整上年年末余额</v>
          </cell>
          <cell r="D396">
            <v>-1</v>
          </cell>
          <cell r="E396">
            <v>0</v>
          </cell>
          <cell r="F396">
            <v>5410</v>
          </cell>
          <cell r="G396" t="str">
            <v>加：会计政策变更</v>
          </cell>
          <cell r="H396">
            <v>0</v>
          </cell>
          <cell r="I396">
            <v>8502</v>
          </cell>
          <cell r="J396" t="str">
            <v>J</v>
          </cell>
          <cell r="M396" t="str">
            <v>其他综合收益_其他原因调整上年年末余额</v>
          </cell>
        </row>
        <row r="397">
          <cell r="B397">
            <v>8503</v>
          </cell>
          <cell r="C397" t="str">
            <v>盈余公积_前期差错更正调整上年年末余额</v>
          </cell>
          <cell r="D397">
            <v>-1</v>
          </cell>
          <cell r="E397">
            <v>0</v>
          </cell>
          <cell r="F397">
            <v>5410</v>
          </cell>
          <cell r="G397" t="str">
            <v>前期差错更正</v>
          </cell>
          <cell r="H397">
            <v>0</v>
          </cell>
          <cell r="I397">
            <v>8503</v>
          </cell>
          <cell r="J397" t="str">
            <v>J</v>
          </cell>
          <cell r="M397" t="str">
            <v>其他综合收益_所有者投入资本</v>
          </cell>
        </row>
        <row r="398">
          <cell r="B398">
            <v>8504</v>
          </cell>
          <cell r="C398" t="str">
            <v>盈余公积_同一控制下企业合并调整上年年末余额</v>
          </cell>
          <cell r="D398">
            <v>-1</v>
          </cell>
          <cell r="E398" t="str">
            <v>※</v>
          </cell>
          <cell r="F398">
            <v>5410</v>
          </cell>
          <cell r="G398" t="str">
            <v>同一控制下企业合并</v>
          </cell>
          <cell r="H398">
            <v>0</v>
          </cell>
          <cell r="I398">
            <v>8504</v>
          </cell>
          <cell r="J398" t="str">
            <v>J</v>
          </cell>
          <cell r="M398" t="str">
            <v>其他综合收益_股份支付</v>
          </cell>
        </row>
        <row r="399">
          <cell r="B399">
            <v>8509</v>
          </cell>
          <cell r="C399" t="str">
            <v>盈余公积_其他原因调整上年年末余额</v>
          </cell>
          <cell r="D399">
            <v>-1</v>
          </cell>
          <cell r="E399">
            <v>0</v>
          </cell>
          <cell r="F399">
            <v>5410</v>
          </cell>
          <cell r="G399" t="str">
            <v>其他</v>
          </cell>
          <cell r="H399">
            <v>0</v>
          </cell>
          <cell r="I399">
            <v>8509</v>
          </cell>
          <cell r="J399" t="str">
            <v>J</v>
          </cell>
          <cell r="M399" t="str">
            <v>其他综合收益_其他权益工具持有者投入资本</v>
          </cell>
        </row>
        <row r="400">
          <cell r="B400">
            <v>8510</v>
          </cell>
          <cell r="C400" t="str">
            <v>盈余公积_本年年初余额</v>
          </cell>
          <cell r="D400">
            <v>0</v>
          </cell>
          <cell r="E400" t="str">
            <v>＝</v>
          </cell>
          <cell r="F400">
            <v>0</v>
          </cell>
          <cell r="G400" t="str">
            <v>二、本年年初余额</v>
          </cell>
          <cell r="H400">
            <v>0</v>
          </cell>
          <cell r="I400">
            <v>8510</v>
          </cell>
          <cell r="J400">
            <v>0</v>
          </cell>
          <cell r="M400" t="str">
            <v>其他综合收益_所有者其他投入和减少资本</v>
          </cell>
        </row>
        <row r="401">
          <cell r="B401">
            <v>8590</v>
          </cell>
          <cell r="C401" t="str">
            <v>盈余公积_本期增减变动金额</v>
          </cell>
          <cell r="D401">
            <v>0</v>
          </cell>
          <cell r="E401" t="str">
            <v>＝</v>
          </cell>
          <cell r="F401">
            <v>0</v>
          </cell>
          <cell r="G401" t="str">
            <v>三、本期增减变动金额（减少以“-”号填列）</v>
          </cell>
          <cell r="H401">
            <v>0</v>
          </cell>
          <cell r="I401">
            <v>8590</v>
          </cell>
          <cell r="J401">
            <v>0</v>
          </cell>
          <cell r="M401" t="str">
            <v>其他综合收益_提取盈余公积</v>
          </cell>
        </row>
        <row r="402">
          <cell r="B402">
            <v>8550</v>
          </cell>
          <cell r="C402" t="str">
            <v>盈余公积_所有者投入和减少资本影响权益</v>
          </cell>
          <cell r="D402">
            <v>0</v>
          </cell>
          <cell r="E402" t="str">
            <v>＝</v>
          </cell>
          <cell r="F402">
            <v>0</v>
          </cell>
          <cell r="G402" t="str">
            <v>（二）所有者投入和减少资本</v>
          </cell>
          <cell r="H402">
            <v>0</v>
          </cell>
          <cell r="I402">
            <v>8550</v>
          </cell>
          <cell r="J402">
            <v>0</v>
          </cell>
          <cell r="M402" t="str">
            <v>其他综合收益_提取一般风险准备</v>
          </cell>
        </row>
        <row r="403">
          <cell r="B403">
            <v>8553</v>
          </cell>
          <cell r="C403" t="str">
            <v>盈余公积_其他权益工具持有者投入资本</v>
          </cell>
          <cell r="D403">
            <v>-1</v>
          </cell>
          <cell r="E403" t="str">
            <v>OEI</v>
          </cell>
          <cell r="F403">
            <v>5410</v>
          </cell>
          <cell r="G403" t="str">
            <v>其他权益工具持有者投入资本</v>
          </cell>
          <cell r="H403">
            <v>0</v>
          </cell>
          <cell r="I403">
            <v>8553</v>
          </cell>
          <cell r="J403" t="str">
            <v>J</v>
          </cell>
          <cell r="M403" t="str">
            <v>其他综合收益_对所有者的分配</v>
          </cell>
        </row>
        <row r="404">
          <cell r="B404">
            <v>8556</v>
          </cell>
          <cell r="C404" t="str">
            <v>盈余公积_所有者其他投入和减少资本</v>
          </cell>
          <cell r="D404">
            <v>-1</v>
          </cell>
          <cell r="E404" t="str">
            <v>LOW</v>
          </cell>
          <cell r="F404">
            <v>5410</v>
          </cell>
          <cell r="G404" t="str">
            <v>其他</v>
          </cell>
          <cell r="H404">
            <v>0</v>
          </cell>
          <cell r="I404">
            <v>8556</v>
          </cell>
          <cell r="J404" t="str">
            <v>J</v>
          </cell>
          <cell r="M404" t="str">
            <v>其他综合收益_其他利润分配</v>
          </cell>
        </row>
        <row r="405">
          <cell r="B405">
            <v>8560</v>
          </cell>
          <cell r="C405" t="str">
            <v>盈余公积_利润分配影响权益</v>
          </cell>
          <cell r="D405">
            <v>0</v>
          </cell>
          <cell r="E405" t="str">
            <v>＝</v>
          </cell>
          <cell r="F405">
            <v>0</v>
          </cell>
          <cell r="G405" t="str">
            <v>（三）利润分配</v>
          </cell>
          <cell r="H405">
            <v>0</v>
          </cell>
          <cell r="I405">
            <v>8560</v>
          </cell>
          <cell r="J405">
            <v>0</v>
          </cell>
          <cell r="M405" t="str">
            <v>其他综合收益_资本公积转增资本</v>
          </cell>
        </row>
        <row r="406">
          <cell r="B406">
            <v>8561</v>
          </cell>
          <cell r="C406" t="str">
            <v>盈余公积_提取</v>
          </cell>
          <cell r="D406">
            <v>-1</v>
          </cell>
          <cell r="E406">
            <v>0</v>
          </cell>
          <cell r="F406">
            <v>5410</v>
          </cell>
          <cell r="G406" t="str">
            <v>提取盈余公积</v>
          </cell>
          <cell r="H406">
            <v>0</v>
          </cell>
          <cell r="I406">
            <v>8561</v>
          </cell>
          <cell r="J406" t="str">
            <v>J</v>
          </cell>
          <cell r="M406" t="str">
            <v>其他综合收益_盈余公积转增资本</v>
          </cell>
        </row>
        <row r="407">
          <cell r="B407">
            <v>8563</v>
          </cell>
          <cell r="C407" t="str">
            <v>盈余公积_对所有者的分配</v>
          </cell>
          <cell r="D407">
            <v>-1</v>
          </cell>
          <cell r="E407">
            <v>0</v>
          </cell>
          <cell r="F407">
            <v>5410</v>
          </cell>
          <cell r="G407" t="str">
            <v>对所有者（或股东）的分配</v>
          </cell>
          <cell r="H407">
            <v>0</v>
          </cell>
          <cell r="I407">
            <v>8563</v>
          </cell>
          <cell r="J407" t="str">
            <v>J</v>
          </cell>
          <cell r="M407" t="str">
            <v>其他综合收益_盈余公积弥补亏损</v>
          </cell>
        </row>
        <row r="408">
          <cell r="B408">
            <v>8566</v>
          </cell>
          <cell r="C408" t="str">
            <v>盈余公积_其他利润分配</v>
          </cell>
          <cell r="D408">
            <v>-1</v>
          </cell>
          <cell r="E408">
            <v>0</v>
          </cell>
          <cell r="F408">
            <v>5410</v>
          </cell>
          <cell r="G408" t="str">
            <v>其他</v>
          </cell>
          <cell r="H408">
            <v>0</v>
          </cell>
          <cell r="I408">
            <v>8566</v>
          </cell>
          <cell r="J408" t="str">
            <v>J</v>
          </cell>
          <cell r="M408" t="str">
            <v>其他综合收益_设定受益计划变动额结转留存收益</v>
          </cell>
        </row>
        <row r="409">
          <cell r="B409">
            <v>8570</v>
          </cell>
          <cell r="C409" t="str">
            <v>盈余公积_所有者权益内部结转</v>
          </cell>
          <cell r="D409">
            <v>0</v>
          </cell>
          <cell r="E409" t="str">
            <v>＝</v>
          </cell>
          <cell r="F409">
            <v>0</v>
          </cell>
          <cell r="G409" t="str">
            <v>（四）所有者权益内部结转</v>
          </cell>
          <cell r="H409">
            <v>0</v>
          </cell>
          <cell r="I409">
            <v>8570</v>
          </cell>
          <cell r="J409">
            <v>0</v>
          </cell>
          <cell r="M409" t="str">
            <v>其他综合收益_所有者权益其他内部结转</v>
          </cell>
        </row>
        <row r="410">
          <cell r="B410">
            <v>8572</v>
          </cell>
          <cell r="C410" t="str">
            <v>盈余公积_转增资本</v>
          </cell>
          <cell r="D410">
            <v>-1</v>
          </cell>
          <cell r="E410">
            <v>0</v>
          </cell>
          <cell r="F410">
            <v>5410</v>
          </cell>
          <cell r="G410" t="str">
            <v>盈余公积转增资本（或股本）</v>
          </cell>
          <cell r="H410">
            <v>0</v>
          </cell>
          <cell r="I410">
            <v>8572</v>
          </cell>
          <cell r="J410" t="str">
            <v>J</v>
          </cell>
          <cell r="M410" t="str">
            <v>其他综合收益_专项储备本期提取</v>
          </cell>
        </row>
        <row r="411">
          <cell r="B411">
            <v>8573</v>
          </cell>
          <cell r="C411" t="str">
            <v>盈余公积_弥补亏损</v>
          </cell>
          <cell r="D411">
            <v>-1</v>
          </cell>
          <cell r="E411">
            <v>0</v>
          </cell>
          <cell r="F411">
            <v>5410</v>
          </cell>
          <cell r="G411" t="str">
            <v>盈余公积弥补亏损</v>
          </cell>
          <cell r="H411">
            <v>0</v>
          </cell>
          <cell r="I411">
            <v>8573</v>
          </cell>
          <cell r="J411" t="str">
            <v>J</v>
          </cell>
          <cell r="M411" t="str">
            <v>其他综合收益_专项储备本期使用</v>
          </cell>
        </row>
        <row r="412">
          <cell r="B412">
            <v>8575</v>
          </cell>
          <cell r="C412" t="str">
            <v>盈余公积_设定受益计划变动额结转留存收益</v>
          </cell>
          <cell r="D412">
            <v>-1</v>
          </cell>
          <cell r="E412" t="str">
            <v>OEI</v>
          </cell>
          <cell r="F412">
            <v>5410</v>
          </cell>
          <cell r="G412" t="str">
            <v>设定受益计划变动额结转留存收益</v>
          </cell>
          <cell r="H412">
            <v>0</v>
          </cell>
          <cell r="I412">
            <v>8575</v>
          </cell>
          <cell r="J412" t="str">
            <v>J</v>
          </cell>
          <cell r="M412" t="str">
            <v>其他综合收益_本期其他增减变动</v>
          </cell>
        </row>
        <row r="413">
          <cell r="B413">
            <v>8576</v>
          </cell>
          <cell r="C413" t="str">
            <v>盈余公积_所有者权益其他内部结转</v>
          </cell>
          <cell r="D413">
            <v>-1</v>
          </cell>
          <cell r="E413" t="str">
            <v>LOW</v>
          </cell>
          <cell r="F413">
            <v>5410</v>
          </cell>
          <cell r="G413" t="str">
            <v>其他</v>
          </cell>
          <cell r="H413">
            <v>0</v>
          </cell>
          <cell r="I413">
            <v>8576</v>
          </cell>
          <cell r="J413" t="str">
            <v>J</v>
          </cell>
        </row>
        <row r="414">
          <cell r="B414">
            <v>8596</v>
          </cell>
          <cell r="C414" t="str">
            <v>盈余公积_本期其他增减变动</v>
          </cell>
          <cell r="D414">
            <v>-1</v>
          </cell>
          <cell r="E414" t="str">
            <v>LOW</v>
          </cell>
          <cell r="F414">
            <v>5410</v>
          </cell>
          <cell r="G414" t="str">
            <v>（七）其他</v>
          </cell>
          <cell r="H414">
            <v>0</v>
          </cell>
          <cell r="I414">
            <v>8596</v>
          </cell>
          <cell r="J414" t="str">
            <v>J</v>
          </cell>
        </row>
        <row r="415">
          <cell r="B415">
            <v>8599</v>
          </cell>
          <cell r="C415" t="str">
            <v>盈余公积_本期期末余额</v>
          </cell>
          <cell r="D415">
            <v>0</v>
          </cell>
          <cell r="E415" t="str">
            <v>＝</v>
          </cell>
          <cell r="F415">
            <v>0</v>
          </cell>
          <cell r="G415" t="str">
            <v>四、本期期末余额</v>
          </cell>
          <cell r="H415">
            <v>0</v>
          </cell>
          <cell r="I415">
            <v>8599</v>
          </cell>
          <cell r="J415">
            <v>0</v>
          </cell>
        </row>
        <row r="416">
          <cell r="B416">
            <v>8600</v>
          </cell>
          <cell r="C416" t="str">
            <v>一般风险准备增减变动</v>
          </cell>
          <cell r="D416">
            <v>0</v>
          </cell>
          <cell r="E416" t="str">
            <v>：</v>
          </cell>
          <cell r="F416">
            <v>0</v>
          </cell>
          <cell r="G416" t="str">
            <v>一般风险准备增减变动</v>
          </cell>
          <cell r="H416">
            <v>0</v>
          </cell>
          <cell r="I416">
            <v>8600</v>
          </cell>
          <cell r="J416">
            <v>0</v>
          </cell>
        </row>
        <row r="417">
          <cell r="B417">
            <v>8601</v>
          </cell>
          <cell r="C417" t="str">
            <v>一般风险准备_上年年末余额</v>
          </cell>
          <cell r="D417">
            <v>-1</v>
          </cell>
          <cell r="E417">
            <v>0</v>
          </cell>
          <cell r="F417">
            <v>0</v>
          </cell>
          <cell r="G417" t="str">
            <v>一、上年年末余额</v>
          </cell>
          <cell r="H417">
            <v>0</v>
          </cell>
          <cell r="I417">
            <v>8601</v>
          </cell>
          <cell r="J417" t="str">
            <v>J</v>
          </cell>
        </row>
        <row r="418">
          <cell r="B418">
            <v>8602</v>
          </cell>
          <cell r="C418" t="str">
            <v>一般风险准备_会计政策变更调整上年年末余额</v>
          </cell>
          <cell r="D418">
            <v>-1</v>
          </cell>
          <cell r="E418">
            <v>0</v>
          </cell>
          <cell r="F418">
            <v>0</v>
          </cell>
          <cell r="G418" t="str">
            <v>加：会计政策变更</v>
          </cell>
          <cell r="H418">
            <v>0</v>
          </cell>
          <cell r="I418">
            <v>8602</v>
          </cell>
          <cell r="J418" t="str">
            <v>J</v>
          </cell>
        </row>
        <row r="419">
          <cell r="B419">
            <v>8603</v>
          </cell>
          <cell r="C419" t="str">
            <v>一般风险准备_前期差错更正调整上年年末余额</v>
          </cell>
          <cell r="D419">
            <v>-1</v>
          </cell>
          <cell r="E419">
            <v>0</v>
          </cell>
          <cell r="F419">
            <v>0</v>
          </cell>
          <cell r="G419" t="str">
            <v>前期差错更正</v>
          </cell>
          <cell r="H419">
            <v>0</v>
          </cell>
          <cell r="I419">
            <v>8603</v>
          </cell>
          <cell r="J419" t="str">
            <v>J</v>
          </cell>
        </row>
        <row r="420">
          <cell r="B420">
            <v>8604</v>
          </cell>
          <cell r="C420" t="str">
            <v>一般风险准备_同一控制下企业合并调整上年年末余额</v>
          </cell>
          <cell r="D420">
            <v>-1</v>
          </cell>
          <cell r="E420" t="str">
            <v>※</v>
          </cell>
          <cell r="F420">
            <v>0</v>
          </cell>
          <cell r="G420" t="str">
            <v>同一控制下企业合并</v>
          </cell>
          <cell r="H420">
            <v>0</v>
          </cell>
          <cell r="I420">
            <v>8604</v>
          </cell>
          <cell r="J420" t="str">
            <v>J</v>
          </cell>
        </row>
        <row r="421">
          <cell r="B421">
            <v>8609</v>
          </cell>
          <cell r="C421" t="str">
            <v>一般风险准备_其他原因调整上年年末余额</v>
          </cell>
          <cell r="D421">
            <v>-1</v>
          </cell>
          <cell r="E421" t="str">
            <v>LOW</v>
          </cell>
          <cell r="F421">
            <v>0</v>
          </cell>
          <cell r="G421" t="str">
            <v>其他</v>
          </cell>
          <cell r="H421">
            <v>0</v>
          </cell>
          <cell r="I421">
            <v>8609</v>
          </cell>
          <cell r="J421" t="str">
            <v>J</v>
          </cell>
        </row>
        <row r="422">
          <cell r="B422">
            <v>8610</v>
          </cell>
          <cell r="C422" t="str">
            <v>一般风险准备_本年年初余额</v>
          </cell>
          <cell r="D422">
            <v>0</v>
          </cell>
          <cell r="E422" t="str">
            <v>＝</v>
          </cell>
          <cell r="F422">
            <v>0</v>
          </cell>
          <cell r="G422" t="str">
            <v>二、本年年初余额</v>
          </cell>
          <cell r="H422">
            <v>0</v>
          </cell>
          <cell r="I422">
            <v>8610</v>
          </cell>
          <cell r="J422">
            <v>0</v>
          </cell>
        </row>
        <row r="423">
          <cell r="B423">
            <v>8690</v>
          </cell>
          <cell r="C423" t="str">
            <v>一般风险准备_本期增减变动金额</v>
          </cell>
          <cell r="D423">
            <v>0</v>
          </cell>
          <cell r="E423" t="str">
            <v>＝</v>
          </cell>
          <cell r="F423">
            <v>0</v>
          </cell>
          <cell r="G423" t="str">
            <v>三、本期增减变动金额（减少以“-”号填列）</v>
          </cell>
          <cell r="H423">
            <v>0</v>
          </cell>
          <cell r="I423">
            <v>8690</v>
          </cell>
          <cell r="J423">
            <v>0</v>
          </cell>
        </row>
        <row r="424">
          <cell r="B424">
            <v>8650</v>
          </cell>
          <cell r="C424" t="str">
            <v>一般风险准备_所有者投入和减少资本影响权益</v>
          </cell>
          <cell r="D424">
            <v>0</v>
          </cell>
          <cell r="E424" t="str">
            <v>＝</v>
          </cell>
          <cell r="F424">
            <v>0</v>
          </cell>
          <cell r="G424" t="str">
            <v>（二）所有者投入和减少资本</v>
          </cell>
          <cell r="H424">
            <v>0</v>
          </cell>
          <cell r="I424">
            <v>8650</v>
          </cell>
          <cell r="J424">
            <v>0</v>
          </cell>
        </row>
        <row r="425">
          <cell r="B425">
            <v>8653</v>
          </cell>
          <cell r="C425" t="str">
            <v>一般风险准备_其他权益工具持有者投入资本</v>
          </cell>
          <cell r="D425">
            <v>-1</v>
          </cell>
          <cell r="E425" t="str">
            <v>OEI</v>
          </cell>
          <cell r="F425">
            <v>0</v>
          </cell>
          <cell r="G425" t="str">
            <v>其他权益工具持有者投入资本</v>
          </cell>
          <cell r="H425">
            <v>0</v>
          </cell>
          <cell r="I425">
            <v>8653</v>
          </cell>
          <cell r="J425" t="str">
            <v>J</v>
          </cell>
        </row>
        <row r="426">
          <cell r="B426">
            <v>8656</v>
          </cell>
          <cell r="C426" t="str">
            <v>一般风险准备_所有者其他投入和减少资本</v>
          </cell>
          <cell r="D426">
            <v>-1</v>
          </cell>
          <cell r="E426" t="str">
            <v>LOW</v>
          </cell>
          <cell r="F426">
            <v>0</v>
          </cell>
          <cell r="G426" t="str">
            <v>其他</v>
          </cell>
          <cell r="H426">
            <v>0</v>
          </cell>
          <cell r="I426">
            <v>8656</v>
          </cell>
          <cell r="J426" t="str">
            <v>J</v>
          </cell>
        </row>
        <row r="427">
          <cell r="B427">
            <v>8660</v>
          </cell>
          <cell r="C427" t="str">
            <v>一般风险准备_利润分配影响权益</v>
          </cell>
          <cell r="D427">
            <v>0</v>
          </cell>
          <cell r="E427" t="str">
            <v>＝</v>
          </cell>
          <cell r="F427">
            <v>0</v>
          </cell>
          <cell r="G427" t="str">
            <v>（三）利润分配</v>
          </cell>
          <cell r="H427">
            <v>0</v>
          </cell>
          <cell r="I427">
            <v>8660</v>
          </cell>
          <cell r="J427">
            <v>0</v>
          </cell>
        </row>
        <row r="428">
          <cell r="B428">
            <v>8662</v>
          </cell>
          <cell r="C428" t="str">
            <v>一般风险准备_提取</v>
          </cell>
          <cell r="D428">
            <v>-1</v>
          </cell>
          <cell r="E428">
            <v>0</v>
          </cell>
          <cell r="F428">
            <v>0</v>
          </cell>
          <cell r="G428" t="str">
            <v>提取一般风险准备</v>
          </cell>
          <cell r="H428">
            <v>0</v>
          </cell>
          <cell r="I428">
            <v>8662</v>
          </cell>
          <cell r="J428" t="str">
            <v>J</v>
          </cell>
        </row>
        <row r="429">
          <cell r="B429">
            <v>8666</v>
          </cell>
          <cell r="C429" t="str">
            <v>一般风险准备_其他利润分配</v>
          </cell>
          <cell r="D429">
            <v>-1</v>
          </cell>
          <cell r="E429" t="str">
            <v>LOW</v>
          </cell>
          <cell r="F429">
            <v>0</v>
          </cell>
          <cell r="G429" t="str">
            <v>其他</v>
          </cell>
          <cell r="H429">
            <v>0</v>
          </cell>
          <cell r="I429">
            <v>8666</v>
          </cell>
          <cell r="J429" t="str">
            <v>J</v>
          </cell>
        </row>
        <row r="430">
          <cell r="B430">
            <v>8670</v>
          </cell>
          <cell r="C430" t="str">
            <v>一般风险准备_所有者权益内部结转</v>
          </cell>
          <cell r="D430">
            <v>0</v>
          </cell>
          <cell r="E430" t="str">
            <v>＝</v>
          </cell>
          <cell r="F430">
            <v>0</v>
          </cell>
          <cell r="G430" t="str">
            <v>（四）所有者权益内部结转</v>
          </cell>
          <cell r="H430">
            <v>0</v>
          </cell>
          <cell r="I430">
            <v>8670</v>
          </cell>
          <cell r="J430">
            <v>0</v>
          </cell>
        </row>
        <row r="431">
          <cell r="B431">
            <v>8675</v>
          </cell>
          <cell r="C431" t="str">
            <v>一般风险准备_设定受益计划变动额结转留存收益</v>
          </cell>
          <cell r="D431">
            <v>-1</v>
          </cell>
          <cell r="E431" t="str">
            <v>OEI</v>
          </cell>
          <cell r="F431">
            <v>0</v>
          </cell>
          <cell r="G431" t="str">
            <v>设定受益计划变动额结转留存收益</v>
          </cell>
          <cell r="H431">
            <v>0</v>
          </cell>
          <cell r="I431">
            <v>8675</v>
          </cell>
          <cell r="J431" t="str">
            <v>J</v>
          </cell>
        </row>
        <row r="432">
          <cell r="B432">
            <v>8676</v>
          </cell>
          <cell r="C432" t="str">
            <v>一般风险准备_所有者权益其他内部结转</v>
          </cell>
          <cell r="D432">
            <v>-1</v>
          </cell>
          <cell r="E432">
            <v>0</v>
          </cell>
          <cell r="F432">
            <v>0</v>
          </cell>
          <cell r="G432" t="str">
            <v>其他</v>
          </cell>
          <cell r="H432">
            <v>0</v>
          </cell>
          <cell r="I432">
            <v>8676</v>
          </cell>
          <cell r="J432" t="str">
            <v>J</v>
          </cell>
        </row>
        <row r="433">
          <cell r="B433">
            <v>8696</v>
          </cell>
          <cell r="C433" t="str">
            <v>一般风险准备_本期其他增减变动</v>
          </cell>
          <cell r="D433">
            <v>-1</v>
          </cell>
          <cell r="E433" t="str">
            <v>LOW</v>
          </cell>
          <cell r="F433">
            <v>0</v>
          </cell>
          <cell r="G433" t="str">
            <v>（七）其他</v>
          </cell>
          <cell r="H433">
            <v>0</v>
          </cell>
          <cell r="I433">
            <v>8696</v>
          </cell>
          <cell r="J433" t="str">
            <v>J</v>
          </cell>
        </row>
        <row r="434">
          <cell r="B434">
            <v>8699</v>
          </cell>
          <cell r="C434" t="str">
            <v>一般风险准备_本期期末余额</v>
          </cell>
          <cell r="D434">
            <v>0</v>
          </cell>
          <cell r="E434" t="str">
            <v>＝</v>
          </cell>
          <cell r="F434">
            <v>0</v>
          </cell>
          <cell r="G434" t="str">
            <v>四、本期期末余额</v>
          </cell>
          <cell r="H434">
            <v>0</v>
          </cell>
          <cell r="I434">
            <v>8699</v>
          </cell>
          <cell r="J434">
            <v>0</v>
          </cell>
        </row>
        <row r="435">
          <cell r="B435">
            <v>8700</v>
          </cell>
          <cell r="C435" t="str">
            <v>未分配利润增减变动</v>
          </cell>
          <cell r="D435">
            <v>0</v>
          </cell>
          <cell r="E435" t="str">
            <v>：</v>
          </cell>
          <cell r="F435">
            <v>0</v>
          </cell>
          <cell r="G435" t="str">
            <v>未分配利润增减变动</v>
          </cell>
          <cell r="H435">
            <v>0</v>
          </cell>
          <cell r="I435">
            <v>8700</v>
          </cell>
          <cell r="J435">
            <v>0</v>
          </cell>
        </row>
        <row r="436">
          <cell r="B436">
            <v>8701</v>
          </cell>
          <cell r="C436" t="str">
            <v>未分配利润_上年年末余额</v>
          </cell>
          <cell r="D436">
            <v>-1</v>
          </cell>
          <cell r="E436">
            <v>0</v>
          </cell>
          <cell r="F436">
            <v>5610</v>
          </cell>
          <cell r="G436" t="str">
            <v>一、上年年末余额</v>
          </cell>
          <cell r="H436">
            <v>0</v>
          </cell>
          <cell r="I436">
            <v>8701</v>
          </cell>
          <cell r="J436" t="str">
            <v>J</v>
          </cell>
        </row>
        <row r="437">
          <cell r="B437">
            <v>8702</v>
          </cell>
          <cell r="C437" t="str">
            <v>未分配利润_会计政策变更调整上年年末余额</v>
          </cell>
          <cell r="D437">
            <v>-1</v>
          </cell>
          <cell r="E437">
            <v>0</v>
          </cell>
          <cell r="F437">
            <v>5610</v>
          </cell>
          <cell r="G437" t="str">
            <v>加：会计政策变更</v>
          </cell>
          <cell r="H437">
            <v>0</v>
          </cell>
          <cell r="I437">
            <v>8702</v>
          </cell>
          <cell r="J437" t="str">
            <v>J</v>
          </cell>
        </row>
        <row r="438">
          <cell r="B438">
            <v>8703</v>
          </cell>
          <cell r="C438" t="str">
            <v>未分配利润_前期差错更正调整上年年末余额</v>
          </cell>
          <cell r="D438">
            <v>-1</v>
          </cell>
          <cell r="E438">
            <v>0</v>
          </cell>
          <cell r="F438">
            <v>5610</v>
          </cell>
          <cell r="G438" t="str">
            <v>前期差错更正</v>
          </cell>
          <cell r="H438">
            <v>0</v>
          </cell>
          <cell r="I438">
            <v>8703</v>
          </cell>
          <cell r="J438" t="str">
            <v>J</v>
          </cell>
        </row>
        <row r="439">
          <cell r="B439">
            <v>8704</v>
          </cell>
          <cell r="C439" t="str">
            <v>未分配利润_同一控制下企业合并调整上年年末余额</v>
          </cell>
          <cell r="D439">
            <v>-1</v>
          </cell>
          <cell r="E439" t="str">
            <v>※</v>
          </cell>
          <cell r="F439">
            <v>5610</v>
          </cell>
          <cell r="G439" t="str">
            <v>同一控制下企业合并</v>
          </cell>
          <cell r="H439">
            <v>0</v>
          </cell>
          <cell r="I439">
            <v>8704</v>
          </cell>
          <cell r="J439" t="str">
            <v>J</v>
          </cell>
        </row>
        <row r="440">
          <cell r="B440">
            <v>8709</v>
          </cell>
          <cell r="C440" t="str">
            <v>未分配利润_其他原因调整上年年末余额</v>
          </cell>
          <cell r="D440">
            <v>-1</v>
          </cell>
          <cell r="E440">
            <v>0</v>
          </cell>
          <cell r="F440">
            <v>5610</v>
          </cell>
          <cell r="G440" t="str">
            <v>其他</v>
          </cell>
          <cell r="H440">
            <v>0</v>
          </cell>
          <cell r="I440">
            <v>8709</v>
          </cell>
          <cell r="J440" t="str">
            <v>J</v>
          </cell>
        </row>
        <row r="441">
          <cell r="B441">
            <v>8710</v>
          </cell>
          <cell r="C441" t="str">
            <v>未分配利润_本年年初余额</v>
          </cell>
          <cell r="D441">
            <v>0</v>
          </cell>
          <cell r="E441" t="str">
            <v>＝</v>
          </cell>
          <cell r="F441">
            <v>0</v>
          </cell>
          <cell r="G441" t="str">
            <v>二、本年年初余额</v>
          </cell>
          <cell r="H441">
            <v>0</v>
          </cell>
          <cell r="I441">
            <v>8710</v>
          </cell>
          <cell r="J441">
            <v>0</v>
          </cell>
        </row>
        <row r="442">
          <cell r="B442">
            <v>8753</v>
          </cell>
          <cell r="C442" t="str">
            <v>未分配利润_其他权益工具持有者投入资本</v>
          </cell>
          <cell r="D442">
            <v>-1</v>
          </cell>
          <cell r="E442" t="str">
            <v>OEI</v>
          </cell>
          <cell r="F442">
            <v>5610</v>
          </cell>
          <cell r="G442" t="str">
            <v>其他权益工具持有者投入资本</v>
          </cell>
          <cell r="H442">
            <v>0</v>
          </cell>
          <cell r="I442">
            <v>8753</v>
          </cell>
          <cell r="J442" t="str">
            <v>J</v>
          </cell>
        </row>
        <row r="443">
          <cell r="B443">
            <v>8790</v>
          </cell>
          <cell r="C443" t="str">
            <v>未分配利润_本期增减变动金额</v>
          </cell>
          <cell r="D443">
            <v>0</v>
          </cell>
          <cell r="E443" t="str">
            <v>＝</v>
          </cell>
          <cell r="F443">
            <v>0</v>
          </cell>
          <cell r="G443" t="str">
            <v>三、本期增减变动金额（减少以“-”号填列）</v>
          </cell>
          <cell r="H443">
            <v>0</v>
          </cell>
          <cell r="I443">
            <v>8790</v>
          </cell>
          <cell r="J443">
            <v>0</v>
          </cell>
        </row>
        <row r="444">
          <cell r="B444">
            <v>8721</v>
          </cell>
          <cell r="C444" t="str">
            <v>未分配利润_净利润增加权益</v>
          </cell>
          <cell r="D444">
            <v>-1</v>
          </cell>
          <cell r="E444">
            <v>0</v>
          </cell>
          <cell r="F444">
            <v>0</v>
          </cell>
          <cell r="G444" t="str">
            <v>（一）净利润</v>
          </cell>
          <cell r="H444">
            <v>0</v>
          </cell>
          <cell r="I444">
            <v>8721</v>
          </cell>
          <cell r="J444">
            <v>0</v>
          </cell>
        </row>
        <row r="445">
          <cell r="B445">
            <v>8740</v>
          </cell>
          <cell r="C445" t="str">
            <v>未分配利润_综合收益总额增加权益</v>
          </cell>
          <cell r="D445">
            <v>-1</v>
          </cell>
          <cell r="E445">
            <v>0</v>
          </cell>
          <cell r="F445">
            <v>0</v>
          </cell>
          <cell r="G445" t="str">
            <v>（一）综合收益总额</v>
          </cell>
          <cell r="H445">
            <v>0</v>
          </cell>
          <cell r="I445">
            <v>8740</v>
          </cell>
          <cell r="J445">
            <v>0</v>
          </cell>
        </row>
        <row r="446">
          <cell r="B446">
            <v>8750</v>
          </cell>
          <cell r="C446" t="str">
            <v>未分配利润_所有者投入和减少资本影响权益</v>
          </cell>
          <cell r="D446">
            <v>0</v>
          </cell>
          <cell r="E446" t="str">
            <v>＝</v>
          </cell>
          <cell r="F446">
            <v>0</v>
          </cell>
          <cell r="G446" t="str">
            <v>（二）所有者投入和减少资本</v>
          </cell>
          <cell r="H446">
            <v>0</v>
          </cell>
          <cell r="I446">
            <v>8750</v>
          </cell>
          <cell r="J446">
            <v>0</v>
          </cell>
        </row>
        <row r="447">
          <cell r="B447">
            <v>8756</v>
          </cell>
          <cell r="C447" t="str">
            <v>未分配利润_所有者其他投入和减少资本</v>
          </cell>
          <cell r="D447">
            <v>-1</v>
          </cell>
          <cell r="E447">
            <v>0</v>
          </cell>
          <cell r="F447">
            <v>5610</v>
          </cell>
          <cell r="G447" t="str">
            <v>其他</v>
          </cell>
          <cell r="H447">
            <v>0</v>
          </cell>
          <cell r="I447">
            <v>8756</v>
          </cell>
          <cell r="J447" t="str">
            <v>J</v>
          </cell>
        </row>
        <row r="448">
          <cell r="B448">
            <v>8760</v>
          </cell>
          <cell r="C448" t="str">
            <v>未分配利润_利润分配影响权益</v>
          </cell>
          <cell r="D448">
            <v>0</v>
          </cell>
          <cell r="E448" t="str">
            <v>＝</v>
          </cell>
          <cell r="F448">
            <v>0</v>
          </cell>
          <cell r="G448" t="str">
            <v>（三）利润分配</v>
          </cell>
          <cell r="H448">
            <v>0</v>
          </cell>
          <cell r="I448">
            <v>8760</v>
          </cell>
          <cell r="J448">
            <v>0</v>
          </cell>
        </row>
        <row r="449">
          <cell r="B449">
            <v>8761</v>
          </cell>
          <cell r="C449" t="str">
            <v>未分配利润_提取盈余公积</v>
          </cell>
          <cell r="D449">
            <v>-1</v>
          </cell>
          <cell r="E449">
            <v>0</v>
          </cell>
          <cell r="F449">
            <v>5610</v>
          </cell>
          <cell r="G449" t="str">
            <v>提取盈余公积</v>
          </cell>
          <cell r="H449">
            <v>0</v>
          </cell>
          <cell r="I449">
            <v>8761</v>
          </cell>
          <cell r="J449" t="str">
            <v>J</v>
          </cell>
        </row>
        <row r="450">
          <cell r="B450">
            <v>8762</v>
          </cell>
          <cell r="C450" t="str">
            <v>未分配利润_提取一般风险准备</v>
          </cell>
          <cell r="D450">
            <v>-1</v>
          </cell>
          <cell r="E450">
            <v>0</v>
          </cell>
          <cell r="F450">
            <v>5610</v>
          </cell>
          <cell r="G450" t="str">
            <v>提取一般风险准备</v>
          </cell>
          <cell r="H450">
            <v>0</v>
          </cell>
          <cell r="I450">
            <v>8762</v>
          </cell>
          <cell r="J450" t="str">
            <v>J</v>
          </cell>
        </row>
        <row r="451">
          <cell r="B451">
            <v>8763</v>
          </cell>
          <cell r="C451" t="str">
            <v>未分配利润_对所有者的分配</v>
          </cell>
          <cell r="D451">
            <v>-1</v>
          </cell>
          <cell r="E451">
            <v>0</v>
          </cell>
          <cell r="F451">
            <v>5610</v>
          </cell>
          <cell r="G451" t="str">
            <v>对所有者（或股东）的分配</v>
          </cell>
          <cell r="H451">
            <v>0</v>
          </cell>
          <cell r="I451">
            <v>8763</v>
          </cell>
          <cell r="J451" t="str">
            <v>J</v>
          </cell>
        </row>
        <row r="452">
          <cell r="B452">
            <v>8766</v>
          </cell>
          <cell r="C452" t="str">
            <v>未分配利润_其他利润分配</v>
          </cell>
          <cell r="D452">
            <v>-1</v>
          </cell>
          <cell r="E452">
            <v>0</v>
          </cell>
          <cell r="F452">
            <v>5610</v>
          </cell>
          <cell r="G452" t="str">
            <v>其他</v>
          </cell>
          <cell r="H452">
            <v>0</v>
          </cell>
          <cell r="I452">
            <v>8766</v>
          </cell>
          <cell r="J452" t="str">
            <v>J</v>
          </cell>
        </row>
        <row r="453">
          <cell r="B453">
            <v>8770</v>
          </cell>
          <cell r="C453" t="str">
            <v>未分配利润_所有者权益内部结转</v>
          </cell>
          <cell r="D453">
            <v>0</v>
          </cell>
          <cell r="E453" t="str">
            <v>＝</v>
          </cell>
          <cell r="F453">
            <v>0</v>
          </cell>
          <cell r="G453" t="str">
            <v>（四）所有者权益内部结转</v>
          </cell>
          <cell r="H453">
            <v>0</v>
          </cell>
          <cell r="I453">
            <v>8770</v>
          </cell>
          <cell r="J453">
            <v>0</v>
          </cell>
        </row>
        <row r="454">
          <cell r="B454">
            <v>8773</v>
          </cell>
          <cell r="C454" t="str">
            <v>未分配利润_盈余公积弥补亏损</v>
          </cell>
          <cell r="D454">
            <v>-1</v>
          </cell>
          <cell r="E454">
            <v>0</v>
          </cell>
          <cell r="F454">
            <v>5610</v>
          </cell>
          <cell r="G454" t="str">
            <v>盈余公积弥补亏损</v>
          </cell>
          <cell r="H454">
            <v>0</v>
          </cell>
          <cell r="I454">
            <v>8773</v>
          </cell>
          <cell r="J454" t="str">
            <v>J</v>
          </cell>
        </row>
        <row r="455">
          <cell r="B455">
            <v>8775</v>
          </cell>
          <cell r="C455" t="str">
            <v>未分配利润_设定受益计划变动额结转留存收益</v>
          </cell>
          <cell r="D455">
            <v>-1</v>
          </cell>
          <cell r="E455" t="str">
            <v>OEI</v>
          </cell>
          <cell r="F455">
            <v>5610</v>
          </cell>
          <cell r="G455" t="str">
            <v>设定受益计划变动额结转留存收益</v>
          </cell>
          <cell r="H455">
            <v>0</v>
          </cell>
          <cell r="I455">
            <v>8775</v>
          </cell>
          <cell r="J455" t="str">
            <v>J</v>
          </cell>
        </row>
        <row r="456">
          <cell r="B456">
            <v>8776</v>
          </cell>
          <cell r="C456" t="str">
            <v>未分配利润_所有者权益其他内部结转</v>
          </cell>
          <cell r="D456">
            <v>-1</v>
          </cell>
          <cell r="E456">
            <v>0</v>
          </cell>
          <cell r="F456">
            <v>5610</v>
          </cell>
          <cell r="G456" t="str">
            <v>其他</v>
          </cell>
          <cell r="H456">
            <v>0</v>
          </cell>
          <cell r="I456">
            <v>8776</v>
          </cell>
          <cell r="J456" t="str">
            <v>J</v>
          </cell>
        </row>
        <row r="457">
          <cell r="B457">
            <v>8780</v>
          </cell>
          <cell r="C457" t="str">
            <v>未分配利润_专项储备影响权益</v>
          </cell>
          <cell r="D457">
            <v>0</v>
          </cell>
          <cell r="E457" t="str">
            <v>＝</v>
          </cell>
          <cell r="F457">
            <v>0</v>
          </cell>
          <cell r="G457" t="str">
            <v>（五）专项储备</v>
          </cell>
          <cell r="H457">
            <v>0</v>
          </cell>
          <cell r="I457">
            <v>8780</v>
          </cell>
          <cell r="J457">
            <v>0</v>
          </cell>
        </row>
        <row r="458">
          <cell r="B458">
            <v>8781</v>
          </cell>
          <cell r="C458" t="str">
            <v>未分配利润_专项储备本期提取</v>
          </cell>
          <cell r="D458">
            <v>-1</v>
          </cell>
          <cell r="E458" t="str">
            <v>LOW</v>
          </cell>
          <cell r="F458">
            <v>5610</v>
          </cell>
          <cell r="G458" t="str">
            <v>本期提取</v>
          </cell>
          <cell r="H458">
            <v>0</v>
          </cell>
          <cell r="I458">
            <v>8781</v>
          </cell>
          <cell r="J458" t="str">
            <v>J</v>
          </cell>
        </row>
        <row r="459">
          <cell r="B459">
            <v>8782</v>
          </cell>
          <cell r="C459" t="str">
            <v>未分配利润_专项储备本期使用</v>
          </cell>
          <cell r="D459">
            <v>-1</v>
          </cell>
          <cell r="E459" t="str">
            <v>LOW</v>
          </cell>
          <cell r="F459">
            <v>5610</v>
          </cell>
          <cell r="G459" t="str">
            <v>本期使用</v>
          </cell>
          <cell r="H459">
            <v>0</v>
          </cell>
          <cell r="I459">
            <v>8782</v>
          </cell>
          <cell r="J459" t="str">
            <v>J</v>
          </cell>
        </row>
        <row r="460">
          <cell r="B460">
            <v>8796</v>
          </cell>
          <cell r="C460" t="str">
            <v>未分配利润_本期其他增减变动</v>
          </cell>
          <cell r="D460">
            <v>-1</v>
          </cell>
          <cell r="E460" t="str">
            <v>LOW</v>
          </cell>
          <cell r="F460">
            <v>5610</v>
          </cell>
          <cell r="G460" t="str">
            <v>（七）其他</v>
          </cell>
          <cell r="H460">
            <v>0</v>
          </cell>
          <cell r="I460">
            <v>8796</v>
          </cell>
          <cell r="J460" t="str">
            <v>J</v>
          </cell>
        </row>
        <row r="461">
          <cell r="B461">
            <v>8799</v>
          </cell>
          <cell r="C461" t="str">
            <v>未分配利润_本期期末余额</v>
          </cell>
          <cell r="D461">
            <v>0</v>
          </cell>
          <cell r="E461" t="str">
            <v>＝</v>
          </cell>
          <cell r="F461">
            <v>0</v>
          </cell>
          <cell r="G461" t="str">
            <v>四、本期期末余额</v>
          </cell>
          <cell r="H461">
            <v>0</v>
          </cell>
          <cell r="I461">
            <v>8799</v>
          </cell>
          <cell r="J461">
            <v>0</v>
          </cell>
        </row>
        <row r="462">
          <cell r="B462">
            <v>8800</v>
          </cell>
          <cell r="C462" t="str">
            <v>其他归属于母公司所有者权益增减变动</v>
          </cell>
          <cell r="D462">
            <v>0</v>
          </cell>
          <cell r="E462" t="str">
            <v>※</v>
          </cell>
          <cell r="F462">
            <v>0</v>
          </cell>
          <cell r="G462" t="str">
            <v>其他归属于母公司所有者权益增减变动</v>
          </cell>
          <cell r="H462">
            <v>0</v>
          </cell>
          <cell r="I462">
            <v>8800</v>
          </cell>
          <cell r="J462">
            <v>0</v>
          </cell>
        </row>
        <row r="463">
          <cell r="B463">
            <v>8801</v>
          </cell>
          <cell r="C463" t="str">
            <v>其他归属于母公司所有者权益_上年年末余额</v>
          </cell>
          <cell r="D463">
            <v>-1</v>
          </cell>
          <cell r="E463" t="str">
            <v>※</v>
          </cell>
          <cell r="F463">
            <v>0</v>
          </cell>
          <cell r="G463" t="str">
            <v>一、上年年末余额</v>
          </cell>
          <cell r="H463">
            <v>0</v>
          </cell>
          <cell r="I463">
            <v>8801</v>
          </cell>
          <cell r="J463">
            <v>0</v>
          </cell>
        </row>
        <row r="464">
          <cell r="B464">
            <v>8802</v>
          </cell>
          <cell r="C464" t="str">
            <v>其他归属于母公司所有者权益_会计政策变更调整上年年末余额</v>
          </cell>
          <cell r="D464">
            <v>-1</v>
          </cell>
          <cell r="E464" t="str">
            <v>※LOW</v>
          </cell>
          <cell r="F464">
            <v>0</v>
          </cell>
          <cell r="G464" t="str">
            <v>加：会计政策变更</v>
          </cell>
          <cell r="H464">
            <v>0</v>
          </cell>
          <cell r="I464">
            <v>8802</v>
          </cell>
          <cell r="J464">
            <v>0</v>
          </cell>
        </row>
        <row r="465">
          <cell r="B465">
            <v>8803</v>
          </cell>
          <cell r="C465" t="str">
            <v>其他归属于母公司所有者权益_前期差错更正调整上年年末余额</v>
          </cell>
          <cell r="D465">
            <v>-1</v>
          </cell>
          <cell r="E465" t="str">
            <v>※LOW</v>
          </cell>
          <cell r="F465">
            <v>0</v>
          </cell>
          <cell r="G465" t="str">
            <v>前期差错更正</v>
          </cell>
          <cell r="H465">
            <v>0</v>
          </cell>
          <cell r="I465">
            <v>8803</v>
          </cell>
          <cell r="J465">
            <v>0</v>
          </cell>
        </row>
        <row r="466">
          <cell r="B466">
            <v>8804</v>
          </cell>
          <cell r="C466" t="str">
            <v>其他归属于母公司所有者权益_同一控制下企业合并调整上年年末余额</v>
          </cell>
          <cell r="D466">
            <v>-1</v>
          </cell>
          <cell r="E466" t="str">
            <v>※</v>
          </cell>
          <cell r="F466">
            <v>0</v>
          </cell>
          <cell r="G466" t="str">
            <v>同一控制下企业合并</v>
          </cell>
          <cell r="H466">
            <v>0</v>
          </cell>
          <cell r="I466">
            <v>8804</v>
          </cell>
          <cell r="J466">
            <v>0</v>
          </cell>
        </row>
        <row r="467">
          <cell r="B467">
            <v>8809</v>
          </cell>
          <cell r="C467" t="str">
            <v>其他归属于母公司所有者权益_其他原因调整上年年末余额</v>
          </cell>
          <cell r="D467">
            <v>-1</v>
          </cell>
          <cell r="E467" t="str">
            <v>※LOW</v>
          </cell>
          <cell r="F467">
            <v>0</v>
          </cell>
          <cell r="G467" t="str">
            <v>其他</v>
          </cell>
          <cell r="H467">
            <v>0</v>
          </cell>
          <cell r="I467">
            <v>8809</v>
          </cell>
          <cell r="J467">
            <v>0</v>
          </cell>
        </row>
        <row r="468">
          <cell r="B468">
            <v>8810</v>
          </cell>
          <cell r="C468" t="str">
            <v>其他归属于母公司所有者权益_本年年初余额</v>
          </cell>
          <cell r="D468">
            <v>0</v>
          </cell>
          <cell r="E468" t="str">
            <v>※＝</v>
          </cell>
          <cell r="F468">
            <v>0</v>
          </cell>
          <cell r="G468" t="str">
            <v>二、本年年初余额</v>
          </cell>
          <cell r="H468">
            <v>0</v>
          </cell>
          <cell r="I468">
            <v>8810</v>
          </cell>
          <cell r="J468">
            <v>0</v>
          </cell>
        </row>
        <row r="469">
          <cell r="B469">
            <v>8890</v>
          </cell>
          <cell r="C469" t="str">
            <v>其他归属于母公司所有者权益_本期增减变动金额</v>
          </cell>
          <cell r="D469">
            <v>0</v>
          </cell>
          <cell r="E469" t="str">
            <v>※＝</v>
          </cell>
          <cell r="F469">
            <v>0</v>
          </cell>
          <cell r="G469" t="str">
            <v>三、本期增减变动金额（减少以“-”号填列）</v>
          </cell>
          <cell r="H469">
            <v>0</v>
          </cell>
          <cell r="I469">
            <v>8890</v>
          </cell>
          <cell r="J469">
            <v>0</v>
          </cell>
        </row>
        <row r="470">
          <cell r="B470">
            <v>8821</v>
          </cell>
          <cell r="C470" t="str">
            <v>其他归属于母公司所有者权益_净利润增加权益</v>
          </cell>
          <cell r="D470">
            <v>-1</v>
          </cell>
          <cell r="E470" t="str">
            <v>※LOW</v>
          </cell>
          <cell r="F470">
            <v>0</v>
          </cell>
          <cell r="G470" t="str">
            <v>（一）净利润</v>
          </cell>
          <cell r="H470">
            <v>0</v>
          </cell>
          <cell r="I470">
            <v>8821</v>
          </cell>
          <cell r="J470">
            <v>0</v>
          </cell>
        </row>
        <row r="471">
          <cell r="B471">
            <v>8830</v>
          </cell>
          <cell r="C471" t="str">
            <v>其他归属于母公司所有者权益_其他综合收益</v>
          </cell>
          <cell r="D471">
            <v>-1</v>
          </cell>
          <cell r="E471" t="str">
            <v>※LOW</v>
          </cell>
          <cell r="F471">
            <v>0</v>
          </cell>
          <cell r="G471" t="str">
            <v>（二）其他综合收益</v>
          </cell>
          <cell r="H471">
            <v>0</v>
          </cell>
          <cell r="I471">
            <v>8830</v>
          </cell>
          <cell r="J471">
            <v>0</v>
          </cell>
        </row>
        <row r="472">
          <cell r="B472">
            <v>8840</v>
          </cell>
          <cell r="C472" t="str">
            <v>其他归属于母公司所有者权益_综合收益总额增加权益</v>
          </cell>
          <cell r="D472">
            <v>-1</v>
          </cell>
          <cell r="E472" t="str">
            <v>※</v>
          </cell>
          <cell r="F472">
            <v>0</v>
          </cell>
          <cell r="G472" t="str">
            <v>（一）综合收益总额</v>
          </cell>
          <cell r="H472">
            <v>0</v>
          </cell>
          <cell r="I472">
            <v>8840</v>
          </cell>
          <cell r="J472">
            <v>0</v>
          </cell>
        </row>
        <row r="473">
          <cell r="B473">
            <v>8850</v>
          </cell>
          <cell r="C473" t="str">
            <v>其他归属于母公司所有者权益_所有者投入和减少资本影响权益</v>
          </cell>
          <cell r="D473">
            <v>0</v>
          </cell>
          <cell r="E473" t="str">
            <v>※＝</v>
          </cell>
          <cell r="F473">
            <v>0</v>
          </cell>
          <cell r="G473" t="str">
            <v>（二）所有者投入和减少资本</v>
          </cell>
          <cell r="H473">
            <v>0</v>
          </cell>
          <cell r="I473">
            <v>8850</v>
          </cell>
          <cell r="J473">
            <v>0</v>
          </cell>
        </row>
        <row r="474">
          <cell r="B474">
            <v>8851</v>
          </cell>
          <cell r="C474" t="str">
            <v>其他归属于母公司所有者权益_所有者投入资本</v>
          </cell>
          <cell r="D474">
            <v>-1</v>
          </cell>
          <cell r="E474" t="str">
            <v>※LOW</v>
          </cell>
          <cell r="F474">
            <v>0</v>
          </cell>
          <cell r="G474" t="str">
            <v>所有者投入资本</v>
          </cell>
          <cell r="H474">
            <v>0</v>
          </cell>
          <cell r="I474">
            <v>8851</v>
          </cell>
          <cell r="J474">
            <v>0</v>
          </cell>
        </row>
        <row r="475">
          <cell r="B475">
            <v>8852</v>
          </cell>
          <cell r="C475" t="str">
            <v>其他归属于母公司所有者权益_股份支付</v>
          </cell>
          <cell r="D475">
            <v>-1</v>
          </cell>
          <cell r="E475" t="str">
            <v>※LOW</v>
          </cell>
          <cell r="F475">
            <v>0</v>
          </cell>
          <cell r="G475" t="str">
            <v>股份支付计入所有者权益的金额</v>
          </cell>
          <cell r="H475">
            <v>0</v>
          </cell>
          <cell r="I475">
            <v>8852</v>
          </cell>
          <cell r="J475">
            <v>0</v>
          </cell>
        </row>
        <row r="476">
          <cell r="B476">
            <v>8853</v>
          </cell>
          <cell r="C476" t="str">
            <v>其他归属于母公司所有者权益_其他权益工具持有者投入资本</v>
          </cell>
          <cell r="D476">
            <v>-1</v>
          </cell>
          <cell r="E476" t="str">
            <v>※OEI</v>
          </cell>
          <cell r="F476">
            <v>0</v>
          </cell>
          <cell r="G476" t="str">
            <v>其他权益工具持有者投入资本</v>
          </cell>
          <cell r="H476">
            <v>0</v>
          </cell>
          <cell r="I476">
            <v>8853</v>
          </cell>
          <cell r="J476">
            <v>0</v>
          </cell>
        </row>
        <row r="477">
          <cell r="B477">
            <v>8856</v>
          </cell>
          <cell r="C477" t="str">
            <v>其他归属于母公司所有者权益_所有者其他投入和减少资本</v>
          </cell>
          <cell r="D477">
            <v>-1</v>
          </cell>
          <cell r="E477" t="str">
            <v>※LOW</v>
          </cell>
          <cell r="F477">
            <v>0</v>
          </cell>
          <cell r="G477" t="str">
            <v>其他</v>
          </cell>
          <cell r="H477">
            <v>0</v>
          </cell>
          <cell r="I477">
            <v>8856</v>
          </cell>
          <cell r="J477">
            <v>0</v>
          </cell>
        </row>
        <row r="478">
          <cell r="B478">
            <v>8860</v>
          </cell>
          <cell r="C478" t="str">
            <v>其他归属于母公司所有者权益_利润分配影响权益</v>
          </cell>
          <cell r="D478">
            <v>0</v>
          </cell>
          <cell r="E478" t="str">
            <v>※＝</v>
          </cell>
          <cell r="F478">
            <v>0</v>
          </cell>
          <cell r="G478" t="str">
            <v>（三）利润分配</v>
          </cell>
          <cell r="H478">
            <v>0</v>
          </cell>
          <cell r="I478">
            <v>8860</v>
          </cell>
          <cell r="J478">
            <v>0</v>
          </cell>
        </row>
        <row r="479">
          <cell r="B479">
            <v>8861</v>
          </cell>
          <cell r="C479" t="str">
            <v>其他归属于母公司所有者权益_提取盈余公积</v>
          </cell>
          <cell r="D479">
            <v>-1</v>
          </cell>
          <cell r="E479" t="str">
            <v>※LOW</v>
          </cell>
          <cell r="F479">
            <v>0</v>
          </cell>
          <cell r="G479" t="str">
            <v>提取盈余公积</v>
          </cell>
          <cell r="H479">
            <v>0</v>
          </cell>
          <cell r="I479">
            <v>8861</v>
          </cell>
          <cell r="J479">
            <v>0</v>
          </cell>
        </row>
        <row r="480">
          <cell r="B480">
            <v>8862</v>
          </cell>
          <cell r="C480" t="str">
            <v>其他归属于母公司所有者权益_提取一般风险准备</v>
          </cell>
          <cell r="D480">
            <v>-1</v>
          </cell>
          <cell r="E480" t="str">
            <v>※LOW</v>
          </cell>
          <cell r="F480">
            <v>0</v>
          </cell>
          <cell r="G480" t="str">
            <v>提取一般风险准备</v>
          </cell>
          <cell r="H480">
            <v>0</v>
          </cell>
          <cell r="I480">
            <v>8862</v>
          </cell>
          <cell r="J480">
            <v>0</v>
          </cell>
        </row>
        <row r="481">
          <cell r="B481">
            <v>8863</v>
          </cell>
          <cell r="C481" t="str">
            <v>其他归属于母公司所有者权益_对所有者的分配</v>
          </cell>
          <cell r="D481">
            <v>-1</v>
          </cell>
          <cell r="E481" t="str">
            <v>※LOW</v>
          </cell>
          <cell r="F481">
            <v>0</v>
          </cell>
          <cell r="G481" t="str">
            <v>对所有者（或股东）的分配</v>
          </cell>
          <cell r="H481">
            <v>0</v>
          </cell>
          <cell r="I481">
            <v>8863</v>
          </cell>
          <cell r="J481">
            <v>0</v>
          </cell>
        </row>
        <row r="482">
          <cell r="B482">
            <v>8866</v>
          </cell>
          <cell r="C482" t="str">
            <v>其他归属于母公司所有者权益_其他利润分配</v>
          </cell>
          <cell r="D482">
            <v>-1</v>
          </cell>
          <cell r="E482" t="str">
            <v>※LOW</v>
          </cell>
          <cell r="F482">
            <v>0</v>
          </cell>
          <cell r="G482" t="str">
            <v>其他</v>
          </cell>
          <cell r="H482">
            <v>0</v>
          </cell>
          <cell r="I482">
            <v>8866</v>
          </cell>
          <cell r="J482">
            <v>0</v>
          </cell>
        </row>
        <row r="483">
          <cell r="B483">
            <v>8870</v>
          </cell>
          <cell r="C483" t="str">
            <v>其他归属于母公司所有者权益_所有者权益内部结转</v>
          </cell>
          <cell r="D483">
            <v>0</v>
          </cell>
          <cell r="E483" t="str">
            <v>※＝</v>
          </cell>
          <cell r="F483">
            <v>0</v>
          </cell>
          <cell r="G483" t="str">
            <v>（四）所有者权益内部结转</v>
          </cell>
          <cell r="H483">
            <v>0</v>
          </cell>
          <cell r="I483">
            <v>8870</v>
          </cell>
          <cell r="J483">
            <v>0</v>
          </cell>
        </row>
        <row r="484">
          <cell r="B484">
            <v>8871</v>
          </cell>
          <cell r="C484" t="str">
            <v>其他归属于母公司所有者权益_资本公积转增资本</v>
          </cell>
          <cell r="D484">
            <v>-1</v>
          </cell>
          <cell r="E484" t="str">
            <v>※LOW</v>
          </cell>
          <cell r="F484">
            <v>0</v>
          </cell>
          <cell r="G484" t="str">
            <v>资本公积转增资本（或股本）</v>
          </cell>
          <cell r="H484">
            <v>0</v>
          </cell>
          <cell r="I484">
            <v>8871</v>
          </cell>
          <cell r="J484">
            <v>0</v>
          </cell>
        </row>
        <row r="485">
          <cell r="B485">
            <v>8872</v>
          </cell>
          <cell r="C485" t="str">
            <v>其他归属于母公司所有者权益_盈余公积转增资本</v>
          </cell>
          <cell r="D485">
            <v>-1</v>
          </cell>
          <cell r="E485" t="str">
            <v>※LOW</v>
          </cell>
          <cell r="F485">
            <v>0</v>
          </cell>
          <cell r="G485" t="str">
            <v>盈余公积转增资本（或股本）</v>
          </cell>
          <cell r="H485">
            <v>0</v>
          </cell>
          <cell r="I485">
            <v>8872</v>
          </cell>
          <cell r="J485">
            <v>0</v>
          </cell>
        </row>
        <row r="486">
          <cell r="B486">
            <v>8873</v>
          </cell>
          <cell r="C486" t="str">
            <v>其他归属于母公司所有者权益_盈余公积弥补亏损</v>
          </cell>
          <cell r="D486">
            <v>-1</v>
          </cell>
          <cell r="E486" t="str">
            <v>※LOW</v>
          </cell>
          <cell r="F486">
            <v>0</v>
          </cell>
          <cell r="G486" t="str">
            <v>盈余公积弥补亏损</v>
          </cell>
          <cell r="H486">
            <v>0</v>
          </cell>
          <cell r="I486">
            <v>8873</v>
          </cell>
          <cell r="J486">
            <v>0</v>
          </cell>
        </row>
        <row r="487">
          <cell r="B487">
            <v>8875</v>
          </cell>
          <cell r="C487" t="str">
            <v>其他归属于母公司所有者权益_设定受益计划变动额结转留存收益</v>
          </cell>
          <cell r="D487">
            <v>-1</v>
          </cell>
          <cell r="E487" t="str">
            <v>※OEI</v>
          </cell>
          <cell r="F487">
            <v>0</v>
          </cell>
          <cell r="G487" t="str">
            <v>设定受益计划变动额结转留存收益</v>
          </cell>
          <cell r="H487">
            <v>0</v>
          </cell>
          <cell r="I487">
            <v>8875</v>
          </cell>
          <cell r="J487">
            <v>0</v>
          </cell>
        </row>
        <row r="488">
          <cell r="B488">
            <v>8876</v>
          </cell>
          <cell r="C488" t="str">
            <v>其他归属于母公司所有者权益_所有者权益其他内部结转</v>
          </cell>
          <cell r="D488">
            <v>-1</v>
          </cell>
          <cell r="E488" t="str">
            <v>※LOW</v>
          </cell>
          <cell r="F488">
            <v>0</v>
          </cell>
          <cell r="G488" t="str">
            <v>其他</v>
          </cell>
          <cell r="H488">
            <v>0</v>
          </cell>
          <cell r="I488">
            <v>8876</v>
          </cell>
          <cell r="J488">
            <v>0</v>
          </cell>
        </row>
        <row r="489">
          <cell r="B489">
            <v>8880</v>
          </cell>
          <cell r="C489" t="str">
            <v>其他归属于母公司所有者权益_专项储备影响权益</v>
          </cell>
          <cell r="D489">
            <v>0</v>
          </cell>
          <cell r="E489" t="str">
            <v>※＝</v>
          </cell>
          <cell r="F489">
            <v>0</v>
          </cell>
          <cell r="G489" t="str">
            <v>（五）专项储备</v>
          </cell>
          <cell r="H489">
            <v>0</v>
          </cell>
          <cell r="I489">
            <v>8880</v>
          </cell>
          <cell r="J489">
            <v>0</v>
          </cell>
        </row>
        <row r="490">
          <cell r="B490">
            <v>8881</v>
          </cell>
          <cell r="C490" t="str">
            <v>其他归属于母公司所有者权益_专项储备本期提取</v>
          </cell>
          <cell r="D490">
            <v>-1</v>
          </cell>
          <cell r="E490" t="str">
            <v>※LOW</v>
          </cell>
          <cell r="F490">
            <v>0</v>
          </cell>
          <cell r="G490" t="str">
            <v>本期提取</v>
          </cell>
          <cell r="H490">
            <v>0</v>
          </cell>
          <cell r="I490">
            <v>8881</v>
          </cell>
          <cell r="J490">
            <v>0</v>
          </cell>
        </row>
        <row r="491">
          <cell r="B491">
            <v>8882</v>
          </cell>
          <cell r="C491" t="str">
            <v>其他归属于母公司所有者权益_专项储备本期使用</v>
          </cell>
          <cell r="D491">
            <v>-1</v>
          </cell>
          <cell r="E491" t="str">
            <v>※LOW</v>
          </cell>
          <cell r="F491">
            <v>0</v>
          </cell>
          <cell r="G491" t="str">
            <v>本期使用</v>
          </cell>
          <cell r="H491">
            <v>0</v>
          </cell>
          <cell r="I491">
            <v>8882</v>
          </cell>
          <cell r="J491">
            <v>0</v>
          </cell>
        </row>
        <row r="492">
          <cell r="B492">
            <v>8896</v>
          </cell>
          <cell r="C492" t="str">
            <v>其他归属于母公司所有者权益_本期其他增减变动</v>
          </cell>
          <cell r="D492">
            <v>-1</v>
          </cell>
          <cell r="E492" t="str">
            <v>※LOW</v>
          </cell>
          <cell r="F492">
            <v>0</v>
          </cell>
          <cell r="G492" t="str">
            <v>（七）其他</v>
          </cell>
          <cell r="H492">
            <v>0</v>
          </cell>
          <cell r="I492">
            <v>8896</v>
          </cell>
          <cell r="J492">
            <v>0</v>
          </cell>
        </row>
        <row r="493">
          <cell r="B493">
            <v>8899</v>
          </cell>
          <cell r="C493" t="str">
            <v>其他归属于母公司所有者权益_本期期末余额</v>
          </cell>
          <cell r="D493">
            <v>0</v>
          </cell>
          <cell r="E493" t="str">
            <v>※＝</v>
          </cell>
          <cell r="F493">
            <v>0</v>
          </cell>
          <cell r="G493" t="str">
            <v>四、本期期末余额</v>
          </cell>
          <cell r="H493">
            <v>0</v>
          </cell>
          <cell r="I493">
            <v>8899</v>
          </cell>
          <cell r="J493">
            <v>0</v>
          </cell>
        </row>
        <row r="494">
          <cell r="B494">
            <v>8900</v>
          </cell>
          <cell r="C494" t="str">
            <v>少数股东权益增减变动</v>
          </cell>
          <cell r="D494">
            <v>0</v>
          </cell>
          <cell r="E494" t="str">
            <v>※</v>
          </cell>
          <cell r="F494">
            <v>0</v>
          </cell>
          <cell r="G494" t="str">
            <v>少数股东权益增减变动</v>
          </cell>
          <cell r="H494">
            <v>0</v>
          </cell>
          <cell r="I494">
            <v>8900</v>
          </cell>
          <cell r="J494">
            <v>0</v>
          </cell>
        </row>
        <row r="495">
          <cell r="B495">
            <v>8901</v>
          </cell>
          <cell r="C495" t="str">
            <v>少数股东权益_上年年末余额</v>
          </cell>
          <cell r="D495">
            <v>-1</v>
          </cell>
          <cell r="E495" t="str">
            <v>※</v>
          </cell>
          <cell r="F495">
            <v>0</v>
          </cell>
          <cell r="G495" t="str">
            <v>一、上年年末余额</v>
          </cell>
          <cell r="H495">
            <v>0</v>
          </cell>
          <cell r="I495">
            <v>8901</v>
          </cell>
          <cell r="J495" t="str">
            <v>J</v>
          </cell>
        </row>
        <row r="496">
          <cell r="B496">
            <v>8902</v>
          </cell>
          <cell r="C496" t="str">
            <v>少数股东权益_会计政策变更调整上年年末余额</v>
          </cell>
          <cell r="D496">
            <v>-1</v>
          </cell>
          <cell r="E496" t="str">
            <v>※</v>
          </cell>
          <cell r="F496">
            <v>0</v>
          </cell>
          <cell r="G496" t="str">
            <v>加：会计政策变更</v>
          </cell>
          <cell r="H496">
            <v>0</v>
          </cell>
          <cell r="I496">
            <v>8902</v>
          </cell>
          <cell r="J496" t="str">
            <v>J</v>
          </cell>
        </row>
        <row r="497">
          <cell r="B497">
            <v>8903</v>
          </cell>
          <cell r="C497" t="str">
            <v>少数股东权益_前期差错更正调整上年年末余额</v>
          </cell>
          <cell r="D497">
            <v>-1</v>
          </cell>
          <cell r="E497" t="str">
            <v>※</v>
          </cell>
          <cell r="F497">
            <v>0</v>
          </cell>
          <cell r="G497" t="str">
            <v>前期差错更正</v>
          </cell>
          <cell r="H497">
            <v>0</v>
          </cell>
          <cell r="I497">
            <v>8903</v>
          </cell>
          <cell r="J497" t="str">
            <v>J</v>
          </cell>
        </row>
        <row r="498">
          <cell r="B498">
            <v>8904</v>
          </cell>
          <cell r="C498" t="str">
            <v>少数股东权益_同一控制下企业合并调整上年年末余额</v>
          </cell>
          <cell r="D498">
            <v>-1</v>
          </cell>
          <cell r="E498" t="str">
            <v>※</v>
          </cell>
          <cell r="F498">
            <v>0</v>
          </cell>
          <cell r="G498" t="str">
            <v>同一控制下企业合并</v>
          </cell>
          <cell r="H498">
            <v>0</v>
          </cell>
          <cell r="I498">
            <v>8904</v>
          </cell>
          <cell r="J498" t="str">
            <v>J</v>
          </cell>
        </row>
        <row r="499">
          <cell r="B499">
            <v>8909</v>
          </cell>
          <cell r="C499" t="str">
            <v>少数股东权益_其他原因调整上年年末余额</v>
          </cell>
          <cell r="D499">
            <v>-1</v>
          </cell>
          <cell r="E499" t="str">
            <v>※</v>
          </cell>
          <cell r="F499">
            <v>0</v>
          </cell>
          <cell r="G499" t="str">
            <v>其他</v>
          </cell>
          <cell r="H499">
            <v>0</v>
          </cell>
          <cell r="I499">
            <v>8909</v>
          </cell>
          <cell r="J499" t="str">
            <v>J</v>
          </cell>
        </row>
        <row r="500">
          <cell r="B500">
            <v>8910</v>
          </cell>
          <cell r="C500" t="str">
            <v>少数股东权益_本年年初余额</v>
          </cell>
          <cell r="D500">
            <v>0</v>
          </cell>
          <cell r="E500" t="str">
            <v>※＝</v>
          </cell>
          <cell r="F500">
            <v>0</v>
          </cell>
          <cell r="G500" t="str">
            <v>二、本年年初余额</v>
          </cell>
          <cell r="H500">
            <v>0</v>
          </cell>
          <cell r="I500">
            <v>8910</v>
          </cell>
          <cell r="J500">
            <v>0</v>
          </cell>
        </row>
        <row r="501">
          <cell r="B501">
            <v>8990</v>
          </cell>
          <cell r="C501" t="str">
            <v>少数股东权益_本期增减变动金额</v>
          </cell>
          <cell r="D501">
            <v>0</v>
          </cell>
          <cell r="E501" t="str">
            <v>※＝</v>
          </cell>
          <cell r="F501">
            <v>0</v>
          </cell>
          <cell r="G501" t="str">
            <v>三、本期增减变动金额（减少以“-”号填列）</v>
          </cell>
          <cell r="H501">
            <v>0</v>
          </cell>
          <cell r="I501">
            <v>8990</v>
          </cell>
          <cell r="J501">
            <v>0</v>
          </cell>
        </row>
        <row r="502">
          <cell r="B502">
            <v>8921</v>
          </cell>
          <cell r="C502" t="str">
            <v>少数股东权益_净利润</v>
          </cell>
          <cell r="D502">
            <v>-1</v>
          </cell>
          <cell r="E502" t="str">
            <v>※</v>
          </cell>
          <cell r="F502">
            <v>0</v>
          </cell>
          <cell r="G502" t="str">
            <v>（一）净利润</v>
          </cell>
          <cell r="H502">
            <v>0</v>
          </cell>
          <cell r="I502">
            <v>8921</v>
          </cell>
          <cell r="J502" t="str">
            <v>J</v>
          </cell>
        </row>
        <row r="503">
          <cell r="B503">
            <v>8930</v>
          </cell>
          <cell r="C503" t="str">
            <v>少数股东权益_其他综合收益</v>
          </cell>
          <cell r="D503">
            <v>-1</v>
          </cell>
          <cell r="E503" t="str">
            <v>※</v>
          </cell>
          <cell r="F503">
            <v>0</v>
          </cell>
          <cell r="G503" t="str">
            <v>（二）其他综合收益</v>
          </cell>
          <cell r="H503">
            <v>0</v>
          </cell>
          <cell r="I503">
            <v>8930</v>
          </cell>
          <cell r="J503" t="str">
            <v>J</v>
          </cell>
        </row>
        <row r="504">
          <cell r="B504">
            <v>8940</v>
          </cell>
          <cell r="C504" t="str">
            <v>少数股东权益_综合收益总额增加权益</v>
          </cell>
          <cell r="D504">
            <v>-1</v>
          </cell>
          <cell r="E504" t="str">
            <v>※</v>
          </cell>
          <cell r="F504">
            <v>0</v>
          </cell>
          <cell r="G504" t="str">
            <v>（一）综合收益总额</v>
          </cell>
          <cell r="H504">
            <v>0</v>
          </cell>
          <cell r="I504">
            <v>8940</v>
          </cell>
          <cell r="J504" t="str">
            <v>J</v>
          </cell>
        </row>
        <row r="505">
          <cell r="B505">
            <v>8950</v>
          </cell>
          <cell r="C505" t="str">
            <v>少数股东权益_所有者投入和减少资本影响权益</v>
          </cell>
          <cell r="D505">
            <v>0</v>
          </cell>
          <cell r="E505" t="str">
            <v>※＝</v>
          </cell>
          <cell r="F505">
            <v>0</v>
          </cell>
          <cell r="G505" t="str">
            <v>（二）所有者投入和减少资本</v>
          </cell>
          <cell r="H505">
            <v>0</v>
          </cell>
          <cell r="I505">
            <v>8950</v>
          </cell>
          <cell r="J505">
            <v>0</v>
          </cell>
        </row>
        <row r="506">
          <cell r="B506">
            <v>8951</v>
          </cell>
          <cell r="C506" t="str">
            <v>少数股东权益_所有者投入资本</v>
          </cell>
          <cell r="D506">
            <v>-1</v>
          </cell>
          <cell r="E506" t="str">
            <v>※</v>
          </cell>
          <cell r="F506">
            <v>0</v>
          </cell>
          <cell r="G506" t="str">
            <v>所有者投入资本</v>
          </cell>
          <cell r="H506">
            <v>0</v>
          </cell>
          <cell r="I506">
            <v>8951</v>
          </cell>
          <cell r="J506" t="str">
            <v>J</v>
          </cell>
        </row>
        <row r="507">
          <cell r="B507">
            <v>8952</v>
          </cell>
          <cell r="C507" t="str">
            <v>少数股东权益_股份支付</v>
          </cell>
          <cell r="D507">
            <v>-1</v>
          </cell>
          <cell r="E507" t="str">
            <v>※LOW</v>
          </cell>
          <cell r="F507">
            <v>0</v>
          </cell>
          <cell r="G507" t="str">
            <v>股份支付计入所有者权益的金额</v>
          </cell>
          <cell r="H507">
            <v>0</v>
          </cell>
          <cell r="I507">
            <v>8952</v>
          </cell>
          <cell r="J507" t="str">
            <v>J</v>
          </cell>
        </row>
        <row r="508">
          <cell r="B508">
            <v>8953</v>
          </cell>
          <cell r="C508" t="str">
            <v>少数股东权益_其他权益工具持有者投入资本</v>
          </cell>
          <cell r="D508">
            <v>-1</v>
          </cell>
          <cell r="E508" t="str">
            <v>※OEI</v>
          </cell>
          <cell r="F508">
            <v>0</v>
          </cell>
          <cell r="G508" t="str">
            <v>其他权益工具持有者投入资本</v>
          </cell>
          <cell r="H508">
            <v>0</v>
          </cell>
          <cell r="I508">
            <v>8953</v>
          </cell>
          <cell r="J508" t="str">
            <v>J</v>
          </cell>
        </row>
        <row r="509">
          <cell r="B509">
            <v>8956</v>
          </cell>
          <cell r="C509" t="str">
            <v>少数股东权益_所有者其他投入和减少资本</v>
          </cell>
          <cell r="D509">
            <v>-1</v>
          </cell>
          <cell r="E509" t="str">
            <v>※LOW</v>
          </cell>
          <cell r="F509">
            <v>0</v>
          </cell>
          <cell r="G509" t="str">
            <v>其他</v>
          </cell>
          <cell r="H509">
            <v>0</v>
          </cell>
          <cell r="I509">
            <v>8956</v>
          </cell>
          <cell r="J509" t="str">
            <v>J</v>
          </cell>
        </row>
        <row r="510">
          <cell r="B510">
            <v>8960</v>
          </cell>
          <cell r="C510" t="str">
            <v>少数股东权益_利润分配影响权益</v>
          </cell>
          <cell r="D510">
            <v>0</v>
          </cell>
          <cell r="E510" t="str">
            <v>※＝</v>
          </cell>
          <cell r="F510">
            <v>0</v>
          </cell>
          <cell r="G510" t="str">
            <v>（三）利润分配</v>
          </cell>
          <cell r="H510">
            <v>0</v>
          </cell>
          <cell r="I510">
            <v>8960</v>
          </cell>
          <cell r="J510">
            <v>0</v>
          </cell>
        </row>
        <row r="511">
          <cell r="B511">
            <v>8963</v>
          </cell>
          <cell r="C511" t="str">
            <v>少数股东权益_对所有者的分配</v>
          </cell>
          <cell r="D511">
            <v>-1</v>
          </cell>
          <cell r="E511" t="str">
            <v>※</v>
          </cell>
          <cell r="F511">
            <v>0</v>
          </cell>
          <cell r="G511" t="str">
            <v>对所有者（或股东）的分配</v>
          </cell>
          <cell r="H511">
            <v>0</v>
          </cell>
          <cell r="I511">
            <v>8963</v>
          </cell>
          <cell r="J511" t="str">
            <v>J</v>
          </cell>
        </row>
        <row r="512">
          <cell r="B512">
            <v>8966</v>
          </cell>
          <cell r="C512" t="str">
            <v>少数股东权益_其他利润分配</v>
          </cell>
          <cell r="D512">
            <v>-1</v>
          </cell>
          <cell r="E512" t="str">
            <v>※LOW</v>
          </cell>
          <cell r="F512">
            <v>0</v>
          </cell>
          <cell r="G512" t="str">
            <v>其他</v>
          </cell>
          <cell r="H512">
            <v>0</v>
          </cell>
          <cell r="I512">
            <v>8966</v>
          </cell>
          <cell r="J512" t="str">
            <v>J</v>
          </cell>
        </row>
        <row r="513">
          <cell r="B513">
            <v>8970</v>
          </cell>
          <cell r="C513" t="str">
            <v>少数股东权益_所有者权益内部结转</v>
          </cell>
          <cell r="D513">
            <v>0</v>
          </cell>
          <cell r="E513" t="str">
            <v>※＝</v>
          </cell>
          <cell r="F513">
            <v>0</v>
          </cell>
          <cell r="G513" t="str">
            <v>（四）所有者权益内部结转</v>
          </cell>
          <cell r="H513">
            <v>0</v>
          </cell>
          <cell r="I513">
            <v>8970</v>
          </cell>
          <cell r="J513">
            <v>0</v>
          </cell>
        </row>
        <row r="514">
          <cell r="B514">
            <v>8975</v>
          </cell>
          <cell r="C514" t="str">
            <v>少数股东权益_设定受益计划变动额结转留存收益</v>
          </cell>
          <cell r="D514">
            <v>-1</v>
          </cell>
          <cell r="E514" t="str">
            <v>※OEI</v>
          </cell>
          <cell r="F514">
            <v>0</v>
          </cell>
          <cell r="G514" t="str">
            <v>设定受益计划变动额结转留存收益</v>
          </cell>
          <cell r="H514">
            <v>0</v>
          </cell>
          <cell r="I514">
            <v>8975</v>
          </cell>
          <cell r="J514" t="str">
            <v>J</v>
          </cell>
        </row>
        <row r="515">
          <cell r="B515">
            <v>8976</v>
          </cell>
          <cell r="C515" t="str">
            <v>少数股东权益_所有者权益其他内部结转</v>
          </cell>
          <cell r="D515">
            <v>-1</v>
          </cell>
          <cell r="E515" t="str">
            <v>※LOW</v>
          </cell>
          <cell r="F515">
            <v>0</v>
          </cell>
          <cell r="G515" t="str">
            <v>其他</v>
          </cell>
          <cell r="H515">
            <v>0</v>
          </cell>
          <cell r="I515">
            <v>8976</v>
          </cell>
          <cell r="J515" t="str">
            <v>J</v>
          </cell>
        </row>
        <row r="516">
          <cell r="B516">
            <v>8980</v>
          </cell>
          <cell r="C516" t="str">
            <v>少数股东权益_专项储备影响权益</v>
          </cell>
          <cell r="D516">
            <v>0</v>
          </cell>
          <cell r="E516" t="str">
            <v>※＝</v>
          </cell>
          <cell r="F516">
            <v>0</v>
          </cell>
          <cell r="G516" t="str">
            <v>（五）专项储备</v>
          </cell>
          <cell r="H516">
            <v>0</v>
          </cell>
          <cell r="I516">
            <v>8980</v>
          </cell>
          <cell r="J516">
            <v>0</v>
          </cell>
        </row>
        <row r="517">
          <cell r="B517">
            <v>8981</v>
          </cell>
          <cell r="C517" t="str">
            <v>少数股东权益_专项储备本期提取</v>
          </cell>
          <cell r="D517">
            <v>-1</v>
          </cell>
          <cell r="E517" t="str">
            <v>※LOW</v>
          </cell>
          <cell r="F517">
            <v>0</v>
          </cell>
          <cell r="G517" t="str">
            <v>本期提取</v>
          </cell>
          <cell r="H517">
            <v>0</v>
          </cell>
          <cell r="I517">
            <v>8981</v>
          </cell>
          <cell r="J517" t="str">
            <v>J</v>
          </cell>
        </row>
        <row r="518">
          <cell r="B518">
            <v>8982</v>
          </cell>
          <cell r="C518" t="str">
            <v>少数股东权益_专项储备本期使用</v>
          </cell>
          <cell r="D518">
            <v>-1</v>
          </cell>
          <cell r="E518" t="str">
            <v>※LOW</v>
          </cell>
          <cell r="F518">
            <v>0</v>
          </cell>
          <cell r="G518" t="str">
            <v>本期使用</v>
          </cell>
          <cell r="H518">
            <v>0</v>
          </cell>
          <cell r="I518">
            <v>8982</v>
          </cell>
          <cell r="J518" t="str">
            <v>J</v>
          </cell>
        </row>
        <row r="519">
          <cell r="B519">
            <v>8996</v>
          </cell>
          <cell r="C519" t="str">
            <v>少数股东权益_本期其他增减变动</v>
          </cell>
          <cell r="D519">
            <v>-1</v>
          </cell>
          <cell r="E519" t="str">
            <v>※LOW</v>
          </cell>
          <cell r="F519">
            <v>0</v>
          </cell>
          <cell r="G519" t="str">
            <v>（七）其他</v>
          </cell>
          <cell r="H519">
            <v>0</v>
          </cell>
          <cell r="I519">
            <v>8996</v>
          </cell>
          <cell r="J519" t="str">
            <v>J</v>
          </cell>
        </row>
        <row r="520">
          <cell r="B520">
            <v>8999</v>
          </cell>
          <cell r="C520" t="str">
            <v>少数股东权益_本期期末余额</v>
          </cell>
          <cell r="D520">
            <v>0</v>
          </cell>
          <cell r="E520" t="str">
            <v>※＝</v>
          </cell>
          <cell r="F520">
            <v>0</v>
          </cell>
          <cell r="G520" t="str">
            <v>四、本期期末余额</v>
          </cell>
          <cell r="H520">
            <v>0</v>
          </cell>
          <cell r="I520">
            <v>8999</v>
          </cell>
          <cell r="J520">
            <v>0</v>
          </cell>
        </row>
        <row r="521">
          <cell r="B521">
            <v>7</v>
          </cell>
          <cell r="C521" t="str">
            <v>现金流量表</v>
          </cell>
          <cell r="D521">
            <v>0</v>
          </cell>
          <cell r="E521" t="str">
            <v>：</v>
          </cell>
          <cell r="F521">
            <v>0</v>
          </cell>
          <cell r="G521" t="str">
            <v>现金流量表</v>
          </cell>
          <cell r="H521">
            <v>0</v>
          </cell>
          <cell r="I521">
            <v>7</v>
          </cell>
          <cell r="J521">
            <v>0</v>
          </cell>
        </row>
        <row r="522">
          <cell r="B522">
            <v>7000</v>
          </cell>
          <cell r="C522" t="str">
            <v>经营活动现金流量项目</v>
          </cell>
          <cell r="D522">
            <v>0</v>
          </cell>
          <cell r="E522" t="str">
            <v>：</v>
          </cell>
          <cell r="F522">
            <v>0</v>
          </cell>
          <cell r="G522" t="str">
            <v>一、经营活动产生的现金流量：</v>
          </cell>
          <cell r="H522" t="str">
            <v>一、经营活动产生的现金流量：</v>
          </cell>
          <cell r="I522">
            <v>7000</v>
          </cell>
          <cell r="J522">
            <v>0</v>
          </cell>
        </row>
        <row r="523">
          <cell r="B523">
            <v>7001</v>
          </cell>
          <cell r="C523" t="str">
            <v>销售商品提供劳务收到的现金</v>
          </cell>
          <cell r="D523">
            <v>1</v>
          </cell>
          <cell r="E523">
            <v>0</v>
          </cell>
          <cell r="F523">
            <v>0</v>
          </cell>
          <cell r="G523" t="str">
            <v>销售商品、提供劳务收到的现金</v>
          </cell>
          <cell r="H523" t="str">
            <v>销售商品、提供劳务收到的现金</v>
          </cell>
          <cell r="I523">
            <v>7001</v>
          </cell>
          <cell r="J523" t="str">
            <v>J</v>
          </cell>
        </row>
        <row r="524">
          <cell r="B524">
            <v>7011</v>
          </cell>
          <cell r="C524" t="str">
            <v>客户存款和同业存放款项净增加额</v>
          </cell>
          <cell r="D524">
            <v>1</v>
          </cell>
          <cell r="E524" t="str">
            <v>△</v>
          </cell>
          <cell r="F524">
            <v>0</v>
          </cell>
          <cell r="G524" t="str">
            <v>客户存款和同业存放款项净增加额</v>
          </cell>
          <cell r="H524" t="str">
            <v>客户存款和同业存放款项净增加额</v>
          </cell>
          <cell r="I524">
            <v>7011</v>
          </cell>
          <cell r="J524" t="str">
            <v>J</v>
          </cell>
        </row>
        <row r="525">
          <cell r="B525">
            <v>7012</v>
          </cell>
          <cell r="C525" t="str">
            <v>向中央银行借款净增加额</v>
          </cell>
          <cell r="D525">
            <v>1</v>
          </cell>
          <cell r="E525" t="str">
            <v>△</v>
          </cell>
          <cell r="F525">
            <v>0</v>
          </cell>
          <cell r="G525" t="str">
            <v>向中央银行借款净增加额</v>
          </cell>
          <cell r="H525" t="str">
            <v>向中央银行借款净增加额</v>
          </cell>
          <cell r="I525">
            <v>7012</v>
          </cell>
          <cell r="J525" t="str">
            <v>J</v>
          </cell>
        </row>
        <row r="526">
          <cell r="B526">
            <v>7013</v>
          </cell>
          <cell r="C526" t="str">
            <v>向其他金融机构拆入资金净增加额</v>
          </cell>
          <cell r="D526">
            <v>1</v>
          </cell>
          <cell r="E526" t="str">
            <v>△</v>
          </cell>
          <cell r="F526">
            <v>0</v>
          </cell>
          <cell r="G526" t="str">
            <v>向其他金融机构拆入资金净增加额</v>
          </cell>
          <cell r="H526" t="str">
            <v>向其他金融机构拆入资金净增加额</v>
          </cell>
          <cell r="I526">
            <v>7013</v>
          </cell>
          <cell r="J526" t="str">
            <v>J</v>
          </cell>
        </row>
        <row r="527">
          <cell r="B527">
            <v>7014</v>
          </cell>
          <cell r="C527" t="str">
            <v>收到原保险合同保费取得的现金</v>
          </cell>
          <cell r="D527">
            <v>1</v>
          </cell>
          <cell r="E527" t="str">
            <v>△</v>
          </cell>
          <cell r="F527">
            <v>0</v>
          </cell>
          <cell r="G527" t="str">
            <v>收到原保险合同保费取得的现金</v>
          </cell>
          <cell r="H527" t="str">
            <v>收到原保险合同保费取得的现金</v>
          </cell>
          <cell r="I527">
            <v>7014</v>
          </cell>
          <cell r="J527" t="str">
            <v>J</v>
          </cell>
        </row>
        <row r="528">
          <cell r="B528">
            <v>7015</v>
          </cell>
          <cell r="C528" t="str">
            <v>收到再保险业务现金净额</v>
          </cell>
          <cell r="D528">
            <v>1</v>
          </cell>
          <cell r="E528" t="str">
            <v>△</v>
          </cell>
          <cell r="F528">
            <v>0</v>
          </cell>
          <cell r="G528" t="str">
            <v>收到再保险业务现金净额</v>
          </cell>
          <cell r="H528" t="str">
            <v>收到再保险业务现金净额</v>
          </cell>
          <cell r="I528">
            <v>7015</v>
          </cell>
          <cell r="J528" t="str">
            <v>J</v>
          </cell>
        </row>
        <row r="529">
          <cell r="B529">
            <v>7016</v>
          </cell>
          <cell r="C529" t="str">
            <v>保户储金及投资款净增加额</v>
          </cell>
          <cell r="D529">
            <v>1</v>
          </cell>
          <cell r="E529" t="str">
            <v>△</v>
          </cell>
          <cell r="F529">
            <v>0</v>
          </cell>
          <cell r="G529" t="str">
            <v>保户储金及投资款净增加额</v>
          </cell>
          <cell r="H529" t="str">
            <v>保户储金及投资款净增加额</v>
          </cell>
          <cell r="I529">
            <v>7016</v>
          </cell>
          <cell r="J529" t="str">
            <v>J</v>
          </cell>
        </row>
        <row r="530">
          <cell r="B530">
            <v>7021</v>
          </cell>
          <cell r="C530" t="str">
            <v>处置交易性金融资产净增加额</v>
          </cell>
          <cell r="D530">
            <v>1</v>
          </cell>
          <cell r="E530" t="str">
            <v>△</v>
          </cell>
          <cell r="F530">
            <v>0</v>
          </cell>
          <cell r="G530" t="str">
            <v>处置以公允价值计量且其变动计入当期损益的金融资产净增加额</v>
          </cell>
          <cell r="H530" t="str">
            <v>处置以公允价值计量且其变动计入当期损益的金融资产净增加额</v>
          </cell>
          <cell r="I530">
            <v>7021</v>
          </cell>
          <cell r="J530" t="str">
            <v>J</v>
          </cell>
        </row>
        <row r="531">
          <cell r="B531">
            <v>7023</v>
          </cell>
          <cell r="C531" t="str">
            <v>收取利息手续费及佣金的现金</v>
          </cell>
          <cell r="D531">
            <v>1</v>
          </cell>
          <cell r="E531" t="str">
            <v>△</v>
          </cell>
          <cell r="F531">
            <v>0</v>
          </cell>
          <cell r="G531" t="str">
            <v>收取利息、手续费及佣金的现金</v>
          </cell>
          <cell r="H531" t="str">
            <v>收取利息、手续费及佣金的现金</v>
          </cell>
          <cell r="I531">
            <v>7023</v>
          </cell>
          <cell r="J531" t="str">
            <v>J</v>
          </cell>
        </row>
        <row r="532">
          <cell r="B532">
            <v>7025</v>
          </cell>
          <cell r="C532" t="str">
            <v>拆入资金净增加额</v>
          </cell>
          <cell r="D532">
            <v>1</v>
          </cell>
          <cell r="E532" t="str">
            <v>△</v>
          </cell>
          <cell r="F532">
            <v>0</v>
          </cell>
          <cell r="G532" t="str">
            <v>拆入资金净增加额</v>
          </cell>
          <cell r="H532" t="str">
            <v>拆入资金净增加额</v>
          </cell>
          <cell r="I532">
            <v>7025</v>
          </cell>
          <cell r="J532" t="str">
            <v>J</v>
          </cell>
        </row>
        <row r="533">
          <cell r="B533">
            <v>7026</v>
          </cell>
          <cell r="C533" t="str">
            <v>回购业务资金净增加额</v>
          </cell>
          <cell r="D533">
            <v>1</v>
          </cell>
          <cell r="E533" t="str">
            <v>△</v>
          </cell>
          <cell r="F533">
            <v>0</v>
          </cell>
          <cell r="G533" t="str">
            <v>回购业务资金净增加额</v>
          </cell>
          <cell r="H533" t="str">
            <v>回购业务资金净增加额</v>
          </cell>
          <cell r="I533">
            <v>7026</v>
          </cell>
          <cell r="J533" t="str">
            <v>J</v>
          </cell>
        </row>
        <row r="534">
          <cell r="B534">
            <v>7031</v>
          </cell>
          <cell r="C534" t="str">
            <v>收到的税费返还</v>
          </cell>
          <cell r="D534">
            <v>1</v>
          </cell>
          <cell r="E534">
            <v>0</v>
          </cell>
          <cell r="F534">
            <v>0</v>
          </cell>
          <cell r="G534" t="str">
            <v>收到的税费返还</v>
          </cell>
          <cell r="H534" t="str">
            <v>收到的税费返还</v>
          </cell>
          <cell r="I534">
            <v>7031</v>
          </cell>
          <cell r="J534" t="str">
            <v>J</v>
          </cell>
        </row>
        <row r="535">
          <cell r="B535">
            <v>7046</v>
          </cell>
          <cell r="C535" t="str">
            <v>收到其他与经营活动有关的现金</v>
          </cell>
          <cell r="D535">
            <v>1</v>
          </cell>
          <cell r="E535">
            <v>0</v>
          </cell>
          <cell r="F535">
            <v>0</v>
          </cell>
          <cell r="G535" t="str">
            <v>收到其他与经营活动有关的现金</v>
          </cell>
          <cell r="H535" t="str">
            <v>收到其他与经营活动有关的现金</v>
          </cell>
          <cell r="I535">
            <v>7046</v>
          </cell>
          <cell r="J535" t="str">
            <v>J</v>
          </cell>
        </row>
        <row r="536">
          <cell r="B536">
            <v>7048</v>
          </cell>
          <cell r="C536" t="str">
            <v>经营活动现金流入</v>
          </cell>
          <cell r="D536">
            <v>0</v>
          </cell>
          <cell r="E536" t="str">
            <v>＝</v>
          </cell>
          <cell r="F536">
            <v>0</v>
          </cell>
          <cell r="G536" t="str">
            <v>经营活动现金流入小计</v>
          </cell>
          <cell r="H536" t="str">
            <v>经营活动现金流入小计</v>
          </cell>
          <cell r="I536">
            <v>7048</v>
          </cell>
          <cell r="J536">
            <v>0</v>
          </cell>
        </row>
        <row r="537">
          <cell r="B537">
            <v>7051</v>
          </cell>
          <cell r="C537" t="str">
            <v>购买商品接受劳务支付的现金</v>
          </cell>
          <cell r="D537">
            <v>-1</v>
          </cell>
          <cell r="E537">
            <v>0</v>
          </cell>
          <cell r="F537">
            <v>0</v>
          </cell>
          <cell r="G537" t="str">
            <v>购买商品、接受劳务支付的现金</v>
          </cell>
          <cell r="H537" t="str">
            <v>购买商品、接受劳务支付的现金</v>
          </cell>
          <cell r="I537">
            <v>7051</v>
          </cell>
          <cell r="J537" t="str">
            <v>J</v>
          </cell>
        </row>
        <row r="538">
          <cell r="B538">
            <v>7053</v>
          </cell>
          <cell r="C538" t="str">
            <v>客户贷款及垫款净增加额</v>
          </cell>
          <cell r="D538">
            <v>-1</v>
          </cell>
          <cell r="E538" t="str">
            <v>△</v>
          </cell>
          <cell r="F538">
            <v>0</v>
          </cell>
          <cell r="G538" t="str">
            <v>客户贷款及垫款净增加额</v>
          </cell>
          <cell r="H538" t="str">
            <v>客户贷款及垫款净增加额</v>
          </cell>
          <cell r="I538">
            <v>7053</v>
          </cell>
          <cell r="J538" t="str">
            <v>J</v>
          </cell>
        </row>
        <row r="539">
          <cell r="B539">
            <v>7054</v>
          </cell>
          <cell r="C539" t="str">
            <v>存放中央银行和同业款项净增加额</v>
          </cell>
          <cell r="D539">
            <v>-1</v>
          </cell>
          <cell r="E539" t="str">
            <v>△</v>
          </cell>
          <cell r="F539">
            <v>0</v>
          </cell>
          <cell r="G539" t="str">
            <v>存放中央银行和同业款项净增加额</v>
          </cell>
          <cell r="H539" t="str">
            <v>存放中央银行和同业款项净增加额</v>
          </cell>
          <cell r="I539">
            <v>7054</v>
          </cell>
          <cell r="J539" t="str">
            <v>J</v>
          </cell>
        </row>
        <row r="540">
          <cell r="B540">
            <v>7055</v>
          </cell>
          <cell r="C540" t="str">
            <v>支付原保险合同赔付款项的现金</v>
          </cell>
          <cell r="D540">
            <v>-1</v>
          </cell>
          <cell r="E540" t="str">
            <v>△</v>
          </cell>
          <cell r="F540">
            <v>0</v>
          </cell>
          <cell r="G540" t="str">
            <v>支付原保险合同赔付款项的现金</v>
          </cell>
          <cell r="H540" t="str">
            <v>支付原保险合同赔付款项的现金</v>
          </cell>
          <cell r="I540">
            <v>7055</v>
          </cell>
          <cell r="J540" t="str">
            <v>J</v>
          </cell>
        </row>
        <row r="541">
          <cell r="B541">
            <v>7056</v>
          </cell>
          <cell r="C541" t="str">
            <v>支付利息手续费及佣金的现金</v>
          </cell>
          <cell r="D541">
            <v>-1</v>
          </cell>
          <cell r="E541" t="str">
            <v>△</v>
          </cell>
          <cell r="F541">
            <v>0</v>
          </cell>
          <cell r="G541" t="str">
            <v>支付利息、手续费及佣金的现金</v>
          </cell>
          <cell r="H541" t="str">
            <v>支付利息、手续费及佣金的现金</v>
          </cell>
          <cell r="I541">
            <v>7056</v>
          </cell>
          <cell r="J541" t="str">
            <v>J</v>
          </cell>
        </row>
        <row r="542">
          <cell r="B542">
            <v>7057</v>
          </cell>
          <cell r="C542" t="str">
            <v>支付保单红利的现金</v>
          </cell>
          <cell r="D542">
            <v>-1</v>
          </cell>
          <cell r="E542" t="str">
            <v>△</v>
          </cell>
          <cell r="F542">
            <v>0</v>
          </cell>
          <cell r="G542" t="str">
            <v>支付保单红利的现金</v>
          </cell>
          <cell r="H542" t="str">
            <v>支付保单红利的现金</v>
          </cell>
          <cell r="I542">
            <v>7057</v>
          </cell>
          <cell r="J542" t="str">
            <v>J</v>
          </cell>
        </row>
        <row r="543">
          <cell r="B543">
            <v>7061</v>
          </cell>
          <cell r="C543" t="str">
            <v>支付给职工以及为职工支付的现金</v>
          </cell>
          <cell r="D543">
            <v>-1</v>
          </cell>
          <cell r="E543">
            <v>0</v>
          </cell>
          <cell r="F543">
            <v>0</v>
          </cell>
          <cell r="G543" t="str">
            <v>支付给职工以及为职工支付的现金</v>
          </cell>
          <cell r="H543" t="str">
            <v>支付给职工以及为职工支付的现金</v>
          </cell>
          <cell r="I543">
            <v>7061</v>
          </cell>
          <cell r="J543" t="str">
            <v>J</v>
          </cell>
        </row>
        <row r="544">
          <cell r="B544">
            <v>7071</v>
          </cell>
          <cell r="C544" t="str">
            <v>支付的各项税费</v>
          </cell>
          <cell r="D544">
            <v>-1</v>
          </cell>
          <cell r="E544">
            <v>0</v>
          </cell>
          <cell r="F544">
            <v>0</v>
          </cell>
          <cell r="G544" t="str">
            <v>支付的各项税费</v>
          </cell>
          <cell r="H544" t="str">
            <v>支付的各项税费</v>
          </cell>
          <cell r="I544">
            <v>7071</v>
          </cell>
          <cell r="J544" t="str">
            <v>J</v>
          </cell>
        </row>
        <row r="545">
          <cell r="B545">
            <v>7096</v>
          </cell>
          <cell r="C545" t="str">
            <v>支付其他与经营活动有关的现金</v>
          </cell>
          <cell r="D545">
            <v>-1</v>
          </cell>
          <cell r="E545">
            <v>0</v>
          </cell>
          <cell r="F545">
            <v>0</v>
          </cell>
          <cell r="G545" t="str">
            <v>支付其他与经营活动有关的现金</v>
          </cell>
          <cell r="H545" t="str">
            <v>支付其他与经营活动有关的现金</v>
          </cell>
          <cell r="I545">
            <v>7096</v>
          </cell>
          <cell r="J545" t="str">
            <v>J</v>
          </cell>
        </row>
        <row r="546">
          <cell r="B546">
            <v>7098</v>
          </cell>
          <cell r="C546" t="str">
            <v>经营活动现金流出</v>
          </cell>
          <cell r="D546">
            <v>0</v>
          </cell>
          <cell r="E546" t="str">
            <v>＝</v>
          </cell>
          <cell r="F546">
            <v>0</v>
          </cell>
          <cell r="G546" t="str">
            <v>经营活动现金流出小计</v>
          </cell>
          <cell r="H546" t="str">
            <v>经营活动现金流出小计</v>
          </cell>
          <cell r="I546">
            <v>7098</v>
          </cell>
          <cell r="J546">
            <v>0</v>
          </cell>
        </row>
        <row r="547">
          <cell r="B547">
            <v>7099</v>
          </cell>
          <cell r="C547" t="str">
            <v>经营活动产生的现金流量净额</v>
          </cell>
          <cell r="D547">
            <v>0</v>
          </cell>
          <cell r="E547" t="str">
            <v>＝</v>
          </cell>
          <cell r="F547">
            <v>0</v>
          </cell>
          <cell r="G547" t="str">
            <v>经营活动产生的现金流量净额</v>
          </cell>
          <cell r="H547" t="str">
            <v>经营活动产生的现金流量净额</v>
          </cell>
          <cell r="I547">
            <v>7099</v>
          </cell>
          <cell r="J547">
            <v>0</v>
          </cell>
        </row>
        <row r="548">
          <cell r="B548">
            <v>7100</v>
          </cell>
          <cell r="C548" t="str">
            <v>投资活动现金流量项目</v>
          </cell>
          <cell r="D548">
            <v>0</v>
          </cell>
          <cell r="E548" t="str">
            <v>：</v>
          </cell>
          <cell r="F548">
            <v>0</v>
          </cell>
          <cell r="G548" t="str">
            <v>二、投资活动产生的现金流量：</v>
          </cell>
          <cell r="H548" t="str">
            <v>二、投资活动产生的现金流量：</v>
          </cell>
          <cell r="I548">
            <v>7100</v>
          </cell>
          <cell r="J548">
            <v>0</v>
          </cell>
        </row>
        <row r="549">
          <cell r="B549">
            <v>7101</v>
          </cell>
          <cell r="C549" t="str">
            <v>收回投资收到的现金</v>
          </cell>
          <cell r="D549">
            <v>1</v>
          </cell>
          <cell r="E549">
            <v>0</v>
          </cell>
          <cell r="F549">
            <v>0</v>
          </cell>
          <cell r="G549" t="str">
            <v>收回投资收到的现金</v>
          </cell>
          <cell r="H549" t="str">
            <v>收回投资收到的现金</v>
          </cell>
          <cell r="I549">
            <v>7101</v>
          </cell>
          <cell r="J549" t="str">
            <v>J</v>
          </cell>
        </row>
        <row r="550">
          <cell r="B550">
            <v>7105</v>
          </cell>
          <cell r="C550" t="str">
            <v>取得投资收益收到的现金</v>
          </cell>
          <cell r="D550">
            <v>1</v>
          </cell>
          <cell r="E550">
            <v>0</v>
          </cell>
          <cell r="F550">
            <v>0</v>
          </cell>
          <cell r="G550" t="str">
            <v>取得投资收益收到的现金</v>
          </cell>
          <cell r="H550" t="str">
            <v>取得投资收益收到的现金</v>
          </cell>
          <cell r="I550">
            <v>7105</v>
          </cell>
          <cell r="J550" t="str">
            <v>J</v>
          </cell>
        </row>
        <row r="551">
          <cell r="B551">
            <v>7111</v>
          </cell>
          <cell r="C551" t="str">
            <v>处置固定资产无形资产长期资产收回的现金</v>
          </cell>
          <cell r="D551">
            <v>1</v>
          </cell>
          <cell r="E551">
            <v>0</v>
          </cell>
          <cell r="F551">
            <v>0</v>
          </cell>
          <cell r="G551" t="str">
            <v>处置固定资产、无形资产和其他长期资产收回的现金净额</v>
          </cell>
          <cell r="H551" t="str">
            <v>处置固定资产、无形资产和其他长期资产所收回的现金净额</v>
          </cell>
          <cell r="I551">
            <v>7111</v>
          </cell>
          <cell r="J551" t="str">
            <v>J</v>
          </cell>
        </row>
        <row r="552">
          <cell r="B552">
            <v>7121</v>
          </cell>
          <cell r="C552" t="str">
            <v>处置子公司及其他营业单位收到的现金净额</v>
          </cell>
          <cell r="D552">
            <v>1</v>
          </cell>
          <cell r="E552">
            <v>0</v>
          </cell>
          <cell r="F552">
            <v>0</v>
          </cell>
          <cell r="G552" t="str">
            <v>处置子公司及其他营业单位收到的现金净额</v>
          </cell>
          <cell r="H552" t="str">
            <v>处置子公司及其他营业单位收到的现金净额</v>
          </cell>
          <cell r="I552">
            <v>7121</v>
          </cell>
          <cell r="J552" t="str">
            <v>J</v>
          </cell>
        </row>
        <row r="553">
          <cell r="B553">
            <v>7146</v>
          </cell>
          <cell r="C553" t="str">
            <v>收到其他与投资活动有关的现金</v>
          </cell>
          <cell r="D553">
            <v>1</v>
          </cell>
          <cell r="E553">
            <v>0</v>
          </cell>
          <cell r="F553">
            <v>0</v>
          </cell>
          <cell r="G553" t="str">
            <v>收到其他与投资活动有关的现金</v>
          </cell>
          <cell r="H553" t="str">
            <v>收到其他与投资活动有关的现金</v>
          </cell>
          <cell r="I553">
            <v>7146</v>
          </cell>
          <cell r="J553" t="str">
            <v>J</v>
          </cell>
        </row>
        <row r="554">
          <cell r="B554">
            <v>7148</v>
          </cell>
          <cell r="C554" t="str">
            <v>投资活动现金流入</v>
          </cell>
          <cell r="D554">
            <v>0</v>
          </cell>
          <cell r="E554" t="str">
            <v>＝</v>
          </cell>
          <cell r="F554">
            <v>0</v>
          </cell>
          <cell r="G554" t="str">
            <v>投资活动现金流入小计</v>
          </cell>
          <cell r="H554" t="str">
            <v>投资活动现金流入小计</v>
          </cell>
          <cell r="I554">
            <v>7148</v>
          </cell>
          <cell r="J554">
            <v>0</v>
          </cell>
        </row>
        <row r="555">
          <cell r="B555">
            <v>7151</v>
          </cell>
          <cell r="C555" t="str">
            <v>购置固定资产无形资产长期资产支付的现金</v>
          </cell>
          <cell r="D555">
            <v>-1</v>
          </cell>
          <cell r="E555">
            <v>0</v>
          </cell>
          <cell r="F555">
            <v>0</v>
          </cell>
          <cell r="G555" t="str">
            <v>购置固定资产、无形资产和其他长期资产支付的现金</v>
          </cell>
          <cell r="H555" t="str">
            <v>购置固定资产、无形资产和其他长期资产支付的现金</v>
          </cell>
          <cell r="I555">
            <v>7151</v>
          </cell>
          <cell r="J555" t="str">
            <v>J</v>
          </cell>
        </row>
        <row r="556">
          <cell r="B556">
            <v>7161</v>
          </cell>
          <cell r="C556" t="str">
            <v>投资支付的现金</v>
          </cell>
          <cell r="D556">
            <v>-1</v>
          </cell>
          <cell r="E556">
            <v>0</v>
          </cell>
          <cell r="F556">
            <v>0</v>
          </cell>
          <cell r="G556" t="str">
            <v>投资支付的现金</v>
          </cell>
          <cell r="H556" t="str">
            <v>投资支付的现金</v>
          </cell>
          <cell r="I556">
            <v>7161</v>
          </cell>
          <cell r="J556" t="str">
            <v>J</v>
          </cell>
        </row>
        <row r="557">
          <cell r="B557">
            <v>7165</v>
          </cell>
          <cell r="C557" t="str">
            <v>质押贷款净增加额</v>
          </cell>
          <cell r="D557">
            <v>-1</v>
          </cell>
          <cell r="E557" t="str">
            <v>△</v>
          </cell>
          <cell r="F557">
            <v>0</v>
          </cell>
          <cell r="G557" t="str">
            <v>质押贷款净增加额</v>
          </cell>
          <cell r="H557" t="str">
            <v>质押贷款净增加额</v>
          </cell>
          <cell r="I557">
            <v>7165</v>
          </cell>
          <cell r="J557" t="str">
            <v>J</v>
          </cell>
        </row>
        <row r="558">
          <cell r="B558">
            <v>7171</v>
          </cell>
          <cell r="C558" t="str">
            <v>取得子公司及其他营业单位支付的现金净额</v>
          </cell>
          <cell r="D558">
            <v>-1</v>
          </cell>
          <cell r="E558">
            <v>0</v>
          </cell>
          <cell r="F558">
            <v>0</v>
          </cell>
          <cell r="G558" t="str">
            <v>取得子公司及其他营业单位支付的现金净额</v>
          </cell>
          <cell r="H558" t="str">
            <v>取得子公司及其他营业单位支付的现金净额</v>
          </cell>
          <cell r="I558">
            <v>7171</v>
          </cell>
          <cell r="J558" t="str">
            <v>J</v>
          </cell>
        </row>
        <row r="559">
          <cell r="B559">
            <v>7196</v>
          </cell>
          <cell r="C559" t="str">
            <v>支付其他与投资活动有关的现金</v>
          </cell>
          <cell r="D559">
            <v>-1</v>
          </cell>
          <cell r="E559">
            <v>0</v>
          </cell>
          <cell r="F559">
            <v>0</v>
          </cell>
          <cell r="G559" t="str">
            <v>支付其他与投资活动有关的现金</v>
          </cell>
          <cell r="H559" t="str">
            <v>支付其他与投资活动有关的现金</v>
          </cell>
          <cell r="I559">
            <v>7196</v>
          </cell>
          <cell r="J559" t="str">
            <v>J</v>
          </cell>
        </row>
        <row r="560">
          <cell r="B560">
            <v>7198</v>
          </cell>
          <cell r="C560" t="str">
            <v>投资活动现金流出</v>
          </cell>
          <cell r="D560">
            <v>0</v>
          </cell>
          <cell r="E560" t="str">
            <v>＝</v>
          </cell>
          <cell r="F560">
            <v>0</v>
          </cell>
          <cell r="G560" t="str">
            <v>投资活动现金流出小计</v>
          </cell>
          <cell r="H560" t="str">
            <v>投资活动现金流出小计</v>
          </cell>
          <cell r="I560">
            <v>7198</v>
          </cell>
          <cell r="J560">
            <v>0</v>
          </cell>
        </row>
        <row r="561">
          <cell r="B561">
            <v>7199</v>
          </cell>
          <cell r="C561" t="str">
            <v>投资活动产生的现金流量净额</v>
          </cell>
          <cell r="D561">
            <v>0</v>
          </cell>
          <cell r="E561" t="str">
            <v>＝</v>
          </cell>
          <cell r="F561">
            <v>0</v>
          </cell>
          <cell r="G561" t="str">
            <v>投资活动产生的现金流量净额</v>
          </cell>
          <cell r="H561" t="str">
            <v>投资活动产生的现金流量净额</v>
          </cell>
          <cell r="I561">
            <v>7199</v>
          </cell>
          <cell r="J561">
            <v>0</v>
          </cell>
        </row>
        <row r="562">
          <cell r="B562">
            <v>7200</v>
          </cell>
          <cell r="C562" t="str">
            <v>筹资活动现金流量项目</v>
          </cell>
          <cell r="D562">
            <v>0</v>
          </cell>
          <cell r="E562" t="str">
            <v>：</v>
          </cell>
          <cell r="F562">
            <v>0</v>
          </cell>
          <cell r="G562" t="str">
            <v>三、筹资活动产生的现金流量：</v>
          </cell>
          <cell r="H562" t="str">
            <v>三、筹资活动产生的现金流量：</v>
          </cell>
          <cell r="I562">
            <v>7200</v>
          </cell>
          <cell r="J562">
            <v>0</v>
          </cell>
        </row>
        <row r="563">
          <cell r="B563">
            <v>7201</v>
          </cell>
          <cell r="C563" t="str">
            <v>吸收投资收到的现金</v>
          </cell>
          <cell r="D563">
            <v>1</v>
          </cell>
          <cell r="E563">
            <v>0</v>
          </cell>
          <cell r="F563">
            <v>0</v>
          </cell>
          <cell r="G563" t="str">
            <v>吸收投资收到的现金</v>
          </cell>
          <cell r="H563" t="str">
            <v>吸收投资收到的现金</v>
          </cell>
          <cell r="I563">
            <v>7201</v>
          </cell>
          <cell r="J563" t="str">
            <v>J</v>
          </cell>
        </row>
        <row r="564">
          <cell r="B564">
            <v>7201.01</v>
          </cell>
          <cell r="C564" t="str">
            <v>子公司吸收少数股东投资收到的现金</v>
          </cell>
          <cell r="D564">
            <v>1</v>
          </cell>
          <cell r="E564" t="str">
            <v>※</v>
          </cell>
          <cell r="F564">
            <v>0</v>
          </cell>
          <cell r="G564" t="str">
            <v>其中：子公司吸收少数股东权益性投资收到的现金</v>
          </cell>
          <cell r="H564" t="str">
            <v>其中：子公司吸收少数股东投资收到的现金</v>
          </cell>
          <cell r="I564">
            <v>7201.01</v>
          </cell>
          <cell r="J564" t="str">
            <v>J</v>
          </cell>
        </row>
        <row r="565">
          <cell r="B565">
            <v>7211</v>
          </cell>
          <cell r="C565" t="str">
            <v>取得借款收到的现金</v>
          </cell>
          <cell r="D565">
            <v>1</v>
          </cell>
          <cell r="E565">
            <v>0</v>
          </cell>
          <cell r="F565">
            <v>0</v>
          </cell>
          <cell r="G565" t="str">
            <v>取得借款收到的现金</v>
          </cell>
          <cell r="H565" t="str">
            <v>取得借款所收到的现金</v>
          </cell>
          <cell r="I565">
            <v>7211</v>
          </cell>
          <cell r="J565" t="str">
            <v>J</v>
          </cell>
        </row>
        <row r="566">
          <cell r="B566">
            <v>7221</v>
          </cell>
          <cell r="C566" t="str">
            <v>发行债券收到的现金</v>
          </cell>
          <cell r="D566">
            <v>1</v>
          </cell>
          <cell r="E566">
            <v>0</v>
          </cell>
          <cell r="F566">
            <v>0</v>
          </cell>
          <cell r="G566" t="str">
            <v>发行债券收到的现金</v>
          </cell>
          <cell r="H566" t="str">
            <v>发行债券收到的现金</v>
          </cell>
          <cell r="I566">
            <v>7221</v>
          </cell>
          <cell r="J566" t="str">
            <v>J</v>
          </cell>
        </row>
        <row r="567">
          <cell r="B567">
            <v>7246</v>
          </cell>
          <cell r="C567" t="str">
            <v>收到其他与筹资活动有关的现金</v>
          </cell>
          <cell r="D567">
            <v>1</v>
          </cell>
          <cell r="E567">
            <v>0</v>
          </cell>
          <cell r="F567">
            <v>0</v>
          </cell>
          <cell r="G567" t="str">
            <v>收到其他与筹资活动有关的现金</v>
          </cell>
          <cell r="H567" t="str">
            <v>收到其他与筹资活动有关的现金</v>
          </cell>
          <cell r="I567">
            <v>7246</v>
          </cell>
          <cell r="J567" t="str">
            <v>J</v>
          </cell>
        </row>
        <row r="568">
          <cell r="B568">
            <v>7248</v>
          </cell>
          <cell r="C568" t="str">
            <v>筹资活动现金流入</v>
          </cell>
          <cell r="D568">
            <v>0</v>
          </cell>
          <cell r="E568" t="str">
            <v>＝</v>
          </cell>
          <cell r="F568">
            <v>0</v>
          </cell>
          <cell r="G568" t="str">
            <v>筹资活动现金流入小计</v>
          </cell>
          <cell r="H568" t="str">
            <v>筹资活动现金流入小计</v>
          </cell>
          <cell r="I568">
            <v>7248</v>
          </cell>
          <cell r="J568">
            <v>0</v>
          </cell>
        </row>
        <row r="569">
          <cell r="B569">
            <v>7251</v>
          </cell>
          <cell r="C569" t="str">
            <v>偿还债务支付的现金</v>
          </cell>
          <cell r="D569">
            <v>-1</v>
          </cell>
          <cell r="E569">
            <v>0</v>
          </cell>
          <cell r="F569">
            <v>0</v>
          </cell>
          <cell r="G569" t="str">
            <v>偿还债务支付的现金</v>
          </cell>
          <cell r="H569" t="str">
            <v>偿还债务所支付的现金</v>
          </cell>
          <cell r="I569">
            <v>7251</v>
          </cell>
          <cell r="J569" t="str">
            <v>J</v>
          </cell>
        </row>
        <row r="570">
          <cell r="B570">
            <v>7261</v>
          </cell>
          <cell r="C570" t="str">
            <v>分配利润偿付利息支付的现金</v>
          </cell>
          <cell r="D570">
            <v>-1</v>
          </cell>
          <cell r="E570">
            <v>0</v>
          </cell>
          <cell r="F570">
            <v>0</v>
          </cell>
          <cell r="G570" t="str">
            <v>分配股利、利润或偿付利息支付的现金</v>
          </cell>
          <cell r="H570" t="str">
            <v>分配股利、利润或偿付利息所支付的现金</v>
          </cell>
          <cell r="I570">
            <v>7261</v>
          </cell>
          <cell r="J570" t="str">
            <v>J</v>
          </cell>
        </row>
        <row r="571">
          <cell r="B571">
            <v>7261.01</v>
          </cell>
          <cell r="C571" t="str">
            <v>子公司支付少数股东的现金股利</v>
          </cell>
          <cell r="D571">
            <v>-1</v>
          </cell>
          <cell r="E571" t="str">
            <v>※</v>
          </cell>
          <cell r="F571">
            <v>0</v>
          </cell>
          <cell r="G571" t="str">
            <v>其中：子公司支付少数股东的现金股利</v>
          </cell>
          <cell r="H571" t="str">
            <v>其中：子公司支付给少数股东的股利、利润</v>
          </cell>
          <cell r="I571">
            <v>7261.01</v>
          </cell>
          <cell r="J571" t="str">
            <v>J</v>
          </cell>
        </row>
        <row r="572">
          <cell r="B572">
            <v>7296</v>
          </cell>
          <cell r="C572" t="str">
            <v>支付其他与筹资活动有关的现金</v>
          </cell>
          <cell r="D572">
            <v>-1</v>
          </cell>
          <cell r="E572">
            <v>0</v>
          </cell>
          <cell r="F572">
            <v>0</v>
          </cell>
          <cell r="G572" t="str">
            <v>支付其他与筹资活动有关的现金</v>
          </cell>
          <cell r="H572" t="str">
            <v>支付其他与筹资活动有关的现金</v>
          </cell>
          <cell r="I572">
            <v>7296</v>
          </cell>
          <cell r="J572" t="str">
            <v>J</v>
          </cell>
        </row>
        <row r="573">
          <cell r="B573">
            <v>7296.11</v>
          </cell>
          <cell r="C573" t="str">
            <v>子公司减资支付给少数股东的现金</v>
          </cell>
          <cell r="D573">
            <v>-1</v>
          </cell>
          <cell r="E573" t="str">
            <v>※</v>
          </cell>
          <cell r="F573">
            <v>0</v>
          </cell>
          <cell r="G573" t="str">
            <v>其中：子公司减资支付给少数股东的现金</v>
          </cell>
          <cell r="H573" t="str">
            <v>其中：子公司减资支付给少数股东的现金</v>
          </cell>
          <cell r="I573">
            <v>7296.11</v>
          </cell>
          <cell r="J573" t="str">
            <v>J</v>
          </cell>
        </row>
        <row r="574">
          <cell r="B574">
            <v>7298</v>
          </cell>
          <cell r="C574" t="str">
            <v>筹资活动现金流出</v>
          </cell>
          <cell r="D574">
            <v>0</v>
          </cell>
          <cell r="E574" t="str">
            <v>＝</v>
          </cell>
          <cell r="F574">
            <v>0</v>
          </cell>
          <cell r="G574" t="str">
            <v>筹资活动现金流出小计</v>
          </cell>
          <cell r="H574" t="str">
            <v>筹资活动现金流出小计</v>
          </cell>
          <cell r="I574">
            <v>7298</v>
          </cell>
          <cell r="J574">
            <v>0</v>
          </cell>
        </row>
        <row r="575">
          <cell r="B575">
            <v>7299</v>
          </cell>
          <cell r="C575" t="str">
            <v>筹资活动产生的现金流量净额</v>
          </cell>
          <cell r="D575">
            <v>0</v>
          </cell>
          <cell r="E575" t="str">
            <v>＝</v>
          </cell>
          <cell r="F575">
            <v>0</v>
          </cell>
          <cell r="G575" t="str">
            <v>筹资活动产生的现金流量净额</v>
          </cell>
          <cell r="H575" t="str">
            <v>筹资活动产生的现金流量净额</v>
          </cell>
          <cell r="I575">
            <v>7299</v>
          </cell>
          <cell r="J575">
            <v>0</v>
          </cell>
        </row>
        <row r="576">
          <cell r="B576">
            <v>7309</v>
          </cell>
          <cell r="C576" t="str">
            <v>汇率变动对现金及现金等价物的影响</v>
          </cell>
          <cell r="D576">
            <v>1</v>
          </cell>
          <cell r="E576">
            <v>0</v>
          </cell>
          <cell r="F576">
            <v>0</v>
          </cell>
          <cell r="G576" t="str">
            <v>四、汇率变动对现金及现金等价物的影响</v>
          </cell>
          <cell r="H576" t="str">
            <v>四、汇率变动对现金及现金等价物的影响</v>
          </cell>
          <cell r="I576">
            <v>7309</v>
          </cell>
          <cell r="J576" t="str">
            <v>J</v>
          </cell>
        </row>
        <row r="577">
          <cell r="B577">
            <v>7348</v>
          </cell>
          <cell r="C577" t="str">
            <v>现金及现金等价物净增加额</v>
          </cell>
          <cell r="D577">
            <v>0</v>
          </cell>
          <cell r="E577" t="str">
            <v>＝</v>
          </cell>
          <cell r="F577">
            <v>0</v>
          </cell>
          <cell r="G577" t="str">
            <v>五、现金及现金等价物净增加额</v>
          </cell>
          <cell r="H577" t="str">
            <v>五、现金及现金等价物净增加额</v>
          </cell>
          <cell r="I577">
            <v>7348</v>
          </cell>
          <cell r="J577">
            <v>0</v>
          </cell>
        </row>
        <row r="578">
          <cell r="B578">
            <v>7349</v>
          </cell>
          <cell r="C578" t="str">
            <v>期初现金及现金等价物余额</v>
          </cell>
          <cell r="D578">
            <v>1</v>
          </cell>
          <cell r="E578">
            <v>0</v>
          </cell>
          <cell r="F578">
            <v>0</v>
          </cell>
          <cell r="G578" t="str">
            <v>加：期初现金及现金等价物余额</v>
          </cell>
          <cell r="H578" t="str">
            <v>加：期初现金及现金等价物余额</v>
          </cell>
          <cell r="I578">
            <v>7349</v>
          </cell>
          <cell r="J578" t="str">
            <v>J</v>
          </cell>
        </row>
        <row r="579">
          <cell r="B579">
            <v>7399</v>
          </cell>
          <cell r="C579" t="str">
            <v>期末现金及现金等价物余额</v>
          </cell>
          <cell r="D579">
            <v>0</v>
          </cell>
          <cell r="E579" t="str">
            <v>＝</v>
          </cell>
          <cell r="F579">
            <v>0</v>
          </cell>
          <cell r="G579" t="str">
            <v>六、期末现金及现金等价物余额</v>
          </cell>
          <cell r="H579" t="str">
            <v>六、期末现金及现金等价物余额</v>
          </cell>
          <cell r="I579">
            <v>7399</v>
          </cell>
          <cell r="J579">
            <v>0</v>
          </cell>
        </row>
        <row r="580">
          <cell r="B580">
            <v>7500</v>
          </cell>
          <cell r="C580" t="str">
            <v>现金流量表补充资料</v>
          </cell>
          <cell r="D580">
            <v>0</v>
          </cell>
          <cell r="E580" t="str">
            <v>：</v>
          </cell>
          <cell r="F580">
            <v>0</v>
          </cell>
          <cell r="G580" t="str">
            <v>现金流量表补充资料</v>
          </cell>
          <cell r="H580">
            <v>0</v>
          </cell>
          <cell r="I580">
            <v>7500</v>
          </cell>
          <cell r="J580">
            <v>0</v>
          </cell>
        </row>
        <row r="581">
          <cell r="B581">
            <v>7501</v>
          </cell>
          <cell r="C581" t="str">
            <v>将净利润调节为经营活动现金流量</v>
          </cell>
          <cell r="D581">
            <v>0</v>
          </cell>
          <cell r="E581" t="str">
            <v>：</v>
          </cell>
          <cell r="F581">
            <v>0</v>
          </cell>
          <cell r="G581" t="str">
            <v>1.将净利润调节为经营活动现金流量：</v>
          </cell>
          <cell r="H581">
            <v>0</v>
          </cell>
          <cell r="I581">
            <v>7501</v>
          </cell>
          <cell r="J581">
            <v>0</v>
          </cell>
        </row>
        <row r="582">
          <cell r="B582">
            <v>7502</v>
          </cell>
          <cell r="C582" t="str">
            <v>净利润金额</v>
          </cell>
          <cell r="D582">
            <v>1</v>
          </cell>
          <cell r="E582">
            <v>0</v>
          </cell>
          <cell r="F582">
            <v>0</v>
          </cell>
          <cell r="G582" t="str">
            <v>净利润</v>
          </cell>
          <cell r="H582">
            <v>0</v>
          </cell>
          <cell r="I582">
            <v>7502</v>
          </cell>
          <cell r="J582">
            <v>0</v>
          </cell>
        </row>
        <row r="583">
          <cell r="B583">
            <v>7503</v>
          </cell>
          <cell r="C583" t="str">
            <v>资产减值准备金额</v>
          </cell>
          <cell r="D583">
            <v>1</v>
          </cell>
          <cell r="E583">
            <v>0</v>
          </cell>
          <cell r="F583">
            <v>0</v>
          </cell>
          <cell r="G583" t="str">
            <v>加：资产减值准备</v>
          </cell>
          <cell r="H583">
            <v>0</v>
          </cell>
          <cell r="I583">
            <v>7503</v>
          </cell>
          <cell r="J583">
            <v>0</v>
          </cell>
        </row>
        <row r="584">
          <cell r="B584">
            <v>7505</v>
          </cell>
          <cell r="C584" t="str">
            <v>固定资产折旧、油气资产折耗、生产性生物资产折旧</v>
          </cell>
          <cell r="D584">
            <v>1</v>
          </cell>
          <cell r="E584">
            <v>0</v>
          </cell>
          <cell r="F584">
            <v>0</v>
          </cell>
          <cell r="G584" t="str">
            <v>固定资产折旧、油气资产折耗、生产性生物资产折旧</v>
          </cell>
          <cell r="H584">
            <v>0</v>
          </cell>
          <cell r="I584">
            <v>7505</v>
          </cell>
          <cell r="J584">
            <v>0</v>
          </cell>
        </row>
        <row r="585">
          <cell r="B585">
            <v>7506</v>
          </cell>
          <cell r="C585" t="str">
            <v>无形资产摊销</v>
          </cell>
          <cell r="D585">
            <v>1</v>
          </cell>
          <cell r="E585">
            <v>0</v>
          </cell>
          <cell r="F585">
            <v>0</v>
          </cell>
          <cell r="G585" t="str">
            <v>无形资产摊销</v>
          </cell>
          <cell r="H585">
            <v>0</v>
          </cell>
          <cell r="I585">
            <v>7506</v>
          </cell>
          <cell r="J585">
            <v>0</v>
          </cell>
        </row>
        <row r="586">
          <cell r="B586">
            <v>7507</v>
          </cell>
          <cell r="C586" t="str">
            <v>长期待摊费用摊销</v>
          </cell>
          <cell r="D586">
            <v>1</v>
          </cell>
          <cell r="E586">
            <v>0</v>
          </cell>
          <cell r="F586">
            <v>0</v>
          </cell>
          <cell r="G586" t="str">
            <v>长期待摊费用摊销</v>
          </cell>
          <cell r="H586">
            <v>0</v>
          </cell>
          <cell r="I586">
            <v>7507</v>
          </cell>
          <cell r="J586">
            <v>0</v>
          </cell>
        </row>
        <row r="587">
          <cell r="B587">
            <v>7508</v>
          </cell>
          <cell r="C587" t="str">
            <v>处置固定资产、无形资产和其他长期资产的损失</v>
          </cell>
          <cell r="D587">
            <v>1</v>
          </cell>
          <cell r="E587">
            <v>0</v>
          </cell>
          <cell r="F587">
            <v>0</v>
          </cell>
          <cell r="G587" t="str">
            <v>处置固定资产、无形资产和其他长期资产的损失（收益以“－”号填列）</v>
          </cell>
          <cell r="H587">
            <v>0</v>
          </cell>
          <cell r="I587">
            <v>7508</v>
          </cell>
          <cell r="J587">
            <v>0</v>
          </cell>
        </row>
        <row r="588">
          <cell r="B588">
            <v>7509</v>
          </cell>
          <cell r="C588" t="str">
            <v>固定资产报废损失</v>
          </cell>
          <cell r="D588">
            <v>1</v>
          </cell>
          <cell r="E588">
            <v>0</v>
          </cell>
          <cell r="F588">
            <v>0</v>
          </cell>
          <cell r="G588" t="str">
            <v>固定资产报废损失（收益以“－”号填列）</v>
          </cell>
          <cell r="H588">
            <v>0</v>
          </cell>
          <cell r="I588">
            <v>7509</v>
          </cell>
          <cell r="J588">
            <v>0</v>
          </cell>
        </row>
        <row r="589">
          <cell r="B589">
            <v>7510</v>
          </cell>
          <cell r="C589" t="str">
            <v>公允价值变动损失</v>
          </cell>
          <cell r="D589">
            <v>1</v>
          </cell>
          <cell r="E589">
            <v>0</v>
          </cell>
          <cell r="F589">
            <v>0</v>
          </cell>
          <cell r="G589" t="str">
            <v>公允价值变动损失（收益以“－”号填列）</v>
          </cell>
          <cell r="H589">
            <v>0</v>
          </cell>
          <cell r="I589">
            <v>7510</v>
          </cell>
          <cell r="J589">
            <v>0</v>
          </cell>
        </row>
        <row r="590">
          <cell r="B590">
            <v>7511</v>
          </cell>
          <cell r="C590" t="str">
            <v>财务费用金额</v>
          </cell>
          <cell r="D590">
            <v>1</v>
          </cell>
          <cell r="E590">
            <v>0</v>
          </cell>
          <cell r="F590">
            <v>0</v>
          </cell>
          <cell r="G590" t="str">
            <v>财务费用（收益以“－”号填列）</v>
          </cell>
          <cell r="H590">
            <v>0</v>
          </cell>
          <cell r="I590">
            <v>7511</v>
          </cell>
          <cell r="J590">
            <v>0</v>
          </cell>
        </row>
        <row r="591">
          <cell r="B591">
            <v>7512</v>
          </cell>
          <cell r="C591" t="str">
            <v>投资损失</v>
          </cell>
          <cell r="D591">
            <v>1</v>
          </cell>
          <cell r="E591">
            <v>0</v>
          </cell>
          <cell r="F591">
            <v>0</v>
          </cell>
          <cell r="G591" t="str">
            <v>投资损失（收益以“－”号填列）</v>
          </cell>
          <cell r="H591">
            <v>0</v>
          </cell>
          <cell r="I591">
            <v>7512</v>
          </cell>
          <cell r="J591">
            <v>0</v>
          </cell>
        </row>
        <row r="592">
          <cell r="B592">
            <v>7515</v>
          </cell>
          <cell r="C592" t="str">
            <v>递延所得税资产减少</v>
          </cell>
          <cell r="D592">
            <v>1</v>
          </cell>
          <cell r="E592">
            <v>0</v>
          </cell>
          <cell r="F592">
            <v>0</v>
          </cell>
          <cell r="G592" t="str">
            <v>递延所得税资产减少（增加以“－”号填列）</v>
          </cell>
          <cell r="H592">
            <v>0</v>
          </cell>
          <cell r="I592">
            <v>7515</v>
          </cell>
          <cell r="J592">
            <v>0</v>
          </cell>
        </row>
        <row r="593">
          <cell r="B593">
            <v>7516</v>
          </cell>
          <cell r="C593" t="str">
            <v>递延所得税负债增加</v>
          </cell>
          <cell r="D593">
            <v>1</v>
          </cell>
          <cell r="E593">
            <v>0</v>
          </cell>
          <cell r="F593">
            <v>0</v>
          </cell>
          <cell r="G593" t="str">
            <v>递延所得税负债增加（减少以“－”号填列）</v>
          </cell>
          <cell r="H593">
            <v>0</v>
          </cell>
          <cell r="I593">
            <v>7516</v>
          </cell>
          <cell r="J593">
            <v>0</v>
          </cell>
        </row>
        <row r="594">
          <cell r="B594">
            <v>7517</v>
          </cell>
          <cell r="C594" t="str">
            <v>存货的减少</v>
          </cell>
          <cell r="D594">
            <v>1</v>
          </cell>
          <cell r="E594">
            <v>0</v>
          </cell>
          <cell r="F594">
            <v>0</v>
          </cell>
          <cell r="G594" t="str">
            <v>存货的减少（增加以“－”号填列）</v>
          </cell>
          <cell r="H594">
            <v>0</v>
          </cell>
          <cell r="I594">
            <v>7517</v>
          </cell>
          <cell r="J594">
            <v>0</v>
          </cell>
        </row>
        <row r="595">
          <cell r="B595">
            <v>7518</v>
          </cell>
          <cell r="C595" t="str">
            <v>经营性应收项目的减少</v>
          </cell>
          <cell r="D595">
            <v>1</v>
          </cell>
          <cell r="E595">
            <v>0</v>
          </cell>
          <cell r="F595">
            <v>0</v>
          </cell>
          <cell r="G595" t="str">
            <v>经营性应收项目的减少（增加以“－”号填列）</v>
          </cell>
          <cell r="H595">
            <v>0</v>
          </cell>
          <cell r="I595">
            <v>7518</v>
          </cell>
          <cell r="J595">
            <v>0</v>
          </cell>
        </row>
        <row r="596">
          <cell r="B596">
            <v>7519</v>
          </cell>
          <cell r="C596" t="str">
            <v>经营性应付项目的增加</v>
          </cell>
          <cell r="D596">
            <v>1</v>
          </cell>
          <cell r="E596">
            <v>0</v>
          </cell>
          <cell r="F596">
            <v>0</v>
          </cell>
          <cell r="G596" t="str">
            <v>经营性应付项目的增加（减少以“－”号填列）</v>
          </cell>
          <cell r="H596">
            <v>0</v>
          </cell>
          <cell r="I596">
            <v>7519</v>
          </cell>
          <cell r="J596">
            <v>0</v>
          </cell>
        </row>
        <row r="597">
          <cell r="B597">
            <v>7523</v>
          </cell>
          <cell r="C597" t="str">
            <v>其他将净利润调节为经营活动现金流量项目</v>
          </cell>
          <cell r="D597">
            <v>1</v>
          </cell>
          <cell r="E597">
            <v>0</v>
          </cell>
          <cell r="F597">
            <v>0</v>
          </cell>
          <cell r="G597" t="str">
            <v>其他</v>
          </cell>
          <cell r="H597">
            <v>0</v>
          </cell>
          <cell r="I597">
            <v>7523</v>
          </cell>
          <cell r="J597">
            <v>0</v>
          </cell>
        </row>
        <row r="598">
          <cell r="B598">
            <v>7525</v>
          </cell>
          <cell r="C598" t="str">
            <v>经营活动产生的现金流量净额</v>
          </cell>
          <cell r="D598">
            <v>0</v>
          </cell>
          <cell r="E598" t="str">
            <v>＝</v>
          </cell>
          <cell r="F598">
            <v>0</v>
          </cell>
          <cell r="G598" t="str">
            <v>经营活动产生的现金流量净额</v>
          </cell>
          <cell r="H598">
            <v>0</v>
          </cell>
          <cell r="I598">
            <v>7525</v>
          </cell>
          <cell r="J598">
            <v>0</v>
          </cell>
        </row>
        <row r="599">
          <cell r="B599">
            <v>7526</v>
          </cell>
          <cell r="C599" t="str">
            <v>不涉及现金收支的重大投资和筹资活动</v>
          </cell>
          <cell r="D599">
            <v>0</v>
          </cell>
          <cell r="E599" t="str">
            <v>：</v>
          </cell>
          <cell r="F599">
            <v>0</v>
          </cell>
          <cell r="G599" t="str">
            <v>2.不涉及现金收支的重大投资和筹资活动：</v>
          </cell>
          <cell r="H599">
            <v>0</v>
          </cell>
          <cell r="I599">
            <v>7526</v>
          </cell>
          <cell r="J599">
            <v>0</v>
          </cell>
        </row>
        <row r="600">
          <cell r="B600">
            <v>7527</v>
          </cell>
          <cell r="C600" t="str">
            <v>债务转为资本</v>
          </cell>
          <cell r="D600">
            <v>0</v>
          </cell>
          <cell r="E600">
            <v>0</v>
          </cell>
          <cell r="F600">
            <v>0</v>
          </cell>
          <cell r="G600" t="str">
            <v>债务转为资本</v>
          </cell>
          <cell r="H600">
            <v>0</v>
          </cell>
          <cell r="I600">
            <v>7527</v>
          </cell>
          <cell r="J600">
            <v>0</v>
          </cell>
        </row>
        <row r="601">
          <cell r="B601">
            <v>7528</v>
          </cell>
          <cell r="C601" t="str">
            <v>一年内到期的可转换公司债券</v>
          </cell>
          <cell r="D601">
            <v>0</v>
          </cell>
          <cell r="E601">
            <v>0</v>
          </cell>
          <cell r="F601">
            <v>0</v>
          </cell>
          <cell r="G601" t="str">
            <v>一年内到期的可转换公司债券</v>
          </cell>
          <cell r="H601">
            <v>0</v>
          </cell>
          <cell r="I601">
            <v>7528</v>
          </cell>
          <cell r="J601">
            <v>0</v>
          </cell>
        </row>
        <row r="602">
          <cell r="B602">
            <v>7529</v>
          </cell>
          <cell r="C602" t="str">
            <v>融资租入固定资产</v>
          </cell>
          <cell r="D602">
            <v>0</v>
          </cell>
          <cell r="E602">
            <v>0</v>
          </cell>
          <cell r="F602">
            <v>0</v>
          </cell>
          <cell r="G602" t="str">
            <v>融资租入固定资产</v>
          </cell>
          <cell r="H602">
            <v>0</v>
          </cell>
          <cell r="I602">
            <v>7529</v>
          </cell>
          <cell r="J602">
            <v>0</v>
          </cell>
        </row>
        <row r="603">
          <cell r="B603">
            <v>7533</v>
          </cell>
          <cell r="C603" t="str">
            <v>现金及现金等价物净变动情况</v>
          </cell>
          <cell r="D603">
            <v>0</v>
          </cell>
          <cell r="E603" t="str">
            <v>：</v>
          </cell>
          <cell r="F603">
            <v>0</v>
          </cell>
          <cell r="G603" t="str">
            <v>3.现金及现金等价物净变动情况：</v>
          </cell>
          <cell r="H603">
            <v>0</v>
          </cell>
          <cell r="I603">
            <v>7533</v>
          </cell>
          <cell r="J603">
            <v>0</v>
          </cell>
        </row>
        <row r="604">
          <cell r="B604">
            <v>7535</v>
          </cell>
          <cell r="C604" t="str">
            <v>现金的期末余额</v>
          </cell>
          <cell r="D604">
            <v>1</v>
          </cell>
          <cell r="E604">
            <v>0</v>
          </cell>
          <cell r="F604">
            <v>0</v>
          </cell>
          <cell r="G604" t="str">
            <v>现金的期末余额</v>
          </cell>
          <cell r="H604">
            <v>0</v>
          </cell>
          <cell r="I604">
            <v>7535</v>
          </cell>
          <cell r="J604">
            <v>0</v>
          </cell>
        </row>
        <row r="605">
          <cell r="B605">
            <v>7536</v>
          </cell>
          <cell r="C605" t="str">
            <v>减：现金的年初余额</v>
          </cell>
          <cell r="D605">
            <v>1</v>
          </cell>
          <cell r="E605">
            <v>0</v>
          </cell>
          <cell r="F605">
            <v>0</v>
          </cell>
          <cell r="G605" t="str">
            <v>减：现金的年初余额</v>
          </cell>
          <cell r="H605">
            <v>0</v>
          </cell>
          <cell r="I605">
            <v>7536</v>
          </cell>
          <cell r="J605">
            <v>0</v>
          </cell>
        </row>
        <row r="606">
          <cell r="B606">
            <v>7537</v>
          </cell>
          <cell r="C606" t="str">
            <v>加：现金等价物的期末余额</v>
          </cell>
          <cell r="D606">
            <v>1</v>
          </cell>
          <cell r="E606">
            <v>0</v>
          </cell>
          <cell r="F606">
            <v>0</v>
          </cell>
          <cell r="G606" t="str">
            <v>加：现金等价物的期末余额</v>
          </cell>
          <cell r="H606">
            <v>0</v>
          </cell>
          <cell r="I606">
            <v>7537</v>
          </cell>
          <cell r="J606">
            <v>0</v>
          </cell>
        </row>
        <row r="607">
          <cell r="B607">
            <v>7538</v>
          </cell>
          <cell r="C607" t="str">
            <v>减：现金等价物的年初余额</v>
          </cell>
          <cell r="D607">
            <v>1</v>
          </cell>
          <cell r="E607">
            <v>0</v>
          </cell>
          <cell r="F607">
            <v>0</v>
          </cell>
          <cell r="G607" t="str">
            <v>减：现金等价物的年初余额</v>
          </cell>
          <cell r="H607">
            <v>0</v>
          </cell>
          <cell r="I607">
            <v>7538</v>
          </cell>
          <cell r="J607">
            <v>0</v>
          </cell>
        </row>
        <row r="608">
          <cell r="B608">
            <v>7539</v>
          </cell>
          <cell r="C608" t="str">
            <v>现金及现金等价物净增加额</v>
          </cell>
          <cell r="D608">
            <v>1</v>
          </cell>
          <cell r="E608" t="str">
            <v>＝</v>
          </cell>
          <cell r="F608">
            <v>0</v>
          </cell>
          <cell r="G608" t="str">
            <v>现金及现金等价物净增加额</v>
          </cell>
          <cell r="H608">
            <v>0</v>
          </cell>
          <cell r="I608">
            <v>7539</v>
          </cell>
          <cell r="J608">
            <v>0</v>
          </cell>
        </row>
        <row r="609">
          <cell r="B609">
            <v>19</v>
          </cell>
          <cell r="C609" t="str">
            <v>资产负债表补充资料：资产减值准备</v>
          </cell>
          <cell r="D609">
            <v>0</v>
          </cell>
          <cell r="E609" t="str">
            <v>：</v>
          </cell>
          <cell r="F609">
            <v>0</v>
          </cell>
          <cell r="G609">
            <v>0</v>
          </cell>
          <cell r="H609">
            <v>0</v>
          </cell>
          <cell r="I609">
            <v>19</v>
          </cell>
          <cell r="J609">
            <v>0</v>
          </cell>
        </row>
        <row r="610">
          <cell r="B610">
            <v>1122.1231</v>
          </cell>
          <cell r="C610" t="str">
            <v>应收账款坏账准备</v>
          </cell>
          <cell r="D610">
            <v>-1</v>
          </cell>
          <cell r="E610">
            <v>0</v>
          </cell>
          <cell r="F610">
            <v>0</v>
          </cell>
          <cell r="G610" t="str">
            <v>应收账款坏账准备</v>
          </cell>
          <cell r="H610">
            <v>0</v>
          </cell>
          <cell r="I610">
            <v>1122.1231</v>
          </cell>
          <cell r="J610" t="str">
            <v>J</v>
          </cell>
        </row>
        <row r="611">
          <cell r="B611">
            <v>1125.1231</v>
          </cell>
          <cell r="C611" t="str">
            <v>预付款项坏账准备</v>
          </cell>
          <cell r="D611">
            <v>-1</v>
          </cell>
          <cell r="E611">
            <v>0</v>
          </cell>
          <cell r="F611">
            <v>0</v>
          </cell>
          <cell r="G611" t="str">
            <v>预付款项坏账准备</v>
          </cell>
          <cell r="H611">
            <v>0</v>
          </cell>
          <cell r="I611">
            <v>1125.1231</v>
          </cell>
          <cell r="J611" t="str">
            <v>J</v>
          </cell>
        </row>
        <row r="612">
          <cell r="B612">
            <v>1221.1231</v>
          </cell>
          <cell r="C612" t="str">
            <v>其他应收款坏账准备</v>
          </cell>
          <cell r="D612">
            <v>-1</v>
          </cell>
          <cell r="E612">
            <v>0</v>
          </cell>
          <cell r="F612">
            <v>0</v>
          </cell>
          <cell r="G612" t="str">
            <v>其他应收款坏账准备</v>
          </cell>
          <cell r="H612">
            <v>0</v>
          </cell>
          <cell r="I612">
            <v>1221.1231</v>
          </cell>
          <cell r="J612" t="str">
            <v>J</v>
          </cell>
        </row>
        <row r="613">
          <cell r="B613">
            <v>1400.1470999999999</v>
          </cell>
          <cell r="C613" t="str">
            <v>存货跌价准备</v>
          </cell>
          <cell r="D613">
            <v>-1</v>
          </cell>
          <cell r="E613">
            <v>0</v>
          </cell>
          <cell r="F613">
            <v>0</v>
          </cell>
          <cell r="G613" t="str">
            <v>存货跌价准备</v>
          </cell>
          <cell r="H613">
            <v>0</v>
          </cell>
          <cell r="I613">
            <v>1400.1470999999999</v>
          </cell>
          <cell r="J613" t="str">
            <v>J</v>
          </cell>
        </row>
        <row r="614">
          <cell r="B614">
            <v>1503.1504</v>
          </cell>
          <cell r="C614" t="str">
            <v>可供出售金融资产减值准备</v>
          </cell>
          <cell r="D614">
            <v>-1</v>
          </cell>
          <cell r="E614">
            <v>0</v>
          </cell>
          <cell r="F614">
            <v>0</v>
          </cell>
          <cell r="G614" t="str">
            <v>可供出售金融资产减值准备</v>
          </cell>
          <cell r="H614">
            <v>0</v>
          </cell>
          <cell r="I614">
            <v>1503.1504</v>
          </cell>
          <cell r="J614" t="str">
            <v>J</v>
          </cell>
        </row>
        <row r="615">
          <cell r="B615">
            <v>1501.1502</v>
          </cell>
          <cell r="C615" t="str">
            <v>持有至到期投资减值准备</v>
          </cell>
          <cell r="D615">
            <v>-1</v>
          </cell>
          <cell r="E615">
            <v>0</v>
          </cell>
          <cell r="F615">
            <v>0</v>
          </cell>
          <cell r="G615" t="str">
            <v>持有至到期投资减值准备</v>
          </cell>
          <cell r="H615">
            <v>0</v>
          </cell>
          <cell r="I615">
            <v>1501.1502</v>
          </cell>
          <cell r="J615" t="str">
            <v>J</v>
          </cell>
        </row>
        <row r="616">
          <cell r="B616">
            <v>1511.1512</v>
          </cell>
          <cell r="C616" t="str">
            <v>长期股权投资减值准备</v>
          </cell>
          <cell r="D616">
            <v>-1</v>
          </cell>
          <cell r="E616">
            <v>0</v>
          </cell>
          <cell r="F616">
            <v>0</v>
          </cell>
          <cell r="G616" t="str">
            <v>长期股权投资减值准备</v>
          </cell>
          <cell r="H616">
            <v>0</v>
          </cell>
          <cell r="I616">
            <v>1511.1512</v>
          </cell>
          <cell r="J616" t="str">
            <v>J</v>
          </cell>
        </row>
        <row r="617">
          <cell r="B617">
            <v>1521.1522</v>
          </cell>
          <cell r="C617" t="str">
            <v>投资性房地产减值准备</v>
          </cell>
          <cell r="D617">
            <v>-1</v>
          </cell>
          <cell r="E617">
            <v>0</v>
          </cell>
          <cell r="F617">
            <v>0</v>
          </cell>
          <cell r="G617" t="str">
            <v>投资性房地产减值准备</v>
          </cell>
          <cell r="H617">
            <v>0</v>
          </cell>
          <cell r="I617">
            <v>1521.1522</v>
          </cell>
          <cell r="J617" t="str">
            <v>J</v>
          </cell>
        </row>
        <row r="618">
          <cell r="B618">
            <v>1601.1603</v>
          </cell>
          <cell r="C618" t="str">
            <v>固定资产减值准备</v>
          </cell>
          <cell r="D618">
            <v>-1</v>
          </cell>
          <cell r="E618">
            <v>0</v>
          </cell>
          <cell r="F618">
            <v>0</v>
          </cell>
          <cell r="G618" t="str">
            <v>固定资产减值准备</v>
          </cell>
          <cell r="H618">
            <v>0</v>
          </cell>
          <cell r="I618">
            <v>1601.1603</v>
          </cell>
          <cell r="J618" t="str">
            <v>J</v>
          </cell>
        </row>
        <row r="619">
          <cell r="B619">
            <v>1605.1608000000001</v>
          </cell>
          <cell r="C619" t="str">
            <v>工程物资减值准备</v>
          </cell>
          <cell r="D619">
            <v>-1</v>
          </cell>
          <cell r="E619">
            <v>0</v>
          </cell>
          <cell r="F619">
            <v>0</v>
          </cell>
          <cell r="G619" t="str">
            <v>工程物资减值准备</v>
          </cell>
          <cell r="H619">
            <v>0</v>
          </cell>
          <cell r="I619">
            <v>1605.1608000000001</v>
          </cell>
          <cell r="J619" t="str">
            <v>J</v>
          </cell>
        </row>
        <row r="620">
          <cell r="B620">
            <v>1604.1606999999999</v>
          </cell>
          <cell r="C620" t="str">
            <v>在建工程减值准备</v>
          </cell>
          <cell r="D620">
            <v>-1</v>
          </cell>
          <cell r="E620">
            <v>0</v>
          </cell>
          <cell r="F620">
            <v>0</v>
          </cell>
          <cell r="G620" t="str">
            <v>在建工程减值准备</v>
          </cell>
          <cell r="H620">
            <v>0</v>
          </cell>
          <cell r="I620">
            <v>1604.1606999999999</v>
          </cell>
          <cell r="J620" t="str">
            <v>J</v>
          </cell>
        </row>
        <row r="621">
          <cell r="B621">
            <v>1621.1623999999999</v>
          </cell>
          <cell r="C621" t="str">
            <v>生产性生物资产减值准备</v>
          </cell>
          <cell r="D621">
            <v>-1</v>
          </cell>
          <cell r="E621">
            <v>0</v>
          </cell>
          <cell r="F621">
            <v>0</v>
          </cell>
          <cell r="G621" t="str">
            <v>生产性生物资产减值准备</v>
          </cell>
          <cell r="H621">
            <v>0</v>
          </cell>
          <cell r="I621">
            <v>1621.1623999999999</v>
          </cell>
          <cell r="J621" t="str">
            <v>J</v>
          </cell>
        </row>
        <row r="622">
          <cell r="B622">
            <v>1631.1632999999999</v>
          </cell>
          <cell r="C622" t="str">
            <v>油气资产减值准备</v>
          </cell>
          <cell r="D622">
            <v>-1</v>
          </cell>
          <cell r="E622">
            <v>0</v>
          </cell>
          <cell r="F622">
            <v>0</v>
          </cell>
          <cell r="G622" t="str">
            <v>油气资产减值准备</v>
          </cell>
          <cell r="H622">
            <v>0</v>
          </cell>
          <cell r="I622">
            <v>1631.1632999999999</v>
          </cell>
          <cell r="J622" t="str">
            <v>J</v>
          </cell>
        </row>
        <row r="623">
          <cell r="B623">
            <v>1701.1703</v>
          </cell>
          <cell r="C623" t="str">
            <v>无形资产减值准备</v>
          </cell>
          <cell r="D623">
            <v>-1</v>
          </cell>
          <cell r="E623">
            <v>0</v>
          </cell>
          <cell r="F623">
            <v>0</v>
          </cell>
          <cell r="G623" t="str">
            <v>无形资产减值准备</v>
          </cell>
          <cell r="H623">
            <v>0</v>
          </cell>
          <cell r="I623">
            <v>1701.1703</v>
          </cell>
          <cell r="J623" t="str">
            <v>J</v>
          </cell>
        </row>
        <row r="624">
          <cell r="B624">
            <v>1711.1712</v>
          </cell>
          <cell r="C624" t="str">
            <v>商誉减值准备</v>
          </cell>
          <cell r="D624">
            <v>-1</v>
          </cell>
          <cell r="E624">
            <v>0</v>
          </cell>
          <cell r="F624">
            <v>0</v>
          </cell>
          <cell r="G624" t="str">
            <v>商誉减值准备</v>
          </cell>
          <cell r="H624">
            <v>0</v>
          </cell>
          <cell r="I624">
            <v>1711.1712</v>
          </cell>
          <cell r="J624" t="str">
            <v>J</v>
          </cell>
        </row>
        <row r="625">
          <cell r="B625">
            <v>1991.1992</v>
          </cell>
          <cell r="C625" t="str">
            <v>其他减值准备</v>
          </cell>
          <cell r="D625">
            <v>-1</v>
          </cell>
          <cell r="E625">
            <v>0</v>
          </cell>
          <cell r="F625">
            <v>0</v>
          </cell>
          <cell r="G625" t="str">
            <v>其他</v>
          </cell>
          <cell r="H625">
            <v>0</v>
          </cell>
          <cell r="I625">
            <v>1991.1992</v>
          </cell>
          <cell r="J625">
            <v>0</v>
          </cell>
        </row>
        <row r="626">
          <cell r="B626">
            <v>1015.1001</v>
          </cell>
          <cell r="C626" t="str">
            <v>库存现金</v>
          </cell>
          <cell r="D626">
            <v>1</v>
          </cell>
          <cell r="E626">
            <v>0</v>
          </cell>
          <cell r="F626">
            <v>0</v>
          </cell>
          <cell r="G626">
            <v>0</v>
          </cell>
          <cell r="H626">
            <v>0</v>
          </cell>
          <cell r="I626">
            <v>1015.1001</v>
          </cell>
          <cell r="J626" t="str">
            <v>J</v>
          </cell>
        </row>
        <row r="627">
          <cell r="B627">
            <v>1015.1002</v>
          </cell>
          <cell r="C627" t="str">
            <v>银行存款</v>
          </cell>
          <cell r="D627">
            <v>1</v>
          </cell>
          <cell r="E627">
            <v>0</v>
          </cell>
          <cell r="F627">
            <v>0</v>
          </cell>
          <cell r="G627">
            <v>0</v>
          </cell>
          <cell r="H627">
            <v>0</v>
          </cell>
          <cell r="I627">
            <v>1015.1002</v>
          </cell>
          <cell r="J627" t="str">
            <v>J</v>
          </cell>
        </row>
        <row r="628">
          <cell r="B628">
            <v>1015.1011999999999</v>
          </cell>
          <cell r="C628" t="str">
            <v>其他货币资金</v>
          </cell>
          <cell r="D628">
            <v>1</v>
          </cell>
          <cell r="E628">
            <v>0</v>
          </cell>
          <cell r="F628">
            <v>0</v>
          </cell>
          <cell r="G628">
            <v>0</v>
          </cell>
          <cell r="H628">
            <v>0</v>
          </cell>
          <cell r="I628">
            <v>1015.1011999999999</v>
          </cell>
          <cell r="J628" t="str">
            <v>J</v>
          </cell>
        </row>
        <row r="629">
          <cell r="B629">
            <v>1400.1401000000001</v>
          </cell>
          <cell r="C629" t="str">
            <v>材料采购</v>
          </cell>
          <cell r="D629">
            <v>1</v>
          </cell>
          <cell r="E629">
            <v>0</v>
          </cell>
          <cell r="F629">
            <v>0</v>
          </cell>
          <cell r="G629">
            <v>0</v>
          </cell>
          <cell r="H629">
            <v>0</v>
          </cell>
          <cell r="I629">
            <v>1400.1401000000001</v>
          </cell>
          <cell r="J629" t="str">
            <v>J</v>
          </cell>
        </row>
        <row r="630">
          <cell r="B630">
            <v>1400.1402</v>
          </cell>
          <cell r="C630" t="str">
            <v>在途物资</v>
          </cell>
          <cell r="D630">
            <v>1</v>
          </cell>
          <cell r="E630">
            <v>0</v>
          </cell>
          <cell r="F630">
            <v>0</v>
          </cell>
          <cell r="G630">
            <v>0</v>
          </cell>
          <cell r="H630">
            <v>0</v>
          </cell>
          <cell r="I630">
            <v>1400.1402</v>
          </cell>
          <cell r="J630" t="str">
            <v>J</v>
          </cell>
        </row>
        <row r="631">
          <cell r="B631">
            <v>1400.1403</v>
          </cell>
          <cell r="C631" t="str">
            <v>原材料</v>
          </cell>
          <cell r="D631">
            <v>1</v>
          </cell>
          <cell r="E631">
            <v>0</v>
          </cell>
          <cell r="F631">
            <v>0</v>
          </cell>
          <cell r="G631">
            <v>0</v>
          </cell>
          <cell r="H631">
            <v>0</v>
          </cell>
          <cell r="I631">
            <v>1400.1403</v>
          </cell>
          <cell r="J631" t="str">
            <v>J</v>
          </cell>
        </row>
        <row r="632">
          <cell r="B632">
            <v>1400.1404</v>
          </cell>
          <cell r="C632" t="str">
            <v>材料成本差异</v>
          </cell>
          <cell r="D632">
            <v>-1</v>
          </cell>
          <cell r="E632">
            <v>0</v>
          </cell>
          <cell r="F632">
            <v>0</v>
          </cell>
          <cell r="G632">
            <v>0</v>
          </cell>
          <cell r="H632">
            <v>0</v>
          </cell>
          <cell r="I632">
            <v>1400.1404</v>
          </cell>
          <cell r="J632" t="str">
            <v>J</v>
          </cell>
        </row>
        <row r="633">
          <cell r="B633">
            <v>1400.1405</v>
          </cell>
          <cell r="C633" t="str">
            <v>库存商品</v>
          </cell>
          <cell r="D633">
            <v>1</v>
          </cell>
          <cell r="E633">
            <v>0</v>
          </cell>
          <cell r="F633">
            <v>0</v>
          </cell>
          <cell r="G633">
            <v>0</v>
          </cell>
          <cell r="H633">
            <v>0</v>
          </cell>
          <cell r="I633">
            <v>1400.1405</v>
          </cell>
          <cell r="J633" t="str">
            <v>J</v>
          </cell>
        </row>
        <row r="634">
          <cell r="B634">
            <v>1400.1405999999999</v>
          </cell>
          <cell r="C634" t="str">
            <v>发出商品</v>
          </cell>
          <cell r="D634">
            <v>1</v>
          </cell>
          <cell r="E634">
            <v>0</v>
          </cell>
          <cell r="F634">
            <v>0</v>
          </cell>
          <cell r="G634">
            <v>0</v>
          </cell>
          <cell r="H634">
            <v>0</v>
          </cell>
          <cell r="I634">
            <v>1400.1405999999999</v>
          </cell>
          <cell r="J634" t="str">
            <v>J</v>
          </cell>
        </row>
        <row r="635">
          <cell r="B635">
            <v>1400.1406999999999</v>
          </cell>
          <cell r="C635" t="str">
            <v>商品进销差价</v>
          </cell>
          <cell r="D635">
            <v>-1</v>
          </cell>
          <cell r="E635">
            <v>0</v>
          </cell>
          <cell r="F635">
            <v>0</v>
          </cell>
          <cell r="G635">
            <v>0</v>
          </cell>
          <cell r="H635">
            <v>0</v>
          </cell>
          <cell r="I635">
            <v>1400.1406999999999</v>
          </cell>
          <cell r="J635" t="str">
            <v>J</v>
          </cell>
        </row>
        <row r="636">
          <cell r="B636">
            <v>1400.1407999999999</v>
          </cell>
          <cell r="C636" t="str">
            <v>委托加工物资</v>
          </cell>
          <cell r="D636">
            <v>1</v>
          </cell>
          <cell r="E636">
            <v>0</v>
          </cell>
          <cell r="F636">
            <v>0</v>
          </cell>
          <cell r="G636">
            <v>0</v>
          </cell>
          <cell r="H636">
            <v>0</v>
          </cell>
          <cell r="I636">
            <v>1400.1407999999999</v>
          </cell>
          <cell r="J636" t="str">
            <v>J</v>
          </cell>
        </row>
        <row r="637">
          <cell r="B637">
            <v>1400.1411000000001</v>
          </cell>
          <cell r="C637" t="str">
            <v>周转材料</v>
          </cell>
          <cell r="D637">
            <v>1</v>
          </cell>
          <cell r="E637">
            <v>0</v>
          </cell>
          <cell r="F637">
            <v>0</v>
          </cell>
          <cell r="G637">
            <v>0</v>
          </cell>
          <cell r="H637">
            <v>0</v>
          </cell>
          <cell r="I637">
            <v>1400.1411000000001</v>
          </cell>
          <cell r="J637" t="str">
            <v>J</v>
          </cell>
        </row>
        <row r="638">
          <cell r="B638">
            <v>1400.5001</v>
          </cell>
          <cell r="C638" t="str">
            <v>生产成本</v>
          </cell>
          <cell r="D638">
            <v>1</v>
          </cell>
          <cell r="E638">
            <v>0</v>
          </cell>
          <cell r="F638">
            <v>0</v>
          </cell>
          <cell r="G638">
            <v>0</v>
          </cell>
          <cell r="H638">
            <v>0</v>
          </cell>
          <cell r="I638">
            <v>1400.5001</v>
          </cell>
          <cell r="J638" t="str">
            <v>J</v>
          </cell>
        </row>
        <row r="639">
          <cell r="B639">
            <v>1400.5101</v>
          </cell>
          <cell r="C639" t="str">
            <v>制造费用</v>
          </cell>
          <cell r="D639">
            <v>1</v>
          </cell>
          <cell r="E639">
            <v>0</v>
          </cell>
          <cell r="F639">
            <v>0</v>
          </cell>
          <cell r="G639">
            <v>0</v>
          </cell>
          <cell r="H639">
            <v>0</v>
          </cell>
          <cell r="I639">
            <v>1400.5101</v>
          </cell>
          <cell r="J639" t="str">
            <v>J</v>
          </cell>
        </row>
        <row r="640">
          <cell r="B640">
            <v>1400.5400999999999</v>
          </cell>
          <cell r="C640" t="str">
            <v>工程施工</v>
          </cell>
          <cell r="D640">
            <v>1</v>
          </cell>
          <cell r="E640">
            <v>0</v>
          </cell>
          <cell r="F640">
            <v>0</v>
          </cell>
          <cell r="G640">
            <v>0</v>
          </cell>
          <cell r="H640">
            <v>0</v>
          </cell>
          <cell r="I640">
            <v>1400.5400999999999</v>
          </cell>
          <cell r="J640" t="str">
            <v>J</v>
          </cell>
        </row>
        <row r="641">
          <cell r="B641">
            <v>1400.1421</v>
          </cell>
          <cell r="C641" t="str">
            <v>消耗性生物资产</v>
          </cell>
          <cell r="D641">
            <v>1</v>
          </cell>
          <cell r="E641">
            <v>0</v>
          </cell>
          <cell r="F641">
            <v>0</v>
          </cell>
          <cell r="G641">
            <v>0</v>
          </cell>
          <cell r="H641">
            <v>0</v>
          </cell>
          <cell r="I641">
            <v>1400.1421</v>
          </cell>
          <cell r="J641" t="str">
            <v>J</v>
          </cell>
        </row>
        <row r="642">
          <cell r="B642">
            <v>1621.1622</v>
          </cell>
          <cell r="C642" t="str">
            <v>生产性生物资产累计折旧</v>
          </cell>
          <cell r="D642">
            <v>-1</v>
          </cell>
          <cell r="E642">
            <v>0</v>
          </cell>
          <cell r="F642">
            <v>0</v>
          </cell>
          <cell r="G642">
            <v>0</v>
          </cell>
          <cell r="H642">
            <v>0</v>
          </cell>
          <cell r="I642">
            <v>1621.1622</v>
          </cell>
          <cell r="J642" t="str">
            <v>J</v>
          </cell>
        </row>
        <row r="643">
          <cell r="B643">
            <v>1601.1602</v>
          </cell>
          <cell r="C643" t="str">
            <v>累计折旧</v>
          </cell>
          <cell r="D643">
            <v>-1</v>
          </cell>
          <cell r="E643">
            <v>0</v>
          </cell>
          <cell r="F643">
            <v>0</v>
          </cell>
          <cell r="G643">
            <v>0</v>
          </cell>
          <cell r="H643">
            <v>0</v>
          </cell>
          <cell r="I643">
            <v>1601.1602</v>
          </cell>
          <cell r="J643" t="str">
            <v>J</v>
          </cell>
        </row>
        <row r="644">
          <cell r="B644">
            <v>1701.1702</v>
          </cell>
          <cell r="C644" t="str">
            <v>累计摊销</v>
          </cell>
          <cell r="D644">
            <v>-1</v>
          </cell>
          <cell r="E644">
            <v>0</v>
          </cell>
          <cell r="F644">
            <v>0</v>
          </cell>
          <cell r="G644">
            <v>0</v>
          </cell>
          <cell r="H644">
            <v>0</v>
          </cell>
          <cell r="I644">
            <v>1701.1702</v>
          </cell>
          <cell r="J644" t="str">
            <v>J</v>
          </cell>
        </row>
        <row r="645">
          <cell r="B645">
            <v>1996.1623</v>
          </cell>
          <cell r="C645" t="str">
            <v>公益性生物资产</v>
          </cell>
          <cell r="D645">
            <v>1</v>
          </cell>
          <cell r="E645">
            <v>0</v>
          </cell>
          <cell r="F645">
            <v>0</v>
          </cell>
          <cell r="G645">
            <v>0</v>
          </cell>
          <cell r="H645">
            <v>0</v>
          </cell>
          <cell r="I645">
            <v>1996.1623</v>
          </cell>
          <cell r="J645" t="str">
            <v>J</v>
          </cell>
        </row>
        <row r="646">
          <cell r="B646">
            <v>1631.1632</v>
          </cell>
          <cell r="C646" t="str">
            <v>累计折耗</v>
          </cell>
          <cell r="D646">
            <v>-1</v>
          </cell>
          <cell r="E646">
            <v>0</v>
          </cell>
          <cell r="F646">
            <v>0</v>
          </cell>
          <cell r="G646">
            <v>0</v>
          </cell>
          <cell r="H646">
            <v>0</v>
          </cell>
          <cell r="I646">
            <v>1631.1632</v>
          </cell>
          <cell r="J646" t="str">
            <v>J</v>
          </cell>
        </row>
        <row r="647">
          <cell r="B647">
            <v>1535</v>
          </cell>
          <cell r="C647" t="str">
            <v>对合营企业投资和对联营企业投资</v>
          </cell>
          <cell r="D647">
            <v>0</v>
          </cell>
          <cell r="E647">
            <v>0</v>
          </cell>
          <cell r="F647">
            <v>0</v>
          </cell>
          <cell r="G647">
            <v>0</v>
          </cell>
          <cell r="H647">
            <v>0</v>
          </cell>
          <cell r="I647">
            <v>1535</v>
          </cell>
          <cell r="J647">
            <v>0</v>
          </cell>
        </row>
        <row r="648">
          <cell r="B648">
            <v>1705</v>
          </cell>
          <cell r="C648" t="str">
            <v>无形资产与开发支出</v>
          </cell>
          <cell r="D648">
            <v>0</v>
          </cell>
          <cell r="E648">
            <v>0</v>
          </cell>
          <cell r="F648">
            <v>0</v>
          </cell>
          <cell r="G648">
            <v>0</v>
          </cell>
          <cell r="H648">
            <v>0</v>
          </cell>
          <cell r="I648">
            <v>1705</v>
          </cell>
          <cell r="J648">
            <v>0</v>
          </cell>
        </row>
        <row r="649">
          <cell r="B649">
            <v>1829</v>
          </cell>
          <cell r="C649" t="str">
            <v>递延所得税资产与递延所得税负债</v>
          </cell>
          <cell r="D649">
            <v>0</v>
          </cell>
          <cell r="E649">
            <v>0</v>
          </cell>
          <cell r="F649">
            <v>0</v>
          </cell>
          <cell r="G649">
            <v>0</v>
          </cell>
          <cell r="H649">
            <v>0</v>
          </cell>
          <cell r="I649">
            <v>1829</v>
          </cell>
          <cell r="J649">
            <v>0</v>
          </cell>
        </row>
        <row r="650">
          <cell r="B650">
            <v>1991</v>
          </cell>
          <cell r="C650" t="str">
            <v>资产减值准备</v>
          </cell>
          <cell r="D650">
            <v>0</v>
          </cell>
          <cell r="E650">
            <v>0</v>
          </cell>
          <cell r="F650">
            <v>0</v>
          </cell>
          <cell r="G650" t="str">
            <v>资产减值准备小计</v>
          </cell>
          <cell r="H650">
            <v>0</v>
          </cell>
          <cell r="I650">
            <v>1991</v>
          </cell>
          <cell r="J650">
            <v>0</v>
          </cell>
        </row>
        <row r="651">
          <cell r="B651">
            <v>1997</v>
          </cell>
          <cell r="C651" t="str">
            <v xml:space="preserve">所有权或使用权受到限制的资产 </v>
          </cell>
          <cell r="D651">
            <v>0</v>
          </cell>
          <cell r="E651">
            <v>0</v>
          </cell>
          <cell r="F651">
            <v>0</v>
          </cell>
          <cell r="G651">
            <v>0</v>
          </cell>
          <cell r="H651">
            <v>0</v>
          </cell>
          <cell r="I651">
            <v>1997</v>
          </cell>
          <cell r="J651">
            <v>0</v>
          </cell>
        </row>
        <row r="652">
          <cell r="B652">
            <v>1314</v>
          </cell>
          <cell r="C652" t="str">
            <v>持有待售资产和持有待售负债</v>
          </cell>
          <cell r="D652">
            <v>0</v>
          </cell>
          <cell r="E652">
            <v>0</v>
          </cell>
          <cell r="F652">
            <v>0</v>
          </cell>
          <cell r="G652">
            <v>0</v>
          </cell>
          <cell r="H652">
            <v>0</v>
          </cell>
          <cell r="I652">
            <v>1314</v>
          </cell>
          <cell r="J652">
            <v>0</v>
          </cell>
        </row>
        <row r="653">
          <cell r="B653">
            <v>1704</v>
          </cell>
          <cell r="C653" t="str">
            <v>外币货币性项目</v>
          </cell>
          <cell r="D653">
            <v>0</v>
          </cell>
          <cell r="E653">
            <v>0</v>
          </cell>
          <cell r="F653">
            <v>0</v>
          </cell>
          <cell r="G653">
            <v>0</v>
          </cell>
          <cell r="H653">
            <v>0</v>
          </cell>
          <cell r="I653">
            <v>1704</v>
          </cell>
          <cell r="J653">
            <v>0</v>
          </cell>
        </row>
        <row r="654">
          <cell r="B654">
            <v>9314</v>
          </cell>
          <cell r="C654" t="str">
            <v>所有者权益变动表项目注释</v>
          </cell>
          <cell r="D654">
            <v>0</v>
          </cell>
          <cell r="E654">
            <v>0</v>
          </cell>
          <cell r="F654">
            <v>0</v>
          </cell>
          <cell r="G654">
            <v>0</v>
          </cell>
          <cell r="H654">
            <v>0</v>
          </cell>
          <cell r="I654">
            <v>9314</v>
          </cell>
          <cell r="J654">
            <v>0</v>
          </cell>
        </row>
        <row r="655">
          <cell r="B655">
            <v>6064</v>
          </cell>
          <cell r="C655" t="str">
            <v>营业收入、营业成本</v>
          </cell>
          <cell r="D655">
            <v>0</v>
          </cell>
          <cell r="E655">
            <v>0</v>
          </cell>
          <cell r="F655">
            <v>0</v>
          </cell>
          <cell r="G655">
            <v>0</v>
          </cell>
          <cell r="H655">
            <v>0</v>
          </cell>
          <cell r="I655">
            <v>6064</v>
          </cell>
          <cell r="J655">
            <v>0</v>
          </cell>
        </row>
        <row r="656">
          <cell r="B656">
            <v>6095</v>
          </cell>
          <cell r="C656" t="str">
            <v>合同项目收入</v>
          </cell>
          <cell r="D656">
            <v>0</v>
          </cell>
          <cell r="E656">
            <v>0</v>
          </cell>
          <cell r="F656">
            <v>0</v>
          </cell>
          <cell r="G656">
            <v>0</v>
          </cell>
          <cell r="H656">
            <v>0</v>
          </cell>
          <cell r="I656">
            <v>6095</v>
          </cell>
          <cell r="J656">
            <v>0</v>
          </cell>
        </row>
        <row r="657">
          <cell r="B657">
            <v>6820</v>
          </cell>
          <cell r="C657" t="str">
            <v>基本每股收益和稀释每股收益</v>
          </cell>
          <cell r="D657">
            <v>0</v>
          </cell>
          <cell r="E657" t="str">
            <v>：</v>
          </cell>
          <cell r="F657">
            <v>0</v>
          </cell>
          <cell r="G657">
            <v>0</v>
          </cell>
          <cell r="H657">
            <v>0</v>
          </cell>
          <cell r="I657">
            <v>6820</v>
          </cell>
          <cell r="J657">
            <v>0</v>
          </cell>
        </row>
        <row r="658">
          <cell r="B658">
            <v>7400</v>
          </cell>
          <cell r="C658" t="str">
            <v>现金流量表项目注释</v>
          </cell>
          <cell r="D658">
            <v>0</v>
          </cell>
          <cell r="E658">
            <v>0</v>
          </cell>
          <cell r="F658">
            <v>0</v>
          </cell>
          <cell r="G658">
            <v>0</v>
          </cell>
          <cell r="H658">
            <v>0</v>
          </cell>
          <cell r="I658">
            <v>7400</v>
          </cell>
          <cell r="J658">
            <v>0</v>
          </cell>
        </row>
        <row r="659">
          <cell r="B659">
            <v>7500</v>
          </cell>
          <cell r="C659" t="str">
            <v>现金流量表补充资料</v>
          </cell>
          <cell r="D659">
            <v>0</v>
          </cell>
          <cell r="E659" t="str">
            <v>：</v>
          </cell>
          <cell r="F659">
            <v>0</v>
          </cell>
          <cell r="G659">
            <v>0</v>
          </cell>
          <cell r="H659">
            <v>0</v>
          </cell>
          <cell r="I659">
            <v>7500</v>
          </cell>
          <cell r="J659">
            <v>0</v>
          </cell>
        </row>
        <row r="660">
          <cell r="B660">
            <v>9010</v>
          </cell>
          <cell r="C660" t="str">
            <v>分部报告</v>
          </cell>
          <cell r="D660">
            <v>0</v>
          </cell>
          <cell r="E660">
            <v>0</v>
          </cell>
          <cell r="F660">
            <v>0</v>
          </cell>
          <cell r="G660">
            <v>0</v>
          </cell>
          <cell r="H660">
            <v>0</v>
          </cell>
          <cell r="I660">
            <v>9010</v>
          </cell>
          <cell r="J660">
            <v>0</v>
          </cell>
        </row>
        <row r="661">
          <cell r="B661">
            <v>9020</v>
          </cell>
          <cell r="C661" t="str">
            <v>资产证券化业务的会计处理</v>
          </cell>
          <cell r="D661">
            <v>0</v>
          </cell>
          <cell r="E661">
            <v>0</v>
          </cell>
          <cell r="F661">
            <v>0</v>
          </cell>
          <cell r="G661">
            <v>0</v>
          </cell>
          <cell r="H661">
            <v>0</v>
          </cell>
          <cell r="I661">
            <v>9020</v>
          </cell>
          <cell r="J661">
            <v>0</v>
          </cell>
        </row>
        <row r="662">
          <cell r="B662">
            <v>9100</v>
          </cell>
          <cell r="C662" t="str">
            <v>关联方关系及其交易</v>
          </cell>
          <cell r="D662">
            <v>0</v>
          </cell>
          <cell r="E662">
            <v>0</v>
          </cell>
          <cell r="F662">
            <v>0</v>
          </cell>
          <cell r="G662">
            <v>0</v>
          </cell>
          <cell r="H662">
            <v>0</v>
          </cell>
          <cell r="I662">
            <v>9100</v>
          </cell>
          <cell r="J662">
            <v>0</v>
          </cell>
        </row>
        <row r="663">
          <cell r="B663">
            <v>9101</v>
          </cell>
          <cell r="C663" t="str">
            <v>关联方关系</v>
          </cell>
          <cell r="D663">
            <v>0</v>
          </cell>
          <cell r="E663">
            <v>0</v>
          </cell>
          <cell r="F663">
            <v>0</v>
          </cell>
          <cell r="G663">
            <v>0</v>
          </cell>
          <cell r="H663">
            <v>0</v>
          </cell>
          <cell r="I663">
            <v>9101</v>
          </cell>
          <cell r="J663">
            <v>0</v>
          </cell>
        </row>
        <row r="664">
          <cell r="B664">
            <v>9120</v>
          </cell>
          <cell r="C664" t="str">
            <v>关联方交易</v>
          </cell>
          <cell r="D664">
            <v>0</v>
          </cell>
          <cell r="E664">
            <v>0</v>
          </cell>
          <cell r="F664">
            <v>0</v>
          </cell>
          <cell r="G664">
            <v>0</v>
          </cell>
          <cell r="H664">
            <v>0</v>
          </cell>
          <cell r="I664">
            <v>9120</v>
          </cell>
          <cell r="J664">
            <v>0</v>
          </cell>
        </row>
        <row r="665">
          <cell r="B665">
            <v>9130</v>
          </cell>
          <cell r="C665" t="str">
            <v>关联方往来款项余额</v>
          </cell>
          <cell r="D665">
            <v>0</v>
          </cell>
          <cell r="E665">
            <v>0</v>
          </cell>
          <cell r="F665">
            <v>0</v>
          </cell>
          <cell r="G665">
            <v>0</v>
          </cell>
          <cell r="H665">
            <v>0</v>
          </cell>
          <cell r="I665">
            <v>9130</v>
          </cell>
          <cell r="J665">
            <v>0</v>
          </cell>
        </row>
        <row r="666">
          <cell r="B666">
            <v>9210</v>
          </cell>
          <cell r="C666" t="str">
            <v>股份支付</v>
          </cell>
          <cell r="D666">
            <v>0</v>
          </cell>
          <cell r="E666">
            <v>0</v>
          </cell>
          <cell r="F666">
            <v>0</v>
          </cell>
          <cell r="G666">
            <v>0</v>
          </cell>
          <cell r="H666">
            <v>0</v>
          </cell>
          <cell r="I666">
            <v>9210</v>
          </cell>
          <cell r="J666">
            <v>0</v>
          </cell>
        </row>
        <row r="667">
          <cell r="B667">
            <v>9220</v>
          </cell>
          <cell r="C667" t="str">
            <v>或有事项</v>
          </cell>
          <cell r="D667">
            <v>0</v>
          </cell>
          <cell r="E667">
            <v>0</v>
          </cell>
          <cell r="F667">
            <v>0</v>
          </cell>
          <cell r="G667">
            <v>0</v>
          </cell>
          <cell r="H667">
            <v>0</v>
          </cell>
          <cell r="I667">
            <v>9220</v>
          </cell>
          <cell r="J667">
            <v>0</v>
          </cell>
        </row>
        <row r="668">
          <cell r="B668">
            <v>9250</v>
          </cell>
          <cell r="C668" t="str">
            <v>重大承诺事项</v>
          </cell>
          <cell r="D668">
            <v>0</v>
          </cell>
          <cell r="E668">
            <v>0</v>
          </cell>
          <cell r="F668">
            <v>0</v>
          </cell>
          <cell r="G668">
            <v>0</v>
          </cell>
          <cell r="H668">
            <v>0</v>
          </cell>
          <cell r="I668">
            <v>9250</v>
          </cell>
          <cell r="J668">
            <v>0</v>
          </cell>
        </row>
        <row r="669">
          <cell r="B669">
            <v>9260</v>
          </cell>
          <cell r="C669" t="str">
            <v>资产负债表日后事项</v>
          </cell>
          <cell r="D669">
            <v>0</v>
          </cell>
          <cell r="E669">
            <v>0</v>
          </cell>
          <cell r="F669">
            <v>0</v>
          </cell>
          <cell r="G669">
            <v>0</v>
          </cell>
          <cell r="H669">
            <v>0</v>
          </cell>
          <cell r="I669">
            <v>9260</v>
          </cell>
          <cell r="J669">
            <v>0</v>
          </cell>
        </row>
        <row r="670">
          <cell r="B670">
            <v>9300</v>
          </cell>
          <cell r="C670" t="str">
            <v>其他重要事项</v>
          </cell>
          <cell r="D670">
            <v>0</v>
          </cell>
          <cell r="E670">
            <v>0</v>
          </cell>
          <cell r="F670">
            <v>0</v>
          </cell>
          <cell r="G670">
            <v>0</v>
          </cell>
          <cell r="H670">
            <v>0</v>
          </cell>
          <cell r="I670">
            <v>9300</v>
          </cell>
          <cell r="J670">
            <v>0</v>
          </cell>
        </row>
        <row r="671">
          <cell r="B671">
            <v>9301</v>
          </cell>
          <cell r="C671" t="str">
            <v>非货币性资产交换</v>
          </cell>
          <cell r="D671">
            <v>0</v>
          </cell>
          <cell r="E671">
            <v>0</v>
          </cell>
          <cell r="F671">
            <v>0</v>
          </cell>
          <cell r="G671">
            <v>0</v>
          </cell>
          <cell r="H671">
            <v>0</v>
          </cell>
          <cell r="I671">
            <v>9301</v>
          </cell>
          <cell r="J671">
            <v>0</v>
          </cell>
        </row>
        <row r="672">
          <cell r="B672">
            <v>9302</v>
          </cell>
          <cell r="C672" t="str">
            <v>债务重组</v>
          </cell>
          <cell r="D672">
            <v>0</v>
          </cell>
          <cell r="E672">
            <v>0</v>
          </cell>
          <cell r="F672">
            <v>0</v>
          </cell>
          <cell r="G672">
            <v>0</v>
          </cell>
          <cell r="H672">
            <v>0</v>
          </cell>
          <cell r="I672">
            <v>9302</v>
          </cell>
          <cell r="J672">
            <v>0</v>
          </cell>
        </row>
        <row r="673">
          <cell r="B673">
            <v>9303</v>
          </cell>
          <cell r="C673" t="str">
            <v>企业合并</v>
          </cell>
          <cell r="D673">
            <v>0</v>
          </cell>
          <cell r="E673">
            <v>0</v>
          </cell>
          <cell r="F673">
            <v>0</v>
          </cell>
          <cell r="G673">
            <v>0</v>
          </cell>
          <cell r="H673">
            <v>0</v>
          </cell>
          <cell r="I673">
            <v>9303</v>
          </cell>
          <cell r="J673">
            <v>0</v>
          </cell>
        </row>
        <row r="674">
          <cell r="B674">
            <v>9305</v>
          </cell>
          <cell r="C674" t="str">
            <v>其他资产置换、转让及出售</v>
          </cell>
          <cell r="D674">
            <v>0</v>
          </cell>
          <cell r="E674">
            <v>0</v>
          </cell>
          <cell r="F674">
            <v>0</v>
          </cell>
          <cell r="G674">
            <v>0</v>
          </cell>
          <cell r="H674">
            <v>0</v>
          </cell>
          <cell r="I674">
            <v>9305</v>
          </cell>
          <cell r="J674">
            <v>0</v>
          </cell>
        </row>
        <row r="675">
          <cell r="B675">
            <v>9310</v>
          </cell>
          <cell r="C675" t="str">
            <v>租赁</v>
          </cell>
          <cell r="D675">
            <v>0</v>
          </cell>
          <cell r="E675">
            <v>0</v>
          </cell>
          <cell r="F675">
            <v>0</v>
          </cell>
          <cell r="G675">
            <v>0</v>
          </cell>
          <cell r="H675">
            <v>0</v>
          </cell>
          <cell r="I675">
            <v>9310</v>
          </cell>
          <cell r="J675">
            <v>0</v>
          </cell>
        </row>
        <row r="676">
          <cell r="B676">
            <v>9321</v>
          </cell>
          <cell r="C676" t="str">
            <v>期末发行在外的、可转换为股份的金融工具</v>
          </cell>
          <cell r="D676">
            <v>0</v>
          </cell>
          <cell r="E676">
            <v>0</v>
          </cell>
          <cell r="F676">
            <v>0</v>
          </cell>
          <cell r="G676">
            <v>0</v>
          </cell>
          <cell r="H676">
            <v>0</v>
          </cell>
          <cell r="I676">
            <v>9321</v>
          </cell>
          <cell r="J676">
            <v>0</v>
          </cell>
        </row>
        <row r="677">
          <cell r="B677">
            <v>9331</v>
          </cell>
          <cell r="C677" t="str">
            <v>公允价值</v>
          </cell>
          <cell r="D677">
            <v>0</v>
          </cell>
          <cell r="E677">
            <v>0</v>
          </cell>
          <cell r="F677">
            <v>0</v>
          </cell>
          <cell r="G677">
            <v>0</v>
          </cell>
          <cell r="H677">
            <v>0</v>
          </cell>
          <cell r="I677">
            <v>9331</v>
          </cell>
          <cell r="J677">
            <v>0</v>
          </cell>
        </row>
        <row r="678">
          <cell r="B678">
            <v>9336</v>
          </cell>
          <cell r="C678" t="str">
            <v>外币金融资产和外币金融负债</v>
          </cell>
          <cell r="D678">
            <v>0</v>
          </cell>
          <cell r="E678">
            <v>0</v>
          </cell>
          <cell r="F678">
            <v>0</v>
          </cell>
          <cell r="G678">
            <v>0</v>
          </cell>
          <cell r="H678">
            <v>0</v>
          </cell>
          <cell r="I678">
            <v>9336</v>
          </cell>
          <cell r="J678">
            <v>0</v>
          </cell>
        </row>
        <row r="679">
          <cell r="B679">
            <v>9351</v>
          </cell>
          <cell r="C679" t="str">
            <v>年金计划的主要内容及重大变化</v>
          </cell>
          <cell r="D679">
            <v>0</v>
          </cell>
          <cell r="E679">
            <v>0</v>
          </cell>
          <cell r="F679">
            <v>0</v>
          </cell>
          <cell r="G679">
            <v>0</v>
          </cell>
          <cell r="H679">
            <v>0</v>
          </cell>
          <cell r="I679">
            <v>9351</v>
          </cell>
          <cell r="J679">
            <v>0</v>
          </cell>
        </row>
        <row r="680">
          <cell r="B680">
            <v>9361</v>
          </cell>
          <cell r="C680" t="str">
            <v>借款费用</v>
          </cell>
          <cell r="D680">
            <v>0</v>
          </cell>
          <cell r="E680">
            <v>0</v>
          </cell>
          <cell r="F680">
            <v>0</v>
          </cell>
          <cell r="G680">
            <v>0</v>
          </cell>
          <cell r="H680">
            <v>0</v>
          </cell>
          <cell r="I680">
            <v>9361</v>
          </cell>
          <cell r="J680">
            <v>0</v>
          </cell>
        </row>
        <row r="681">
          <cell r="B681">
            <v>9363</v>
          </cell>
          <cell r="C681" t="str">
            <v>外币折算</v>
          </cell>
          <cell r="D681">
            <v>0</v>
          </cell>
          <cell r="E681">
            <v>0</v>
          </cell>
          <cell r="F681">
            <v>0</v>
          </cell>
          <cell r="G681">
            <v>0</v>
          </cell>
          <cell r="H681">
            <v>0</v>
          </cell>
          <cell r="I681">
            <v>9363</v>
          </cell>
          <cell r="J681">
            <v>0</v>
          </cell>
        </row>
        <row r="682">
          <cell r="B682">
            <v>9367</v>
          </cell>
          <cell r="C682" t="str">
            <v>终止经营</v>
          </cell>
          <cell r="D682">
            <v>0</v>
          </cell>
          <cell r="E682">
            <v>0</v>
          </cell>
          <cell r="F682">
            <v>0</v>
          </cell>
          <cell r="G682">
            <v>0</v>
          </cell>
          <cell r="H682">
            <v>0</v>
          </cell>
          <cell r="I682">
            <v>9367</v>
          </cell>
          <cell r="J682">
            <v>0</v>
          </cell>
        </row>
        <row r="683">
          <cell r="B683">
            <v>9390</v>
          </cell>
          <cell r="C683" t="str">
            <v>其他重要事项_其他</v>
          </cell>
          <cell r="D683">
            <v>0</v>
          </cell>
          <cell r="E683">
            <v>0</v>
          </cell>
          <cell r="F683">
            <v>0</v>
          </cell>
          <cell r="G683">
            <v>0</v>
          </cell>
          <cell r="H683">
            <v>0</v>
          </cell>
          <cell r="I683">
            <v>9390</v>
          </cell>
          <cell r="J683">
            <v>0</v>
          </cell>
        </row>
        <row r="684">
          <cell r="B684">
            <v>9509</v>
          </cell>
          <cell r="C684" t="str">
            <v>母公司反向购买下以公允价值入账的资产、负债情况</v>
          </cell>
          <cell r="D684">
            <v>0</v>
          </cell>
          <cell r="E684">
            <v>0</v>
          </cell>
          <cell r="F684">
            <v>0</v>
          </cell>
          <cell r="G684">
            <v>0</v>
          </cell>
          <cell r="H684">
            <v>0</v>
          </cell>
          <cell r="I684">
            <v>9509</v>
          </cell>
          <cell r="J684">
            <v>0</v>
          </cell>
        </row>
        <row r="685">
          <cell r="B685">
            <v>9601</v>
          </cell>
          <cell r="C685" t="str">
            <v>当期非经常性损益明细表</v>
          </cell>
          <cell r="D685">
            <v>0</v>
          </cell>
          <cell r="E685">
            <v>0</v>
          </cell>
          <cell r="F685">
            <v>0</v>
          </cell>
          <cell r="G685">
            <v>0</v>
          </cell>
          <cell r="H685">
            <v>0</v>
          </cell>
          <cell r="I685">
            <v>9601</v>
          </cell>
          <cell r="J685">
            <v>0</v>
          </cell>
        </row>
        <row r="686">
          <cell r="B686">
            <v>9611</v>
          </cell>
          <cell r="C686" t="str">
            <v>境内外会计准则下会计数据差异</v>
          </cell>
          <cell r="D686">
            <v>0</v>
          </cell>
          <cell r="E686">
            <v>0</v>
          </cell>
          <cell r="F686">
            <v>0</v>
          </cell>
          <cell r="G686">
            <v>0</v>
          </cell>
          <cell r="H686">
            <v>0</v>
          </cell>
          <cell r="I686">
            <v>9611</v>
          </cell>
          <cell r="J686">
            <v>0</v>
          </cell>
        </row>
        <row r="687">
          <cell r="B687">
            <v>9621</v>
          </cell>
          <cell r="C687" t="str">
            <v>净资产收益率和每股收益</v>
          </cell>
          <cell r="D687">
            <v>0</v>
          </cell>
          <cell r="E687">
            <v>0</v>
          </cell>
          <cell r="F687">
            <v>0</v>
          </cell>
          <cell r="G687">
            <v>0</v>
          </cell>
          <cell r="H687">
            <v>0</v>
          </cell>
          <cell r="I687">
            <v>9621</v>
          </cell>
          <cell r="J687">
            <v>0</v>
          </cell>
        </row>
        <row r="688">
          <cell r="B688">
            <v>8121</v>
          </cell>
          <cell r="C688" t="str">
            <v>实收资本_净利润增加权益</v>
          </cell>
          <cell r="D688">
            <v>-1</v>
          </cell>
          <cell r="E688" t="str">
            <v>N</v>
          </cell>
          <cell r="F688">
            <v>0</v>
          </cell>
          <cell r="G688" t="str">
            <v>（一）净利润</v>
          </cell>
          <cell r="H688">
            <v>0</v>
          </cell>
          <cell r="I688">
            <v>8121</v>
          </cell>
          <cell r="J688" t="str">
            <v>J</v>
          </cell>
        </row>
        <row r="689">
          <cell r="B689">
            <v>8130</v>
          </cell>
          <cell r="C689" t="str">
            <v>实收资本_其他综合收益增加权益</v>
          </cell>
          <cell r="D689">
            <v>-1</v>
          </cell>
          <cell r="E689" t="str">
            <v>N</v>
          </cell>
          <cell r="F689">
            <v>0</v>
          </cell>
          <cell r="G689" t="str">
            <v>（二）其他综合收益</v>
          </cell>
          <cell r="H689">
            <v>0</v>
          </cell>
          <cell r="I689">
            <v>8130</v>
          </cell>
          <cell r="J689" t="str">
            <v>J</v>
          </cell>
        </row>
        <row r="690">
          <cell r="B690">
            <v>8152</v>
          </cell>
          <cell r="C690" t="str">
            <v>实收资本_股份支付计入所有者权益的金额</v>
          </cell>
          <cell r="D690">
            <v>-1</v>
          </cell>
          <cell r="E690" t="str">
            <v>N</v>
          </cell>
          <cell r="F690">
            <v>0</v>
          </cell>
          <cell r="G690" t="str">
            <v>股份支付计入所有者权益的金额</v>
          </cell>
          <cell r="H690">
            <v>0</v>
          </cell>
          <cell r="I690">
            <v>8152</v>
          </cell>
          <cell r="J690" t="str">
            <v>J</v>
          </cell>
        </row>
        <row r="691">
          <cell r="B691">
            <v>8161</v>
          </cell>
          <cell r="C691" t="str">
            <v>实收资本_提取盈余公积影响权益</v>
          </cell>
          <cell r="D691">
            <v>-1</v>
          </cell>
          <cell r="E691" t="str">
            <v>N</v>
          </cell>
          <cell r="F691">
            <v>0</v>
          </cell>
          <cell r="G691" t="str">
            <v>提取盈余公积</v>
          </cell>
          <cell r="H691">
            <v>0</v>
          </cell>
          <cell r="I691">
            <v>8161</v>
          </cell>
          <cell r="J691" t="str">
            <v>J</v>
          </cell>
        </row>
        <row r="692">
          <cell r="B692">
            <v>8162</v>
          </cell>
          <cell r="C692" t="str">
            <v>实收资本_提取一般风险准备影响权益</v>
          </cell>
          <cell r="D692">
            <v>-1</v>
          </cell>
          <cell r="E692" t="str">
            <v>N</v>
          </cell>
          <cell r="F692">
            <v>0</v>
          </cell>
          <cell r="G692" t="str">
            <v>提取一般风险准备</v>
          </cell>
          <cell r="H692">
            <v>0</v>
          </cell>
          <cell r="I692">
            <v>8162</v>
          </cell>
          <cell r="J692" t="str">
            <v>J</v>
          </cell>
        </row>
        <row r="693">
          <cell r="B693">
            <v>8163</v>
          </cell>
          <cell r="C693" t="str">
            <v>实收资本_对所有者的分配影响权益</v>
          </cell>
          <cell r="D693">
            <v>-1</v>
          </cell>
          <cell r="E693" t="str">
            <v>N</v>
          </cell>
          <cell r="F693">
            <v>0</v>
          </cell>
          <cell r="G693" t="str">
            <v>对所有者（或股东）的分配</v>
          </cell>
          <cell r="H693">
            <v>0</v>
          </cell>
          <cell r="I693">
            <v>8163</v>
          </cell>
          <cell r="J693" t="str">
            <v>J</v>
          </cell>
        </row>
        <row r="694">
          <cell r="B694">
            <v>8166</v>
          </cell>
          <cell r="C694" t="str">
            <v>实收资本_其他利润分配影响权益</v>
          </cell>
          <cell r="D694">
            <v>-1</v>
          </cell>
          <cell r="E694" t="str">
            <v>N</v>
          </cell>
          <cell r="F694">
            <v>0</v>
          </cell>
          <cell r="G694" t="str">
            <v>其他</v>
          </cell>
          <cell r="H694">
            <v>0</v>
          </cell>
          <cell r="I694">
            <v>8166</v>
          </cell>
          <cell r="J694" t="str">
            <v>J</v>
          </cell>
        </row>
        <row r="695">
          <cell r="B695">
            <v>8173</v>
          </cell>
          <cell r="C695" t="str">
            <v>实收资本_盈余公积弥补亏损影响权益</v>
          </cell>
          <cell r="D695">
            <v>-1</v>
          </cell>
          <cell r="E695" t="str">
            <v>N</v>
          </cell>
          <cell r="F695">
            <v>0</v>
          </cell>
          <cell r="G695" t="str">
            <v>盈余公积弥补亏损</v>
          </cell>
          <cell r="H695">
            <v>0</v>
          </cell>
          <cell r="I695">
            <v>8173</v>
          </cell>
          <cell r="J695" t="str">
            <v>J</v>
          </cell>
        </row>
        <row r="696">
          <cell r="B696">
            <v>8181</v>
          </cell>
          <cell r="C696" t="str">
            <v>实收资本_专项储备本期提取</v>
          </cell>
          <cell r="D696">
            <v>-1</v>
          </cell>
          <cell r="E696" t="str">
            <v>N</v>
          </cell>
          <cell r="F696">
            <v>0</v>
          </cell>
          <cell r="G696" t="str">
            <v>本期提取</v>
          </cell>
          <cell r="H696">
            <v>0</v>
          </cell>
          <cell r="I696">
            <v>8181</v>
          </cell>
          <cell r="J696" t="str">
            <v>J</v>
          </cell>
        </row>
        <row r="697">
          <cell r="B697">
            <v>8182</v>
          </cell>
          <cell r="C697" t="str">
            <v>实收资本_专项储备本期使用</v>
          </cell>
          <cell r="D697">
            <v>-1</v>
          </cell>
          <cell r="E697" t="str">
            <v>N</v>
          </cell>
          <cell r="F697">
            <v>0</v>
          </cell>
          <cell r="G697" t="str">
            <v>本期使用</v>
          </cell>
          <cell r="H697">
            <v>0</v>
          </cell>
          <cell r="I697">
            <v>8182</v>
          </cell>
          <cell r="J697" t="str">
            <v>J</v>
          </cell>
        </row>
        <row r="698">
          <cell r="B698">
            <v>8221</v>
          </cell>
          <cell r="C698" t="str">
            <v>资本公积_净利润增加权益</v>
          </cell>
          <cell r="D698">
            <v>-1</v>
          </cell>
          <cell r="E698" t="str">
            <v>N</v>
          </cell>
          <cell r="F698">
            <v>0</v>
          </cell>
          <cell r="G698" t="str">
            <v>（一）净利润</v>
          </cell>
          <cell r="H698">
            <v>0</v>
          </cell>
          <cell r="I698">
            <v>8221</v>
          </cell>
          <cell r="J698" t="str">
            <v>J</v>
          </cell>
        </row>
        <row r="699">
          <cell r="B699">
            <v>8261</v>
          </cell>
          <cell r="C699" t="str">
            <v>资本公积_提取盈余公积影响权益</v>
          </cell>
          <cell r="D699">
            <v>-1</v>
          </cell>
          <cell r="E699" t="str">
            <v>N</v>
          </cell>
          <cell r="F699">
            <v>0</v>
          </cell>
          <cell r="G699" t="str">
            <v>提取盈余公积</v>
          </cell>
          <cell r="H699">
            <v>0</v>
          </cell>
          <cell r="I699">
            <v>8261</v>
          </cell>
          <cell r="J699" t="str">
            <v>J</v>
          </cell>
        </row>
        <row r="700">
          <cell r="B700">
            <v>8262</v>
          </cell>
          <cell r="C700" t="str">
            <v>资本公积_提取一般风险准备影响权益</v>
          </cell>
          <cell r="D700">
            <v>-1</v>
          </cell>
          <cell r="E700" t="str">
            <v>N</v>
          </cell>
          <cell r="F700">
            <v>0</v>
          </cell>
          <cell r="G700" t="str">
            <v>提取一般风险准备</v>
          </cell>
          <cell r="H700">
            <v>0</v>
          </cell>
          <cell r="I700">
            <v>8262</v>
          </cell>
          <cell r="J700" t="str">
            <v>J</v>
          </cell>
        </row>
        <row r="701">
          <cell r="B701">
            <v>8263</v>
          </cell>
          <cell r="C701" t="str">
            <v>资本公积_对所有者的分配影响权益</v>
          </cell>
          <cell r="D701">
            <v>-1</v>
          </cell>
          <cell r="E701" t="str">
            <v>N</v>
          </cell>
          <cell r="F701">
            <v>0</v>
          </cell>
          <cell r="G701" t="str">
            <v>对所有者（或股东）的分配</v>
          </cell>
          <cell r="H701">
            <v>0</v>
          </cell>
          <cell r="I701">
            <v>8263</v>
          </cell>
          <cell r="J701" t="str">
            <v>J</v>
          </cell>
        </row>
        <row r="702">
          <cell r="B702">
            <v>8272</v>
          </cell>
          <cell r="C702" t="str">
            <v>资本公积_盈余公积转增资本影响权益</v>
          </cell>
          <cell r="D702">
            <v>-1</v>
          </cell>
          <cell r="E702" t="str">
            <v>N</v>
          </cell>
          <cell r="F702">
            <v>0</v>
          </cell>
          <cell r="G702" t="str">
            <v>盈余公积转增资本（或股本）</v>
          </cell>
          <cell r="H702">
            <v>0</v>
          </cell>
          <cell r="I702">
            <v>8272</v>
          </cell>
          <cell r="J702" t="str">
            <v>J</v>
          </cell>
        </row>
        <row r="703">
          <cell r="B703">
            <v>8273</v>
          </cell>
          <cell r="C703" t="str">
            <v>资本公积_盈余公积弥补亏损影响权益</v>
          </cell>
          <cell r="D703">
            <v>-1</v>
          </cell>
          <cell r="E703" t="str">
            <v>N</v>
          </cell>
          <cell r="F703">
            <v>0</v>
          </cell>
          <cell r="G703" t="str">
            <v>盈余公积弥补亏损</v>
          </cell>
          <cell r="H703">
            <v>0</v>
          </cell>
          <cell r="I703">
            <v>8273</v>
          </cell>
          <cell r="J703" t="str">
            <v>J</v>
          </cell>
        </row>
        <row r="704">
          <cell r="B704">
            <v>8281</v>
          </cell>
          <cell r="C704" t="str">
            <v>资本公积_专项储备本期提取</v>
          </cell>
          <cell r="D704">
            <v>-1</v>
          </cell>
          <cell r="E704" t="str">
            <v>N</v>
          </cell>
          <cell r="F704">
            <v>0</v>
          </cell>
          <cell r="G704" t="str">
            <v>本期提取</v>
          </cell>
          <cell r="H704">
            <v>0</v>
          </cell>
          <cell r="I704">
            <v>8281</v>
          </cell>
          <cell r="J704" t="str">
            <v>J</v>
          </cell>
        </row>
        <row r="705">
          <cell r="B705">
            <v>8282</v>
          </cell>
          <cell r="C705" t="str">
            <v>资本公积_专项储备本期使用</v>
          </cell>
          <cell r="D705">
            <v>-1</v>
          </cell>
          <cell r="E705" t="str">
            <v>N</v>
          </cell>
          <cell r="F705">
            <v>0</v>
          </cell>
          <cell r="G705" t="str">
            <v>本期使用</v>
          </cell>
          <cell r="H705">
            <v>0</v>
          </cell>
          <cell r="I705">
            <v>8282</v>
          </cell>
          <cell r="J705" t="str">
            <v>J</v>
          </cell>
        </row>
        <row r="706">
          <cell r="B706">
            <v>8321</v>
          </cell>
          <cell r="C706" t="str">
            <v>库存股_净利润增加权益</v>
          </cell>
          <cell r="D706">
            <v>1</v>
          </cell>
          <cell r="E706" t="str">
            <v>N</v>
          </cell>
          <cell r="F706">
            <v>0</v>
          </cell>
          <cell r="G706" t="str">
            <v>（一）净利润</v>
          </cell>
          <cell r="H706">
            <v>0</v>
          </cell>
          <cell r="I706">
            <v>8321</v>
          </cell>
          <cell r="J706" t="str">
            <v>J</v>
          </cell>
        </row>
        <row r="707">
          <cell r="B707">
            <v>8330</v>
          </cell>
          <cell r="C707" t="str">
            <v>库存股_其他综合收益增加权益</v>
          </cell>
          <cell r="D707">
            <v>1</v>
          </cell>
          <cell r="E707" t="str">
            <v>N</v>
          </cell>
          <cell r="F707">
            <v>0</v>
          </cell>
          <cell r="G707" t="str">
            <v>（二）其他综合收益</v>
          </cell>
          <cell r="H707">
            <v>0</v>
          </cell>
          <cell r="I707">
            <v>8330</v>
          </cell>
          <cell r="J707" t="str">
            <v>J</v>
          </cell>
        </row>
        <row r="708">
          <cell r="B708">
            <v>8361</v>
          </cell>
          <cell r="C708" t="str">
            <v>库存股_提取盈余公积影响权益</v>
          </cell>
          <cell r="D708">
            <v>1</v>
          </cell>
          <cell r="E708" t="str">
            <v>N</v>
          </cell>
          <cell r="F708">
            <v>0</v>
          </cell>
          <cell r="G708" t="str">
            <v>提取盈余公积</v>
          </cell>
          <cell r="H708">
            <v>0</v>
          </cell>
          <cell r="I708">
            <v>8361</v>
          </cell>
          <cell r="J708" t="str">
            <v>J</v>
          </cell>
        </row>
        <row r="709">
          <cell r="B709">
            <v>8362</v>
          </cell>
          <cell r="C709" t="str">
            <v>库存股_提取一般风险准备影响权益</v>
          </cell>
          <cell r="D709">
            <v>1</v>
          </cell>
          <cell r="E709" t="str">
            <v>N</v>
          </cell>
          <cell r="F709">
            <v>0</v>
          </cell>
          <cell r="G709" t="str">
            <v>提取一般风险准备</v>
          </cell>
          <cell r="H709">
            <v>0</v>
          </cell>
          <cell r="I709">
            <v>8362</v>
          </cell>
          <cell r="J709" t="str">
            <v>J</v>
          </cell>
        </row>
        <row r="710">
          <cell r="B710">
            <v>8371</v>
          </cell>
          <cell r="C710" t="str">
            <v>库存股_资本公积转增资本影响权益</v>
          </cell>
          <cell r="D710">
            <v>1</v>
          </cell>
          <cell r="E710" t="str">
            <v>N</v>
          </cell>
          <cell r="F710">
            <v>0</v>
          </cell>
          <cell r="G710" t="str">
            <v>资本公积转增资本（或股本）</v>
          </cell>
          <cell r="H710">
            <v>0</v>
          </cell>
          <cell r="I710">
            <v>8371</v>
          </cell>
          <cell r="J710" t="str">
            <v>J</v>
          </cell>
        </row>
        <row r="711">
          <cell r="B711">
            <v>8372</v>
          </cell>
          <cell r="C711" t="str">
            <v>库存股_盈余公积转增资本影响权益</v>
          </cell>
          <cell r="D711">
            <v>1</v>
          </cell>
          <cell r="E711" t="str">
            <v>N</v>
          </cell>
          <cell r="F711">
            <v>0</v>
          </cell>
          <cell r="G711" t="str">
            <v>盈余公积转增资本（或股本）</v>
          </cell>
          <cell r="H711">
            <v>0</v>
          </cell>
          <cell r="I711">
            <v>8372</v>
          </cell>
          <cell r="J711" t="str">
            <v>J</v>
          </cell>
        </row>
        <row r="712">
          <cell r="B712">
            <v>8373</v>
          </cell>
          <cell r="C712" t="str">
            <v>库存股_盈余公积弥补亏损影响权益</v>
          </cell>
          <cell r="D712">
            <v>1</v>
          </cell>
          <cell r="E712" t="str">
            <v>N</v>
          </cell>
          <cell r="F712">
            <v>0</v>
          </cell>
          <cell r="G712" t="str">
            <v>盈余公积弥补亏损</v>
          </cell>
          <cell r="H712">
            <v>0</v>
          </cell>
          <cell r="I712">
            <v>8373</v>
          </cell>
          <cell r="J712" t="str">
            <v>J</v>
          </cell>
        </row>
        <row r="713">
          <cell r="B713">
            <v>8381</v>
          </cell>
          <cell r="C713" t="str">
            <v>库存股_专项储备本期提取</v>
          </cell>
          <cell r="D713">
            <v>1</v>
          </cell>
          <cell r="E713" t="str">
            <v>N</v>
          </cell>
          <cell r="F713">
            <v>0</v>
          </cell>
          <cell r="G713" t="str">
            <v>本期提取</v>
          </cell>
          <cell r="H713">
            <v>0</v>
          </cell>
          <cell r="I713">
            <v>8381</v>
          </cell>
          <cell r="J713" t="str">
            <v>J</v>
          </cell>
        </row>
        <row r="714">
          <cell r="B714">
            <v>8382</v>
          </cell>
          <cell r="C714" t="str">
            <v>库存股_专项储备本期使用</v>
          </cell>
          <cell r="D714">
            <v>1</v>
          </cell>
          <cell r="E714" t="str">
            <v>N</v>
          </cell>
          <cell r="F714">
            <v>0</v>
          </cell>
          <cell r="G714" t="str">
            <v>本期使用</v>
          </cell>
          <cell r="H714">
            <v>0</v>
          </cell>
          <cell r="I714">
            <v>8382</v>
          </cell>
          <cell r="J714" t="str">
            <v>J</v>
          </cell>
        </row>
        <row r="715">
          <cell r="B715">
            <v>8421</v>
          </cell>
          <cell r="C715" t="str">
            <v>专项储备_净利润增加权益</v>
          </cell>
          <cell r="D715">
            <v>-1</v>
          </cell>
          <cell r="E715" t="str">
            <v>N</v>
          </cell>
          <cell r="F715">
            <v>0</v>
          </cell>
          <cell r="G715" t="str">
            <v>（一）净利润</v>
          </cell>
          <cell r="H715">
            <v>0</v>
          </cell>
          <cell r="I715">
            <v>8421</v>
          </cell>
          <cell r="J715" t="str">
            <v>J</v>
          </cell>
        </row>
        <row r="716">
          <cell r="B716">
            <v>8430</v>
          </cell>
          <cell r="C716" t="str">
            <v>专项储备_其他综合收益增加权益</v>
          </cell>
          <cell r="D716">
            <v>-1</v>
          </cell>
          <cell r="E716" t="str">
            <v>N</v>
          </cell>
          <cell r="F716">
            <v>0</v>
          </cell>
          <cell r="G716" t="str">
            <v>（二）其他综合收益</v>
          </cell>
          <cell r="H716">
            <v>0</v>
          </cell>
          <cell r="I716">
            <v>8430</v>
          </cell>
          <cell r="J716" t="str">
            <v>J</v>
          </cell>
        </row>
        <row r="717">
          <cell r="B717">
            <v>8451</v>
          </cell>
          <cell r="C717" t="str">
            <v>专项储备_所有者投入资本增加权益</v>
          </cell>
          <cell r="D717">
            <v>-1</v>
          </cell>
          <cell r="E717" t="str">
            <v>N</v>
          </cell>
          <cell r="F717">
            <v>0</v>
          </cell>
          <cell r="G717" t="str">
            <v>所有者投入资本</v>
          </cell>
          <cell r="H717">
            <v>0</v>
          </cell>
          <cell r="I717">
            <v>8451</v>
          </cell>
          <cell r="J717" t="str">
            <v>J</v>
          </cell>
        </row>
        <row r="718">
          <cell r="B718">
            <v>8452</v>
          </cell>
          <cell r="C718" t="str">
            <v>专项储备_股份支付计入所有者权益的金额</v>
          </cell>
          <cell r="D718">
            <v>-1</v>
          </cell>
          <cell r="E718" t="str">
            <v>N</v>
          </cell>
          <cell r="F718">
            <v>0</v>
          </cell>
          <cell r="G718" t="str">
            <v>股份支付计入所有者权益的金额</v>
          </cell>
          <cell r="H718">
            <v>0</v>
          </cell>
          <cell r="I718">
            <v>8452</v>
          </cell>
          <cell r="J718" t="str">
            <v>J</v>
          </cell>
        </row>
        <row r="719">
          <cell r="B719">
            <v>8456</v>
          </cell>
          <cell r="C719" t="str">
            <v>专项储备_所有者其他投入和减少资本</v>
          </cell>
          <cell r="D719">
            <v>-1</v>
          </cell>
          <cell r="E719" t="str">
            <v>N</v>
          </cell>
          <cell r="F719">
            <v>0</v>
          </cell>
          <cell r="G719" t="str">
            <v>其他</v>
          </cell>
          <cell r="H719">
            <v>0</v>
          </cell>
          <cell r="I719">
            <v>8456</v>
          </cell>
          <cell r="J719" t="str">
            <v>J</v>
          </cell>
        </row>
        <row r="720">
          <cell r="B720">
            <v>8461</v>
          </cell>
          <cell r="C720" t="str">
            <v>专项储备_提取盈余公积影响权益</v>
          </cell>
          <cell r="D720">
            <v>-1</v>
          </cell>
          <cell r="E720" t="str">
            <v>N</v>
          </cell>
          <cell r="F720">
            <v>0</v>
          </cell>
          <cell r="G720" t="str">
            <v>提取盈余公积</v>
          </cell>
          <cell r="H720">
            <v>0</v>
          </cell>
          <cell r="I720">
            <v>8461</v>
          </cell>
          <cell r="J720" t="str">
            <v>J</v>
          </cell>
        </row>
        <row r="721">
          <cell r="B721">
            <v>8462</v>
          </cell>
          <cell r="C721" t="str">
            <v>专项储备_提取一般风险准备影响权益</v>
          </cell>
          <cell r="D721">
            <v>-1</v>
          </cell>
          <cell r="E721" t="str">
            <v>N</v>
          </cell>
          <cell r="F721">
            <v>0</v>
          </cell>
          <cell r="G721" t="str">
            <v>提取一般风险准备</v>
          </cell>
          <cell r="H721">
            <v>0</v>
          </cell>
          <cell r="I721">
            <v>8462</v>
          </cell>
          <cell r="J721" t="str">
            <v>J</v>
          </cell>
        </row>
        <row r="722">
          <cell r="B722">
            <v>8463</v>
          </cell>
          <cell r="C722" t="str">
            <v>专项储备_对所有者的分配影响权益</v>
          </cell>
          <cell r="D722">
            <v>-1</v>
          </cell>
          <cell r="E722" t="str">
            <v>N</v>
          </cell>
          <cell r="F722">
            <v>0</v>
          </cell>
          <cell r="G722" t="str">
            <v>对所有者（或股东）的分配</v>
          </cell>
          <cell r="H722">
            <v>0</v>
          </cell>
          <cell r="I722">
            <v>8463</v>
          </cell>
          <cell r="J722" t="str">
            <v>J</v>
          </cell>
        </row>
        <row r="723">
          <cell r="B723">
            <v>8466</v>
          </cell>
          <cell r="C723" t="str">
            <v>专项储备_其他利润分配影响权益</v>
          </cell>
          <cell r="D723">
            <v>-1</v>
          </cell>
          <cell r="E723" t="str">
            <v>N</v>
          </cell>
          <cell r="F723">
            <v>0</v>
          </cell>
          <cell r="G723" t="str">
            <v>其他</v>
          </cell>
          <cell r="H723">
            <v>0</v>
          </cell>
          <cell r="I723">
            <v>8466</v>
          </cell>
          <cell r="J723" t="str">
            <v>J</v>
          </cell>
        </row>
        <row r="724">
          <cell r="B724">
            <v>8471</v>
          </cell>
          <cell r="C724" t="str">
            <v>专项储备_资本公积转增资本影响权益</v>
          </cell>
          <cell r="D724">
            <v>-1</v>
          </cell>
          <cell r="E724" t="str">
            <v>N</v>
          </cell>
          <cell r="F724">
            <v>0</v>
          </cell>
          <cell r="G724" t="str">
            <v>资本公积转增资本（或股本）</v>
          </cell>
          <cell r="H724">
            <v>0</v>
          </cell>
          <cell r="I724">
            <v>8471</v>
          </cell>
          <cell r="J724" t="str">
            <v>J</v>
          </cell>
        </row>
        <row r="725">
          <cell r="B725">
            <v>8472</v>
          </cell>
          <cell r="C725" t="str">
            <v>专项储备_盈余公积转增资本影响权益</v>
          </cell>
          <cell r="D725">
            <v>-1</v>
          </cell>
          <cell r="E725" t="str">
            <v>N</v>
          </cell>
          <cell r="F725">
            <v>0</v>
          </cell>
          <cell r="G725" t="str">
            <v>盈余公积转增资本（或股本）</v>
          </cell>
          <cell r="H725">
            <v>0</v>
          </cell>
          <cell r="I725">
            <v>8472</v>
          </cell>
          <cell r="J725" t="str">
            <v>J</v>
          </cell>
        </row>
        <row r="726">
          <cell r="B726">
            <v>8473</v>
          </cell>
          <cell r="C726" t="str">
            <v>专项储备_盈余公积弥补亏损影响权益</v>
          </cell>
          <cell r="D726">
            <v>-1</v>
          </cell>
          <cell r="E726" t="str">
            <v>N</v>
          </cell>
          <cell r="F726">
            <v>0</v>
          </cell>
          <cell r="G726" t="str">
            <v>盈余公积弥补亏损</v>
          </cell>
          <cell r="H726">
            <v>0</v>
          </cell>
          <cell r="I726">
            <v>8473</v>
          </cell>
          <cell r="J726" t="str">
            <v>J</v>
          </cell>
        </row>
        <row r="727">
          <cell r="B727">
            <v>8521</v>
          </cell>
          <cell r="C727" t="str">
            <v>盈余公积_净利润增加权益</v>
          </cell>
          <cell r="D727">
            <v>-1</v>
          </cell>
          <cell r="E727" t="str">
            <v>N</v>
          </cell>
          <cell r="F727">
            <v>0</v>
          </cell>
          <cell r="G727" t="str">
            <v>（一）净利润</v>
          </cell>
          <cell r="H727">
            <v>0</v>
          </cell>
          <cell r="I727">
            <v>8521</v>
          </cell>
          <cell r="J727" t="str">
            <v>J</v>
          </cell>
        </row>
        <row r="728">
          <cell r="B728">
            <v>8530</v>
          </cell>
          <cell r="C728" t="str">
            <v>盈余公积_其他综合收益增加权益</v>
          </cell>
          <cell r="D728">
            <v>-1</v>
          </cell>
          <cell r="E728" t="str">
            <v>N</v>
          </cell>
          <cell r="F728">
            <v>0</v>
          </cell>
          <cell r="G728" t="str">
            <v>（二）其他综合收益</v>
          </cell>
          <cell r="H728">
            <v>0</v>
          </cell>
          <cell r="I728">
            <v>8530</v>
          </cell>
          <cell r="J728" t="str">
            <v>J</v>
          </cell>
        </row>
        <row r="729">
          <cell r="B729">
            <v>8551</v>
          </cell>
          <cell r="C729" t="str">
            <v>盈余公积_所有者投入资本增加权益</v>
          </cell>
          <cell r="D729">
            <v>-1</v>
          </cell>
          <cell r="E729" t="str">
            <v>N</v>
          </cell>
          <cell r="F729">
            <v>0</v>
          </cell>
          <cell r="G729" t="str">
            <v>所有者投入资本</v>
          </cell>
          <cell r="H729">
            <v>0</v>
          </cell>
          <cell r="I729">
            <v>8551</v>
          </cell>
          <cell r="J729" t="str">
            <v>J</v>
          </cell>
        </row>
        <row r="730">
          <cell r="B730">
            <v>8552</v>
          </cell>
          <cell r="C730" t="str">
            <v>盈余公积_股份支付计入所有者权益的金额</v>
          </cell>
          <cell r="D730">
            <v>-1</v>
          </cell>
          <cell r="E730" t="str">
            <v>N</v>
          </cell>
          <cell r="F730">
            <v>0</v>
          </cell>
          <cell r="G730" t="str">
            <v>股份支付计入所有者权益的金额</v>
          </cell>
          <cell r="H730">
            <v>0</v>
          </cell>
          <cell r="I730">
            <v>8552</v>
          </cell>
          <cell r="J730" t="str">
            <v>J</v>
          </cell>
        </row>
        <row r="731">
          <cell r="B731">
            <v>8562</v>
          </cell>
          <cell r="C731" t="str">
            <v>盈余公积_提取一般风险准备影响权益</v>
          </cell>
          <cell r="D731">
            <v>-1</v>
          </cell>
          <cell r="E731" t="str">
            <v>N</v>
          </cell>
          <cell r="F731">
            <v>0</v>
          </cell>
          <cell r="G731" t="str">
            <v>提取一般风险准备</v>
          </cell>
          <cell r="H731">
            <v>0</v>
          </cell>
          <cell r="I731">
            <v>8562</v>
          </cell>
          <cell r="J731" t="str">
            <v>J</v>
          </cell>
        </row>
        <row r="732">
          <cell r="B732">
            <v>8571</v>
          </cell>
          <cell r="C732" t="str">
            <v>盈余公积_资本公积转增资本影响权益</v>
          </cell>
          <cell r="D732">
            <v>-1</v>
          </cell>
          <cell r="E732" t="str">
            <v>N</v>
          </cell>
          <cell r="F732">
            <v>0</v>
          </cell>
          <cell r="G732" t="str">
            <v>资本公积转增资本（或股本）</v>
          </cell>
          <cell r="H732">
            <v>0</v>
          </cell>
          <cell r="I732">
            <v>8571</v>
          </cell>
          <cell r="J732" t="str">
            <v>J</v>
          </cell>
        </row>
        <row r="733">
          <cell r="B733">
            <v>8581</v>
          </cell>
          <cell r="C733" t="str">
            <v>盈余公积_专项储备本期提取</v>
          </cell>
          <cell r="D733">
            <v>-1</v>
          </cell>
          <cell r="E733" t="str">
            <v>N</v>
          </cell>
          <cell r="F733">
            <v>0</v>
          </cell>
          <cell r="G733" t="str">
            <v>本期提取</v>
          </cell>
          <cell r="H733">
            <v>0</v>
          </cell>
          <cell r="I733">
            <v>8581</v>
          </cell>
          <cell r="J733" t="str">
            <v>J</v>
          </cell>
        </row>
        <row r="734">
          <cell r="B734">
            <v>8582</v>
          </cell>
          <cell r="C734" t="str">
            <v>盈余公积_专项储备本期使用</v>
          </cell>
          <cell r="D734">
            <v>-1</v>
          </cell>
          <cell r="E734" t="str">
            <v>N</v>
          </cell>
          <cell r="F734">
            <v>0</v>
          </cell>
          <cell r="G734" t="str">
            <v>本期使用</v>
          </cell>
          <cell r="H734">
            <v>0</v>
          </cell>
          <cell r="I734">
            <v>8582</v>
          </cell>
          <cell r="J734" t="str">
            <v>J</v>
          </cell>
        </row>
        <row r="735">
          <cell r="B735">
            <v>8621</v>
          </cell>
          <cell r="C735" t="str">
            <v>一般风险准备_净利润增加权益</v>
          </cell>
          <cell r="D735">
            <v>-1</v>
          </cell>
          <cell r="E735" t="str">
            <v>N</v>
          </cell>
          <cell r="F735">
            <v>0</v>
          </cell>
          <cell r="G735" t="str">
            <v>（一）净利润</v>
          </cell>
          <cell r="H735">
            <v>0</v>
          </cell>
          <cell r="I735">
            <v>8621</v>
          </cell>
          <cell r="J735" t="str">
            <v>J</v>
          </cell>
        </row>
        <row r="736">
          <cell r="B736">
            <v>8630</v>
          </cell>
          <cell r="C736" t="str">
            <v>一般风险准备_其他综合收益增加权益</v>
          </cell>
          <cell r="D736">
            <v>-1</v>
          </cell>
          <cell r="E736" t="str">
            <v>N</v>
          </cell>
          <cell r="F736">
            <v>0</v>
          </cell>
          <cell r="G736" t="str">
            <v>（二）其他综合收益</v>
          </cell>
          <cell r="H736">
            <v>0</v>
          </cell>
          <cell r="I736">
            <v>8630</v>
          </cell>
          <cell r="J736" t="str">
            <v>J</v>
          </cell>
        </row>
        <row r="737">
          <cell r="B737">
            <v>8651</v>
          </cell>
          <cell r="C737" t="str">
            <v>一般风险准备_所有者投入资本增加权益</v>
          </cell>
          <cell r="D737">
            <v>-1</v>
          </cell>
          <cell r="E737" t="str">
            <v>N</v>
          </cell>
          <cell r="F737">
            <v>0</v>
          </cell>
          <cell r="G737" t="str">
            <v>所有者投入资本</v>
          </cell>
          <cell r="H737">
            <v>0</v>
          </cell>
          <cell r="I737">
            <v>8651</v>
          </cell>
          <cell r="J737" t="str">
            <v>J</v>
          </cell>
        </row>
        <row r="738">
          <cell r="B738">
            <v>8652</v>
          </cell>
          <cell r="C738" t="str">
            <v>一般风险准备_股份支付计入所有者权益的金额</v>
          </cell>
          <cell r="D738">
            <v>-1</v>
          </cell>
          <cell r="E738" t="str">
            <v>N</v>
          </cell>
          <cell r="F738">
            <v>0</v>
          </cell>
          <cell r="G738" t="str">
            <v>股份支付计入所有者权益的金额</v>
          </cell>
          <cell r="H738">
            <v>0</v>
          </cell>
          <cell r="I738">
            <v>8652</v>
          </cell>
          <cell r="J738" t="str">
            <v>J</v>
          </cell>
        </row>
        <row r="739">
          <cell r="B739">
            <v>8661</v>
          </cell>
          <cell r="C739" t="str">
            <v>一般风险准备_提取盈余公积影响权益</v>
          </cell>
          <cell r="D739">
            <v>-1</v>
          </cell>
          <cell r="E739" t="str">
            <v>N</v>
          </cell>
          <cell r="F739">
            <v>0</v>
          </cell>
          <cell r="G739" t="str">
            <v>提取盈余公积</v>
          </cell>
          <cell r="H739">
            <v>0</v>
          </cell>
          <cell r="I739">
            <v>8661</v>
          </cell>
          <cell r="J739" t="str">
            <v>J</v>
          </cell>
        </row>
        <row r="740">
          <cell r="B740">
            <v>8663</v>
          </cell>
          <cell r="C740" t="str">
            <v>一般风险准备_对所有者的分配影响权益</v>
          </cell>
          <cell r="D740">
            <v>-1</v>
          </cell>
          <cell r="E740" t="str">
            <v>N</v>
          </cell>
          <cell r="F740">
            <v>0</v>
          </cell>
          <cell r="G740" t="str">
            <v>对所有者（或股东）的分配</v>
          </cell>
          <cell r="H740">
            <v>0</v>
          </cell>
          <cell r="I740">
            <v>8663</v>
          </cell>
          <cell r="J740" t="str">
            <v>J</v>
          </cell>
        </row>
        <row r="741">
          <cell r="B741">
            <v>8671</v>
          </cell>
          <cell r="C741" t="str">
            <v>一般风险准备_资本公积转增资本影响权益</v>
          </cell>
          <cell r="D741">
            <v>-1</v>
          </cell>
          <cell r="E741" t="str">
            <v>N</v>
          </cell>
          <cell r="F741">
            <v>0</v>
          </cell>
          <cell r="G741" t="str">
            <v>资本公积转增资本（或股本）</v>
          </cell>
          <cell r="H741">
            <v>0</v>
          </cell>
          <cell r="I741">
            <v>8671</v>
          </cell>
          <cell r="J741" t="str">
            <v>J</v>
          </cell>
        </row>
        <row r="742">
          <cell r="B742">
            <v>8672</v>
          </cell>
          <cell r="C742" t="str">
            <v>一般风险准备_盈余公积转增资本影响权益</v>
          </cell>
          <cell r="D742">
            <v>-1</v>
          </cell>
          <cell r="E742" t="str">
            <v>N</v>
          </cell>
          <cell r="F742">
            <v>0</v>
          </cell>
          <cell r="G742" t="str">
            <v>盈余公积转增资本（或股本）</v>
          </cell>
          <cell r="H742">
            <v>0</v>
          </cell>
          <cell r="I742">
            <v>8672</v>
          </cell>
          <cell r="J742" t="str">
            <v>J</v>
          </cell>
        </row>
        <row r="743">
          <cell r="B743">
            <v>8673</v>
          </cell>
          <cell r="C743" t="str">
            <v>一般风险准备_盈余公积弥补亏损影响权益</v>
          </cell>
          <cell r="D743">
            <v>-1</v>
          </cell>
          <cell r="E743" t="str">
            <v>N</v>
          </cell>
          <cell r="F743">
            <v>0</v>
          </cell>
          <cell r="G743" t="str">
            <v>盈余公积弥补亏损</v>
          </cell>
          <cell r="H743">
            <v>0</v>
          </cell>
          <cell r="I743">
            <v>8673</v>
          </cell>
          <cell r="J743" t="str">
            <v>J</v>
          </cell>
        </row>
        <row r="744">
          <cell r="B744">
            <v>8681</v>
          </cell>
          <cell r="C744" t="str">
            <v>一般风险准备_专项储备本期提取</v>
          </cell>
          <cell r="D744">
            <v>-1</v>
          </cell>
          <cell r="E744" t="str">
            <v>N</v>
          </cell>
          <cell r="F744">
            <v>0</v>
          </cell>
          <cell r="G744" t="str">
            <v>本期提取</v>
          </cell>
          <cell r="H744">
            <v>0</v>
          </cell>
          <cell r="I744">
            <v>8681</v>
          </cell>
          <cell r="J744" t="str">
            <v>J</v>
          </cell>
        </row>
        <row r="745">
          <cell r="B745">
            <v>8682</v>
          </cell>
          <cell r="C745" t="str">
            <v>一般风险准备_专项储备本期使用</v>
          </cell>
          <cell r="D745">
            <v>-1</v>
          </cell>
          <cell r="E745" t="str">
            <v>N</v>
          </cell>
          <cell r="F745">
            <v>0</v>
          </cell>
          <cell r="G745" t="str">
            <v>本期使用</v>
          </cell>
          <cell r="H745">
            <v>0</v>
          </cell>
          <cell r="I745">
            <v>8682</v>
          </cell>
          <cell r="J745" t="str">
            <v>J</v>
          </cell>
        </row>
        <row r="746">
          <cell r="B746">
            <v>8730</v>
          </cell>
          <cell r="C746" t="str">
            <v>未分配利润_其他综合收益增加权益</v>
          </cell>
          <cell r="D746">
            <v>-1</v>
          </cell>
          <cell r="E746" t="str">
            <v>N</v>
          </cell>
          <cell r="F746">
            <v>0</v>
          </cell>
          <cell r="G746" t="str">
            <v>（二）其他综合收益</v>
          </cell>
          <cell r="H746">
            <v>0</v>
          </cell>
          <cell r="I746">
            <v>8730</v>
          </cell>
          <cell r="J746">
            <v>0</v>
          </cell>
        </row>
        <row r="747">
          <cell r="B747">
            <v>8751</v>
          </cell>
          <cell r="C747" t="str">
            <v>未分配利润_所有者投入资本增加权益</v>
          </cell>
          <cell r="D747">
            <v>-1</v>
          </cell>
          <cell r="E747" t="str">
            <v>N</v>
          </cell>
          <cell r="F747">
            <v>0</v>
          </cell>
          <cell r="G747" t="str">
            <v>所有者投入资本</v>
          </cell>
          <cell r="H747">
            <v>0</v>
          </cell>
          <cell r="I747">
            <v>8751</v>
          </cell>
          <cell r="J747" t="str">
            <v>J</v>
          </cell>
        </row>
        <row r="748">
          <cell r="B748">
            <v>8752</v>
          </cell>
          <cell r="C748" t="str">
            <v>未分配利润_股份支付计入所有者权益的金额</v>
          </cell>
          <cell r="D748">
            <v>-1</v>
          </cell>
          <cell r="E748" t="str">
            <v>N</v>
          </cell>
          <cell r="F748">
            <v>0</v>
          </cell>
          <cell r="G748" t="str">
            <v>股份支付计入所有者权益的金额</v>
          </cell>
          <cell r="H748">
            <v>0</v>
          </cell>
          <cell r="I748">
            <v>8752</v>
          </cell>
          <cell r="J748" t="str">
            <v>J</v>
          </cell>
        </row>
        <row r="749">
          <cell r="B749">
            <v>8771</v>
          </cell>
          <cell r="C749" t="str">
            <v>未分配利润_资本公积转增资本影响权益</v>
          </cell>
          <cell r="D749">
            <v>-1</v>
          </cell>
          <cell r="E749" t="str">
            <v>N</v>
          </cell>
          <cell r="F749">
            <v>0</v>
          </cell>
          <cell r="G749" t="str">
            <v>资本公积转增资本（或股本）</v>
          </cell>
          <cell r="H749">
            <v>0</v>
          </cell>
          <cell r="I749">
            <v>8771</v>
          </cell>
          <cell r="J749" t="str">
            <v>J</v>
          </cell>
        </row>
        <row r="750">
          <cell r="B750">
            <v>8772</v>
          </cell>
          <cell r="C750" t="str">
            <v>未分配利润_盈余公积转增资本影响权益</v>
          </cell>
          <cell r="D750">
            <v>-1</v>
          </cell>
          <cell r="E750" t="str">
            <v>N</v>
          </cell>
          <cell r="F750">
            <v>0</v>
          </cell>
          <cell r="G750" t="str">
            <v>盈余公积转增资本（或股本）</v>
          </cell>
          <cell r="H750">
            <v>0</v>
          </cell>
          <cell r="I750">
            <v>8772</v>
          </cell>
          <cell r="J750" t="str">
            <v>J</v>
          </cell>
        </row>
        <row r="751">
          <cell r="B751">
            <v>8961</v>
          </cell>
          <cell r="C751" t="str">
            <v>少数股东权益_提取盈余公积影响权益</v>
          </cell>
          <cell r="D751">
            <v>-1</v>
          </cell>
          <cell r="E751" t="str">
            <v>※N</v>
          </cell>
          <cell r="F751">
            <v>0</v>
          </cell>
          <cell r="G751" t="str">
            <v>提取盈余公积</v>
          </cell>
          <cell r="H751">
            <v>0</v>
          </cell>
          <cell r="I751">
            <v>8961</v>
          </cell>
          <cell r="J751" t="str">
            <v>J</v>
          </cell>
        </row>
        <row r="752">
          <cell r="B752">
            <v>8962</v>
          </cell>
          <cell r="C752" t="str">
            <v>少数股东权益_提取一般风险准备影响权益</v>
          </cell>
          <cell r="D752">
            <v>-1</v>
          </cell>
          <cell r="E752" t="str">
            <v>※N</v>
          </cell>
          <cell r="F752">
            <v>0</v>
          </cell>
          <cell r="G752" t="str">
            <v>提取一般风险准备</v>
          </cell>
          <cell r="H752">
            <v>0</v>
          </cell>
          <cell r="I752">
            <v>8962</v>
          </cell>
          <cell r="J752" t="str">
            <v>J</v>
          </cell>
        </row>
        <row r="753">
          <cell r="B753">
            <v>8971</v>
          </cell>
          <cell r="C753" t="str">
            <v>少数股东权益_资本公积转增资本影响权益</v>
          </cell>
          <cell r="D753">
            <v>-1</v>
          </cell>
          <cell r="E753" t="str">
            <v>※N</v>
          </cell>
          <cell r="F753">
            <v>0</v>
          </cell>
          <cell r="G753" t="str">
            <v>资本公积转增资本（或股本）</v>
          </cell>
          <cell r="H753">
            <v>0</v>
          </cell>
          <cell r="I753">
            <v>8971</v>
          </cell>
          <cell r="J753" t="str">
            <v>J</v>
          </cell>
        </row>
        <row r="754">
          <cell r="B754">
            <v>8972</v>
          </cell>
          <cell r="C754" t="str">
            <v>少数股东权益_盈余公积转增资本影响权益</v>
          </cell>
          <cell r="D754">
            <v>-1</v>
          </cell>
          <cell r="E754" t="str">
            <v>※N</v>
          </cell>
          <cell r="F754">
            <v>0</v>
          </cell>
          <cell r="G754" t="str">
            <v>盈余公积转增资本（或股本）</v>
          </cell>
          <cell r="H754">
            <v>0</v>
          </cell>
          <cell r="I754">
            <v>8972</v>
          </cell>
          <cell r="J754" t="str">
            <v>J</v>
          </cell>
        </row>
        <row r="755">
          <cell r="B755">
            <v>8973</v>
          </cell>
          <cell r="C755" t="str">
            <v>少数股东权益_盈余公积弥补亏损影响权益</v>
          </cell>
          <cell r="D755">
            <v>-1</v>
          </cell>
          <cell r="E755" t="str">
            <v>※N</v>
          </cell>
          <cell r="F755">
            <v>0</v>
          </cell>
          <cell r="G755" t="str">
            <v>盈余公积弥补亏损</v>
          </cell>
          <cell r="H755">
            <v>0</v>
          </cell>
          <cell r="I755">
            <v>8973</v>
          </cell>
          <cell r="J755" t="str">
            <v>J</v>
          </cell>
        </row>
        <row r="756">
          <cell r="B756">
            <v>8140</v>
          </cell>
          <cell r="C756" t="str">
            <v>实收资本_综合收益总额增加权益</v>
          </cell>
          <cell r="D756">
            <v>-1</v>
          </cell>
          <cell r="E756">
            <v>0</v>
          </cell>
          <cell r="F756">
            <v>0</v>
          </cell>
          <cell r="G756" t="str">
            <v>（一）综合收益总额</v>
          </cell>
          <cell r="H756">
            <v>0</v>
          </cell>
          <cell r="I756">
            <v>8140</v>
          </cell>
          <cell r="J756" t="str">
            <v>J</v>
          </cell>
        </row>
        <row r="757">
          <cell r="B757">
            <v>8160</v>
          </cell>
          <cell r="C757" t="str">
            <v>实收资本_利润分配影响权益</v>
          </cell>
          <cell r="D757">
            <v>0</v>
          </cell>
          <cell r="E757" t="str">
            <v>＝</v>
          </cell>
          <cell r="F757">
            <v>0</v>
          </cell>
          <cell r="G757" t="str">
            <v>（三）利润分配</v>
          </cell>
          <cell r="H757">
            <v>0</v>
          </cell>
          <cell r="I757">
            <v>8160</v>
          </cell>
          <cell r="J757">
            <v>0</v>
          </cell>
        </row>
        <row r="758">
          <cell r="B758">
            <v>8180</v>
          </cell>
          <cell r="C758" t="str">
            <v>实收资本_专项储备影响权益</v>
          </cell>
          <cell r="D758">
            <v>0</v>
          </cell>
          <cell r="E758" t="str">
            <v>＝</v>
          </cell>
          <cell r="F758">
            <v>0</v>
          </cell>
          <cell r="G758" t="str">
            <v>（五）专项储备</v>
          </cell>
          <cell r="H758">
            <v>0</v>
          </cell>
          <cell r="I758">
            <v>8180</v>
          </cell>
          <cell r="J758">
            <v>0</v>
          </cell>
        </row>
        <row r="759">
          <cell r="B759">
            <v>8280</v>
          </cell>
          <cell r="C759" t="str">
            <v>资本公积_专项储备影响权益</v>
          </cell>
          <cell r="D759">
            <v>0</v>
          </cell>
          <cell r="E759" t="str">
            <v>＝</v>
          </cell>
          <cell r="F759">
            <v>0</v>
          </cell>
          <cell r="G759" t="str">
            <v>（五）专项储备</v>
          </cell>
          <cell r="H759">
            <v>0</v>
          </cell>
          <cell r="I759">
            <v>8280</v>
          </cell>
          <cell r="J759">
            <v>0</v>
          </cell>
        </row>
        <row r="760">
          <cell r="B760">
            <v>8340</v>
          </cell>
          <cell r="C760" t="str">
            <v>库存股_综合收益总额增加权益</v>
          </cell>
          <cell r="D760">
            <v>1</v>
          </cell>
          <cell r="E760">
            <v>0</v>
          </cell>
          <cell r="F760">
            <v>0</v>
          </cell>
          <cell r="G760" t="str">
            <v>（一）综合收益总额</v>
          </cell>
          <cell r="H760">
            <v>0</v>
          </cell>
          <cell r="I760">
            <v>8340</v>
          </cell>
          <cell r="J760" t="str">
            <v>J</v>
          </cell>
        </row>
        <row r="761">
          <cell r="B761">
            <v>8380</v>
          </cell>
          <cell r="C761" t="str">
            <v>库存股_专项储备影响权益</v>
          </cell>
          <cell r="D761">
            <v>0</v>
          </cell>
          <cell r="E761" t="str">
            <v>＝</v>
          </cell>
          <cell r="F761">
            <v>0</v>
          </cell>
          <cell r="G761" t="str">
            <v>（五）专项储备</v>
          </cell>
          <cell r="H761">
            <v>0</v>
          </cell>
          <cell r="I761">
            <v>8380</v>
          </cell>
          <cell r="J761">
            <v>0</v>
          </cell>
        </row>
        <row r="762">
          <cell r="B762">
            <v>8440</v>
          </cell>
          <cell r="C762" t="str">
            <v>专项储备_综合收益总额增加权益</v>
          </cell>
          <cell r="D762">
            <v>-1</v>
          </cell>
          <cell r="E762">
            <v>0</v>
          </cell>
          <cell r="F762">
            <v>0</v>
          </cell>
          <cell r="G762" t="str">
            <v>（一）综合收益总额</v>
          </cell>
          <cell r="H762">
            <v>0</v>
          </cell>
          <cell r="I762">
            <v>8440</v>
          </cell>
          <cell r="J762" t="str">
            <v>J</v>
          </cell>
        </row>
        <row r="763">
          <cell r="B763">
            <v>8450</v>
          </cell>
          <cell r="C763" t="str">
            <v>专项储备_所有者投入和减少资本影响权益</v>
          </cell>
          <cell r="D763">
            <v>0</v>
          </cell>
          <cell r="E763" t="str">
            <v>＝</v>
          </cell>
          <cell r="F763">
            <v>0</v>
          </cell>
          <cell r="G763" t="str">
            <v>（二）所有者投入和减少资本</v>
          </cell>
          <cell r="H763">
            <v>0</v>
          </cell>
          <cell r="I763">
            <v>8450</v>
          </cell>
          <cell r="J763">
            <v>0</v>
          </cell>
        </row>
        <row r="764">
          <cell r="B764">
            <v>8460</v>
          </cell>
          <cell r="C764" t="str">
            <v>专项储备_利润分配影响权益</v>
          </cell>
          <cell r="D764">
            <v>0</v>
          </cell>
          <cell r="E764" t="str">
            <v>＝</v>
          </cell>
          <cell r="F764">
            <v>0</v>
          </cell>
          <cell r="G764" t="str">
            <v>（三）利润分配</v>
          </cell>
          <cell r="H764">
            <v>0</v>
          </cell>
          <cell r="I764">
            <v>8460</v>
          </cell>
          <cell r="J764">
            <v>0</v>
          </cell>
        </row>
        <row r="765">
          <cell r="B765">
            <v>8540</v>
          </cell>
          <cell r="C765" t="str">
            <v>盈余公积_综合收益总额增加权益</v>
          </cell>
          <cell r="D765">
            <v>-1</v>
          </cell>
          <cell r="E765">
            <v>0</v>
          </cell>
          <cell r="F765">
            <v>0</v>
          </cell>
          <cell r="G765" t="str">
            <v>（一）综合收益总额</v>
          </cell>
          <cell r="H765">
            <v>0</v>
          </cell>
          <cell r="I765">
            <v>8540</v>
          </cell>
          <cell r="J765" t="str">
            <v>J</v>
          </cell>
        </row>
        <row r="766">
          <cell r="B766">
            <v>8580</v>
          </cell>
          <cell r="C766" t="str">
            <v>盈余公积_专项储备影响权益</v>
          </cell>
          <cell r="D766">
            <v>0</v>
          </cell>
          <cell r="E766" t="str">
            <v>＝</v>
          </cell>
          <cell r="F766">
            <v>0</v>
          </cell>
          <cell r="G766" t="str">
            <v>（五）专项储备</v>
          </cell>
          <cell r="H766">
            <v>0</v>
          </cell>
          <cell r="I766">
            <v>8580</v>
          </cell>
          <cell r="J766">
            <v>0</v>
          </cell>
        </row>
        <row r="767">
          <cell r="B767">
            <v>8640</v>
          </cell>
          <cell r="C767" t="str">
            <v>一般风险准备_综合收益总额增加权益</v>
          </cell>
          <cell r="D767">
            <v>-1</v>
          </cell>
          <cell r="E767">
            <v>0</v>
          </cell>
          <cell r="F767">
            <v>0</v>
          </cell>
          <cell r="G767" t="str">
            <v>（一）综合收益总额</v>
          </cell>
          <cell r="H767">
            <v>0</v>
          </cell>
          <cell r="I767">
            <v>8640</v>
          </cell>
          <cell r="J767" t="str">
            <v>J</v>
          </cell>
        </row>
        <row r="768">
          <cell r="B768">
            <v>8680</v>
          </cell>
          <cell r="C768" t="str">
            <v>一般风险准备_专项储备影响权益</v>
          </cell>
          <cell r="D768">
            <v>0</v>
          </cell>
          <cell r="E768" t="str">
            <v>＝</v>
          </cell>
          <cell r="F768">
            <v>0</v>
          </cell>
          <cell r="G768" t="str">
            <v>（五）专项储备</v>
          </cell>
          <cell r="H768">
            <v>0</v>
          </cell>
          <cell r="I768">
            <v>8680</v>
          </cell>
          <cell r="J768">
            <v>0</v>
          </cell>
        </row>
        <row r="769">
          <cell r="B769" t="str">
            <v>8a00</v>
          </cell>
          <cell r="C769" t="str">
            <v>其他权益工具增减变动</v>
          </cell>
          <cell r="D769">
            <v>0</v>
          </cell>
          <cell r="E769" t="str">
            <v>：OEI</v>
          </cell>
          <cell r="F769">
            <v>0</v>
          </cell>
          <cell r="G769" t="str">
            <v>其他权益工具增减变动</v>
          </cell>
          <cell r="H769">
            <v>0</v>
          </cell>
          <cell r="I769" t="str">
            <v>8a00</v>
          </cell>
          <cell r="J769">
            <v>0</v>
          </cell>
        </row>
        <row r="770">
          <cell r="B770" t="str">
            <v>8a01</v>
          </cell>
          <cell r="C770" t="str">
            <v>其他权益工具_上年年末余额</v>
          </cell>
          <cell r="D770">
            <v>-1</v>
          </cell>
          <cell r="E770" t="str">
            <v>OEI</v>
          </cell>
          <cell r="F770">
            <v>0</v>
          </cell>
          <cell r="G770" t="str">
            <v>一、上年年末余额</v>
          </cell>
          <cell r="H770">
            <v>0</v>
          </cell>
          <cell r="I770" t="str">
            <v>8a01</v>
          </cell>
          <cell r="J770">
            <v>0</v>
          </cell>
        </row>
        <row r="771">
          <cell r="B771" t="str">
            <v>8a02</v>
          </cell>
          <cell r="C771" t="str">
            <v>其他权益工具_会计政策变更调整上年年末余额</v>
          </cell>
          <cell r="D771">
            <v>-1</v>
          </cell>
          <cell r="E771" t="str">
            <v>OEI</v>
          </cell>
          <cell r="F771">
            <v>0</v>
          </cell>
          <cell r="G771" t="str">
            <v>加：会计政策变更</v>
          </cell>
          <cell r="H771">
            <v>0</v>
          </cell>
          <cell r="I771" t="str">
            <v>8a02</v>
          </cell>
          <cell r="J771">
            <v>0</v>
          </cell>
        </row>
        <row r="772">
          <cell r="B772" t="str">
            <v>8a03</v>
          </cell>
          <cell r="C772" t="str">
            <v>其他权益工具_前期差错更正调整上年年末余额</v>
          </cell>
          <cell r="D772">
            <v>-1</v>
          </cell>
          <cell r="E772" t="str">
            <v>OEI</v>
          </cell>
          <cell r="F772">
            <v>0</v>
          </cell>
          <cell r="G772" t="str">
            <v>前期差错更正</v>
          </cell>
          <cell r="H772">
            <v>0</v>
          </cell>
          <cell r="I772" t="str">
            <v>8a03</v>
          </cell>
          <cell r="J772">
            <v>0</v>
          </cell>
        </row>
        <row r="773">
          <cell r="B773" t="str">
            <v>8a04</v>
          </cell>
          <cell r="C773" t="str">
            <v>其他权益工具_同一控制下企业合并调整上年年末余额</v>
          </cell>
          <cell r="D773">
            <v>-1</v>
          </cell>
          <cell r="E773" t="str">
            <v>※OEI</v>
          </cell>
          <cell r="F773">
            <v>0</v>
          </cell>
          <cell r="G773" t="str">
            <v>同一控制下企业合并</v>
          </cell>
          <cell r="H773">
            <v>0</v>
          </cell>
          <cell r="I773" t="str">
            <v>8a04</v>
          </cell>
          <cell r="J773">
            <v>0</v>
          </cell>
        </row>
        <row r="774">
          <cell r="B774" t="str">
            <v>8a09</v>
          </cell>
          <cell r="C774" t="str">
            <v>其他权益工具_其他原因调整上年年末余额</v>
          </cell>
          <cell r="D774">
            <v>-1</v>
          </cell>
          <cell r="E774" t="str">
            <v>OEI</v>
          </cell>
          <cell r="F774">
            <v>0</v>
          </cell>
          <cell r="G774" t="str">
            <v>其他</v>
          </cell>
          <cell r="H774">
            <v>0</v>
          </cell>
          <cell r="I774" t="str">
            <v>8a09</v>
          </cell>
          <cell r="J774">
            <v>0</v>
          </cell>
        </row>
        <row r="775">
          <cell r="B775" t="str">
            <v>8a10</v>
          </cell>
          <cell r="C775" t="str">
            <v>其他权益工具_本年年初余额</v>
          </cell>
          <cell r="D775">
            <v>0</v>
          </cell>
          <cell r="E775" t="str">
            <v>OEI＝</v>
          </cell>
          <cell r="F775">
            <v>0</v>
          </cell>
          <cell r="G775" t="str">
            <v>二、本年年初余额</v>
          </cell>
          <cell r="H775">
            <v>0</v>
          </cell>
          <cell r="I775" t="str">
            <v>8a10</v>
          </cell>
          <cell r="J775">
            <v>0</v>
          </cell>
        </row>
        <row r="776">
          <cell r="B776" t="str">
            <v>8a90</v>
          </cell>
          <cell r="C776" t="str">
            <v>其他权益工具_本期增减变动金额</v>
          </cell>
          <cell r="D776">
            <v>0</v>
          </cell>
          <cell r="E776" t="str">
            <v>OEI＝</v>
          </cell>
          <cell r="F776">
            <v>0</v>
          </cell>
          <cell r="G776" t="str">
            <v>三、本期增减变动金额（减少以“-”号填列）</v>
          </cell>
          <cell r="H776">
            <v>0</v>
          </cell>
          <cell r="I776" t="str">
            <v>8a90</v>
          </cell>
          <cell r="J776">
            <v>0</v>
          </cell>
        </row>
        <row r="777">
          <cell r="B777" t="str">
            <v>8a40</v>
          </cell>
          <cell r="C777" t="str">
            <v>其他权益工具_综合收益总额增加权益</v>
          </cell>
          <cell r="D777">
            <v>0</v>
          </cell>
          <cell r="E777" t="str">
            <v>OEI</v>
          </cell>
          <cell r="F777">
            <v>0</v>
          </cell>
          <cell r="G777" t="str">
            <v>（一）综合收益总额</v>
          </cell>
          <cell r="H777">
            <v>0</v>
          </cell>
          <cell r="I777" t="str">
            <v>8a40</v>
          </cell>
          <cell r="J777">
            <v>0</v>
          </cell>
        </row>
        <row r="778">
          <cell r="B778" t="str">
            <v>8a50</v>
          </cell>
          <cell r="C778" t="str">
            <v>其他权益工具_所有者投入和减少资本影响权益</v>
          </cell>
          <cell r="D778">
            <v>0</v>
          </cell>
          <cell r="E778" t="str">
            <v>OEI＝</v>
          </cell>
          <cell r="F778">
            <v>0</v>
          </cell>
          <cell r="G778" t="str">
            <v>（二）所有者投入和减少资本</v>
          </cell>
          <cell r="H778">
            <v>0</v>
          </cell>
          <cell r="I778" t="str">
            <v>8a50</v>
          </cell>
          <cell r="J778">
            <v>0</v>
          </cell>
        </row>
        <row r="779">
          <cell r="B779" t="str">
            <v>8a51</v>
          </cell>
          <cell r="C779" t="str">
            <v>其他权益工具_所有者投入资本</v>
          </cell>
          <cell r="D779">
            <v>-1</v>
          </cell>
          <cell r="E779" t="str">
            <v>OEI</v>
          </cell>
          <cell r="F779">
            <v>0</v>
          </cell>
          <cell r="G779" t="str">
            <v>所有者投入资本</v>
          </cell>
          <cell r="H779">
            <v>0</v>
          </cell>
          <cell r="I779" t="str">
            <v>8a51</v>
          </cell>
          <cell r="J779">
            <v>0</v>
          </cell>
        </row>
        <row r="780">
          <cell r="B780" t="str">
            <v>8a52</v>
          </cell>
          <cell r="C780" t="str">
            <v>其他权益工具_股份支付</v>
          </cell>
          <cell r="D780">
            <v>-1</v>
          </cell>
          <cell r="E780" t="str">
            <v>OEI</v>
          </cell>
          <cell r="F780">
            <v>0</v>
          </cell>
          <cell r="G780" t="str">
            <v>股份支付计入所有者权益的金额</v>
          </cell>
          <cell r="H780">
            <v>0</v>
          </cell>
          <cell r="I780" t="str">
            <v>8a52</v>
          </cell>
          <cell r="J780">
            <v>0</v>
          </cell>
        </row>
        <row r="781">
          <cell r="B781" t="str">
            <v>8a53</v>
          </cell>
          <cell r="C781" t="str">
            <v>其他权益工具_其他权益工具持有者投入资本</v>
          </cell>
          <cell r="D781">
            <v>-1</v>
          </cell>
          <cell r="E781" t="str">
            <v>OEI</v>
          </cell>
          <cell r="F781">
            <v>0</v>
          </cell>
          <cell r="G781" t="str">
            <v>其他权益工具持有者投入资本</v>
          </cell>
          <cell r="H781">
            <v>0</v>
          </cell>
          <cell r="I781" t="str">
            <v>8a53</v>
          </cell>
          <cell r="J781">
            <v>0</v>
          </cell>
        </row>
        <row r="782">
          <cell r="B782" t="str">
            <v>8a56</v>
          </cell>
          <cell r="C782" t="str">
            <v>其他权益工具_所有者其他投入和减少资本</v>
          </cell>
          <cell r="D782">
            <v>-1</v>
          </cell>
          <cell r="E782" t="str">
            <v>OEI</v>
          </cell>
          <cell r="F782">
            <v>0</v>
          </cell>
          <cell r="G782" t="str">
            <v>其他</v>
          </cell>
          <cell r="H782">
            <v>0</v>
          </cell>
          <cell r="I782" t="str">
            <v>8a56</v>
          </cell>
          <cell r="J782">
            <v>0</v>
          </cell>
        </row>
        <row r="783">
          <cell r="B783" t="str">
            <v>8a60</v>
          </cell>
          <cell r="C783" t="str">
            <v>其他权益工具_利润分配影响权益</v>
          </cell>
          <cell r="D783">
            <v>0</v>
          </cell>
          <cell r="E783" t="str">
            <v>OEI＝</v>
          </cell>
          <cell r="F783">
            <v>0</v>
          </cell>
          <cell r="G783" t="str">
            <v>（三）利润分配</v>
          </cell>
          <cell r="H783">
            <v>0</v>
          </cell>
          <cell r="I783" t="str">
            <v>8a60</v>
          </cell>
          <cell r="J783">
            <v>0</v>
          </cell>
        </row>
        <row r="784">
          <cell r="B784" t="str">
            <v>8a61</v>
          </cell>
          <cell r="C784" t="str">
            <v>其他权益工具_提取盈余公积</v>
          </cell>
          <cell r="D784">
            <v>-1</v>
          </cell>
          <cell r="E784" t="str">
            <v>OEI</v>
          </cell>
          <cell r="F784">
            <v>0</v>
          </cell>
          <cell r="G784" t="str">
            <v>提取盈余公积</v>
          </cell>
          <cell r="H784">
            <v>0</v>
          </cell>
          <cell r="I784" t="str">
            <v>8a61</v>
          </cell>
          <cell r="J784">
            <v>0</v>
          </cell>
        </row>
        <row r="785">
          <cell r="B785" t="str">
            <v>8a62</v>
          </cell>
          <cell r="C785" t="str">
            <v>其他权益工具_提取一般风险准备</v>
          </cell>
          <cell r="D785">
            <v>-1</v>
          </cell>
          <cell r="E785" t="str">
            <v>OEI</v>
          </cell>
          <cell r="F785">
            <v>0</v>
          </cell>
          <cell r="G785" t="str">
            <v>提取一般风险准备</v>
          </cell>
          <cell r="H785">
            <v>0</v>
          </cell>
          <cell r="I785" t="str">
            <v>8a62</v>
          </cell>
          <cell r="J785">
            <v>0</v>
          </cell>
        </row>
        <row r="786">
          <cell r="B786" t="str">
            <v>8a63</v>
          </cell>
          <cell r="C786" t="str">
            <v>其他权益工具_对所有者的分配</v>
          </cell>
          <cell r="D786">
            <v>-1</v>
          </cell>
          <cell r="E786" t="str">
            <v>OEI</v>
          </cell>
          <cell r="F786">
            <v>0</v>
          </cell>
          <cell r="G786" t="str">
            <v>对所有者（或股东）的分配</v>
          </cell>
          <cell r="H786">
            <v>0</v>
          </cell>
          <cell r="I786" t="str">
            <v>8a63</v>
          </cell>
          <cell r="J786">
            <v>0</v>
          </cell>
        </row>
        <row r="787">
          <cell r="B787" t="str">
            <v>8a66</v>
          </cell>
          <cell r="C787" t="str">
            <v>其他权益工具_其他利润分配</v>
          </cell>
          <cell r="D787">
            <v>-1</v>
          </cell>
          <cell r="E787" t="str">
            <v>OEI</v>
          </cell>
          <cell r="F787">
            <v>0</v>
          </cell>
          <cell r="G787" t="str">
            <v>其他</v>
          </cell>
          <cell r="H787">
            <v>0</v>
          </cell>
          <cell r="I787" t="str">
            <v>8a66</v>
          </cell>
          <cell r="J787">
            <v>0</v>
          </cell>
        </row>
        <row r="788">
          <cell r="B788" t="str">
            <v>8a70</v>
          </cell>
          <cell r="C788" t="str">
            <v>其他权益工具_所有者权益内部结转</v>
          </cell>
          <cell r="D788">
            <v>0</v>
          </cell>
          <cell r="E788" t="str">
            <v>OEI＝</v>
          </cell>
          <cell r="F788">
            <v>0</v>
          </cell>
          <cell r="G788" t="str">
            <v>（四）所有者权益内部结转</v>
          </cell>
          <cell r="H788">
            <v>0</v>
          </cell>
          <cell r="I788" t="str">
            <v>8a70</v>
          </cell>
          <cell r="J788">
            <v>0</v>
          </cell>
        </row>
        <row r="789">
          <cell r="B789" t="str">
            <v>8a71</v>
          </cell>
          <cell r="C789" t="str">
            <v>其他权益工具_资本公积转增资本</v>
          </cell>
          <cell r="D789">
            <v>-1</v>
          </cell>
          <cell r="E789" t="str">
            <v>OEI</v>
          </cell>
          <cell r="F789">
            <v>0</v>
          </cell>
          <cell r="G789" t="str">
            <v>资本公积转增资本（或股本）</v>
          </cell>
          <cell r="H789">
            <v>0</v>
          </cell>
          <cell r="I789" t="str">
            <v>8a71</v>
          </cell>
          <cell r="J789">
            <v>0</v>
          </cell>
        </row>
        <row r="790">
          <cell r="B790" t="str">
            <v>8a72</v>
          </cell>
          <cell r="C790" t="str">
            <v>其他权益工具_盈余公积转增资本</v>
          </cell>
          <cell r="D790">
            <v>-1</v>
          </cell>
          <cell r="E790" t="str">
            <v>OEI</v>
          </cell>
          <cell r="F790">
            <v>0</v>
          </cell>
          <cell r="G790" t="str">
            <v>盈余公积转增资本（或股本）</v>
          </cell>
          <cell r="H790">
            <v>0</v>
          </cell>
          <cell r="I790" t="str">
            <v>8a72</v>
          </cell>
          <cell r="J790">
            <v>0</v>
          </cell>
        </row>
        <row r="791">
          <cell r="B791" t="str">
            <v>8a73</v>
          </cell>
          <cell r="C791" t="str">
            <v>其他权益工具_盈余公积弥补亏损</v>
          </cell>
          <cell r="D791">
            <v>-1</v>
          </cell>
          <cell r="E791" t="str">
            <v>OEI</v>
          </cell>
          <cell r="F791">
            <v>0</v>
          </cell>
          <cell r="G791" t="str">
            <v>盈余公积弥补亏损</v>
          </cell>
          <cell r="H791">
            <v>0</v>
          </cell>
          <cell r="I791" t="str">
            <v>8a73</v>
          </cell>
          <cell r="J791">
            <v>0</v>
          </cell>
        </row>
        <row r="792">
          <cell r="B792" t="str">
            <v>8a75</v>
          </cell>
          <cell r="C792" t="str">
            <v>其他权益工具_设定受益计划变动额结转留存收益</v>
          </cell>
          <cell r="D792">
            <v>-1</v>
          </cell>
          <cell r="E792" t="str">
            <v>OEI</v>
          </cell>
          <cell r="F792">
            <v>0</v>
          </cell>
          <cell r="G792" t="str">
            <v>设定受益计划变动额结转留存收益</v>
          </cell>
          <cell r="H792">
            <v>0</v>
          </cell>
          <cell r="I792" t="str">
            <v>8a75</v>
          </cell>
          <cell r="J792">
            <v>0</v>
          </cell>
        </row>
        <row r="793">
          <cell r="B793" t="str">
            <v>8a76</v>
          </cell>
          <cell r="C793" t="str">
            <v>其他权益工具_所有者权益其他内部结转</v>
          </cell>
          <cell r="D793">
            <v>-1</v>
          </cell>
          <cell r="E793" t="str">
            <v>OEI</v>
          </cell>
          <cell r="F793">
            <v>0</v>
          </cell>
          <cell r="G793" t="str">
            <v>其他</v>
          </cell>
          <cell r="H793">
            <v>0</v>
          </cell>
          <cell r="I793" t="str">
            <v>8a76</v>
          </cell>
          <cell r="J793">
            <v>0</v>
          </cell>
        </row>
        <row r="794">
          <cell r="B794" t="str">
            <v>8a80</v>
          </cell>
          <cell r="C794" t="str">
            <v>其他权益工具_专项储备影响权益</v>
          </cell>
          <cell r="D794">
            <v>0</v>
          </cell>
          <cell r="E794" t="str">
            <v>OEI＝</v>
          </cell>
          <cell r="F794">
            <v>0</v>
          </cell>
          <cell r="G794" t="str">
            <v>（五）专项储备</v>
          </cell>
          <cell r="H794">
            <v>0</v>
          </cell>
          <cell r="I794" t="str">
            <v>8a80</v>
          </cell>
          <cell r="J794">
            <v>0</v>
          </cell>
        </row>
        <row r="795">
          <cell r="B795" t="str">
            <v>8a81</v>
          </cell>
          <cell r="C795" t="str">
            <v>其他权益工具_专项储备本期提取</v>
          </cell>
          <cell r="D795">
            <v>-1</v>
          </cell>
          <cell r="E795" t="str">
            <v>OEI</v>
          </cell>
          <cell r="F795">
            <v>0</v>
          </cell>
          <cell r="G795" t="str">
            <v>本期提取</v>
          </cell>
          <cell r="H795">
            <v>0</v>
          </cell>
          <cell r="I795" t="str">
            <v>8a81</v>
          </cell>
          <cell r="J795">
            <v>0</v>
          </cell>
        </row>
        <row r="796">
          <cell r="B796" t="str">
            <v>8a82</v>
          </cell>
          <cell r="C796" t="str">
            <v>其他权益工具_专项储备本期使用</v>
          </cell>
          <cell r="D796">
            <v>-1</v>
          </cell>
          <cell r="E796" t="str">
            <v>OEI</v>
          </cell>
          <cell r="F796">
            <v>0</v>
          </cell>
          <cell r="G796" t="str">
            <v>本期使用</v>
          </cell>
          <cell r="H796">
            <v>0</v>
          </cell>
          <cell r="I796" t="str">
            <v>8a82</v>
          </cell>
          <cell r="J796">
            <v>0</v>
          </cell>
        </row>
        <row r="797">
          <cell r="B797" t="str">
            <v>8a96</v>
          </cell>
          <cell r="C797" t="str">
            <v>其他权益工具_本期其他增减变动</v>
          </cell>
          <cell r="D797">
            <v>-1</v>
          </cell>
          <cell r="E797" t="str">
            <v>OEI</v>
          </cell>
          <cell r="F797">
            <v>0</v>
          </cell>
          <cell r="G797" t="str">
            <v>（七）其他</v>
          </cell>
          <cell r="H797">
            <v>0</v>
          </cell>
          <cell r="I797" t="str">
            <v>8a96</v>
          </cell>
          <cell r="J797">
            <v>0</v>
          </cell>
        </row>
        <row r="798">
          <cell r="B798" t="str">
            <v>8a99</v>
          </cell>
          <cell r="C798" t="str">
            <v>其他权益工具_本期期末余额</v>
          </cell>
          <cell r="D798">
            <v>0</v>
          </cell>
          <cell r="E798" t="str">
            <v>OEI＝</v>
          </cell>
          <cell r="F798">
            <v>0</v>
          </cell>
          <cell r="G798" t="str">
            <v>四、本期期末余额</v>
          </cell>
          <cell r="H798">
            <v>0</v>
          </cell>
          <cell r="I798" t="str">
            <v>8a99</v>
          </cell>
          <cell r="J798">
            <v>0</v>
          </cell>
        </row>
        <row r="799">
          <cell r="B799">
            <v>7400</v>
          </cell>
          <cell r="C799" t="str">
            <v>现金流量调整</v>
          </cell>
          <cell r="D799">
            <v>1</v>
          </cell>
          <cell r="E799">
            <v>0</v>
          </cell>
          <cell r="F799">
            <v>0</v>
          </cell>
          <cell r="G799" t="str">
            <v>现金流量调整</v>
          </cell>
          <cell r="H799">
            <v>0</v>
          </cell>
          <cell r="I799">
            <v>7400</v>
          </cell>
          <cell r="J799">
            <v>0</v>
          </cell>
        </row>
        <row r="800">
          <cell r="B800">
            <v>9325</v>
          </cell>
          <cell r="C800" t="str">
            <v>金融工具及风险管理</v>
          </cell>
          <cell r="D800">
            <v>0</v>
          </cell>
          <cell r="E800">
            <v>0</v>
          </cell>
          <cell r="F800">
            <v>0</v>
          </cell>
          <cell r="G800">
            <v>0</v>
          </cell>
          <cell r="H800">
            <v>0</v>
          </cell>
          <cell r="I800">
            <v>9325</v>
          </cell>
          <cell r="J800">
            <v>0</v>
          </cell>
        </row>
        <row r="801">
          <cell r="B801">
            <v>9690</v>
          </cell>
          <cell r="C801" t="str">
            <v>补充资料</v>
          </cell>
          <cell r="D801">
            <v>0</v>
          </cell>
          <cell r="E801">
            <v>0</v>
          </cell>
          <cell r="F801">
            <v>0</v>
          </cell>
          <cell r="G801">
            <v>0</v>
          </cell>
          <cell r="H801">
            <v>0</v>
          </cell>
          <cell r="I801">
            <v>9690</v>
          </cell>
          <cell r="J801">
            <v>0</v>
          </cell>
        </row>
        <row r="802">
          <cell r="B802">
            <v>1521.1523</v>
          </cell>
          <cell r="C802" t="str">
            <v>投资性房地产累计折旧</v>
          </cell>
          <cell r="D802">
            <v>-1</v>
          </cell>
          <cell r="E802">
            <v>0</v>
          </cell>
          <cell r="F802">
            <v>0</v>
          </cell>
          <cell r="G802">
            <v>0</v>
          </cell>
          <cell r="H802">
            <v>0</v>
          </cell>
          <cell r="I802">
            <v>1521.1523</v>
          </cell>
          <cell r="J802" t="str">
            <v>J</v>
          </cell>
        </row>
        <row r="803">
          <cell r="B803">
            <v>6829.5110000000004</v>
          </cell>
          <cell r="C803" t="str">
            <v>少数股东其他综合收益_重新计量设定受益计划变动额</v>
          </cell>
          <cell r="D803">
            <v>1</v>
          </cell>
          <cell r="E803" t="str">
            <v>※</v>
          </cell>
          <cell r="F803">
            <v>0</v>
          </cell>
          <cell r="G803">
            <v>0</v>
          </cell>
          <cell r="H803">
            <v>0</v>
          </cell>
          <cell r="I803">
            <v>6829.5110000000004</v>
          </cell>
          <cell r="J803" t="str">
            <v>J</v>
          </cell>
        </row>
        <row r="804">
          <cell r="B804">
            <v>6829.5119999999997</v>
          </cell>
          <cell r="C804" t="str">
            <v>少数股东其他综合收益_权益法下不能转损益的其他综合收益</v>
          </cell>
          <cell r="D804">
            <v>1</v>
          </cell>
          <cell r="E804" t="str">
            <v>※</v>
          </cell>
          <cell r="F804">
            <v>0</v>
          </cell>
          <cell r="G804">
            <v>0</v>
          </cell>
          <cell r="H804">
            <v>0</v>
          </cell>
          <cell r="I804">
            <v>6829.5119999999997</v>
          </cell>
          <cell r="J804" t="str">
            <v>J</v>
          </cell>
        </row>
        <row r="805">
          <cell r="B805">
            <v>6829.5190000000002</v>
          </cell>
          <cell r="C805" t="str">
            <v>少数股东其他综合收益_其他以后不能重分类进损益的其他综合收益</v>
          </cell>
          <cell r="D805">
            <v>1</v>
          </cell>
          <cell r="E805" t="str">
            <v>※</v>
          </cell>
          <cell r="F805">
            <v>0</v>
          </cell>
          <cell r="G805">
            <v>0</v>
          </cell>
          <cell r="H805">
            <v>0</v>
          </cell>
          <cell r="I805">
            <v>6829.5190000000002</v>
          </cell>
          <cell r="J805" t="str">
            <v>J</v>
          </cell>
        </row>
        <row r="806">
          <cell r="B806">
            <v>6829.5309999999999</v>
          </cell>
          <cell r="C806" t="str">
            <v>少数股东其他综合收益_权益法下可转损益的其他综合收益</v>
          </cell>
          <cell r="D806">
            <v>1</v>
          </cell>
          <cell r="E806" t="str">
            <v>※</v>
          </cell>
          <cell r="F806">
            <v>0</v>
          </cell>
          <cell r="G806">
            <v>0</v>
          </cell>
          <cell r="H806">
            <v>0</v>
          </cell>
          <cell r="I806">
            <v>6829.5309999999999</v>
          </cell>
          <cell r="J806" t="str">
            <v>J</v>
          </cell>
        </row>
        <row r="807">
          <cell r="B807">
            <v>6829.5320000000002</v>
          </cell>
          <cell r="C807" t="str">
            <v>少数股东其他综合收益_可供出售金融资产公允价值变动损益</v>
          </cell>
          <cell r="D807">
            <v>1</v>
          </cell>
          <cell r="E807" t="str">
            <v>※</v>
          </cell>
          <cell r="F807">
            <v>0</v>
          </cell>
          <cell r="G807">
            <v>0</v>
          </cell>
          <cell r="H807">
            <v>0</v>
          </cell>
          <cell r="I807">
            <v>6829.5320000000002</v>
          </cell>
          <cell r="J807" t="str">
            <v>J</v>
          </cell>
        </row>
        <row r="808">
          <cell r="B808">
            <v>6829.5330000000004</v>
          </cell>
          <cell r="C808" t="str">
            <v>少数股东其他综合收益_持有至到期投资重分类为可供出售金融资产损益</v>
          </cell>
          <cell r="D808">
            <v>1</v>
          </cell>
          <cell r="E808" t="str">
            <v>※</v>
          </cell>
          <cell r="F808">
            <v>0</v>
          </cell>
          <cell r="G808">
            <v>0</v>
          </cell>
          <cell r="H808">
            <v>0</v>
          </cell>
          <cell r="I808">
            <v>6829.5330000000004</v>
          </cell>
          <cell r="J808" t="str">
            <v>J</v>
          </cell>
        </row>
        <row r="809">
          <cell r="B809">
            <v>6829.5339999999997</v>
          </cell>
          <cell r="C809" t="str">
            <v>少数股东其他综合收益_现金流量套期损益的有效部分</v>
          </cell>
          <cell r="D809">
            <v>1</v>
          </cell>
          <cell r="E809" t="str">
            <v>※</v>
          </cell>
          <cell r="F809">
            <v>0</v>
          </cell>
          <cell r="G809">
            <v>0</v>
          </cell>
          <cell r="H809">
            <v>0</v>
          </cell>
          <cell r="I809">
            <v>6829.5339999999997</v>
          </cell>
          <cell r="J809" t="str">
            <v>J</v>
          </cell>
        </row>
        <row r="810">
          <cell r="B810">
            <v>6829.5349999999999</v>
          </cell>
          <cell r="C810" t="str">
            <v>少数股东其他综合收益_外币财务报表折算差额</v>
          </cell>
          <cell r="D810">
            <v>1</v>
          </cell>
          <cell r="E810" t="str">
            <v>※</v>
          </cell>
          <cell r="F810">
            <v>0</v>
          </cell>
          <cell r="G810">
            <v>0</v>
          </cell>
          <cell r="H810">
            <v>0</v>
          </cell>
          <cell r="I810">
            <v>6829.5349999999999</v>
          </cell>
          <cell r="J810" t="str">
            <v>J</v>
          </cell>
        </row>
        <row r="811">
          <cell r="B811">
            <v>6829.5360000000001</v>
          </cell>
          <cell r="C811" t="str">
            <v>少数股东其他综合收益_自用房地产或作为存货的房地产转换为以公允价值计量的投资性房地产在转换日公允价值大于账面价值部分</v>
          </cell>
          <cell r="D811">
            <v>1</v>
          </cell>
          <cell r="E811" t="str">
            <v>※</v>
          </cell>
          <cell r="F811">
            <v>0</v>
          </cell>
          <cell r="G811">
            <v>0</v>
          </cell>
          <cell r="H811">
            <v>0</v>
          </cell>
          <cell r="I811">
            <v>6829.5360000000001</v>
          </cell>
          <cell r="J811" t="str">
            <v>J</v>
          </cell>
        </row>
        <row r="812">
          <cell r="B812">
            <v>6829.5370000000003</v>
          </cell>
          <cell r="C812" t="str">
            <v>少数股东其他综合收益_多次交易分步处置子公司股权构成一揽子交易的丧失控制权之前各次交易处置价款与对应净资产账面价值份额的差额</v>
          </cell>
          <cell r="D812">
            <v>1</v>
          </cell>
          <cell r="E812" t="str">
            <v>※</v>
          </cell>
          <cell r="F812">
            <v>0</v>
          </cell>
          <cell r="G812">
            <v>0</v>
          </cell>
          <cell r="H812">
            <v>0</v>
          </cell>
          <cell r="I812">
            <v>6829.5370000000003</v>
          </cell>
          <cell r="J812" t="str">
            <v>J</v>
          </cell>
        </row>
        <row r="813">
          <cell r="B813">
            <v>6829.5389999999998</v>
          </cell>
          <cell r="C813" t="str">
            <v>少数股东其他综合收益_其他以后将重分类进损益的其他综合收益</v>
          </cell>
          <cell r="D813">
            <v>1</v>
          </cell>
          <cell r="E813" t="str">
            <v>※</v>
          </cell>
          <cell r="F813">
            <v>0</v>
          </cell>
          <cell r="G813">
            <v>0</v>
          </cell>
          <cell r="H813">
            <v>0</v>
          </cell>
          <cell r="I813">
            <v>6829.5389999999998</v>
          </cell>
          <cell r="J813" t="str">
            <v>J</v>
          </cell>
        </row>
        <row r="814">
          <cell r="B814">
            <v>6181</v>
          </cell>
          <cell r="C814" t="str">
            <v>其他收益</v>
          </cell>
          <cell r="D814">
            <v>-1</v>
          </cell>
          <cell r="E814">
            <v>0</v>
          </cell>
          <cell r="F814">
            <v>6480</v>
          </cell>
          <cell r="G814" t="str">
            <v>加：其他收益</v>
          </cell>
          <cell r="H814" t="str">
            <v>加：其他收益</v>
          </cell>
          <cell r="I814">
            <v>6181</v>
          </cell>
          <cell r="J814" t="str">
            <v>J</v>
          </cell>
        </row>
        <row r="815">
          <cell r="B815">
            <v>6810</v>
          </cell>
          <cell r="C815" t="str">
            <v>归属所有者的净利润_X</v>
          </cell>
          <cell r="D815">
            <v>0</v>
          </cell>
          <cell r="E815">
            <v>0</v>
          </cell>
          <cell r="F815">
            <v>0</v>
          </cell>
          <cell r="G815" t="str">
            <v>（一）归属所有者的净利润</v>
          </cell>
          <cell r="H815" t="str">
            <v>（一）归属所有者的净利润</v>
          </cell>
          <cell r="I815">
            <v>6810</v>
          </cell>
          <cell r="J815">
            <v>0</v>
          </cell>
        </row>
        <row r="816">
          <cell r="B816">
            <v>6815</v>
          </cell>
          <cell r="C816" t="str">
            <v>来自持续经营和终止经营的净利润_X</v>
          </cell>
          <cell r="D816">
            <v>0</v>
          </cell>
          <cell r="E816">
            <v>0</v>
          </cell>
          <cell r="F816">
            <v>0</v>
          </cell>
          <cell r="G816" t="str">
            <v>（二）来自持续经营和终止经营的净利润</v>
          </cell>
          <cell r="H816" t="str">
            <v>（二）来自持续经营和终止经营的净利润</v>
          </cell>
          <cell r="I816">
            <v>6815</v>
          </cell>
          <cell r="J816">
            <v>0</v>
          </cell>
        </row>
        <row r="817">
          <cell r="B817">
            <v>6816</v>
          </cell>
          <cell r="C817" t="str">
            <v>持续经营净利润</v>
          </cell>
          <cell r="D817">
            <v>1</v>
          </cell>
          <cell r="E817">
            <v>0</v>
          </cell>
          <cell r="F817">
            <v>0</v>
          </cell>
          <cell r="G817" t="str">
            <v>（一）持续经营净利润（净亏损以“-”号填列）</v>
          </cell>
          <cell r="H817" t="str">
            <v>其中：持续经营净利润（净亏损以“-”号填列）</v>
          </cell>
          <cell r="I817">
            <v>6816</v>
          </cell>
          <cell r="J817">
            <v>0</v>
          </cell>
        </row>
        <row r="818">
          <cell r="B818">
            <v>6817</v>
          </cell>
          <cell r="C818" t="str">
            <v>终止经营净利润</v>
          </cell>
          <cell r="D818">
            <v>1</v>
          </cell>
          <cell r="E818">
            <v>0</v>
          </cell>
          <cell r="F818">
            <v>0</v>
          </cell>
          <cell r="G818" t="str">
            <v>（二）终止经营净利润（净亏损以“-”号填列）</v>
          </cell>
          <cell r="H818" t="str">
            <v>终止经营净利润（净亏损以“-”号填列）</v>
          </cell>
          <cell r="I818">
            <v>6817</v>
          </cell>
          <cell r="J818">
            <v>0</v>
          </cell>
        </row>
        <row r="819">
          <cell r="B819">
            <v>9371</v>
          </cell>
          <cell r="C819" t="str">
            <v>政府补助</v>
          </cell>
          <cell r="D819">
            <v>0</v>
          </cell>
          <cell r="E819">
            <v>0</v>
          </cell>
          <cell r="F819">
            <v>0</v>
          </cell>
          <cell r="G819">
            <v>0</v>
          </cell>
          <cell r="H819">
            <v>0</v>
          </cell>
          <cell r="I819">
            <v>9371</v>
          </cell>
          <cell r="J819">
            <v>0</v>
          </cell>
        </row>
        <row r="820">
          <cell r="B820">
            <v>6171</v>
          </cell>
          <cell r="C820" t="str">
            <v>资产处置收益</v>
          </cell>
          <cell r="D820">
            <v>-1</v>
          </cell>
          <cell r="E820">
            <v>0</v>
          </cell>
          <cell r="F820">
            <v>6440</v>
          </cell>
          <cell r="G820" t="str">
            <v>资产处置收益(损失以“-”号填列）</v>
          </cell>
          <cell r="H820" t="str">
            <v>资产处置收益(损失以“-”号填列）</v>
          </cell>
          <cell r="I820">
            <v>6171</v>
          </cell>
          <cell r="J820" t="str">
            <v>J</v>
          </cell>
        </row>
        <row r="821">
          <cell r="B821">
            <v>6830</v>
          </cell>
          <cell r="C821" t="str">
            <v>净利润按所有权归属分类</v>
          </cell>
          <cell r="D821">
            <v>0</v>
          </cell>
          <cell r="E821" t="str">
            <v>※</v>
          </cell>
          <cell r="F821">
            <v>0</v>
          </cell>
          <cell r="G821">
            <v>0</v>
          </cell>
          <cell r="H821" t="str">
            <v>（二）按所有权归属分类：</v>
          </cell>
          <cell r="I821">
            <v>6830</v>
          </cell>
          <cell r="J821">
            <v>0</v>
          </cell>
        </row>
        <row r="822">
          <cell r="B822">
            <v>6835</v>
          </cell>
          <cell r="C822" t="str">
            <v>净利润按经营持续性分类</v>
          </cell>
          <cell r="D822">
            <v>0</v>
          </cell>
          <cell r="E822" t="str">
            <v>※</v>
          </cell>
          <cell r="F822">
            <v>0</v>
          </cell>
          <cell r="G822">
            <v>0</v>
          </cell>
          <cell r="H822" t="str">
            <v>（一）按经营持续性分类：</v>
          </cell>
          <cell r="I822">
            <v>6835</v>
          </cell>
          <cell r="J822">
            <v>0</v>
          </cell>
        </row>
        <row r="823">
          <cell r="B823">
            <v>1123</v>
          </cell>
          <cell r="C823" t="str">
            <v>应收票据及应收账款</v>
          </cell>
          <cell r="D823">
            <v>1</v>
          </cell>
          <cell r="E823">
            <v>0</v>
          </cell>
          <cell r="F823">
            <v>0</v>
          </cell>
          <cell r="G823" t="str">
            <v>应收票据及应收账款</v>
          </cell>
          <cell r="H823" t="str">
            <v>应收票据及应收账款</v>
          </cell>
          <cell r="I823">
            <v>1123</v>
          </cell>
          <cell r="J823" t="str">
            <v>J</v>
          </cell>
        </row>
        <row r="824">
          <cell r="B824">
            <v>2203</v>
          </cell>
          <cell r="C824" t="str">
            <v>应付票据及应付账款</v>
          </cell>
          <cell r="D824">
            <v>-1</v>
          </cell>
          <cell r="E824">
            <v>0</v>
          </cell>
          <cell r="F824">
            <v>0</v>
          </cell>
          <cell r="G824" t="str">
            <v>应付票据及应付账款</v>
          </cell>
          <cell r="H824" t="str">
            <v>应付票据及应付账款</v>
          </cell>
          <cell r="I824">
            <v>2203</v>
          </cell>
          <cell r="J824" t="str">
            <v>J</v>
          </cell>
        </row>
        <row r="825">
          <cell r="B825" t="str">
            <v>6603_01</v>
          </cell>
          <cell r="C825" t="str">
            <v>财务费用_利息费用</v>
          </cell>
          <cell r="D825">
            <v>1</v>
          </cell>
          <cell r="E825">
            <v>0</v>
          </cell>
          <cell r="F825">
            <v>0</v>
          </cell>
          <cell r="G825" t="str">
            <v>其中：利息费用</v>
          </cell>
          <cell r="H825" t="str">
            <v>其中：利息费用</v>
          </cell>
          <cell r="I825" t="str">
            <v>6603_01</v>
          </cell>
          <cell r="J825" t="str">
            <v>J</v>
          </cell>
        </row>
        <row r="826">
          <cell r="B826" t="str">
            <v>6603_06</v>
          </cell>
          <cell r="C826" t="str">
            <v>财务费用_利息收入</v>
          </cell>
          <cell r="D826">
            <v>-1</v>
          </cell>
          <cell r="E826">
            <v>0</v>
          </cell>
          <cell r="F826">
            <v>0</v>
          </cell>
          <cell r="G826" t="str">
            <v xml:space="preserve">      利息收入</v>
          </cell>
          <cell r="H826" t="str">
            <v xml:space="preserve">      利息收入</v>
          </cell>
          <cell r="I826" t="str">
            <v>6603_06</v>
          </cell>
          <cell r="J826" t="str">
            <v>J</v>
          </cell>
        </row>
        <row r="827">
          <cell r="B827">
            <v>6606</v>
          </cell>
          <cell r="C827" t="str">
            <v>研发费用</v>
          </cell>
          <cell r="D827">
            <v>1</v>
          </cell>
          <cell r="E827">
            <v>0</v>
          </cell>
          <cell r="F827">
            <v>6370</v>
          </cell>
          <cell r="G827" t="str">
            <v>研发费用</v>
          </cell>
          <cell r="H827" t="str">
            <v>研发费用</v>
          </cell>
          <cell r="I827">
            <v>6606</v>
          </cell>
          <cell r="J827" t="str">
            <v>J</v>
          </cell>
        </row>
        <row r="828">
          <cell r="B828">
            <v>1220</v>
          </cell>
          <cell r="C828" t="str">
            <v>其他应收款（报表项目）</v>
          </cell>
          <cell r="D828">
            <v>1</v>
          </cell>
          <cell r="E828">
            <v>0</v>
          </cell>
          <cell r="F828">
            <v>0</v>
          </cell>
          <cell r="G828" t="str">
            <v>其他应收款</v>
          </cell>
          <cell r="H828" t="str">
            <v>其他应收款</v>
          </cell>
          <cell r="I828">
            <v>1220</v>
          </cell>
          <cell r="J828">
            <v>0</v>
          </cell>
        </row>
        <row r="829">
          <cell r="B829">
            <v>1611</v>
          </cell>
          <cell r="C829" t="str">
            <v>固定资产（报表项目）</v>
          </cell>
          <cell r="D829">
            <v>1</v>
          </cell>
          <cell r="E829">
            <v>0</v>
          </cell>
          <cell r="F829">
            <v>0</v>
          </cell>
          <cell r="G829" t="str">
            <v>固定资产</v>
          </cell>
          <cell r="H829" t="str">
            <v>固定资产</v>
          </cell>
          <cell r="I829">
            <v>1611</v>
          </cell>
          <cell r="J829">
            <v>0</v>
          </cell>
        </row>
        <row r="830">
          <cell r="B830">
            <v>1616</v>
          </cell>
          <cell r="C830" t="str">
            <v>在建工程（报表项目）</v>
          </cell>
          <cell r="D830">
            <v>1</v>
          </cell>
          <cell r="E830">
            <v>0</v>
          </cell>
          <cell r="F830">
            <v>0</v>
          </cell>
          <cell r="G830" t="str">
            <v>在建工程</v>
          </cell>
          <cell r="H830" t="str">
            <v>在建工程</v>
          </cell>
          <cell r="I830">
            <v>1616</v>
          </cell>
          <cell r="J830">
            <v>0</v>
          </cell>
        </row>
        <row r="831">
          <cell r="B831">
            <v>2246</v>
          </cell>
          <cell r="C831" t="str">
            <v>其他应付款（报表项目）</v>
          </cell>
          <cell r="D831">
            <v>-1</v>
          </cell>
          <cell r="E831">
            <v>0</v>
          </cell>
          <cell r="F831">
            <v>0</v>
          </cell>
          <cell r="G831" t="str">
            <v>其他应付款</v>
          </cell>
          <cell r="H831" t="str">
            <v>其他应付款</v>
          </cell>
          <cell r="I831">
            <v>2246</v>
          </cell>
          <cell r="J831">
            <v>0</v>
          </cell>
        </row>
        <row r="832">
          <cell r="B832">
            <v>2706</v>
          </cell>
          <cell r="C832" t="str">
            <v>长期应付款（报表项目）</v>
          </cell>
          <cell r="D832">
            <v>-1</v>
          </cell>
          <cell r="E832">
            <v>0</v>
          </cell>
          <cell r="F832">
            <v>0</v>
          </cell>
          <cell r="G832" t="str">
            <v>长期应付款</v>
          </cell>
          <cell r="H832" t="str">
            <v>长期应付款</v>
          </cell>
          <cell r="I832">
            <v>2706</v>
          </cell>
          <cell r="J832">
            <v>0</v>
          </cell>
        </row>
      </sheetData>
      <sheetData sheetId="1">
        <row r="5">
          <cell r="F5">
            <v>43281</v>
          </cell>
        </row>
        <row r="6">
          <cell r="F6">
            <v>43100</v>
          </cell>
        </row>
        <row r="7">
          <cell r="F7" t="str">
            <v>2018年1－6月</v>
          </cell>
        </row>
        <row r="8">
          <cell r="F8" t="str">
            <v>2017年度</v>
          </cell>
        </row>
      </sheetData>
      <sheetData sheetId="2" refreshError="1"/>
      <sheetData sheetId="3">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E9">
            <v>0</v>
          </cell>
          <cell r="F9">
            <v>0</v>
          </cell>
          <cell r="G9">
            <v>0</v>
          </cell>
          <cell r="H9">
            <v>2000</v>
          </cell>
          <cell r="I9" t="str">
            <v>流动负债：</v>
          </cell>
          <cell r="J9">
            <v>0</v>
          </cell>
          <cell r="K9">
            <v>0</v>
          </cell>
          <cell r="L9">
            <v>0</v>
          </cell>
        </row>
        <row r="10">
          <cell r="C10">
            <v>1015</v>
          </cell>
          <cell r="D10" t="str">
            <v>货币资金</v>
          </cell>
          <cell r="E10" t="str">
            <v>谢</v>
          </cell>
          <cell r="F10">
            <v>65563844.149999999</v>
          </cell>
          <cell r="G10">
            <v>191177877.88</v>
          </cell>
          <cell r="H10">
            <v>2001</v>
          </cell>
          <cell r="I10" t="str">
            <v>短期借款</v>
          </cell>
          <cell r="J10" t="str">
            <v>谢</v>
          </cell>
          <cell r="K10">
            <v>91658421.109999999</v>
          </cell>
          <cell r="L10">
            <v>71738421.109999999</v>
          </cell>
        </row>
        <row r="11">
          <cell r="C11">
            <v>1021</v>
          </cell>
          <cell r="D11" t="str">
            <v>结算备付金</v>
          </cell>
          <cell r="E11">
            <v>0</v>
          </cell>
          <cell r="F11">
            <v>0</v>
          </cell>
          <cell r="G11">
            <v>0</v>
          </cell>
          <cell r="H11">
            <v>2004</v>
          </cell>
          <cell r="I11" t="str">
            <v>向中央银行借款</v>
          </cell>
          <cell r="J11">
            <v>0</v>
          </cell>
          <cell r="K11">
            <v>0</v>
          </cell>
          <cell r="L11">
            <v>0</v>
          </cell>
        </row>
        <row r="12">
          <cell r="C12">
            <v>1302</v>
          </cell>
          <cell r="D12" t="str">
            <v>拆出资金</v>
          </cell>
          <cell r="E12">
            <v>0</v>
          </cell>
          <cell r="F12">
            <v>0</v>
          </cell>
          <cell r="G12">
            <v>0</v>
          </cell>
          <cell r="H12">
            <v>2010</v>
          </cell>
          <cell r="I12" t="str">
            <v>吸收存款及同业存放</v>
          </cell>
          <cell r="J12">
            <v>0</v>
          </cell>
          <cell r="K12">
            <v>0</v>
          </cell>
          <cell r="L12">
            <v>0</v>
          </cell>
        </row>
        <row r="13">
          <cell r="C13">
            <v>0</v>
          </cell>
          <cell r="D13" t="str">
            <v/>
          </cell>
          <cell r="E13">
            <v>0</v>
          </cell>
          <cell r="F13">
            <v>0</v>
          </cell>
          <cell r="G13" t="str">
            <v/>
          </cell>
          <cell r="H13">
            <v>2003</v>
          </cell>
          <cell r="I13" t="str">
            <v>拆入资金</v>
          </cell>
          <cell r="J13">
            <v>0</v>
          </cell>
          <cell r="K13">
            <v>0</v>
          </cell>
          <cell r="L13">
            <v>0</v>
          </cell>
        </row>
        <row r="14">
          <cell r="C14">
            <v>1101</v>
          </cell>
          <cell r="D14" t="str">
            <v>以公允价值计量且其变动计入当期损益的金融资产</v>
          </cell>
          <cell r="E14">
            <v>0</v>
          </cell>
          <cell r="F14">
            <v>0</v>
          </cell>
          <cell r="G14">
            <v>0</v>
          </cell>
          <cell r="H14">
            <v>2101</v>
          </cell>
          <cell r="I14" t="str">
            <v>以公允价值计量且其变动计入当期损益的金融负债</v>
          </cell>
          <cell r="J14">
            <v>0</v>
          </cell>
          <cell r="K14">
            <v>0</v>
          </cell>
          <cell r="L14">
            <v>0</v>
          </cell>
        </row>
        <row r="15">
          <cell r="C15">
            <v>1115</v>
          </cell>
          <cell r="D15" t="str">
            <v>衍生金融资产</v>
          </cell>
          <cell r="E15">
            <v>0</v>
          </cell>
          <cell r="F15">
            <v>0</v>
          </cell>
          <cell r="G15">
            <v>0</v>
          </cell>
          <cell r="H15">
            <v>2115</v>
          </cell>
          <cell r="I15" t="str">
            <v>衍生金融负债</v>
          </cell>
          <cell r="J15">
            <v>0</v>
          </cell>
          <cell r="K15">
            <v>0</v>
          </cell>
          <cell r="L15">
            <v>0</v>
          </cell>
        </row>
        <row r="16">
          <cell r="C16">
            <v>1123</v>
          </cell>
          <cell r="D16" t="str">
            <v>应收票据及应收账款</v>
          </cell>
          <cell r="E16">
            <v>0</v>
          </cell>
          <cell r="F16">
            <v>376132839.94999999</v>
          </cell>
          <cell r="G16">
            <v>268944981.23000002</v>
          </cell>
          <cell r="H16">
            <v>2203</v>
          </cell>
          <cell r="I16" t="str">
            <v>应付票据及应付账款</v>
          </cell>
          <cell r="J16">
            <v>0</v>
          </cell>
          <cell r="K16">
            <v>146010326.41</v>
          </cell>
          <cell r="L16">
            <v>135508675.34</v>
          </cell>
        </row>
        <row r="17">
          <cell r="C17">
            <v>1121</v>
          </cell>
          <cell r="D17" t="str">
            <v>其中：应收票据</v>
          </cell>
          <cell r="E17" t="str">
            <v>谢</v>
          </cell>
          <cell r="F17">
            <v>5091373.3600000003</v>
          </cell>
          <cell r="G17">
            <v>1856316</v>
          </cell>
          <cell r="H17">
            <v>2201</v>
          </cell>
          <cell r="I17" t="str">
            <v>其中：应付票据</v>
          </cell>
          <cell r="J17" t="str">
            <v>谢</v>
          </cell>
          <cell r="K17">
            <v>85000</v>
          </cell>
          <cell r="L17">
            <v>31100503.649999999</v>
          </cell>
        </row>
        <row r="18">
          <cell r="C18">
            <v>1122</v>
          </cell>
          <cell r="D18" t="str">
            <v>其中：应收账款</v>
          </cell>
          <cell r="E18" t="str">
            <v>周</v>
          </cell>
          <cell r="F18">
            <v>371041466.58999997</v>
          </cell>
          <cell r="G18">
            <v>267088665.22999999</v>
          </cell>
          <cell r="H18">
            <v>2202</v>
          </cell>
          <cell r="I18" t="str">
            <v>其中：应付账款</v>
          </cell>
          <cell r="J18" t="str">
            <v>刘</v>
          </cell>
          <cell r="K18">
            <v>145925326.41</v>
          </cell>
          <cell r="L18">
            <v>104408171.69</v>
          </cell>
        </row>
        <row r="19">
          <cell r="C19">
            <v>1125</v>
          </cell>
          <cell r="D19" t="str">
            <v>预付款项</v>
          </cell>
          <cell r="E19" t="str">
            <v>刘</v>
          </cell>
          <cell r="F19">
            <v>120866718.23999999</v>
          </cell>
          <cell r="G19">
            <v>48283528.670000002</v>
          </cell>
          <cell r="H19">
            <v>2205</v>
          </cell>
          <cell r="I19" t="str">
            <v>预收款项</v>
          </cell>
          <cell r="J19" t="str">
            <v>周</v>
          </cell>
          <cell r="K19">
            <v>5525400.3200000003</v>
          </cell>
          <cell r="L19">
            <v>76412661.299999997</v>
          </cell>
        </row>
        <row r="20">
          <cell r="C20">
            <v>1127</v>
          </cell>
          <cell r="D20" t="str">
            <v>应收保费</v>
          </cell>
          <cell r="E20">
            <v>0</v>
          </cell>
          <cell r="F20">
            <v>0</v>
          </cell>
          <cell r="G20">
            <v>0</v>
          </cell>
          <cell r="H20">
            <v>2111</v>
          </cell>
          <cell r="I20" t="str">
            <v>卖出回购金融资产款</v>
          </cell>
          <cell r="J20">
            <v>0</v>
          </cell>
          <cell r="K20">
            <v>0</v>
          </cell>
          <cell r="L20">
            <v>0</v>
          </cell>
        </row>
        <row r="21">
          <cell r="C21">
            <v>1211</v>
          </cell>
          <cell r="D21" t="str">
            <v>应收分保账款</v>
          </cell>
          <cell r="E21">
            <v>0</v>
          </cell>
          <cell r="F21">
            <v>0</v>
          </cell>
          <cell r="G21">
            <v>0</v>
          </cell>
          <cell r="H21">
            <v>2240</v>
          </cell>
          <cell r="I21" t="str">
            <v>应付手续费及佣金</v>
          </cell>
          <cell r="J21">
            <v>0</v>
          </cell>
          <cell r="K21">
            <v>0</v>
          </cell>
          <cell r="L21">
            <v>0</v>
          </cell>
        </row>
        <row r="22">
          <cell r="C22">
            <v>1212</v>
          </cell>
          <cell r="D22" t="str">
            <v>应收分保准备金</v>
          </cell>
          <cell r="E22">
            <v>0</v>
          </cell>
          <cell r="F22">
            <v>0</v>
          </cell>
          <cell r="G22">
            <v>0</v>
          </cell>
          <cell r="H22">
            <v>0</v>
          </cell>
          <cell r="I22" t="str">
            <v/>
          </cell>
          <cell r="J22">
            <v>0</v>
          </cell>
          <cell r="K22">
            <v>0</v>
          </cell>
          <cell r="L22" t="str">
            <v/>
          </cell>
        </row>
        <row r="23">
          <cell r="C23">
            <v>1220</v>
          </cell>
          <cell r="D23" t="str">
            <v>其他应收款（报表项目）</v>
          </cell>
          <cell r="E23">
            <v>0</v>
          </cell>
          <cell r="F23">
            <v>80138276.890000001</v>
          </cell>
          <cell r="G23">
            <v>58404603.030000001</v>
          </cell>
          <cell r="H23">
            <v>2211</v>
          </cell>
          <cell r="I23" t="str">
            <v>应付职工薪酬</v>
          </cell>
          <cell r="J23" t="str">
            <v>陈</v>
          </cell>
          <cell r="K23">
            <v>3786648.75</v>
          </cell>
          <cell r="L23">
            <v>5812418.4900000002</v>
          </cell>
        </row>
        <row r="24">
          <cell r="C24">
            <v>1132</v>
          </cell>
          <cell r="D24" t="str">
            <v>其中：应收利息</v>
          </cell>
          <cell r="E24">
            <v>0</v>
          </cell>
          <cell r="F24">
            <v>0</v>
          </cell>
          <cell r="G24">
            <v>0</v>
          </cell>
          <cell r="H24">
            <v>2221</v>
          </cell>
          <cell r="I24" t="str">
            <v>应交税费</v>
          </cell>
          <cell r="J24" t="str">
            <v>陈</v>
          </cell>
          <cell r="K24">
            <v>10916151.369999999</v>
          </cell>
          <cell r="L24">
            <v>1058526.48</v>
          </cell>
        </row>
        <row r="25">
          <cell r="C25">
            <v>1131</v>
          </cell>
          <cell r="D25" t="str">
            <v>其中：应收股利</v>
          </cell>
          <cell r="E25">
            <v>0</v>
          </cell>
          <cell r="F25">
            <v>0</v>
          </cell>
          <cell r="G25">
            <v>0</v>
          </cell>
          <cell r="H25">
            <v>2246</v>
          </cell>
          <cell r="I25" t="str">
            <v>其他应付款（报表项目）</v>
          </cell>
          <cell r="J25">
            <v>0</v>
          </cell>
          <cell r="K25">
            <v>2283060.54</v>
          </cell>
          <cell r="L25">
            <v>19856404.300000001</v>
          </cell>
        </row>
        <row r="26">
          <cell r="C26">
            <v>1221</v>
          </cell>
          <cell r="D26" t="str">
            <v>其中：其他应收款</v>
          </cell>
          <cell r="E26" t="str">
            <v>陈</v>
          </cell>
          <cell r="F26">
            <v>80138276.890000001</v>
          </cell>
          <cell r="G26">
            <v>58404603.030000001</v>
          </cell>
          <cell r="H26">
            <v>2231</v>
          </cell>
          <cell r="I26" t="str">
            <v>其中：应付利息</v>
          </cell>
          <cell r="J26" t="str">
            <v>谢</v>
          </cell>
          <cell r="K26">
            <v>1425000</v>
          </cell>
          <cell r="L26">
            <v>564620.09</v>
          </cell>
        </row>
        <row r="27">
          <cell r="C27">
            <v>1111</v>
          </cell>
          <cell r="D27" t="str">
            <v>买入返售金融资产</v>
          </cell>
          <cell r="E27">
            <v>0</v>
          </cell>
          <cell r="F27">
            <v>0</v>
          </cell>
          <cell r="G27">
            <v>0</v>
          </cell>
          <cell r="H27">
            <v>0</v>
          </cell>
          <cell r="I27" t="str">
            <v/>
          </cell>
          <cell r="J27">
            <v>0</v>
          </cell>
          <cell r="K27">
            <v>0</v>
          </cell>
          <cell r="L27" t="str">
            <v/>
          </cell>
        </row>
        <row r="28">
          <cell r="C28">
            <v>1400</v>
          </cell>
          <cell r="D28" t="str">
            <v>存货</v>
          </cell>
          <cell r="E28" t="str">
            <v>刘</v>
          </cell>
          <cell r="F28">
            <v>165585947.87</v>
          </cell>
          <cell r="G28">
            <v>206066137.69</v>
          </cell>
          <cell r="H28">
            <v>2232</v>
          </cell>
          <cell r="I28" t="str">
            <v>其中：应付股利</v>
          </cell>
          <cell r="J28">
            <v>0</v>
          </cell>
          <cell r="K28">
            <v>0</v>
          </cell>
          <cell r="L28">
            <v>0</v>
          </cell>
        </row>
        <row r="29">
          <cell r="C29">
            <v>0</v>
          </cell>
          <cell r="D29" t="str">
            <v/>
          </cell>
          <cell r="E29">
            <v>0</v>
          </cell>
          <cell r="F29">
            <v>0</v>
          </cell>
          <cell r="G29" t="str">
            <v/>
          </cell>
          <cell r="H29">
            <v>2241</v>
          </cell>
          <cell r="I29" t="str">
            <v>其中：其他应付款</v>
          </cell>
          <cell r="J29" t="str">
            <v>陈</v>
          </cell>
          <cell r="K29">
            <v>858060.54</v>
          </cell>
          <cell r="L29">
            <v>19291784.210000001</v>
          </cell>
        </row>
        <row r="30">
          <cell r="C30">
            <v>0</v>
          </cell>
          <cell r="D30" t="str">
            <v/>
          </cell>
          <cell r="E30">
            <v>0</v>
          </cell>
          <cell r="F30">
            <v>0</v>
          </cell>
          <cell r="G30" t="str">
            <v/>
          </cell>
          <cell r="H30">
            <v>2261</v>
          </cell>
          <cell r="I30" t="str">
            <v>应付分保账款</v>
          </cell>
          <cell r="J30">
            <v>0</v>
          </cell>
          <cell r="K30">
            <v>0</v>
          </cell>
          <cell r="L30">
            <v>0</v>
          </cell>
        </row>
        <row r="31">
          <cell r="C31">
            <v>0</v>
          </cell>
          <cell r="D31" t="str">
            <v/>
          </cell>
          <cell r="E31">
            <v>0</v>
          </cell>
          <cell r="F31">
            <v>0</v>
          </cell>
          <cell r="G31" t="str">
            <v/>
          </cell>
          <cell r="H31">
            <v>2310</v>
          </cell>
          <cell r="I31" t="str">
            <v>保险合同准备金</v>
          </cell>
          <cell r="J31">
            <v>0</v>
          </cell>
          <cell r="K31">
            <v>0</v>
          </cell>
          <cell r="L31">
            <v>0</v>
          </cell>
        </row>
        <row r="32">
          <cell r="C32">
            <v>0</v>
          </cell>
          <cell r="D32" t="str">
            <v/>
          </cell>
          <cell r="E32">
            <v>0</v>
          </cell>
          <cell r="F32">
            <v>0</v>
          </cell>
          <cell r="G32" t="str">
            <v/>
          </cell>
          <cell r="H32">
            <v>2311</v>
          </cell>
          <cell r="I32" t="str">
            <v>代理买卖证券款</v>
          </cell>
          <cell r="J32">
            <v>0</v>
          </cell>
          <cell r="K32">
            <v>0</v>
          </cell>
          <cell r="L32">
            <v>0</v>
          </cell>
        </row>
        <row r="33">
          <cell r="C33">
            <v>0</v>
          </cell>
          <cell r="D33" t="str">
            <v/>
          </cell>
          <cell r="E33">
            <v>0</v>
          </cell>
          <cell r="F33">
            <v>0</v>
          </cell>
          <cell r="G33" t="str">
            <v/>
          </cell>
          <cell r="H33">
            <v>2312</v>
          </cell>
          <cell r="I33" t="str">
            <v>代理承销证券款</v>
          </cell>
          <cell r="J33">
            <v>0</v>
          </cell>
          <cell r="K33">
            <v>0</v>
          </cell>
          <cell r="L33">
            <v>0</v>
          </cell>
        </row>
        <row r="34">
          <cell r="C34">
            <v>1315</v>
          </cell>
          <cell r="D34" t="str">
            <v>持有待售资产</v>
          </cell>
          <cell r="E34">
            <v>0</v>
          </cell>
          <cell r="F34">
            <v>0</v>
          </cell>
          <cell r="G34">
            <v>0</v>
          </cell>
          <cell r="H34">
            <v>2315</v>
          </cell>
          <cell r="I34" t="str">
            <v>持有待售负债</v>
          </cell>
          <cell r="J34">
            <v>0</v>
          </cell>
          <cell r="K34">
            <v>0</v>
          </cell>
          <cell r="L34">
            <v>0</v>
          </cell>
        </row>
        <row r="35">
          <cell r="C35">
            <v>1495</v>
          </cell>
          <cell r="D35" t="str">
            <v>一年内到期的非流动资产</v>
          </cell>
          <cell r="E35">
            <v>0</v>
          </cell>
          <cell r="F35">
            <v>0</v>
          </cell>
          <cell r="G35">
            <v>0</v>
          </cell>
          <cell r="H35">
            <v>2395</v>
          </cell>
          <cell r="I35" t="str">
            <v>一年内到期的非流动负债</v>
          </cell>
          <cell r="J35">
            <v>0</v>
          </cell>
          <cell r="K35">
            <v>0</v>
          </cell>
          <cell r="L35">
            <v>20000000</v>
          </cell>
        </row>
        <row r="36">
          <cell r="C36">
            <v>1496</v>
          </cell>
          <cell r="D36" t="str">
            <v>其他流动资产</v>
          </cell>
          <cell r="E36" t="str">
            <v>孙</v>
          </cell>
          <cell r="F36">
            <v>0</v>
          </cell>
          <cell r="G36">
            <v>15415212.289999999</v>
          </cell>
          <cell r="H36">
            <v>2396</v>
          </cell>
          <cell r="I36" t="str">
            <v>其他流动负债</v>
          </cell>
          <cell r="J36">
            <v>0</v>
          </cell>
          <cell r="K36">
            <v>0</v>
          </cell>
          <cell r="L36">
            <v>0</v>
          </cell>
        </row>
        <row r="37">
          <cell r="C37">
            <v>1498</v>
          </cell>
          <cell r="D37" t="str">
            <v>流动资产合计</v>
          </cell>
          <cell r="E37">
            <v>0</v>
          </cell>
          <cell r="F37">
            <v>808287627.10000002</v>
          </cell>
          <cell r="G37">
            <v>788292340.78999996</v>
          </cell>
          <cell r="H37">
            <v>2498</v>
          </cell>
          <cell r="I37" t="str">
            <v>流动负债合计</v>
          </cell>
          <cell r="J37">
            <v>0</v>
          </cell>
          <cell r="K37">
            <v>260180008.5</v>
          </cell>
          <cell r="L37">
            <v>330387107.01999998</v>
          </cell>
        </row>
        <row r="38">
          <cell r="C38">
            <v>1500</v>
          </cell>
          <cell r="D38" t="str">
            <v>非流动资产：</v>
          </cell>
          <cell r="E38">
            <v>0</v>
          </cell>
          <cell r="F38">
            <v>0</v>
          </cell>
          <cell r="G38">
            <v>0</v>
          </cell>
          <cell r="H38">
            <v>2500</v>
          </cell>
          <cell r="I38" t="str">
            <v>非流动负债：</v>
          </cell>
          <cell r="J38">
            <v>0</v>
          </cell>
          <cell r="K38">
            <v>0</v>
          </cell>
          <cell r="L38">
            <v>0</v>
          </cell>
        </row>
        <row r="39">
          <cell r="C39">
            <v>1600</v>
          </cell>
          <cell r="D39" t="str">
            <v>发放贷款及垫款</v>
          </cell>
          <cell r="E39">
            <v>0</v>
          </cell>
          <cell r="F39">
            <v>0</v>
          </cell>
          <cell r="G39">
            <v>0</v>
          </cell>
          <cell r="H39">
            <v>0</v>
          </cell>
          <cell r="I39" t="str">
            <v/>
          </cell>
          <cell r="J39">
            <v>0</v>
          </cell>
          <cell r="K39">
            <v>0</v>
          </cell>
          <cell r="L39" t="str">
            <v/>
          </cell>
        </row>
        <row r="40">
          <cell r="C40">
            <v>1503</v>
          </cell>
          <cell r="D40" t="str">
            <v>可供出售金融资产</v>
          </cell>
          <cell r="E40">
            <v>0</v>
          </cell>
          <cell r="F40">
            <v>0</v>
          </cell>
          <cell r="G40">
            <v>0</v>
          </cell>
          <cell r="H40">
            <v>2501</v>
          </cell>
          <cell r="I40" t="str">
            <v>长期借款</v>
          </cell>
          <cell r="J40">
            <v>0</v>
          </cell>
          <cell r="K40">
            <v>0</v>
          </cell>
          <cell r="L40">
            <v>0</v>
          </cell>
        </row>
        <row r="41">
          <cell r="C41">
            <v>1501</v>
          </cell>
          <cell r="D41" t="str">
            <v>持有至到期投资</v>
          </cell>
          <cell r="E41">
            <v>0</v>
          </cell>
          <cell r="F41">
            <v>0</v>
          </cell>
          <cell r="G41">
            <v>0</v>
          </cell>
          <cell r="H41">
            <v>0</v>
          </cell>
          <cell r="I41" t="str">
            <v/>
          </cell>
          <cell r="J41">
            <v>0</v>
          </cell>
          <cell r="K41">
            <v>0</v>
          </cell>
          <cell r="L41" t="str">
            <v/>
          </cell>
        </row>
        <row r="42">
          <cell r="C42">
            <v>1531</v>
          </cell>
          <cell r="D42" t="str">
            <v>长期应收款</v>
          </cell>
          <cell r="E42">
            <v>0</v>
          </cell>
          <cell r="F42">
            <v>0</v>
          </cell>
          <cell r="G42">
            <v>0</v>
          </cell>
          <cell r="H42">
            <v>2502</v>
          </cell>
          <cell r="I42" t="str">
            <v>应付债券</v>
          </cell>
          <cell r="J42" t="str">
            <v>谢</v>
          </cell>
          <cell r="K42">
            <v>49420045.649999999</v>
          </cell>
          <cell r="L42">
            <v>29257436.73</v>
          </cell>
        </row>
        <row r="43">
          <cell r="C43">
            <v>1515</v>
          </cell>
          <cell r="D43" t="str">
            <v>设定受益计划净资产</v>
          </cell>
          <cell r="E43">
            <v>0</v>
          </cell>
          <cell r="F43">
            <v>0</v>
          </cell>
          <cell r="G43">
            <v>0</v>
          </cell>
          <cell r="H43">
            <v>2502.11</v>
          </cell>
          <cell r="I43" t="str">
            <v>其中：优先股</v>
          </cell>
          <cell r="J43">
            <v>0</v>
          </cell>
          <cell r="K43">
            <v>0</v>
          </cell>
          <cell r="L43">
            <v>0</v>
          </cell>
        </row>
        <row r="44">
          <cell r="C44">
            <v>0</v>
          </cell>
          <cell r="D44" t="str">
            <v/>
          </cell>
          <cell r="E44">
            <v>0</v>
          </cell>
          <cell r="F44">
            <v>0</v>
          </cell>
          <cell r="G44" t="str">
            <v/>
          </cell>
          <cell r="H44">
            <v>2502.31</v>
          </cell>
          <cell r="I44" t="str">
            <v xml:space="preserve">      永续债</v>
          </cell>
          <cell r="J44">
            <v>0</v>
          </cell>
          <cell r="K44">
            <v>0</v>
          </cell>
          <cell r="L44">
            <v>0</v>
          </cell>
        </row>
        <row r="45">
          <cell r="C45">
            <v>1511</v>
          </cell>
          <cell r="D45" t="str">
            <v>长期股权投资</v>
          </cell>
          <cell r="E45" t="str">
            <v>孙</v>
          </cell>
          <cell r="F45">
            <v>61000000</v>
          </cell>
          <cell r="G45">
            <v>61000000</v>
          </cell>
          <cell r="H45">
            <v>2706</v>
          </cell>
          <cell r="I45" t="str">
            <v>长期应付款（报表项目）</v>
          </cell>
          <cell r="J45">
            <v>0</v>
          </cell>
          <cell r="K45">
            <v>0</v>
          </cell>
          <cell r="L45">
            <v>0</v>
          </cell>
        </row>
        <row r="46">
          <cell r="C46">
            <v>1521</v>
          </cell>
          <cell r="D46" t="str">
            <v>投资性房地产</v>
          </cell>
          <cell r="E46">
            <v>0</v>
          </cell>
          <cell r="F46">
            <v>0</v>
          </cell>
          <cell r="G46">
            <v>0</v>
          </cell>
          <cell r="H46">
            <v>2701</v>
          </cell>
          <cell r="I46" t="str">
            <v>其中：长期应付款</v>
          </cell>
          <cell r="J46">
            <v>0</v>
          </cell>
          <cell r="K46">
            <v>0</v>
          </cell>
          <cell r="L46">
            <v>0</v>
          </cell>
        </row>
        <row r="47">
          <cell r="C47">
            <v>1611</v>
          </cell>
          <cell r="D47" t="str">
            <v>固定资产（报表项目）</v>
          </cell>
          <cell r="E47">
            <v>0</v>
          </cell>
          <cell r="F47">
            <v>10069745.300000001</v>
          </cell>
          <cell r="G47">
            <v>11112899.470000001</v>
          </cell>
          <cell r="H47">
            <v>2711</v>
          </cell>
          <cell r="I47" t="str">
            <v>其中：专项应付款</v>
          </cell>
          <cell r="J47">
            <v>0</v>
          </cell>
          <cell r="K47">
            <v>0</v>
          </cell>
          <cell r="L47">
            <v>0</v>
          </cell>
        </row>
        <row r="48">
          <cell r="C48">
            <v>1601</v>
          </cell>
          <cell r="D48" t="str">
            <v>其中：固定资产</v>
          </cell>
          <cell r="E48" t="str">
            <v>孙</v>
          </cell>
          <cell r="F48">
            <v>10069745.300000001</v>
          </cell>
          <cell r="G48">
            <v>11112899.470000001</v>
          </cell>
          <cell r="H48">
            <v>2715</v>
          </cell>
          <cell r="I48" t="str">
            <v>长期应付职工薪酬</v>
          </cell>
          <cell r="J48">
            <v>0</v>
          </cell>
          <cell r="K48">
            <v>0</v>
          </cell>
          <cell r="L48">
            <v>0</v>
          </cell>
        </row>
        <row r="49">
          <cell r="C49">
            <v>1606</v>
          </cell>
          <cell r="D49" t="str">
            <v>其中：固定资产清理</v>
          </cell>
          <cell r="E49">
            <v>0</v>
          </cell>
          <cell r="F49">
            <v>0</v>
          </cell>
          <cell r="G49">
            <v>0</v>
          </cell>
          <cell r="H49">
            <v>2801</v>
          </cell>
          <cell r="I49" t="str">
            <v>预计负债</v>
          </cell>
          <cell r="J49" t="str">
            <v>刘</v>
          </cell>
          <cell r="K49">
            <v>4332969.62</v>
          </cell>
          <cell r="L49">
            <v>4832036.87</v>
          </cell>
        </row>
        <row r="50">
          <cell r="C50">
            <v>1616</v>
          </cell>
          <cell r="D50" t="str">
            <v>在建工程（报表项目）</v>
          </cell>
          <cell r="E50">
            <v>0</v>
          </cell>
          <cell r="F50">
            <v>5328.2</v>
          </cell>
          <cell r="G50">
            <v>0</v>
          </cell>
          <cell r="H50">
            <v>2401</v>
          </cell>
          <cell r="I50" t="str">
            <v>递延收益</v>
          </cell>
          <cell r="J50">
            <v>0</v>
          </cell>
          <cell r="K50">
            <v>0</v>
          </cell>
          <cell r="L50">
            <v>0</v>
          </cell>
        </row>
        <row r="51">
          <cell r="C51">
            <v>1604</v>
          </cell>
          <cell r="D51" t="str">
            <v>其中：在建工程</v>
          </cell>
          <cell r="E51" t="str">
            <v>孙</v>
          </cell>
          <cell r="F51">
            <v>5328.2</v>
          </cell>
          <cell r="G51">
            <v>0</v>
          </cell>
          <cell r="H51">
            <v>2901</v>
          </cell>
          <cell r="I51" t="str">
            <v>递延所得税负债</v>
          </cell>
          <cell r="J51">
            <v>0</v>
          </cell>
          <cell r="K51">
            <v>0</v>
          </cell>
          <cell r="L51">
            <v>0</v>
          </cell>
        </row>
        <row r="52">
          <cell r="C52">
            <v>1605</v>
          </cell>
          <cell r="D52" t="str">
            <v>其中：工程物资</v>
          </cell>
          <cell r="E52">
            <v>0</v>
          </cell>
          <cell r="F52">
            <v>0</v>
          </cell>
          <cell r="G52">
            <v>0</v>
          </cell>
          <cell r="H52">
            <v>2996</v>
          </cell>
          <cell r="I52" t="str">
            <v>其他非流动负债</v>
          </cell>
          <cell r="J52">
            <v>0</v>
          </cell>
          <cell r="K52">
            <v>0</v>
          </cell>
          <cell r="L52">
            <v>0</v>
          </cell>
        </row>
        <row r="53">
          <cell r="C53">
            <v>1621</v>
          </cell>
          <cell r="D53" t="str">
            <v>生产性生物资产</v>
          </cell>
          <cell r="E53">
            <v>0</v>
          </cell>
          <cell r="F53">
            <v>0</v>
          </cell>
          <cell r="G53">
            <v>0</v>
          </cell>
          <cell r="H53">
            <v>2998</v>
          </cell>
          <cell r="I53" t="str">
            <v>非流动负债合计</v>
          </cell>
          <cell r="J53">
            <v>0</v>
          </cell>
          <cell r="K53">
            <v>53753015.270000003</v>
          </cell>
          <cell r="L53">
            <v>34089473.600000001</v>
          </cell>
        </row>
        <row r="54">
          <cell r="C54">
            <v>1631</v>
          </cell>
          <cell r="D54" t="str">
            <v>油气资产</v>
          </cell>
          <cell r="E54">
            <v>0</v>
          </cell>
          <cell r="F54">
            <v>0</v>
          </cell>
          <cell r="G54">
            <v>0</v>
          </cell>
          <cell r="H54">
            <v>2999</v>
          </cell>
          <cell r="I54" t="str">
            <v>负债合计</v>
          </cell>
          <cell r="J54">
            <v>0</v>
          </cell>
          <cell r="K54">
            <v>313933023.76999998</v>
          </cell>
          <cell r="L54">
            <v>364476580.62</v>
          </cell>
        </row>
        <row r="55">
          <cell r="C55">
            <v>1701</v>
          </cell>
          <cell r="D55" t="str">
            <v>无形资产</v>
          </cell>
          <cell r="E55" t="str">
            <v>孙</v>
          </cell>
          <cell r="F55">
            <v>29705209.870000001</v>
          </cell>
          <cell r="G55">
            <v>9479025.4399999995</v>
          </cell>
          <cell r="H55">
            <v>4000</v>
          </cell>
          <cell r="I55" t="str">
            <v>所有者权益(或股东权益)：</v>
          </cell>
          <cell r="J55">
            <v>0</v>
          </cell>
          <cell r="K55">
            <v>0</v>
          </cell>
          <cell r="L55">
            <v>0</v>
          </cell>
        </row>
        <row r="56">
          <cell r="C56">
            <v>1700</v>
          </cell>
          <cell r="D56" t="str">
            <v>开发支出</v>
          </cell>
          <cell r="E56" t="str">
            <v>孙</v>
          </cell>
          <cell r="F56">
            <v>846903.76</v>
          </cell>
          <cell r="G56">
            <v>0</v>
          </cell>
          <cell r="H56">
            <v>4001</v>
          </cell>
          <cell r="I56" t="str">
            <v>实收资本（或股本）</v>
          </cell>
          <cell r="J56" t="str">
            <v>孙</v>
          </cell>
          <cell r="K56">
            <v>389015152</v>
          </cell>
          <cell r="L56">
            <v>389015152</v>
          </cell>
        </row>
        <row r="57">
          <cell r="C57">
            <v>1711</v>
          </cell>
          <cell r="D57" t="str">
            <v>商誉</v>
          </cell>
          <cell r="E57">
            <v>0</v>
          </cell>
          <cell r="F57">
            <v>0</v>
          </cell>
          <cell r="G57">
            <v>0</v>
          </cell>
          <cell r="H57">
            <v>4015</v>
          </cell>
          <cell r="I57" t="str">
            <v>其他权益工具</v>
          </cell>
          <cell r="J57">
            <v>0</v>
          </cell>
          <cell r="K57">
            <v>0</v>
          </cell>
          <cell r="L57">
            <v>0</v>
          </cell>
        </row>
        <row r="58">
          <cell r="C58">
            <v>0</v>
          </cell>
          <cell r="D58" t="str">
            <v/>
          </cell>
          <cell r="E58">
            <v>0</v>
          </cell>
          <cell r="F58">
            <v>0</v>
          </cell>
          <cell r="G58" t="str">
            <v/>
          </cell>
          <cell r="H58">
            <v>4015.11</v>
          </cell>
          <cell r="I58" t="str">
            <v>其中：优先股</v>
          </cell>
          <cell r="J58">
            <v>0</v>
          </cell>
          <cell r="K58">
            <v>0</v>
          </cell>
          <cell r="L58">
            <v>0</v>
          </cell>
        </row>
        <row r="59">
          <cell r="C59">
            <v>0</v>
          </cell>
          <cell r="D59" t="str">
            <v/>
          </cell>
          <cell r="E59">
            <v>0</v>
          </cell>
          <cell r="F59">
            <v>0</v>
          </cell>
          <cell r="G59" t="str">
            <v/>
          </cell>
          <cell r="H59">
            <v>4015.31</v>
          </cell>
          <cell r="I59" t="str">
            <v xml:space="preserve">      永续债</v>
          </cell>
          <cell r="J59">
            <v>0</v>
          </cell>
          <cell r="K59">
            <v>0</v>
          </cell>
          <cell r="L59">
            <v>0</v>
          </cell>
        </row>
        <row r="60">
          <cell r="C60">
            <v>0</v>
          </cell>
          <cell r="D60" t="str">
            <v/>
          </cell>
          <cell r="E60">
            <v>0</v>
          </cell>
          <cell r="F60">
            <v>0</v>
          </cell>
          <cell r="G60" t="str">
            <v/>
          </cell>
          <cell r="H60">
            <v>4002</v>
          </cell>
          <cell r="I60" t="str">
            <v>资本公积</v>
          </cell>
          <cell r="J60" t="str">
            <v>孙</v>
          </cell>
          <cell r="K60">
            <v>60861923.009999998</v>
          </cell>
          <cell r="L60">
            <v>60861923.009999998</v>
          </cell>
        </row>
        <row r="61">
          <cell r="C61">
            <v>1801</v>
          </cell>
          <cell r="D61" t="str">
            <v>长期待摊费用</v>
          </cell>
          <cell r="E61" t="str">
            <v>孙</v>
          </cell>
          <cell r="F61">
            <v>1266571.52</v>
          </cell>
          <cell r="G61">
            <v>915113.28</v>
          </cell>
          <cell r="H61">
            <v>4201</v>
          </cell>
          <cell r="I61" t="str">
            <v>减：库存股</v>
          </cell>
          <cell r="J61">
            <v>0</v>
          </cell>
          <cell r="K61">
            <v>0</v>
          </cell>
          <cell r="L61">
            <v>0</v>
          </cell>
        </row>
        <row r="62">
          <cell r="C62">
            <v>1811</v>
          </cell>
          <cell r="D62" t="str">
            <v>递延所得税资产</v>
          </cell>
          <cell r="E62" t="str">
            <v>陈</v>
          </cell>
          <cell r="F62">
            <v>10102226.199999999</v>
          </cell>
          <cell r="G62">
            <v>13459765.699999999</v>
          </cell>
          <cell r="H62">
            <v>4215</v>
          </cell>
          <cell r="I62" t="str">
            <v>其他综合收益</v>
          </cell>
          <cell r="J62">
            <v>0</v>
          </cell>
          <cell r="K62">
            <v>0</v>
          </cell>
          <cell r="L62">
            <v>0</v>
          </cell>
        </row>
        <row r="63">
          <cell r="C63">
            <v>1996</v>
          </cell>
          <cell r="D63" t="str">
            <v>其他非流动资产</v>
          </cell>
          <cell r="E63" t="str">
            <v>孙</v>
          </cell>
          <cell r="F63">
            <v>0</v>
          </cell>
          <cell r="G63">
            <v>16562426.710000001</v>
          </cell>
          <cell r="H63">
            <v>4301</v>
          </cell>
          <cell r="I63" t="str">
            <v>专项储备</v>
          </cell>
          <cell r="J63" t="str">
            <v>孙</v>
          </cell>
          <cell r="K63">
            <v>7802112.5599999996</v>
          </cell>
          <cell r="L63">
            <v>7110471.5599999996</v>
          </cell>
        </row>
        <row r="64">
          <cell r="C64">
            <v>0</v>
          </cell>
          <cell r="D64" t="str">
            <v/>
          </cell>
          <cell r="E64">
            <v>0</v>
          </cell>
          <cell r="F64">
            <v>0</v>
          </cell>
          <cell r="G64" t="str">
            <v/>
          </cell>
          <cell r="H64">
            <v>4101</v>
          </cell>
          <cell r="I64" t="str">
            <v>盈余公积</v>
          </cell>
          <cell r="J64" t="str">
            <v>孙</v>
          </cell>
          <cell r="K64">
            <v>16796197.280000001</v>
          </cell>
          <cell r="L64">
            <v>16344164.109999999</v>
          </cell>
        </row>
        <row r="65">
          <cell r="C65">
            <v>0</v>
          </cell>
          <cell r="D65" t="str">
            <v/>
          </cell>
          <cell r="E65">
            <v>0</v>
          </cell>
          <cell r="F65">
            <v>0</v>
          </cell>
          <cell r="G65" t="str">
            <v/>
          </cell>
          <cell r="H65">
            <v>4102</v>
          </cell>
          <cell r="I65" t="str">
            <v>一般风险准备</v>
          </cell>
          <cell r="J65">
            <v>0</v>
          </cell>
          <cell r="K65">
            <v>0</v>
          </cell>
          <cell r="L65">
            <v>0</v>
          </cell>
        </row>
        <row r="66">
          <cell r="C66">
            <v>0</v>
          </cell>
          <cell r="D66">
            <v>0</v>
          </cell>
          <cell r="E66">
            <v>0</v>
          </cell>
          <cell r="F66">
            <v>0</v>
          </cell>
          <cell r="G66" t="str">
            <v/>
          </cell>
          <cell r="H66">
            <v>4200</v>
          </cell>
          <cell r="I66" t="str">
            <v>未分配利润</v>
          </cell>
          <cell r="J66" t="str">
            <v>孙</v>
          </cell>
          <cell r="K66">
            <v>132875203.33</v>
          </cell>
          <cell r="L66">
            <v>63013280.090000004</v>
          </cell>
        </row>
        <row r="67">
          <cell r="C67">
            <v>0</v>
          </cell>
          <cell r="D67">
            <v>0</v>
          </cell>
          <cell r="E67">
            <v>0</v>
          </cell>
          <cell r="F67">
            <v>0</v>
          </cell>
          <cell r="G67" t="str">
            <v/>
          </cell>
          <cell r="H67">
            <v>4298</v>
          </cell>
          <cell r="I67" t="str">
            <v>归属于母公司所有者权益合计</v>
          </cell>
          <cell r="J67">
            <v>0</v>
          </cell>
          <cell r="K67">
            <v>607350588.17999995</v>
          </cell>
          <cell r="L67">
            <v>536344990.76999998</v>
          </cell>
        </row>
        <row r="68">
          <cell r="C68">
            <v>0</v>
          </cell>
          <cell r="D68">
            <v>0</v>
          </cell>
          <cell r="E68">
            <v>0</v>
          </cell>
          <cell r="F68">
            <v>0</v>
          </cell>
          <cell r="G68" t="str">
            <v/>
          </cell>
          <cell r="H68">
            <v>4398</v>
          </cell>
          <cell r="I68" t="str">
            <v>少数股东权益</v>
          </cell>
          <cell r="J68">
            <v>0</v>
          </cell>
          <cell r="K68">
            <v>0</v>
          </cell>
          <cell r="L68">
            <v>0</v>
          </cell>
        </row>
        <row r="69">
          <cell r="C69">
            <v>1998</v>
          </cell>
          <cell r="D69" t="str">
            <v>非流动资产合计</v>
          </cell>
          <cell r="E69">
            <v>0</v>
          </cell>
          <cell r="F69">
            <v>112995984.84999999</v>
          </cell>
          <cell r="G69">
            <v>112529230.59999999</v>
          </cell>
          <cell r="H69">
            <v>4999</v>
          </cell>
          <cell r="I69" t="str">
            <v>所有者权益（或股东权益）合计</v>
          </cell>
          <cell r="J69">
            <v>0</v>
          </cell>
          <cell r="K69">
            <v>607350588.17999995</v>
          </cell>
          <cell r="L69">
            <v>536344990.76999998</v>
          </cell>
        </row>
        <row r="70">
          <cell r="C70">
            <v>1999</v>
          </cell>
          <cell r="D70" t="str">
            <v>资产总计</v>
          </cell>
          <cell r="E70">
            <v>0</v>
          </cell>
          <cell r="F70">
            <v>921283611.95000005</v>
          </cell>
          <cell r="G70">
            <v>900821571.38999999</v>
          </cell>
          <cell r="H70">
            <v>5000</v>
          </cell>
          <cell r="I70" t="str">
            <v>负债和所有者权益（或股东权益）总计</v>
          </cell>
          <cell r="J70">
            <v>0</v>
          </cell>
          <cell r="K70">
            <v>921283611.95000005</v>
          </cell>
          <cell r="L70">
            <v>900821571.38999999</v>
          </cell>
        </row>
        <row r="73">
          <cell r="C73" t="str">
            <v>ItemId3</v>
          </cell>
          <cell r="D73" t="str">
            <v>补充资料：资产减值准备</v>
          </cell>
          <cell r="E73">
            <v>0</v>
          </cell>
          <cell r="F73" t="str">
            <v>期末余额</v>
          </cell>
          <cell r="G73" t="str">
            <v>年初余额</v>
          </cell>
        </row>
        <row r="74">
          <cell r="C74">
            <v>1122.1231</v>
          </cell>
          <cell r="D74" t="str">
            <v>应收账款坏账准备</v>
          </cell>
          <cell r="E74">
            <v>0</v>
          </cell>
          <cell r="F74">
            <v>0</v>
          </cell>
          <cell r="G74">
            <v>0</v>
          </cell>
        </row>
        <row r="75">
          <cell r="C75">
            <v>1125.1231</v>
          </cell>
          <cell r="D75" t="str">
            <v>预付款项坏账准备</v>
          </cell>
          <cell r="E75">
            <v>0</v>
          </cell>
          <cell r="F75">
            <v>0</v>
          </cell>
          <cell r="G75">
            <v>0</v>
          </cell>
        </row>
        <row r="76">
          <cell r="C76">
            <v>1221.1231</v>
          </cell>
          <cell r="D76" t="str">
            <v>其他应收款坏账准备</v>
          </cell>
          <cell r="E76">
            <v>0</v>
          </cell>
          <cell r="F76">
            <v>0</v>
          </cell>
          <cell r="G76">
            <v>0</v>
          </cell>
        </row>
        <row r="77">
          <cell r="C77">
            <v>1400.1470999999999</v>
          </cell>
          <cell r="D77" t="str">
            <v>存货跌价准备</v>
          </cell>
          <cell r="E77">
            <v>0</v>
          </cell>
          <cell r="F77">
            <v>0</v>
          </cell>
          <cell r="G77">
            <v>0</v>
          </cell>
        </row>
        <row r="78">
          <cell r="C78">
            <v>1503.1504</v>
          </cell>
          <cell r="D78" t="str">
            <v>可供出售金融资产减值准备</v>
          </cell>
          <cell r="E78">
            <v>0</v>
          </cell>
          <cell r="F78">
            <v>0</v>
          </cell>
          <cell r="G78">
            <v>0</v>
          </cell>
        </row>
        <row r="79">
          <cell r="C79">
            <v>1501.1502</v>
          </cell>
          <cell r="D79" t="str">
            <v>持有至到期投资减值准备</v>
          </cell>
          <cell r="E79">
            <v>0</v>
          </cell>
          <cell r="F79">
            <v>0</v>
          </cell>
          <cell r="G79">
            <v>0</v>
          </cell>
        </row>
        <row r="80">
          <cell r="C80">
            <v>1511.1512</v>
          </cell>
          <cell r="D80" t="str">
            <v>长期股权投资减值准备</v>
          </cell>
          <cell r="E80">
            <v>0</v>
          </cell>
          <cell r="F80">
            <v>0</v>
          </cell>
          <cell r="G80">
            <v>0</v>
          </cell>
        </row>
        <row r="81">
          <cell r="C81">
            <v>1521.1522</v>
          </cell>
          <cell r="D81" t="str">
            <v>投资性房地产减值准备</v>
          </cell>
          <cell r="E81">
            <v>0</v>
          </cell>
          <cell r="F81">
            <v>0</v>
          </cell>
          <cell r="G81">
            <v>0</v>
          </cell>
        </row>
        <row r="82">
          <cell r="C82">
            <v>1601.1603</v>
          </cell>
          <cell r="D82" t="str">
            <v>固定资产减值准备</v>
          </cell>
          <cell r="E82">
            <v>0</v>
          </cell>
          <cell r="F82">
            <v>0</v>
          </cell>
          <cell r="G82">
            <v>0</v>
          </cell>
        </row>
        <row r="83">
          <cell r="C83">
            <v>1605.1608000000001</v>
          </cell>
          <cell r="D83" t="str">
            <v>工程物资减值准备</v>
          </cell>
          <cell r="E83">
            <v>0</v>
          </cell>
          <cell r="F83">
            <v>0</v>
          </cell>
          <cell r="G83">
            <v>0</v>
          </cell>
        </row>
        <row r="84">
          <cell r="C84">
            <v>1604.1606999999999</v>
          </cell>
          <cell r="D84" t="str">
            <v>在建工程减值准备</v>
          </cell>
          <cell r="E84">
            <v>0</v>
          </cell>
          <cell r="F84">
            <v>0</v>
          </cell>
          <cell r="G84">
            <v>0</v>
          </cell>
        </row>
        <row r="85">
          <cell r="C85">
            <v>1621.1623999999999</v>
          </cell>
          <cell r="D85" t="str">
            <v>生产性生物资产减值准备</v>
          </cell>
          <cell r="E85">
            <v>0</v>
          </cell>
          <cell r="F85">
            <v>0</v>
          </cell>
          <cell r="G85">
            <v>0</v>
          </cell>
        </row>
        <row r="86">
          <cell r="C86">
            <v>1631.1632999999999</v>
          </cell>
          <cell r="D86" t="str">
            <v>油气资产减值准备</v>
          </cell>
          <cell r="E86">
            <v>0</v>
          </cell>
          <cell r="F86">
            <v>0</v>
          </cell>
          <cell r="G86">
            <v>0</v>
          </cell>
        </row>
        <row r="87">
          <cell r="C87">
            <v>1701.1703</v>
          </cell>
          <cell r="D87" t="str">
            <v>无形资产减值准备</v>
          </cell>
          <cell r="E87">
            <v>0</v>
          </cell>
          <cell r="F87">
            <v>0</v>
          </cell>
          <cell r="G87">
            <v>0</v>
          </cell>
        </row>
        <row r="88">
          <cell r="C88">
            <v>1711.1712</v>
          </cell>
          <cell r="D88" t="str">
            <v>商誉减值准备</v>
          </cell>
          <cell r="E88">
            <v>0</v>
          </cell>
          <cell r="F88">
            <v>0</v>
          </cell>
          <cell r="G88">
            <v>0</v>
          </cell>
        </row>
        <row r="89">
          <cell r="C89">
            <v>1991.1992</v>
          </cell>
          <cell r="D89" t="str">
            <v>其他</v>
          </cell>
          <cell r="E89">
            <v>0</v>
          </cell>
          <cell r="F89">
            <v>0</v>
          </cell>
          <cell r="G89">
            <v>0</v>
          </cell>
        </row>
        <row r="90">
          <cell r="C90">
            <v>1991</v>
          </cell>
          <cell r="D90" t="str">
            <v>资产减值准备小计</v>
          </cell>
          <cell r="E90">
            <v>0</v>
          </cell>
          <cell r="F90">
            <v>0</v>
          </cell>
          <cell r="G90">
            <v>0</v>
          </cell>
        </row>
      </sheetData>
      <sheetData sheetId="4">
        <row r="8">
          <cell r="B8" t="str">
            <v>项目编号</v>
          </cell>
          <cell r="C8" t="str">
            <v>项       目</v>
          </cell>
          <cell r="D8" t="str">
            <v>附注</v>
          </cell>
          <cell r="E8" t="str">
            <v>本期金额</v>
          </cell>
          <cell r="F8" t="str">
            <v>上期金额</v>
          </cell>
        </row>
        <row r="9">
          <cell r="B9">
            <v>6098</v>
          </cell>
          <cell r="C9" t="str">
            <v>一、营业总收入</v>
          </cell>
          <cell r="D9">
            <v>0</v>
          </cell>
          <cell r="E9">
            <v>248687243.24000001</v>
          </cell>
          <cell r="F9">
            <v>386244261.74000001</v>
          </cell>
        </row>
        <row r="10">
          <cell r="B10">
            <v>6001</v>
          </cell>
          <cell r="C10" t="str">
            <v>一、营业收入</v>
          </cell>
          <cell r="D10" t="str">
            <v>周</v>
          </cell>
          <cell r="E10">
            <v>248687243.24000001</v>
          </cell>
          <cell r="F10">
            <v>386244261.74000001</v>
          </cell>
        </row>
        <row r="11">
          <cell r="B11">
            <v>6011</v>
          </cell>
          <cell r="C11" t="str">
            <v>利息收入</v>
          </cell>
          <cell r="D11">
            <v>0</v>
          </cell>
          <cell r="E11">
            <v>0</v>
          </cell>
          <cell r="F11">
            <v>0</v>
          </cell>
        </row>
        <row r="12">
          <cell r="B12">
            <v>6030</v>
          </cell>
          <cell r="C12" t="str">
            <v>已赚保费</v>
          </cell>
          <cell r="D12">
            <v>0</v>
          </cell>
          <cell r="E12">
            <v>0</v>
          </cell>
          <cell r="F12">
            <v>0</v>
          </cell>
        </row>
        <row r="13">
          <cell r="B13">
            <v>6021</v>
          </cell>
          <cell r="C13" t="str">
            <v>手续费及佣金收入</v>
          </cell>
          <cell r="D13">
            <v>0</v>
          </cell>
          <cell r="E13">
            <v>0</v>
          </cell>
          <cell r="F13">
            <v>0</v>
          </cell>
        </row>
        <row r="14">
          <cell r="B14">
            <v>6598</v>
          </cell>
          <cell r="C14" t="str">
            <v>二、营业总成本</v>
          </cell>
          <cell r="D14">
            <v>0</v>
          </cell>
          <cell r="E14">
            <v>231725623.22999999</v>
          </cell>
          <cell r="F14">
            <v>356669659.92000002</v>
          </cell>
        </row>
        <row r="15">
          <cell r="B15">
            <v>6401</v>
          </cell>
          <cell r="C15" t="str">
            <v>减：营业成本</v>
          </cell>
          <cell r="D15" t="str">
            <v>刘</v>
          </cell>
          <cell r="E15">
            <v>172710893.75</v>
          </cell>
          <cell r="F15">
            <v>235826397.56</v>
          </cell>
        </row>
        <row r="16">
          <cell r="B16">
            <v>6411</v>
          </cell>
          <cell r="C16" t="str">
            <v>利息支出</v>
          </cell>
          <cell r="D16">
            <v>0</v>
          </cell>
          <cell r="E16">
            <v>0</v>
          </cell>
          <cell r="F16">
            <v>0</v>
          </cell>
        </row>
        <row r="17">
          <cell r="B17">
            <v>6421</v>
          </cell>
          <cell r="C17" t="str">
            <v>手续费及佣金支出</v>
          </cell>
          <cell r="D17">
            <v>0</v>
          </cell>
          <cell r="E17">
            <v>0</v>
          </cell>
          <cell r="F17">
            <v>0</v>
          </cell>
        </row>
        <row r="18">
          <cell r="B18">
            <v>6531</v>
          </cell>
          <cell r="C18" t="str">
            <v>退保金</v>
          </cell>
          <cell r="D18">
            <v>0</v>
          </cell>
          <cell r="E18">
            <v>0</v>
          </cell>
          <cell r="F18">
            <v>0</v>
          </cell>
        </row>
        <row r="19">
          <cell r="B19">
            <v>6510</v>
          </cell>
          <cell r="C19" t="str">
            <v>赔付支出净额</v>
          </cell>
          <cell r="D19">
            <v>0</v>
          </cell>
          <cell r="E19">
            <v>0</v>
          </cell>
          <cell r="F19">
            <v>0</v>
          </cell>
        </row>
        <row r="20">
          <cell r="B20">
            <v>6505</v>
          </cell>
          <cell r="C20" t="str">
            <v>提取保险合同准备金净额</v>
          </cell>
          <cell r="D20">
            <v>0</v>
          </cell>
          <cell r="E20">
            <v>0</v>
          </cell>
          <cell r="F20">
            <v>0</v>
          </cell>
        </row>
        <row r="21">
          <cell r="B21">
            <v>6521</v>
          </cell>
          <cell r="C21" t="str">
            <v>保单红利支出</v>
          </cell>
          <cell r="D21">
            <v>0</v>
          </cell>
          <cell r="E21">
            <v>0</v>
          </cell>
          <cell r="F21">
            <v>0</v>
          </cell>
        </row>
        <row r="22">
          <cell r="B22">
            <v>6542</v>
          </cell>
          <cell r="C22" t="str">
            <v>分保费用</v>
          </cell>
          <cell r="D22">
            <v>0</v>
          </cell>
          <cell r="E22">
            <v>0</v>
          </cell>
          <cell r="F22">
            <v>0</v>
          </cell>
        </row>
        <row r="23">
          <cell r="B23">
            <v>6600</v>
          </cell>
          <cell r="C23" t="str">
            <v>税金及附加</v>
          </cell>
          <cell r="D23" t="str">
            <v>陈</v>
          </cell>
          <cell r="E23">
            <v>901832.11</v>
          </cell>
          <cell r="F23">
            <v>1411129.53</v>
          </cell>
        </row>
        <row r="24">
          <cell r="B24">
            <v>6601</v>
          </cell>
          <cell r="C24" t="str">
            <v>销售费用</v>
          </cell>
          <cell r="D24" t="str">
            <v>孙</v>
          </cell>
          <cell r="E24">
            <v>23305540.800000001</v>
          </cell>
          <cell r="F24">
            <v>54014782.759999998</v>
          </cell>
        </row>
        <row r="25">
          <cell r="B25">
            <v>6602</v>
          </cell>
          <cell r="C25" t="str">
            <v>管理费用</v>
          </cell>
          <cell r="D25" t="str">
            <v>孙</v>
          </cell>
          <cell r="E25">
            <v>26654964.879999999</v>
          </cell>
          <cell r="F25">
            <v>49386506.020000003</v>
          </cell>
        </row>
        <row r="26">
          <cell r="B26">
            <v>6606</v>
          </cell>
          <cell r="C26" t="str">
            <v>研发费用</v>
          </cell>
          <cell r="D26">
            <v>0</v>
          </cell>
          <cell r="E26">
            <v>0</v>
          </cell>
          <cell r="F26">
            <v>0</v>
          </cell>
        </row>
        <row r="27">
          <cell r="B27">
            <v>6603</v>
          </cell>
          <cell r="C27" t="str">
            <v>财务费用</v>
          </cell>
          <cell r="D27" t="str">
            <v>谢</v>
          </cell>
          <cell r="E27">
            <v>2216448.36</v>
          </cell>
          <cell r="F27">
            <v>4516354.78</v>
          </cell>
        </row>
        <row r="28">
          <cell r="B28" t="str">
            <v>6603_01</v>
          </cell>
          <cell r="C28" t="str">
            <v>其中：利息费用</v>
          </cell>
          <cell r="D28">
            <v>0</v>
          </cell>
          <cell r="E28">
            <v>0</v>
          </cell>
          <cell r="F28">
            <v>0</v>
          </cell>
        </row>
        <row r="29">
          <cell r="B29" t="str">
            <v>6603_06</v>
          </cell>
          <cell r="C29" t="str">
            <v xml:space="preserve">      利息收入</v>
          </cell>
          <cell r="D29">
            <v>0</v>
          </cell>
          <cell r="E29">
            <v>0</v>
          </cell>
          <cell r="F29">
            <v>0</v>
          </cell>
        </row>
        <row r="30">
          <cell r="B30">
            <v>6671</v>
          </cell>
          <cell r="C30" t="str">
            <v>资产减值损失</v>
          </cell>
          <cell r="D30" t="str">
            <v>周</v>
          </cell>
          <cell r="E30">
            <v>5935943.3300000001</v>
          </cell>
          <cell r="F30">
            <v>11514489.27</v>
          </cell>
        </row>
        <row r="31">
          <cell r="B31">
            <v>6181</v>
          </cell>
          <cell r="C31" t="str">
            <v>加：其他收益</v>
          </cell>
          <cell r="D31">
            <v>0</v>
          </cell>
          <cell r="E31">
            <v>0</v>
          </cell>
          <cell r="F31">
            <v>1212985.5900000001</v>
          </cell>
        </row>
        <row r="32">
          <cell r="B32">
            <v>6111</v>
          </cell>
          <cell r="C32" t="str">
            <v>投资收益（损失以“-”号填列）</v>
          </cell>
          <cell r="D32" t="str">
            <v>孙</v>
          </cell>
          <cell r="E32">
            <v>487100.02</v>
          </cell>
          <cell r="F32">
            <v>902178.35</v>
          </cell>
        </row>
        <row r="33">
          <cell r="B33">
            <v>6111.01</v>
          </cell>
          <cell r="C33" t="str">
            <v>其中：对联营企业和合营企业的投资收益</v>
          </cell>
          <cell r="D33">
            <v>0</v>
          </cell>
          <cell r="E33">
            <v>0</v>
          </cell>
          <cell r="F33">
            <v>0</v>
          </cell>
        </row>
        <row r="34">
          <cell r="B34">
            <v>6161</v>
          </cell>
          <cell r="C34" t="str">
            <v>汇兑收益（损失以“-”号填列）</v>
          </cell>
          <cell r="D34">
            <v>0</v>
          </cell>
          <cell r="E34">
            <v>0</v>
          </cell>
          <cell r="F34">
            <v>0</v>
          </cell>
        </row>
        <row r="35">
          <cell r="B35">
            <v>6101</v>
          </cell>
          <cell r="C35" t="str">
            <v>公允价值变动收益（损失以“-”号填列）</v>
          </cell>
          <cell r="D35">
            <v>0</v>
          </cell>
          <cell r="E35">
            <v>0</v>
          </cell>
          <cell r="F35">
            <v>0</v>
          </cell>
        </row>
        <row r="36">
          <cell r="B36">
            <v>6171</v>
          </cell>
          <cell r="C36" t="str">
            <v>资产处置收益(损失以“-”号填列）</v>
          </cell>
          <cell r="D36">
            <v>0</v>
          </cell>
          <cell r="E36">
            <v>0</v>
          </cell>
          <cell r="F36">
            <v>0</v>
          </cell>
        </row>
        <row r="37">
          <cell r="B37">
            <v>6689</v>
          </cell>
          <cell r="C37" t="str">
            <v>二、营业利润（亏损以“-”号填列）</v>
          </cell>
          <cell r="D37">
            <v>0</v>
          </cell>
          <cell r="E37">
            <v>17448720.030000001</v>
          </cell>
          <cell r="F37">
            <v>31689765.760000002</v>
          </cell>
        </row>
        <row r="38">
          <cell r="B38">
            <v>6710</v>
          </cell>
          <cell r="C38" t="str">
            <v>加：营业外收入</v>
          </cell>
          <cell r="D38" t="str">
            <v>孙</v>
          </cell>
          <cell r="E38">
            <v>1264796.5900000001</v>
          </cell>
          <cell r="F38">
            <v>34333</v>
          </cell>
        </row>
        <row r="39">
          <cell r="B39">
            <v>6711</v>
          </cell>
          <cell r="C39" t="str">
            <v>减：营业外支出</v>
          </cell>
          <cell r="D39" t="str">
            <v>孙</v>
          </cell>
          <cell r="E39">
            <v>807203.65</v>
          </cell>
          <cell r="F39">
            <v>79133.009999999995</v>
          </cell>
        </row>
        <row r="40">
          <cell r="B40">
            <v>6788</v>
          </cell>
          <cell r="C40" t="str">
            <v>三、利润总额（亏损总额以“-”号填列）</v>
          </cell>
          <cell r="D40">
            <v>0</v>
          </cell>
          <cell r="E40">
            <v>17906312.969999999</v>
          </cell>
          <cell r="F40">
            <v>31644965.75</v>
          </cell>
        </row>
        <row r="41">
          <cell r="B41">
            <v>6791</v>
          </cell>
          <cell r="C41" t="str">
            <v>减：所得税费用</v>
          </cell>
          <cell r="D41" t="str">
            <v>陈</v>
          </cell>
          <cell r="E41">
            <v>0</v>
          </cell>
          <cell r="F41">
            <v>5947913.2699999996</v>
          </cell>
        </row>
        <row r="42">
          <cell r="B42">
            <v>6799</v>
          </cell>
          <cell r="C42" t="str">
            <v>四、净利润（净亏损以“-”号填列）</v>
          </cell>
          <cell r="D42">
            <v>0</v>
          </cell>
          <cell r="E42">
            <v>17906312.969999999</v>
          </cell>
          <cell r="F42">
            <v>25697052.48</v>
          </cell>
        </row>
        <row r="43">
          <cell r="B43">
            <v>6835</v>
          </cell>
          <cell r="C43" t="str">
            <v>（一）按经营持续性分类：</v>
          </cell>
          <cell r="D43" t="str">
            <v/>
          </cell>
          <cell r="E43" t="str">
            <v/>
          </cell>
          <cell r="F43">
            <v>0</v>
          </cell>
        </row>
        <row r="44">
          <cell r="B44">
            <v>6816</v>
          </cell>
          <cell r="C44" t="str">
            <v>其中：持续经营净利润（净亏损以“-”号填列）</v>
          </cell>
          <cell r="D44" t="str">
            <v/>
          </cell>
          <cell r="E44" t="str">
            <v/>
          </cell>
          <cell r="F44">
            <v>0</v>
          </cell>
        </row>
        <row r="45">
          <cell r="B45">
            <v>6817</v>
          </cell>
          <cell r="C45" t="str">
            <v>终止经营净利润（净亏损以“-”号填列）</v>
          </cell>
          <cell r="D45" t="str">
            <v/>
          </cell>
          <cell r="E45" t="str">
            <v/>
          </cell>
          <cell r="F45">
            <v>0</v>
          </cell>
        </row>
        <row r="46">
          <cell r="B46">
            <v>6830</v>
          </cell>
          <cell r="C46" t="str">
            <v>（二）按所有权归属分类：</v>
          </cell>
          <cell r="D46" t="str">
            <v/>
          </cell>
          <cell r="E46" t="str">
            <v/>
          </cell>
          <cell r="F46">
            <v>0</v>
          </cell>
        </row>
        <row r="47">
          <cell r="B47">
            <v>6812</v>
          </cell>
          <cell r="C47" t="str">
            <v>其中：少数股东损益（净亏损以“-”号填列）</v>
          </cell>
          <cell r="D47">
            <v>0</v>
          </cell>
          <cell r="E47">
            <v>0</v>
          </cell>
          <cell r="F47">
            <v>0</v>
          </cell>
        </row>
        <row r="48">
          <cell r="B48">
            <v>6811</v>
          </cell>
          <cell r="C48" t="str">
            <v>归属于母公司股东的净利润（净亏损以“-”号填列）</v>
          </cell>
          <cell r="D48">
            <v>0</v>
          </cell>
          <cell r="E48">
            <v>17906312.969999999</v>
          </cell>
          <cell r="F48">
            <v>25697052.48</v>
          </cell>
        </row>
        <row r="49">
          <cell r="B49">
            <v>6829</v>
          </cell>
          <cell r="C49" t="str">
            <v>五、其他综合收益的税后净额</v>
          </cell>
          <cell r="D49">
            <v>0</v>
          </cell>
          <cell r="E49">
            <v>0</v>
          </cell>
          <cell r="F49">
            <v>0</v>
          </cell>
        </row>
        <row r="50">
          <cell r="B50">
            <v>6829.2</v>
          </cell>
          <cell r="C50" t="str">
            <v>归属于母公司股东的其他综合收益的税后净额</v>
          </cell>
          <cell r="D50">
            <v>0</v>
          </cell>
          <cell r="E50">
            <v>0</v>
          </cell>
          <cell r="F50">
            <v>0</v>
          </cell>
        </row>
        <row r="51">
          <cell r="B51">
            <v>6829.21</v>
          </cell>
          <cell r="C51" t="str">
            <v>（一）不能重分类进损益的其他综合收益</v>
          </cell>
          <cell r="D51">
            <v>0</v>
          </cell>
          <cell r="E51">
            <v>0</v>
          </cell>
          <cell r="F51">
            <v>0</v>
          </cell>
        </row>
        <row r="52">
          <cell r="B52">
            <v>6829.2110000000002</v>
          </cell>
          <cell r="C52" t="str">
            <v>1、重新计量设定受益计划变动额</v>
          </cell>
          <cell r="D52">
            <v>0</v>
          </cell>
          <cell r="E52">
            <v>0</v>
          </cell>
          <cell r="F52">
            <v>0</v>
          </cell>
        </row>
        <row r="53">
          <cell r="B53">
            <v>6829.2120000000004</v>
          </cell>
          <cell r="C53" t="str">
            <v>2、权益法下不能转损益的其他综合收益</v>
          </cell>
          <cell r="D53">
            <v>0</v>
          </cell>
          <cell r="E53">
            <v>0</v>
          </cell>
          <cell r="F53">
            <v>0</v>
          </cell>
        </row>
        <row r="54">
          <cell r="B54">
            <v>6829.2190000000001</v>
          </cell>
          <cell r="C54" t="str">
            <v>3、其他</v>
          </cell>
          <cell r="D54">
            <v>0</v>
          </cell>
          <cell r="E54">
            <v>0</v>
          </cell>
          <cell r="F54">
            <v>0</v>
          </cell>
        </row>
        <row r="55">
          <cell r="B55">
            <v>6829.23</v>
          </cell>
          <cell r="C55" t="str">
            <v>（二）将重分类进损益的其他综合收益</v>
          </cell>
          <cell r="D55">
            <v>0</v>
          </cell>
          <cell r="E55">
            <v>0</v>
          </cell>
          <cell r="F55">
            <v>0</v>
          </cell>
        </row>
        <row r="56">
          <cell r="B56">
            <v>6829.2309999999998</v>
          </cell>
          <cell r="C56" t="str">
            <v>1、权益法下可转损益的其他综合收益</v>
          </cell>
          <cell r="D56">
            <v>0</v>
          </cell>
          <cell r="E56">
            <v>0</v>
          </cell>
          <cell r="F56">
            <v>0</v>
          </cell>
        </row>
        <row r="57">
          <cell r="B57">
            <v>6829.232</v>
          </cell>
          <cell r="C57" t="str">
            <v>2、可供出售金融资产公允价值变动损益</v>
          </cell>
          <cell r="D57">
            <v>0</v>
          </cell>
          <cell r="E57">
            <v>0</v>
          </cell>
          <cell r="F57">
            <v>0</v>
          </cell>
        </row>
        <row r="58">
          <cell r="B58">
            <v>6829.2330000000002</v>
          </cell>
          <cell r="C58" t="str">
            <v>3、持有至到期投资重分类为可供出售金融资产损益</v>
          </cell>
          <cell r="D58">
            <v>0</v>
          </cell>
          <cell r="E58">
            <v>0</v>
          </cell>
          <cell r="F58">
            <v>0</v>
          </cell>
        </row>
        <row r="59">
          <cell r="B59">
            <v>6829.2340000000004</v>
          </cell>
          <cell r="C59" t="str">
            <v>4、现金流量套期损益的有效部分</v>
          </cell>
          <cell r="D59">
            <v>0</v>
          </cell>
          <cell r="E59">
            <v>0</v>
          </cell>
          <cell r="F59">
            <v>0</v>
          </cell>
        </row>
        <row r="60">
          <cell r="B60">
            <v>6829.2349999999997</v>
          </cell>
          <cell r="C60" t="str">
            <v>5、外币财务报表折算差额</v>
          </cell>
          <cell r="D60">
            <v>0</v>
          </cell>
          <cell r="E60">
            <v>0</v>
          </cell>
          <cell r="F60">
            <v>0</v>
          </cell>
        </row>
        <row r="61">
          <cell r="B61">
            <v>6829.2359999999999</v>
          </cell>
          <cell r="C61" t="str">
            <v>6、自用房地产或作为存货的房地产转换为以公允价值计量的投资性房地产在转换日公允价值大于账面价值部分</v>
          </cell>
          <cell r="D61">
            <v>0</v>
          </cell>
          <cell r="E61">
            <v>0</v>
          </cell>
          <cell r="F61">
            <v>0</v>
          </cell>
        </row>
        <row r="62">
          <cell r="B62">
            <v>6829.2370000000001</v>
          </cell>
          <cell r="C62" t="str">
            <v>7、多次交易分步处置子公司股权构成一揽子交易的，丧失控制权之前各次交易处置价款与对应净资产账面价值份额的差额</v>
          </cell>
          <cell r="D62">
            <v>0</v>
          </cell>
          <cell r="E62">
            <v>0</v>
          </cell>
          <cell r="F62">
            <v>0</v>
          </cell>
        </row>
        <row r="63">
          <cell r="B63">
            <v>6829.2389999999996</v>
          </cell>
          <cell r="C63" t="str">
            <v>8、其他</v>
          </cell>
          <cell r="D63">
            <v>0</v>
          </cell>
          <cell r="E63">
            <v>0</v>
          </cell>
          <cell r="F63">
            <v>0</v>
          </cell>
        </row>
        <row r="64">
          <cell r="B64">
            <v>6829.5</v>
          </cell>
          <cell r="C64" t="str">
            <v>归属于少数股东的其他综合收益的税后净额</v>
          </cell>
          <cell r="D64">
            <v>0</v>
          </cell>
          <cell r="E64">
            <v>0</v>
          </cell>
          <cell r="F64">
            <v>0</v>
          </cell>
        </row>
        <row r="65">
          <cell r="B65">
            <v>6839</v>
          </cell>
          <cell r="C65" t="str">
            <v>六、综合收益总额</v>
          </cell>
          <cell r="D65">
            <v>0</v>
          </cell>
          <cell r="E65">
            <v>17906312.969999999</v>
          </cell>
          <cell r="F65">
            <v>25697052.48</v>
          </cell>
        </row>
        <row r="66">
          <cell r="B66">
            <v>6841</v>
          </cell>
          <cell r="C66" t="str">
            <v>归属于母公司股东的综合收益总额</v>
          </cell>
          <cell r="D66">
            <v>0</v>
          </cell>
          <cell r="E66">
            <v>17906312.969999999</v>
          </cell>
          <cell r="F66">
            <v>25697052.48</v>
          </cell>
        </row>
        <row r="67">
          <cell r="B67">
            <v>6842</v>
          </cell>
          <cell r="C67" t="str">
            <v>归属于少数股东的综合收益总额</v>
          </cell>
          <cell r="D67">
            <v>0</v>
          </cell>
          <cell r="E67">
            <v>0</v>
          </cell>
          <cell r="F67">
            <v>0</v>
          </cell>
        </row>
        <row r="68">
          <cell r="B68">
            <v>6820</v>
          </cell>
          <cell r="C68" t="str">
            <v>七、每股收益：</v>
          </cell>
          <cell r="D68">
            <v>0</v>
          </cell>
          <cell r="E68">
            <v>0</v>
          </cell>
          <cell r="F68">
            <v>0</v>
          </cell>
        </row>
        <row r="69">
          <cell r="B69">
            <v>6821</v>
          </cell>
          <cell r="C69" t="str">
            <v>（一）基本每股收益</v>
          </cell>
          <cell r="D69">
            <v>0</v>
          </cell>
          <cell r="E69">
            <v>0</v>
          </cell>
          <cell r="F69">
            <v>0</v>
          </cell>
        </row>
        <row r="70">
          <cell r="B70">
            <v>6822</v>
          </cell>
          <cell r="C70" t="str">
            <v>（二）稀释每股收益</v>
          </cell>
          <cell r="D70">
            <v>0</v>
          </cell>
          <cell r="E70">
            <v>0</v>
          </cell>
          <cell r="F70">
            <v>0</v>
          </cell>
        </row>
      </sheetData>
      <sheetData sheetId="5">
        <row r="2">
          <cell r="B2">
            <v>0</v>
          </cell>
          <cell r="C2">
            <v>0</v>
          </cell>
          <cell r="D2" t="str">
            <v>81</v>
          </cell>
          <cell r="E2" t="str">
            <v>8b</v>
          </cell>
          <cell r="F2" t="str">
            <v>8c</v>
          </cell>
          <cell r="G2" t="str">
            <v>8d</v>
          </cell>
          <cell r="H2" t="str">
            <v>82</v>
          </cell>
          <cell r="I2" t="str">
            <v>83</v>
          </cell>
          <cell r="J2" t="str">
            <v>8g</v>
          </cell>
          <cell r="K2" t="str">
            <v>84</v>
          </cell>
          <cell r="L2" t="str">
            <v>85</v>
          </cell>
          <cell r="M2" t="str">
            <v>86</v>
          </cell>
          <cell r="N2" t="str">
            <v>87</v>
          </cell>
          <cell r="O2" t="str">
            <v>88</v>
          </cell>
          <cell r="P2" t="str">
            <v>89</v>
          </cell>
          <cell r="Q2" t="str">
            <v>80</v>
          </cell>
          <cell r="R2">
            <v>81</v>
          </cell>
          <cell r="S2" t="str">
            <v>8b</v>
          </cell>
          <cell r="T2" t="str">
            <v>8c</v>
          </cell>
          <cell r="U2" t="str">
            <v>8d</v>
          </cell>
          <cell r="V2">
            <v>82</v>
          </cell>
          <cell r="W2">
            <v>83</v>
          </cell>
          <cell r="X2" t="str">
            <v>8g</v>
          </cell>
          <cell r="Y2">
            <v>84</v>
          </cell>
          <cell r="Z2">
            <v>85</v>
          </cell>
          <cell r="AA2">
            <v>86</v>
          </cell>
          <cell r="AB2">
            <v>87</v>
          </cell>
          <cell r="AC2">
            <v>88</v>
          </cell>
          <cell r="AD2">
            <v>89</v>
          </cell>
          <cell r="AE2">
            <v>80</v>
          </cell>
        </row>
        <row r="3">
          <cell r="B3" t="str">
            <v>00</v>
          </cell>
          <cell r="C3" t="str">
            <v>所有者权益变动表</v>
          </cell>
          <cell r="D3">
            <v>0</v>
          </cell>
          <cell r="E3">
            <v>0</v>
          </cell>
          <cell r="F3">
            <v>0</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row>
        <row r="4">
          <cell r="B4">
            <v>0</v>
          </cell>
          <cell r="C4" t="str">
            <v>2018年1－6月</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t="str">
            <v>会企04表</v>
          </cell>
        </row>
        <row r="5">
          <cell r="B5">
            <v>0</v>
          </cell>
          <cell r="C5" t="str">
            <v>编制单位：海湾环境科技（北京）股份有限公司</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t="str">
            <v>单位：元   币种：人民币</v>
          </cell>
          <cell r="AB5">
            <v>0</v>
          </cell>
          <cell r="AC5">
            <v>0</v>
          </cell>
          <cell r="AD5">
            <v>0</v>
          </cell>
          <cell r="AE5">
            <v>0</v>
          </cell>
        </row>
        <row r="6">
          <cell r="B6">
            <v>0</v>
          </cell>
          <cell r="C6">
            <v>0</v>
          </cell>
          <cell r="D6" t="str">
            <v>本期金额</v>
          </cell>
          <cell r="E6">
            <v>0</v>
          </cell>
          <cell r="F6">
            <v>0</v>
          </cell>
          <cell r="G6">
            <v>0</v>
          </cell>
          <cell r="H6">
            <v>0</v>
          </cell>
          <cell r="I6">
            <v>0</v>
          </cell>
          <cell r="J6">
            <v>0</v>
          </cell>
          <cell r="K6">
            <v>0</v>
          </cell>
          <cell r="L6">
            <v>0</v>
          </cell>
          <cell r="M6">
            <v>0</v>
          </cell>
          <cell r="N6">
            <v>0</v>
          </cell>
          <cell r="O6">
            <v>0</v>
          </cell>
          <cell r="P6">
            <v>0</v>
          </cell>
          <cell r="Q6">
            <v>0</v>
          </cell>
          <cell r="R6" t="str">
            <v>上年同期金额</v>
          </cell>
          <cell r="S6">
            <v>0</v>
          </cell>
          <cell r="T6">
            <v>0</v>
          </cell>
          <cell r="U6">
            <v>0</v>
          </cell>
          <cell r="V6">
            <v>0</v>
          </cell>
          <cell r="W6">
            <v>0</v>
          </cell>
          <cell r="X6">
            <v>0</v>
          </cell>
          <cell r="Y6">
            <v>0</v>
          </cell>
          <cell r="Z6">
            <v>0</v>
          </cell>
          <cell r="AA6">
            <v>0</v>
          </cell>
          <cell r="AB6">
            <v>0</v>
          </cell>
          <cell r="AC6">
            <v>0</v>
          </cell>
          <cell r="AD6">
            <v>0</v>
          </cell>
          <cell r="AE6">
            <v>0</v>
          </cell>
        </row>
        <row r="7">
          <cell r="B7">
            <v>0</v>
          </cell>
          <cell r="C7">
            <v>0</v>
          </cell>
          <cell r="D7" t="str">
            <v>归属于母公司所有者权益</v>
          </cell>
          <cell r="E7">
            <v>0</v>
          </cell>
          <cell r="F7">
            <v>0</v>
          </cell>
          <cell r="G7">
            <v>0</v>
          </cell>
          <cell r="H7">
            <v>0</v>
          </cell>
          <cell r="I7">
            <v>0</v>
          </cell>
          <cell r="J7">
            <v>0</v>
          </cell>
          <cell r="K7">
            <v>0</v>
          </cell>
          <cell r="L7">
            <v>0</v>
          </cell>
          <cell r="M7">
            <v>0</v>
          </cell>
          <cell r="N7">
            <v>0</v>
          </cell>
          <cell r="O7">
            <v>0</v>
          </cell>
          <cell r="P7">
            <v>0</v>
          </cell>
          <cell r="Q7">
            <v>0</v>
          </cell>
          <cell r="R7" t="str">
            <v>归属于母公司所有者权益</v>
          </cell>
          <cell r="S7">
            <v>0</v>
          </cell>
          <cell r="T7">
            <v>0</v>
          </cell>
          <cell r="U7">
            <v>0</v>
          </cell>
          <cell r="V7">
            <v>0</v>
          </cell>
          <cell r="W7">
            <v>0</v>
          </cell>
          <cell r="X7">
            <v>0</v>
          </cell>
          <cell r="Y7">
            <v>0</v>
          </cell>
          <cell r="Z7">
            <v>0</v>
          </cell>
          <cell r="AA7">
            <v>0</v>
          </cell>
          <cell r="AB7">
            <v>0</v>
          </cell>
          <cell r="AC7">
            <v>0</v>
          </cell>
          <cell r="AD7">
            <v>0</v>
          </cell>
          <cell r="AE7">
            <v>0</v>
          </cell>
        </row>
        <row r="8">
          <cell r="B8" t="str">
            <v>ItemId1</v>
          </cell>
          <cell r="C8" t="str">
            <v>项       目</v>
          </cell>
          <cell r="D8" t="str">
            <v>实收资本</v>
          </cell>
          <cell r="E8" t="str">
            <v>其他权益工具（优先股）</v>
          </cell>
          <cell r="F8" t="str">
            <v>其他权益工具（永续债）</v>
          </cell>
          <cell r="G8" t="str">
            <v>其他权益工具（其他）</v>
          </cell>
          <cell r="H8" t="str">
            <v>资本公积</v>
          </cell>
          <cell r="I8" t="str">
            <v>减：库存股</v>
          </cell>
          <cell r="J8" t="str">
            <v>其他综合收益</v>
          </cell>
          <cell r="K8" t="str">
            <v>专项储备</v>
          </cell>
          <cell r="L8" t="str">
            <v>盈余公积</v>
          </cell>
          <cell r="M8" t="str">
            <v xml:space="preserve">一般风险准备 </v>
          </cell>
          <cell r="N8" t="str">
            <v>未分配利润</v>
          </cell>
          <cell r="O8" t="str">
            <v>其他</v>
          </cell>
          <cell r="P8" t="str">
            <v>少数股东权益</v>
          </cell>
          <cell r="Q8" t="str">
            <v>所有者权益合计</v>
          </cell>
          <cell r="R8" t="str">
            <v>实收资本</v>
          </cell>
          <cell r="S8" t="str">
            <v>其他权益工具（优先股）</v>
          </cell>
          <cell r="T8" t="str">
            <v>其他权益工具（永续债）</v>
          </cell>
          <cell r="U8" t="str">
            <v>其他权益工具（其他）</v>
          </cell>
          <cell r="V8" t="str">
            <v>资本公积</v>
          </cell>
          <cell r="W8" t="str">
            <v>减：库存股</v>
          </cell>
          <cell r="X8" t="str">
            <v>其他综合收益</v>
          </cell>
          <cell r="Y8" t="str">
            <v>专项储备</v>
          </cell>
          <cell r="Z8" t="str">
            <v>盈余公积</v>
          </cell>
          <cell r="AA8" t="str">
            <v xml:space="preserve">一般风险准备 </v>
          </cell>
          <cell r="AB8" t="str">
            <v>未分配利润</v>
          </cell>
          <cell r="AC8" t="str">
            <v>其他</v>
          </cell>
          <cell r="AD8" t="str">
            <v>少数股东权益</v>
          </cell>
          <cell r="AE8" t="str">
            <v>所有者权益合计</v>
          </cell>
        </row>
        <row r="9">
          <cell r="B9" t="str">
            <v>01</v>
          </cell>
          <cell r="C9" t="str">
            <v>一、上年年末余额</v>
          </cell>
          <cell r="D9">
            <v>389015152</v>
          </cell>
          <cell r="E9">
            <v>0</v>
          </cell>
          <cell r="F9">
            <v>0</v>
          </cell>
          <cell r="G9">
            <v>0</v>
          </cell>
          <cell r="H9">
            <v>61861923.009999998</v>
          </cell>
          <cell r="I9">
            <v>0</v>
          </cell>
          <cell r="J9">
            <v>0</v>
          </cell>
          <cell r="K9">
            <v>7301705.1699999999</v>
          </cell>
          <cell r="L9">
            <v>17597029.559999999</v>
          </cell>
          <cell r="M9">
            <v>0</v>
          </cell>
          <cell r="N9">
            <v>137553756.93000001</v>
          </cell>
          <cell r="O9">
            <v>0</v>
          </cell>
          <cell r="P9">
            <v>0</v>
          </cell>
          <cell r="Q9">
            <v>613329566.66999996</v>
          </cell>
          <cell r="R9">
            <v>360000000</v>
          </cell>
          <cell r="S9">
            <v>0</v>
          </cell>
          <cell r="T9">
            <v>0</v>
          </cell>
          <cell r="U9">
            <v>0</v>
          </cell>
          <cell r="V9">
            <v>14277074.01</v>
          </cell>
          <cell r="W9">
            <v>0</v>
          </cell>
          <cell r="X9">
            <v>0</v>
          </cell>
          <cell r="Y9">
            <v>5551075.4500000002</v>
          </cell>
          <cell r="Z9">
            <v>13774458.859999999</v>
          </cell>
          <cell r="AA9">
            <v>0</v>
          </cell>
          <cell r="AB9">
            <v>39885932.859999999</v>
          </cell>
          <cell r="AC9">
            <v>0</v>
          </cell>
          <cell r="AD9">
            <v>0</v>
          </cell>
          <cell r="AE9">
            <v>433488541.18000001</v>
          </cell>
        </row>
        <row r="10">
          <cell r="B10" t="str">
            <v>02</v>
          </cell>
          <cell r="C10" t="str">
            <v>加：会计政策变更</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row>
        <row r="11">
          <cell r="B11" t="str">
            <v>03</v>
          </cell>
          <cell r="C11" t="str">
            <v>前期差错更正</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row>
        <row r="12">
          <cell r="B12" t="str">
            <v>04</v>
          </cell>
          <cell r="C12" t="str">
            <v>同一控制下企业合并</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row>
        <row r="13">
          <cell r="B13" t="str">
            <v>09</v>
          </cell>
          <cell r="C13" t="str">
            <v>其他</v>
          </cell>
          <cell r="D13">
            <v>0</v>
          </cell>
          <cell r="E13">
            <v>0</v>
          </cell>
          <cell r="F13">
            <v>0</v>
          </cell>
          <cell r="G13">
            <v>0</v>
          </cell>
          <cell r="H13">
            <v>-1000000</v>
          </cell>
          <cell r="I13">
            <v>0</v>
          </cell>
          <cell r="J13">
            <v>0</v>
          </cell>
          <cell r="K13">
            <v>-191233.61</v>
          </cell>
          <cell r="L13">
            <v>-800832.28</v>
          </cell>
          <cell r="M13">
            <v>0</v>
          </cell>
          <cell r="N13">
            <v>-22584866.57</v>
          </cell>
          <cell r="O13">
            <v>0</v>
          </cell>
          <cell r="P13">
            <v>0</v>
          </cell>
          <cell r="Q13">
            <v>-24576932.460000001</v>
          </cell>
          <cell r="R13">
            <v>0</v>
          </cell>
          <cell r="S13">
            <v>0</v>
          </cell>
          <cell r="T13">
            <v>0</v>
          </cell>
          <cell r="U13">
            <v>0</v>
          </cell>
          <cell r="V13">
            <v>0</v>
          </cell>
          <cell r="W13">
            <v>0</v>
          </cell>
          <cell r="X13">
            <v>0</v>
          </cell>
          <cell r="Y13">
            <v>0</v>
          </cell>
          <cell r="Z13">
            <v>0</v>
          </cell>
          <cell r="AA13">
            <v>0</v>
          </cell>
          <cell r="AB13">
            <v>0</v>
          </cell>
          <cell r="AC13">
            <v>0</v>
          </cell>
          <cell r="AD13">
            <v>0</v>
          </cell>
          <cell r="AE13">
            <v>0</v>
          </cell>
        </row>
        <row r="14">
          <cell r="B14" t="str">
            <v>10</v>
          </cell>
          <cell r="C14" t="str">
            <v>二、本年年初余额</v>
          </cell>
          <cell r="D14">
            <v>389015152</v>
          </cell>
          <cell r="E14">
            <v>0</v>
          </cell>
          <cell r="F14">
            <v>0</v>
          </cell>
          <cell r="G14">
            <v>0</v>
          </cell>
          <cell r="H14">
            <v>60861923.009999998</v>
          </cell>
          <cell r="I14">
            <v>0</v>
          </cell>
          <cell r="J14">
            <v>0</v>
          </cell>
          <cell r="K14">
            <v>7110471.5599999996</v>
          </cell>
          <cell r="L14">
            <v>16796197.280000001</v>
          </cell>
          <cell r="M14">
            <v>0</v>
          </cell>
          <cell r="N14">
            <v>114968890.36</v>
          </cell>
          <cell r="O14">
            <v>0</v>
          </cell>
          <cell r="P14">
            <v>0</v>
          </cell>
          <cell r="Q14">
            <v>588752634.21000004</v>
          </cell>
          <cell r="R14">
            <v>360000000</v>
          </cell>
          <cell r="S14">
            <v>0</v>
          </cell>
          <cell r="T14">
            <v>0</v>
          </cell>
          <cell r="U14">
            <v>0</v>
          </cell>
          <cell r="V14">
            <v>14277074.01</v>
          </cell>
          <cell r="W14">
            <v>0</v>
          </cell>
          <cell r="X14">
            <v>0</v>
          </cell>
          <cell r="Y14">
            <v>5551075.4500000002</v>
          </cell>
          <cell r="Z14">
            <v>13774458.859999999</v>
          </cell>
          <cell r="AA14">
            <v>0</v>
          </cell>
          <cell r="AB14">
            <v>39885932.859999999</v>
          </cell>
          <cell r="AC14">
            <v>0</v>
          </cell>
          <cell r="AD14">
            <v>0</v>
          </cell>
          <cell r="AE14">
            <v>433488541.18000001</v>
          </cell>
        </row>
        <row r="15">
          <cell r="B15" t="str">
            <v>90</v>
          </cell>
          <cell r="C15" t="str">
            <v>三、本年增减变动金额（减少以“－”号填列）</v>
          </cell>
          <cell r="D15">
            <v>0</v>
          </cell>
          <cell r="E15">
            <v>0</v>
          </cell>
          <cell r="F15">
            <v>0</v>
          </cell>
          <cell r="G15">
            <v>0</v>
          </cell>
          <cell r="H15">
            <v>0</v>
          </cell>
          <cell r="I15">
            <v>0</v>
          </cell>
          <cell r="J15">
            <v>0</v>
          </cell>
          <cell r="K15">
            <v>691641</v>
          </cell>
          <cell r="L15">
            <v>0</v>
          </cell>
          <cell r="M15">
            <v>0</v>
          </cell>
          <cell r="N15">
            <v>17906312.969999999</v>
          </cell>
          <cell r="O15">
            <v>0</v>
          </cell>
          <cell r="P15">
            <v>0</v>
          </cell>
          <cell r="Q15">
            <v>18597953.969999999</v>
          </cell>
          <cell r="R15">
            <v>29015152</v>
          </cell>
          <cell r="S15">
            <v>0</v>
          </cell>
          <cell r="T15">
            <v>0</v>
          </cell>
          <cell r="U15">
            <v>0</v>
          </cell>
          <cell r="V15">
            <v>46584849</v>
          </cell>
          <cell r="W15">
            <v>0</v>
          </cell>
          <cell r="X15">
            <v>0</v>
          </cell>
          <cell r="Y15">
            <v>1559396.11</v>
          </cell>
          <cell r="Z15">
            <v>2569705.25</v>
          </cell>
          <cell r="AA15">
            <v>0</v>
          </cell>
          <cell r="AB15">
            <v>23127347.23</v>
          </cell>
          <cell r="AC15">
            <v>0</v>
          </cell>
          <cell r="AD15">
            <v>0</v>
          </cell>
          <cell r="AE15">
            <v>102856449.59</v>
          </cell>
        </row>
        <row r="16">
          <cell r="B16" t="str">
            <v>21</v>
          </cell>
          <cell r="C16" t="str">
            <v>（一）净利润</v>
          </cell>
          <cell r="D16">
            <v>0</v>
          </cell>
          <cell r="E16">
            <v>0</v>
          </cell>
          <cell r="F16">
            <v>0</v>
          </cell>
          <cell r="G16">
            <v>0</v>
          </cell>
          <cell r="H16">
            <v>0</v>
          </cell>
          <cell r="I16">
            <v>0</v>
          </cell>
          <cell r="J16">
            <v>0</v>
          </cell>
          <cell r="K16">
            <v>0</v>
          </cell>
          <cell r="L16">
            <v>0</v>
          </cell>
          <cell r="M16">
            <v>0</v>
          </cell>
          <cell r="N16">
            <v>17906312.969999999</v>
          </cell>
          <cell r="O16">
            <v>0</v>
          </cell>
          <cell r="P16">
            <v>0</v>
          </cell>
          <cell r="Q16">
            <v>17906312.969999999</v>
          </cell>
          <cell r="R16">
            <v>0</v>
          </cell>
          <cell r="S16">
            <v>0</v>
          </cell>
          <cell r="T16">
            <v>0</v>
          </cell>
          <cell r="U16">
            <v>0</v>
          </cell>
          <cell r="V16">
            <v>0</v>
          </cell>
          <cell r="W16">
            <v>0</v>
          </cell>
          <cell r="X16">
            <v>0</v>
          </cell>
          <cell r="Y16">
            <v>0</v>
          </cell>
          <cell r="Z16">
            <v>0</v>
          </cell>
          <cell r="AA16">
            <v>0</v>
          </cell>
          <cell r="AB16">
            <v>25697052.48</v>
          </cell>
          <cell r="AC16">
            <v>0</v>
          </cell>
          <cell r="AD16">
            <v>0</v>
          </cell>
          <cell r="AE16">
            <v>25697052.48</v>
          </cell>
        </row>
        <row r="17">
          <cell r="B17" t="str">
            <v>30</v>
          </cell>
          <cell r="C17" t="str">
            <v>（二）其他综合收益</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row>
        <row r="18">
          <cell r="B18" t="str">
            <v>40</v>
          </cell>
          <cell r="C18" t="str">
            <v>（一）综合收益总额</v>
          </cell>
          <cell r="D18">
            <v>0</v>
          </cell>
          <cell r="E18">
            <v>0</v>
          </cell>
          <cell r="F18">
            <v>0</v>
          </cell>
          <cell r="G18">
            <v>0</v>
          </cell>
          <cell r="H18">
            <v>0</v>
          </cell>
          <cell r="I18">
            <v>0</v>
          </cell>
          <cell r="J18">
            <v>0</v>
          </cell>
          <cell r="K18">
            <v>0</v>
          </cell>
          <cell r="L18">
            <v>0</v>
          </cell>
          <cell r="M18">
            <v>0</v>
          </cell>
          <cell r="N18">
            <v>17906312.969999999</v>
          </cell>
          <cell r="O18">
            <v>0</v>
          </cell>
          <cell r="P18">
            <v>0</v>
          </cell>
          <cell r="Q18">
            <v>17906312.969999999</v>
          </cell>
          <cell r="R18">
            <v>0</v>
          </cell>
          <cell r="S18">
            <v>0</v>
          </cell>
          <cell r="T18">
            <v>0</v>
          </cell>
          <cell r="U18">
            <v>0</v>
          </cell>
          <cell r="V18">
            <v>0</v>
          </cell>
          <cell r="W18">
            <v>0</v>
          </cell>
          <cell r="X18">
            <v>0</v>
          </cell>
          <cell r="Y18">
            <v>0</v>
          </cell>
          <cell r="Z18">
            <v>0</v>
          </cell>
          <cell r="AA18">
            <v>0</v>
          </cell>
          <cell r="AB18">
            <v>25697052.48</v>
          </cell>
          <cell r="AC18">
            <v>0</v>
          </cell>
          <cell r="AD18">
            <v>0</v>
          </cell>
          <cell r="AE18">
            <v>25697052.48</v>
          </cell>
        </row>
        <row r="19">
          <cell r="B19" t="str">
            <v>50</v>
          </cell>
          <cell r="C19" t="str">
            <v>（二）股东（或所有者）投入和减少资本</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29015152</v>
          </cell>
          <cell r="S19">
            <v>0</v>
          </cell>
          <cell r="T19">
            <v>0</v>
          </cell>
          <cell r="U19">
            <v>0</v>
          </cell>
          <cell r="V19">
            <v>46584849</v>
          </cell>
          <cell r="W19">
            <v>0</v>
          </cell>
          <cell r="X19">
            <v>0</v>
          </cell>
          <cell r="Y19">
            <v>0</v>
          </cell>
          <cell r="Z19">
            <v>0</v>
          </cell>
          <cell r="AA19">
            <v>0</v>
          </cell>
          <cell r="AB19">
            <v>0</v>
          </cell>
          <cell r="AC19">
            <v>0</v>
          </cell>
          <cell r="AD19">
            <v>0</v>
          </cell>
          <cell r="AE19">
            <v>75600001</v>
          </cell>
        </row>
        <row r="20">
          <cell r="B20" t="str">
            <v>51</v>
          </cell>
          <cell r="C20" t="str">
            <v>1．股东投入的普通股</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29015152</v>
          </cell>
          <cell r="S20">
            <v>0</v>
          </cell>
          <cell r="T20">
            <v>0</v>
          </cell>
          <cell r="U20">
            <v>0</v>
          </cell>
          <cell r="V20">
            <v>46584849</v>
          </cell>
          <cell r="W20">
            <v>0</v>
          </cell>
          <cell r="X20">
            <v>0</v>
          </cell>
          <cell r="Y20">
            <v>0</v>
          </cell>
          <cell r="Z20">
            <v>0</v>
          </cell>
          <cell r="AA20">
            <v>0</v>
          </cell>
          <cell r="AB20">
            <v>0</v>
          </cell>
          <cell r="AC20">
            <v>0</v>
          </cell>
          <cell r="AD20">
            <v>0</v>
          </cell>
          <cell r="AE20">
            <v>75600001</v>
          </cell>
        </row>
        <row r="21">
          <cell r="B21" t="str">
            <v>53</v>
          </cell>
          <cell r="C21" t="str">
            <v>2．其他权益工具持有者投入资本</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row>
        <row r="22">
          <cell r="B22" t="str">
            <v>52</v>
          </cell>
          <cell r="C22" t="str">
            <v>3．股份支付计入股东权益的金额</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row>
        <row r="23">
          <cell r="B23" t="str">
            <v>56</v>
          </cell>
          <cell r="C23" t="str">
            <v>4．其他</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row>
        <row r="24">
          <cell r="B24" t="str">
            <v>60</v>
          </cell>
          <cell r="C24" t="str">
            <v>（三）利润分配</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2569705.25</v>
          </cell>
          <cell r="AA24">
            <v>0</v>
          </cell>
          <cell r="AB24">
            <v>-2569705.25</v>
          </cell>
          <cell r="AC24">
            <v>0</v>
          </cell>
          <cell r="AD24">
            <v>0</v>
          </cell>
          <cell r="AE24">
            <v>0</v>
          </cell>
        </row>
        <row r="25">
          <cell r="B25" t="str">
            <v>61</v>
          </cell>
          <cell r="C25" t="str">
            <v>1．提取盈余公积</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2569705.25</v>
          </cell>
          <cell r="AA25">
            <v>0</v>
          </cell>
          <cell r="AB25">
            <v>-2569705.25</v>
          </cell>
          <cell r="AC25">
            <v>0</v>
          </cell>
          <cell r="AD25">
            <v>0</v>
          </cell>
          <cell r="AE25">
            <v>0</v>
          </cell>
        </row>
        <row r="26">
          <cell r="B26" t="str">
            <v>62</v>
          </cell>
          <cell r="C26" t="str">
            <v>2．提取一般风险准备</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row>
        <row r="27">
          <cell r="B27" t="str">
            <v>63</v>
          </cell>
          <cell r="C27" t="str">
            <v>3．对股东（或所有者）的分配</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row>
        <row r="28">
          <cell r="B28" t="str">
            <v>66</v>
          </cell>
          <cell r="C28" t="str">
            <v>4．其他</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row>
        <row r="29">
          <cell r="B29" t="str">
            <v>70</v>
          </cell>
          <cell r="C29" t="str">
            <v>（四）股东权益内部结转</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row>
        <row r="30">
          <cell r="B30" t="str">
            <v>71</v>
          </cell>
          <cell r="C30" t="str">
            <v>1．资本公积转增股本（或资本）</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row>
        <row r="31">
          <cell r="B31" t="str">
            <v>72</v>
          </cell>
          <cell r="C31" t="str">
            <v>2．盈余公积转增股本（或资本）</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row>
        <row r="32">
          <cell r="B32" t="str">
            <v>73</v>
          </cell>
          <cell r="C32" t="str">
            <v>3．盈余公积弥补亏损</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row>
        <row r="33">
          <cell r="B33" t="str">
            <v>75</v>
          </cell>
          <cell r="C33" t="str">
            <v>4．设定受益计划变动额结转留存收益</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row>
        <row r="34">
          <cell r="B34" t="str">
            <v>76</v>
          </cell>
          <cell r="C34" t="str">
            <v>5．其他</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row>
        <row r="35">
          <cell r="B35" t="str">
            <v>80</v>
          </cell>
          <cell r="C35" t="str">
            <v>（五）专项储备</v>
          </cell>
          <cell r="D35">
            <v>0</v>
          </cell>
          <cell r="E35">
            <v>0</v>
          </cell>
          <cell r="F35">
            <v>0</v>
          </cell>
          <cell r="G35">
            <v>0</v>
          </cell>
          <cell r="H35">
            <v>0</v>
          </cell>
          <cell r="I35">
            <v>0</v>
          </cell>
          <cell r="J35">
            <v>0</v>
          </cell>
          <cell r="K35">
            <v>691641</v>
          </cell>
          <cell r="L35">
            <v>0</v>
          </cell>
          <cell r="M35">
            <v>0</v>
          </cell>
          <cell r="N35">
            <v>0</v>
          </cell>
          <cell r="O35">
            <v>0</v>
          </cell>
          <cell r="P35">
            <v>0</v>
          </cell>
          <cell r="Q35">
            <v>691641</v>
          </cell>
          <cell r="R35">
            <v>0</v>
          </cell>
          <cell r="S35">
            <v>0</v>
          </cell>
          <cell r="T35">
            <v>0</v>
          </cell>
          <cell r="U35">
            <v>0</v>
          </cell>
          <cell r="V35">
            <v>0</v>
          </cell>
          <cell r="W35">
            <v>0</v>
          </cell>
          <cell r="X35">
            <v>0</v>
          </cell>
          <cell r="Y35">
            <v>1559396.11</v>
          </cell>
          <cell r="Z35">
            <v>0</v>
          </cell>
          <cell r="AA35">
            <v>0</v>
          </cell>
          <cell r="AB35">
            <v>0</v>
          </cell>
          <cell r="AC35">
            <v>0</v>
          </cell>
          <cell r="AD35">
            <v>0</v>
          </cell>
          <cell r="AE35">
            <v>1559396.11</v>
          </cell>
        </row>
        <row r="36">
          <cell r="B36" t="str">
            <v>81</v>
          </cell>
          <cell r="C36" t="str">
            <v>1．本期提取</v>
          </cell>
          <cell r="D36">
            <v>0</v>
          </cell>
          <cell r="E36">
            <v>0</v>
          </cell>
          <cell r="F36">
            <v>0</v>
          </cell>
          <cell r="G36">
            <v>0</v>
          </cell>
          <cell r="H36">
            <v>0</v>
          </cell>
          <cell r="I36">
            <v>0</v>
          </cell>
          <cell r="J36">
            <v>0</v>
          </cell>
          <cell r="K36">
            <v>691641</v>
          </cell>
          <cell r="L36">
            <v>0</v>
          </cell>
          <cell r="M36">
            <v>0</v>
          </cell>
          <cell r="N36">
            <v>0</v>
          </cell>
          <cell r="O36">
            <v>0</v>
          </cell>
          <cell r="P36">
            <v>0</v>
          </cell>
          <cell r="Q36">
            <v>691641</v>
          </cell>
          <cell r="R36">
            <v>0</v>
          </cell>
          <cell r="S36">
            <v>0</v>
          </cell>
          <cell r="T36">
            <v>0</v>
          </cell>
          <cell r="U36">
            <v>0</v>
          </cell>
          <cell r="V36">
            <v>0</v>
          </cell>
          <cell r="W36">
            <v>0</v>
          </cell>
          <cell r="X36">
            <v>0</v>
          </cell>
          <cell r="Y36">
            <v>1559396.11</v>
          </cell>
          <cell r="Z36">
            <v>0</v>
          </cell>
          <cell r="AA36">
            <v>0</v>
          </cell>
          <cell r="AB36">
            <v>0</v>
          </cell>
          <cell r="AC36">
            <v>0</v>
          </cell>
          <cell r="AD36">
            <v>0</v>
          </cell>
          <cell r="AE36">
            <v>1559396.11</v>
          </cell>
        </row>
        <row r="37">
          <cell r="B37" t="str">
            <v>82</v>
          </cell>
          <cell r="C37" t="str">
            <v>2．本期使用（以负号填列）</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row>
        <row r="38">
          <cell r="B38" t="str">
            <v>96</v>
          </cell>
          <cell r="C38" t="str">
            <v>（六）其他</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row>
        <row r="39">
          <cell r="B39" t="str">
            <v>99</v>
          </cell>
          <cell r="C39" t="str">
            <v>四、本年年末余额</v>
          </cell>
          <cell r="D39">
            <v>389015152</v>
          </cell>
          <cell r="E39">
            <v>0</v>
          </cell>
          <cell r="F39">
            <v>0</v>
          </cell>
          <cell r="G39">
            <v>0</v>
          </cell>
          <cell r="H39">
            <v>60861923.009999998</v>
          </cell>
          <cell r="I39">
            <v>0</v>
          </cell>
          <cell r="J39">
            <v>0</v>
          </cell>
          <cell r="K39">
            <v>7802112.5599999996</v>
          </cell>
          <cell r="L39">
            <v>16796197.280000001</v>
          </cell>
          <cell r="M39">
            <v>0</v>
          </cell>
          <cell r="N39">
            <v>132875203.33</v>
          </cell>
          <cell r="O39">
            <v>0</v>
          </cell>
          <cell r="P39">
            <v>0</v>
          </cell>
          <cell r="Q39">
            <v>607350588.17999995</v>
          </cell>
          <cell r="R39">
            <v>389015152</v>
          </cell>
          <cell r="S39">
            <v>0</v>
          </cell>
          <cell r="T39">
            <v>0</v>
          </cell>
          <cell r="U39">
            <v>0</v>
          </cell>
          <cell r="V39">
            <v>60861923.009999998</v>
          </cell>
          <cell r="W39">
            <v>0</v>
          </cell>
          <cell r="X39">
            <v>0</v>
          </cell>
          <cell r="Y39">
            <v>7110471.5599999996</v>
          </cell>
          <cell r="Z39">
            <v>16344164.109999999</v>
          </cell>
          <cell r="AA39">
            <v>0</v>
          </cell>
          <cell r="AB39">
            <v>63013280.090000004</v>
          </cell>
          <cell r="AC39">
            <v>0</v>
          </cell>
          <cell r="AD39">
            <v>0</v>
          </cell>
          <cell r="AE39">
            <v>536344990.76999998</v>
          </cell>
        </row>
      </sheetData>
      <sheetData sheetId="6" refreshError="1"/>
      <sheetData sheetId="7">
        <row r="6">
          <cell r="D6">
            <v>0</v>
          </cell>
          <cell r="E6">
            <v>0</v>
          </cell>
          <cell r="F6" t="str">
            <v>本期</v>
          </cell>
          <cell r="G6" t="str">
            <v>本期</v>
          </cell>
          <cell r="H6" t="str">
            <v>本期</v>
          </cell>
          <cell r="I6" t="str">
            <v>本期</v>
          </cell>
          <cell r="J6" t="str">
            <v>上期</v>
          </cell>
          <cell r="K6" t="str">
            <v>上期</v>
          </cell>
          <cell r="L6" t="str">
            <v>上期</v>
          </cell>
          <cell r="M6" t="str">
            <v>上期</v>
          </cell>
          <cell r="T6">
            <v>0</v>
          </cell>
          <cell r="U6" t="str">
            <v>前1期</v>
          </cell>
        </row>
        <row r="7">
          <cell r="D7">
            <v>0</v>
          </cell>
          <cell r="E7">
            <v>0</v>
          </cell>
          <cell r="F7" t="str">
            <v>本期</v>
          </cell>
          <cell r="G7">
            <v>0</v>
          </cell>
          <cell r="H7">
            <v>0</v>
          </cell>
          <cell r="I7">
            <v>0</v>
          </cell>
          <cell r="J7" t="str">
            <v>上期</v>
          </cell>
          <cell r="K7">
            <v>0</v>
          </cell>
          <cell r="L7">
            <v>0</v>
          </cell>
          <cell r="M7">
            <v>0</v>
          </cell>
          <cell r="T7">
            <v>0</v>
          </cell>
          <cell r="U7">
            <v>0</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cell r="T8" t="str">
            <v>itemID</v>
          </cell>
          <cell r="U8" t="str">
            <v>调整后金额</v>
          </cell>
        </row>
        <row r="9">
          <cell r="D9">
            <v>1</v>
          </cell>
          <cell r="E9" t="str">
            <v>资产负债表</v>
          </cell>
          <cell r="F9">
            <v>0</v>
          </cell>
          <cell r="G9">
            <v>0</v>
          </cell>
          <cell r="H9">
            <v>0</v>
          </cell>
          <cell r="I9">
            <v>0</v>
          </cell>
          <cell r="J9">
            <v>0</v>
          </cell>
          <cell r="K9">
            <v>0</v>
          </cell>
          <cell r="L9">
            <v>0</v>
          </cell>
          <cell r="M9">
            <v>0</v>
          </cell>
          <cell r="T9">
            <v>1</v>
          </cell>
          <cell r="U9">
            <v>0</v>
          </cell>
        </row>
        <row r="10">
          <cell r="D10">
            <v>1000</v>
          </cell>
          <cell r="E10" t="str">
            <v>流动资产项目</v>
          </cell>
          <cell r="F10">
            <v>0</v>
          </cell>
          <cell r="G10">
            <v>0</v>
          </cell>
          <cell r="H10">
            <v>0</v>
          </cell>
          <cell r="I10">
            <v>0</v>
          </cell>
          <cell r="J10">
            <v>0</v>
          </cell>
          <cell r="K10">
            <v>0</v>
          </cell>
          <cell r="L10">
            <v>0</v>
          </cell>
          <cell r="M10">
            <v>0</v>
          </cell>
          <cell r="T10">
            <v>1000</v>
          </cell>
          <cell r="U10">
            <v>0</v>
          </cell>
        </row>
        <row r="11">
          <cell r="D11">
            <v>1015</v>
          </cell>
          <cell r="E11" t="str">
            <v>货币资金</v>
          </cell>
          <cell r="F11">
            <v>65563844.149999999</v>
          </cell>
          <cell r="G11">
            <v>50370.18</v>
          </cell>
          <cell r="H11">
            <v>0</v>
          </cell>
          <cell r="I11">
            <v>65614214.329999998</v>
          </cell>
          <cell r="J11">
            <v>191177877.88</v>
          </cell>
          <cell r="K11">
            <v>0</v>
          </cell>
          <cell r="L11">
            <v>0</v>
          </cell>
          <cell r="M11">
            <v>191177877.88</v>
          </cell>
          <cell r="T11">
            <v>1015</v>
          </cell>
          <cell r="U11">
            <v>191177877.88</v>
          </cell>
        </row>
        <row r="12">
          <cell r="D12">
            <v>1021</v>
          </cell>
          <cell r="E12" t="str">
            <v>结算备付金</v>
          </cell>
          <cell r="F12">
            <v>0</v>
          </cell>
          <cell r="G12">
            <v>0</v>
          </cell>
          <cell r="H12">
            <v>0</v>
          </cell>
          <cell r="I12">
            <v>0</v>
          </cell>
          <cell r="J12">
            <v>0</v>
          </cell>
          <cell r="K12">
            <v>0</v>
          </cell>
          <cell r="L12">
            <v>0</v>
          </cell>
          <cell r="M12">
            <v>0</v>
          </cell>
          <cell r="T12">
            <v>1021</v>
          </cell>
          <cell r="U12">
            <v>0</v>
          </cell>
        </row>
        <row r="13">
          <cell r="D13">
            <v>1302</v>
          </cell>
          <cell r="E13" t="str">
            <v>拆出资金</v>
          </cell>
          <cell r="F13">
            <v>0</v>
          </cell>
          <cell r="G13">
            <v>0</v>
          </cell>
          <cell r="H13">
            <v>0</v>
          </cell>
          <cell r="I13">
            <v>0</v>
          </cell>
          <cell r="J13">
            <v>0</v>
          </cell>
          <cell r="K13">
            <v>0</v>
          </cell>
          <cell r="L13">
            <v>0</v>
          </cell>
          <cell r="M13">
            <v>0</v>
          </cell>
          <cell r="T13">
            <v>1302</v>
          </cell>
          <cell r="U13">
            <v>0</v>
          </cell>
        </row>
        <row r="14">
          <cell r="D14">
            <v>1101</v>
          </cell>
          <cell r="E14" t="str">
            <v>以公允价值计量且其变动计入当期损益的金融资产</v>
          </cell>
          <cell r="F14">
            <v>0</v>
          </cell>
          <cell r="G14">
            <v>0</v>
          </cell>
          <cell r="H14">
            <v>0</v>
          </cell>
          <cell r="I14">
            <v>0</v>
          </cell>
          <cell r="J14">
            <v>0</v>
          </cell>
          <cell r="K14">
            <v>0</v>
          </cell>
          <cell r="L14">
            <v>0</v>
          </cell>
          <cell r="M14">
            <v>0</v>
          </cell>
          <cell r="T14">
            <v>1101</v>
          </cell>
          <cell r="U14">
            <v>0</v>
          </cell>
        </row>
        <row r="15">
          <cell r="D15">
            <v>1115</v>
          </cell>
          <cell r="E15" t="str">
            <v>衍生金融资产</v>
          </cell>
          <cell r="F15">
            <v>0</v>
          </cell>
          <cell r="G15">
            <v>0</v>
          </cell>
          <cell r="H15">
            <v>0</v>
          </cell>
          <cell r="I15">
            <v>0</v>
          </cell>
          <cell r="J15">
            <v>0</v>
          </cell>
          <cell r="K15">
            <v>0</v>
          </cell>
          <cell r="L15">
            <v>0</v>
          </cell>
          <cell r="M15">
            <v>0</v>
          </cell>
          <cell r="T15">
            <v>1115</v>
          </cell>
          <cell r="U15">
            <v>0</v>
          </cell>
        </row>
        <row r="16">
          <cell r="D16">
            <v>1123</v>
          </cell>
          <cell r="E16" t="str">
            <v>应收票据及应收账款</v>
          </cell>
          <cell r="F16">
            <v>376132839.94999999</v>
          </cell>
          <cell r="G16">
            <v>21694379.940000001</v>
          </cell>
          <cell r="H16">
            <v>3199990.43</v>
          </cell>
          <cell r="I16">
            <v>394627229.45999998</v>
          </cell>
          <cell r="J16">
            <v>268944981.23000002</v>
          </cell>
          <cell r="K16">
            <v>0</v>
          </cell>
          <cell r="L16">
            <v>0</v>
          </cell>
          <cell r="M16">
            <v>268944981.23000002</v>
          </cell>
          <cell r="T16">
            <v>1123</v>
          </cell>
          <cell r="U16">
            <v>268944981.23000002</v>
          </cell>
        </row>
        <row r="17">
          <cell r="D17">
            <v>1121</v>
          </cell>
          <cell r="E17" t="str">
            <v>应收票据</v>
          </cell>
          <cell r="F17">
            <v>5091373.3600000003</v>
          </cell>
          <cell r="G17">
            <v>1406237.38</v>
          </cell>
          <cell r="H17">
            <v>515020.54</v>
          </cell>
          <cell r="I17">
            <v>5982590.2000000002</v>
          </cell>
          <cell r="J17">
            <v>1856316</v>
          </cell>
          <cell r="K17">
            <v>0</v>
          </cell>
          <cell r="L17">
            <v>0</v>
          </cell>
          <cell r="M17">
            <v>1856316</v>
          </cell>
          <cell r="T17">
            <v>1121</v>
          </cell>
          <cell r="U17">
            <v>1856316</v>
          </cell>
        </row>
        <row r="18">
          <cell r="D18">
            <v>1122</v>
          </cell>
          <cell r="E18" t="str">
            <v>应收账款</v>
          </cell>
          <cell r="F18">
            <v>371041466.58999997</v>
          </cell>
          <cell r="G18">
            <v>20288142.559999999</v>
          </cell>
          <cell r="H18">
            <v>2684969.89</v>
          </cell>
          <cell r="I18">
            <v>388644639.25999999</v>
          </cell>
          <cell r="J18">
            <v>267088665.22999999</v>
          </cell>
          <cell r="K18">
            <v>0</v>
          </cell>
          <cell r="L18">
            <v>0</v>
          </cell>
          <cell r="M18">
            <v>267088665.22999999</v>
          </cell>
          <cell r="T18">
            <v>1122</v>
          </cell>
          <cell r="U18">
            <v>267088665.22999999</v>
          </cell>
        </row>
        <row r="19">
          <cell r="D19">
            <v>1125</v>
          </cell>
          <cell r="E19" t="str">
            <v>预付款项</v>
          </cell>
          <cell r="F19">
            <v>120866718.23999999</v>
          </cell>
          <cell r="G19">
            <v>-82248369.069999993</v>
          </cell>
          <cell r="H19">
            <v>0</v>
          </cell>
          <cell r="I19">
            <v>38618349.170000002</v>
          </cell>
          <cell r="J19">
            <v>48283528.670000002</v>
          </cell>
          <cell r="K19">
            <v>0</v>
          </cell>
          <cell r="L19">
            <v>0</v>
          </cell>
          <cell r="M19">
            <v>48283528.670000002</v>
          </cell>
          <cell r="T19">
            <v>1125</v>
          </cell>
          <cell r="U19">
            <v>48283528.670000002</v>
          </cell>
        </row>
        <row r="20">
          <cell r="D20">
            <v>1127</v>
          </cell>
          <cell r="E20" t="str">
            <v>应收保费</v>
          </cell>
          <cell r="F20">
            <v>0</v>
          </cell>
          <cell r="G20">
            <v>0</v>
          </cell>
          <cell r="H20">
            <v>0</v>
          </cell>
          <cell r="I20">
            <v>0</v>
          </cell>
          <cell r="J20">
            <v>0</v>
          </cell>
          <cell r="K20">
            <v>0</v>
          </cell>
          <cell r="L20">
            <v>0</v>
          </cell>
          <cell r="M20">
            <v>0</v>
          </cell>
          <cell r="T20">
            <v>1127</v>
          </cell>
          <cell r="U20">
            <v>0</v>
          </cell>
        </row>
        <row r="21">
          <cell r="D21">
            <v>1211</v>
          </cell>
          <cell r="E21" t="str">
            <v>应收分保账款</v>
          </cell>
          <cell r="F21">
            <v>0</v>
          </cell>
          <cell r="G21">
            <v>0</v>
          </cell>
          <cell r="H21">
            <v>0</v>
          </cell>
          <cell r="I21">
            <v>0</v>
          </cell>
          <cell r="J21">
            <v>0</v>
          </cell>
          <cell r="K21">
            <v>0</v>
          </cell>
          <cell r="L21">
            <v>0</v>
          </cell>
          <cell r="M21">
            <v>0</v>
          </cell>
          <cell r="T21">
            <v>1211</v>
          </cell>
          <cell r="U21">
            <v>0</v>
          </cell>
        </row>
        <row r="22">
          <cell r="D22">
            <v>1212</v>
          </cell>
          <cell r="E22" t="str">
            <v>应收分保合同准备金</v>
          </cell>
          <cell r="F22">
            <v>0</v>
          </cell>
          <cell r="G22">
            <v>0</v>
          </cell>
          <cell r="H22">
            <v>0</v>
          </cell>
          <cell r="I22">
            <v>0</v>
          </cell>
          <cell r="J22">
            <v>0</v>
          </cell>
          <cell r="K22">
            <v>0</v>
          </cell>
          <cell r="L22">
            <v>0</v>
          </cell>
          <cell r="M22">
            <v>0</v>
          </cell>
          <cell r="T22">
            <v>1212</v>
          </cell>
          <cell r="U22">
            <v>0</v>
          </cell>
        </row>
        <row r="23">
          <cell r="D23">
            <v>1220</v>
          </cell>
          <cell r="E23" t="str">
            <v>其他应收款（报表项目）</v>
          </cell>
          <cell r="F23">
            <v>80138276.890000001</v>
          </cell>
          <cell r="G23">
            <v>4175044.66</v>
          </cell>
          <cell r="H23">
            <v>4049510.74</v>
          </cell>
          <cell r="I23">
            <v>80263810.810000002</v>
          </cell>
          <cell r="J23">
            <v>58404603.030000001</v>
          </cell>
          <cell r="K23">
            <v>0</v>
          </cell>
          <cell r="L23">
            <v>0</v>
          </cell>
          <cell r="M23">
            <v>58404603.030000001</v>
          </cell>
          <cell r="T23">
            <v>1220</v>
          </cell>
          <cell r="U23">
            <v>58404603.030000001</v>
          </cell>
        </row>
        <row r="24">
          <cell r="D24">
            <v>1132</v>
          </cell>
          <cell r="E24" t="str">
            <v>应收利息</v>
          </cell>
          <cell r="F24">
            <v>0</v>
          </cell>
          <cell r="G24">
            <v>0</v>
          </cell>
          <cell r="H24">
            <v>0</v>
          </cell>
          <cell r="I24">
            <v>0</v>
          </cell>
          <cell r="J24">
            <v>0</v>
          </cell>
          <cell r="K24">
            <v>0</v>
          </cell>
          <cell r="L24">
            <v>0</v>
          </cell>
          <cell r="M24">
            <v>0</v>
          </cell>
          <cell r="T24">
            <v>1132</v>
          </cell>
          <cell r="U24">
            <v>0</v>
          </cell>
        </row>
        <row r="25">
          <cell r="D25">
            <v>1131</v>
          </cell>
          <cell r="E25" t="str">
            <v>应收股利</v>
          </cell>
          <cell r="F25">
            <v>0</v>
          </cell>
          <cell r="G25">
            <v>0</v>
          </cell>
          <cell r="H25">
            <v>0</v>
          </cell>
          <cell r="I25">
            <v>0</v>
          </cell>
          <cell r="J25">
            <v>0</v>
          </cell>
          <cell r="K25">
            <v>0</v>
          </cell>
          <cell r="L25">
            <v>0</v>
          </cell>
          <cell r="M25">
            <v>0</v>
          </cell>
          <cell r="T25">
            <v>1131</v>
          </cell>
          <cell r="U25">
            <v>0</v>
          </cell>
        </row>
        <row r="26">
          <cell r="D26">
            <v>1221</v>
          </cell>
          <cell r="E26" t="str">
            <v>其他应收款</v>
          </cell>
          <cell r="F26">
            <v>80138276.890000001</v>
          </cell>
          <cell r="G26">
            <v>4175044.66</v>
          </cell>
          <cell r="H26">
            <v>4049510.74</v>
          </cell>
          <cell r="I26">
            <v>80263810.810000002</v>
          </cell>
          <cell r="J26">
            <v>58404603.030000001</v>
          </cell>
          <cell r="K26">
            <v>0</v>
          </cell>
          <cell r="L26">
            <v>0</v>
          </cell>
          <cell r="M26">
            <v>58404603.030000001</v>
          </cell>
          <cell r="T26">
            <v>1221</v>
          </cell>
          <cell r="U26">
            <v>58404603.030000001</v>
          </cell>
        </row>
        <row r="27">
          <cell r="D27">
            <v>1111</v>
          </cell>
          <cell r="E27" t="str">
            <v>买入返售金融资产</v>
          </cell>
          <cell r="F27">
            <v>0</v>
          </cell>
          <cell r="G27">
            <v>0</v>
          </cell>
          <cell r="H27">
            <v>0</v>
          </cell>
          <cell r="I27">
            <v>0</v>
          </cell>
          <cell r="J27">
            <v>0</v>
          </cell>
          <cell r="K27">
            <v>0</v>
          </cell>
          <cell r="L27">
            <v>0</v>
          </cell>
          <cell r="M27">
            <v>0</v>
          </cell>
          <cell r="T27">
            <v>1111</v>
          </cell>
          <cell r="U27">
            <v>0</v>
          </cell>
        </row>
        <row r="28">
          <cell r="D28">
            <v>1400</v>
          </cell>
          <cell r="E28" t="str">
            <v>存货</v>
          </cell>
          <cell r="F28">
            <v>165585947.87</v>
          </cell>
          <cell r="G28">
            <v>29447105.460000001</v>
          </cell>
          <cell r="H28">
            <v>13023603.380000001</v>
          </cell>
          <cell r="I28">
            <v>182009449.94999999</v>
          </cell>
          <cell r="J28">
            <v>206066137.69</v>
          </cell>
          <cell r="K28">
            <v>0</v>
          </cell>
          <cell r="L28">
            <v>0</v>
          </cell>
          <cell r="M28">
            <v>206066137.69</v>
          </cell>
          <cell r="T28">
            <v>1400</v>
          </cell>
          <cell r="U28">
            <v>206066137.69</v>
          </cell>
        </row>
        <row r="29">
          <cell r="D29">
            <v>1315</v>
          </cell>
          <cell r="E29" t="str">
            <v>持有待售资产</v>
          </cell>
          <cell r="F29">
            <v>0</v>
          </cell>
          <cell r="G29">
            <v>0</v>
          </cell>
          <cell r="H29">
            <v>0</v>
          </cell>
          <cell r="I29">
            <v>0</v>
          </cell>
          <cell r="J29">
            <v>0</v>
          </cell>
          <cell r="K29">
            <v>0</v>
          </cell>
          <cell r="L29">
            <v>0</v>
          </cell>
          <cell r="M29">
            <v>0</v>
          </cell>
          <cell r="T29">
            <v>1315</v>
          </cell>
          <cell r="U29">
            <v>0</v>
          </cell>
        </row>
        <row r="30">
          <cell r="D30">
            <v>1495</v>
          </cell>
          <cell r="E30" t="str">
            <v>一年内到期的非流动资产</v>
          </cell>
          <cell r="F30">
            <v>0</v>
          </cell>
          <cell r="G30">
            <v>0</v>
          </cell>
          <cell r="H30">
            <v>0</v>
          </cell>
          <cell r="I30">
            <v>0</v>
          </cell>
          <cell r="J30">
            <v>0</v>
          </cell>
          <cell r="K30">
            <v>0</v>
          </cell>
          <cell r="L30">
            <v>0</v>
          </cell>
          <cell r="M30">
            <v>0</v>
          </cell>
          <cell r="T30">
            <v>1495</v>
          </cell>
          <cell r="U30">
            <v>0</v>
          </cell>
        </row>
        <row r="31">
          <cell r="D31">
            <v>1496</v>
          </cell>
          <cell r="E31" t="str">
            <v>其他流动资产</v>
          </cell>
          <cell r="F31">
            <v>0</v>
          </cell>
          <cell r="G31">
            <v>6800010.9299999997</v>
          </cell>
          <cell r="H31">
            <v>0</v>
          </cell>
          <cell r="I31">
            <v>6800010.9299999997</v>
          </cell>
          <cell r="J31">
            <v>15415212.289999999</v>
          </cell>
          <cell r="K31">
            <v>0</v>
          </cell>
          <cell r="L31">
            <v>0</v>
          </cell>
          <cell r="M31">
            <v>15415212.289999999</v>
          </cell>
          <cell r="T31">
            <v>1496</v>
          </cell>
          <cell r="U31">
            <v>15415212.289999999</v>
          </cell>
        </row>
        <row r="32">
          <cell r="D32">
            <v>1498</v>
          </cell>
          <cell r="E32" t="str">
            <v>流动资产</v>
          </cell>
          <cell r="F32">
            <v>808287627.10000002</v>
          </cell>
          <cell r="G32">
            <v>-20081457.899999999</v>
          </cell>
          <cell r="H32">
            <v>20273104.550000001</v>
          </cell>
          <cell r="I32">
            <v>767933064.64999998</v>
          </cell>
          <cell r="J32">
            <v>788292340.78999996</v>
          </cell>
          <cell r="K32">
            <v>0</v>
          </cell>
          <cell r="L32">
            <v>0</v>
          </cell>
          <cell r="M32">
            <v>788292340.78999996</v>
          </cell>
          <cell r="T32">
            <v>1498</v>
          </cell>
          <cell r="U32">
            <v>788292340.78999996</v>
          </cell>
        </row>
        <row r="33">
          <cell r="D33">
            <v>1500</v>
          </cell>
          <cell r="E33" t="str">
            <v>非流动资产项目</v>
          </cell>
          <cell r="F33">
            <v>0</v>
          </cell>
          <cell r="G33">
            <v>0</v>
          </cell>
          <cell r="H33">
            <v>0</v>
          </cell>
          <cell r="I33">
            <v>0</v>
          </cell>
          <cell r="J33">
            <v>0</v>
          </cell>
          <cell r="K33">
            <v>0</v>
          </cell>
          <cell r="L33">
            <v>0</v>
          </cell>
          <cell r="M33">
            <v>0</v>
          </cell>
          <cell r="T33">
            <v>1500</v>
          </cell>
          <cell r="U33">
            <v>0</v>
          </cell>
        </row>
        <row r="34">
          <cell r="D34">
            <v>1600</v>
          </cell>
          <cell r="E34" t="str">
            <v>发放委托贷款及垫款</v>
          </cell>
          <cell r="F34">
            <v>0</v>
          </cell>
          <cell r="G34">
            <v>0</v>
          </cell>
          <cell r="H34">
            <v>0</v>
          </cell>
          <cell r="I34">
            <v>0</v>
          </cell>
          <cell r="J34">
            <v>0</v>
          </cell>
          <cell r="K34">
            <v>0</v>
          </cell>
          <cell r="L34">
            <v>0</v>
          </cell>
          <cell r="M34">
            <v>0</v>
          </cell>
          <cell r="T34">
            <v>1600</v>
          </cell>
          <cell r="U34">
            <v>0</v>
          </cell>
        </row>
        <row r="35">
          <cell r="D35">
            <v>1503</v>
          </cell>
          <cell r="E35" t="str">
            <v>可供出售金融资产</v>
          </cell>
          <cell r="F35">
            <v>0</v>
          </cell>
          <cell r="G35">
            <v>0</v>
          </cell>
          <cell r="H35">
            <v>0</v>
          </cell>
          <cell r="I35">
            <v>0</v>
          </cell>
          <cell r="J35">
            <v>0</v>
          </cell>
          <cell r="K35">
            <v>0</v>
          </cell>
          <cell r="L35">
            <v>0</v>
          </cell>
          <cell r="M35">
            <v>0</v>
          </cell>
          <cell r="T35">
            <v>1503</v>
          </cell>
          <cell r="U35">
            <v>0</v>
          </cell>
        </row>
        <row r="36">
          <cell r="D36">
            <v>1501</v>
          </cell>
          <cell r="E36" t="str">
            <v>持有至到期投资</v>
          </cell>
          <cell r="F36">
            <v>0</v>
          </cell>
          <cell r="G36">
            <v>0</v>
          </cell>
          <cell r="H36">
            <v>0</v>
          </cell>
          <cell r="I36">
            <v>0</v>
          </cell>
          <cell r="J36">
            <v>0</v>
          </cell>
          <cell r="K36">
            <v>0</v>
          </cell>
          <cell r="L36">
            <v>0</v>
          </cell>
          <cell r="M36">
            <v>0</v>
          </cell>
          <cell r="T36">
            <v>1501</v>
          </cell>
          <cell r="U36">
            <v>0</v>
          </cell>
        </row>
        <row r="37">
          <cell r="D37">
            <v>1531</v>
          </cell>
          <cell r="E37" t="str">
            <v>长期应收款</v>
          </cell>
          <cell r="F37">
            <v>0</v>
          </cell>
          <cell r="G37">
            <v>0</v>
          </cell>
          <cell r="H37">
            <v>0</v>
          </cell>
          <cell r="I37">
            <v>0</v>
          </cell>
          <cell r="J37">
            <v>0</v>
          </cell>
          <cell r="K37">
            <v>0</v>
          </cell>
          <cell r="L37">
            <v>0</v>
          </cell>
          <cell r="M37">
            <v>0</v>
          </cell>
          <cell r="T37">
            <v>1531</v>
          </cell>
          <cell r="U37">
            <v>0</v>
          </cell>
        </row>
        <row r="38">
          <cell r="D38">
            <v>1515</v>
          </cell>
          <cell r="E38" t="str">
            <v>设定受益计划净资产</v>
          </cell>
          <cell r="F38">
            <v>0</v>
          </cell>
          <cell r="G38">
            <v>0</v>
          </cell>
          <cell r="H38">
            <v>0</v>
          </cell>
          <cell r="I38">
            <v>0</v>
          </cell>
          <cell r="J38">
            <v>0</v>
          </cell>
          <cell r="K38">
            <v>0</v>
          </cell>
          <cell r="L38">
            <v>0</v>
          </cell>
          <cell r="M38">
            <v>0</v>
          </cell>
          <cell r="T38">
            <v>1515</v>
          </cell>
          <cell r="U38">
            <v>0</v>
          </cell>
        </row>
        <row r="39">
          <cell r="D39">
            <v>1511</v>
          </cell>
          <cell r="E39" t="str">
            <v>长期股权投资</v>
          </cell>
          <cell r="F39">
            <v>61000000</v>
          </cell>
          <cell r="G39">
            <v>0</v>
          </cell>
          <cell r="H39">
            <v>0</v>
          </cell>
          <cell r="I39">
            <v>61000000</v>
          </cell>
          <cell r="J39">
            <v>61000000</v>
          </cell>
          <cell r="K39">
            <v>0</v>
          </cell>
          <cell r="L39">
            <v>0</v>
          </cell>
          <cell r="M39">
            <v>61000000</v>
          </cell>
          <cell r="T39">
            <v>1511</v>
          </cell>
          <cell r="U39">
            <v>61000000</v>
          </cell>
        </row>
        <row r="40">
          <cell r="D40">
            <v>1521</v>
          </cell>
          <cell r="E40" t="str">
            <v>投资性房地产</v>
          </cell>
          <cell r="F40">
            <v>0</v>
          </cell>
          <cell r="G40">
            <v>0</v>
          </cell>
          <cell r="H40">
            <v>0</v>
          </cell>
          <cell r="I40">
            <v>0</v>
          </cell>
          <cell r="J40">
            <v>0</v>
          </cell>
          <cell r="K40">
            <v>0</v>
          </cell>
          <cell r="L40">
            <v>0</v>
          </cell>
          <cell r="M40">
            <v>0</v>
          </cell>
          <cell r="T40">
            <v>1521</v>
          </cell>
          <cell r="U40">
            <v>0</v>
          </cell>
        </row>
        <row r="41">
          <cell r="D41">
            <v>1611</v>
          </cell>
          <cell r="E41" t="str">
            <v>固定资产（报表项目）</v>
          </cell>
          <cell r="F41">
            <v>10069745.300000001</v>
          </cell>
          <cell r="G41">
            <v>1306456.1000000001</v>
          </cell>
          <cell r="H41">
            <v>-275024.76</v>
          </cell>
          <cell r="I41">
            <v>11651226.16</v>
          </cell>
          <cell r="J41">
            <v>11112899.470000001</v>
          </cell>
          <cell r="K41">
            <v>0</v>
          </cell>
          <cell r="L41">
            <v>0</v>
          </cell>
          <cell r="M41">
            <v>11112899.470000001</v>
          </cell>
          <cell r="T41">
            <v>1611</v>
          </cell>
          <cell r="U41">
            <v>11112899.470000001</v>
          </cell>
        </row>
        <row r="42">
          <cell r="D42">
            <v>1601</v>
          </cell>
          <cell r="E42" t="str">
            <v>固定资产</v>
          </cell>
          <cell r="F42">
            <v>10069745.300000001</v>
          </cell>
          <cell r="G42">
            <v>1306456.1000000001</v>
          </cell>
          <cell r="H42">
            <v>-275024.76</v>
          </cell>
          <cell r="I42">
            <v>11651226.16</v>
          </cell>
          <cell r="J42">
            <v>11112899.470000001</v>
          </cell>
          <cell r="K42">
            <v>0</v>
          </cell>
          <cell r="L42">
            <v>0</v>
          </cell>
          <cell r="M42">
            <v>11112899.470000001</v>
          </cell>
          <cell r="T42">
            <v>1601</v>
          </cell>
          <cell r="U42">
            <v>11112899.470000001</v>
          </cell>
        </row>
        <row r="43">
          <cell r="D43">
            <v>1606</v>
          </cell>
          <cell r="E43" t="str">
            <v>固定资产清理</v>
          </cell>
          <cell r="F43">
            <v>0</v>
          </cell>
          <cell r="G43">
            <v>0</v>
          </cell>
          <cell r="H43">
            <v>0</v>
          </cell>
          <cell r="I43">
            <v>0</v>
          </cell>
          <cell r="J43">
            <v>0</v>
          </cell>
          <cell r="K43">
            <v>0</v>
          </cell>
          <cell r="L43">
            <v>0</v>
          </cell>
          <cell r="M43">
            <v>0</v>
          </cell>
          <cell r="T43">
            <v>1606</v>
          </cell>
          <cell r="U43">
            <v>0</v>
          </cell>
        </row>
        <row r="44">
          <cell r="D44">
            <v>1616</v>
          </cell>
          <cell r="E44" t="str">
            <v>在建工程（报表项目）</v>
          </cell>
          <cell r="F44">
            <v>5328.2</v>
          </cell>
          <cell r="G44">
            <v>24502863.370000001</v>
          </cell>
          <cell r="H44">
            <v>5328.2</v>
          </cell>
          <cell r="I44">
            <v>24502863.370000001</v>
          </cell>
          <cell r="J44">
            <v>0</v>
          </cell>
          <cell r="K44">
            <v>0</v>
          </cell>
          <cell r="L44">
            <v>0</v>
          </cell>
          <cell r="M44">
            <v>0</v>
          </cell>
          <cell r="T44">
            <v>1616</v>
          </cell>
          <cell r="U44">
            <v>0</v>
          </cell>
        </row>
        <row r="45">
          <cell r="D45">
            <v>1604</v>
          </cell>
          <cell r="E45" t="str">
            <v>在建工程</v>
          </cell>
          <cell r="F45">
            <v>5328.2</v>
          </cell>
          <cell r="G45">
            <v>24502863.370000001</v>
          </cell>
          <cell r="H45">
            <v>5328.2</v>
          </cell>
          <cell r="I45">
            <v>24502863.370000001</v>
          </cell>
          <cell r="J45">
            <v>0</v>
          </cell>
          <cell r="K45">
            <v>0</v>
          </cell>
          <cell r="L45">
            <v>0</v>
          </cell>
          <cell r="M45">
            <v>0</v>
          </cell>
          <cell r="T45">
            <v>1604</v>
          </cell>
          <cell r="U45">
            <v>0</v>
          </cell>
        </row>
        <row r="46">
          <cell r="D46">
            <v>1605</v>
          </cell>
          <cell r="E46" t="str">
            <v>工程物资</v>
          </cell>
          <cell r="F46">
            <v>0</v>
          </cell>
          <cell r="G46">
            <v>0</v>
          </cell>
          <cell r="H46">
            <v>0</v>
          </cell>
          <cell r="I46">
            <v>0</v>
          </cell>
          <cell r="J46">
            <v>0</v>
          </cell>
          <cell r="K46">
            <v>0</v>
          </cell>
          <cell r="L46">
            <v>0</v>
          </cell>
          <cell r="M46">
            <v>0</v>
          </cell>
          <cell r="T46">
            <v>1605</v>
          </cell>
          <cell r="U46">
            <v>0</v>
          </cell>
        </row>
        <row r="47">
          <cell r="D47">
            <v>1621</v>
          </cell>
          <cell r="E47" t="str">
            <v>生产性生物资产</v>
          </cell>
          <cell r="F47">
            <v>0</v>
          </cell>
          <cell r="G47">
            <v>0</v>
          </cell>
          <cell r="H47">
            <v>0</v>
          </cell>
          <cell r="I47">
            <v>0</v>
          </cell>
          <cell r="J47">
            <v>0</v>
          </cell>
          <cell r="K47">
            <v>0</v>
          </cell>
          <cell r="L47">
            <v>0</v>
          </cell>
          <cell r="M47">
            <v>0</v>
          </cell>
          <cell r="T47">
            <v>1621</v>
          </cell>
          <cell r="U47">
            <v>0</v>
          </cell>
        </row>
        <row r="48">
          <cell r="D48">
            <v>1631</v>
          </cell>
          <cell r="E48" t="str">
            <v>油气资产</v>
          </cell>
          <cell r="F48">
            <v>0</v>
          </cell>
          <cell r="G48">
            <v>0</v>
          </cell>
          <cell r="H48">
            <v>0</v>
          </cell>
          <cell r="I48">
            <v>0</v>
          </cell>
          <cell r="J48">
            <v>0</v>
          </cell>
          <cell r="K48">
            <v>0</v>
          </cell>
          <cell r="L48">
            <v>0</v>
          </cell>
          <cell r="M48">
            <v>0</v>
          </cell>
          <cell r="T48">
            <v>1631</v>
          </cell>
          <cell r="U48">
            <v>0</v>
          </cell>
        </row>
        <row r="49">
          <cell r="D49">
            <v>1701</v>
          </cell>
          <cell r="E49" t="str">
            <v>无形资产</v>
          </cell>
          <cell r="F49">
            <v>29705209.870000001</v>
          </cell>
          <cell r="G49">
            <v>6091106.9500000002</v>
          </cell>
          <cell r="H49">
            <v>27009358.870000001</v>
          </cell>
          <cell r="I49">
            <v>8786957.9499999993</v>
          </cell>
          <cell r="J49">
            <v>9479025.4399999995</v>
          </cell>
          <cell r="K49">
            <v>0</v>
          </cell>
          <cell r="L49">
            <v>0</v>
          </cell>
          <cell r="M49">
            <v>9479025.4399999995</v>
          </cell>
          <cell r="T49">
            <v>1701</v>
          </cell>
          <cell r="U49">
            <v>9479025.4399999995</v>
          </cell>
        </row>
        <row r="50">
          <cell r="D50">
            <v>1700</v>
          </cell>
          <cell r="E50" t="str">
            <v>开发支出</v>
          </cell>
          <cell r="F50">
            <v>846903.76</v>
          </cell>
          <cell r="G50">
            <v>8575491.1199999992</v>
          </cell>
          <cell r="H50">
            <v>9422394.8800000008</v>
          </cell>
          <cell r="I50">
            <v>0</v>
          </cell>
          <cell r="J50">
            <v>0</v>
          </cell>
          <cell r="K50">
            <v>0</v>
          </cell>
          <cell r="L50">
            <v>0</v>
          </cell>
          <cell r="M50">
            <v>0</v>
          </cell>
          <cell r="T50">
            <v>1700</v>
          </cell>
          <cell r="U50">
            <v>0</v>
          </cell>
        </row>
        <row r="51">
          <cell r="D51">
            <v>1711</v>
          </cell>
          <cell r="E51" t="str">
            <v>商誉</v>
          </cell>
          <cell r="F51">
            <v>0</v>
          </cell>
          <cell r="G51">
            <v>0</v>
          </cell>
          <cell r="H51">
            <v>0</v>
          </cell>
          <cell r="I51">
            <v>0</v>
          </cell>
          <cell r="J51">
            <v>0</v>
          </cell>
          <cell r="K51">
            <v>0</v>
          </cell>
          <cell r="L51">
            <v>0</v>
          </cell>
          <cell r="M51">
            <v>0</v>
          </cell>
          <cell r="T51">
            <v>1711</v>
          </cell>
          <cell r="U51">
            <v>0</v>
          </cell>
        </row>
        <row r="52">
          <cell r="D52">
            <v>1801</v>
          </cell>
          <cell r="E52" t="str">
            <v>长期待摊费用</v>
          </cell>
          <cell r="F52">
            <v>1266571.52</v>
          </cell>
          <cell r="G52">
            <v>-13865</v>
          </cell>
          <cell r="H52">
            <v>662273.88</v>
          </cell>
          <cell r="I52">
            <v>590432.64</v>
          </cell>
          <cell r="J52">
            <v>915113.28</v>
          </cell>
          <cell r="K52">
            <v>0</v>
          </cell>
          <cell r="L52">
            <v>0</v>
          </cell>
          <cell r="M52">
            <v>915113.28</v>
          </cell>
          <cell r="T52">
            <v>1801</v>
          </cell>
          <cell r="U52">
            <v>915113.28</v>
          </cell>
        </row>
        <row r="53">
          <cell r="D53">
            <v>1811</v>
          </cell>
          <cell r="E53" t="str">
            <v>递延所得税资产</v>
          </cell>
          <cell r="F53">
            <v>10102226.199999999</v>
          </cell>
          <cell r="G53">
            <v>3897735.85</v>
          </cell>
          <cell r="H53">
            <v>0</v>
          </cell>
          <cell r="I53">
            <v>13999962.050000001</v>
          </cell>
          <cell r="J53">
            <v>13459765.699999999</v>
          </cell>
          <cell r="K53">
            <v>0</v>
          </cell>
          <cell r="L53">
            <v>0</v>
          </cell>
          <cell r="M53">
            <v>13459765.699999999</v>
          </cell>
          <cell r="T53">
            <v>1811</v>
          </cell>
          <cell r="U53">
            <v>13459765.699999999</v>
          </cell>
        </row>
        <row r="54">
          <cell r="D54">
            <v>1996</v>
          </cell>
          <cell r="E54" t="str">
            <v>其他非流动资产</v>
          </cell>
          <cell r="F54">
            <v>0</v>
          </cell>
          <cell r="G54">
            <v>22162241.579999998</v>
          </cell>
          <cell r="H54">
            <v>0</v>
          </cell>
          <cell r="I54">
            <v>22162241.579999998</v>
          </cell>
          <cell r="J54">
            <v>16562426.710000001</v>
          </cell>
          <cell r="K54">
            <v>0</v>
          </cell>
          <cell r="L54">
            <v>0</v>
          </cell>
          <cell r="M54">
            <v>16562426.710000001</v>
          </cell>
          <cell r="T54">
            <v>1996</v>
          </cell>
          <cell r="U54">
            <v>16562426.710000001</v>
          </cell>
        </row>
        <row r="55">
          <cell r="D55">
            <v>1998</v>
          </cell>
          <cell r="E55" t="str">
            <v>非流动资产</v>
          </cell>
          <cell r="F55">
            <v>112995984.84999999</v>
          </cell>
          <cell r="G55">
            <v>66522029.969999999</v>
          </cell>
          <cell r="H55">
            <v>36824331.07</v>
          </cell>
          <cell r="I55">
            <v>142693683.75</v>
          </cell>
          <cell r="J55">
            <v>112529230.59999999</v>
          </cell>
          <cell r="K55">
            <v>0</v>
          </cell>
          <cell r="L55">
            <v>0</v>
          </cell>
          <cell r="M55">
            <v>112529230.59999999</v>
          </cell>
          <cell r="T55">
            <v>1998</v>
          </cell>
          <cell r="U55">
            <v>112529230.59999999</v>
          </cell>
        </row>
        <row r="56">
          <cell r="D56">
            <v>1999</v>
          </cell>
          <cell r="E56" t="str">
            <v>资产</v>
          </cell>
          <cell r="F56">
            <v>921283611.95000005</v>
          </cell>
          <cell r="G56">
            <v>46440572.07</v>
          </cell>
          <cell r="H56">
            <v>57097435.619999997</v>
          </cell>
          <cell r="I56">
            <v>910626748.39999998</v>
          </cell>
          <cell r="J56">
            <v>900821571.38999999</v>
          </cell>
          <cell r="K56">
            <v>0</v>
          </cell>
          <cell r="L56">
            <v>0</v>
          </cell>
          <cell r="M56">
            <v>900821571.38999999</v>
          </cell>
          <cell r="T56">
            <v>1999</v>
          </cell>
          <cell r="U56">
            <v>900821571.38999999</v>
          </cell>
        </row>
        <row r="57">
          <cell r="D57">
            <v>2000</v>
          </cell>
          <cell r="E57" t="str">
            <v>流动负债项目</v>
          </cell>
          <cell r="F57">
            <v>0</v>
          </cell>
          <cell r="G57">
            <v>0</v>
          </cell>
          <cell r="H57">
            <v>0</v>
          </cell>
          <cell r="I57">
            <v>0</v>
          </cell>
          <cell r="J57">
            <v>0</v>
          </cell>
          <cell r="K57">
            <v>0</v>
          </cell>
          <cell r="L57">
            <v>0</v>
          </cell>
          <cell r="M57">
            <v>0</v>
          </cell>
          <cell r="T57">
            <v>2000</v>
          </cell>
          <cell r="U57">
            <v>0</v>
          </cell>
        </row>
        <row r="58">
          <cell r="D58">
            <v>2001</v>
          </cell>
          <cell r="E58" t="str">
            <v>短期借款</v>
          </cell>
          <cell r="F58">
            <v>91658421.109999999</v>
          </cell>
          <cell r="G58">
            <v>0</v>
          </cell>
          <cell r="H58">
            <v>0</v>
          </cell>
          <cell r="I58">
            <v>91658421.109999999</v>
          </cell>
          <cell r="J58">
            <v>71738421.109999999</v>
          </cell>
          <cell r="K58">
            <v>0</v>
          </cell>
          <cell r="L58">
            <v>0</v>
          </cell>
          <cell r="M58">
            <v>71738421.109999999</v>
          </cell>
          <cell r="T58">
            <v>2001</v>
          </cell>
          <cell r="U58">
            <v>71738421.109999999</v>
          </cell>
        </row>
        <row r="59">
          <cell r="D59">
            <v>2004</v>
          </cell>
          <cell r="E59" t="str">
            <v>向中央银行借款</v>
          </cell>
          <cell r="F59">
            <v>0</v>
          </cell>
          <cell r="G59">
            <v>0</v>
          </cell>
          <cell r="H59">
            <v>0</v>
          </cell>
          <cell r="I59">
            <v>0</v>
          </cell>
          <cell r="J59">
            <v>0</v>
          </cell>
          <cell r="K59">
            <v>0</v>
          </cell>
          <cell r="L59">
            <v>0</v>
          </cell>
          <cell r="M59">
            <v>0</v>
          </cell>
          <cell r="T59">
            <v>2004</v>
          </cell>
          <cell r="U59">
            <v>0</v>
          </cell>
        </row>
        <row r="60">
          <cell r="D60">
            <v>2010</v>
          </cell>
          <cell r="E60" t="str">
            <v>吸收存款及同业存放</v>
          </cell>
          <cell r="F60">
            <v>0</v>
          </cell>
          <cell r="G60">
            <v>0</v>
          </cell>
          <cell r="H60">
            <v>0</v>
          </cell>
          <cell r="I60">
            <v>0</v>
          </cell>
          <cell r="J60">
            <v>0</v>
          </cell>
          <cell r="K60">
            <v>0</v>
          </cell>
          <cell r="L60">
            <v>0</v>
          </cell>
          <cell r="M60">
            <v>0</v>
          </cell>
          <cell r="T60">
            <v>2010</v>
          </cell>
          <cell r="U60">
            <v>0</v>
          </cell>
        </row>
        <row r="61">
          <cell r="D61">
            <v>2003</v>
          </cell>
          <cell r="E61" t="str">
            <v>拆入资金</v>
          </cell>
          <cell r="F61">
            <v>0</v>
          </cell>
          <cell r="G61">
            <v>0</v>
          </cell>
          <cell r="H61">
            <v>0</v>
          </cell>
          <cell r="I61">
            <v>0</v>
          </cell>
          <cell r="J61">
            <v>0</v>
          </cell>
          <cell r="K61">
            <v>0</v>
          </cell>
          <cell r="L61">
            <v>0</v>
          </cell>
          <cell r="M61">
            <v>0</v>
          </cell>
          <cell r="T61">
            <v>2003</v>
          </cell>
          <cell r="U61">
            <v>0</v>
          </cell>
        </row>
        <row r="62">
          <cell r="D62">
            <v>2101</v>
          </cell>
          <cell r="E62" t="str">
            <v>以公允价值计量且其变动计入当期损益的金融负债</v>
          </cell>
          <cell r="F62">
            <v>0</v>
          </cell>
          <cell r="G62">
            <v>0</v>
          </cell>
          <cell r="H62">
            <v>0</v>
          </cell>
          <cell r="I62">
            <v>0</v>
          </cell>
          <cell r="J62">
            <v>0</v>
          </cell>
          <cell r="K62">
            <v>0</v>
          </cell>
          <cell r="L62">
            <v>0</v>
          </cell>
          <cell r="M62">
            <v>0</v>
          </cell>
          <cell r="T62">
            <v>2101</v>
          </cell>
          <cell r="U62">
            <v>0</v>
          </cell>
        </row>
        <row r="63">
          <cell r="D63">
            <v>2115</v>
          </cell>
          <cell r="E63" t="str">
            <v>衍生金融负债</v>
          </cell>
          <cell r="F63">
            <v>0</v>
          </cell>
          <cell r="G63">
            <v>0</v>
          </cell>
          <cell r="H63">
            <v>0</v>
          </cell>
          <cell r="I63">
            <v>0</v>
          </cell>
          <cell r="J63">
            <v>0</v>
          </cell>
          <cell r="K63">
            <v>0</v>
          </cell>
          <cell r="L63">
            <v>0</v>
          </cell>
          <cell r="M63">
            <v>0</v>
          </cell>
          <cell r="T63">
            <v>2115</v>
          </cell>
          <cell r="U63">
            <v>0</v>
          </cell>
        </row>
        <row r="64">
          <cell r="D64">
            <v>2203</v>
          </cell>
          <cell r="E64" t="str">
            <v>应付票据及应付账款</v>
          </cell>
          <cell r="F64">
            <v>146010326.41</v>
          </cell>
          <cell r="G64">
            <v>0</v>
          </cell>
          <cell r="H64">
            <v>-8968937.5999999996</v>
          </cell>
          <cell r="I64">
            <v>137041388.81</v>
          </cell>
          <cell r="J64">
            <v>135508675.34</v>
          </cell>
          <cell r="K64">
            <v>0</v>
          </cell>
          <cell r="L64">
            <v>0</v>
          </cell>
          <cell r="M64">
            <v>135508675.34</v>
          </cell>
          <cell r="T64">
            <v>2203</v>
          </cell>
          <cell r="U64">
            <v>135508675.34</v>
          </cell>
        </row>
        <row r="65">
          <cell r="D65">
            <v>2201</v>
          </cell>
          <cell r="E65" t="str">
            <v>应付票据</v>
          </cell>
          <cell r="F65">
            <v>85000</v>
          </cell>
          <cell r="G65">
            <v>0</v>
          </cell>
          <cell r="H65">
            <v>0</v>
          </cell>
          <cell r="I65">
            <v>85000</v>
          </cell>
          <cell r="J65">
            <v>31100503.649999999</v>
          </cell>
          <cell r="K65">
            <v>0</v>
          </cell>
          <cell r="L65">
            <v>0</v>
          </cell>
          <cell r="M65">
            <v>31100503.649999999</v>
          </cell>
          <cell r="T65">
            <v>2201</v>
          </cell>
          <cell r="U65">
            <v>31100503.649999999</v>
          </cell>
        </row>
        <row r="66">
          <cell r="D66">
            <v>2202</v>
          </cell>
          <cell r="E66" t="str">
            <v>应付账款</v>
          </cell>
          <cell r="F66">
            <v>145925326.41</v>
          </cell>
          <cell r="G66">
            <v>0</v>
          </cell>
          <cell r="H66">
            <v>-8968937.5999999996</v>
          </cell>
          <cell r="I66">
            <v>136956388.81</v>
          </cell>
          <cell r="J66">
            <v>104408171.69</v>
          </cell>
          <cell r="K66">
            <v>0</v>
          </cell>
          <cell r="L66">
            <v>0</v>
          </cell>
          <cell r="M66">
            <v>104408171.69</v>
          </cell>
          <cell r="T66">
            <v>2202</v>
          </cell>
          <cell r="U66">
            <v>104408171.69</v>
          </cell>
        </row>
        <row r="67">
          <cell r="D67">
            <v>2205</v>
          </cell>
          <cell r="E67" t="str">
            <v>预收款项</v>
          </cell>
          <cell r="F67">
            <v>5525400.3200000003</v>
          </cell>
          <cell r="G67">
            <v>4812573.8</v>
          </cell>
          <cell r="H67">
            <v>39429094.210000001</v>
          </cell>
          <cell r="I67">
            <v>40141920.729999997</v>
          </cell>
          <cell r="J67">
            <v>76412661.299999997</v>
          </cell>
          <cell r="K67">
            <v>0</v>
          </cell>
          <cell r="L67">
            <v>0</v>
          </cell>
          <cell r="M67">
            <v>76412661.299999997</v>
          </cell>
          <cell r="T67">
            <v>2205</v>
          </cell>
          <cell r="U67">
            <v>76412661.299999997</v>
          </cell>
        </row>
        <row r="68">
          <cell r="D68">
            <v>2111</v>
          </cell>
          <cell r="E68" t="str">
            <v>卖出回购金融资产款</v>
          </cell>
          <cell r="F68">
            <v>0</v>
          </cell>
          <cell r="G68">
            <v>0</v>
          </cell>
          <cell r="H68">
            <v>0</v>
          </cell>
          <cell r="I68">
            <v>0</v>
          </cell>
          <cell r="J68">
            <v>0</v>
          </cell>
          <cell r="K68">
            <v>0</v>
          </cell>
          <cell r="L68">
            <v>0</v>
          </cell>
          <cell r="M68">
            <v>0</v>
          </cell>
          <cell r="T68">
            <v>2111</v>
          </cell>
          <cell r="U68">
            <v>0</v>
          </cell>
        </row>
        <row r="69">
          <cell r="D69">
            <v>2240</v>
          </cell>
          <cell r="E69" t="str">
            <v>应付手续费及佣金</v>
          </cell>
          <cell r="F69">
            <v>0</v>
          </cell>
          <cell r="G69">
            <v>0</v>
          </cell>
          <cell r="H69">
            <v>0</v>
          </cell>
          <cell r="I69">
            <v>0</v>
          </cell>
          <cell r="J69">
            <v>0</v>
          </cell>
          <cell r="K69">
            <v>0</v>
          </cell>
          <cell r="L69">
            <v>0</v>
          </cell>
          <cell r="M69">
            <v>0</v>
          </cell>
          <cell r="T69">
            <v>2240</v>
          </cell>
          <cell r="U69">
            <v>0</v>
          </cell>
        </row>
        <row r="70">
          <cell r="D70">
            <v>2211</v>
          </cell>
          <cell r="E70" t="str">
            <v>应付职工薪酬</v>
          </cell>
          <cell r="F70">
            <v>3786648.75</v>
          </cell>
          <cell r="G70">
            <v>649372.15</v>
          </cell>
          <cell r="H70">
            <v>1121214.48</v>
          </cell>
          <cell r="I70">
            <v>4258491.08</v>
          </cell>
          <cell r="J70">
            <v>5812418.4900000002</v>
          </cell>
          <cell r="K70">
            <v>0</v>
          </cell>
          <cell r="L70">
            <v>0</v>
          </cell>
          <cell r="M70">
            <v>5812418.4900000002</v>
          </cell>
          <cell r="T70">
            <v>2211</v>
          </cell>
          <cell r="U70">
            <v>5812418.4900000002</v>
          </cell>
        </row>
        <row r="71">
          <cell r="D71">
            <v>2221</v>
          </cell>
          <cell r="E71" t="str">
            <v>应交税费</v>
          </cell>
          <cell r="F71">
            <v>10916151.369999999</v>
          </cell>
          <cell r="G71">
            <v>519020.79999999999</v>
          </cell>
          <cell r="H71">
            <v>-654247.65</v>
          </cell>
          <cell r="I71">
            <v>9742882.9199999999</v>
          </cell>
          <cell r="J71">
            <v>1058526.48</v>
          </cell>
          <cell r="K71">
            <v>0</v>
          </cell>
          <cell r="L71">
            <v>0</v>
          </cell>
          <cell r="M71">
            <v>1058526.48</v>
          </cell>
          <cell r="T71">
            <v>2221</v>
          </cell>
          <cell r="U71">
            <v>1058526.48</v>
          </cell>
        </row>
        <row r="72">
          <cell r="D72">
            <v>2246</v>
          </cell>
          <cell r="E72" t="str">
            <v>其他应付款（报表项目）</v>
          </cell>
          <cell r="F72">
            <v>2283060.54</v>
          </cell>
          <cell r="G72">
            <v>237400</v>
          </cell>
          <cell r="H72">
            <v>9636025.7599999998</v>
          </cell>
          <cell r="I72">
            <v>11681686.300000001</v>
          </cell>
          <cell r="J72">
            <v>19856404.300000001</v>
          </cell>
          <cell r="K72">
            <v>0</v>
          </cell>
          <cell r="L72">
            <v>0</v>
          </cell>
          <cell r="M72">
            <v>19856404.300000001</v>
          </cell>
          <cell r="T72">
            <v>2246</v>
          </cell>
          <cell r="U72">
            <v>19856404.300000001</v>
          </cell>
        </row>
        <row r="73">
          <cell r="D73">
            <v>2231</v>
          </cell>
          <cell r="E73" t="str">
            <v>应付利息</v>
          </cell>
          <cell r="F73">
            <v>1425000</v>
          </cell>
          <cell r="G73">
            <v>0</v>
          </cell>
          <cell r="H73">
            <v>600243.81000000006</v>
          </cell>
          <cell r="I73">
            <v>2025243.81</v>
          </cell>
          <cell r="J73">
            <v>564620.09</v>
          </cell>
          <cell r="K73">
            <v>0</v>
          </cell>
          <cell r="L73">
            <v>0</v>
          </cell>
          <cell r="M73">
            <v>564620.09</v>
          </cell>
          <cell r="T73">
            <v>2231</v>
          </cell>
          <cell r="U73">
            <v>564620.09</v>
          </cell>
        </row>
        <row r="74">
          <cell r="D74">
            <v>2232</v>
          </cell>
          <cell r="E74" t="str">
            <v>应付股利</v>
          </cell>
          <cell r="F74">
            <v>0</v>
          </cell>
          <cell r="G74">
            <v>0</v>
          </cell>
          <cell r="H74">
            <v>0</v>
          </cell>
          <cell r="I74">
            <v>0</v>
          </cell>
          <cell r="J74">
            <v>0</v>
          </cell>
          <cell r="K74">
            <v>0</v>
          </cell>
          <cell r="L74">
            <v>0</v>
          </cell>
          <cell r="M74">
            <v>0</v>
          </cell>
          <cell r="T74">
            <v>2232</v>
          </cell>
          <cell r="U74">
            <v>0</v>
          </cell>
        </row>
        <row r="75">
          <cell r="D75">
            <v>2241</v>
          </cell>
          <cell r="E75" t="str">
            <v>其他应付款</v>
          </cell>
          <cell r="F75">
            <v>858060.54</v>
          </cell>
          <cell r="G75">
            <v>237400</v>
          </cell>
          <cell r="H75">
            <v>9035781.9499999993</v>
          </cell>
          <cell r="I75">
            <v>9656442.4900000002</v>
          </cell>
          <cell r="J75">
            <v>19291784.210000001</v>
          </cell>
          <cell r="K75">
            <v>0</v>
          </cell>
          <cell r="L75">
            <v>0</v>
          </cell>
          <cell r="M75">
            <v>19291784.210000001</v>
          </cell>
          <cell r="T75">
            <v>2241</v>
          </cell>
          <cell r="U75">
            <v>19291784.210000001</v>
          </cell>
        </row>
        <row r="76">
          <cell r="D76">
            <v>2261</v>
          </cell>
          <cell r="E76" t="str">
            <v>应付分保账款</v>
          </cell>
          <cell r="F76">
            <v>0</v>
          </cell>
          <cell r="G76">
            <v>0</v>
          </cell>
          <cell r="H76">
            <v>0</v>
          </cell>
          <cell r="I76">
            <v>0</v>
          </cell>
          <cell r="J76">
            <v>0</v>
          </cell>
          <cell r="K76">
            <v>0</v>
          </cell>
          <cell r="L76">
            <v>0</v>
          </cell>
          <cell r="M76">
            <v>0</v>
          </cell>
          <cell r="T76">
            <v>2261</v>
          </cell>
          <cell r="U76">
            <v>0</v>
          </cell>
        </row>
        <row r="77">
          <cell r="D77">
            <v>2310</v>
          </cell>
          <cell r="E77" t="str">
            <v>保险合同准备金</v>
          </cell>
          <cell r="F77">
            <v>0</v>
          </cell>
          <cell r="G77">
            <v>0</v>
          </cell>
          <cell r="H77">
            <v>0</v>
          </cell>
          <cell r="I77">
            <v>0</v>
          </cell>
          <cell r="J77">
            <v>0</v>
          </cell>
          <cell r="K77">
            <v>0</v>
          </cell>
          <cell r="L77">
            <v>0</v>
          </cell>
          <cell r="M77">
            <v>0</v>
          </cell>
          <cell r="T77">
            <v>2310</v>
          </cell>
          <cell r="U77">
            <v>0</v>
          </cell>
        </row>
        <row r="78">
          <cell r="D78">
            <v>2311</v>
          </cell>
          <cell r="E78" t="str">
            <v>代理买卖证券款</v>
          </cell>
          <cell r="F78">
            <v>0</v>
          </cell>
          <cell r="G78">
            <v>0</v>
          </cell>
          <cell r="H78">
            <v>0</v>
          </cell>
          <cell r="I78">
            <v>0</v>
          </cell>
          <cell r="J78">
            <v>0</v>
          </cell>
          <cell r="K78">
            <v>0</v>
          </cell>
          <cell r="L78">
            <v>0</v>
          </cell>
          <cell r="M78">
            <v>0</v>
          </cell>
          <cell r="T78">
            <v>2311</v>
          </cell>
          <cell r="U78">
            <v>0</v>
          </cell>
        </row>
        <row r="79">
          <cell r="D79">
            <v>2312</v>
          </cell>
          <cell r="E79" t="str">
            <v>代理承销证券款</v>
          </cell>
          <cell r="F79">
            <v>0</v>
          </cell>
          <cell r="G79">
            <v>0</v>
          </cell>
          <cell r="H79">
            <v>0</v>
          </cell>
          <cell r="I79">
            <v>0</v>
          </cell>
          <cell r="J79">
            <v>0</v>
          </cell>
          <cell r="K79">
            <v>0</v>
          </cell>
          <cell r="L79">
            <v>0</v>
          </cell>
          <cell r="M79">
            <v>0</v>
          </cell>
          <cell r="T79">
            <v>2312</v>
          </cell>
          <cell r="U79">
            <v>0</v>
          </cell>
        </row>
        <row r="80">
          <cell r="D80">
            <v>2315</v>
          </cell>
          <cell r="E80" t="str">
            <v>持有待售负债</v>
          </cell>
          <cell r="F80">
            <v>0</v>
          </cell>
          <cell r="G80">
            <v>0</v>
          </cell>
          <cell r="H80">
            <v>0</v>
          </cell>
          <cell r="I80">
            <v>0</v>
          </cell>
          <cell r="J80">
            <v>0</v>
          </cell>
          <cell r="K80">
            <v>0</v>
          </cell>
          <cell r="L80">
            <v>0</v>
          </cell>
          <cell r="M80">
            <v>0</v>
          </cell>
          <cell r="T80">
            <v>2315</v>
          </cell>
          <cell r="U80">
            <v>0</v>
          </cell>
        </row>
        <row r="81">
          <cell r="D81">
            <v>2395</v>
          </cell>
          <cell r="E81" t="str">
            <v>一年内到期的非流动负债</v>
          </cell>
          <cell r="F81">
            <v>0</v>
          </cell>
          <cell r="G81">
            <v>0</v>
          </cell>
          <cell r="H81">
            <v>20300000</v>
          </cell>
          <cell r="I81">
            <v>20300000</v>
          </cell>
          <cell r="J81">
            <v>20000000</v>
          </cell>
          <cell r="K81">
            <v>0</v>
          </cell>
          <cell r="L81">
            <v>0</v>
          </cell>
          <cell r="M81">
            <v>20000000</v>
          </cell>
          <cell r="T81">
            <v>2395</v>
          </cell>
          <cell r="U81">
            <v>20000000</v>
          </cell>
        </row>
        <row r="82">
          <cell r="D82">
            <v>2396</v>
          </cell>
          <cell r="E82" t="str">
            <v>其他流动负债</v>
          </cell>
          <cell r="F82">
            <v>0</v>
          </cell>
          <cell r="G82">
            <v>0</v>
          </cell>
          <cell r="H82">
            <v>0</v>
          </cell>
          <cell r="I82">
            <v>0</v>
          </cell>
          <cell r="J82">
            <v>0</v>
          </cell>
          <cell r="K82">
            <v>0</v>
          </cell>
          <cell r="L82">
            <v>0</v>
          </cell>
          <cell r="M82">
            <v>0</v>
          </cell>
          <cell r="T82">
            <v>2396</v>
          </cell>
          <cell r="U82">
            <v>0</v>
          </cell>
        </row>
        <row r="83">
          <cell r="D83">
            <v>2498</v>
          </cell>
          <cell r="E83" t="str">
            <v>流动负债</v>
          </cell>
          <cell r="F83">
            <v>260180008.5</v>
          </cell>
          <cell r="G83">
            <v>6218366.75</v>
          </cell>
          <cell r="H83">
            <v>60863149.200000003</v>
          </cell>
          <cell r="I83">
            <v>314824790.94999999</v>
          </cell>
          <cell r="J83">
            <v>330387107.01999998</v>
          </cell>
          <cell r="K83">
            <v>0</v>
          </cell>
          <cell r="L83">
            <v>0</v>
          </cell>
          <cell r="M83">
            <v>330387107.01999998</v>
          </cell>
          <cell r="T83">
            <v>2498</v>
          </cell>
          <cell r="U83">
            <v>330387107.01999998</v>
          </cell>
        </row>
        <row r="84">
          <cell r="D84">
            <v>2500</v>
          </cell>
          <cell r="E84" t="str">
            <v>非流动负债项目</v>
          </cell>
          <cell r="F84">
            <v>0</v>
          </cell>
          <cell r="G84">
            <v>0</v>
          </cell>
          <cell r="H84">
            <v>0</v>
          </cell>
          <cell r="I84">
            <v>0</v>
          </cell>
          <cell r="J84">
            <v>0</v>
          </cell>
          <cell r="K84">
            <v>0</v>
          </cell>
          <cell r="L84">
            <v>0</v>
          </cell>
          <cell r="M84">
            <v>0</v>
          </cell>
          <cell r="T84">
            <v>2500</v>
          </cell>
          <cell r="U84">
            <v>0</v>
          </cell>
        </row>
        <row r="85">
          <cell r="D85">
            <v>2501</v>
          </cell>
          <cell r="E85" t="str">
            <v>长期借款</v>
          </cell>
          <cell r="F85">
            <v>0</v>
          </cell>
          <cell r="G85">
            <v>0</v>
          </cell>
          <cell r="H85">
            <v>0</v>
          </cell>
          <cell r="I85">
            <v>0</v>
          </cell>
          <cell r="J85">
            <v>0</v>
          </cell>
          <cell r="K85">
            <v>0</v>
          </cell>
          <cell r="L85">
            <v>0</v>
          </cell>
          <cell r="M85">
            <v>0</v>
          </cell>
          <cell r="T85">
            <v>2501</v>
          </cell>
          <cell r="U85">
            <v>0</v>
          </cell>
        </row>
        <row r="86">
          <cell r="D86">
            <v>2502</v>
          </cell>
          <cell r="E86" t="str">
            <v>应付债券</v>
          </cell>
          <cell r="F86">
            <v>49420045.649999999</v>
          </cell>
          <cell r="G86">
            <v>20300000</v>
          </cell>
          <cell r="H86">
            <v>410678.84</v>
          </cell>
          <cell r="I86">
            <v>29530724.489999998</v>
          </cell>
          <cell r="J86">
            <v>29257436.73</v>
          </cell>
          <cell r="K86">
            <v>0</v>
          </cell>
          <cell r="L86">
            <v>0</v>
          </cell>
          <cell r="M86">
            <v>29257436.73</v>
          </cell>
          <cell r="T86">
            <v>2502</v>
          </cell>
          <cell r="U86">
            <v>29257436.73</v>
          </cell>
        </row>
        <row r="87">
          <cell r="D87">
            <v>2502.11</v>
          </cell>
          <cell r="E87" t="str">
            <v>应付债券_优先股</v>
          </cell>
          <cell r="F87">
            <v>0</v>
          </cell>
          <cell r="G87">
            <v>0</v>
          </cell>
          <cell r="H87">
            <v>0</v>
          </cell>
          <cell r="I87">
            <v>0</v>
          </cell>
          <cell r="J87">
            <v>0</v>
          </cell>
          <cell r="K87">
            <v>0</v>
          </cell>
          <cell r="L87">
            <v>0</v>
          </cell>
          <cell r="M87">
            <v>0</v>
          </cell>
          <cell r="T87">
            <v>2502.11</v>
          </cell>
          <cell r="U87">
            <v>0</v>
          </cell>
        </row>
        <row r="88">
          <cell r="D88">
            <v>2502.31</v>
          </cell>
          <cell r="E88" t="str">
            <v>应付债券_永续债</v>
          </cell>
          <cell r="F88">
            <v>0</v>
          </cell>
          <cell r="G88">
            <v>0</v>
          </cell>
          <cell r="H88">
            <v>0</v>
          </cell>
          <cell r="I88">
            <v>0</v>
          </cell>
          <cell r="J88">
            <v>0</v>
          </cell>
          <cell r="K88">
            <v>0</v>
          </cell>
          <cell r="L88">
            <v>0</v>
          </cell>
          <cell r="M88">
            <v>0</v>
          </cell>
          <cell r="T88">
            <v>2502.31</v>
          </cell>
          <cell r="U88">
            <v>0</v>
          </cell>
        </row>
        <row r="89">
          <cell r="D89">
            <v>2706</v>
          </cell>
          <cell r="E89" t="str">
            <v>长期应付款（报表项目）</v>
          </cell>
          <cell r="F89">
            <v>0</v>
          </cell>
          <cell r="G89">
            <v>0</v>
          </cell>
          <cell r="H89">
            <v>0</v>
          </cell>
          <cell r="I89">
            <v>0</v>
          </cell>
          <cell r="J89">
            <v>0</v>
          </cell>
          <cell r="K89">
            <v>0</v>
          </cell>
          <cell r="L89">
            <v>0</v>
          </cell>
          <cell r="M89">
            <v>0</v>
          </cell>
          <cell r="T89">
            <v>2706</v>
          </cell>
          <cell r="U89">
            <v>0</v>
          </cell>
        </row>
        <row r="90">
          <cell r="D90">
            <v>2701</v>
          </cell>
          <cell r="E90" t="str">
            <v>长期应付款</v>
          </cell>
          <cell r="F90">
            <v>0</v>
          </cell>
          <cell r="G90">
            <v>0</v>
          </cell>
          <cell r="H90">
            <v>0</v>
          </cell>
          <cell r="I90">
            <v>0</v>
          </cell>
          <cell r="J90">
            <v>0</v>
          </cell>
          <cell r="K90">
            <v>0</v>
          </cell>
          <cell r="L90">
            <v>0</v>
          </cell>
          <cell r="M90">
            <v>0</v>
          </cell>
          <cell r="T90">
            <v>2701</v>
          </cell>
          <cell r="U90">
            <v>0</v>
          </cell>
        </row>
        <row r="91">
          <cell r="D91">
            <v>2711</v>
          </cell>
          <cell r="E91" t="str">
            <v>专项应付款</v>
          </cell>
          <cell r="F91">
            <v>0</v>
          </cell>
          <cell r="G91">
            <v>0</v>
          </cell>
          <cell r="H91">
            <v>0</v>
          </cell>
          <cell r="I91">
            <v>0</v>
          </cell>
          <cell r="J91">
            <v>0</v>
          </cell>
          <cell r="K91">
            <v>0</v>
          </cell>
          <cell r="L91">
            <v>0</v>
          </cell>
          <cell r="M91">
            <v>0</v>
          </cell>
          <cell r="T91">
            <v>2711</v>
          </cell>
          <cell r="U91">
            <v>0</v>
          </cell>
        </row>
        <row r="92">
          <cell r="D92">
            <v>2715</v>
          </cell>
          <cell r="E92" t="str">
            <v>长期应付职工薪酬</v>
          </cell>
          <cell r="F92">
            <v>0</v>
          </cell>
          <cell r="G92">
            <v>0</v>
          </cell>
          <cell r="H92">
            <v>0</v>
          </cell>
          <cell r="I92">
            <v>0</v>
          </cell>
          <cell r="J92">
            <v>0</v>
          </cell>
          <cell r="K92">
            <v>0</v>
          </cell>
          <cell r="L92">
            <v>0</v>
          </cell>
          <cell r="M92">
            <v>0</v>
          </cell>
          <cell r="T92">
            <v>2715</v>
          </cell>
          <cell r="U92">
            <v>0</v>
          </cell>
        </row>
        <row r="93">
          <cell r="D93">
            <v>2801</v>
          </cell>
          <cell r="E93" t="str">
            <v>预计负债</v>
          </cell>
          <cell r="F93">
            <v>4332969.62</v>
          </cell>
          <cell r="G93">
            <v>0</v>
          </cell>
          <cell r="H93">
            <v>1342575.97</v>
          </cell>
          <cell r="I93">
            <v>5675545.5899999999</v>
          </cell>
          <cell r="J93">
            <v>4832036.87</v>
          </cell>
          <cell r="K93">
            <v>0</v>
          </cell>
          <cell r="L93">
            <v>0</v>
          </cell>
          <cell r="M93">
            <v>4832036.87</v>
          </cell>
          <cell r="T93">
            <v>2801</v>
          </cell>
          <cell r="U93">
            <v>4832036.87</v>
          </cell>
        </row>
        <row r="94">
          <cell r="D94">
            <v>2401</v>
          </cell>
          <cell r="E94" t="str">
            <v>递延收益</v>
          </cell>
          <cell r="F94">
            <v>0</v>
          </cell>
          <cell r="G94">
            <v>-1132500</v>
          </cell>
          <cell r="H94">
            <v>-1132500</v>
          </cell>
          <cell r="I94">
            <v>0</v>
          </cell>
          <cell r="J94">
            <v>0</v>
          </cell>
          <cell r="K94">
            <v>0</v>
          </cell>
          <cell r="L94">
            <v>0</v>
          </cell>
          <cell r="M94">
            <v>0</v>
          </cell>
          <cell r="T94">
            <v>2401</v>
          </cell>
          <cell r="U94">
            <v>0</v>
          </cell>
        </row>
        <row r="95">
          <cell r="D95">
            <v>2901</v>
          </cell>
          <cell r="E95" t="str">
            <v>递延所得税负债</v>
          </cell>
          <cell r="F95">
            <v>0</v>
          </cell>
          <cell r="G95">
            <v>0</v>
          </cell>
          <cell r="H95">
            <v>0</v>
          </cell>
          <cell r="I95">
            <v>0</v>
          </cell>
          <cell r="J95">
            <v>0</v>
          </cell>
          <cell r="K95">
            <v>0</v>
          </cell>
          <cell r="L95">
            <v>0</v>
          </cell>
          <cell r="M95">
            <v>0</v>
          </cell>
          <cell r="T95">
            <v>2901</v>
          </cell>
          <cell r="U95">
            <v>0</v>
          </cell>
        </row>
        <row r="96">
          <cell r="D96">
            <v>2996</v>
          </cell>
          <cell r="E96" t="str">
            <v>其他非流动负债</v>
          </cell>
          <cell r="F96">
            <v>0</v>
          </cell>
          <cell r="G96">
            <v>0</v>
          </cell>
          <cell r="H96">
            <v>0</v>
          </cell>
          <cell r="I96">
            <v>0</v>
          </cell>
          <cell r="J96">
            <v>0</v>
          </cell>
          <cell r="K96">
            <v>0</v>
          </cell>
          <cell r="L96">
            <v>0</v>
          </cell>
          <cell r="M96">
            <v>0</v>
          </cell>
          <cell r="T96">
            <v>2996</v>
          </cell>
          <cell r="U96">
            <v>0</v>
          </cell>
        </row>
        <row r="97">
          <cell r="D97">
            <v>2998</v>
          </cell>
          <cell r="E97" t="str">
            <v>非流动负债</v>
          </cell>
          <cell r="F97">
            <v>53753015.270000003</v>
          </cell>
          <cell r="G97">
            <v>19167500</v>
          </cell>
          <cell r="H97">
            <v>620754.81000000006</v>
          </cell>
          <cell r="I97">
            <v>35206270.079999998</v>
          </cell>
          <cell r="J97">
            <v>34089473.600000001</v>
          </cell>
          <cell r="K97">
            <v>0</v>
          </cell>
          <cell r="L97">
            <v>0</v>
          </cell>
          <cell r="M97">
            <v>34089473.600000001</v>
          </cell>
          <cell r="T97">
            <v>2998</v>
          </cell>
          <cell r="U97">
            <v>34089473.600000001</v>
          </cell>
        </row>
        <row r="98">
          <cell r="D98">
            <v>2999</v>
          </cell>
          <cell r="E98" t="str">
            <v>负债</v>
          </cell>
          <cell r="F98">
            <v>313933023.76999998</v>
          </cell>
          <cell r="G98">
            <v>25385866.75</v>
          </cell>
          <cell r="H98">
            <v>61483904.009999998</v>
          </cell>
          <cell r="I98">
            <v>350031061.02999997</v>
          </cell>
          <cell r="J98">
            <v>364476580.62</v>
          </cell>
          <cell r="K98">
            <v>0</v>
          </cell>
          <cell r="L98">
            <v>0</v>
          </cell>
          <cell r="M98">
            <v>364476580.62</v>
          </cell>
          <cell r="T98">
            <v>2999</v>
          </cell>
          <cell r="U98">
            <v>364476580.62</v>
          </cell>
        </row>
        <row r="99">
          <cell r="D99">
            <v>4000</v>
          </cell>
          <cell r="E99" t="str">
            <v>所有者权益项目</v>
          </cell>
          <cell r="F99">
            <v>0</v>
          </cell>
          <cell r="G99">
            <v>0</v>
          </cell>
          <cell r="H99">
            <v>0</v>
          </cell>
          <cell r="I99">
            <v>0</v>
          </cell>
          <cell r="J99">
            <v>0</v>
          </cell>
          <cell r="K99">
            <v>0</v>
          </cell>
          <cell r="L99">
            <v>0</v>
          </cell>
          <cell r="M99">
            <v>0</v>
          </cell>
          <cell r="T99">
            <v>4000</v>
          </cell>
          <cell r="U99">
            <v>0</v>
          </cell>
        </row>
        <row r="100">
          <cell r="D100">
            <v>4001</v>
          </cell>
          <cell r="E100" t="str">
            <v>实收资本</v>
          </cell>
          <cell r="F100">
            <v>389015152</v>
          </cell>
          <cell r="G100">
            <v>0</v>
          </cell>
          <cell r="H100">
            <v>0</v>
          </cell>
          <cell r="I100">
            <v>389015152</v>
          </cell>
          <cell r="J100">
            <v>389015152</v>
          </cell>
          <cell r="K100">
            <v>0</v>
          </cell>
          <cell r="L100">
            <v>0</v>
          </cell>
          <cell r="M100">
            <v>389015152</v>
          </cell>
          <cell r="T100">
            <v>4001</v>
          </cell>
          <cell r="U100">
            <v>389015152</v>
          </cell>
        </row>
        <row r="101">
          <cell r="D101">
            <v>4015</v>
          </cell>
          <cell r="E101" t="str">
            <v>其他权益工具</v>
          </cell>
          <cell r="F101">
            <v>0</v>
          </cell>
          <cell r="G101">
            <v>0</v>
          </cell>
          <cell r="H101">
            <v>0</v>
          </cell>
          <cell r="I101">
            <v>0</v>
          </cell>
          <cell r="J101">
            <v>0</v>
          </cell>
          <cell r="K101">
            <v>0</v>
          </cell>
          <cell r="L101">
            <v>0</v>
          </cell>
          <cell r="M101">
            <v>0</v>
          </cell>
          <cell r="T101">
            <v>4015</v>
          </cell>
          <cell r="U101">
            <v>0</v>
          </cell>
        </row>
        <row r="102">
          <cell r="D102">
            <v>4015.11</v>
          </cell>
          <cell r="E102" t="str">
            <v>其他权益工具_优先股</v>
          </cell>
          <cell r="F102">
            <v>0</v>
          </cell>
          <cell r="G102">
            <v>0</v>
          </cell>
          <cell r="H102">
            <v>0</v>
          </cell>
          <cell r="I102">
            <v>0</v>
          </cell>
          <cell r="J102">
            <v>0</v>
          </cell>
          <cell r="K102">
            <v>0</v>
          </cell>
          <cell r="L102">
            <v>0</v>
          </cell>
          <cell r="M102">
            <v>0</v>
          </cell>
          <cell r="T102">
            <v>4015.11</v>
          </cell>
          <cell r="U102">
            <v>0</v>
          </cell>
        </row>
        <row r="103">
          <cell r="D103">
            <v>4015.31</v>
          </cell>
          <cell r="E103" t="str">
            <v>其他权益工具_永续债</v>
          </cell>
          <cell r="F103">
            <v>0</v>
          </cell>
          <cell r="G103">
            <v>0</v>
          </cell>
          <cell r="H103">
            <v>0</v>
          </cell>
          <cell r="I103">
            <v>0</v>
          </cell>
          <cell r="J103">
            <v>0</v>
          </cell>
          <cell r="K103">
            <v>0</v>
          </cell>
          <cell r="L103">
            <v>0</v>
          </cell>
          <cell r="M103">
            <v>0</v>
          </cell>
          <cell r="T103">
            <v>4015.31</v>
          </cell>
          <cell r="U103">
            <v>0</v>
          </cell>
        </row>
        <row r="104">
          <cell r="D104">
            <v>4002</v>
          </cell>
          <cell r="E104" t="str">
            <v>资本公积</v>
          </cell>
          <cell r="F104">
            <v>60861923.009999998</v>
          </cell>
          <cell r="G104">
            <v>1000000</v>
          </cell>
          <cell r="H104">
            <v>1113000</v>
          </cell>
          <cell r="I104">
            <v>60974923.009999998</v>
          </cell>
          <cell r="J104">
            <v>60861923.009999998</v>
          </cell>
          <cell r="K104">
            <v>0</v>
          </cell>
          <cell r="L104">
            <v>0</v>
          </cell>
          <cell r="M104">
            <v>60861923.009999998</v>
          </cell>
          <cell r="T104">
            <v>4002</v>
          </cell>
          <cell r="U104">
            <v>60861923.009999998</v>
          </cell>
        </row>
        <row r="105">
          <cell r="D105">
            <v>4201</v>
          </cell>
          <cell r="E105" t="str">
            <v>库存股</v>
          </cell>
          <cell r="F105">
            <v>0</v>
          </cell>
          <cell r="G105">
            <v>0</v>
          </cell>
          <cell r="H105">
            <v>0</v>
          </cell>
          <cell r="I105">
            <v>0</v>
          </cell>
          <cell r="J105">
            <v>0</v>
          </cell>
          <cell r="K105">
            <v>0</v>
          </cell>
          <cell r="L105">
            <v>0</v>
          </cell>
          <cell r="M105">
            <v>0</v>
          </cell>
          <cell r="T105">
            <v>4201</v>
          </cell>
          <cell r="U105">
            <v>0</v>
          </cell>
        </row>
        <row r="106">
          <cell r="D106">
            <v>4215</v>
          </cell>
          <cell r="E106" t="str">
            <v>其他综合收益</v>
          </cell>
          <cell r="F106">
            <v>0</v>
          </cell>
          <cell r="G106">
            <v>0</v>
          </cell>
          <cell r="H106">
            <v>0</v>
          </cell>
          <cell r="I106">
            <v>0</v>
          </cell>
          <cell r="J106">
            <v>0</v>
          </cell>
          <cell r="K106">
            <v>0</v>
          </cell>
          <cell r="L106">
            <v>0</v>
          </cell>
          <cell r="M106">
            <v>0</v>
          </cell>
          <cell r="T106">
            <v>4215</v>
          </cell>
          <cell r="U106">
            <v>0</v>
          </cell>
        </row>
        <row r="107">
          <cell r="D107">
            <v>4301</v>
          </cell>
          <cell r="E107" t="str">
            <v>专项储备</v>
          </cell>
          <cell r="F107">
            <v>7802112.5599999996</v>
          </cell>
          <cell r="G107">
            <v>191233.61</v>
          </cell>
          <cell r="H107">
            <v>335836.87</v>
          </cell>
          <cell r="I107">
            <v>7946715.8200000003</v>
          </cell>
          <cell r="J107">
            <v>7110471.5599999996</v>
          </cell>
          <cell r="K107">
            <v>0</v>
          </cell>
          <cell r="L107">
            <v>0</v>
          </cell>
          <cell r="M107">
            <v>7110471.5599999996</v>
          </cell>
          <cell r="T107">
            <v>4301</v>
          </cell>
          <cell r="U107">
            <v>7110471.5599999996</v>
          </cell>
        </row>
        <row r="108">
          <cell r="D108">
            <v>4101</v>
          </cell>
          <cell r="E108" t="str">
            <v>盈余公积</v>
          </cell>
          <cell r="F108">
            <v>16796197.280000001</v>
          </cell>
          <cell r="G108">
            <v>1252865.45</v>
          </cell>
          <cell r="H108">
            <v>3130977.51</v>
          </cell>
          <cell r="I108">
            <v>18674309.34</v>
          </cell>
          <cell r="J108">
            <v>16344164.109999999</v>
          </cell>
          <cell r="K108">
            <v>0</v>
          </cell>
          <cell r="L108">
            <v>0</v>
          </cell>
          <cell r="M108">
            <v>16344164.109999999</v>
          </cell>
          <cell r="T108">
            <v>4101</v>
          </cell>
          <cell r="U108">
            <v>16344164.109999999</v>
          </cell>
        </row>
        <row r="109">
          <cell r="D109">
            <v>4102</v>
          </cell>
          <cell r="E109" t="str">
            <v>一般风险准备</v>
          </cell>
          <cell r="F109">
            <v>0</v>
          </cell>
          <cell r="G109">
            <v>0</v>
          </cell>
          <cell r="H109">
            <v>0</v>
          </cell>
          <cell r="I109">
            <v>0</v>
          </cell>
          <cell r="J109">
            <v>0</v>
          </cell>
          <cell r="K109">
            <v>0</v>
          </cell>
          <cell r="L109">
            <v>0</v>
          </cell>
          <cell r="M109">
            <v>0</v>
          </cell>
          <cell r="T109">
            <v>4102</v>
          </cell>
          <cell r="U109">
            <v>0</v>
          </cell>
        </row>
        <row r="110">
          <cell r="D110">
            <v>4200</v>
          </cell>
          <cell r="E110" t="str">
            <v>未分配利润</v>
          </cell>
          <cell r="F110">
            <v>132875203.33</v>
          </cell>
          <cell r="G110">
            <v>98710131.840000004</v>
          </cell>
          <cell r="H110">
            <v>49819515.710000001</v>
          </cell>
          <cell r="I110">
            <v>83984587.200000003</v>
          </cell>
          <cell r="J110">
            <v>63013280.090000004</v>
          </cell>
          <cell r="K110">
            <v>0</v>
          </cell>
          <cell r="L110">
            <v>0</v>
          </cell>
          <cell r="M110">
            <v>63013280.090000004</v>
          </cell>
          <cell r="T110">
            <v>4200</v>
          </cell>
          <cell r="U110">
            <v>63013280.090000004</v>
          </cell>
        </row>
        <row r="111">
          <cell r="D111">
            <v>4210</v>
          </cell>
          <cell r="E111" t="str">
            <v>外币报表折算差额</v>
          </cell>
          <cell r="F111">
            <v>0</v>
          </cell>
          <cell r="G111">
            <v>0</v>
          </cell>
          <cell r="H111">
            <v>0</v>
          </cell>
          <cell r="I111">
            <v>0</v>
          </cell>
          <cell r="J111">
            <v>0</v>
          </cell>
          <cell r="K111">
            <v>0</v>
          </cell>
          <cell r="L111">
            <v>0</v>
          </cell>
          <cell r="M111">
            <v>0</v>
          </cell>
          <cell r="T111">
            <v>4210</v>
          </cell>
          <cell r="U111">
            <v>0</v>
          </cell>
        </row>
        <row r="112">
          <cell r="D112">
            <v>4298</v>
          </cell>
          <cell r="E112" t="str">
            <v>归属于母公司所有者权益</v>
          </cell>
          <cell r="F112">
            <v>607350588.17999995</v>
          </cell>
          <cell r="G112">
            <v>101154230.90000001</v>
          </cell>
          <cell r="H112">
            <v>54399330.090000004</v>
          </cell>
          <cell r="I112">
            <v>560595687.37</v>
          </cell>
          <cell r="J112">
            <v>536344990.76999998</v>
          </cell>
          <cell r="K112">
            <v>0</v>
          </cell>
          <cell r="L112">
            <v>0</v>
          </cell>
          <cell r="M112">
            <v>536344990.76999998</v>
          </cell>
          <cell r="T112">
            <v>4298</v>
          </cell>
          <cell r="U112">
            <v>536344990.76999998</v>
          </cell>
        </row>
        <row r="113">
          <cell r="D113">
            <v>4398</v>
          </cell>
          <cell r="E113" t="str">
            <v>少数股东权益</v>
          </cell>
          <cell r="F113">
            <v>0</v>
          </cell>
          <cell r="G113">
            <v>0</v>
          </cell>
          <cell r="H113">
            <v>0</v>
          </cell>
          <cell r="I113">
            <v>0</v>
          </cell>
          <cell r="J113">
            <v>0</v>
          </cell>
          <cell r="K113">
            <v>0</v>
          </cell>
          <cell r="L113">
            <v>0</v>
          </cell>
          <cell r="M113">
            <v>0</v>
          </cell>
          <cell r="T113">
            <v>4398</v>
          </cell>
          <cell r="U113">
            <v>0</v>
          </cell>
        </row>
        <row r="114">
          <cell r="D114">
            <v>4999</v>
          </cell>
          <cell r="E114" t="str">
            <v>所有者权益</v>
          </cell>
          <cell r="F114">
            <v>607350588.17999995</v>
          </cell>
          <cell r="G114">
            <v>101154230.90000001</v>
          </cell>
          <cell r="H114">
            <v>54399330.090000004</v>
          </cell>
          <cell r="I114">
            <v>560595687.37</v>
          </cell>
          <cell r="J114">
            <v>536344990.76999998</v>
          </cell>
          <cell r="K114">
            <v>0</v>
          </cell>
          <cell r="L114">
            <v>0</v>
          </cell>
          <cell r="M114">
            <v>536344990.76999998</v>
          </cell>
          <cell r="T114">
            <v>4999</v>
          </cell>
          <cell r="U114">
            <v>536344990.76999998</v>
          </cell>
        </row>
        <row r="115">
          <cell r="D115">
            <v>5000</v>
          </cell>
          <cell r="E115" t="str">
            <v>负债和所有者权益</v>
          </cell>
          <cell r="F115">
            <v>921283611.95000005</v>
          </cell>
          <cell r="G115">
            <v>126540097.65000001</v>
          </cell>
          <cell r="H115">
            <v>115883234.09999999</v>
          </cell>
          <cell r="I115">
            <v>910626748.39999998</v>
          </cell>
          <cell r="J115">
            <v>900821571.38999999</v>
          </cell>
          <cell r="K115">
            <v>0</v>
          </cell>
          <cell r="L115">
            <v>0</v>
          </cell>
          <cell r="M115">
            <v>900821571.38999999</v>
          </cell>
          <cell r="T115">
            <v>5000</v>
          </cell>
          <cell r="U115">
            <v>900821571.38999999</v>
          </cell>
        </row>
        <row r="116">
          <cell r="D116">
            <v>6</v>
          </cell>
          <cell r="E116" t="str">
            <v>利润表</v>
          </cell>
          <cell r="F116">
            <v>0</v>
          </cell>
          <cell r="G116">
            <v>0</v>
          </cell>
          <cell r="H116">
            <v>0</v>
          </cell>
          <cell r="I116">
            <v>0</v>
          </cell>
          <cell r="J116">
            <v>0</v>
          </cell>
          <cell r="K116">
            <v>0</v>
          </cell>
          <cell r="L116">
            <v>0</v>
          </cell>
          <cell r="M116">
            <v>0</v>
          </cell>
          <cell r="T116">
            <v>6</v>
          </cell>
          <cell r="U116">
            <v>0</v>
          </cell>
        </row>
        <row r="117">
          <cell r="D117">
            <v>6098</v>
          </cell>
          <cell r="E117" t="str">
            <v>营业总收入</v>
          </cell>
          <cell r="F117">
            <v>248687243.24000001</v>
          </cell>
          <cell r="G117">
            <v>0</v>
          </cell>
          <cell r="H117">
            <v>21046900.829999998</v>
          </cell>
          <cell r="I117">
            <v>269734144.06999999</v>
          </cell>
          <cell r="J117">
            <v>386244261.74000001</v>
          </cell>
          <cell r="K117">
            <v>0</v>
          </cell>
          <cell r="L117">
            <v>0</v>
          </cell>
          <cell r="M117">
            <v>386244261.74000001</v>
          </cell>
          <cell r="T117">
            <v>6098</v>
          </cell>
          <cell r="U117">
            <v>386244261.74000001</v>
          </cell>
        </row>
        <row r="118">
          <cell r="D118">
            <v>6001</v>
          </cell>
          <cell r="E118" t="str">
            <v>营业收入</v>
          </cell>
          <cell r="F118">
            <v>248687243.24000001</v>
          </cell>
          <cell r="G118">
            <v>0</v>
          </cell>
          <cell r="H118">
            <v>21046900.829999998</v>
          </cell>
          <cell r="I118">
            <v>269734144.06999999</v>
          </cell>
          <cell r="J118">
            <v>386244261.74000001</v>
          </cell>
          <cell r="K118">
            <v>0</v>
          </cell>
          <cell r="L118">
            <v>0</v>
          </cell>
          <cell r="M118">
            <v>386244261.74000001</v>
          </cell>
          <cell r="T118">
            <v>6001</v>
          </cell>
          <cell r="U118">
            <v>386244261.74000001</v>
          </cell>
        </row>
        <row r="119">
          <cell r="D119">
            <v>6011</v>
          </cell>
          <cell r="E119" t="str">
            <v>利息收入</v>
          </cell>
          <cell r="F119">
            <v>0</v>
          </cell>
          <cell r="G119">
            <v>0</v>
          </cell>
          <cell r="H119">
            <v>0</v>
          </cell>
          <cell r="I119">
            <v>0</v>
          </cell>
          <cell r="J119">
            <v>0</v>
          </cell>
          <cell r="K119">
            <v>0</v>
          </cell>
          <cell r="L119">
            <v>0</v>
          </cell>
          <cell r="M119">
            <v>0</v>
          </cell>
          <cell r="T119">
            <v>6011</v>
          </cell>
          <cell r="U119">
            <v>0</v>
          </cell>
        </row>
        <row r="120">
          <cell r="D120">
            <v>6030</v>
          </cell>
          <cell r="E120" t="str">
            <v>已赚保费</v>
          </cell>
          <cell r="F120">
            <v>0</v>
          </cell>
          <cell r="G120">
            <v>0</v>
          </cell>
          <cell r="H120">
            <v>0</v>
          </cell>
          <cell r="I120">
            <v>0</v>
          </cell>
          <cell r="J120">
            <v>0</v>
          </cell>
          <cell r="K120">
            <v>0</v>
          </cell>
          <cell r="L120">
            <v>0</v>
          </cell>
          <cell r="M120">
            <v>0</v>
          </cell>
          <cell r="T120">
            <v>6030</v>
          </cell>
          <cell r="U120">
            <v>0</v>
          </cell>
        </row>
        <row r="121">
          <cell r="D121">
            <v>6021</v>
          </cell>
          <cell r="E121" t="str">
            <v>手续费及佣金收入</v>
          </cell>
          <cell r="F121">
            <v>0</v>
          </cell>
          <cell r="G121">
            <v>0</v>
          </cell>
          <cell r="H121">
            <v>0</v>
          </cell>
          <cell r="I121">
            <v>0</v>
          </cell>
          <cell r="J121">
            <v>0</v>
          </cell>
          <cell r="K121">
            <v>0</v>
          </cell>
          <cell r="L121">
            <v>0</v>
          </cell>
          <cell r="M121">
            <v>0</v>
          </cell>
          <cell r="T121">
            <v>6021</v>
          </cell>
          <cell r="U121">
            <v>0</v>
          </cell>
        </row>
        <row r="122">
          <cell r="D122">
            <v>6598</v>
          </cell>
          <cell r="E122" t="str">
            <v>营业总成本</v>
          </cell>
          <cell r="F122">
            <v>231725623.22999999</v>
          </cell>
          <cell r="G122">
            <v>26377854.359999999</v>
          </cell>
          <cell r="H122">
            <v>16682028.619999999</v>
          </cell>
          <cell r="I122">
            <v>241421448.97</v>
          </cell>
          <cell r="J122">
            <v>356669659.92000002</v>
          </cell>
          <cell r="K122">
            <v>0</v>
          </cell>
          <cell r="L122">
            <v>0</v>
          </cell>
          <cell r="M122">
            <v>356669659.92000002</v>
          </cell>
          <cell r="T122">
            <v>6598</v>
          </cell>
          <cell r="U122">
            <v>356669659.92000002</v>
          </cell>
        </row>
        <row r="123">
          <cell r="D123">
            <v>6401</v>
          </cell>
          <cell r="E123" t="str">
            <v>营业成本</v>
          </cell>
          <cell r="F123">
            <v>172710893.75</v>
          </cell>
          <cell r="G123">
            <v>9200225.0299999993</v>
          </cell>
          <cell r="H123">
            <v>10237626.869999999</v>
          </cell>
          <cell r="I123">
            <v>171673491.91</v>
          </cell>
          <cell r="J123">
            <v>235826397.56</v>
          </cell>
          <cell r="K123">
            <v>0</v>
          </cell>
          <cell r="L123">
            <v>0</v>
          </cell>
          <cell r="M123">
            <v>235826397.56</v>
          </cell>
          <cell r="T123">
            <v>6401</v>
          </cell>
          <cell r="U123">
            <v>235826397.56</v>
          </cell>
        </row>
        <row r="124">
          <cell r="D124">
            <v>6411</v>
          </cell>
          <cell r="E124" t="str">
            <v>利息支出</v>
          </cell>
          <cell r="F124">
            <v>0</v>
          </cell>
          <cell r="G124">
            <v>0</v>
          </cell>
          <cell r="H124">
            <v>0</v>
          </cell>
          <cell r="I124">
            <v>0</v>
          </cell>
          <cell r="J124">
            <v>0</v>
          </cell>
          <cell r="K124">
            <v>0</v>
          </cell>
          <cell r="L124">
            <v>0</v>
          </cell>
          <cell r="M124">
            <v>0</v>
          </cell>
          <cell r="T124">
            <v>6411</v>
          </cell>
          <cell r="U124">
            <v>0</v>
          </cell>
        </row>
        <row r="125">
          <cell r="D125">
            <v>6421</v>
          </cell>
          <cell r="E125" t="str">
            <v>手续费及佣金支出</v>
          </cell>
          <cell r="F125">
            <v>0</v>
          </cell>
          <cell r="G125">
            <v>0</v>
          </cell>
          <cell r="H125">
            <v>0</v>
          </cell>
          <cell r="I125">
            <v>0</v>
          </cell>
          <cell r="J125">
            <v>0</v>
          </cell>
          <cell r="K125">
            <v>0</v>
          </cell>
          <cell r="L125">
            <v>0</v>
          </cell>
          <cell r="M125">
            <v>0</v>
          </cell>
          <cell r="T125">
            <v>6421</v>
          </cell>
          <cell r="U125">
            <v>0</v>
          </cell>
        </row>
        <row r="126">
          <cell r="D126">
            <v>6531</v>
          </cell>
          <cell r="E126" t="str">
            <v>退保金</v>
          </cell>
          <cell r="F126">
            <v>0</v>
          </cell>
          <cell r="G126">
            <v>0</v>
          </cell>
          <cell r="H126">
            <v>0</v>
          </cell>
          <cell r="I126">
            <v>0</v>
          </cell>
          <cell r="J126">
            <v>0</v>
          </cell>
          <cell r="K126">
            <v>0</v>
          </cell>
          <cell r="L126">
            <v>0</v>
          </cell>
          <cell r="M126">
            <v>0</v>
          </cell>
          <cell r="T126">
            <v>6531</v>
          </cell>
          <cell r="U126">
            <v>0</v>
          </cell>
        </row>
        <row r="127">
          <cell r="D127">
            <v>6510</v>
          </cell>
          <cell r="E127" t="str">
            <v>赔付支出净额</v>
          </cell>
          <cell r="F127">
            <v>0</v>
          </cell>
          <cell r="G127">
            <v>0</v>
          </cell>
          <cell r="H127">
            <v>0</v>
          </cell>
          <cell r="I127">
            <v>0</v>
          </cell>
          <cell r="J127">
            <v>0</v>
          </cell>
          <cell r="K127">
            <v>0</v>
          </cell>
          <cell r="L127">
            <v>0</v>
          </cell>
          <cell r="M127">
            <v>0</v>
          </cell>
          <cell r="T127">
            <v>6510</v>
          </cell>
          <cell r="U127">
            <v>0</v>
          </cell>
        </row>
        <row r="128">
          <cell r="D128">
            <v>6505</v>
          </cell>
          <cell r="E128" t="str">
            <v>提取保险合同准备金净额</v>
          </cell>
          <cell r="F128">
            <v>0</v>
          </cell>
          <cell r="G128">
            <v>0</v>
          </cell>
          <cell r="H128">
            <v>0</v>
          </cell>
          <cell r="I128">
            <v>0</v>
          </cell>
          <cell r="J128">
            <v>0</v>
          </cell>
          <cell r="K128">
            <v>0</v>
          </cell>
          <cell r="L128">
            <v>0</v>
          </cell>
          <cell r="M128">
            <v>0</v>
          </cell>
          <cell r="T128">
            <v>6505</v>
          </cell>
          <cell r="U128">
            <v>0</v>
          </cell>
        </row>
        <row r="129">
          <cell r="D129">
            <v>6521</v>
          </cell>
          <cell r="E129" t="str">
            <v>保单红利支出</v>
          </cell>
          <cell r="F129">
            <v>0</v>
          </cell>
          <cell r="G129">
            <v>0</v>
          </cell>
          <cell r="H129">
            <v>0</v>
          </cell>
          <cell r="I129">
            <v>0</v>
          </cell>
          <cell r="J129">
            <v>0</v>
          </cell>
          <cell r="K129">
            <v>0</v>
          </cell>
          <cell r="L129">
            <v>0</v>
          </cell>
          <cell r="M129">
            <v>0</v>
          </cell>
          <cell r="T129">
            <v>6521</v>
          </cell>
          <cell r="U129">
            <v>0</v>
          </cell>
        </row>
        <row r="130">
          <cell r="D130">
            <v>6542</v>
          </cell>
          <cell r="E130" t="str">
            <v>分保费用</v>
          </cell>
          <cell r="F130">
            <v>0</v>
          </cell>
          <cell r="G130">
            <v>0</v>
          </cell>
          <cell r="H130">
            <v>0</v>
          </cell>
          <cell r="I130">
            <v>0</v>
          </cell>
          <cell r="J130">
            <v>0</v>
          </cell>
          <cell r="K130">
            <v>0</v>
          </cell>
          <cell r="L130">
            <v>0</v>
          </cell>
          <cell r="M130">
            <v>0</v>
          </cell>
          <cell r="T130">
            <v>6542</v>
          </cell>
          <cell r="U130">
            <v>0</v>
          </cell>
        </row>
        <row r="131">
          <cell r="D131">
            <v>6600</v>
          </cell>
          <cell r="E131" t="str">
            <v>税金及附加</v>
          </cell>
          <cell r="F131">
            <v>901832.11</v>
          </cell>
          <cell r="G131">
            <v>0</v>
          </cell>
          <cell r="H131">
            <v>0</v>
          </cell>
          <cell r="I131">
            <v>901832.11</v>
          </cell>
          <cell r="J131">
            <v>1411129.53</v>
          </cell>
          <cell r="K131">
            <v>0</v>
          </cell>
          <cell r="L131">
            <v>0</v>
          </cell>
          <cell r="M131">
            <v>1411129.53</v>
          </cell>
          <cell r="T131">
            <v>6600</v>
          </cell>
          <cell r="U131">
            <v>1411129.53</v>
          </cell>
        </row>
        <row r="132">
          <cell r="D132">
            <v>6601</v>
          </cell>
          <cell r="E132" t="str">
            <v>销售费用</v>
          </cell>
          <cell r="F132">
            <v>23305540.800000001</v>
          </cell>
          <cell r="G132">
            <v>9275905.5099999998</v>
          </cell>
          <cell r="H132">
            <v>3263337.5</v>
          </cell>
          <cell r="I132">
            <v>29318108.809999999</v>
          </cell>
          <cell r="J132">
            <v>54014782.759999998</v>
          </cell>
          <cell r="K132">
            <v>0</v>
          </cell>
          <cell r="L132">
            <v>0</v>
          </cell>
          <cell r="M132">
            <v>54014782.759999998</v>
          </cell>
          <cell r="T132">
            <v>6601</v>
          </cell>
          <cell r="U132">
            <v>54014782.759999998</v>
          </cell>
        </row>
        <row r="133">
          <cell r="D133">
            <v>6602</v>
          </cell>
          <cell r="E133" t="str">
            <v>管理费用</v>
          </cell>
          <cell r="F133">
            <v>26654964.879999999</v>
          </cell>
          <cell r="G133">
            <v>3080563.16</v>
          </cell>
          <cell r="H133">
            <v>3130658.23</v>
          </cell>
          <cell r="I133">
            <v>26604869.809999999</v>
          </cell>
          <cell r="J133">
            <v>49386506.020000003</v>
          </cell>
          <cell r="K133">
            <v>0</v>
          </cell>
          <cell r="L133">
            <v>0</v>
          </cell>
          <cell r="M133">
            <v>49386506.020000003</v>
          </cell>
          <cell r="T133">
            <v>6602</v>
          </cell>
          <cell r="U133">
            <v>49386506.020000003</v>
          </cell>
        </row>
        <row r="134">
          <cell r="D134">
            <v>6606</v>
          </cell>
          <cell r="E134" t="str">
            <v>研发费用</v>
          </cell>
          <cell r="F134">
            <v>0</v>
          </cell>
          <cell r="G134">
            <v>0</v>
          </cell>
          <cell r="H134">
            <v>0</v>
          </cell>
          <cell r="I134">
            <v>0</v>
          </cell>
          <cell r="J134">
            <v>0</v>
          </cell>
          <cell r="K134">
            <v>0</v>
          </cell>
          <cell r="L134">
            <v>0</v>
          </cell>
          <cell r="M134">
            <v>0</v>
          </cell>
          <cell r="T134">
            <v>6606</v>
          </cell>
          <cell r="U134">
            <v>0</v>
          </cell>
        </row>
        <row r="135">
          <cell r="D135">
            <v>6603</v>
          </cell>
          <cell r="E135" t="str">
            <v>财务费用</v>
          </cell>
          <cell r="F135">
            <v>2216448.36</v>
          </cell>
          <cell r="G135">
            <v>3812470.34</v>
          </cell>
          <cell r="H135">
            <v>50406.02</v>
          </cell>
          <cell r="I135">
            <v>5978512.6799999997</v>
          </cell>
          <cell r="J135">
            <v>4516354.78</v>
          </cell>
          <cell r="K135">
            <v>0</v>
          </cell>
          <cell r="L135">
            <v>0</v>
          </cell>
          <cell r="M135">
            <v>4516354.78</v>
          </cell>
          <cell r="T135">
            <v>6603</v>
          </cell>
          <cell r="U135">
            <v>4516354.78</v>
          </cell>
        </row>
        <row r="136">
          <cell r="D136" t="str">
            <v>6603_01</v>
          </cell>
          <cell r="E136" t="str">
            <v>财务费用_利息费用</v>
          </cell>
          <cell r="F136">
            <v>0</v>
          </cell>
          <cell r="G136">
            <v>0</v>
          </cell>
          <cell r="H136">
            <v>0</v>
          </cell>
          <cell r="I136">
            <v>0</v>
          </cell>
          <cell r="J136">
            <v>0</v>
          </cell>
          <cell r="K136">
            <v>0</v>
          </cell>
          <cell r="L136">
            <v>0</v>
          </cell>
          <cell r="M136">
            <v>0</v>
          </cell>
          <cell r="T136" t="str">
            <v>6603_01</v>
          </cell>
          <cell r="U136">
            <v>0</v>
          </cell>
        </row>
        <row r="137">
          <cell r="D137" t="str">
            <v>6603_06</v>
          </cell>
          <cell r="E137" t="str">
            <v>财务费用_利息收入</v>
          </cell>
          <cell r="F137">
            <v>0</v>
          </cell>
          <cell r="G137">
            <v>0</v>
          </cell>
          <cell r="H137">
            <v>0</v>
          </cell>
          <cell r="I137">
            <v>0</v>
          </cell>
          <cell r="J137">
            <v>0</v>
          </cell>
          <cell r="K137">
            <v>0</v>
          </cell>
          <cell r="L137">
            <v>0</v>
          </cell>
          <cell r="M137">
            <v>0</v>
          </cell>
          <cell r="T137" t="str">
            <v>6603_06</v>
          </cell>
          <cell r="U137">
            <v>0</v>
          </cell>
        </row>
        <row r="138">
          <cell r="D138">
            <v>6671</v>
          </cell>
          <cell r="E138" t="str">
            <v>资产减值损失</v>
          </cell>
          <cell r="F138">
            <v>5935943.3300000001</v>
          </cell>
          <cell r="G138">
            <v>1008690.32</v>
          </cell>
          <cell r="H138">
            <v>0</v>
          </cell>
          <cell r="I138">
            <v>6944633.6500000004</v>
          </cell>
          <cell r="J138">
            <v>11514489.27</v>
          </cell>
          <cell r="K138">
            <v>0</v>
          </cell>
          <cell r="L138">
            <v>0</v>
          </cell>
          <cell r="M138">
            <v>11514489.27</v>
          </cell>
          <cell r="T138">
            <v>6671</v>
          </cell>
          <cell r="U138">
            <v>11514489.27</v>
          </cell>
        </row>
        <row r="139">
          <cell r="D139">
            <v>6181</v>
          </cell>
          <cell r="E139" t="str">
            <v>其他收益</v>
          </cell>
          <cell r="F139">
            <v>0</v>
          </cell>
          <cell r="G139">
            <v>0</v>
          </cell>
          <cell r="H139">
            <v>76010</v>
          </cell>
          <cell r="I139">
            <v>76010</v>
          </cell>
          <cell r="J139">
            <v>1212985.5900000001</v>
          </cell>
          <cell r="K139">
            <v>0</v>
          </cell>
          <cell r="L139">
            <v>0</v>
          </cell>
          <cell r="M139">
            <v>1212985.5900000001</v>
          </cell>
          <cell r="T139">
            <v>6181</v>
          </cell>
          <cell r="U139">
            <v>1212985.5900000001</v>
          </cell>
        </row>
        <row r="140">
          <cell r="D140">
            <v>6111</v>
          </cell>
          <cell r="E140" t="str">
            <v>投资收益</v>
          </cell>
          <cell r="F140">
            <v>487100.02</v>
          </cell>
          <cell r="G140">
            <v>0</v>
          </cell>
          <cell r="H140">
            <v>0</v>
          </cell>
          <cell r="I140">
            <v>487100.02</v>
          </cell>
          <cell r="J140">
            <v>902178.35</v>
          </cell>
          <cell r="K140">
            <v>0</v>
          </cell>
          <cell r="L140">
            <v>0</v>
          </cell>
          <cell r="M140">
            <v>902178.35</v>
          </cell>
          <cell r="T140">
            <v>6111</v>
          </cell>
          <cell r="U140">
            <v>902178.35</v>
          </cell>
        </row>
        <row r="141">
          <cell r="D141">
            <v>6111.01</v>
          </cell>
          <cell r="E141" t="str">
            <v>对联营企业和合营企业的投资收益</v>
          </cell>
          <cell r="F141">
            <v>0</v>
          </cell>
          <cell r="G141">
            <v>0</v>
          </cell>
          <cell r="H141">
            <v>0</v>
          </cell>
          <cell r="I141">
            <v>0</v>
          </cell>
          <cell r="J141">
            <v>0</v>
          </cell>
          <cell r="K141">
            <v>0</v>
          </cell>
          <cell r="L141">
            <v>0</v>
          </cell>
          <cell r="M141">
            <v>0</v>
          </cell>
          <cell r="T141">
            <v>6111.01</v>
          </cell>
          <cell r="U141">
            <v>0</v>
          </cell>
        </row>
        <row r="142">
          <cell r="D142">
            <v>6161</v>
          </cell>
          <cell r="E142" t="str">
            <v>汇兑收益</v>
          </cell>
          <cell r="F142">
            <v>0</v>
          </cell>
          <cell r="G142">
            <v>0</v>
          </cell>
          <cell r="H142">
            <v>0</v>
          </cell>
          <cell r="I142">
            <v>0</v>
          </cell>
          <cell r="J142">
            <v>0</v>
          </cell>
          <cell r="K142">
            <v>0</v>
          </cell>
          <cell r="L142">
            <v>0</v>
          </cell>
          <cell r="M142">
            <v>0</v>
          </cell>
          <cell r="T142">
            <v>6161</v>
          </cell>
          <cell r="U142">
            <v>0</v>
          </cell>
        </row>
        <row r="143">
          <cell r="D143">
            <v>6101</v>
          </cell>
          <cell r="E143" t="str">
            <v>公允价值变动收益</v>
          </cell>
          <cell r="F143">
            <v>0</v>
          </cell>
          <cell r="G143">
            <v>0</v>
          </cell>
          <cell r="H143">
            <v>0</v>
          </cell>
          <cell r="I143">
            <v>0</v>
          </cell>
          <cell r="J143">
            <v>0</v>
          </cell>
          <cell r="K143">
            <v>0</v>
          </cell>
          <cell r="L143">
            <v>0</v>
          </cell>
          <cell r="M143">
            <v>0</v>
          </cell>
          <cell r="T143">
            <v>6101</v>
          </cell>
          <cell r="U143">
            <v>0</v>
          </cell>
        </row>
        <row r="144">
          <cell r="D144">
            <v>6171</v>
          </cell>
          <cell r="E144" t="str">
            <v>资产处置收益</v>
          </cell>
          <cell r="F144">
            <v>0</v>
          </cell>
          <cell r="G144">
            <v>0</v>
          </cell>
          <cell r="H144">
            <v>129290.57</v>
          </cell>
          <cell r="I144">
            <v>129290.57</v>
          </cell>
          <cell r="J144">
            <v>0</v>
          </cell>
          <cell r="K144">
            <v>0</v>
          </cell>
          <cell r="L144">
            <v>0</v>
          </cell>
          <cell r="M144">
            <v>0</v>
          </cell>
          <cell r="T144">
            <v>6171</v>
          </cell>
          <cell r="U144">
            <v>0</v>
          </cell>
        </row>
        <row r="145">
          <cell r="D145">
            <v>6689</v>
          </cell>
          <cell r="E145" t="str">
            <v>营业利润</v>
          </cell>
          <cell r="F145">
            <v>17448720.030000001</v>
          </cell>
          <cell r="G145">
            <v>26377854.359999999</v>
          </cell>
          <cell r="H145">
            <v>37934230.020000003</v>
          </cell>
          <cell r="I145">
            <v>29005095.690000001</v>
          </cell>
          <cell r="J145">
            <v>31689765.760000002</v>
          </cell>
          <cell r="K145">
            <v>0</v>
          </cell>
          <cell r="L145">
            <v>0</v>
          </cell>
          <cell r="M145">
            <v>31689765.760000002</v>
          </cell>
          <cell r="T145">
            <v>6689</v>
          </cell>
          <cell r="U145">
            <v>31689765.760000002</v>
          </cell>
        </row>
        <row r="146">
          <cell r="D146">
            <v>6710</v>
          </cell>
          <cell r="E146" t="str">
            <v>营业外收入</v>
          </cell>
          <cell r="F146">
            <v>1264796.5900000001</v>
          </cell>
          <cell r="G146">
            <v>1264796.5900000001</v>
          </cell>
          <cell r="H146">
            <v>0</v>
          </cell>
          <cell r="I146">
            <v>0</v>
          </cell>
          <cell r="J146">
            <v>34333</v>
          </cell>
          <cell r="K146">
            <v>0</v>
          </cell>
          <cell r="L146">
            <v>0</v>
          </cell>
          <cell r="M146">
            <v>34333</v>
          </cell>
          <cell r="T146">
            <v>6710</v>
          </cell>
          <cell r="U146">
            <v>34333</v>
          </cell>
        </row>
        <row r="147">
          <cell r="D147">
            <v>6711</v>
          </cell>
          <cell r="E147" t="str">
            <v>营业外支出</v>
          </cell>
          <cell r="F147">
            <v>807203.65</v>
          </cell>
          <cell r="G147">
            <v>336530.32</v>
          </cell>
          <cell r="H147">
            <v>9819.59</v>
          </cell>
          <cell r="I147">
            <v>1133914.3799999999</v>
          </cell>
          <cell r="J147">
            <v>79133.009999999995</v>
          </cell>
          <cell r="K147">
            <v>0</v>
          </cell>
          <cell r="L147">
            <v>0</v>
          </cell>
          <cell r="M147">
            <v>79133.009999999995</v>
          </cell>
          <cell r="T147">
            <v>6711</v>
          </cell>
          <cell r="U147">
            <v>79133.009999999995</v>
          </cell>
        </row>
        <row r="148">
          <cell r="D148">
            <v>6788</v>
          </cell>
          <cell r="E148" t="str">
            <v>利润总额</v>
          </cell>
          <cell r="F148">
            <v>17906312.969999999</v>
          </cell>
          <cell r="G148">
            <v>27979181.27</v>
          </cell>
          <cell r="H148">
            <v>37944049.609999999</v>
          </cell>
          <cell r="I148">
            <v>27871181.309999999</v>
          </cell>
          <cell r="J148">
            <v>31644965.75</v>
          </cell>
          <cell r="K148">
            <v>0</v>
          </cell>
          <cell r="L148">
            <v>0</v>
          </cell>
          <cell r="M148">
            <v>31644965.75</v>
          </cell>
          <cell r="T148">
            <v>6788</v>
          </cell>
          <cell r="U148">
            <v>31644965.75</v>
          </cell>
        </row>
        <row r="149">
          <cell r="D149">
            <v>6791</v>
          </cell>
          <cell r="E149" t="str">
            <v>所得税费用</v>
          </cell>
          <cell r="F149">
            <v>0</v>
          </cell>
          <cell r="G149">
            <v>5109925.32</v>
          </cell>
          <cell r="H149">
            <v>540196.35</v>
          </cell>
          <cell r="I149">
            <v>4569728.97</v>
          </cell>
          <cell r="J149">
            <v>5947913.2699999996</v>
          </cell>
          <cell r="K149">
            <v>0</v>
          </cell>
          <cell r="L149">
            <v>0</v>
          </cell>
          <cell r="M149">
            <v>5947913.2699999996</v>
          </cell>
          <cell r="T149">
            <v>6791</v>
          </cell>
          <cell r="U149">
            <v>5947913.2699999996</v>
          </cell>
        </row>
        <row r="150">
          <cell r="D150">
            <v>6799</v>
          </cell>
          <cell r="E150" t="str">
            <v>净利润</v>
          </cell>
          <cell r="F150">
            <v>17906312.969999999</v>
          </cell>
          <cell r="G150">
            <v>33089106.59</v>
          </cell>
          <cell r="H150">
            <v>38484245.960000001</v>
          </cell>
          <cell r="I150">
            <v>23301452.34</v>
          </cell>
          <cell r="J150">
            <v>25697052.48</v>
          </cell>
          <cell r="K150">
            <v>0</v>
          </cell>
          <cell r="L150">
            <v>0</v>
          </cell>
          <cell r="M150">
            <v>25697052.48</v>
          </cell>
          <cell r="T150">
            <v>6799</v>
          </cell>
          <cell r="U150">
            <v>25697052.48</v>
          </cell>
        </row>
        <row r="151">
          <cell r="D151">
            <v>6835</v>
          </cell>
          <cell r="E151" t="str">
            <v>净利润按经营持续性分类</v>
          </cell>
          <cell r="F151">
            <v>0</v>
          </cell>
          <cell r="G151">
            <v>0</v>
          </cell>
          <cell r="H151">
            <v>0</v>
          </cell>
          <cell r="I151">
            <v>0</v>
          </cell>
          <cell r="J151">
            <v>0</v>
          </cell>
          <cell r="K151">
            <v>0</v>
          </cell>
          <cell r="L151">
            <v>0</v>
          </cell>
          <cell r="M151">
            <v>0</v>
          </cell>
          <cell r="T151">
            <v>6835</v>
          </cell>
          <cell r="U151">
            <v>0</v>
          </cell>
        </row>
        <row r="152">
          <cell r="D152">
            <v>6816</v>
          </cell>
          <cell r="E152" t="str">
            <v>持续经营净利润</v>
          </cell>
          <cell r="F152">
            <v>0</v>
          </cell>
          <cell r="G152">
            <v>0</v>
          </cell>
          <cell r="H152">
            <v>0</v>
          </cell>
          <cell r="I152">
            <v>0</v>
          </cell>
          <cell r="J152">
            <v>0</v>
          </cell>
          <cell r="K152">
            <v>0</v>
          </cell>
          <cell r="L152">
            <v>0</v>
          </cell>
          <cell r="M152">
            <v>0</v>
          </cell>
          <cell r="T152">
            <v>6816</v>
          </cell>
          <cell r="U152">
            <v>0</v>
          </cell>
        </row>
        <row r="153">
          <cell r="D153">
            <v>6817</v>
          </cell>
          <cell r="E153" t="str">
            <v>终止经营净利润</v>
          </cell>
          <cell r="F153">
            <v>0</v>
          </cell>
          <cell r="G153">
            <v>0</v>
          </cell>
          <cell r="H153">
            <v>0</v>
          </cell>
          <cell r="I153">
            <v>0</v>
          </cell>
          <cell r="J153">
            <v>0</v>
          </cell>
          <cell r="K153">
            <v>0</v>
          </cell>
          <cell r="L153">
            <v>0</v>
          </cell>
          <cell r="M153">
            <v>0</v>
          </cell>
          <cell r="T153">
            <v>6817</v>
          </cell>
          <cell r="U153">
            <v>0</v>
          </cell>
        </row>
        <row r="154">
          <cell r="D154">
            <v>6830</v>
          </cell>
          <cell r="E154" t="str">
            <v>净利润按所有权归属分类</v>
          </cell>
          <cell r="F154">
            <v>0</v>
          </cell>
          <cell r="G154">
            <v>0</v>
          </cell>
          <cell r="H154">
            <v>0</v>
          </cell>
          <cell r="I154">
            <v>0</v>
          </cell>
          <cell r="J154">
            <v>0</v>
          </cell>
          <cell r="K154">
            <v>0</v>
          </cell>
          <cell r="L154">
            <v>0</v>
          </cell>
          <cell r="M154">
            <v>0</v>
          </cell>
          <cell r="T154">
            <v>6830</v>
          </cell>
          <cell r="U154">
            <v>0</v>
          </cell>
        </row>
        <row r="155">
          <cell r="D155">
            <v>6812</v>
          </cell>
          <cell r="E155" t="str">
            <v>少数股东损益</v>
          </cell>
          <cell r="F155">
            <v>0</v>
          </cell>
          <cell r="G155">
            <v>0</v>
          </cell>
          <cell r="H155">
            <v>0</v>
          </cell>
          <cell r="I155">
            <v>0</v>
          </cell>
          <cell r="J155">
            <v>0</v>
          </cell>
          <cell r="K155">
            <v>0</v>
          </cell>
          <cell r="L155">
            <v>0</v>
          </cell>
          <cell r="M155">
            <v>0</v>
          </cell>
          <cell r="T155">
            <v>6812</v>
          </cell>
          <cell r="U155">
            <v>0</v>
          </cell>
        </row>
        <row r="156">
          <cell r="D156">
            <v>6811</v>
          </cell>
          <cell r="E156" t="str">
            <v>归属于母公司所有者的净利润</v>
          </cell>
          <cell r="F156">
            <v>17906312.969999999</v>
          </cell>
          <cell r="G156">
            <v>33089106.59</v>
          </cell>
          <cell r="H156">
            <v>38484245.960000001</v>
          </cell>
          <cell r="I156">
            <v>23301452.34</v>
          </cell>
          <cell r="J156">
            <v>25697052.48</v>
          </cell>
          <cell r="K156">
            <v>0</v>
          </cell>
          <cell r="L156">
            <v>0</v>
          </cell>
          <cell r="M156">
            <v>25697052.48</v>
          </cell>
          <cell r="T156">
            <v>6811</v>
          </cell>
          <cell r="U156">
            <v>25697052.48</v>
          </cell>
        </row>
        <row r="157">
          <cell r="D157">
            <v>6829</v>
          </cell>
          <cell r="E157" t="str">
            <v>其他综合收益的税后净额</v>
          </cell>
          <cell r="F157">
            <v>0</v>
          </cell>
          <cell r="G157">
            <v>0</v>
          </cell>
          <cell r="H157">
            <v>0</v>
          </cell>
          <cell r="I157">
            <v>0</v>
          </cell>
          <cell r="J157">
            <v>0</v>
          </cell>
          <cell r="K157">
            <v>0</v>
          </cell>
          <cell r="L157">
            <v>0</v>
          </cell>
          <cell r="M157">
            <v>0</v>
          </cell>
          <cell r="T157">
            <v>6829</v>
          </cell>
          <cell r="U157">
            <v>0</v>
          </cell>
        </row>
        <row r="158">
          <cell r="D158">
            <v>6829.2</v>
          </cell>
          <cell r="E158" t="str">
            <v>归属于母公司所有者的其他综合收益的税后净额</v>
          </cell>
          <cell r="F158">
            <v>0</v>
          </cell>
          <cell r="G158">
            <v>0</v>
          </cell>
          <cell r="H158">
            <v>0</v>
          </cell>
          <cell r="I158">
            <v>0</v>
          </cell>
          <cell r="J158">
            <v>0</v>
          </cell>
          <cell r="K158">
            <v>0</v>
          </cell>
          <cell r="L158">
            <v>0</v>
          </cell>
          <cell r="M158">
            <v>0</v>
          </cell>
          <cell r="T158">
            <v>6829.2</v>
          </cell>
          <cell r="U158">
            <v>0</v>
          </cell>
        </row>
        <row r="159">
          <cell r="D159">
            <v>6829.21</v>
          </cell>
          <cell r="E159" t="str">
            <v>以后不能重分类进损益的其他综合收益</v>
          </cell>
          <cell r="F159">
            <v>0</v>
          </cell>
          <cell r="G159">
            <v>0</v>
          </cell>
          <cell r="H159">
            <v>0</v>
          </cell>
          <cell r="I159">
            <v>0</v>
          </cell>
          <cell r="J159">
            <v>0</v>
          </cell>
          <cell r="K159">
            <v>0</v>
          </cell>
          <cell r="L159">
            <v>0</v>
          </cell>
          <cell r="M159">
            <v>0</v>
          </cell>
          <cell r="T159">
            <v>6829.21</v>
          </cell>
          <cell r="U159">
            <v>0</v>
          </cell>
        </row>
        <row r="160">
          <cell r="D160">
            <v>6829.2110000000002</v>
          </cell>
          <cell r="E160" t="str">
            <v>重新计量设定受益计划变动额</v>
          </cell>
          <cell r="F160">
            <v>0</v>
          </cell>
          <cell r="G160">
            <v>0</v>
          </cell>
          <cell r="H160">
            <v>0</v>
          </cell>
          <cell r="I160">
            <v>0</v>
          </cell>
          <cell r="J160">
            <v>0</v>
          </cell>
          <cell r="K160">
            <v>0</v>
          </cell>
          <cell r="L160">
            <v>0</v>
          </cell>
          <cell r="M160">
            <v>0</v>
          </cell>
          <cell r="T160">
            <v>6829.2110000000002</v>
          </cell>
          <cell r="U160">
            <v>0</v>
          </cell>
        </row>
        <row r="161">
          <cell r="D161">
            <v>6829.2120000000004</v>
          </cell>
          <cell r="E161" t="str">
            <v>权益法下不能转损益的其他综合收益</v>
          </cell>
          <cell r="F161">
            <v>0</v>
          </cell>
          <cell r="G161">
            <v>0</v>
          </cell>
          <cell r="H161">
            <v>0</v>
          </cell>
          <cell r="I161">
            <v>0</v>
          </cell>
          <cell r="J161">
            <v>0</v>
          </cell>
          <cell r="K161">
            <v>0</v>
          </cell>
          <cell r="L161">
            <v>0</v>
          </cell>
          <cell r="M161">
            <v>0</v>
          </cell>
          <cell r="T161">
            <v>6829.2120000000004</v>
          </cell>
          <cell r="U161">
            <v>0</v>
          </cell>
        </row>
        <row r="162">
          <cell r="D162">
            <v>6829.2190000000001</v>
          </cell>
          <cell r="E162" t="str">
            <v>其他以后不能重分类进损益的其他综合收益</v>
          </cell>
          <cell r="F162">
            <v>0</v>
          </cell>
          <cell r="G162">
            <v>0</v>
          </cell>
          <cell r="H162">
            <v>0</v>
          </cell>
          <cell r="I162">
            <v>0</v>
          </cell>
          <cell r="J162">
            <v>0</v>
          </cell>
          <cell r="K162">
            <v>0</v>
          </cell>
          <cell r="L162">
            <v>0</v>
          </cell>
          <cell r="M162">
            <v>0</v>
          </cell>
          <cell r="T162">
            <v>6829.2190000000001</v>
          </cell>
          <cell r="U162">
            <v>0</v>
          </cell>
        </row>
        <row r="163">
          <cell r="D163">
            <v>6829.23</v>
          </cell>
          <cell r="E163" t="str">
            <v>以后将重分类进损益的其他综合收益</v>
          </cell>
          <cell r="F163">
            <v>0</v>
          </cell>
          <cell r="G163">
            <v>0</v>
          </cell>
          <cell r="H163">
            <v>0</v>
          </cell>
          <cell r="I163">
            <v>0</v>
          </cell>
          <cell r="J163">
            <v>0</v>
          </cell>
          <cell r="K163">
            <v>0</v>
          </cell>
          <cell r="L163">
            <v>0</v>
          </cell>
          <cell r="M163">
            <v>0</v>
          </cell>
          <cell r="T163">
            <v>6829.23</v>
          </cell>
          <cell r="U163">
            <v>0</v>
          </cell>
        </row>
        <row r="164">
          <cell r="D164">
            <v>6829.2309999999998</v>
          </cell>
          <cell r="E164" t="str">
            <v>权益法下可转损益的其他综合收益</v>
          </cell>
          <cell r="F164">
            <v>0</v>
          </cell>
          <cell r="G164">
            <v>0</v>
          </cell>
          <cell r="H164">
            <v>0</v>
          </cell>
          <cell r="I164">
            <v>0</v>
          </cell>
          <cell r="J164">
            <v>0</v>
          </cell>
          <cell r="K164">
            <v>0</v>
          </cell>
          <cell r="L164">
            <v>0</v>
          </cell>
          <cell r="M164">
            <v>0</v>
          </cell>
          <cell r="T164">
            <v>6829.2309999999998</v>
          </cell>
          <cell r="U164">
            <v>0</v>
          </cell>
        </row>
        <row r="165">
          <cell r="D165">
            <v>6829.232</v>
          </cell>
          <cell r="E165" t="str">
            <v>可供出售金融资产公允价值变动损益</v>
          </cell>
          <cell r="F165">
            <v>0</v>
          </cell>
          <cell r="G165">
            <v>0</v>
          </cell>
          <cell r="H165">
            <v>0</v>
          </cell>
          <cell r="I165">
            <v>0</v>
          </cell>
          <cell r="J165">
            <v>0</v>
          </cell>
          <cell r="K165">
            <v>0</v>
          </cell>
          <cell r="L165">
            <v>0</v>
          </cell>
          <cell r="M165">
            <v>0</v>
          </cell>
          <cell r="T165">
            <v>6829.232</v>
          </cell>
          <cell r="U165">
            <v>0</v>
          </cell>
        </row>
        <row r="166">
          <cell r="D166">
            <v>6829.2330000000002</v>
          </cell>
          <cell r="E166" t="str">
            <v>持有至到期投资重分类为可供出售金融资产损益</v>
          </cell>
          <cell r="F166">
            <v>0</v>
          </cell>
          <cell r="G166">
            <v>0</v>
          </cell>
          <cell r="H166">
            <v>0</v>
          </cell>
          <cell r="I166">
            <v>0</v>
          </cell>
          <cell r="J166">
            <v>0</v>
          </cell>
          <cell r="K166">
            <v>0</v>
          </cell>
          <cell r="L166">
            <v>0</v>
          </cell>
          <cell r="M166">
            <v>0</v>
          </cell>
          <cell r="T166">
            <v>6829.2330000000002</v>
          </cell>
          <cell r="U166">
            <v>0</v>
          </cell>
        </row>
        <row r="167">
          <cell r="D167">
            <v>6829.2340000000004</v>
          </cell>
          <cell r="E167" t="str">
            <v>现金流量套期损益的有效部分</v>
          </cell>
          <cell r="F167">
            <v>0</v>
          </cell>
          <cell r="G167">
            <v>0</v>
          </cell>
          <cell r="H167">
            <v>0</v>
          </cell>
          <cell r="I167">
            <v>0</v>
          </cell>
          <cell r="J167">
            <v>0</v>
          </cell>
          <cell r="K167">
            <v>0</v>
          </cell>
          <cell r="L167">
            <v>0</v>
          </cell>
          <cell r="M167">
            <v>0</v>
          </cell>
          <cell r="T167">
            <v>6829.2340000000004</v>
          </cell>
          <cell r="U167">
            <v>0</v>
          </cell>
        </row>
        <row r="168">
          <cell r="D168">
            <v>6829.2349999999997</v>
          </cell>
          <cell r="E168" t="str">
            <v>外币财务报表折算差额</v>
          </cell>
          <cell r="F168">
            <v>0</v>
          </cell>
          <cell r="G168">
            <v>0</v>
          </cell>
          <cell r="H168">
            <v>0</v>
          </cell>
          <cell r="I168">
            <v>0</v>
          </cell>
          <cell r="J168">
            <v>0</v>
          </cell>
          <cell r="K168">
            <v>0</v>
          </cell>
          <cell r="L168">
            <v>0</v>
          </cell>
          <cell r="M168">
            <v>0</v>
          </cell>
          <cell r="T168">
            <v>6829.2349999999997</v>
          </cell>
          <cell r="U168">
            <v>0</v>
          </cell>
        </row>
        <row r="169">
          <cell r="D169">
            <v>6829.2359999999999</v>
          </cell>
          <cell r="E169" t="str">
            <v>自用房地产或作为存货的房地产转换为以公允价值计量的投资性房地产在转换日公允价值大于账面价值部分</v>
          </cell>
          <cell r="F169">
            <v>0</v>
          </cell>
          <cell r="G169">
            <v>0</v>
          </cell>
          <cell r="H169">
            <v>0</v>
          </cell>
          <cell r="I169">
            <v>0</v>
          </cell>
          <cell r="J169">
            <v>0</v>
          </cell>
          <cell r="K169">
            <v>0</v>
          </cell>
          <cell r="L169">
            <v>0</v>
          </cell>
          <cell r="M169">
            <v>0</v>
          </cell>
          <cell r="T169">
            <v>6829.2359999999999</v>
          </cell>
          <cell r="U169">
            <v>0</v>
          </cell>
        </row>
        <row r="170">
          <cell r="D170">
            <v>6829.2370000000001</v>
          </cell>
          <cell r="E170" t="str">
            <v>多次交易分步处置子公司股权构成一揽子交易的丧失控制权之前各次交易处置价款与对应净资产账面价值份额的差额</v>
          </cell>
          <cell r="F170">
            <v>0</v>
          </cell>
          <cell r="G170">
            <v>0</v>
          </cell>
          <cell r="H170">
            <v>0</v>
          </cell>
          <cell r="I170">
            <v>0</v>
          </cell>
          <cell r="J170">
            <v>0</v>
          </cell>
          <cell r="K170">
            <v>0</v>
          </cell>
          <cell r="L170">
            <v>0</v>
          </cell>
          <cell r="M170">
            <v>0</v>
          </cell>
          <cell r="T170">
            <v>6829.2370000000001</v>
          </cell>
          <cell r="U170">
            <v>0</v>
          </cell>
        </row>
        <row r="171">
          <cell r="D171">
            <v>6829.2389999999996</v>
          </cell>
          <cell r="E171" t="str">
            <v>其他以后将重分类进损益的其他综合收益</v>
          </cell>
          <cell r="F171">
            <v>0</v>
          </cell>
          <cell r="G171">
            <v>0</v>
          </cell>
          <cell r="H171">
            <v>0</v>
          </cell>
          <cell r="I171">
            <v>0</v>
          </cell>
          <cell r="J171">
            <v>0</v>
          </cell>
          <cell r="K171">
            <v>0</v>
          </cell>
          <cell r="L171">
            <v>0</v>
          </cell>
          <cell r="M171">
            <v>0</v>
          </cell>
          <cell r="T171">
            <v>6829.2389999999996</v>
          </cell>
          <cell r="U171">
            <v>0</v>
          </cell>
        </row>
        <row r="172">
          <cell r="D172">
            <v>6829.5</v>
          </cell>
          <cell r="E172" t="str">
            <v>归属于少数股东的其他综合收益的税后净额</v>
          </cell>
          <cell r="F172">
            <v>0</v>
          </cell>
          <cell r="G172">
            <v>0</v>
          </cell>
          <cell r="H172">
            <v>0</v>
          </cell>
          <cell r="I172">
            <v>0</v>
          </cell>
          <cell r="J172">
            <v>0</v>
          </cell>
          <cell r="K172">
            <v>0</v>
          </cell>
          <cell r="L172">
            <v>0</v>
          </cell>
          <cell r="M172">
            <v>0</v>
          </cell>
          <cell r="T172">
            <v>6829.5</v>
          </cell>
          <cell r="U172">
            <v>0</v>
          </cell>
        </row>
        <row r="173">
          <cell r="D173">
            <v>6839</v>
          </cell>
          <cell r="E173" t="str">
            <v>综合收益总额</v>
          </cell>
          <cell r="F173">
            <v>17906312.969999999</v>
          </cell>
          <cell r="G173">
            <v>33089106.59</v>
          </cell>
          <cell r="H173">
            <v>38484245.960000001</v>
          </cell>
          <cell r="I173">
            <v>23301452.34</v>
          </cell>
          <cell r="J173">
            <v>25697052.48</v>
          </cell>
          <cell r="K173">
            <v>0</v>
          </cell>
          <cell r="L173">
            <v>0</v>
          </cell>
          <cell r="M173">
            <v>25697052.48</v>
          </cell>
          <cell r="T173">
            <v>6839</v>
          </cell>
          <cell r="U173">
            <v>25697052.48</v>
          </cell>
        </row>
        <row r="174">
          <cell r="D174">
            <v>6841</v>
          </cell>
          <cell r="E174" t="str">
            <v>归属于母公司所有者的综合收益总额</v>
          </cell>
          <cell r="F174">
            <v>17906312.969999999</v>
          </cell>
          <cell r="G174">
            <v>33089106.59</v>
          </cell>
          <cell r="H174">
            <v>38484245.960000001</v>
          </cell>
          <cell r="I174">
            <v>23301452.34</v>
          </cell>
          <cell r="J174">
            <v>25697052.48</v>
          </cell>
          <cell r="K174">
            <v>0</v>
          </cell>
          <cell r="L174">
            <v>0</v>
          </cell>
          <cell r="M174">
            <v>25697052.48</v>
          </cell>
          <cell r="T174">
            <v>6841</v>
          </cell>
          <cell r="U174">
            <v>25697052.48</v>
          </cell>
        </row>
        <row r="175">
          <cell r="D175">
            <v>6842</v>
          </cell>
          <cell r="E175" t="str">
            <v>归属于少数股东的综合收益总额</v>
          </cell>
          <cell r="F175">
            <v>0</v>
          </cell>
          <cell r="G175">
            <v>0</v>
          </cell>
          <cell r="H175">
            <v>0</v>
          </cell>
          <cell r="I175">
            <v>0</v>
          </cell>
          <cell r="J175">
            <v>0</v>
          </cell>
          <cell r="K175">
            <v>0</v>
          </cell>
          <cell r="L175">
            <v>0</v>
          </cell>
          <cell r="M175">
            <v>0</v>
          </cell>
          <cell r="T175">
            <v>6842</v>
          </cell>
          <cell r="U175">
            <v>0</v>
          </cell>
        </row>
        <row r="176">
          <cell r="D176">
            <v>6820</v>
          </cell>
          <cell r="E176" t="str">
            <v>每股收益</v>
          </cell>
          <cell r="F176">
            <v>0</v>
          </cell>
          <cell r="G176">
            <v>0</v>
          </cell>
          <cell r="H176">
            <v>0</v>
          </cell>
          <cell r="I176">
            <v>0</v>
          </cell>
          <cell r="J176">
            <v>0</v>
          </cell>
          <cell r="K176">
            <v>0</v>
          </cell>
          <cell r="L176">
            <v>0</v>
          </cell>
          <cell r="M176">
            <v>0</v>
          </cell>
          <cell r="T176">
            <v>6820</v>
          </cell>
          <cell r="U176">
            <v>0</v>
          </cell>
        </row>
        <row r="177">
          <cell r="D177">
            <v>6821</v>
          </cell>
          <cell r="E177" t="str">
            <v>基本每股收益</v>
          </cell>
          <cell r="F177">
            <v>0</v>
          </cell>
          <cell r="G177">
            <v>0</v>
          </cell>
          <cell r="H177">
            <v>0</v>
          </cell>
          <cell r="I177">
            <v>0</v>
          </cell>
          <cell r="J177">
            <v>0</v>
          </cell>
          <cell r="K177">
            <v>0</v>
          </cell>
          <cell r="L177">
            <v>0</v>
          </cell>
          <cell r="M177">
            <v>0</v>
          </cell>
          <cell r="T177">
            <v>6821</v>
          </cell>
          <cell r="U177">
            <v>0</v>
          </cell>
        </row>
        <row r="178">
          <cell r="D178">
            <v>6822</v>
          </cell>
          <cell r="E178" t="str">
            <v>稀释每股收益</v>
          </cell>
          <cell r="F178">
            <v>0</v>
          </cell>
          <cell r="G178">
            <v>0</v>
          </cell>
          <cell r="H178">
            <v>0</v>
          </cell>
          <cell r="I178">
            <v>0</v>
          </cell>
          <cell r="J178">
            <v>0</v>
          </cell>
          <cell r="K178">
            <v>0</v>
          </cell>
          <cell r="L178">
            <v>0</v>
          </cell>
          <cell r="M178">
            <v>0</v>
          </cell>
          <cell r="T178">
            <v>6822</v>
          </cell>
          <cell r="U178">
            <v>0</v>
          </cell>
        </row>
        <row r="179">
          <cell r="D179">
            <v>6710.11</v>
          </cell>
          <cell r="E179" t="str">
            <v>营业外收入_非流动资产处置利得</v>
          </cell>
          <cell r="F179">
            <v>0</v>
          </cell>
          <cell r="G179">
            <v>0</v>
          </cell>
          <cell r="H179">
            <v>0</v>
          </cell>
          <cell r="I179">
            <v>0</v>
          </cell>
          <cell r="J179">
            <v>0</v>
          </cell>
          <cell r="K179">
            <v>0</v>
          </cell>
          <cell r="L179">
            <v>0</v>
          </cell>
          <cell r="M179">
            <v>0</v>
          </cell>
          <cell r="T179">
            <v>6710.11</v>
          </cell>
          <cell r="U179">
            <v>0</v>
          </cell>
        </row>
        <row r="180">
          <cell r="D180">
            <v>6711.01</v>
          </cell>
          <cell r="E180" t="str">
            <v>非流动资产处置损失</v>
          </cell>
          <cell r="F180">
            <v>0</v>
          </cell>
          <cell r="G180">
            <v>0</v>
          </cell>
          <cell r="H180">
            <v>0</v>
          </cell>
          <cell r="I180">
            <v>0</v>
          </cell>
          <cell r="J180">
            <v>0</v>
          </cell>
          <cell r="K180">
            <v>0</v>
          </cell>
          <cell r="L180">
            <v>0</v>
          </cell>
          <cell r="M180">
            <v>0</v>
          </cell>
          <cell r="T180">
            <v>6711.01</v>
          </cell>
          <cell r="U180">
            <v>0</v>
          </cell>
        </row>
        <row r="181">
          <cell r="D181">
            <v>6805</v>
          </cell>
          <cell r="E181" t="str">
            <v>同一控制下企业合并的被合并方在合并前实现的净利润</v>
          </cell>
          <cell r="F181">
            <v>0</v>
          </cell>
          <cell r="G181">
            <v>0</v>
          </cell>
          <cell r="H181">
            <v>0</v>
          </cell>
          <cell r="I181">
            <v>0</v>
          </cell>
          <cell r="J181">
            <v>0</v>
          </cell>
          <cell r="K181">
            <v>0</v>
          </cell>
          <cell r="L181">
            <v>0</v>
          </cell>
          <cell r="M181">
            <v>0</v>
          </cell>
          <cell r="T181">
            <v>6805</v>
          </cell>
          <cell r="U181">
            <v>0</v>
          </cell>
        </row>
        <row r="182">
          <cell r="D182">
            <v>8</v>
          </cell>
          <cell r="E182" t="str">
            <v>所有者权益变动表</v>
          </cell>
          <cell r="F182">
            <v>0</v>
          </cell>
          <cell r="G182">
            <v>0</v>
          </cell>
          <cell r="H182">
            <v>0</v>
          </cell>
          <cell r="I182">
            <v>0</v>
          </cell>
          <cell r="J182">
            <v>0</v>
          </cell>
          <cell r="K182">
            <v>0</v>
          </cell>
          <cell r="L182">
            <v>0</v>
          </cell>
          <cell r="M182">
            <v>0</v>
          </cell>
          <cell r="T182">
            <v>8</v>
          </cell>
          <cell r="U182">
            <v>0</v>
          </cell>
        </row>
        <row r="183">
          <cell r="D183">
            <v>8000</v>
          </cell>
          <cell r="E183" t="str">
            <v>所有者权益增减变动</v>
          </cell>
          <cell r="F183">
            <v>0</v>
          </cell>
          <cell r="G183">
            <v>0</v>
          </cell>
          <cell r="H183">
            <v>0</v>
          </cell>
          <cell r="I183">
            <v>0</v>
          </cell>
          <cell r="J183">
            <v>0</v>
          </cell>
          <cell r="K183">
            <v>0</v>
          </cell>
          <cell r="L183">
            <v>0</v>
          </cell>
          <cell r="M183">
            <v>0</v>
          </cell>
          <cell r="T183">
            <v>8000</v>
          </cell>
          <cell r="U183">
            <v>0</v>
          </cell>
        </row>
        <row r="184">
          <cell r="D184">
            <v>8001</v>
          </cell>
          <cell r="E184" t="str">
            <v>所有者权益_上年年末余额</v>
          </cell>
          <cell r="F184">
            <v>613329566.66999996</v>
          </cell>
          <cell r="G184">
            <v>88319845.650000006</v>
          </cell>
          <cell r="H184">
            <v>11335269.75</v>
          </cell>
          <cell r="I184">
            <v>536344990.76999998</v>
          </cell>
          <cell r="J184">
            <v>433488541.18000001</v>
          </cell>
          <cell r="K184">
            <v>0</v>
          </cell>
          <cell r="L184">
            <v>0</v>
          </cell>
          <cell r="M184">
            <v>433488541.18000001</v>
          </cell>
          <cell r="T184">
            <v>8001</v>
          </cell>
          <cell r="U184">
            <v>433488541.18000001</v>
          </cell>
        </row>
        <row r="185">
          <cell r="D185">
            <v>8002</v>
          </cell>
          <cell r="E185" t="str">
            <v>所有者权益_会计政策变更调整上年年末余额</v>
          </cell>
          <cell r="F185">
            <v>0</v>
          </cell>
          <cell r="G185">
            <v>0</v>
          </cell>
          <cell r="H185">
            <v>0</v>
          </cell>
          <cell r="I185">
            <v>0</v>
          </cell>
          <cell r="J185">
            <v>0</v>
          </cell>
          <cell r="K185">
            <v>0</v>
          </cell>
          <cell r="L185">
            <v>0</v>
          </cell>
          <cell r="M185">
            <v>0</v>
          </cell>
          <cell r="T185">
            <v>8002</v>
          </cell>
          <cell r="U185">
            <v>0</v>
          </cell>
        </row>
        <row r="186">
          <cell r="D186">
            <v>8003</v>
          </cell>
          <cell r="E186" t="str">
            <v>所有者权益_前期差错更正调整上年年末余额</v>
          </cell>
          <cell r="F186">
            <v>0</v>
          </cell>
          <cell r="G186">
            <v>0</v>
          </cell>
          <cell r="H186">
            <v>0</v>
          </cell>
          <cell r="I186">
            <v>0</v>
          </cell>
          <cell r="J186">
            <v>0</v>
          </cell>
          <cell r="K186">
            <v>0</v>
          </cell>
          <cell r="L186">
            <v>0</v>
          </cell>
          <cell r="M186">
            <v>0</v>
          </cell>
          <cell r="T186">
            <v>8003</v>
          </cell>
          <cell r="U186">
            <v>0</v>
          </cell>
        </row>
        <row r="187">
          <cell r="D187">
            <v>8004</v>
          </cell>
          <cell r="E187" t="str">
            <v>所有者权益_同一控制下企业合并调整上年年末余额</v>
          </cell>
          <cell r="F187">
            <v>0</v>
          </cell>
          <cell r="G187">
            <v>0</v>
          </cell>
          <cell r="H187">
            <v>0</v>
          </cell>
          <cell r="I187">
            <v>0</v>
          </cell>
          <cell r="J187">
            <v>0</v>
          </cell>
          <cell r="K187">
            <v>0</v>
          </cell>
          <cell r="L187">
            <v>0</v>
          </cell>
          <cell r="M187">
            <v>0</v>
          </cell>
          <cell r="T187">
            <v>8004</v>
          </cell>
          <cell r="U187">
            <v>0</v>
          </cell>
        </row>
        <row r="188">
          <cell r="D188">
            <v>8009</v>
          </cell>
          <cell r="E188" t="str">
            <v>所有者权益_其他原因调整上年年末余额</v>
          </cell>
          <cell r="F188">
            <v>-24576932.460000001</v>
          </cell>
          <cell r="G188">
            <v>-22584866.57</v>
          </cell>
          <cell r="H188">
            <v>1992065.89</v>
          </cell>
          <cell r="I188">
            <v>0</v>
          </cell>
          <cell r="J188">
            <v>0</v>
          </cell>
          <cell r="K188">
            <v>0</v>
          </cell>
          <cell r="L188">
            <v>0</v>
          </cell>
          <cell r="M188">
            <v>0</v>
          </cell>
          <cell r="T188">
            <v>8009</v>
          </cell>
          <cell r="U188">
            <v>0</v>
          </cell>
        </row>
        <row r="189">
          <cell r="D189">
            <v>8010</v>
          </cell>
          <cell r="E189" t="str">
            <v>所有者权益_本年年初余额</v>
          </cell>
          <cell r="F189">
            <v>588752634.21000004</v>
          </cell>
          <cell r="G189">
            <v>65734979.079999998</v>
          </cell>
          <cell r="H189">
            <v>13327335.640000001</v>
          </cell>
          <cell r="I189">
            <v>536344990.76999998</v>
          </cell>
          <cell r="J189">
            <v>433488541.18000001</v>
          </cell>
          <cell r="K189">
            <v>0</v>
          </cell>
          <cell r="L189">
            <v>0</v>
          </cell>
          <cell r="M189">
            <v>433488541.18000001</v>
          </cell>
          <cell r="T189">
            <v>8010</v>
          </cell>
          <cell r="U189">
            <v>433488541.18000001</v>
          </cell>
        </row>
        <row r="190">
          <cell r="D190">
            <v>8090</v>
          </cell>
          <cell r="E190" t="str">
            <v>所有者权益_本期增减变动金额</v>
          </cell>
          <cell r="F190">
            <v>18597953.969999999</v>
          </cell>
          <cell r="G190">
            <v>35419251.82</v>
          </cell>
          <cell r="H190">
            <v>41071994.450000003</v>
          </cell>
          <cell r="I190">
            <v>24250696.600000001</v>
          </cell>
          <cell r="J190">
            <v>102856449.59</v>
          </cell>
          <cell r="K190">
            <v>0</v>
          </cell>
          <cell r="L190">
            <v>0</v>
          </cell>
          <cell r="M190">
            <v>102856449.59</v>
          </cell>
          <cell r="T190">
            <v>8090</v>
          </cell>
          <cell r="U190">
            <v>102856449.59</v>
          </cell>
        </row>
        <row r="191">
          <cell r="D191">
            <v>8021</v>
          </cell>
          <cell r="E191" t="str">
            <v>所有者权益_净利润增加权益</v>
          </cell>
          <cell r="F191">
            <v>17906312.969999999</v>
          </cell>
          <cell r="G191">
            <v>33089106.59</v>
          </cell>
          <cell r="H191">
            <v>38484245.960000001</v>
          </cell>
          <cell r="I191">
            <v>23301452.34</v>
          </cell>
          <cell r="J191">
            <v>25697052.48</v>
          </cell>
          <cell r="K191">
            <v>0</v>
          </cell>
          <cell r="L191">
            <v>0</v>
          </cell>
          <cell r="M191">
            <v>25697052.48</v>
          </cell>
          <cell r="T191">
            <v>8021</v>
          </cell>
          <cell r="U191">
            <v>25697052.48</v>
          </cell>
        </row>
        <row r="192">
          <cell r="D192">
            <v>8030</v>
          </cell>
          <cell r="E192" t="str">
            <v>所有者权益_其他综合收益增加权益</v>
          </cell>
          <cell r="F192">
            <v>0</v>
          </cell>
          <cell r="G192">
            <v>0</v>
          </cell>
          <cell r="H192">
            <v>0</v>
          </cell>
          <cell r="I192">
            <v>0</v>
          </cell>
          <cell r="J192">
            <v>0</v>
          </cell>
          <cell r="K192">
            <v>0</v>
          </cell>
          <cell r="L192">
            <v>0</v>
          </cell>
          <cell r="M192">
            <v>0</v>
          </cell>
          <cell r="T192">
            <v>8030</v>
          </cell>
          <cell r="U192">
            <v>0</v>
          </cell>
        </row>
        <row r="193">
          <cell r="D193">
            <v>8040</v>
          </cell>
          <cell r="E193" t="str">
            <v>所有者权益_综合收益总额增加权益</v>
          </cell>
          <cell r="F193">
            <v>17906312.969999999</v>
          </cell>
          <cell r="G193">
            <v>33089106.59</v>
          </cell>
          <cell r="H193">
            <v>38484245.960000001</v>
          </cell>
          <cell r="I193">
            <v>23301452.34</v>
          </cell>
          <cell r="J193">
            <v>25697052.48</v>
          </cell>
          <cell r="K193">
            <v>0</v>
          </cell>
          <cell r="L193">
            <v>0</v>
          </cell>
          <cell r="M193">
            <v>25697052.48</v>
          </cell>
          <cell r="T193">
            <v>8040</v>
          </cell>
          <cell r="U193">
            <v>25697052.48</v>
          </cell>
        </row>
        <row r="194">
          <cell r="D194">
            <v>8050</v>
          </cell>
          <cell r="E194" t="str">
            <v>所有者权益_所有者投入和减少资本影响权益</v>
          </cell>
          <cell r="F194">
            <v>0</v>
          </cell>
          <cell r="G194">
            <v>0</v>
          </cell>
          <cell r="H194">
            <v>113000</v>
          </cell>
          <cell r="I194">
            <v>113000</v>
          </cell>
          <cell r="J194">
            <v>75600001</v>
          </cell>
          <cell r="K194">
            <v>0</v>
          </cell>
          <cell r="L194">
            <v>0</v>
          </cell>
          <cell r="M194">
            <v>75600001</v>
          </cell>
          <cell r="T194">
            <v>8050</v>
          </cell>
          <cell r="U194">
            <v>75600001</v>
          </cell>
        </row>
        <row r="195">
          <cell r="D195">
            <v>8051</v>
          </cell>
          <cell r="E195" t="str">
            <v>所有者权益_所有者投入资本增加权益</v>
          </cell>
          <cell r="F195">
            <v>0</v>
          </cell>
          <cell r="G195">
            <v>0</v>
          </cell>
          <cell r="H195">
            <v>0</v>
          </cell>
          <cell r="I195">
            <v>0</v>
          </cell>
          <cell r="J195">
            <v>75600001</v>
          </cell>
          <cell r="K195">
            <v>0</v>
          </cell>
          <cell r="L195">
            <v>0</v>
          </cell>
          <cell r="M195">
            <v>75600001</v>
          </cell>
          <cell r="T195">
            <v>8051</v>
          </cell>
          <cell r="U195">
            <v>75600001</v>
          </cell>
        </row>
        <row r="196">
          <cell r="D196">
            <v>8053</v>
          </cell>
          <cell r="E196" t="str">
            <v>所有者权益_其他权益工具持有者投入资本</v>
          </cell>
          <cell r="F196">
            <v>0</v>
          </cell>
          <cell r="G196">
            <v>0</v>
          </cell>
          <cell r="H196">
            <v>0</v>
          </cell>
          <cell r="I196">
            <v>0</v>
          </cell>
          <cell r="J196">
            <v>0</v>
          </cell>
          <cell r="K196">
            <v>0</v>
          </cell>
          <cell r="L196">
            <v>0</v>
          </cell>
          <cell r="M196">
            <v>0</v>
          </cell>
          <cell r="T196">
            <v>8053</v>
          </cell>
          <cell r="U196">
            <v>0</v>
          </cell>
        </row>
        <row r="197">
          <cell r="D197">
            <v>8052</v>
          </cell>
          <cell r="E197" t="str">
            <v>所有者权益_股份支付计入所有者权益的金额</v>
          </cell>
          <cell r="F197">
            <v>0</v>
          </cell>
          <cell r="G197">
            <v>0</v>
          </cell>
          <cell r="H197">
            <v>113000</v>
          </cell>
          <cell r="I197">
            <v>113000</v>
          </cell>
          <cell r="J197">
            <v>0</v>
          </cell>
          <cell r="K197">
            <v>0</v>
          </cell>
          <cell r="L197">
            <v>0</v>
          </cell>
          <cell r="M197">
            <v>0</v>
          </cell>
          <cell r="T197">
            <v>8052</v>
          </cell>
          <cell r="U197">
            <v>0</v>
          </cell>
        </row>
        <row r="198">
          <cell r="D198">
            <v>8056</v>
          </cell>
          <cell r="E198" t="str">
            <v>所有者权益_所有者其他投入和减少资本</v>
          </cell>
          <cell r="F198">
            <v>0</v>
          </cell>
          <cell r="G198">
            <v>0</v>
          </cell>
          <cell r="H198">
            <v>0</v>
          </cell>
          <cell r="I198">
            <v>0</v>
          </cell>
          <cell r="J198">
            <v>0</v>
          </cell>
          <cell r="K198">
            <v>0</v>
          </cell>
          <cell r="L198">
            <v>0</v>
          </cell>
          <cell r="M198">
            <v>0</v>
          </cell>
          <cell r="T198">
            <v>8056</v>
          </cell>
          <cell r="U198">
            <v>0</v>
          </cell>
        </row>
        <row r="199">
          <cell r="D199">
            <v>8060</v>
          </cell>
          <cell r="E199" t="str">
            <v>所有者权益_利润分配影响权益</v>
          </cell>
          <cell r="F199">
            <v>0</v>
          </cell>
          <cell r="G199">
            <v>2330145.23</v>
          </cell>
          <cell r="H199">
            <v>2330145.23</v>
          </cell>
          <cell r="I199">
            <v>0</v>
          </cell>
          <cell r="J199">
            <v>0</v>
          </cell>
          <cell r="K199">
            <v>0</v>
          </cell>
          <cell r="L199">
            <v>0</v>
          </cell>
          <cell r="M199">
            <v>0</v>
          </cell>
          <cell r="T199">
            <v>8060</v>
          </cell>
          <cell r="U199">
            <v>0</v>
          </cell>
        </row>
        <row r="200">
          <cell r="D200">
            <v>8061</v>
          </cell>
          <cell r="E200" t="str">
            <v>所有者权益_提取盈余公积影响权益</v>
          </cell>
          <cell r="F200">
            <v>0</v>
          </cell>
          <cell r="G200">
            <v>2330145.23</v>
          </cell>
          <cell r="H200">
            <v>2330145.23</v>
          </cell>
          <cell r="I200">
            <v>0</v>
          </cell>
          <cell r="J200">
            <v>0</v>
          </cell>
          <cell r="K200">
            <v>0</v>
          </cell>
          <cell r="L200">
            <v>0</v>
          </cell>
          <cell r="M200">
            <v>0</v>
          </cell>
          <cell r="T200">
            <v>8061</v>
          </cell>
          <cell r="U200">
            <v>0</v>
          </cell>
        </row>
        <row r="201">
          <cell r="D201">
            <v>8062</v>
          </cell>
          <cell r="E201" t="str">
            <v>所有者权益_提取一般风险准备影响权益</v>
          </cell>
          <cell r="F201">
            <v>0</v>
          </cell>
          <cell r="G201">
            <v>0</v>
          </cell>
          <cell r="H201">
            <v>0</v>
          </cell>
          <cell r="I201">
            <v>0</v>
          </cell>
          <cell r="J201">
            <v>0</v>
          </cell>
          <cell r="K201">
            <v>0</v>
          </cell>
          <cell r="L201">
            <v>0</v>
          </cell>
          <cell r="M201">
            <v>0</v>
          </cell>
          <cell r="T201">
            <v>8062</v>
          </cell>
          <cell r="U201">
            <v>0</v>
          </cell>
        </row>
        <row r="202">
          <cell r="D202">
            <v>8063</v>
          </cell>
          <cell r="E202" t="str">
            <v>所有者权益_对所有者的分配影响权益</v>
          </cell>
          <cell r="F202">
            <v>0</v>
          </cell>
          <cell r="G202">
            <v>0</v>
          </cell>
          <cell r="H202">
            <v>0</v>
          </cell>
          <cell r="I202">
            <v>0</v>
          </cell>
          <cell r="J202">
            <v>0</v>
          </cell>
          <cell r="K202">
            <v>0</v>
          </cell>
          <cell r="L202">
            <v>0</v>
          </cell>
          <cell r="M202">
            <v>0</v>
          </cell>
          <cell r="T202">
            <v>8063</v>
          </cell>
          <cell r="U202">
            <v>0</v>
          </cell>
        </row>
        <row r="203">
          <cell r="D203">
            <v>8066</v>
          </cell>
          <cell r="E203" t="str">
            <v>所有者权益_其他利润分配影响权益</v>
          </cell>
          <cell r="F203">
            <v>0</v>
          </cell>
          <cell r="G203">
            <v>0</v>
          </cell>
          <cell r="H203">
            <v>0</v>
          </cell>
          <cell r="I203">
            <v>0</v>
          </cell>
          <cell r="J203">
            <v>0</v>
          </cell>
          <cell r="K203">
            <v>0</v>
          </cell>
          <cell r="L203">
            <v>0</v>
          </cell>
          <cell r="M203">
            <v>0</v>
          </cell>
          <cell r="T203">
            <v>8066</v>
          </cell>
          <cell r="U203">
            <v>0</v>
          </cell>
        </row>
        <row r="204">
          <cell r="D204">
            <v>8070</v>
          </cell>
          <cell r="E204" t="str">
            <v>所有者权益_所有者权益内部结转</v>
          </cell>
          <cell r="F204">
            <v>0</v>
          </cell>
          <cell r="G204">
            <v>0</v>
          </cell>
          <cell r="H204">
            <v>0</v>
          </cell>
          <cell r="I204">
            <v>0</v>
          </cell>
          <cell r="J204">
            <v>0</v>
          </cell>
          <cell r="K204">
            <v>0</v>
          </cell>
          <cell r="L204">
            <v>0</v>
          </cell>
          <cell r="M204">
            <v>0</v>
          </cell>
          <cell r="T204">
            <v>8070</v>
          </cell>
          <cell r="U204">
            <v>0</v>
          </cell>
        </row>
        <row r="205">
          <cell r="D205">
            <v>8071</v>
          </cell>
          <cell r="E205" t="str">
            <v>所有者权益_资本公积转增资本影响权益</v>
          </cell>
          <cell r="F205">
            <v>0</v>
          </cell>
          <cell r="G205">
            <v>0</v>
          </cell>
          <cell r="H205">
            <v>0</v>
          </cell>
          <cell r="I205">
            <v>0</v>
          </cell>
          <cell r="J205">
            <v>0</v>
          </cell>
          <cell r="K205">
            <v>0</v>
          </cell>
          <cell r="L205">
            <v>0</v>
          </cell>
          <cell r="M205">
            <v>0</v>
          </cell>
          <cell r="T205">
            <v>8071</v>
          </cell>
          <cell r="U205">
            <v>0</v>
          </cell>
        </row>
        <row r="206">
          <cell r="D206">
            <v>8072</v>
          </cell>
          <cell r="E206" t="str">
            <v>所有者权益_盈余公积转增资本影响权益</v>
          </cell>
          <cell r="F206">
            <v>0</v>
          </cell>
          <cell r="G206">
            <v>0</v>
          </cell>
          <cell r="H206">
            <v>0</v>
          </cell>
          <cell r="I206">
            <v>0</v>
          </cell>
          <cell r="J206">
            <v>0</v>
          </cell>
          <cell r="K206">
            <v>0</v>
          </cell>
          <cell r="L206">
            <v>0</v>
          </cell>
          <cell r="M206">
            <v>0</v>
          </cell>
          <cell r="T206">
            <v>8072</v>
          </cell>
          <cell r="U206">
            <v>0</v>
          </cell>
        </row>
        <row r="207">
          <cell r="D207">
            <v>8073</v>
          </cell>
          <cell r="E207" t="str">
            <v>所有者权益_盈余公积弥补亏损影响权益</v>
          </cell>
          <cell r="F207">
            <v>0</v>
          </cell>
          <cell r="G207">
            <v>0</v>
          </cell>
          <cell r="H207">
            <v>0</v>
          </cell>
          <cell r="I207">
            <v>0</v>
          </cell>
          <cell r="J207">
            <v>0</v>
          </cell>
          <cell r="K207">
            <v>0</v>
          </cell>
          <cell r="L207">
            <v>0</v>
          </cell>
          <cell r="M207">
            <v>0</v>
          </cell>
          <cell r="T207">
            <v>8073</v>
          </cell>
          <cell r="U207">
            <v>0</v>
          </cell>
        </row>
        <row r="208">
          <cell r="D208">
            <v>8075</v>
          </cell>
          <cell r="E208" t="str">
            <v>所有者权益_设定受益计划变动额结转留存收益</v>
          </cell>
          <cell r="F208">
            <v>0</v>
          </cell>
          <cell r="G208">
            <v>0</v>
          </cell>
          <cell r="H208">
            <v>0</v>
          </cell>
          <cell r="I208">
            <v>0</v>
          </cell>
          <cell r="J208">
            <v>0</v>
          </cell>
          <cell r="K208">
            <v>0</v>
          </cell>
          <cell r="L208">
            <v>0</v>
          </cell>
          <cell r="M208">
            <v>0</v>
          </cell>
          <cell r="T208">
            <v>8075</v>
          </cell>
          <cell r="U208">
            <v>0</v>
          </cell>
        </row>
        <row r="209">
          <cell r="D209">
            <v>8076</v>
          </cell>
          <cell r="E209" t="str">
            <v>所有者权益_所有者权益其他内部结转</v>
          </cell>
          <cell r="F209">
            <v>0</v>
          </cell>
          <cell r="G209">
            <v>0</v>
          </cell>
          <cell r="H209">
            <v>0</v>
          </cell>
          <cell r="I209">
            <v>0</v>
          </cell>
          <cell r="J209">
            <v>0</v>
          </cell>
          <cell r="K209">
            <v>0</v>
          </cell>
          <cell r="L209">
            <v>0</v>
          </cell>
          <cell r="M209">
            <v>0</v>
          </cell>
          <cell r="T209">
            <v>8076</v>
          </cell>
          <cell r="U209">
            <v>0</v>
          </cell>
        </row>
        <row r="210">
          <cell r="D210">
            <v>8080</v>
          </cell>
          <cell r="E210" t="str">
            <v>所有者权益_专项储备影响权益</v>
          </cell>
          <cell r="F210">
            <v>691641</v>
          </cell>
          <cell r="G210">
            <v>0</v>
          </cell>
          <cell r="H210">
            <v>144603.26</v>
          </cell>
          <cell r="I210">
            <v>836244.26</v>
          </cell>
          <cell r="J210">
            <v>1559396.11</v>
          </cell>
          <cell r="K210">
            <v>0</v>
          </cell>
          <cell r="L210">
            <v>0</v>
          </cell>
          <cell r="M210">
            <v>1559396.11</v>
          </cell>
          <cell r="T210">
            <v>8080</v>
          </cell>
          <cell r="U210">
            <v>1559396.11</v>
          </cell>
        </row>
        <row r="211">
          <cell r="D211">
            <v>8081</v>
          </cell>
          <cell r="E211" t="str">
            <v>所有者权益_专项储备本期提取</v>
          </cell>
          <cell r="F211">
            <v>691641</v>
          </cell>
          <cell r="G211">
            <v>0</v>
          </cell>
          <cell r="H211">
            <v>144603.26</v>
          </cell>
          <cell r="I211">
            <v>836244.26</v>
          </cell>
          <cell r="J211">
            <v>1559396.11</v>
          </cell>
          <cell r="K211">
            <v>0</v>
          </cell>
          <cell r="L211">
            <v>0</v>
          </cell>
          <cell r="M211">
            <v>1559396.11</v>
          </cell>
          <cell r="T211">
            <v>8081</v>
          </cell>
          <cell r="U211">
            <v>1559396.11</v>
          </cell>
        </row>
        <row r="212">
          <cell r="D212">
            <v>8082</v>
          </cell>
          <cell r="E212" t="str">
            <v>所有者权益_专项储备本期使用</v>
          </cell>
          <cell r="F212">
            <v>0</v>
          </cell>
          <cell r="G212">
            <v>0</v>
          </cell>
          <cell r="H212">
            <v>0</v>
          </cell>
          <cell r="I212">
            <v>0</v>
          </cell>
          <cell r="J212">
            <v>0</v>
          </cell>
          <cell r="K212">
            <v>0</v>
          </cell>
          <cell r="L212">
            <v>0</v>
          </cell>
          <cell r="M212">
            <v>0</v>
          </cell>
          <cell r="T212">
            <v>8082</v>
          </cell>
          <cell r="U212">
            <v>0</v>
          </cell>
        </row>
        <row r="213">
          <cell r="D213">
            <v>8096</v>
          </cell>
          <cell r="E213" t="str">
            <v>所有者权益_本期其他增减变动</v>
          </cell>
          <cell r="F213">
            <v>0</v>
          </cell>
          <cell r="G213">
            <v>0</v>
          </cell>
          <cell r="H213">
            <v>0</v>
          </cell>
          <cell r="I213">
            <v>0</v>
          </cell>
          <cell r="J213">
            <v>0</v>
          </cell>
          <cell r="K213">
            <v>0</v>
          </cell>
          <cell r="L213">
            <v>0</v>
          </cell>
          <cell r="M213">
            <v>0</v>
          </cell>
          <cell r="T213">
            <v>8096</v>
          </cell>
          <cell r="U213">
            <v>0</v>
          </cell>
        </row>
        <row r="214">
          <cell r="D214">
            <v>8099</v>
          </cell>
          <cell r="E214" t="str">
            <v>所有者权益_本期期末余额</v>
          </cell>
          <cell r="F214">
            <v>607350588.17999995</v>
          </cell>
          <cell r="G214">
            <v>101154230.90000001</v>
          </cell>
          <cell r="H214">
            <v>54399330.090000004</v>
          </cell>
          <cell r="I214">
            <v>560595687.37</v>
          </cell>
          <cell r="J214">
            <v>536344990.76999998</v>
          </cell>
          <cell r="K214">
            <v>0</v>
          </cell>
          <cell r="L214">
            <v>0</v>
          </cell>
          <cell r="M214">
            <v>536344990.76999998</v>
          </cell>
          <cell r="T214">
            <v>8099</v>
          </cell>
          <cell r="U214">
            <v>536344990.76999998</v>
          </cell>
        </row>
        <row r="215">
          <cell r="D215">
            <v>8100</v>
          </cell>
          <cell r="E215" t="str">
            <v>实收资本增减变动</v>
          </cell>
          <cell r="F215">
            <v>0</v>
          </cell>
          <cell r="G215">
            <v>0</v>
          </cell>
          <cell r="H215">
            <v>0</v>
          </cell>
          <cell r="I215">
            <v>0</v>
          </cell>
          <cell r="J215">
            <v>0</v>
          </cell>
          <cell r="K215">
            <v>0</v>
          </cell>
          <cell r="L215">
            <v>0</v>
          </cell>
          <cell r="M215">
            <v>0</v>
          </cell>
          <cell r="T215">
            <v>8100</v>
          </cell>
          <cell r="U215">
            <v>0</v>
          </cell>
        </row>
        <row r="216">
          <cell r="D216">
            <v>8101</v>
          </cell>
          <cell r="E216" t="str">
            <v>实收资本_上年年末余额</v>
          </cell>
          <cell r="F216">
            <v>389015152</v>
          </cell>
          <cell r="G216">
            <v>0</v>
          </cell>
          <cell r="H216">
            <v>0</v>
          </cell>
          <cell r="I216">
            <v>389015152</v>
          </cell>
          <cell r="J216">
            <v>360000000</v>
          </cell>
          <cell r="K216">
            <v>0</v>
          </cell>
          <cell r="L216">
            <v>0</v>
          </cell>
          <cell r="M216">
            <v>360000000</v>
          </cell>
          <cell r="T216">
            <v>8101</v>
          </cell>
          <cell r="U216">
            <v>360000000</v>
          </cell>
        </row>
        <row r="217">
          <cell r="D217">
            <v>8102</v>
          </cell>
          <cell r="E217" t="str">
            <v>实收资本_会计政策变更调整上年年末余额</v>
          </cell>
          <cell r="F217">
            <v>0</v>
          </cell>
          <cell r="G217">
            <v>0</v>
          </cell>
          <cell r="H217">
            <v>0</v>
          </cell>
          <cell r="I217">
            <v>0</v>
          </cell>
          <cell r="J217">
            <v>0</v>
          </cell>
          <cell r="K217">
            <v>0</v>
          </cell>
          <cell r="L217">
            <v>0</v>
          </cell>
          <cell r="M217">
            <v>0</v>
          </cell>
          <cell r="T217">
            <v>8102</v>
          </cell>
          <cell r="U217">
            <v>0</v>
          </cell>
        </row>
        <row r="218">
          <cell r="D218">
            <v>8103</v>
          </cell>
          <cell r="E218" t="str">
            <v>实收资本_前期差错更正调整上年年末余额</v>
          </cell>
          <cell r="F218">
            <v>0</v>
          </cell>
          <cell r="G218">
            <v>0</v>
          </cell>
          <cell r="H218">
            <v>0</v>
          </cell>
          <cell r="I218">
            <v>0</v>
          </cell>
          <cell r="J218">
            <v>0</v>
          </cell>
          <cell r="K218">
            <v>0</v>
          </cell>
          <cell r="L218">
            <v>0</v>
          </cell>
          <cell r="M218">
            <v>0</v>
          </cell>
          <cell r="T218">
            <v>8103</v>
          </cell>
          <cell r="U218">
            <v>0</v>
          </cell>
        </row>
        <row r="219">
          <cell r="D219">
            <v>8104</v>
          </cell>
          <cell r="E219" t="str">
            <v>实收资本_同一控制下企业合并调整上年年末余额</v>
          </cell>
          <cell r="F219">
            <v>0</v>
          </cell>
          <cell r="G219">
            <v>0</v>
          </cell>
          <cell r="H219">
            <v>0</v>
          </cell>
          <cell r="I219">
            <v>0</v>
          </cell>
          <cell r="J219">
            <v>0</v>
          </cell>
          <cell r="K219">
            <v>0</v>
          </cell>
          <cell r="L219">
            <v>0</v>
          </cell>
          <cell r="M219">
            <v>0</v>
          </cell>
          <cell r="T219">
            <v>8104</v>
          </cell>
          <cell r="U219">
            <v>0</v>
          </cell>
        </row>
        <row r="220">
          <cell r="D220">
            <v>8109</v>
          </cell>
          <cell r="E220" t="str">
            <v>实收资本_其他原因调整上年年末余额</v>
          </cell>
          <cell r="F220">
            <v>0</v>
          </cell>
          <cell r="G220">
            <v>0</v>
          </cell>
          <cell r="H220">
            <v>0</v>
          </cell>
          <cell r="I220">
            <v>0</v>
          </cell>
          <cell r="J220">
            <v>0</v>
          </cell>
          <cell r="K220">
            <v>0</v>
          </cell>
          <cell r="L220">
            <v>0</v>
          </cell>
          <cell r="M220">
            <v>0</v>
          </cell>
          <cell r="T220">
            <v>8109</v>
          </cell>
          <cell r="U220">
            <v>0</v>
          </cell>
        </row>
        <row r="221">
          <cell r="D221">
            <v>8110</v>
          </cell>
          <cell r="E221" t="str">
            <v>实收资本_本年年初余额</v>
          </cell>
          <cell r="F221">
            <v>389015152</v>
          </cell>
          <cell r="G221">
            <v>0</v>
          </cell>
          <cell r="H221">
            <v>0</v>
          </cell>
          <cell r="I221">
            <v>389015152</v>
          </cell>
          <cell r="J221">
            <v>360000000</v>
          </cell>
          <cell r="K221">
            <v>0</v>
          </cell>
          <cell r="L221">
            <v>0</v>
          </cell>
          <cell r="M221">
            <v>360000000</v>
          </cell>
          <cell r="T221">
            <v>8110</v>
          </cell>
          <cell r="U221">
            <v>360000000</v>
          </cell>
        </row>
        <row r="222">
          <cell r="D222">
            <v>8190</v>
          </cell>
          <cell r="E222" t="str">
            <v>实收资本_本期增减变动金额</v>
          </cell>
          <cell r="F222">
            <v>0</v>
          </cell>
          <cell r="G222">
            <v>0</v>
          </cell>
          <cell r="H222">
            <v>0</v>
          </cell>
          <cell r="I222">
            <v>0</v>
          </cell>
          <cell r="J222">
            <v>29015152</v>
          </cell>
          <cell r="K222">
            <v>0</v>
          </cell>
          <cell r="L222">
            <v>0</v>
          </cell>
          <cell r="M222">
            <v>29015152</v>
          </cell>
          <cell r="T222">
            <v>8190</v>
          </cell>
          <cell r="U222">
            <v>29015152</v>
          </cell>
        </row>
        <row r="223">
          <cell r="D223">
            <v>8121</v>
          </cell>
          <cell r="E223" t="str">
            <v>实收资本_净利润增加权益</v>
          </cell>
          <cell r="F223">
            <v>0</v>
          </cell>
          <cell r="G223">
            <v>0</v>
          </cell>
          <cell r="H223">
            <v>0</v>
          </cell>
          <cell r="I223">
            <v>0</v>
          </cell>
          <cell r="J223">
            <v>0</v>
          </cell>
          <cell r="K223">
            <v>0</v>
          </cell>
          <cell r="L223">
            <v>0</v>
          </cell>
          <cell r="M223">
            <v>0</v>
          </cell>
          <cell r="T223">
            <v>8121</v>
          </cell>
          <cell r="U223">
            <v>0</v>
          </cell>
        </row>
        <row r="224">
          <cell r="D224">
            <v>8130</v>
          </cell>
          <cell r="E224" t="str">
            <v>实收资本_其他综合收益增加权益</v>
          </cell>
          <cell r="F224">
            <v>0</v>
          </cell>
          <cell r="G224">
            <v>0</v>
          </cell>
          <cell r="H224">
            <v>0</v>
          </cell>
          <cell r="I224">
            <v>0</v>
          </cell>
          <cell r="J224">
            <v>0</v>
          </cell>
          <cell r="K224">
            <v>0</v>
          </cell>
          <cell r="L224">
            <v>0</v>
          </cell>
          <cell r="M224">
            <v>0</v>
          </cell>
          <cell r="T224">
            <v>8130</v>
          </cell>
          <cell r="U224">
            <v>0</v>
          </cell>
        </row>
        <row r="225">
          <cell r="D225">
            <v>8140</v>
          </cell>
          <cell r="E225" t="str">
            <v>实收资本_综合收益总额增加权益</v>
          </cell>
          <cell r="F225">
            <v>0</v>
          </cell>
          <cell r="G225">
            <v>0</v>
          </cell>
          <cell r="H225">
            <v>0</v>
          </cell>
          <cell r="I225">
            <v>0</v>
          </cell>
          <cell r="J225">
            <v>0</v>
          </cell>
          <cell r="K225">
            <v>0</v>
          </cell>
          <cell r="L225">
            <v>0</v>
          </cell>
          <cell r="M225">
            <v>0</v>
          </cell>
          <cell r="T225">
            <v>8140</v>
          </cell>
          <cell r="U225">
            <v>0</v>
          </cell>
        </row>
        <row r="226">
          <cell r="D226">
            <v>8150</v>
          </cell>
          <cell r="E226" t="str">
            <v>实收资本_所有者投入和减少资本影响权益</v>
          </cell>
          <cell r="F226">
            <v>0</v>
          </cell>
          <cell r="G226">
            <v>0</v>
          </cell>
          <cell r="H226">
            <v>0</v>
          </cell>
          <cell r="I226">
            <v>0</v>
          </cell>
          <cell r="J226">
            <v>29015152</v>
          </cell>
          <cell r="K226">
            <v>0</v>
          </cell>
          <cell r="L226">
            <v>0</v>
          </cell>
          <cell r="M226">
            <v>29015152</v>
          </cell>
          <cell r="T226">
            <v>8150</v>
          </cell>
          <cell r="U226">
            <v>29015152</v>
          </cell>
        </row>
        <row r="227">
          <cell r="D227">
            <v>8151</v>
          </cell>
          <cell r="E227" t="str">
            <v>实收资本_所有者投入资本</v>
          </cell>
          <cell r="F227">
            <v>0</v>
          </cell>
          <cell r="G227">
            <v>0</v>
          </cell>
          <cell r="H227">
            <v>0</v>
          </cell>
          <cell r="I227">
            <v>0</v>
          </cell>
          <cell r="J227">
            <v>29015152</v>
          </cell>
          <cell r="K227">
            <v>0</v>
          </cell>
          <cell r="L227">
            <v>0</v>
          </cell>
          <cell r="M227">
            <v>29015152</v>
          </cell>
          <cell r="T227">
            <v>8151</v>
          </cell>
          <cell r="U227">
            <v>29015152</v>
          </cell>
        </row>
        <row r="228">
          <cell r="D228">
            <v>8153</v>
          </cell>
          <cell r="E228" t="str">
            <v>实收资本_其他权益工具持有者投入资本</v>
          </cell>
          <cell r="F228">
            <v>0</v>
          </cell>
          <cell r="G228">
            <v>0</v>
          </cell>
          <cell r="H228">
            <v>0</v>
          </cell>
          <cell r="I228">
            <v>0</v>
          </cell>
          <cell r="J228">
            <v>0</v>
          </cell>
          <cell r="K228">
            <v>0</v>
          </cell>
          <cell r="L228">
            <v>0</v>
          </cell>
          <cell r="M228">
            <v>0</v>
          </cell>
          <cell r="T228">
            <v>8153</v>
          </cell>
          <cell r="U228">
            <v>0</v>
          </cell>
        </row>
        <row r="229">
          <cell r="D229">
            <v>8152</v>
          </cell>
          <cell r="E229" t="str">
            <v>实收资本_股份支付计入所有者权益的金额</v>
          </cell>
          <cell r="F229">
            <v>0</v>
          </cell>
          <cell r="G229">
            <v>0</v>
          </cell>
          <cell r="H229">
            <v>0</v>
          </cell>
          <cell r="I229">
            <v>0</v>
          </cell>
          <cell r="J229">
            <v>0</v>
          </cell>
          <cell r="K229">
            <v>0</v>
          </cell>
          <cell r="L229">
            <v>0</v>
          </cell>
          <cell r="M229">
            <v>0</v>
          </cell>
          <cell r="T229">
            <v>8152</v>
          </cell>
          <cell r="U229">
            <v>0</v>
          </cell>
        </row>
        <row r="230">
          <cell r="D230">
            <v>8156</v>
          </cell>
          <cell r="E230" t="str">
            <v>实收资本_所有者其他投入和减少资本</v>
          </cell>
          <cell r="F230">
            <v>0</v>
          </cell>
          <cell r="G230">
            <v>0</v>
          </cell>
          <cell r="H230">
            <v>0</v>
          </cell>
          <cell r="I230">
            <v>0</v>
          </cell>
          <cell r="J230">
            <v>0</v>
          </cell>
          <cell r="K230">
            <v>0</v>
          </cell>
          <cell r="L230">
            <v>0</v>
          </cell>
          <cell r="M230">
            <v>0</v>
          </cell>
          <cell r="T230">
            <v>8156</v>
          </cell>
          <cell r="U230">
            <v>0</v>
          </cell>
        </row>
        <row r="231">
          <cell r="D231">
            <v>8160</v>
          </cell>
          <cell r="E231" t="str">
            <v>实收资本_利润分配影响权益</v>
          </cell>
          <cell r="F231">
            <v>0</v>
          </cell>
          <cell r="G231">
            <v>0</v>
          </cell>
          <cell r="H231">
            <v>0</v>
          </cell>
          <cell r="I231">
            <v>0</v>
          </cell>
          <cell r="J231">
            <v>0</v>
          </cell>
          <cell r="K231">
            <v>0</v>
          </cell>
          <cell r="L231">
            <v>0</v>
          </cell>
          <cell r="M231">
            <v>0</v>
          </cell>
          <cell r="T231">
            <v>8160</v>
          </cell>
          <cell r="U231">
            <v>0</v>
          </cell>
        </row>
        <row r="232">
          <cell r="D232">
            <v>8161</v>
          </cell>
          <cell r="E232" t="str">
            <v>实收资本_提取盈余公积影响权益</v>
          </cell>
          <cell r="F232">
            <v>0</v>
          </cell>
          <cell r="G232">
            <v>0</v>
          </cell>
          <cell r="H232">
            <v>0</v>
          </cell>
          <cell r="I232">
            <v>0</v>
          </cell>
          <cell r="J232">
            <v>0</v>
          </cell>
          <cell r="K232">
            <v>0</v>
          </cell>
          <cell r="L232">
            <v>0</v>
          </cell>
          <cell r="M232">
            <v>0</v>
          </cell>
          <cell r="T232">
            <v>8161</v>
          </cell>
          <cell r="U232">
            <v>0</v>
          </cell>
        </row>
        <row r="233">
          <cell r="D233">
            <v>8162</v>
          </cell>
          <cell r="E233" t="str">
            <v>实收资本_提取一般风险准备影响权益</v>
          </cell>
          <cell r="F233">
            <v>0</v>
          </cell>
          <cell r="G233">
            <v>0</v>
          </cell>
          <cell r="H233">
            <v>0</v>
          </cell>
          <cell r="I233">
            <v>0</v>
          </cell>
          <cell r="J233">
            <v>0</v>
          </cell>
          <cell r="K233">
            <v>0</v>
          </cell>
          <cell r="L233">
            <v>0</v>
          </cell>
          <cell r="M233">
            <v>0</v>
          </cell>
          <cell r="T233">
            <v>8162</v>
          </cell>
          <cell r="U233">
            <v>0</v>
          </cell>
        </row>
        <row r="234">
          <cell r="D234">
            <v>8163</v>
          </cell>
          <cell r="E234" t="str">
            <v>实收资本_对所有者的分配影响权益</v>
          </cell>
          <cell r="F234">
            <v>0</v>
          </cell>
          <cell r="G234">
            <v>0</v>
          </cell>
          <cell r="H234">
            <v>0</v>
          </cell>
          <cell r="I234">
            <v>0</v>
          </cell>
          <cell r="J234">
            <v>0</v>
          </cell>
          <cell r="K234">
            <v>0</v>
          </cell>
          <cell r="L234">
            <v>0</v>
          </cell>
          <cell r="M234">
            <v>0</v>
          </cell>
          <cell r="T234">
            <v>8163</v>
          </cell>
          <cell r="U234">
            <v>0</v>
          </cell>
        </row>
        <row r="235">
          <cell r="D235">
            <v>8166</v>
          </cell>
          <cell r="E235" t="str">
            <v>实收资本_其他利润分配影响权益</v>
          </cell>
          <cell r="F235">
            <v>0</v>
          </cell>
          <cell r="G235">
            <v>0</v>
          </cell>
          <cell r="H235">
            <v>0</v>
          </cell>
          <cell r="I235">
            <v>0</v>
          </cell>
          <cell r="J235">
            <v>0</v>
          </cell>
          <cell r="K235">
            <v>0</v>
          </cell>
          <cell r="L235">
            <v>0</v>
          </cell>
          <cell r="M235">
            <v>0</v>
          </cell>
          <cell r="T235">
            <v>8166</v>
          </cell>
          <cell r="U235">
            <v>0</v>
          </cell>
        </row>
        <row r="236">
          <cell r="D236">
            <v>8170</v>
          </cell>
          <cell r="E236" t="str">
            <v>实收资本_所有者权益内部结转</v>
          </cell>
          <cell r="F236">
            <v>0</v>
          </cell>
          <cell r="G236">
            <v>0</v>
          </cell>
          <cell r="H236">
            <v>0</v>
          </cell>
          <cell r="I236">
            <v>0</v>
          </cell>
          <cell r="J236">
            <v>0</v>
          </cell>
          <cell r="K236">
            <v>0</v>
          </cell>
          <cell r="L236">
            <v>0</v>
          </cell>
          <cell r="M236">
            <v>0</v>
          </cell>
          <cell r="T236">
            <v>8170</v>
          </cell>
          <cell r="U236">
            <v>0</v>
          </cell>
        </row>
        <row r="237">
          <cell r="D237">
            <v>8171</v>
          </cell>
          <cell r="E237" t="str">
            <v>实收资本_资本公积转增</v>
          </cell>
          <cell r="F237">
            <v>0</v>
          </cell>
          <cell r="G237">
            <v>0</v>
          </cell>
          <cell r="H237">
            <v>0</v>
          </cell>
          <cell r="I237">
            <v>0</v>
          </cell>
          <cell r="J237">
            <v>0</v>
          </cell>
          <cell r="K237">
            <v>0</v>
          </cell>
          <cell r="L237">
            <v>0</v>
          </cell>
          <cell r="M237">
            <v>0</v>
          </cell>
          <cell r="T237">
            <v>8171</v>
          </cell>
          <cell r="U237">
            <v>0</v>
          </cell>
        </row>
        <row r="238">
          <cell r="D238">
            <v>8172</v>
          </cell>
          <cell r="E238" t="str">
            <v>实收资本_盈余公积转增</v>
          </cell>
          <cell r="F238">
            <v>0</v>
          </cell>
          <cell r="G238">
            <v>0</v>
          </cell>
          <cell r="H238">
            <v>0</v>
          </cell>
          <cell r="I238">
            <v>0</v>
          </cell>
          <cell r="J238">
            <v>0</v>
          </cell>
          <cell r="K238">
            <v>0</v>
          </cell>
          <cell r="L238">
            <v>0</v>
          </cell>
          <cell r="M238">
            <v>0</v>
          </cell>
          <cell r="T238">
            <v>8172</v>
          </cell>
          <cell r="U238">
            <v>0</v>
          </cell>
        </row>
        <row r="239">
          <cell r="D239">
            <v>8173</v>
          </cell>
          <cell r="E239" t="str">
            <v>实收资本_盈余公积弥补亏损影响权益</v>
          </cell>
          <cell r="F239">
            <v>0</v>
          </cell>
          <cell r="G239">
            <v>0</v>
          </cell>
          <cell r="H239">
            <v>0</v>
          </cell>
          <cell r="I239">
            <v>0</v>
          </cell>
          <cell r="J239">
            <v>0</v>
          </cell>
          <cell r="K239">
            <v>0</v>
          </cell>
          <cell r="L239">
            <v>0</v>
          </cell>
          <cell r="M239">
            <v>0</v>
          </cell>
          <cell r="T239">
            <v>8173</v>
          </cell>
          <cell r="U239">
            <v>0</v>
          </cell>
        </row>
        <row r="240">
          <cell r="D240">
            <v>8175</v>
          </cell>
          <cell r="E240" t="str">
            <v>实收资本_设定受益计划变动额结转留存收益</v>
          </cell>
          <cell r="F240">
            <v>0</v>
          </cell>
          <cell r="G240">
            <v>0</v>
          </cell>
          <cell r="H240">
            <v>0</v>
          </cell>
          <cell r="I240">
            <v>0</v>
          </cell>
          <cell r="J240">
            <v>0</v>
          </cell>
          <cell r="K240">
            <v>0</v>
          </cell>
          <cell r="L240">
            <v>0</v>
          </cell>
          <cell r="M240">
            <v>0</v>
          </cell>
          <cell r="T240">
            <v>8175</v>
          </cell>
          <cell r="U240">
            <v>0</v>
          </cell>
        </row>
        <row r="241">
          <cell r="D241">
            <v>8176</v>
          </cell>
          <cell r="E241" t="str">
            <v>实收资本_所有者权益其他内部结转</v>
          </cell>
          <cell r="F241">
            <v>0</v>
          </cell>
          <cell r="G241">
            <v>0</v>
          </cell>
          <cell r="H241">
            <v>0</v>
          </cell>
          <cell r="I241">
            <v>0</v>
          </cell>
          <cell r="J241">
            <v>0</v>
          </cell>
          <cell r="K241">
            <v>0</v>
          </cell>
          <cell r="L241">
            <v>0</v>
          </cell>
          <cell r="M241">
            <v>0</v>
          </cell>
          <cell r="T241">
            <v>8176</v>
          </cell>
          <cell r="U241">
            <v>0</v>
          </cell>
        </row>
        <row r="242">
          <cell r="D242">
            <v>8180</v>
          </cell>
          <cell r="E242" t="str">
            <v>实收资本_专项储备影响权益</v>
          </cell>
          <cell r="F242">
            <v>0</v>
          </cell>
          <cell r="G242">
            <v>0</v>
          </cell>
          <cell r="H242">
            <v>0</v>
          </cell>
          <cell r="I242">
            <v>0</v>
          </cell>
          <cell r="J242">
            <v>0</v>
          </cell>
          <cell r="K242">
            <v>0</v>
          </cell>
          <cell r="L242">
            <v>0</v>
          </cell>
          <cell r="M242">
            <v>0</v>
          </cell>
          <cell r="T242">
            <v>8180</v>
          </cell>
          <cell r="U242">
            <v>0</v>
          </cell>
        </row>
        <row r="243">
          <cell r="D243">
            <v>8181</v>
          </cell>
          <cell r="E243" t="str">
            <v>实收资本_专项储备本期提取</v>
          </cell>
          <cell r="F243">
            <v>0</v>
          </cell>
          <cell r="G243">
            <v>0</v>
          </cell>
          <cell r="H243">
            <v>0</v>
          </cell>
          <cell r="I243">
            <v>0</v>
          </cell>
          <cell r="J243">
            <v>0</v>
          </cell>
          <cell r="K243">
            <v>0</v>
          </cell>
          <cell r="L243">
            <v>0</v>
          </cell>
          <cell r="M243">
            <v>0</v>
          </cell>
          <cell r="T243">
            <v>8181</v>
          </cell>
          <cell r="U243">
            <v>0</v>
          </cell>
        </row>
        <row r="244">
          <cell r="D244">
            <v>8182</v>
          </cell>
          <cell r="E244" t="str">
            <v>实收资本_专项储备本期使用</v>
          </cell>
          <cell r="F244">
            <v>0</v>
          </cell>
          <cell r="G244">
            <v>0</v>
          </cell>
          <cell r="H244">
            <v>0</v>
          </cell>
          <cell r="I244">
            <v>0</v>
          </cell>
          <cell r="J244">
            <v>0</v>
          </cell>
          <cell r="K244">
            <v>0</v>
          </cell>
          <cell r="L244">
            <v>0</v>
          </cell>
          <cell r="M244">
            <v>0</v>
          </cell>
          <cell r="T244">
            <v>8182</v>
          </cell>
          <cell r="U244">
            <v>0</v>
          </cell>
        </row>
        <row r="245">
          <cell r="D245">
            <v>8196</v>
          </cell>
          <cell r="E245" t="str">
            <v>实收资本_本期其他增减变动</v>
          </cell>
          <cell r="F245">
            <v>0</v>
          </cell>
          <cell r="G245">
            <v>0</v>
          </cell>
          <cell r="H245">
            <v>0</v>
          </cell>
          <cell r="I245">
            <v>0</v>
          </cell>
          <cell r="J245">
            <v>0</v>
          </cell>
          <cell r="K245">
            <v>0</v>
          </cell>
          <cell r="L245">
            <v>0</v>
          </cell>
          <cell r="M245">
            <v>0</v>
          </cell>
          <cell r="T245">
            <v>8196</v>
          </cell>
          <cell r="U245">
            <v>0</v>
          </cell>
        </row>
        <row r="246">
          <cell r="D246">
            <v>8199</v>
          </cell>
          <cell r="E246" t="str">
            <v>实收资本_本期期末余额</v>
          </cell>
          <cell r="F246">
            <v>389015152</v>
          </cell>
          <cell r="G246">
            <v>0</v>
          </cell>
          <cell r="H246">
            <v>0</v>
          </cell>
          <cell r="I246">
            <v>389015152</v>
          </cell>
          <cell r="J246">
            <v>389015152</v>
          </cell>
          <cell r="K246">
            <v>0</v>
          </cell>
          <cell r="L246">
            <v>0</v>
          </cell>
          <cell r="M246">
            <v>389015152</v>
          </cell>
          <cell r="T246">
            <v>8199</v>
          </cell>
          <cell r="U246">
            <v>389015152</v>
          </cell>
        </row>
        <row r="247">
          <cell r="D247" t="str">
            <v>8b00</v>
          </cell>
          <cell r="E247" t="str">
            <v>其他权益工具（优先股）增减变动</v>
          </cell>
          <cell r="F247">
            <v>0</v>
          </cell>
          <cell r="G247">
            <v>0</v>
          </cell>
          <cell r="H247">
            <v>0</v>
          </cell>
          <cell r="I247">
            <v>0</v>
          </cell>
          <cell r="J247">
            <v>0</v>
          </cell>
          <cell r="K247">
            <v>0</v>
          </cell>
          <cell r="L247">
            <v>0</v>
          </cell>
          <cell r="M247">
            <v>0</v>
          </cell>
          <cell r="T247" t="str">
            <v>8b00</v>
          </cell>
          <cell r="U247">
            <v>0</v>
          </cell>
        </row>
        <row r="248">
          <cell r="D248" t="str">
            <v>8b01</v>
          </cell>
          <cell r="E248" t="str">
            <v>其他权益工具（优先股）_上年年末余额</v>
          </cell>
          <cell r="F248">
            <v>0</v>
          </cell>
          <cell r="G248">
            <v>0</v>
          </cell>
          <cell r="H248">
            <v>0</v>
          </cell>
          <cell r="I248">
            <v>0</v>
          </cell>
          <cell r="J248">
            <v>0</v>
          </cell>
          <cell r="K248">
            <v>0</v>
          </cell>
          <cell r="L248">
            <v>0</v>
          </cell>
          <cell r="M248">
            <v>0</v>
          </cell>
          <cell r="T248" t="str">
            <v>8b01</v>
          </cell>
          <cell r="U248">
            <v>0</v>
          </cell>
        </row>
        <row r="249">
          <cell r="D249" t="str">
            <v>8b02</v>
          </cell>
          <cell r="E249" t="str">
            <v>其他权益工具（优先股）_会计政策变更调整上年年末余额</v>
          </cell>
          <cell r="F249">
            <v>0</v>
          </cell>
          <cell r="G249">
            <v>0</v>
          </cell>
          <cell r="H249">
            <v>0</v>
          </cell>
          <cell r="I249">
            <v>0</v>
          </cell>
          <cell r="J249">
            <v>0</v>
          </cell>
          <cell r="K249">
            <v>0</v>
          </cell>
          <cell r="L249">
            <v>0</v>
          </cell>
          <cell r="M249">
            <v>0</v>
          </cell>
          <cell r="T249" t="str">
            <v>8b02</v>
          </cell>
          <cell r="U249">
            <v>0</v>
          </cell>
        </row>
        <row r="250">
          <cell r="D250" t="str">
            <v>8b03</v>
          </cell>
          <cell r="E250" t="str">
            <v>其他权益工具（优先股）_前期差错更正调整上年年末余额</v>
          </cell>
          <cell r="F250">
            <v>0</v>
          </cell>
          <cell r="G250">
            <v>0</v>
          </cell>
          <cell r="H250">
            <v>0</v>
          </cell>
          <cell r="I250">
            <v>0</v>
          </cell>
          <cell r="J250">
            <v>0</v>
          </cell>
          <cell r="K250">
            <v>0</v>
          </cell>
          <cell r="L250">
            <v>0</v>
          </cell>
          <cell r="M250">
            <v>0</v>
          </cell>
          <cell r="T250" t="str">
            <v>8b03</v>
          </cell>
          <cell r="U250">
            <v>0</v>
          </cell>
        </row>
        <row r="251">
          <cell r="D251" t="str">
            <v>8b04</v>
          </cell>
          <cell r="E251" t="str">
            <v>其他权益工具（优先股）_同一控制下企业合并调整上年年末余额</v>
          </cell>
          <cell r="F251">
            <v>0</v>
          </cell>
          <cell r="G251">
            <v>0</v>
          </cell>
          <cell r="H251">
            <v>0</v>
          </cell>
          <cell r="I251">
            <v>0</v>
          </cell>
          <cell r="J251">
            <v>0</v>
          </cell>
          <cell r="K251">
            <v>0</v>
          </cell>
          <cell r="L251">
            <v>0</v>
          </cell>
          <cell r="M251">
            <v>0</v>
          </cell>
          <cell r="T251" t="str">
            <v>8b04</v>
          </cell>
          <cell r="U251">
            <v>0</v>
          </cell>
        </row>
        <row r="252">
          <cell r="D252" t="str">
            <v>8b09</v>
          </cell>
          <cell r="E252" t="str">
            <v>其他权益工具（优先股）_其他原因调整上年年末余额</v>
          </cell>
          <cell r="F252">
            <v>0</v>
          </cell>
          <cell r="G252">
            <v>0</v>
          </cell>
          <cell r="H252">
            <v>0</v>
          </cell>
          <cell r="I252">
            <v>0</v>
          </cell>
          <cell r="J252">
            <v>0</v>
          </cell>
          <cell r="K252">
            <v>0</v>
          </cell>
          <cell r="L252">
            <v>0</v>
          </cell>
          <cell r="M252">
            <v>0</v>
          </cell>
          <cell r="T252" t="str">
            <v>8b09</v>
          </cell>
          <cell r="U252">
            <v>0</v>
          </cell>
        </row>
        <row r="253">
          <cell r="D253" t="str">
            <v>8b10</v>
          </cell>
          <cell r="E253" t="str">
            <v>其他权益工具（优先股）_本年年初余额</v>
          </cell>
          <cell r="F253">
            <v>0</v>
          </cell>
          <cell r="G253">
            <v>0</v>
          </cell>
          <cell r="H253">
            <v>0</v>
          </cell>
          <cell r="I253">
            <v>0</v>
          </cell>
          <cell r="J253">
            <v>0</v>
          </cell>
          <cell r="K253">
            <v>0</v>
          </cell>
          <cell r="L253">
            <v>0</v>
          </cell>
          <cell r="M253">
            <v>0</v>
          </cell>
          <cell r="T253" t="str">
            <v>8b10</v>
          </cell>
          <cell r="U253">
            <v>0</v>
          </cell>
        </row>
        <row r="254">
          <cell r="D254" t="str">
            <v>8b90</v>
          </cell>
          <cell r="E254" t="str">
            <v>其他权益工具（优先股）_本期增减变动金额</v>
          </cell>
          <cell r="F254">
            <v>0</v>
          </cell>
          <cell r="G254">
            <v>0</v>
          </cell>
          <cell r="H254">
            <v>0</v>
          </cell>
          <cell r="I254">
            <v>0</v>
          </cell>
          <cell r="J254">
            <v>0</v>
          </cell>
          <cell r="K254">
            <v>0</v>
          </cell>
          <cell r="L254">
            <v>0</v>
          </cell>
          <cell r="M254">
            <v>0</v>
          </cell>
          <cell r="T254" t="str">
            <v>8b90</v>
          </cell>
          <cell r="U254">
            <v>0</v>
          </cell>
        </row>
        <row r="255">
          <cell r="D255" t="str">
            <v>8b40</v>
          </cell>
          <cell r="E255" t="str">
            <v>其他权益工具（优先股）_综合收益总额增加权益</v>
          </cell>
          <cell r="F255">
            <v>0</v>
          </cell>
          <cell r="G255">
            <v>0</v>
          </cell>
          <cell r="H255">
            <v>0</v>
          </cell>
          <cell r="I255">
            <v>0</v>
          </cell>
          <cell r="J255">
            <v>0</v>
          </cell>
          <cell r="K255">
            <v>0</v>
          </cell>
          <cell r="L255">
            <v>0</v>
          </cell>
          <cell r="M255">
            <v>0</v>
          </cell>
          <cell r="T255" t="str">
            <v>8b40</v>
          </cell>
          <cell r="U255">
            <v>0</v>
          </cell>
        </row>
        <row r="256">
          <cell r="D256" t="str">
            <v>8b50</v>
          </cell>
          <cell r="E256" t="str">
            <v>其他权益工具（优先股）_所有者投入和减少资本影响权益</v>
          </cell>
          <cell r="F256">
            <v>0</v>
          </cell>
          <cell r="G256">
            <v>0</v>
          </cell>
          <cell r="H256">
            <v>0</v>
          </cell>
          <cell r="I256">
            <v>0</v>
          </cell>
          <cell r="J256">
            <v>0</v>
          </cell>
          <cell r="K256">
            <v>0</v>
          </cell>
          <cell r="L256">
            <v>0</v>
          </cell>
          <cell r="M256">
            <v>0</v>
          </cell>
          <cell r="T256" t="str">
            <v>8b50</v>
          </cell>
          <cell r="U256">
            <v>0</v>
          </cell>
        </row>
        <row r="257">
          <cell r="D257" t="str">
            <v>8b51</v>
          </cell>
          <cell r="E257" t="str">
            <v>其他权益工具（优先股）_所有者投入资本</v>
          </cell>
          <cell r="F257">
            <v>0</v>
          </cell>
          <cell r="G257">
            <v>0</v>
          </cell>
          <cell r="H257">
            <v>0</v>
          </cell>
          <cell r="I257">
            <v>0</v>
          </cell>
          <cell r="J257">
            <v>0</v>
          </cell>
          <cell r="K257">
            <v>0</v>
          </cell>
          <cell r="L257">
            <v>0</v>
          </cell>
          <cell r="M257">
            <v>0</v>
          </cell>
          <cell r="T257" t="str">
            <v>8b51</v>
          </cell>
          <cell r="U257">
            <v>0</v>
          </cell>
        </row>
        <row r="258">
          <cell r="D258" t="str">
            <v>8b53</v>
          </cell>
          <cell r="E258" t="str">
            <v>其他权益工具（优先股）_其他权益工具持有者投入资本</v>
          </cell>
          <cell r="F258">
            <v>0</v>
          </cell>
          <cell r="G258">
            <v>0</v>
          </cell>
          <cell r="H258">
            <v>0</v>
          </cell>
          <cell r="I258">
            <v>0</v>
          </cell>
          <cell r="J258">
            <v>0</v>
          </cell>
          <cell r="K258">
            <v>0</v>
          </cell>
          <cell r="L258">
            <v>0</v>
          </cell>
          <cell r="M258">
            <v>0</v>
          </cell>
          <cell r="T258" t="str">
            <v>8b53</v>
          </cell>
          <cell r="U258">
            <v>0</v>
          </cell>
        </row>
        <row r="259">
          <cell r="D259" t="str">
            <v>8b52</v>
          </cell>
          <cell r="E259" t="str">
            <v>其他权益工具（优先股）_股份支付</v>
          </cell>
          <cell r="F259">
            <v>0</v>
          </cell>
          <cell r="G259">
            <v>0</v>
          </cell>
          <cell r="H259">
            <v>0</v>
          </cell>
          <cell r="I259">
            <v>0</v>
          </cell>
          <cell r="J259">
            <v>0</v>
          </cell>
          <cell r="K259">
            <v>0</v>
          </cell>
          <cell r="L259">
            <v>0</v>
          </cell>
          <cell r="M259">
            <v>0</v>
          </cell>
          <cell r="T259" t="str">
            <v>8b52</v>
          </cell>
          <cell r="U259">
            <v>0</v>
          </cell>
        </row>
        <row r="260">
          <cell r="D260" t="str">
            <v>8b56</v>
          </cell>
          <cell r="E260" t="str">
            <v>其他权益工具（优先股）_所有者其他投入和减少资本</v>
          </cell>
          <cell r="F260">
            <v>0</v>
          </cell>
          <cell r="G260">
            <v>0</v>
          </cell>
          <cell r="H260">
            <v>0</v>
          </cell>
          <cell r="I260">
            <v>0</v>
          </cell>
          <cell r="J260">
            <v>0</v>
          </cell>
          <cell r="K260">
            <v>0</v>
          </cell>
          <cell r="L260">
            <v>0</v>
          </cell>
          <cell r="M260">
            <v>0</v>
          </cell>
          <cell r="T260" t="str">
            <v>8b56</v>
          </cell>
          <cell r="U260">
            <v>0</v>
          </cell>
        </row>
        <row r="261">
          <cell r="D261" t="str">
            <v>8b60</v>
          </cell>
          <cell r="E261" t="str">
            <v>其他权益工具（优先股）_利润分配影响权益</v>
          </cell>
          <cell r="F261">
            <v>0</v>
          </cell>
          <cell r="G261">
            <v>0</v>
          </cell>
          <cell r="H261">
            <v>0</v>
          </cell>
          <cell r="I261">
            <v>0</v>
          </cell>
          <cell r="J261">
            <v>0</v>
          </cell>
          <cell r="K261">
            <v>0</v>
          </cell>
          <cell r="L261">
            <v>0</v>
          </cell>
          <cell r="M261">
            <v>0</v>
          </cell>
          <cell r="T261" t="str">
            <v>8b60</v>
          </cell>
          <cell r="U261">
            <v>0</v>
          </cell>
        </row>
        <row r="262">
          <cell r="D262" t="str">
            <v>8b61</v>
          </cell>
          <cell r="E262" t="str">
            <v>其他权益工具（优先股）_提取盈余公积</v>
          </cell>
          <cell r="F262">
            <v>0</v>
          </cell>
          <cell r="G262">
            <v>0</v>
          </cell>
          <cell r="H262">
            <v>0</v>
          </cell>
          <cell r="I262">
            <v>0</v>
          </cell>
          <cell r="J262">
            <v>0</v>
          </cell>
          <cell r="K262">
            <v>0</v>
          </cell>
          <cell r="L262">
            <v>0</v>
          </cell>
          <cell r="M262">
            <v>0</v>
          </cell>
          <cell r="T262" t="str">
            <v>8b61</v>
          </cell>
          <cell r="U262">
            <v>0</v>
          </cell>
        </row>
        <row r="263">
          <cell r="D263" t="str">
            <v>8b62</v>
          </cell>
          <cell r="E263" t="str">
            <v>其他权益工具（优先股）_提取一般风险准备</v>
          </cell>
          <cell r="F263">
            <v>0</v>
          </cell>
          <cell r="G263">
            <v>0</v>
          </cell>
          <cell r="H263">
            <v>0</v>
          </cell>
          <cell r="I263">
            <v>0</v>
          </cell>
          <cell r="J263">
            <v>0</v>
          </cell>
          <cell r="K263">
            <v>0</v>
          </cell>
          <cell r="L263">
            <v>0</v>
          </cell>
          <cell r="M263">
            <v>0</v>
          </cell>
          <cell r="T263" t="str">
            <v>8b62</v>
          </cell>
          <cell r="U263">
            <v>0</v>
          </cell>
        </row>
        <row r="264">
          <cell r="D264" t="str">
            <v>8b63</v>
          </cell>
          <cell r="E264" t="str">
            <v>其他权益工具（优先股）_对所有者的分配</v>
          </cell>
          <cell r="F264">
            <v>0</v>
          </cell>
          <cell r="G264">
            <v>0</v>
          </cell>
          <cell r="H264">
            <v>0</v>
          </cell>
          <cell r="I264">
            <v>0</v>
          </cell>
          <cell r="J264">
            <v>0</v>
          </cell>
          <cell r="K264">
            <v>0</v>
          </cell>
          <cell r="L264">
            <v>0</v>
          </cell>
          <cell r="M264">
            <v>0</v>
          </cell>
          <cell r="T264" t="str">
            <v>8b63</v>
          </cell>
          <cell r="U264">
            <v>0</v>
          </cell>
        </row>
        <row r="265">
          <cell r="D265" t="str">
            <v>8b66</v>
          </cell>
          <cell r="E265" t="str">
            <v>其他权益工具（优先股）_其他利润分配</v>
          </cell>
          <cell r="F265">
            <v>0</v>
          </cell>
          <cell r="G265">
            <v>0</v>
          </cell>
          <cell r="H265">
            <v>0</v>
          </cell>
          <cell r="I265">
            <v>0</v>
          </cell>
          <cell r="J265">
            <v>0</v>
          </cell>
          <cell r="K265">
            <v>0</v>
          </cell>
          <cell r="L265">
            <v>0</v>
          </cell>
          <cell r="M265">
            <v>0</v>
          </cell>
          <cell r="T265" t="str">
            <v>8b66</v>
          </cell>
          <cell r="U265">
            <v>0</v>
          </cell>
        </row>
        <row r="266">
          <cell r="D266" t="str">
            <v>8b70</v>
          </cell>
          <cell r="E266" t="str">
            <v>其他权益工具（优先股）_所有者权益内部结转</v>
          </cell>
          <cell r="F266">
            <v>0</v>
          </cell>
          <cell r="G266">
            <v>0</v>
          </cell>
          <cell r="H266">
            <v>0</v>
          </cell>
          <cell r="I266">
            <v>0</v>
          </cell>
          <cell r="J266">
            <v>0</v>
          </cell>
          <cell r="K266">
            <v>0</v>
          </cell>
          <cell r="L266">
            <v>0</v>
          </cell>
          <cell r="M266">
            <v>0</v>
          </cell>
          <cell r="T266" t="str">
            <v>8b70</v>
          </cell>
          <cell r="U266">
            <v>0</v>
          </cell>
        </row>
        <row r="267">
          <cell r="D267" t="str">
            <v>8b71</v>
          </cell>
          <cell r="E267" t="str">
            <v>其他权益工具（优先股）_资本公积转增资本</v>
          </cell>
          <cell r="F267">
            <v>0</v>
          </cell>
          <cell r="G267">
            <v>0</v>
          </cell>
          <cell r="H267">
            <v>0</v>
          </cell>
          <cell r="I267">
            <v>0</v>
          </cell>
          <cell r="J267">
            <v>0</v>
          </cell>
          <cell r="K267">
            <v>0</v>
          </cell>
          <cell r="L267">
            <v>0</v>
          </cell>
          <cell r="M267">
            <v>0</v>
          </cell>
          <cell r="T267" t="str">
            <v>8b71</v>
          </cell>
          <cell r="U267">
            <v>0</v>
          </cell>
        </row>
        <row r="268">
          <cell r="D268" t="str">
            <v>8b72</v>
          </cell>
          <cell r="E268" t="str">
            <v>其他权益工具（优先股）_盈余公积转增资本</v>
          </cell>
          <cell r="F268">
            <v>0</v>
          </cell>
          <cell r="G268">
            <v>0</v>
          </cell>
          <cell r="H268">
            <v>0</v>
          </cell>
          <cell r="I268">
            <v>0</v>
          </cell>
          <cell r="J268">
            <v>0</v>
          </cell>
          <cell r="K268">
            <v>0</v>
          </cell>
          <cell r="L268">
            <v>0</v>
          </cell>
          <cell r="M268">
            <v>0</v>
          </cell>
          <cell r="T268" t="str">
            <v>8b72</v>
          </cell>
          <cell r="U268">
            <v>0</v>
          </cell>
        </row>
        <row r="269">
          <cell r="D269" t="str">
            <v>8b73</v>
          </cell>
          <cell r="E269" t="str">
            <v>其他权益工具（优先股）_盈余公积弥补亏损</v>
          </cell>
          <cell r="F269">
            <v>0</v>
          </cell>
          <cell r="G269">
            <v>0</v>
          </cell>
          <cell r="H269">
            <v>0</v>
          </cell>
          <cell r="I269">
            <v>0</v>
          </cell>
          <cell r="J269">
            <v>0</v>
          </cell>
          <cell r="K269">
            <v>0</v>
          </cell>
          <cell r="L269">
            <v>0</v>
          </cell>
          <cell r="M269">
            <v>0</v>
          </cell>
          <cell r="T269" t="str">
            <v>8b73</v>
          </cell>
          <cell r="U269">
            <v>0</v>
          </cell>
        </row>
        <row r="270">
          <cell r="D270" t="str">
            <v>8b75</v>
          </cell>
          <cell r="E270" t="str">
            <v>其他权益工具（优先股）_设定受益计划变动额结转留存收益</v>
          </cell>
          <cell r="F270">
            <v>0</v>
          </cell>
          <cell r="G270">
            <v>0</v>
          </cell>
          <cell r="H270">
            <v>0</v>
          </cell>
          <cell r="I270">
            <v>0</v>
          </cell>
          <cell r="J270">
            <v>0</v>
          </cell>
          <cell r="K270">
            <v>0</v>
          </cell>
          <cell r="L270">
            <v>0</v>
          </cell>
          <cell r="M270">
            <v>0</v>
          </cell>
          <cell r="T270" t="str">
            <v>8b75</v>
          </cell>
          <cell r="U270">
            <v>0</v>
          </cell>
        </row>
        <row r="271">
          <cell r="D271" t="str">
            <v>8b76</v>
          </cell>
          <cell r="E271" t="str">
            <v>其他权益工具（优先股）_所有者权益其他内部结转</v>
          </cell>
          <cell r="F271">
            <v>0</v>
          </cell>
          <cell r="G271">
            <v>0</v>
          </cell>
          <cell r="H271">
            <v>0</v>
          </cell>
          <cell r="I271">
            <v>0</v>
          </cell>
          <cell r="J271">
            <v>0</v>
          </cell>
          <cell r="K271">
            <v>0</v>
          </cell>
          <cell r="L271">
            <v>0</v>
          </cell>
          <cell r="M271">
            <v>0</v>
          </cell>
          <cell r="T271" t="str">
            <v>8b76</v>
          </cell>
          <cell r="U271">
            <v>0</v>
          </cell>
        </row>
        <row r="272">
          <cell r="D272" t="str">
            <v>8b80</v>
          </cell>
          <cell r="E272" t="str">
            <v>其他权益工具（优先股）_专项储备影响权益</v>
          </cell>
          <cell r="F272">
            <v>0</v>
          </cell>
          <cell r="G272">
            <v>0</v>
          </cell>
          <cell r="H272">
            <v>0</v>
          </cell>
          <cell r="I272">
            <v>0</v>
          </cell>
          <cell r="J272">
            <v>0</v>
          </cell>
          <cell r="K272">
            <v>0</v>
          </cell>
          <cell r="L272">
            <v>0</v>
          </cell>
          <cell r="M272">
            <v>0</v>
          </cell>
          <cell r="T272" t="str">
            <v>8b80</v>
          </cell>
          <cell r="U272">
            <v>0</v>
          </cell>
        </row>
        <row r="273">
          <cell r="D273" t="str">
            <v>8b81</v>
          </cell>
          <cell r="E273" t="str">
            <v>其他权益工具（优先股）_专项储备本期提取</v>
          </cell>
          <cell r="F273">
            <v>0</v>
          </cell>
          <cell r="G273">
            <v>0</v>
          </cell>
          <cell r="H273">
            <v>0</v>
          </cell>
          <cell r="I273">
            <v>0</v>
          </cell>
          <cell r="J273">
            <v>0</v>
          </cell>
          <cell r="K273">
            <v>0</v>
          </cell>
          <cell r="L273">
            <v>0</v>
          </cell>
          <cell r="M273">
            <v>0</v>
          </cell>
          <cell r="T273" t="str">
            <v>8b81</v>
          </cell>
          <cell r="U273">
            <v>0</v>
          </cell>
        </row>
        <row r="274">
          <cell r="D274" t="str">
            <v>8b82</v>
          </cell>
          <cell r="E274" t="str">
            <v>其他权益工具（优先股）_专项储备本期使用</v>
          </cell>
          <cell r="F274">
            <v>0</v>
          </cell>
          <cell r="G274">
            <v>0</v>
          </cell>
          <cell r="H274">
            <v>0</v>
          </cell>
          <cell r="I274">
            <v>0</v>
          </cell>
          <cell r="J274">
            <v>0</v>
          </cell>
          <cell r="K274">
            <v>0</v>
          </cell>
          <cell r="L274">
            <v>0</v>
          </cell>
          <cell r="M274">
            <v>0</v>
          </cell>
          <cell r="T274" t="str">
            <v>8b82</v>
          </cell>
          <cell r="U274">
            <v>0</v>
          </cell>
        </row>
        <row r="275">
          <cell r="D275" t="str">
            <v>8b96</v>
          </cell>
          <cell r="E275" t="str">
            <v>其他权益工具（优先股）_本期其他增减变动</v>
          </cell>
          <cell r="F275">
            <v>0</v>
          </cell>
          <cell r="G275">
            <v>0</v>
          </cell>
          <cell r="H275">
            <v>0</v>
          </cell>
          <cell r="I275">
            <v>0</v>
          </cell>
          <cell r="J275">
            <v>0</v>
          </cell>
          <cell r="K275">
            <v>0</v>
          </cell>
          <cell r="L275">
            <v>0</v>
          </cell>
          <cell r="M275">
            <v>0</v>
          </cell>
          <cell r="T275" t="str">
            <v>8b96</v>
          </cell>
          <cell r="U275">
            <v>0</v>
          </cell>
        </row>
        <row r="276">
          <cell r="D276" t="str">
            <v>8b99</v>
          </cell>
          <cell r="E276" t="str">
            <v>其他权益工具（优先股）_本期期末余额</v>
          </cell>
          <cell r="F276">
            <v>0</v>
          </cell>
          <cell r="G276">
            <v>0</v>
          </cell>
          <cell r="H276">
            <v>0</v>
          </cell>
          <cell r="I276">
            <v>0</v>
          </cell>
          <cell r="J276">
            <v>0</v>
          </cell>
          <cell r="K276">
            <v>0</v>
          </cell>
          <cell r="L276">
            <v>0</v>
          </cell>
          <cell r="M276">
            <v>0</v>
          </cell>
          <cell r="T276" t="str">
            <v>8b99</v>
          </cell>
          <cell r="U276">
            <v>0</v>
          </cell>
        </row>
        <row r="277">
          <cell r="D277" t="str">
            <v>8c00</v>
          </cell>
          <cell r="E277" t="str">
            <v>其他权益工具（永续债）增减变动</v>
          </cell>
          <cell r="F277">
            <v>0</v>
          </cell>
          <cell r="G277">
            <v>0</v>
          </cell>
          <cell r="H277">
            <v>0</v>
          </cell>
          <cell r="I277">
            <v>0</v>
          </cell>
          <cell r="J277">
            <v>0</v>
          </cell>
          <cell r="K277">
            <v>0</v>
          </cell>
          <cell r="L277">
            <v>0</v>
          </cell>
          <cell r="M277">
            <v>0</v>
          </cell>
          <cell r="T277" t="str">
            <v>8c00</v>
          </cell>
          <cell r="U277">
            <v>0</v>
          </cell>
        </row>
        <row r="278">
          <cell r="D278" t="str">
            <v>8c01</v>
          </cell>
          <cell r="E278" t="str">
            <v>其他权益工具（永续债）_上年年末余额</v>
          </cell>
          <cell r="F278">
            <v>0</v>
          </cell>
          <cell r="G278">
            <v>0</v>
          </cell>
          <cell r="H278">
            <v>0</v>
          </cell>
          <cell r="I278">
            <v>0</v>
          </cell>
          <cell r="J278">
            <v>0</v>
          </cell>
          <cell r="K278">
            <v>0</v>
          </cell>
          <cell r="L278">
            <v>0</v>
          </cell>
          <cell r="M278">
            <v>0</v>
          </cell>
          <cell r="T278" t="str">
            <v>8c01</v>
          </cell>
          <cell r="U278">
            <v>0</v>
          </cell>
        </row>
        <row r="279">
          <cell r="D279" t="str">
            <v>8c02</v>
          </cell>
          <cell r="E279" t="str">
            <v>其他权益工具（永续债）_会计政策变更调整上年年末余额</v>
          </cell>
          <cell r="F279">
            <v>0</v>
          </cell>
          <cell r="G279">
            <v>0</v>
          </cell>
          <cell r="H279">
            <v>0</v>
          </cell>
          <cell r="I279">
            <v>0</v>
          </cell>
          <cell r="J279">
            <v>0</v>
          </cell>
          <cell r="K279">
            <v>0</v>
          </cell>
          <cell r="L279">
            <v>0</v>
          </cell>
          <cell r="M279">
            <v>0</v>
          </cell>
          <cell r="T279" t="str">
            <v>8c02</v>
          </cell>
          <cell r="U279">
            <v>0</v>
          </cell>
        </row>
        <row r="280">
          <cell r="D280" t="str">
            <v>8c03</v>
          </cell>
          <cell r="E280" t="str">
            <v>其他权益工具（永续债）_前期差错更正调整上年年末余额</v>
          </cell>
          <cell r="F280">
            <v>0</v>
          </cell>
          <cell r="G280">
            <v>0</v>
          </cell>
          <cell r="H280">
            <v>0</v>
          </cell>
          <cell r="I280">
            <v>0</v>
          </cell>
          <cell r="J280">
            <v>0</v>
          </cell>
          <cell r="K280">
            <v>0</v>
          </cell>
          <cell r="L280">
            <v>0</v>
          </cell>
          <cell r="M280">
            <v>0</v>
          </cell>
          <cell r="T280" t="str">
            <v>8c03</v>
          </cell>
          <cell r="U280">
            <v>0</v>
          </cell>
        </row>
        <row r="281">
          <cell r="D281" t="str">
            <v>8c04</v>
          </cell>
          <cell r="E281" t="str">
            <v>其他权益工具（永续债）_同一控制下企业合并调整上年年末余额</v>
          </cell>
          <cell r="F281">
            <v>0</v>
          </cell>
          <cell r="G281">
            <v>0</v>
          </cell>
          <cell r="H281">
            <v>0</v>
          </cell>
          <cell r="I281">
            <v>0</v>
          </cell>
          <cell r="J281">
            <v>0</v>
          </cell>
          <cell r="K281">
            <v>0</v>
          </cell>
          <cell r="L281">
            <v>0</v>
          </cell>
          <cell r="M281">
            <v>0</v>
          </cell>
          <cell r="T281" t="str">
            <v>8c04</v>
          </cell>
          <cell r="U281">
            <v>0</v>
          </cell>
        </row>
        <row r="282">
          <cell r="D282" t="str">
            <v>8c09</v>
          </cell>
          <cell r="E282" t="str">
            <v>其他权益工具（永续债）_其他原因调整上年年末余额</v>
          </cell>
          <cell r="F282">
            <v>0</v>
          </cell>
          <cell r="G282">
            <v>0</v>
          </cell>
          <cell r="H282">
            <v>0</v>
          </cell>
          <cell r="I282">
            <v>0</v>
          </cell>
          <cell r="J282">
            <v>0</v>
          </cell>
          <cell r="K282">
            <v>0</v>
          </cell>
          <cell r="L282">
            <v>0</v>
          </cell>
          <cell r="M282">
            <v>0</v>
          </cell>
          <cell r="T282" t="str">
            <v>8c09</v>
          </cell>
          <cell r="U282">
            <v>0</v>
          </cell>
        </row>
        <row r="283">
          <cell r="D283" t="str">
            <v>8c10</v>
          </cell>
          <cell r="E283" t="str">
            <v>其他权益工具（永续债）_本年年初余额</v>
          </cell>
          <cell r="F283">
            <v>0</v>
          </cell>
          <cell r="G283">
            <v>0</v>
          </cell>
          <cell r="H283">
            <v>0</v>
          </cell>
          <cell r="I283">
            <v>0</v>
          </cell>
          <cell r="J283">
            <v>0</v>
          </cell>
          <cell r="K283">
            <v>0</v>
          </cell>
          <cell r="L283">
            <v>0</v>
          </cell>
          <cell r="M283">
            <v>0</v>
          </cell>
          <cell r="T283" t="str">
            <v>8c10</v>
          </cell>
          <cell r="U283">
            <v>0</v>
          </cell>
        </row>
        <row r="284">
          <cell r="D284" t="str">
            <v>8c90</v>
          </cell>
          <cell r="E284" t="str">
            <v>其他权益工具（永续债）_本期增减变动金额</v>
          </cell>
          <cell r="F284">
            <v>0</v>
          </cell>
          <cell r="G284">
            <v>0</v>
          </cell>
          <cell r="H284">
            <v>0</v>
          </cell>
          <cell r="I284">
            <v>0</v>
          </cell>
          <cell r="J284">
            <v>0</v>
          </cell>
          <cell r="K284">
            <v>0</v>
          </cell>
          <cell r="L284">
            <v>0</v>
          </cell>
          <cell r="M284">
            <v>0</v>
          </cell>
          <cell r="T284" t="str">
            <v>8c90</v>
          </cell>
          <cell r="U284">
            <v>0</v>
          </cell>
        </row>
        <row r="285">
          <cell r="D285" t="str">
            <v>8c40</v>
          </cell>
          <cell r="E285" t="str">
            <v>其他权益工具（永续债）_综合收益总额增加权益</v>
          </cell>
          <cell r="F285">
            <v>0</v>
          </cell>
          <cell r="G285">
            <v>0</v>
          </cell>
          <cell r="H285">
            <v>0</v>
          </cell>
          <cell r="I285">
            <v>0</v>
          </cell>
          <cell r="J285">
            <v>0</v>
          </cell>
          <cell r="K285">
            <v>0</v>
          </cell>
          <cell r="L285">
            <v>0</v>
          </cell>
          <cell r="M285">
            <v>0</v>
          </cell>
          <cell r="T285" t="str">
            <v>8c40</v>
          </cell>
          <cell r="U285">
            <v>0</v>
          </cell>
        </row>
        <row r="286">
          <cell r="D286" t="str">
            <v>8c50</v>
          </cell>
          <cell r="E286" t="str">
            <v>其他权益工具（永续债）_所有者投入和减少资本影响权益</v>
          </cell>
          <cell r="F286">
            <v>0</v>
          </cell>
          <cell r="G286">
            <v>0</v>
          </cell>
          <cell r="H286">
            <v>0</v>
          </cell>
          <cell r="I286">
            <v>0</v>
          </cell>
          <cell r="J286">
            <v>0</v>
          </cell>
          <cell r="K286">
            <v>0</v>
          </cell>
          <cell r="L286">
            <v>0</v>
          </cell>
          <cell r="M286">
            <v>0</v>
          </cell>
          <cell r="T286" t="str">
            <v>8c50</v>
          </cell>
          <cell r="U286">
            <v>0</v>
          </cell>
        </row>
        <row r="287">
          <cell r="D287" t="str">
            <v>8c51</v>
          </cell>
          <cell r="E287" t="str">
            <v>其他权益工具（永续债）_所有者投入资本</v>
          </cell>
          <cell r="F287">
            <v>0</v>
          </cell>
          <cell r="G287">
            <v>0</v>
          </cell>
          <cell r="H287">
            <v>0</v>
          </cell>
          <cell r="I287">
            <v>0</v>
          </cell>
          <cell r="J287">
            <v>0</v>
          </cell>
          <cell r="K287">
            <v>0</v>
          </cell>
          <cell r="L287">
            <v>0</v>
          </cell>
          <cell r="M287">
            <v>0</v>
          </cell>
          <cell r="T287" t="str">
            <v>8c51</v>
          </cell>
          <cell r="U287">
            <v>0</v>
          </cell>
        </row>
        <row r="288">
          <cell r="D288" t="str">
            <v>8c53</v>
          </cell>
          <cell r="E288" t="str">
            <v>其他权益工具（永续债）_其他权益工具持有者投入资本</v>
          </cell>
          <cell r="F288">
            <v>0</v>
          </cell>
          <cell r="G288">
            <v>0</v>
          </cell>
          <cell r="H288">
            <v>0</v>
          </cell>
          <cell r="I288">
            <v>0</v>
          </cell>
          <cell r="J288">
            <v>0</v>
          </cell>
          <cell r="K288">
            <v>0</v>
          </cell>
          <cell r="L288">
            <v>0</v>
          </cell>
          <cell r="M288">
            <v>0</v>
          </cell>
          <cell r="T288" t="str">
            <v>8c53</v>
          </cell>
          <cell r="U288">
            <v>0</v>
          </cell>
        </row>
        <row r="289">
          <cell r="D289" t="str">
            <v>8c52</v>
          </cell>
          <cell r="E289" t="str">
            <v>其他权益工具（永续债）_股份支付</v>
          </cell>
          <cell r="F289">
            <v>0</v>
          </cell>
          <cell r="G289">
            <v>0</v>
          </cell>
          <cell r="H289">
            <v>0</v>
          </cell>
          <cell r="I289">
            <v>0</v>
          </cell>
          <cell r="J289">
            <v>0</v>
          </cell>
          <cell r="K289">
            <v>0</v>
          </cell>
          <cell r="L289">
            <v>0</v>
          </cell>
          <cell r="M289">
            <v>0</v>
          </cell>
          <cell r="T289" t="str">
            <v>8c52</v>
          </cell>
          <cell r="U289">
            <v>0</v>
          </cell>
        </row>
        <row r="290">
          <cell r="D290" t="str">
            <v>8c56</v>
          </cell>
          <cell r="E290" t="str">
            <v>其他权益工具（永续债）_所有者其他投入和减少资本</v>
          </cell>
          <cell r="F290">
            <v>0</v>
          </cell>
          <cell r="G290">
            <v>0</v>
          </cell>
          <cell r="H290">
            <v>0</v>
          </cell>
          <cell r="I290">
            <v>0</v>
          </cell>
          <cell r="J290">
            <v>0</v>
          </cell>
          <cell r="K290">
            <v>0</v>
          </cell>
          <cell r="L290">
            <v>0</v>
          </cell>
          <cell r="M290">
            <v>0</v>
          </cell>
          <cell r="T290" t="str">
            <v>8c56</v>
          </cell>
          <cell r="U290">
            <v>0</v>
          </cell>
        </row>
        <row r="291">
          <cell r="D291" t="str">
            <v>8c60</v>
          </cell>
          <cell r="E291" t="str">
            <v>其他权益工具（永续债）_利润分配影响权益</v>
          </cell>
          <cell r="F291">
            <v>0</v>
          </cell>
          <cell r="G291">
            <v>0</v>
          </cell>
          <cell r="H291">
            <v>0</v>
          </cell>
          <cell r="I291">
            <v>0</v>
          </cell>
          <cell r="J291">
            <v>0</v>
          </cell>
          <cell r="K291">
            <v>0</v>
          </cell>
          <cell r="L291">
            <v>0</v>
          </cell>
          <cell r="M291">
            <v>0</v>
          </cell>
          <cell r="T291" t="str">
            <v>8c60</v>
          </cell>
          <cell r="U291">
            <v>0</v>
          </cell>
        </row>
        <row r="292">
          <cell r="D292" t="str">
            <v>8c61</v>
          </cell>
          <cell r="E292" t="str">
            <v>其他权益工具（永续债）_提取盈余公积</v>
          </cell>
          <cell r="F292">
            <v>0</v>
          </cell>
          <cell r="G292">
            <v>0</v>
          </cell>
          <cell r="H292">
            <v>0</v>
          </cell>
          <cell r="I292">
            <v>0</v>
          </cell>
          <cell r="J292">
            <v>0</v>
          </cell>
          <cell r="K292">
            <v>0</v>
          </cell>
          <cell r="L292">
            <v>0</v>
          </cell>
          <cell r="M292">
            <v>0</v>
          </cell>
          <cell r="T292" t="str">
            <v>8c61</v>
          </cell>
          <cell r="U292">
            <v>0</v>
          </cell>
        </row>
        <row r="293">
          <cell r="D293" t="str">
            <v>8c62</v>
          </cell>
          <cell r="E293" t="str">
            <v>其他权益工具（永续债）_提取一般风险准备</v>
          </cell>
          <cell r="F293">
            <v>0</v>
          </cell>
          <cell r="G293">
            <v>0</v>
          </cell>
          <cell r="H293">
            <v>0</v>
          </cell>
          <cell r="I293">
            <v>0</v>
          </cell>
          <cell r="J293">
            <v>0</v>
          </cell>
          <cell r="K293">
            <v>0</v>
          </cell>
          <cell r="L293">
            <v>0</v>
          </cell>
          <cell r="M293">
            <v>0</v>
          </cell>
          <cell r="T293" t="str">
            <v>8c62</v>
          </cell>
          <cell r="U293">
            <v>0</v>
          </cell>
        </row>
        <row r="294">
          <cell r="D294" t="str">
            <v>8c63</v>
          </cell>
          <cell r="E294" t="str">
            <v>其他权益工具（永续债）_对所有者的分配</v>
          </cell>
          <cell r="F294">
            <v>0</v>
          </cell>
          <cell r="G294">
            <v>0</v>
          </cell>
          <cell r="H294">
            <v>0</v>
          </cell>
          <cell r="I294">
            <v>0</v>
          </cell>
          <cell r="J294">
            <v>0</v>
          </cell>
          <cell r="K294">
            <v>0</v>
          </cell>
          <cell r="L294">
            <v>0</v>
          </cell>
          <cell r="M294">
            <v>0</v>
          </cell>
          <cell r="T294" t="str">
            <v>8c63</v>
          </cell>
          <cell r="U294">
            <v>0</v>
          </cell>
        </row>
        <row r="295">
          <cell r="D295" t="str">
            <v>8c66</v>
          </cell>
          <cell r="E295" t="str">
            <v>其他权益工具（永续债）_其他利润分配</v>
          </cell>
          <cell r="F295">
            <v>0</v>
          </cell>
          <cell r="G295">
            <v>0</v>
          </cell>
          <cell r="H295">
            <v>0</v>
          </cell>
          <cell r="I295">
            <v>0</v>
          </cell>
          <cell r="J295">
            <v>0</v>
          </cell>
          <cell r="K295">
            <v>0</v>
          </cell>
          <cell r="L295">
            <v>0</v>
          </cell>
          <cell r="M295">
            <v>0</v>
          </cell>
          <cell r="T295" t="str">
            <v>8c66</v>
          </cell>
          <cell r="U295">
            <v>0</v>
          </cell>
        </row>
        <row r="296">
          <cell r="D296" t="str">
            <v>8c70</v>
          </cell>
          <cell r="E296" t="str">
            <v>其他权益工具（永续债）_所有者权益内部结转</v>
          </cell>
          <cell r="F296">
            <v>0</v>
          </cell>
          <cell r="G296">
            <v>0</v>
          </cell>
          <cell r="H296">
            <v>0</v>
          </cell>
          <cell r="I296">
            <v>0</v>
          </cell>
          <cell r="J296">
            <v>0</v>
          </cell>
          <cell r="K296">
            <v>0</v>
          </cell>
          <cell r="L296">
            <v>0</v>
          </cell>
          <cell r="M296">
            <v>0</v>
          </cell>
          <cell r="T296" t="str">
            <v>8c70</v>
          </cell>
          <cell r="U296">
            <v>0</v>
          </cell>
        </row>
        <row r="297">
          <cell r="D297" t="str">
            <v>8c71</v>
          </cell>
          <cell r="E297" t="str">
            <v>其他权益工具（永续债）_资本公积转增资本</v>
          </cell>
          <cell r="F297">
            <v>0</v>
          </cell>
          <cell r="G297">
            <v>0</v>
          </cell>
          <cell r="H297">
            <v>0</v>
          </cell>
          <cell r="I297">
            <v>0</v>
          </cell>
          <cell r="J297">
            <v>0</v>
          </cell>
          <cell r="K297">
            <v>0</v>
          </cell>
          <cell r="L297">
            <v>0</v>
          </cell>
          <cell r="M297">
            <v>0</v>
          </cell>
          <cell r="T297" t="str">
            <v>8c71</v>
          </cell>
          <cell r="U297">
            <v>0</v>
          </cell>
        </row>
        <row r="298">
          <cell r="D298" t="str">
            <v>8c72</v>
          </cell>
          <cell r="E298" t="str">
            <v>其他权益工具（永续债）_盈余公积转增资本</v>
          </cell>
          <cell r="F298">
            <v>0</v>
          </cell>
          <cell r="G298">
            <v>0</v>
          </cell>
          <cell r="H298">
            <v>0</v>
          </cell>
          <cell r="I298">
            <v>0</v>
          </cell>
          <cell r="J298">
            <v>0</v>
          </cell>
          <cell r="K298">
            <v>0</v>
          </cell>
          <cell r="L298">
            <v>0</v>
          </cell>
          <cell r="M298">
            <v>0</v>
          </cell>
          <cell r="T298" t="str">
            <v>8c72</v>
          </cell>
          <cell r="U298">
            <v>0</v>
          </cell>
        </row>
        <row r="299">
          <cell r="D299" t="str">
            <v>8c73</v>
          </cell>
          <cell r="E299" t="str">
            <v>其他权益工具（永续债）_盈余公积弥补亏损</v>
          </cell>
          <cell r="F299">
            <v>0</v>
          </cell>
          <cell r="G299">
            <v>0</v>
          </cell>
          <cell r="H299">
            <v>0</v>
          </cell>
          <cell r="I299">
            <v>0</v>
          </cell>
          <cell r="J299">
            <v>0</v>
          </cell>
          <cell r="K299">
            <v>0</v>
          </cell>
          <cell r="L299">
            <v>0</v>
          </cell>
          <cell r="M299">
            <v>0</v>
          </cell>
          <cell r="T299" t="str">
            <v>8c73</v>
          </cell>
          <cell r="U299">
            <v>0</v>
          </cell>
        </row>
        <row r="300">
          <cell r="D300" t="str">
            <v>8c75</v>
          </cell>
          <cell r="E300" t="str">
            <v>其他权益工具（永续债）_设定受益计划变动额结转留存收益</v>
          </cell>
          <cell r="F300">
            <v>0</v>
          </cell>
          <cell r="G300">
            <v>0</v>
          </cell>
          <cell r="H300">
            <v>0</v>
          </cell>
          <cell r="I300">
            <v>0</v>
          </cell>
          <cell r="J300">
            <v>0</v>
          </cell>
          <cell r="K300">
            <v>0</v>
          </cell>
          <cell r="L300">
            <v>0</v>
          </cell>
          <cell r="M300">
            <v>0</v>
          </cell>
          <cell r="T300" t="str">
            <v>8c75</v>
          </cell>
          <cell r="U300">
            <v>0</v>
          </cell>
        </row>
        <row r="301">
          <cell r="D301" t="str">
            <v>8c76</v>
          </cell>
          <cell r="E301" t="str">
            <v>其他权益工具（永续债）_所有者权益其他内部结转</v>
          </cell>
          <cell r="F301">
            <v>0</v>
          </cell>
          <cell r="G301">
            <v>0</v>
          </cell>
          <cell r="H301">
            <v>0</v>
          </cell>
          <cell r="I301">
            <v>0</v>
          </cell>
          <cell r="J301">
            <v>0</v>
          </cell>
          <cell r="K301">
            <v>0</v>
          </cell>
          <cell r="L301">
            <v>0</v>
          </cell>
          <cell r="M301">
            <v>0</v>
          </cell>
          <cell r="T301" t="str">
            <v>8c76</v>
          </cell>
          <cell r="U301">
            <v>0</v>
          </cell>
        </row>
        <row r="302">
          <cell r="D302" t="str">
            <v>8c80</v>
          </cell>
          <cell r="E302" t="str">
            <v>其他权益工具（永续债）_专项储备影响权益</v>
          </cell>
          <cell r="F302">
            <v>0</v>
          </cell>
          <cell r="G302">
            <v>0</v>
          </cell>
          <cell r="H302">
            <v>0</v>
          </cell>
          <cell r="I302">
            <v>0</v>
          </cell>
          <cell r="J302">
            <v>0</v>
          </cell>
          <cell r="K302">
            <v>0</v>
          </cell>
          <cell r="L302">
            <v>0</v>
          </cell>
          <cell r="M302">
            <v>0</v>
          </cell>
          <cell r="T302" t="str">
            <v>8c80</v>
          </cell>
          <cell r="U302">
            <v>0</v>
          </cell>
        </row>
        <row r="303">
          <cell r="D303" t="str">
            <v>8c81</v>
          </cell>
          <cell r="E303" t="str">
            <v>其他权益工具（永续债）_专项储备本期提取</v>
          </cell>
          <cell r="F303">
            <v>0</v>
          </cell>
          <cell r="G303">
            <v>0</v>
          </cell>
          <cell r="H303">
            <v>0</v>
          </cell>
          <cell r="I303">
            <v>0</v>
          </cell>
          <cell r="J303">
            <v>0</v>
          </cell>
          <cell r="K303">
            <v>0</v>
          </cell>
          <cell r="L303">
            <v>0</v>
          </cell>
          <cell r="M303">
            <v>0</v>
          </cell>
          <cell r="T303" t="str">
            <v>8c81</v>
          </cell>
          <cell r="U303">
            <v>0</v>
          </cell>
        </row>
        <row r="304">
          <cell r="D304" t="str">
            <v>8c82</v>
          </cell>
          <cell r="E304" t="str">
            <v>其他权益工具（永续债）_专项储备本期使用</v>
          </cell>
          <cell r="F304">
            <v>0</v>
          </cell>
          <cell r="G304">
            <v>0</v>
          </cell>
          <cell r="H304">
            <v>0</v>
          </cell>
          <cell r="I304">
            <v>0</v>
          </cell>
          <cell r="J304">
            <v>0</v>
          </cell>
          <cell r="K304">
            <v>0</v>
          </cell>
          <cell r="L304">
            <v>0</v>
          </cell>
          <cell r="M304">
            <v>0</v>
          </cell>
          <cell r="T304" t="str">
            <v>8c82</v>
          </cell>
          <cell r="U304">
            <v>0</v>
          </cell>
        </row>
        <row r="305">
          <cell r="D305" t="str">
            <v>8c96</v>
          </cell>
          <cell r="E305" t="str">
            <v>其他权益工具（永续债）_本期其他增减变动</v>
          </cell>
          <cell r="F305">
            <v>0</v>
          </cell>
          <cell r="G305">
            <v>0</v>
          </cell>
          <cell r="H305">
            <v>0</v>
          </cell>
          <cell r="I305">
            <v>0</v>
          </cell>
          <cell r="J305">
            <v>0</v>
          </cell>
          <cell r="K305">
            <v>0</v>
          </cell>
          <cell r="L305">
            <v>0</v>
          </cell>
          <cell r="M305">
            <v>0</v>
          </cell>
          <cell r="T305" t="str">
            <v>8c96</v>
          </cell>
          <cell r="U305">
            <v>0</v>
          </cell>
        </row>
        <row r="306">
          <cell r="D306" t="str">
            <v>8c99</v>
          </cell>
          <cell r="E306" t="str">
            <v>其他权益工具（永续债）_本期期末余额</v>
          </cell>
          <cell r="F306">
            <v>0</v>
          </cell>
          <cell r="G306">
            <v>0</v>
          </cell>
          <cell r="H306">
            <v>0</v>
          </cell>
          <cell r="I306">
            <v>0</v>
          </cell>
          <cell r="J306">
            <v>0</v>
          </cell>
          <cell r="K306">
            <v>0</v>
          </cell>
          <cell r="L306">
            <v>0</v>
          </cell>
          <cell r="M306">
            <v>0</v>
          </cell>
          <cell r="T306" t="str">
            <v>8c99</v>
          </cell>
          <cell r="U306">
            <v>0</v>
          </cell>
        </row>
        <row r="307">
          <cell r="D307" t="str">
            <v>8d00</v>
          </cell>
          <cell r="E307" t="str">
            <v>其他权益工具（其他）增减变动</v>
          </cell>
          <cell r="F307">
            <v>0</v>
          </cell>
          <cell r="G307">
            <v>0</v>
          </cell>
          <cell r="H307">
            <v>0</v>
          </cell>
          <cell r="I307">
            <v>0</v>
          </cell>
          <cell r="J307">
            <v>0</v>
          </cell>
          <cell r="K307">
            <v>0</v>
          </cell>
          <cell r="L307">
            <v>0</v>
          </cell>
          <cell r="M307">
            <v>0</v>
          </cell>
          <cell r="T307" t="str">
            <v>8d00</v>
          </cell>
          <cell r="U307">
            <v>0</v>
          </cell>
        </row>
        <row r="308">
          <cell r="D308" t="str">
            <v>8d01</v>
          </cell>
          <cell r="E308" t="str">
            <v>其他权益工具（其他）_上年年末余额</v>
          </cell>
          <cell r="F308">
            <v>0</v>
          </cell>
          <cell r="G308">
            <v>0</v>
          </cell>
          <cell r="H308">
            <v>0</v>
          </cell>
          <cell r="I308">
            <v>0</v>
          </cell>
          <cell r="J308">
            <v>0</v>
          </cell>
          <cell r="K308">
            <v>0</v>
          </cell>
          <cell r="L308">
            <v>0</v>
          </cell>
          <cell r="M308">
            <v>0</v>
          </cell>
          <cell r="T308" t="str">
            <v>8d01</v>
          </cell>
          <cell r="U308">
            <v>0</v>
          </cell>
        </row>
        <row r="309">
          <cell r="D309" t="str">
            <v>8d02</v>
          </cell>
          <cell r="E309" t="str">
            <v>其他权益工具（其他）_会计政策变更调整上年年末余额</v>
          </cell>
          <cell r="F309">
            <v>0</v>
          </cell>
          <cell r="G309">
            <v>0</v>
          </cell>
          <cell r="H309">
            <v>0</v>
          </cell>
          <cell r="I309">
            <v>0</v>
          </cell>
          <cell r="J309">
            <v>0</v>
          </cell>
          <cell r="K309">
            <v>0</v>
          </cell>
          <cell r="L309">
            <v>0</v>
          </cell>
          <cell r="M309">
            <v>0</v>
          </cell>
          <cell r="T309" t="str">
            <v>8d02</v>
          </cell>
          <cell r="U309">
            <v>0</v>
          </cell>
        </row>
        <row r="310">
          <cell r="D310" t="str">
            <v>8d03</v>
          </cell>
          <cell r="E310" t="str">
            <v>其他权益工具（其他）_前期差错更正调整上年年末余额</v>
          </cell>
          <cell r="F310">
            <v>0</v>
          </cell>
          <cell r="G310">
            <v>0</v>
          </cell>
          <cell r="H310">
            <v>0</v>
          </cell>
          <cell r="I310">
            <v>0</v>
          </cell>
          <cell r="J310">
            <v>0</v>
          </cell>
          <cell r="K310">
            <v>0</v>
          </cell>
          <cell r="L310">
            <v>0</v>
          </cell>
          <cell r="M310">
            <v>0</v>
          </cell>
          <cell r="T310" t="str">
            <v>8d03</v>
          </cell>
          <cell r="U310">
            <v>0</v>
          </cell>
        </row>
        <row r="311">
          <cell r="D311" t="str">
            <v>8d04</v>
          </cell>
          <cell r="E311" t="str">
            <v>其他权益工具（其他）_同一控制下企业合并调整上年年末余额</v>
          </cell>
          <cell r="F311">
            <v>0</v>
          </cell>
          <cell r="G311">
            <v>0</v>
          </cell>
          <cell r="H311">
            <v>0</v>
          </cell>
          <cell r="I311">
            <v>0</v>
          </cell>
          <cell r="J311">
            <v>0</v>
          </cell>
          <cell r="K311">
            <v>0</v>
          </cell>
          <cell r="L311">
            <v>0</v>
          </cell>
          <cell r="M311">
            <v>0</v>
          </cell>
          <cell r="T311" t="str">
            <v>8d04</v>
          </cell>
          <cell r="U311">
            <v>0</v>
          </cell>
        </row>
        <row r="312">
          <cell r="D312" t="str">
            <v>8d09</v>
          </cell>
          <cell r="E312" t="str">
            <v>其他权益工具（其他）_其他原因调整上年年末余额</v>
          </cell>
          <cell r="F312">
            <v>0</v>
          </cell>
          <cell r="G312">
            <v>0</v>
          </cell>
          <cell r="H312">
            <v>0</v>
          </cell>
          <cell r="I312">
            <v>0</v>
          </cell>
          <cell r="J312">
            <v>0</v>
          </cell>
          <cell r="K312">
            <v>0</v>
          </cell>
          <cell r="L312">
            <v>0</v>
          </cell>
          <cell r="M312">
            <v>0</v>
          </cell>
          <cell r="T312" t="str">
            <v>8d09</v>
          </cell>
          <cell r="U312">
            <v>0</v>
          </cell>
        </row>
        <row r="313">
          <cell r="D313" t="str">
            <v>8d10</v>
          </cell>
          <cell r="E313" t="str">
            <v>其他权益工具（其他）_本年年初余额</v>
          </cell>
          <cell r="F313">
            <v>0</v>
          </cell>
          <cell r="G313">
            <v>0</v>
          </cell>
          <cell r="H313">
            <v>0</v>
          </cell>
          <cell r="I313">
            <v>0</v>
          </cell>
          <cell r="J313">
            <v>0</v>
          </cell>
          <cell r="K313">
            <v>0</v>
          </cell>
          <cell r="L313">
            <v>0</v>
          </cell>
          <cell r="M313">
            <v>0</v>
          </cell>
          <cell r="T313" t="str">
            <v>8d10</v>
          </cell>
          <cell r="U313">
            <v>0</v>
          </cell>
        </row>
        <row r="314">
          <cell r="D314" t="str">
            <v>8d90</v>
          </cell>
          <cell r="E314" t="str">
            <v>其他权益工具（其他）_本期增减变动金额</v>
          </cell>
          <cell r="F314">
            <v>0</v>
          </cell>
          <cell r="G314">
            <v>0</v>
          </cell>
          <cell r="H314">
            <v>0</v>
          </cell>
          <cell r="I314">
            <v>0</v>
          </cell>
          <cell r="J314">
            <v>0</v>
          </cell>
          <cell r="K314">
            <v>0</v>
          </cell>
          <cell r="L314">
            <v>0</v>
          </cell>
          <cell r="M314">
            <v>0</v>
          </cell>
          <cell r="T314" t="str">
            <v>8d90</v>
          </cell>
          <cell r="U314">
            <v>0</v>
          </cell>
        </row>
        <row r="315">
          <cell r="D315" t="str">
            <v>8d40</v>
          </cell>
          <cell r="E315" t="str">
            <v>其他权益工具（其他）_综合收益总额增加权益</v>
          </cell>
          <cell r="F315">
            <v>0</v>
          </cell>
          <cell r="G315">
            <v>0</v>
          </cell>
          <cell r="H315">
            <v>0</v>
          </cell>
          <cell r="I315">
            <v>0</v>
          </cell>
          <cell r="J315">
            <v>0</v>
          </cell>
          <cell r="K315">
            <v>0</v>
          </cell>
          <cell r="L315">
            <v>0</v>
          </cell>
          <cell r="M315">
            <v>0</v>
          </cell>
          <cell r="T315" t="str">
            <v>8d40</v>
          </cell>
          <cell r="U315">
            <v>0</v>
          </cell>
        </row>
        <row r="316">
          <cell r="D316" t="str">
            <v>8d50</v>
          </cell>
          <cell r="E316" t="str">
            <v>其他权益工具（其他）_所有者投入和减少资本影响权益</v>
          </cell>
          <cell r="F316">
            <v>0</v>
          </cell>
          <cell r="G316">
            <v>0</v>
          </cell>
          <cell r="H316">
            <v>0</v>
          </cell>
          <cell r="I316">
            <v>0</v>
          </cell>
          <cell r="J316">
            <v>0</v>
          </cell>
          <cell r="K316">
            <v>0</v>
          </cell>
          <cell r="L316">
            <v>0</v>
          </cell>
          <cell r="M316">
            <v>0</v>
          </cell>
          <cell r="T316" t="str">
            <v>8d50</v>
          </cell>
          <cell r="U316">
            <v>0</v>
          </cell>
        </row>
        <row r="317">
          <cell r="D317" t="str">
            <v>8d51</v>
          </cell>
          <cell r="E317" t="str">
            <v>其他权益工具（其他）_所有者投入资本</v>
          </cell>
          <cell r="F317">
            <v>0</v>
          </cell>
          <cell r="G317">
            <v>0</v>
          </cell>
          <cell r="H317">
            <v>0</v>
          </cell>
          <cell r="I317">
            <v>0</v>
          </cell>
          <cell r="J317">
            <v>0</v>
          </cell>
          <cell r="K317">
            <v>0</v>
          </cell>
          <cell r="L317">
            <v>0</v>
          </cell>
          <cell r="M317">
            <v>0</v>
          </cell>
          <cell r="T317" t="str">
            <v>8d51</v>
          </cell>
          <cell r="U317">
            <v>0</v>
          </cell>
        </row>
        <row r="318">
          <cell r="D318" t="str">
            <v>8d53</v>
          </cell>
          <cell r="E318" t="str">
            <v>其他权益工具（其他）_其他权益工具持有者投入资本</v>
          </cell>
          <cell r="F318">
            <v>0</v>
          </cell>
          <cell r="G318">
            <v>0</v>
          </cell>
          <cell r="H318">
            <v>0</v>
          </cell>
          <cell r="I318">
            <v>0</v>
          </cell>
          <cell r="J318">
            <v>0</v>
          </cell>
          <cell r="K318">
            <v>0</v>
          </cell>
          <cell r="L318">
            <v>0</v>
          </cell>
          <cell r="M318">
            <v>0</v>
          </cell>
          <cell r="T318" t="str">
            <v>8d53</v>
          </cell>
          <cell r="U318">
            <v>0</v>
          </cell>
        </row>
        <row r="319">
          <cell r="D319" t="str">
            <v>8d52</v>
          </cell>
          <cell r="E319" t="str">
            <v>其他权益工具（其他）_股份支付</v>
          </cell>
          <cell r="F319">
            <v>0</v>
          </cell>
          <cell r="G319">
            <v>0</v>
          </cell>
          <cell r="H319">
            <v>0</v>
          </cell>
          <cell r="I319">
            <v>0</v>
          </cell>
          <cell r="J319">
            <v>0</v>
          </cell>
          <cell r="K319">
            <v>0</v>
          </cell>
          <cell r="L319">
            <v>0</v>
          </cell>
          <cell r="M319">
            <v>0</v>
          </cell>
          <cell r="T319" t="str">
            <v>8d52</v>
          </cell>
          <cell r="U319">
            <v>0</v>
          </cell>
        </row>
        <row r="320">
          <cell r="D320" t="str">
            <v>8d56</v>
          </cell>
          <cell r="E320" t="str">
            <v>其他权益工具（其他）_所有者其他投入和减少资本</v>
          </cell>
          <cell r="F320">
            <v>0</v>
          </cell>
          <cell r="G320">
            <v>0</v>
          </cell>
          <cell r="H320">
            <v>0</v>
          </cell>
          <cell r="I320">
            <v>0</v>
          </cell>
          <cell r="J320">
            <v>0</v>
          </cell>
          <cell r="K320">
            <v>0</v>
          </cell>
          <cell r="L320">
            <v>0</v>
          </cell>
          <cell r="M320">
            <v>0</v>
          </cell>
          <cell r="T320" t="str">
            <v>8d56</v>
          </cell>
          <cell r="U320">
            <v>0</v>
          </cell>
        </row>
        <row r="321">
          <cell r="D321" t="str">
            <v>8d60</v>
          </cell>
          <cell r="E321" t="str">
            <v>其他权益工具（其他）_利润分配影响权益</v>
          </cell>
          <cell r="F321">
            <v>0</v>
          </cell>
          <cell r="G321">
            <v>0</v>
          </cell>
          <cell r="H321">
            <v>0</v>
          </cell>
          <cell r="I321">
            <v>0</v>
          </cell>
          <cell r="J321">
            <v>0</v>
          </cell>
          <cell r="K321">
            <v>0</v>
          </cell>
          <cell r="L321">
            <v>0</v>
          </cell>
          <cell r="M321">
            <v>0</v>
          </cell>
          <cell r="T321" t="str">
            <v>8d60</v>
          </cell>
          <cell r="U321">
            <v>0</v>
          </cell>
        </row>
        <row r="322">
          <cell r="D322" t="str">
            <v>8d61</v>
          </cell>
          <cell r="E322" t="str">
            <v>其他权益工具（其他）_提取盈余公积</v>
          </cell>
          <cell r="F322">
            <v>0</v>
          </cell>
          <cell r="G322">
            <v>0</v>
          </cell>
          <cell r="H322">
            <v>0</v>
          </cell>
          <cell r="I322">
            <v>0</v>
          </cell>
          <cell r="J322">
            <v>0</v>
          </cell>
          <cell r="K322">
            <v>0</v>
          </cell>
          <cell r="L322">
            <v>0</v>
          </cell>
          <cell r="M322">
            <v>0</v>
          </cell>
          <cell r="T322" t="str">
            <v>8d61</v>
          </cell>
          <cell r="U322">
            <v>0</v>
          </cell>
        </row>
        <row r="323">
          <cell r="D323" t="str">
            <v>8d62</v>
          </cell>
          <cell r="E323" t="str">
            <v>其他权益工具（其他）_提取一般风险准备</v>
          </cell>
          <cell r="F323">
            <v>0</v>
          </cell>
          <cell r="G323">
            <v>0</v>
          </cell>
          <cell r="H323">
            <v>0</v>
          </cell>
          <cell r="I323">
            <v>0</v>
          </cell>
          <cell r="J323">
            <v>0</v>
          </cell>
          <cell r="K323">
            <v>0</v>
          </cell>
          <cell r="L323">
            <v>0</v>
          </cell>
          <cell r="M323">
            <v>0</v>
          </cell>
          <cell r="T323" t="str">
            <v>8d62</v>
          </cell>
          <cell r="U323">
            <v>0</v>
          </cell>
        </row>
        <row r="324">
          <cell r="D324" t="str">
            <v>8d63</v>
          </cell>
          <cell r="E324" t="str">
            <v>其他权益工具（其他）_对所有者的分配</v>
          </cell>
          <cell r="F324">
            <v>0</v>
          </cell>
          <cell r="G324">
            <v>0</v>
          </cell>
          <cell r="H324">
            <v>0</v>
          </cell>
          <cell r="I324">
            <v>0</v>
          </cell>
          <cell r="J324">
            <v>0</v>
          </cell>
          <cell r="K324">
            <v>0</v>
          </cell>
          <cell r="L324">
            <v>0</v>
          </cell>
          <cell r="M324">
            <v>0</v>
          </cell>
          <cell r="T324" t="str">
            <v>8d63</v>
          </cell>
          <cell r="U324">
            <v>0</v>
          </cell>
        </row>
        <row r="325">
          <cell r="D325" t="str">
            <v>8d66</v>
          </cell>
          <cell r="E325" t="str">
            <v>其他权益工具（其他）_其他利润分配</v>
          </cell>
          <cell r="F325">
            <v>0</v>
          </cell>
          <cell r="G325">
            <v>0</v>
          </cell>
          <cell r="H325">
            <v>0</v>
          </cell>
          <cell r="I325">
            <v>0</v>
          </cell>
          <cell r="J325">
            <v>0</v>
          </cell>
          <cell r="K325">
            <v>0</v>
          </cell>
          <cell r="L325">
            <v>0</v>
          </cell>
          <cell r="M325">
            <v>0</v>
          </cell>
          <cell r="T325" t="str">
            <v>8d66</v>
          </cell>
          <cell r="U325">
            <v>0</v>
          </cell>
        </row>
        <row r="326">
          <cell r="D326" t="str">
            <v>8d70</v>
          </cell>
          <cell r="E326" t="str">
            <v>其他权益工具（其他）_所有者权益内部结转</v>
          </cell>
          <cell r="F326">
            <v>0</v>
          </cell>
          <cell r="G326">
            <v>0</v>
          </cell>
          <cell r="H326">
            <v>0</v>
          </cell>
          <cell r="I326">
            <v>0</v>
          </cell>
          <cell r="J326">
            <v>0</v>
          </cell>
          <cell r="K326">
            <v>0</v>
          </cell>
          <cell r="L326">
            <v>0</v>
          </cell>
          <cell r="M326">
            <v>0</v>
          </cell>
          <cell r="T326" t="str">
            <v>8d70</v>
          </cell>
          <cell r="U326">
            <v>0</v>
          </cell>
        </row>
        <row r="327">
          <cell r="D327" t="str">
            <v>8d71</v>
          </cell>
          <cell r="E327" t="str">
            <v>其他权益工具（其他）_资本公积转增资本</v>
          </cell>
          <cell r="F327">
            <v>0</v>
          </cell>
          <cell r="G327">
            <v>0</v>
          </cell>
          <cell r="H327">
            <v>0</v>
          </cell>
          <cell r="I327">
            <v>0</v>
          </cell>
          <cell r="J327">
            <v>0</v>
          </cell>
          <cell r="K327">
            <v>0</v>
          </cell>
          <cell r="L327">
            <v>0</v>
          </cell>
          <cell r="M327">
            <v>0</v>
          </cell>
          <cell r="T327" t="str">
            <v>8d71</v>
          </cell>
          <cell r="U327">
            <v>0</v>
          </cell>
        </row>
        <row r="328">
          <cell r="D328" t="str">
            <v>8d72</v>
          </cell>
          <cell r="E328" t="str">
            <v>其他权益工具（其他）_盈余公积转增资本</v>
          </cell>
          <cell r="F328">
            <v>0</v>
          </cell>
          <cell r="G328">
            <v>0</v>
          </cell>
          <cell r="H328">
            <v>0</v>
          </cell>
          <cell r="I328">
            <v>0</v>
          </cell>
          <cell r="J328">
            <v>0</v>
          </cell>
          <cell r="K328">
            <v>0</v>
          </cell>
          <cell r="L328">
            <v>0</v>
          </cell>
          <cell r="M328">
            <v>0</v>
          </cell>
          <cell r="T328" t="str">
            <v>8d72</v>
          </cell>
          <cell r="U328">
            <v>0</v>
          </cell>
        </row>
        <row r="329">
          <cell r="D329" t="str">
            <v>8d73</v>
          </cell>
          <cell r="E329" t="str">
            <v>其他权益工具（其他）_盈余公积弥补亏损</v>
          </cell>
          <cell r="F329">
            <v>0</v>
          </cell>
          <cell r="G329">
            <v>0</v>
          </cell>
          <cell r="H329">
            <v>0</v>
          </cell>
          <cell r="I329">
            <v>0</v>
          </cell>
          <cell r="J329">
            <v>0</v>
          </cell>
          <cell r="K329">
            <v>0</v>
          </cell>
          <cell r="L329">
            <v>0</v>
          </cell>
          <cell r="M329">
            <v>0</v>
          </cell>
          <cell r="T329" t="str">
            <v>8d73</v>
          </cell>
          <cell r="U329">
            <v>0</v>
          </cell>
        </row>
        <row r="330">
          <cell r="D330" t="str">
            <v>8d75</v>
          </cell>
          <cell r="E330" t="str">
            <v>其他权益工具（其他）_设定受益计划变动额结转留存收益</v>
          </cell>
          <cell r="F330">
            <v>0</v>
          </cell>
          <cell r="G330">
            <v>0</v>
          </cell>
          <cell r="H330">
            <v>0</v>
          </cell>
          <cell r="I330">
            <v>0</v>
          </cell>
          <cell r="J330">
            <v>0</v>
          </cell>
          <cell r="K330">
            <v>0</v>
          </cell>
          <cell r="L330">
            <v>0</v>
          </cell>
          <cell r="M330">
            <v>0</v>
          </cell>
          <cell r="T330" t="str">
            <v>8d75</v>
          </cell>
          <cell r="U330">
            <v>0</v>
          </cell>
        </row>
        <row r="331">
          <cell r="D331" t="str">
            <v>8d76</v>
          </cell>
          <cell r="E331" t="str">
            <v>其他权益工具（其他）_所有者权益其他内部结转</v>
          </cell>
          <cell r="F331">
            <v>0</v>
          </cell>
          <cell r="G331">
            <v>0</v>
          </cell>
          <cell r="H331">
            <v>0</v>
          </cell>
          <cell r="I331">
            <v>0</v>
          </cell>
          <cell r="J331">
            <v>0</v>
          </cell>
          <cell r="K331">
            <v>0</v>
          </cell>
          <cell r="L331">
            <v>0</v>
          </cell>
          <cell r="M331">
            <v>0</v>
          </cell>
          <cell r="T331" t="str">
            <v>8d76</v>
          </cell>
          <cell r="U331">
            <v>0</v>
          </cell>
        </row>
        <row r="332">
          <cell r="D332" t="str">
            <v>8d80</v>
          </cell>
          <cell r="E332" t="str">
            <v>其他权益工具（其他）_专项储备影响权益</v>
          </cell>
          <cell r="F332">
            <v>0</v>
          </cell>
          <cell r="G332">
            <v>0</v>
          </cell>
          <cell r="H332">
            <v>0</v>
          </cell>
          <cell r="I332">
            <v>0</v>
          </cell>
          <cell r="J332">
            <v>0</v>
          </cell>
          <cell r="K332">
            <v>0</v>
          </cell>
          <cell r="L332">
            <v>0</v>
          </cell>
          <cell r="M332">
            <v>0</v>
          </cell>
          <cell r="T332" t="str">
            <v>8d80</v>
          </cell>
          <cell r="U332">
            <v>0</v>
          </cell>
        </row>
        <row r="333">
          <cell r="D333" t="str">
            <v>8d81</v>
          </cell>
          <cell r="E333" t="str">
            <v>其他权益工具（其他）_专项储备本期提取</v>
          </cell>
          <cell r="F333">
            <v>0</v>
          </cell>
          <cell r="G333">
            <v>0</v>
          </cell>
          <cell r="H333">
            <v>0</v>
          </cell>
          <cell r="I333">
            <v>0</v>
          </cell>
          <cell r="J333">
            <v>0</v>
          </cell>
          <cell r="K333">
            <v>0</v>
          </cell>
          <cell r="L333">
            <v>0</v>
          </cell>
          <cell r="M333">
            <v>0</v>
          </cell>
          <cell r="T333" t="str">
            <v>8d81</v>
          </cell>
          <cell r="U333">
            <v>0</v>
          </cell>
        </row>
        <row r="334">
          <cell r="D334" t="str">
            <v>8d82</v>
          </cell>
          <cell r="E334" t="str">
            <v>其他权益工具（其他）_专项储备本期使用</v>
          </cell>
          <cell r="F334">
            <v>0</v>
          </cell>
          <cell r="G334">
            <v>0</v>
          </cell>
          <cell r="H334">
            <v>0</v>
          </cell>
          <cell r="I334">
            <v>0</v>
          </cell>
          <cell r="J334">
            <v>0</v>
          </cell>
          <cell r="K334">
            <v>0</v>
          </cell>
          <cell r="L334">
            <v>0</v>
          </cell>
          <cell r="M334">
            <v>0</v>
          </cell>
          <cell r="T334" t="str">
            <v>8d82</v>
          </cell>
          <cell r="U334">
            <v>0</v>
          </cell>
        </row>
        <row r="335">
          <cell r="D335" t="str">
            <v>8d96</v>
          </cell>
          <cell r="E335" t="str">
            <v>其他权益工具（其他）_本期其他增减变动</v>
          </cell>
          <cell r="F335">
            <v>0</v>
          </cell>
          <cell r="G335">
            <v>0</v>
          </cell>
          <cell r="H335">
            <v>0</v>
          </cell>
          <cell r="I335">
            <v>0</v>
          </cell>
          <cell r="J335">
            <v>0</v>
          </cell>
          <cell r="K335">
            <v>0</v>
          </cell>
          <cell r="L335">
            <v>0</v>
          </cell>
          <cell r="M335">
            <v>0</v>
          </cell>
          <cell r="T335" t="str">
            <v>8d96</v>
          </cell>
          <cell r="U335">
            <v>0</v>
          </cell>
        </row>
        <row r="336">
          <cell r="D336" t="str">
            <v>8d99</v>
          </cell>
          <cell r="E336" t="str">
            <v>其他权益工具（其他）_本期期末余额</v>
          </cell>
          <cell r="F336">
            <v>0</v>
          </cell>
          <cell r="G336">
            <v>0</v>
          </cell>
          <cell r="H336">
            <v>0</v>
          </cell>
          <cell r="I336">
            <v>0</v>
          </cell>
          <cell r="J336">
            <v>0</v>
          </cell>
          <cell r="K336">
            <v>0</v>
          </cell>
          <cell r="L336">
            <v>0</v>
          </cell>
          <cell r="M336">
            <v>0</v>
          </cell>
          <cell r="T336" t="str">
            <v>8d99</v>
          </cell>
          <cell r="U336">
            <v>0</v>
          </cell>
        </row>
        <row r="337">
          <cell r="D337">
            <v>8200</v>
          </cell>
          <cell r="E337" t="str">
            <v>资本公积增减变动</v>
          </cell>
          <cell r="F337">
            <v>0</v>
          </cell>
          <cell r="G337">
            <v>0</v>
          </cell>
          <cell r="H337">
            <v>0</v>
          </cell>
          <cell r="I337">
            <v>0</v>
          </cell>
          <cell r="J337">
            <v>0</v>
          </cell>
          <cell r="K337">
            <v>0</v>
          </cell>
          <cell r="L337">
            <v>0</v>
          </cell>
          <cell r="M337">
            <v>0</v>
          </cell>
          <cell r="T337">
            <v>8200</v>
          </cell>
          <cell r="U337">
            <v>0</v>
          </cell>
        </row>
        <row r="338">
          <cell r="D338">
            <v>8201</v>
          </cell>
          <cell r="E338" t="str">
            <v>资本公积_上年年末余额</v>
          </cell>
          <cell r="F338">
            <v>61861923.009999998</v>
          </cell>
          <cell r="G338">
            <v>1000000</v>
          </cell>
          <cell r="H338">
            <v>0</v>
          </cell>
          <cell r="I338">
            <v>60861923.009999998</v>
          </cell>
          <cell r="J338">
            <v>14277074.01</v>
          </cell>
          <cell r="K338">
            <v>0</v>
          </cell>
          <cell r="L338">
            <v>0</v>
          </cell>
          <cell r="M338">
            <v>14277074.01</v>
          </cell>
          <cell r="T338">
            <v>8201</v>
          </cell>
          <cell r="U338">
            <v>14277074.01</v>
          </cell>
        </row>
        <row r="339">
          <cell r="D339">
            <v>8202</v>
          </cell>
          <cell r="E339" t="str">
            <v>资本公积_会计政策变更调整上年年末余额</v>
          </cell>
          <cell r="F339">
            <v>0</v>
          </cell>
          <cell r="G339">
            <v>0</v>
          </cell>
          <cell r="H339">
            <v>0</v>
          </cell>
          <cell r="I339">
            <v>0</v>
          </cell>
          <cell r="J339">
            <v>0</v>
          </cell>
          <cell r="K339">
            <v>0</v>
          </cell>
          <cell r="L339">
            <v>0</v>
          </cell>
          <cell r="M339">
            <v>0</v>
          </cell>
          <cell r="T339">
            <v>8202</v>
          </cell>
          <cell r="U339">
            <v>0</v>
          </cell>
        </row>
        <row r="340">
          <cell r="D340">
            <v>8203</v>
          </cell>
          <cell r="E340" t="str">
            <v>资本公积_前期差错更正调整上年年末余额</v>
          </cell>
          <cell r="F340">
            <v>0</v>
          </cell>
          <cell r="G340">
            <v>0</v>
          </cell>
          <cell r="H340">
            <v>0</v>
          </cell>
          <cell r="I340">
            <v>0</v>
          </cell>
          <cell r="J340">
            <v>0</v>
          </cell>
          <cell r="K340">
            <v>0</v>
          </cell>
          <cell r="L340">
            <v>0</v>
          </cell>
          <cell r="M340">
            <v>0</v>
          </cell>
          <cell r="T340">
            <v>8203</v>
          </cell>
          <cell r="U340">
            <v>0</v>
          </cell>
        </row>
        <row r="341">
          <cell r="D341">
            <v>8204</v>
          </cell>
          <cell r="E341" t="str">
            <v>资本公积_同一控制下企业合并调整上年年末余额</v>
          </cell>
          <cell r="F341">
            <v>0</v>
          </cell>
          <cell r="G341">
            <v>0</v>
          </cell>
          <cell r="H341">
            <v>0</v>
          </cell>
          <cell r="I341">
            <v>0</v>
          </cell>
          <cell r="J341">
            <v>0</v>
          </cell>
          <cell r="K341">
            <v>0</v>
          </cell>
          <cell r="L341">
            <v>0</v>
          </cell>
          <cell r="M341">
            <v>0</v>
          </cell>
          <cell r="T341">
            <v>8204</v>
          </cell>
          <cell r="U341">
            <v>0</v>
          </cell>
        </row>
        <row r="342">
          <cell r="D342">
            <v>8209</v>
          </cell>
          <cell r="E342" t="str">
            <v>资本公积_其他原因调整上年年末余额</v>
          </cell>
          <cell r="F342">
            <v>-1000000</v>
          </cell>
          <cell r="G342">
            <v>0</v>
          </cell>
          <cell r="H342">
            <v>1000000</v>
          </cell>
          <cell r="I342">
            <v>0</v>
          </cell>
          <cell r="J342">
            <v>0</v>
          </cell>
          <cell r="K342">
            <v>0</v>
          </cell>
          <cell r="L342">
            <v>0</v>
          </cell>
          <cell r="M342">
            <v>0</v>
          </cell>
          <cell r="T342">
            <v>8209</v>
          </cell>
          <cell r="U342">
            <v>0</v>
          </cell>
        </row>
        <row r="343">
          <cell r="D343">
            <v>8210</v>
          </cell>
          <cell r="E343" t="str">
            <v>资本公积_本年年初余额</v>
          </cell>
          <cell r="F343">
            <v>60861923.009999998</v>
          </cell>
          <cell r="G343">
            <v>1000000</v>
          </cell>
          <cell r="H343">
            <v>1000000</v>
          </cell>
          <cell r="I343">
            <v>60861923.009999998</v>
          </cell>
          <cell r="J343">
            <v>14277074.01</v>
          </cell>
          <cell r="K343">
            <v>0</v>
          </cell>
          <cell r="L343">
            <v>0</v>
          </cell>
          <cell r="M343">
            <v>14277074.01</v>
          </cell>
          <cell r="T343">
            <v>8210</v>
          </cell>
          <cell r="U343">
            <v>14277074.01</v>
          </cell>
        </row>
        <row r="344">
          <cell r="D344">
            <v>8290</v>
          </cell>
          <cell r="E344" t="str">
            <v>资本公积_本期增减变动金额</v>
          </cell>
          <cell r="F344">
            <v>0</v>
          </cell>
          <cell r="G344">
            <v>0</v>
          </cell>
          <cell r="H344">
            <v>113000</v>
          </cell>
          <cell r="I344">
            <v>113000</v>
          </cell>
          <cell r="J344">
            <v>46584849</v>
          </cell>
          <cell r="K344">
            <v>0</v>
          </cell>
          <cell r="L344">
            <v>0</v>
          </cell>
          <cell r="M344">
            <v>46584849</v>
          </cell>
          <cell r="T344">
            <v>8290</v>
          </cell>
          <cell r="U344">
            <v>46584849</v>
          </cell>
        </row>
        <row r="345">
          <cell r="D345">
            <v>8221</v>
          </cell>
          <cell r="E345" t="str">
            <v>资本公积_净利润增加权益</v>
          </cell>
          <cell r="F345">
            <v>0</v>
          </cell>
          <cell r="G345">
            <v>0</v>
          </cell>
          <cell r="H345">
            <v>0</v>
          </cell>
          <cell r="I345">
            <v>0</v>
          </cell>
          <cell r="J345">
            <v>0</v>
          </cell>
          <cell r="K345">
            <v>0</v>
          </cell>
          <cell r="L345">
            <v>0</v>
          </cell>
          <cell r="M345">
            <v>0</v>
          </cell>
          <cell r="T345">
            <v>8221</v>
          </cell>
          <cell r="U345">
            <v>0</v>
          </cell>
        </row>
        <row r="346">
          <cell r="D346">
            <v>8230</v>
          </cell>
          <cell r="E346" t="str">
            <v>资本公积_其他综合收益</v>
          </cell>
          <cell r="F346">
            <v>0</v>
          </cell>
          <cell r="G346">
            <v>0</v>
          </cell>
          <cell r="H346">
            <v>0</v>
          </cell>
          <cell r="I346">
            <v>0</v>
          </cell>
          <cell r="J346">
            <v>0</v>
          </cell>
          <cell r="K346">
            <v>0</v>
          </cell>
          <cell r="L346">
            <v>0</v>
          </cell>
          <cell r="M346">
            <v>0</v>
          </cell>
          <cell r="T346">
            <v>8230</v>
          </cell>
          <cell r="U346">
            <v>0</v>
          </cell>
        </row>
        <row r="347">
          <cell r="D347">
            <v>8240</v>
          </cell>
          <cell r="E347" t="str">
            <v>资本公积_综合收益总额增加权益</v>
          </cell>
          <cell r="F347">
            <v>0</v>
          </cell>
          <cell r="G347">
            <v>0</v>
          </cell>
          <cell r="H347">
            <v>0</v>
          </cell>
          <cell r="I347">
            <v>0</v>
          </cell>
          <cell r="J347">
            <v>0</v>
          </cell>
          <cell r="K347">
            <v>0</v>
          </cell>
          <cell r="L347">
            <v>0</v>
          </cell>
          <cell r="M347">
            <v>0</v>
          </cell>
          <cell r="T347">
            <v>8240</v>
          </cell>
          <cell r="U347">
            <v>0</v>
          </cell>
        </row>
        <row r="348">
          <cell r="D348">
            <v>8250</v>
          </cell>
          <cell r="E348" t="str">
            <v>资本公积_所有者投入和减少资本影响权益</v>
          </cell>
          <cell r="F348">
            <v>0</v>
          </cell>
          <cell r="G348">
            <v>0</v>
          </cell>
          <cell r="H348">
            <v>113000</v>
          </cell>
          <cell r="I348">
            <v>113000</v>
          </cell>
          <cell r="J348">
            <v>46584849</v>
          </cell>
          <cell r="K348">
            <v>0</v>
          </cell>
          <cell r="L348">
            <v>0</v>
          </cell>
          <cell r="M348">
            <v>46584849</v>
          </cell>
          <cell r="T348">
            <v>8250</v>
          </cell>
          <cell r="U348">
            <v>46584849</v>
          </cell>
        </row>
        <row r="349">
          <cell r="D349">
            <v>8251</v>
          </cell>
          <cell r="E349" t="str">
            <v>资本公积_所有者投入资本</v>
          </cell>
          <cell r="F349">
            <v>0</v>
          </cell>
          <cell r="G349">
            <v>0</v>
          </cell>
          <cell r="H349">
            <v>0</v>
          </cell>
          <cell r="I349">
            <v>0</v>
          </cell>
          <cell r="J349">
            <v>46584849</v>
          </cell>
          <cell r="K349">
            <v>0</v>
          </cell>
          <cell r="L349">
            <v>0</v>
          </cell>
          <cell r="M349">
            <v>46584849</v>
          </cell>
          <cell r="T349">
            <v>8251</v>
          </cell>
          <cell r="U349">
            <v>46584849</v>
          </cell>
        </row>
        <row r="350">
          <cell r="D350">
            <v>8253</v>
          </cell>
          <cell r="E350" t="str">
            <v>资本公积_其他权益工具持有者投入资本</v>
          </cell>
          <cell r="F350">
            <v>0</v>
          </cell>
          <cell r="G350">
            <v>0</v>
          </cell>
          <cell r="H350">
            <v>0</v>
          </cell>
          <cell r="I350">
            <v>0</v>
          </cell>
          <cell r="J350">
            <v>0</v>
          </cell>
          <cell r="K350">
            <v>0</v>
          </cell>
          <cell r="L350">
            <v>0</v>
          </cell>
          <cell r="M350">
            <v>0</v>
          </cell>
          <cell r="T350">
            <v>8253</v>
          </cell>
          <cell r="U350">
            <v>0</v>
          </cell>
        </row>
        <row r="351">
          <cell r="D351">
            <v>8252</v>
          </cell>
          <cell r="E351" t="str">
            <v>资本公积_股份支付</v>
          </cell>
          <cell r="F351">
            <v>0</v>
          </cell>
          <cell r="G351">
            <v>0</v>
          </cell>
          <cell r="H351">
            <v>113000</v>
          </cell>
          <cell r="I351">
            <v>113000</v>
          </cell>
          <cell r="J351">
            <v>0</v>
          </cell>
          <cell r="K351">
            <v>0</v>
          </cell>
          <cell r="L351">
            <v>0</v>
          </cell>
          <cell r="M351">
            <v>0</v>
          </cell>
          <cell r="T351">
            <v>8252</v>
          </cell>
          <cell r="U351">
            <v>0</v>
          </cell>
        </row>
        <row r="352">
          <cell r="D352">
            <v>8256</v>
          </cell>
          <cell r="E352" t="str">
            <v>资本公积_所有者其他投入和减少资本</v>
          </cell>
          <cell r="F352">
            <v>0</v>
          </cell>
          <cell r="G352">
            <v>0</v>
          </cell>
          <cell r="H352">
            <v>0</v>
          </cell>
          <cell r="I352">
            <v>0</v>
          </cell>
          <cell r="J352">
            <v>0</v>
          </cell>
          <cell r="K352">
            <v>0</v>
          </cell>
          <cell r="L352">
            <v>0</v>
          </cell>
          <cell r="M352">
            <v>0</v>
          </cell>
          <cell r="T352">
            <v>8256</v>
          </cell>
          <cell r="U352">
            <v>0</v>
          </cell>
        </row>
        <row r="353">
          <cell r="D353">
            <v>8260</v>
          </cell>
          <cell r="E353" t="str">
            <v>资本公积_利润分配影响权益</v>
          </cell>
          <cell r="F353">
            <v>0</v>
          </cell>
          <cell r="G353">
            <v>0</v>
          </cell>
          <cell r="H353">
            <v>0</v>
          </cell>
          <cell r="I353">
            <v>0</v>
          </cell>
          <cell r="J353">
            <v>0</v>
          </cell>
          <cell r="K353">
            <v>0</v>
          </cell>
          <cell r="L353">
            <v>0</v>
          </cell>
          <cell r="M353">
            <v>0</v>
          </cell>
          <cell r="T353">
            <v>8260</v>
          </cell>
          <cell r="U353">
            <v>0</v>
          </cell>
        </row>
        <row r="354">
          <cell r="D354">
            <v>8261</v>
          </cell>
          <cell r="E354" t="str">
            <v>资本公积_提取盈余公积影响权益</v>
          </cell>
          <cell r="F354">
            <v>0</v>
          </cell>
          <cell r="G354">
            <v>0</v>
          </cell>
          <cell r="H354">
            <v>0</v>
          </cell>
          <cell r="I354">
            <v>0</v>
          </cell>
          <cell r="J354">
            <v>0</v>
          </cell>
          <cell r="K354">
            <v>0</v>
          </cell>
          <cell r="L354">
            <v>0</v>
          </cell>
          <cell r="M354">
            <v>0</v>
          </cell>
          <cell r="T354">
            <v>8261</v>
          </cell>
          <cell r="U354">
            <v>0</v>
          </cell>
        </row>
        <row r="355">
          <cell r="D355">
            <v>8262</v>
          </cell>
          <cell r="E355" t="str">
            <v>资本公积_提取一般风险准备影响权益</v>
          </cell>
          <cell r="F355">
            <v>0</v>
          </cell>
          <cell r="G355">
            <v>0</v>
          </cell>
          <cell r="H355">
            <v>0</v>
          </cell>
          <cell r="I355">
            <v>0</v>
          </cell>
          <cell r="J355">
            <v>0</v>
          </cell>
          <cell r="K355">
            <v>0</v>
          </cell>
          <cell r="L355">
            <v>0</v>
          </cell>
          <cell r="M355">
            <v>0</v>
          </cell>
          <cell r="T355">
            <v>8262</v>
          </cell>
          <cell r="U355">
            <v>0</v>
          </cell>
        </row>
        <row r="356">
          <cell r="D356">
            <v>8263</v>
          </cell>
          <cell r="E356" t="str">
            <v>资本公积_对所有者的分配影响权益</v>
          </cell>
          <cell r="F356">
            <v>0</v>
          </cell>
          <cell r="G356">
            <v>0</v>
          </cell>
          <cell r="H356">
            <v>0</v>
          </cell>
          <cell r="I356">
            <v>0</v>
          </cell>
          <cell r="J356">
            <v>0</v>
          </cell>
          <cell r="K356">
            <v>0</v>
          </cell>
          <cell r="L356">
            <v>0</v>
          </cell>
          <cell r="M356">
            <v>0</v>
          </cell>
          <cell r="T356">
            <v>8263</v>
          </cell>
          <cell r="U356">
            <v>0</v>
          </cell>
        </row>
        <row r="357">
          <cell r="D357">
            <v>8266</v>
          </cell>
          <cell r="E357" t="str">
            <v>资本公积_其他利润分配</v>
          </cell>
          <cell r="F357">
            <v>0</v>
          </cell>
          <cell r="G357">
            <v>0</v>
          </cell>
          <cell r="H357">
            <v>0</v>
          </cell>
          <cell r="I357">
            <v>0</v>
          </cell>
          <cell r="J357">
            <v>0</v>
          </cell>
          <cell r="K357">
            <v>0</v>
          </cell>
          <cell r="L357">
            <v>0</v>
          </cell>
          <cell r="M357">
            <v>0</v>
          </cell>
          <cell r="T357">
            <v>8266</v>
          </cell>
          <cell r="U357">
            <v>0</v>
          </cell>
        </row>
        <row r="358">
          <cell r="D358">
            <v>8270</v>
          </cell>
          <cell r="E358" t="str">
            <v>资本公积_所有者权益内部结转</v>
          </cell>
          <cell r="F358">
            <v>0</v>
          </cell>
          <cell r="G358">
            <v>0</v>
          </cell>
          <cell r="H358">
            <v>0</v>
          </cell>
          <cell r="I358">
            <v>0</v>
          </cell>
          <cell r="J358">
            <v>0</v>
          </cell>
          <cell r="K358">
            <v>0</v>
          </cell>
          <cell r="L358">
            <v>0</v>
          </cell>
          <cell r="M358">
            <v>0</v>
          </cell>
          <cell r="T358">
            <v>8270</v>
          </cell>
          <cell r="U358">
            <v>0</v>
          </cell>
        </row>
        <row r="359">
          <cell r="D359">
            <v>8271</v>
          </cell>
          <cell r="E359" t="str">
            <v>资本公积_转增资本</v>
          </cell>
          <cell r="F359">
            <v>0</v>
          </cell>
          <cell r="G359">
            <v>0</v>
          </cell>
          <cell r="H359">
            <v>0</v>
          </cell>
          <cell r="I359">
            <v>0</v>
          </cell>
          <cell r="J359">
            <v>0</v>
          </cell>
          <cell r="K359">
            <v>0</v>
          </cell>
          <cell r="L359">
            <v>0</v>
          </cell>
          <cell r="M359">
            <v>0</v>
          </cell>
          <cell r="T359">
            <v>8271</v>
          </cell>
          <cell r="U359">
            <v>0</v>
          </cell>
        </row>
        <row r="360">
          <cell r="D360">
            <v>8272</v>
          </cell>
          <cell r="E360" t="str">
            <v>资本公积_盈余公积转增资本影响权益</v>
          </cell>
          <cell r="F360">
            <v>0</v>
          </cell>
          <cell r="G360">
            <v>0</v>
          </cell>
          <cell r="H360">
            <v>0</v>
          </cell>
          <cell r="I360">
            <v>0</v>
          </cell>
          <cell r="J360">
            <v>0</v>
          </cell>
          <cell r="K360">
            <v>0</v>
          </cell>
          <cell r="L360">
            <v>0</v>
          </cell>
          <cell r="M360">
            <v>0</v>
          </cell>
          <cell r="T360">
            <v>8272</v>
          </cell>
          <cell r="U360">
            <v>0</v>
          </cell>
        </row>
        <row r="361">
          <cell r="D361">
            <v>8273</v>
          </cell>
          <cell r="E361" t="str">
            <v>资本公积_盈余公积弥补亏损影响权益</v>
          </cell>
          <cell r="F361">
            <v>0</v>
          </cell>
          <cell r="G361">
            <v>0</v>
          </cell>
          <cell r="H361">
            <v>0</v>
          </cell>
          <cell r="I361">
            <v>0</v>
          </cell>
          <cell r="J361">
            <v>0</v>
          </cell>
          <cell r="K361">
            <v>0</v>
          </cell>
          <cell r="L361">
            <v>0</v>
          </cell>
          <cell r="M361">
            <v>0</v>
          </cell>
          <cell r="T361">
            <v>8273</v>
          </cell>
          <cell r="U361">
            <v>0</v>
          </cell>
        </row>
        <row r="362">
          <cell r="D362">
            <v>8275</v>
          </cell>
          <cell r="E362" t="str">
            <v>资本公积_设定受益计划变动额结转留存收益</v>
          </cell>
          <cell r="F362">
            <v>0</v>
          </cell>
          <cell r="G362">
            <v>0</v>
          </cell>
          <cell r="H362">
            <v>0</v>
          </cell>
          <cell r="I362">
            <v>0</v>
          </cell>
          <cell r="J362">
            <v>0</v>
          </cell>
          <cell r="K362">
            <v>0</v>
          </cell>
          <cell r="L362">
            <v>0</v>
          </cell>
          <cell r="M362">
            <v>0</v>
          </cell>
          <cell r="T362">
            <v>8275</v>
          </cell>
          <cell r="U362">
            <v>0</v>
          </cell>
        </row>
        <row r="363">
          <cell r="D363">
            <v>8276</v>
          </cell>
          <cell r="E363" t="str">
            <v>资本公积_所有者权益其他内部结转</v>
          </cell>
          <cell r="F363">
            <v>0</v>
          </cell>
          <cell r="G363">
            <v>0</v>
          </cell>
          <cell r="H363">
            <v>0</v>
          </cell>
          <cell r="I363">
            <v>0</v>
          </cell>
          <cell r="J363">
            <v>0</v>
          </cell>
          <cell r="K363">
            <v>0</v>
          </cell>
          <cell r="L363">
            <v>0</v>
          </cell>
          <cell r="M363">
            <v>0</v>
          </cell>
          <cell r="T363">
            <v>8276</v>
          </cell>
          <cell r="U363">
            <v>0</v>
          </cell>
        </row>
        <row r="364">
          <cell r="D364">
            <v>8280</v>
          </cell>
          <cell r="E364" t="str">
            <v>资本公积_专项储备影响权益</v>
          </cell>
          <cell r="F364">
            <v>0</v>
          </cell>
          <cell r="G364">
            <v>0</v>
          </cell>
          <cell r="H364">
            <v>0</v>
          </cell>
          <cell r="I364">
            <v>0</v>
          </cell>
          <cell r="J364">
            <v>0</v>
          </cell>
          <cell r="K364">
            <v>0</v>
          </cell>
          <cell r="L364">
            <v>0</v>
          </cell>
          <cell r="M364">
            <v>0</v>
          </cell>
          <cell r="T364">
            <v>8280</v>
          </cell>
          <cell r="U364">
            <v>0</v>
          </cell>
        </row>
        <row r="365">
          <cell r="D365">
            <v>8281</v>
          </cell>
          <cell r="E365" t="str">
            <v>资本公积_专项储备本期提取</v>
          </cell>
          <cell r="F365">
            <v>0</v>
          </cell>
          <cell r="G365">
            <v>0</v>
          </cell>
          <cell r="H365">
            <v>0</v>
          </cell>
          <cell r="I365">
            <v>0</v>
          </cell>
          <cell r="J365">
            <v>0</v>
          </cell>
          <cell r="K365">
            <v>0</v>
          </cell>
          <cell r="L365">
            <v>0</v>
          </cell>
          <cell r="M365">
            <v>0</v>
          </cell>
          <cell r="T365">
            <v>8281</v>
          </cell>
          <cell r="U365">
            <v>0</v>
          </cell>
        </row>
        <row r="366">
          <cell r="D366">
            <v>8282</v>
          </cell>
          <cell r="E366" t="str">
            <v>资本公积_专项储备本期使用</v>
          </cell>
          <cell r="F366">
            <v>0</v>
          </cell>
          <cell r="G366">
            <v>0</v>
          </cell>
          <cell r="H366">
            <v>0</v>
          </cell>
          <cell r="I366">
            <v>0</v>
          </cell>
          <cell r="J366">
            <v>0</v>
          </cell>
          <cell r="K366">
            <v>0</v>
          </cell>
          <cell r="L366">
            <v>0</v>
          </cell>
          <cell r="M366">
            <v>0</v>
          </cell>
          <cell r="T366">
            <v>8282</v>
          </cell>
          <cell r="U366">
            <v>0</v>
          </cell>
        </row>
        <row r="367">
          <cell r="D367">
            <v>8296</v>
          </cell>
          <cell r="E367" t="str">
            <v>资本公积_本期其他增减变动</v>
          </cell>
          <cell r="F367">
            <v>0</v>
          </cell>
          <cell r="G367">
            <v>0</v>
          </cell>
          <cell r="H367">
            <v>0</v>
          </cell>
          <cell r="I367">
            <v>0</v>
          </cell>
          <cell r="J367">
            <v>0</v>
          </cell>
          <cell r="K367">
            <v>0</v>
          </cell>
          <cell r="L367">
            <v>0</v>
          </cell>
          <cell r="M367">
            <v>0</v>
          </cell>
          <cell r="T367">
            <v>8296</v>
          </cell>
          <cell r="U367">
            <v>0</v>
          </cell>
        </row>
        <row r="368">
          <cell r="D368">
            <v>8299</v>
          </cell>
          <cell r="E368" t="str">
            <v>资本公积_本期期末余额</v>
          </cell>
          <cell r="F368">
            <v>60861923.009999998</v>
          </cell>
          <cell r="G368">
            <v>1000000</v>
          </cell>
          <cell r="H368">
            <v>1113000</v>
          </cell>
          <cell r="I368">
            <v>60974923.009999998</v>
          </cell>
          <cell r="J368">
            <v>60861923.009999998</v>
          </cell>
          <cell r="K368">
            <v>0</v>
          </cell>
          <cell r="L368">
            <v>0</v>
          </cell>
          <cell r="M368">
            <v>60861923.009999998</v>
          </cell>
          <cell r="T368">
            <v>8299</v>
          </cell>
          <cell r="U368">
            <v>60861923.009999998</v>
          </cell>
        </row>
        <row r="369">
          <cell r="D369">
            <v>8300</v>
          </cell>
          <cell r="E369" t="str">
            <v>库存股增减变动</v>
          </cell>
          <cell r="F369">
            <v>0</v>
          </cell>
          <cell r="G369">
            <v>0</v>
          </cell>
          <cell r="H369">
            <v>0</v>
          </cell>
          <cell r="I369">
            <v>0</v>
          </cell>
          <cell r="J369">
            <v>0</v>
          </cell>
          <cell r="K369">
            <v>0</v>
          </cell>
          <cell r="L369">
            <v>0</v>
          </cell>
          <cell r="M369">
            <v>0</v>
          </cell>
          <cell r="T369">
            <v>8300</v>
          </cell>
          <cell r="U369">
            <v>0</v>
          </cell>
        </row>
        <row r="370">
          <cell r="D370">
            <v>8301</v>
          </cell>
          <cell r="E370" t="str">
            <v>库存股_上年年末余额</v>
          </cell>
          <cell r="F370">
            <v>0</v>
          </cell>
          <cell r="G370">
            <v>0</v>
          </cell>
          <cell r="H370">
            <v>0</v>
          </cell>
          <cell r="I370">
            <v>0</v>
          </cell>
          <cell r="J370">
            <v>0</v>
          </cell>
          <cell r="K370">
            <v>0</v>
          </cell>
          <cell r="L370">
            <v>0</v>
          </cell>
          <cell r="M370">
            <v>0</v>
          </cell>
          <cell r="T370">
            <v>8301</v>
          </cell>
          <cell r="U370">
            <v>0</v>
          </cell>
        </row>
        <row r="371">
          <cell r="D371">
            <v>8302</v>
          </cell>
          <cell r="E371" t="str">
            <v>库存股_会计政策变更调整上年年末余额</v>
          </cell>
          <cell r="F371">
            <v>0</v>
          </cell>
          <cell r="G371">
            <v>0</v>
          </cell>
          <cell r="H371">
            <v>0</v>
          </cell>
          <cell r="I371">
            <v>0</v>
          </cell>
          <cell r="J371">
            <v>0</v>
          </cell>
          <cell r="K371">
            <v>0</v>
          </cell>
          <cell r="L371">
            <v>0</v>
          </cell>
          <cell r="M371">
            <v>0</v>
          </cell>
          <cell r="T371">
            <v>8302</v>
          </cell>
          <cell r="U371">
            <v>0</v>
          </cell>
        </row>
        <row r="372">
          <cell r="D372">
            <v>8303</v>
          </cell>
          <cell r="E372" t="str">
            <v>库存股_前期差错更正调整上年年末余额</v>
          </cell>
          <cell r="F372">
            <v>0</v>
          </cell>
          <cell r="G372">
            <v>0</v>
          </cell>
          <cell r="H372">
            <v>0</v>
          </cell>
          <cell r="I372">
            <v>0</v>
          </cell>
          <cell r="J372">
            <v>0</v>
          </cell>
          <cell r="K372">
            <v>0</v>
          </cell>
          <cell r="L372">
            <v>0</v>
          </cell>
          <cell r="M372">
            <v>0</v>
          </cell>
          <cell r="T372">
            <v>8303</v>
          </cell>
          <cell r="U372">
            <v>0</v>
          </cell>
        </row>
        <row r="373">
          <cell r="D373">
            <v>8304</v>
          </cell>
          <cell r="E373" t="str">
            <v>库存股_同一控制下企业合并调整上年年末余额</v>
          </cell>
          <cell r="F373">
            <v>0</v>
          </cell>
          <cell r="G373">
            <v>0</v>
          </cell>
          <cell r="H373">
            <v>0</v>
          </cell>
          <cell r="I373">
            <v>0</v>
          </cell>
          <cell r="J373">
            <v>0</v>
          </cell>
          <cell r="K373">
            <v>0</v>
          </cell>
          <cell r="L373">
            <v>0</v>
          </cell>
          <cell r="M373">
            <v>0</v>
          </cell>
          <cell r="T373">
            <v>8304</v>
          </cell>
          <cell r="U373">
            <v>0</v>
          </cell>
        </row>
        <row r="374">
          <cell r="D374">
            <v>8309</v>
          </cell>
          <cell r="E374" t="str">
            <v>库存股_其他原因调整上年年末余额</v>
          </cell>
          <cell r="F374">
            <v>0</v>
          </cell>
          <cell r="G374">
            <v>0</v>
          </cell>
          <cell r="H374">
            <v>0</v>
          </cell>
          <cell r="I374">
            <v>0</v>
          </cell>
          <cell r="J374">
            <v>0</v>
          </cell>
          <cell r="K374">
            <v>0</v>
          </cell>
          <cell r="L374">
            <v>0</v>
          </cell>
          <cell r="M374">
            <v>0</v>
          </cell>
          <cell r="T374">
            <v>8309</v>
          </cell>
          <cell r="U374">
            <v>0</v>
          </cell>
        </row>
        <row r="375">
          <cell r="D375">
            <v>8310</v>
          </cell>
          <cell r="E375" t="str">
            <v>库存股_本年年初余额</v>
          </cell>
          <cell r="F375">
            <v>0</v>
          </cell>
          <cell r="G375">
            <v>0</v>
          </cell>
          <cell r="H375">
            <v>0</v>
          </cell>
          <cell r="I375">
            <v>0</v>
          </cell>
          <cell r="J375">
            <v>0</v>
          </cell>
          <cell r="K375">
            <v>0</v>
          </cell>
          <cell r="L375">
            <v>0</v>
          </cell>
          <cell r="M375">
            <v>0</v>
          </cell>
          <cell r="T375">
            <v>8310</v>
          </cell>
          <cell r="U375">
            <v>0</v>
          </cell>
        </row>
        <row r="376">
          <cell r="D376">
            <v>8390</v>
          </cell>
          <cell r="E376" t="str">
            <v>库存股_本期增减变动金额</v>
          </cell>
          <cell r="F376">
            <v>0</v>
          </cell>
          <cell r="G376">
            <v>0</v>
          </cell>
          <cell r="H376">
            <v>0</v>
          </cell>
          <cell r="I376">
            <v>0</v>
          </cell>
          <cell r="J376">
            <v>0</v>
          </cell>
          <cell r="K376">
            <v>0</v>
          </cell>
          <cell r="L376">
            <v>0</v>
          </cell>
          <cell r="M376">
            <v>0</v>
          </cell>
          <cell r="T376">
            <v>8390</v>
          </cell>
          <cell r="U376">
            <v>0</v>
          </cell>
        </row>
        <row r="377">
          <cell r="D377">
            <v>8321</v>
          </cell>
          <cell r="E377" t="str">
            <v>库存股_净利润增加权益</v>
          </cell>
          <cell r="F377">
            <v>0</v>
          </cell>
          <cell r="G377">
            <v>0</v>
          </cell>
          <cell r="H377">
            <v>0</v>
          </cell>
          <cell r="I377">
            <v>0</v>
          </cell>
          <cell r="J377">
            <v>0</v>
          </cell>
          <cell r="K377">
            <v>0</v>
          </cell>
          <cell r="L377">
            <v>0</v>
          </cell>
          <cell r="M377">
            <v>0</v>
          </cell>
          <cell r="T377">
            <v>8321</v>
          </cell>
          <cell r="U377">
            <v>0</v>
          </cell>
        </row>
        <row r="378">
          <cell r="D378">
            <v>8330</v>
          </cell>
          <cell r="E378" t="str">
            <v>库存股_其他综合收益增加权益</v>
          </cell>
          <cell r="F378">
            <v>0</v>
          </cell>
          <cell r="G378">
            <v>0</v>
          </cell>
          <cell r="H378">
            <v>0</v>
          </cell>
          <cell r="I378">
            <v>0</v>
          </cell>
          <cell r="J378">
            <v>0</v>
          </cell>
          <cell r="K378">
            <v>0</v>
          </cell>
          <cell r="L378">
            <v>0</v>
          </cell>
          <cell r="M378">
            <v>0</v>
          </cell>
          <cell r="T378">
            <v>8330</v>
          </cell>
          <cell r="U378">
            <v>0</v>
          </cell>
        </row>
        <row r="379">
          <cell r="D379">
            <v>8340</v>
          </cell>
          <cell r="E379" t="str">
            <v>库存股_综合收益总额增加权益</v>
          </cell>
          <cell r="F379">
            <v>0</v>
          </cell>
          <cell r="G379">
            <v>0</v>
          </cell>
          <cell r="H379">
            <v>0</v>
          </cell>
          <cell r="I379">
            <v>0</v>
          </cell>
          <cell r="J379">
            <v>0</v>
          </cell>
          <cell r="K379">
            <v>0</v>
          </cell>
          <cell r="L379">
            <v>0</v>
          </cell>
          <cell r="M379">
            <v>0</v>
          </cell>
          <cell r="T379">
            <v>8340</v>
          </cell>
          <cell r="U379">
            <v>0</v>
          </cell>
        </row>
        <row r="380">
          <cell r="D380">
            <v>8350</v>
          </cell>
          <cell r="E380" t="str">
            <v>库存股_所有者投入和减少资本影响权益</v>
          </cell>
          <cell r="F380">
            <v>0</v>
          </cell>
          <cell r="G380">
            <v>0</v>
          </cell>
          <cell r="H380">
            <v>0</v>
          </cell>
          <cell r="I380">
            <v>0</v>
          </cell>
          <cell r="J380">
            <v>0</v>
          </cell>
          <cell r="K380">
            <v>0</v>
          </cell>
          <cell r="L380">
            <v>0</v>
          </cell>
          <cell r="M380">
            <v>0</v>
          </cell>
          <cell r="T380">
            <v>8350</v>
          </cell>
          <cell r="U380">
            <v>0</v>
          </cell>
        </row>
        <row r="381">
          <cell r="D381">
            <v>8351</v>
          </cell>
          <cell r="E381" t="str">
            <v>库存股_所有者投入资本</v>
          </cell>
          <cell r="F381">
            <v>0</v>
          </cell>
          <cell r="G381">
            <v>0</v>
          </cell>
          <cell r="H381">
            <v>0</v>
          </cell>
          <cell r="I381">
            <v>0</v>
          </cell>
          <cell r="J381">
            <v>0</v>
          </cell>
          <cell r="K381">
            <v>0</v>
          </cell>
          <cell r="L381">
            <v>0</v>
          </cell>
          <cell r="M381">
            <v>0</v>
          </cell>
          <cell r="T381">
            <v>8351</v>
          </cell>
          <cell r="U381">
            <v>0</v>
          </cell>
        </row>
        <row r="382">
          <cell r="D382">
            <v>8353</v>
          </cell>
          <cell r="E382" t="str">
            <v>库存股_其他权益工具持有者投入资本</v>
          </cell>
          <cell r="F382">
            <v>0</v>
          </cell>
          <cell r="G382">
            <v>0</v>
          </cell>
          <cell r="H382">
            <v>0</v>
          </cell>
          <cell r="I382">
            <v>0</v>
          </cell>
          <cell r="J382">
            <v>0</v>
          </cell>
          <cell r="K382">
            <v>0</v>
          </cell>
          <cell r="L382">
            <v>0</v>
          </cell>
          <cell r="M382">
            <v>0</v>
          </cell>
          <cell r="T382">
            <v>8353</v>
          </cell>
          <cell r="U382">
            <v>0</v>
          </cell>
        </row>
        <row r="383">
          <cell r="D383">
            <v>8352</v>
          </cell>
          <cell r="E383" t="str">
            <v>库存股_股份支付</v>
          </cell>
          <cell r="F383">
            <v>0</v>
          </cell>
          <cell r="G383">
            <v>0</v>
          </cell>
          <cell r="H383">
            <v>0</v>
          </cell>
          <cell r="I383">
            <v>0</v>
          </cell>
          <cell r="J383">
            <v>0</v>
          </cell>
          <cell r="K383">
            <v>0</v>
          </cell>
          <cell r="L383">
            <v>0</v>
          </cell>
          <cell r="M383">
            <v>0</v>
          </cell>
          <cell r="T383">
            <v>8352</v>
          </cell>
          <cell r="U383">
            <v>0</v>
          </cell>
        </row>
        <row r="384">
          <cell r="D384">
            <v>8356</v>
          </cell>
          <cell r="E384" t="str">
            <v>库存股_所有者其他投入和减少资本</v>
          </cell>
          <cell r="F384">
            <v>0</v>
          </cell>
          <cell r="G384">
            <v>0</v>
          </cell>
          <cell r="H384">
            <v>0</v>
          </cell>
          <cell r="I384">
            <v>0</v>
          </cell>
          <cell r="J384">
            <v>0</v>
          </cell>
          <cell r="K384">
            <v>0</v>
          </cell>
          <cell r="L384">
            <v>0</v>
          </cell>
          <cell r="M384">
            <v>0</v>
          </cell>
          <cell r="T384">
            <v>8356</v>
          </cell>
          <cell r="U384">
            <v>0</v>
          </cell>
        </row>
        <row r="385">
          <cell r="D385">
            <v>8360</v>
          </cell>
          <cell r="E385" t="str">
            <v>库存股_利润分配影响权益</v>
          </cell>
          <cell r="F385">
            <v>0</v>
          </cell>
          <cell r="G385">
            <v>0</v>
          </cell>
          <cell r="H385">
            <v>0</v>
          </cell>
          <cell r="I385">
            <v>0</v>
          </cell>
          <cell r="J385">
            <v>0</v>
          </cell>
          <cell r="K385">
            <v>0</v>
          </cell>
          <cell r="L385">
            <v>0</v>
          </cell>
          <cell r="M385">
            <v>0</v>
          </cell>
          <cell r="T385">
            <v>8360</v>
          </cell>
          <cell r="U385">
            <v>0</v>
          </cell>
        </row>
        <row r="386">
          <cell r="D386">
            <v>8361</v>
          </cell>
          <cell r="E386" t="str">
            <v>库存股_提取盈余公积影响权益</v>
          </cell>
          <cell r="F386">
            <v>0</v>
          </cell>
          <cell r="G386">
            <v>0</v>
          </cell>
          <cell r="H386">
            <v>0</v>
          </cell>
          <cell r="I386">
            <v>0</v>
          </cell>
          <cell r="J386">
            <v>0</v>
          </cell>
          <cell r="K386">
            <v>0</v>
          </cell>
          <cell r="L386">
            <v>0</v>
          </cell>
          <cell r="M386">
            <v>0</v>
          </cell>
          <cell r="T386">
            <v>8361</v>
          </cell>
          <cell r="U386">
            <v>0</v>
          </cell>
        </row>
        <row r="387">
          <cell r="D387">
            <v>8362</v>
          </cell>
          <cell r="E387" t="str">
            <v>库存股_提取一般风险准备影响权益</v>
          </cell>
          <cell r="F387">
            <v>0</v>
          </cell>
          <cell r="G387">
            <v>0</v>
          </cell>
          <cell r="H387">
            <v>0</v>
          </cell>
          <cell r="I387">
            <v>0</v>
          </cell>
          <cell r="J387">
            <v>0</v>
          </cell>
          <cell r="K387">
            <v>0</v>
          </cell>
          <cell r="L387">
            <v>0</v>
          </cell>
          <cell r="M387">
            <v>0</v>
          </cell>
          <cell r="T387">
            <v>8362</v>
          </cell>
          <cell r="U387">
            <v>0</v>
          </cell>
        </row>
        <row r="388">
          <cell r="D388">
            <v>8363</v>
          </cell>
          <cell r="E388" t="str">
            <v>库存股_对所有者的分配</v>
          </cell>
          <cell r="F388">
            <v>0</v>
          </cell>
          <cell r="G388">
            <v>0</v>
          </cell>
          <cell r="H388">
            <v>0</v>
          </cell>
          <cell r="I388">
            <v>0</v>
          </cell>
          <cell r="J388">
            <v>0</v>
          </cell>
          <cell r="K388">
            <v>0</v>
          </cell>
          <cell r="L388">
            <v>0</v>
          </cell>
          <cell r="M388">
            <v>0</v>
          </cell>
          <cell r="T388">
            <v>8363</v>
          </cell>
          <cell r="U388">
            <v>0</v>
          </cell>
        </row>
        <row r="389">
          <cell r="D389">
            <v>8366</v>
          </cell>
          <cell r="E389" t="str">
            <v>库存股_其他利润分配</v>
          </cell>
          <cell r="F389">
            <v>0</v>
          </cell>
          <cell r="G389">
            <v>0</v>
          </cell>
          <cell r="H389">
            <v>0</v>
          </cell>
          <cell r="I389">
            <v>0</v>
          </cell>
          <cell r="J389">
            <v>0</v>
          </cell>
          <cell r="K389">
            <v>0</v>
          </cell>
          <cell r="L389">
            <v>0</v>
          </cell>
          <cell r="M389">
            <v>0</v>
          </cell>
          <cell r="T389">
            <v>8366</v>
          </cell>
          <cell r="U389">
            <v>0</v>
          </cell>
        </row>
        <row r="390">
          <cell r="D390">
            <v>8370</v>
          </cell>
          <cell r="E390" t="str">
            <v>库存股_所有者权益内部结转</v>
          </cell>
          <cell r="F390">
            <v>0</v>
          </cell>
          <cell r="G390">
            <v>0</v>
          </cell>
          <cell r="H390">
            <v>0</v>
          </cell>
          <cell r="I390">
            <v>0</v>
          </cell>
          <cell r="J390">
            <v>0</v>
          </cell>
          <cell r="K390">
            <v>0</v>
          </cell>
          <cell r="L390">
            <v>0</v>
          </cell>
          <cell r="M390">
            <v>0</v>
          </cell>
          <cell r="T390">
            <v>8370</v>
          </cell>
          <cell r="U390">
            <v>0</v>
          </cell>
        </row>
        <row r="391">
          <cell r="D391">
            <v>8371</v>
          </cell>
          <cell r="E391" t="str">
            <v>库存股_资本公积转增资本影响权益</v>
          </cell>
          <cell r="F391">
            <v>0</v>
          </cell>
          <cell r="G391">
            <v>0</v>
          </cell>
          <cell r="H391">
            <v>0</v>
          </cell>
          <cell r="I391">
            <v>0</v>
          </cell>
          <cell r="J391">
            <v>0</v>
          </cell>
          <cell r="K391">
            <v>0</v>
          </cell>
          <cell r="L391">
            <v>0</v>
          </cell>
          <cell r="M391">
            <v>0</v>
          </cell>
          <cell r="T391">
            <v>8371</v>
          </cell>
          <cell r="U391">
            <v>0</v>
          </cell>
        </row>
        <row r="392">
          <cell r="D392">
            <v>8372</v>
          </cell>
          <cell r="E392" t="str">
            <v>库存股_盈余公积转增资本影响权益</v>
          </cell>
          <cell r="F392">
            <v>0</v>
          </cell>
          <cell r="G392">
            <v>0</v>
          </cell>
          <cell r="H392">
            <v>0</v>
          </cell>
          <cell r="I392">
            <v>0</v>
          </cell>
          <cell r="J392">
            <v>0</v>
          </cell>
          <cell r="K392">
            <v>0</v>
          </cell>
          <cell r="L392">
            <v>0</v>
          </cell>
          <cell r="M392">
            <v>0</v>
          </cell>
          <cell r="T392">
            <v>8372</v>
          </cell>
          <cell r="U392">
            <v>0</v>
          </cell>
        </row>
        <row r="393">
          <cell r="D393">
            <v>8373</v>
          </cell>
          <cell r="E393" t="str">
            <v>库存股_盈余公积弥补亏损影响权益</v>
          </cell>
          <cell r="F393">
            <v>0</v>
          </cell>
          <cell r="G393">
            <v>0</v>
          </cell>
          <cell r="H393">
            <v>0</v>
          </cell>
          <cell r="I393">
            <v>0</v>
          </cell>
          <cell r="J393">
            <v>0</v>
          </cell>
          <cell r="K393">
            <v>0</v>
          </cell>
          <cell r="L393">
            <v>0</v>
          </cell>
          <cell r="M393">
            <v>0</v>
          </cell>
          <cell r="T393">
            <v>8373</v>
          </cell>
          <cell r="U393">
            <v>0</v>
          </cell>
        </row>
        <row r="394">
          <cell r="D394">
            <v>8375</v>
          </cell>
          <cell r="E394" t="str">
            <v>库存股_设定受益计划变动额结转留存收益</v>
          </cell>
          <cell r="F394">
            <v>0</v>
          </cell>
          <cell r="G394">
            <v>0</v>
          </cell>
          <cell r="H394">
            <v>0</v>
          </cell>
          <cell r="I394">
            <v>0</v>
          </cell>
          <cell r="J394">
            <v>0</v>
          </cell>
          <cell r="K394">
            <v>0</v>
          </cell>
          <cell r="L394">
            <v>0</v>
          </cell>
          <cell r="M394">
            <v>0</v>
          </cell>
          <cell r="T394">
            <v>8375</v>
          </cell>
          <cell r="U394">
            <v>0</v>
          </cell>
        </row>
        <row r="395">
          <cell r="D395">
            <v>8376</v>
          </cell>
          <cell r="E395" t="str">
            <v>库存股_所有者权益其他内部结转</v>
          </cell>
          <cell r="F395">
            <v>0</v>
          </cell>
          <cell r="G395">
            <v>0</v>
          </cell>
          <cell r="H395">
            <v>0</v>
          </cell>
          <cell r="I395">
            <v>0</v>
          </cell>
          <cell r="J395">
            <v>0</v>
          </cell>
          <cell r="K395">
            <v>0</v>
          </cell>
          <cell r="L395">
            <v>0</v>
          </cell>
          <cell r="M395">
            <v>0</v>
          </cell>
          <cell r="T395">
            <v>8376</v>
          </cell>
          <cell r="U395">
            <v>0</v>
          </cell>
        </row>
        <row r="396">
          <cell r="D396">
            <v>8380</v>
          </cell>
          <cell r="E396" t="str">
            <v>库存股_专项储备影响权益</v>
          </cell>
          <cell r="F396">
            <v>0</v>
          </cell>
          <cell r="G396">
            <v>0</v>
          </cell>
          <cell r="H396">
            <v>0</v>
          </cell>
          <cell r="I396">
            <v>0</v>
          </cell>
          <cell r="J396">
            <v>0</v>
          </cell>
          <cell r="K396">
            <v>0</v>
          </cell>
          <cell r="L396">
            <v>0</v>
          </cell>
          <cell r="M396">
            <v>0</v>
          </cell>
          <cell r="T396">
            <v>8380</v>
          </cell>
          <cell r="U396">
            <v>0</v>
          </cell>
        </row>
        <row r="397">
          <cell r="D397">
            <v>8381</v>
          </cell>
          <cell r="E397" t="str">
            <v>库存股_专项储备本期提取</v>
          </cell>
          <cell r="F397">
            <v>0</v>
          </cell>
          <cell r="G397">
            <v>0</v>
          </cell>
          <cell r="H397">
            <v>0</v>
          </cell>
          <cell r="I397">
            <v>0</v>
          </cell>
          <cell r="J397">
            <v>0</v>
          </cell>
          <cell r="K397">
            <v>0</v>
          </cell>
          <cell r="L397">
            <v>0</v>
          </cell>
          <cell r="M397">
            <v>0</v>
          </cell>
          <cell r="T397">
            <v>8381</v>
          </cell>
          <cell r="U397">
            <v>0</v>
          </cell>
        </row>
        <row r="398">
          <cell r="D398">
            <v>8382</v>
          </cell>
          <cell r="E398" t="str">
            <v>库存股_专项储备本期使用</v>
          </cell>
          <cell r="F398">
            <v>0</v>
          </cell>
          <cell r="G398">
            <v>0</v>
          </cell>
          <cell r="H398">
            <v>0</v>
          </cell>
          <cell r="I398">
            <v>0</v>
          </cell>
          <cell r="J398">
            <v>0</v>
          </cell>
          <cell r="K398">
            <v>0</v>
          </cell>
          <cell r="L398">
            <v>0</v>
          </cell>
          <cell r="M398">
            <v>0</v>
          </cell>
          <cell r="T398">
            <v>8382</v>
          </cell>
          <cell r="U398">
            <v>0</v>
          </cell>
        </row>
        <row r="399">
          <cell r="D399">
            <v>8396</v>
          </cell>
          <cell r="E399" t="str">
            <v>库存股_本期其他增减变动</v>
          </cell>
          <cell r="F399">
            <v>0</v>
          </cell>
          <cell r="G399">
            <v>0</v>
          </cell>
          <cell r="H399">
            <v>0</v>
          </cell>
          <cell r="I399">
            <v>0</v>
          </cell>
          <cell r="J399">
            <v>0</v>
          </cell>
          <cell r="K399">
            <v>0</v>
          </cell>
          <cell r="L399">
            <v>0</v>
          </cell>
          <cell r="M399">
            <v>0</v>
          </cell>
          <cell r="T399">
            <v>8396</v>
          </cell>
          <cell r="U399">
            <v>0</v>
          </cell>
        </row>
        <row r="400">
          <cell r="D400">
            <v>8399</v>
          </cell>
          <cell r="E400" t="str">
            <v>库存股_本期期末余额</v>
          </cell>
          <cell r="F400">
            <v>0</v>
          </cell>
          <cell r="G400">
            <v>0</v>
          </cell>
          <cell r="H400">
            <v>0</v>
          </cell>
          <cell r="I400">
            <v>0</v>
          </cell>
          <cell r="J400">
            <v>0</v>
          </cell>
          <cell r="K400">
            <v>0</v>
          </cell>
          <cell r="L400">
            <v>0</v>
          </cell>
          <cell r="M400">
            <v>0</v>
          </cell>
          <cell r="T400">
            <v>8399</v>
          </cell>
          <cell r="U400">
            <v>0</v>
          </cell>
        </row>
        <row r="401">
          <cell r="D401" t="str">
            <v>8g00</v>
          </cell>
          <cell r="E401" t="str">
            <v>其他综合收益增减变动</v>
          </cell>
          <cell r="F401">
            <v>0</v>
          </cell>
          <cell r="G401">
            <v>0</v>
          </cell>
          <cell r="H401">
            <v>0</v>
          </cell>
          <cell r="I401">
            <v>0</v>
          </cell>
          <cell r="J401">
            <v>0</v>
          </cell>
          <cell r="K401">
            <v>0</v>
          </cell>
          <cell r="L401">
            <v>0</v>
          </cell>
          <cell r="M401">
            <v>0</v>
          </cell>
          <cell r="T401" t="str">
            <v>8g00</v>
          </cell>
          <cell r="U401">
            <v>0</v>
          </cell>
        </row>
        <row r="402">
          <cell r="D402" t="str">
            <v>8g01</v>
          </cell>
          <cell r="E402" t="str">
            <v>其他综合收益_上年年末余额</v>
          </cell>
          <cell r="F402">
            <v>0</v>
          </cell>
          <cell r="G402">
            <v>0</v>
          </cell>
          <cell r="H402">
            <v>0</v>
          </cell>
          <cell r="I402">
            <v>0</v>
          </cell>
          <cell r="J402">
            <v>0</v>
          </cell>
          <cell r="K402">
            <v>0</v>
          </cell>
          <cell r="L402">
            <v>0</v>
          </cell>
          <cell r="M402">
            <v>0</v>
          </cell>
          <cell r="T402" t="str">
            <v>8g01</v>
          </cell>
          <cell r="U402">
            <v>0</v>
          </cell>
        </row>
        <row r="403">
          <cell r="D403" t="str">
            <v>8g02</v>
          </cell>
          <cell r="E403" t="str">
            <v>其他综合收益_会计政策变更调整上年年末余额</v>
          </cell>
          <cell r="F403">
            <v>0</v>
          </cell>
          <cell r="G403">
            <v>0</v>
          </cell>
          <cell r="H403">
            <v>0</v>
          </cell>
          <cell r="I403">
            <v>0</v>
          </cell>
          <cell r="J403">
            <v>0</v>
          </cell>
          <cell r="K403">
            <v>0</v>
          </cell>
          <cell r="L403">
            <v>0</v>
          </cell>
          <cell r="M403">
            <v>0</v>
          </cell>
          <cell r="T403" t="str">
            <v>8g02</v>
          </cell>
          <cell r="U403">
            <v>0</v>
          </cell>
        </row>
        <row r="404">
          <cell r="D404" t="str">
            <v>8g03</v>
          </cell>
          <cell r="E404" t="str">
            <v>其他综合收益_前期差错更正调整上年年末余额</v>
          </cell>
          <cell r="F404">
            <v>0</v>
          </cell>
          <cell r="G404">
            <v>0</v>
          </cell>
          <cell r="H404">
            <v>0</v>
          </cell>
          <cell r="I404">
            <v>0</v>
          </cell>
          <cell r="J404">
            <v>0</v>
          </cell>
          <cell r="K404">
            <v>0</v>
          </cell>
          <cell r="L404">
            <v>0</v>
          </cell>
          <cell r="M404">
            <v>0</v>
          </cell>
          <cell r="T404" t="str">
            <v>8g03</v>
          </cell>
          <cell r="U404">
            <v>0</v>
          </cell>
        </row>
        <row r="405">
          <cell r="D405" t="str">
            <v>8g04</v>
          </cell>
          <cell r="E405" t="str">
            <v>其他综合收益_同一控制下企业合并调整上年年末余额</v>
          </cell>
          <cell r="F405">
            <v>0</v>
          </cell>
          <cell r="G405">
            <v>0</v>
          </cell>
          <cell r="H405">
            <v>0</v>
          </cell>
          <cell r="I405">
            <v>0</v>
          </cell>
          <cell r="J405">
            <v>0</v>
          </cell>
          <cell r="K405">
            <v>0</v>
          </cell>
          <cell r="L405">
            <v>0</v>
          </cell>
          <cell r="M405">
            <v>0</v>
          </cell>
          <cell r="T405" t="str">
            <v>8g04</v>
          </cell>
          <cell r="U405">
            <v>0</v>
          </cell>
        </row>
        <row r="406">
          <cell r="D406" t="str">
            <v>8g09</v>
          </cell>
          <cell r="E406" t="str">
            <v>其他综合收益_其他原因调整上年年末余额</v>
          </cell>
          <cell r="F406">
            <v>0</v>
          </cell>
          <cell r="G406">
            <v>0</v>
          </cell>
          <cell r="H406">
            <v>0</v>
          </cell>
          <cell r="I406">
            <v>0</v>
          </cell>
          <cell r="J406">
            <v>0</v>
          </cell>
          <cell r="K406">
            <v>0</v>
          </cell>
          <cell r="L406">
            <v>0</v>
          </cell>
          <cell r="M406">
            <v>0</v>
          </cell>
          <cell r="T406" t="str">
            <v>8g09</v>
          </cell>
          <cell r="U406">
            <v>0</v>
          </cell>
        </row>
        <row r="407">
          <cell r="D407" t="str">
            <v>8g10</v>
          </cell>
          <cell r="E407" t="str">
            <v>其他综合收益_本年年初余额</v>
          </cell>
          <cell r="F407">
            <v>0</v>
          </cell>
          <cell r="G407">
            <v>0</v>
          </cell>
          <cell r="H407">
            <v>0</v>
          </cell>
          <cell r="I407">
            <v>0</v>
          </cell>
          <cell r="J407">
            <v>0</v>
          </cell>
          <cell r="K407">
            <v>0</v>
          </cell>
          <cell r="L407">
            <v>0</v>
          </cell>
          <cell r="M407">
            <v>0</v>
          </cell>
          <cell r="T407" t="str">
            <v>8g10</v>
          </cell>
          <cell r="U407">
            <v>0</v>
          </cell>
        </row>
        <row r="408">
          <cell r="D408" t="str">
            <v>8g90</v>
          </cell>
          <cell r="E408" t="str">
            <v>其他综合收益_本期增减变动金额</v>
          </cell>
          <cell r="F408">
            <v>0</v>
          </cell>
          <cell r="G408">
            <v>0</v>
          </cell>
          <cell r="H408">
            <v>0</v>
          </cell>
          <cell r="I408">
            <v>0</v>
          </cell>
          <cell r="J408">
            <v>0</v>
          </cell>
          <cell r="K408">
            <v>0</v>
          </cell>
          <cell r="L408">
            <v>0</v>
          </cell>
          <cell r="M408">
            <v>0</v>
          </cell>
          <cell r="T408" t="str">
            <v>8g90</v>
          </cell>
          <cell r="U408">
            <v>0</v>
          </cell>
        </row>
        <row r="409">
          <cell r="D409" t="str">
            <v>8g40</v>
          </cell>
          <cell r="E409" t="str">
            <v>其他综合收益_综合收益总额增加权益</v>
          </cell>
          <cell r="F409">
            <v>0</v>
          </cell>
          <cell r="G409">
            <v>0</v>
          </cell>
          <cell r="H409">
            <v>0</v>
          </cell>
          <cell r="I409">
            <v>0</v>
          </cell>
          <cell r="J409">
            <v>0</v>
          </cell>
          <cell r="K409">
            <v>0</v>
          </cell>
          <cell r="L409">
            <v>0</v>
          </cell>
          <cell r="M409">
            <v>0</v>
          </cell>
          <cell r="T409" t="str">
            <v>8g40</v>
          </cell>
          <cell r="U409">
            <v>0</v>
          </cell>
        </row>
        <row r="410">
          <cell r="D410" t="str">
            <v>8g50</v>
          </cell>
          <cell r="E410" t="str">
            <v>其他综合收益_所有者投入和减少资本影响权益</v>
          </cell>
          <cell r="F410">
            <v>0</v>
          </cell>
          <cell r="G410">
            <v>0</v>
          </cell>
          <cell r="H410">
            <v>0</v>
          </cell>
          <cell r="I410">
            <v>0</v>
          </cell>
          <cell r="J410">
            <v>0</v>
          </cell>
          <cell r="K410">
            <v>0</v>
          </cell>
          <cell r="L410">
            <v>0</v>
          </cell>
          <cell r="M410">
            <v>0</v>
          </cell>
          <cell r="T410" t="str">
            <v>8g50</v>
          </cell>
          <cell r="U410">
            <v>0</v>
          </cell>
        </row>
        <row r="411">
          <cell r="D411" t="str">
            <v>8g51</v>
          </cell>
          <cell r="E411" t="str">
            <v>其他综合收益_所有者投入资本</v>
          </cell>
          <cell r="F411">
            <v>0</v>
          </cell>
          <cell r="G411">
            <v>0</v>
          </cell>
          <cell r="H411">
            <v>0</v>
          </cell>
          <cell r="I411">
            <v>0</v>
          </cell>
          <cell r="J411">
            <v>0</v>
          </cell>
          <cell r="K411">
            <v>0</v>
          </cell>
          <cell r="L411">
            <v>0</v>
          </cell>
          <cell r="M411">
            <v>0</v>
          </cell>
          <cell r="T411" t="str">
            <v>8g51</v>
          </cell>
          <cell r="U411">
            <v>0</v>
          </cell>
        </row>
        <row r="412">
          <cell r="D412" t="str">
            <v>8g53</v>
          </cell>
          <cell r="E412" t="str">
            <v>其他综合收益_其他权益工具持有者投入资本</v>
          </cell>
          <cell r="F412">
            <v>0</v>
          </cell>
          <cell r="G412">
            <v>0</v>
          </cell>
          <cell r="H412">
            <v>0</v>
          </cell>
          <cell r="I412">
            <v>0</v>
          </cell>
          <cell r="J412">
            <v>0</v>
          </cell>
          <cell r="K412">
            <v>0</v>
          </cell>
          <cell r="L412">
            <v>0</v>
          </cell>
          <cell r="M412">
            <v>0</v>
          </cell>
          <cell r="T412" t="str">
            <v>8g53</v>
          </cell>
          <cell r="U412">
            <v>0</v>
          </cell>
        </row>
        <row r="413">
          <cell r="D413" t="str">
            <v>8g52</v>
          </cell>
          <cell r="E413" t="str">
            <v>其他综合收益_股份支付</v>
          </cell>
          <cell r="F413">
            <v>0</v>
          </cell>
          <cell r="G413">
            <v>0</v>
          </cell>
          <cell r="H413">
            <v>0</v>
          </cell>
          <cell r="I413">
            <v>0</v>
          </cell>
          <cell r="J413">
            <v>0</v>
          </cell>
          <cell r="K413">
            <v>0</v>
          </cell>
          <cell r="L413">
            <v>0</v>
          </cell>
          <cell r="M413">
            <v>0</v>
          </cell>
          <cell r="T413" t="str">
            <v>8g52</v>
          </cell>
          <cell r="U413">
            <v>0</v>
          </cell>
        </row>
        <row r="414">
          <cell r="D414" t="str">
            <v>8g56</v>
          </cell>
          <cell r="E414" t="str">
            <v>其他综合收益_所有者其他投入和减少资本</v>
          </cell>
          <cell r="F414">
            <v>0</v>
          </cell>
          <cell r="G414">
            <v>0</v>
          </cell>
          <cell r="H414">
            <v>0</v>
          </cell>
          <cell r="I414">
            <v>0</v>
          </cell>
          <cell r="J414">
            <v>0</v>
          </cell>
          <cell r="K414">
            <v>0</v>
          </cell>
          <cell r="L414">
            <v>0</v>
          </cell>
          <cell r="M414">
            <v>0</v>
          </cell>
          <cell r="T414" t="str">
            <v>8g56</v>
          </cell>
          <cell r="U414">
            <v>0</v>
          </cell>
        </row>
        <row r="415">
          <cell r="D415" t="str">
            <v>8g60</v>
          </cell>
          <cell r="E415" t="str">
            <v>其他综合收益_利润分配影响权益</v>
          </cell>
          <cell r="F415">
            <v>0</v>
          </cell>
          <cell r="G415">
            <v>0</v>
          </cell>
          <cell r="H415">
            <v>0</v>
          </cell>
          <cell r="I415">
            <v>0</v>
          </cell>
          <cell r="J415">
            <v>0</v>
          </cell>
          <cell r="K415">
            <v>0</v>
          </cell>
          <cell r="L415">
            <v>0</v>
          </cell>
          <cell r="M415">
            <v>0</v>
          </cell>
          <cell r="T415" t="str">
            <v>8g60</v>
          </cell>
          <cell r="U415">
            <v>0</v>
          </cell>
        </row>
        <row r="416">
          <cell r="D416" t="str">
            <v>8g61</v>
          </cell>
          <cell r="E416" t="str">
            <v>其他综合收益_提取盈余公积</v>
          </cell>
          <cell r="F416">
            <v>0</v>
          </cell>
          <cell r="G416">
            <v>0</v>
          </cell>
          <cell r="H416">
            <v>0</v>
          </cell>
          <cell r="I416">
            <v>0</v>
          </cell>
          <cell r="J416">
            <v>0</v>
          </cell>
          <cell r="K416">
            <v>0</v>
          </cell>
          <cell r="L416">
            <v>0</v>
          </cell>
          <cell r="M416">
            <v>0</v>
          </cell>
          <cell r="T416" t="str">
            <v>8g61</v>
          </cell>
          <cell r="U416">
            <v>0</v>
          </cell>
        </row>
        <row r="417">
          <cell r="D417" t="str">
            <v>8g62</v>
          </cell>
          <cell r="E417" t="str">
            <v>其他综合收益_提取一般风险准备</v>
          </cell>
          <cell r="F417">
            <v>0</v>
          </cell>
          <cell r="G417">
            <v>0</v>
          </cell>
          <cell r="H417">
            <v>0</v>
          </cell>
          <cell r="I417">
            <v>0</v>
          </cell>
          <cell r="J417">
            <v>0</v>
          </cell>
          <cell r="K417">
            <v>0</v>
          </cell>
          <cell r="L417">
            <v>0</v>
          </cell>
          <cell r="M417">
            <v>0</v>
          </cell>
          <cell r="T417" t="str">
            <v>8g62</v>
          </cell>
          <cell r="U417">
            <v>0</v>
          </cell>
        </row>
        <row r="418">
          <cell r="D418" t="str">
            <v>8g63</v>
          </cell>
          <cell r="E418" t="str">
            <v>其他综合收益_对所有者的分配</v>
          </cell>
          <cell r="F418">
            <v>0</v>
          </cell>
          <cell r="G418">
            <v>0</v>
          </cell>
          <cell r="H418">
            <v>0</v>
          </cell>
          <cell r="I418">
            <v>0</v>
          </cell>
          <cell r="J418">
            <v>0</v>
          </cell>
          <cell r="K418">
            <v>0</v>
          </cell>
          <cell r="L418">
            <v>0</v>
          </cell>
          <cell r="M418">
            <v>0</v>
          </cell>
          <cell r="T418" t="str">
            <v>8g63</v>
          </cell>
          <cell r="U418">
            <v>0</v>
          </cell>
        </row>
        <row r="419">
          <cell r="D419" t="str">
            <v>8g66</v>
          </cell>
          <cell r="E419" t="str">
            <v>其他综合收益_其他利润分配</v>
          </cell>
          <cell r="F419">
            <v>0</v>
          </cell>
          <cell r="G419">
            <v>0</v>
          </cell>
          <cell r="H419">
            <v>0</v>
          </cell>
          <cell r="I419">
            <v>0</v>
          </cell>
          <cell r="J419">
            <v>0</v>
          </cell>
          <cell r="K419">
            <v>0</v>
          </cell>
          <cell r="L419">
            <v>0</v>
          </cell>
          <cell r="M419">
            <v>0</v>
          </cell>
          <cell r="T419" t="str">
            <v>8g66</v>
          </cell>
          <cell r="U419">
            <v>0</v>
          </cell>
        </row>
        <row r="420">
          <cell r="D420" t="str">
            <v>8g70</v>
          </cell>
          <cell r="E420" t="str">
            <v>其他综合收益_所有者权益内部结转</v>
          </cell>
          <cell r="F420">
            <v>0</v>
          </cell>
          <cell r="G420">
            <v>0</v>
          </cell>
          <cell r="H420">
            <v>0</v>
          </cell>
          <cell r="I420">
            <v>0</v>
          </cell>
          <cell r="J420">
            <v>0</v>
          </cell>
          <cell r="K420">
            <v>0</v>
          </cell>
          <cell r="L420">
            <v>0</v>
          </cell>
          <cell r="M420">
            <v>0</v>
          </cell>
          <cell r="T420" t="str">
            <v>8g70</v>
          </cell>
          <cell r="U420">
            <v>0</v>
          </cell>
        </row>
        <row r="421">
          <cell r="D421" t="str">
            <v>8g71</v>
          </cell>
          <cell r="E421" t="str">
            <v>其他综合收益_资本公积转增资本</v>
          </cell>
          <cell r="F421">
            <v>0</v>
          </cell>
          <cell r="G421">
            <v>0</v>
          </cell>
          <cell r="H421">
            <v>0</v>
          </cell>
          <cell r="I421">
            <v>0</v>
          </cell>
          <cell r="J421">
            <v>0</v>
          </cell>
          <cell r="K421">
            <v>0</v>
          </cell>
          <cell r="L421">
            <v>0</v>
          </cell>
          <cell r="M421">
            <v>0</v>
          </cell>
          <cell r="T421" t="str">
            <v>8g71</v>
          </cell>
          <cell r="U421">
            <v>0</v>
          </cell>
        </row>
        <row r="422">
          <cell r="D422" t="str">
            <v>8g72</v>
          </cell>
          <cell r="E422" t="str">
            <v>其他综合收益_盈余公积转增资本</v>
          </cell>
          <cell r="F422">
            <v>0</v>
          </cell>
          <cell r="G422">
            <v>0</v>
          </cell>
          <cell r="H422">
            <v>0</v>
          </cell>
          <cell r="I422">
            <v>0</v>
          </cell>
          <cell r="J422">
            <v>0</v>
          </cell>
          <cell r="K422">
            <v>0</v>
          </cell>
          <cell r="L422">
            <v>0</v>
          </cell>
          <cell r="M422">
            <v>0</v>
          </cell>
          <cell r="T422" t="str">
            <v>8g72</v>
          </cell>
          <cell r="U422">
            <v>0</v>
          </cell>
        </row>
        <row r="423">
          <cell r="D423" t="str">
            <v>8g73</v>
          </cell>
          <cell r="E423" t="str">
            <v>其他综合收益_盈余公积弥补亏损</v>
          </cell>
          <cell r="F423">
            <v>0</v>
          </cell>
          <cell r="G423">
            <v>0</v>
          </cell>
          <cell r="H423">
            <v>0</v>
          </cell>
          <cell r="I423">
            <v>0</v>
          </cell>
          <cell r="J423">
            <v>0</v>
          </cell>
          <cell r="K423">
            <v>0</v>
          </cell>
          <cell r="L423">
            <v>0</v>
          </cell>
          <cell r="M423">
            <v>0</v>
          </cell>
          <cell r="T423" t="str">
            <v>8g73</v>
          </cell>
          <cell r="U423">
            <v>0</v>
          </cell>
        </row>
        <row r="424">
          <cell r="D424" t="str">
            <v>8g75</v>
          </cell>
          <cell r="E424" t="str">
            <v>其他综合收益_设定受益计划变动额结转留存收益</v>
          </cell>
          <cell r="F424">
            <v>0</v>
          </cell>
          <cell r="G424">
            <v>0</v>
          </cell>
          <cell r="H424">
            <v>0</v>
          </cell>
          <cell r="I424">
            <v>0</v>
          </cell>
          <cell r="J424">
            <v>0</v>
          </cell>
          <cell r="K424">
            <v>0</v>
          </cell>
          <cell r="L424">
            <v>0</v>
          </cell>
          <cell r="M424">
            <v>0</v>
          </cell>
          <cell r="T424" t="str">
            <v>8g75</v>
          </cell>
          <cell r="U424">
            <v>0</v>
          </cell>
        </row>
        <row r="425">
          <cell r="D425" t="str">
            <v>8g76</v>
          </cell>
          <cell r="E425" t="str">
            <v>其他综合收益_所有者权益其他内部结转</v>
          </cell>
          <cell r="F425">
            <v>0</v>
          </cell>
          <cell r="G425">
            <v>0</v>
          </cell>
          <cell r="H425">
            <v>0</v>
          </cell>
          <cell r="I425">
            <v>0</v>
          </cell>
          <cell r="J425">
            <v>0</v>
          </cell>
          <cell r="K425">
            <v>0</v>
          </cell>
          <cell r="L425">
            <v>0</v>
          </cell>
          <cell r="M425">
            <v>0</v>
          </cell>
          <cell r="T425" t="str">
            <v>8g76</v>
          </cell>
          <cell r="U425">
            <v>0</v>
          </cell>
        </row>
        <row r="426">
          <cell r="D426" t="str">
            <v>8g80</v>
          </cell>
          <cell r="E426" t="str">
            <v>其他综合收益_专项储备影响权益</v>
          </cell>
          <cell r="F426">
            <v>0</v>
          </cell>
          <cell r="G426">
            <v>0</v>
          </cell>
          <cell r="H426">
            <v>0</v>
          </cell>
          <cell r="I426">
            <v>0</v>
          </cell>
          <cell r="J426">
            <v>0</v>
          </cell>
          <cell r="K426">
            <v>0</v>
          </cell>
          <cell r="L426">
            <v>0</v>
          </cell>
          <cell r="M426">
            <v>0</v>
          </cell>
          <cell r="T426" t="str">
            <v>8g80</v>
          </cell>
          <cell r="U426">
            <v>0</v>
          </cell>
        </row>
        <row r="427">
          <cell r="D427" t="str">
            <v>8g81</v>
          </cell>
          <cell r="E427" t="str">
            <v>其他综合收益_专项储备本期提取</v>
          </cell>
          <cell r="F427">
            <v>0</v>
          </cell>
          <cell r="G427">
            <v>0</v>
          </cell>
          <cell r="H427">
            <v>0</v>
          </cell>
          <cell r="I427">
            <v>0</v>
          </cell>
          <cell r="J427">
            <v>0</v>
          </cell>
          <cell r="K427">
            <v>0</v>
          </cell>
          <cell r="L427">
            <v>0</v>
          </cell>
          <cell r="M427">
            <v>0</v>
          </cell>
          <cell r="T427" t="str">
            <v>8g81</v>
          </cell>
          <cell r="U427">
            <v>0</v>
          </cell>
        </row>
        <row r="428">
          <cell r="D428" t="str">
            <v>8g82</v>
          </cell>
          <cell r="E428" t="str">
            <v>其他综合收益_专项储备本期使用</v>
          </cell>
          <cell r="F428">
            <v>0</v>
          </cell>
          <cell r="G428">
            <v>0</v>
          </cell>
          <cell r="H428">
            <v>0</v>
          </cell>
          <cell r="I428">
            <v>0</v>
          </cell>
          <cell r="J428">
            <v>0</v>
          </cell>
          <cell r="K428">
            <v>0</v>
          </cell>
          <cell r="L428">
            <v>0</v>
          </cell>
          <cell r="M428">
            <v>0</v>
          </cell>
          <cell r="T428" t="str">
            <v>8g82</v>
          </cell>
          <cell r="U428">
            <v>0</v>
          </cell>
        </row>
        <row r="429">
          <cell r="D429" t="str">
            <v>8g96</v>
          </cell>
          <cell r="E429" t="str">
            <v>其他综合收益_本期其他增减变动</v>
          </cell>
          <cell r="F429">
            <v>0</v>
          </cell>
          <cell r="G429">
            <v>0</v>
          </cell>
          <cell r="H429">
            <v>0</v>
          </cell>
          <cell r="I429">
            <v>0</v>
          </cell>
          <cell r="J429">
            <v>0</v>
          </cell>
          <cell r="K429">
            <v>0</v>
          </cell>
          <cell r="L429">
            <v>0</v>
          </cell>
          <cell r="M429">
            <v>0</v>
          </cell>
          <cell r="T429" t="str">
            <v>8g96</v>
          </cell>
          <cell r="U429">
            <v>0</v>
          </cell>
        </row>
        <row r="430">
          <cell r="D430" t="str">
            <v>8g99</v>
          </cell>
          <cell r="E430" t="str">
            <v>其他综合收益_本期期末余额</v>
          </cell>
          <cell r="F430">
            <v>0</v>
          </cell>
          <cell r="G430">
            <v>0</v>
          </cell>
          <cell r="H430">
            <v>0</v>
          </cell>
          <cell r="I430">
            <v>0</v>
          </cell>
          <cell r="J430">
            <v>0</v>
          </cell>
          <cell r="K430">
            <v>0</v>
          </cell>
          <cell r="L430">
            <v>0</v>
          </cell>
          <cell r="M430">
            <v>0</v>
          </cell>
          <cell r="T430" t="str">
            <v>8g99</v>
          </cell>
          <cell r="U430">
            <v>0</v>
          </cell>
        </row>
        <row r="431">
          <cell r="D431">
            <v>8400</v>
          </cell>
          <cell r="E431" t="str">
            <v>专项储备增减变动</v>
          </cell>
          <cell r="F431">
            <v>0</v>
          </cell>
          <cell r="G431">
            <v>0</v>
          </cell>
          <cell r="H431">
            <v>0</v>
          </cell>
          <cell r="I431">
            <v>0</v>
          </cell>
          <cell r="J431">
            <v>0</v>
          </cell>
          <cell r="K431">
            <v>0</v>
          </cell>
          <cell r="L431">
            <v>0</v>
          </cell>
          <cell r="M431">
            <v>0</v>
          </cell>
          <cell r="T431">
            <v>8400</v>
          </cell>
          <cell r="U431">
            <v>0</v>
          </cell>
        </row>
        <row r="432">
          <cell r="D432">
            <v>8401</v>
          </cell>
          <cell r="E432" t="str">
            <v>专项储备_上年年末余额</v>
          </cell>
          <cell r="F432">
            <v>7301705.1699999999</v>
          </cell>
          <cell r="G432">
            <v>191233.61</v>
          </cell>
          <cell r="H432">
            <v>0</v>
          </cell>
          <cell r="I432">
            <v>7110471.5599999996</v>
          </cell>
          <cell r="J432">
            <v>5551075.4500000002</v>
          </cell>
          <cell r="K432">
            <v>0</v>
          </cell>
          <cell r="L432">
            <v>0</v>
          </cell>
          <cell r="M432">
            <v>5551075.4500000002</v>
          </cell>
          <cell r="T432">
            <v>8401</v>
          </cell>
          <cell r="U432">
            <v>5551075.4500000002</v>
          </cell>
        </row>
        <row r="433">
          <cell r="D433">
            <v>8402</v>
          </cell>
          <cell r="E433" t="str">
            <v>专项储备_会计政策变更调整上年年末余额</v>
          </cell>
          <cell r="F433">
            <v>0</v>
          </cell>
          <cell r="G433">
            <v>0</v>
          </cell>
          <cell r="H433">
            <v>0</v>
          </cell>
          <cell r="I433">
            <v>0</v>
          </cell>
          <cell r="J433">
            <v>0</v>
          </cell>
          <cell r="K433">
            <v>0</v>
          </cell>
          <cell r="L433">
            <v>0</v>
          </cell>
          <cell r="M433">
            <v>0</v>
          </cell>
          <cell r="T433">
            <v>8402</v>
          </cell>
          <cell r="U433">
            <v>0</v>
          </cell>
        </row>
        <row r="434">
          <cell r="D434">
            <v>8403</v>
          </cell>
          <cell r="E434" t="str">
            <v>专项储备_前期差错更正调整上年年末余额</v>
          </cell>
          <cell r="F434">
            <v>0</v>
          </cell>
          <cell r="G434">
            <v>0</v>
          </cell>
          <cell r="H434">
            <v>0</v>
          </cell>
          <cell r="I434">
            <v>0</v>
          </cell>
          <cell r="J434">
            <v>0</v>
          </cell>
          <cell r="K434">
            <v>0</v>
          </cell>
          <cell r="L434">
            <v>0</v>
          </cell>
          <cell r="M434">
            <v>0</v>
          </cell>
          <cell r="T434">
            <v>8403</v>
          </cell>
          <cell r="U434">
            <v>0</v>
          </cell>
        </row>
        <row r="435">
          <cell r="D435">
            <v>8404</v>
          </cell>
          <cell r="E435" t="str">
            <v>专项储备_同一控制下企业合并调整上年年末余额</v>
          </cell>
          <cell r="F435">
            <v>0</v>
          </cell>
          <cell r="G435">
            <v>0</v>
          </cell>
          <cell r="H435">
            <v>0</v>
          </cell>
          <cell r="I435">
            <v>0</v>
          </cell>
          <cell r="J435">
            <v>0</v>
          </cell>
          <cell r="K435">
            <v>0</v>
          </cell>
          <cell r="L435">
            <v>0</v>
          </cell>
          <cell r="M435">
            <v>0</v>
          </cell>
          <cell r="T435">
            <v>8404</v>
          </cell>
          <cell r="U435">
            <v>0</v>
          </cell>
        </row>
        <row r="436">
          <cell r="D436">
            <v>8409</v>
          </cell>
          <cell r="E436" t="str">
            <v>专项储备_其他原因调整上年年末余额</v>
          </cell>
          <cell r="F436">
            <v>-191233.61</v>
          </cell>
          <cell r="G436">
            <v>0</v>
          </cell>
          <cell r="H436">
            <v>191233.61</v>
          </cell>
          <cell r="I436">
            <v>0</v>
          </cell>
          <cell r="J436">
            <v>0</v>
          </cell>
          <cell r="K436">
            <v>0</v>
          </cell>
          <cell r="L436">
            <v>0</v>
          </cell>
          <cell r="M436">
            <v>0</v>
          </cell>
          <cell r="T436">
            <v>8409</v>
          </cell>
          <cell r="U436">
            <v>0</v>
          </cell>
        </row>
        <row r="437">
          <cell r="D437">
            <v>8410</v>
          </cell>
          <cell r="E437" t="str">
            <v>专项储备_本年年初余额</v>
          </cell>
          <cell r="F437">
            <v>7110471.5599999996</v>
          </cell>
          <cell r="G437">
            <v>191233.61</v>
          </cell>
          <cell r="H437">
            <v>191233.61</v>
          </cell>
          <cell r="I437">
            <v>7110471.5599999996</v>
          </cell>
          <cell r="J437">
            <v>5551075.4500000002</v>
          </cell>
          <cell r="K437">
            <v>0</v>
          </cell>
          <cell r="L437">
            <v>0</v>
          </cell>
          <cell r="M437">
            <v>5551075.4500000002</v>
          </cell>
          <cell r="T437">
            <v>8410</v>
          </cell>
          <cell r="U437">
            <v>5551075.4500000002</v>
          </cell>
        </row>
        <row r="438">
          <cell r="D438">
            <v>8490</v>
          </cell>
          <cell r="E438" t="str">
            <v>专项储备_本期增减变动金额</v>
          </cell>
          <cell r="F438">
            <v>691641</v>
          </cell>
          <cell r="G438">
            <v>0</v>
          </cell>
          <cell r="H438">
            <v>144603.26</v>
          </cell>
          <cell r="I438">
            <v>836244.26</v>
          </cell>
          <cell r="J438">
            <v>1559396.11</v>
          </cell>
          <cell r="K438">
            <v>0</v>
          </cell>
          <cell r="L438">
            <v>0</v>
          </cell>
          <cell r="M438">
            <v>1559396.11</v>
          </cell>
          <cell r="T438">
            <v>8490</v>
          </cell>
          <cell r="U438">
            <v>1559396.11</v>
          </cell>
        </row>
        <row r="439">
          <cell r="D439">
            <v>8421</v>
          </cell>
          <cell r="E439" t="str">
            <v>专项储备_净利润增加权益</v>
          </cell>
          <cell r="F439">
            <v>0</v>
          </cell>
          <cell r="G439">
            <v>0</v>
          </cell>
          <cell r="H439">
            <v>0</v>
          </cell>
          <cell r="I439">
            <v>0</v>
          </cell>
          <cell r="J439">
            <v>0</v>
          </cell>
          <cell r="K439">
            <v>0</v>
          </cell>
          <cell r="L439">
            <v>0</v>
          </cell>
          <cell r="M439">
            <v>0</v>
          </cell>
          <cell r="T439">
            <v>8421</v>
          </cell>
          <cell r="U439">
            <v>0</v>
          </cell>
        </row>
        <row r="440">
          <cell r="D440">
            <v>8430</v>
          </cell>
          <cell r="E440" t="str">
            <v>专项储备_其他综合收益增加权益</v>
          </cell>
          <cell r="F440">
            <v>0</v>
          </cell>
          <cell r="G440">
            <v>0</v>
          </cell>
          <cell r="H440">
            <v>0</v>
          </cell>
          <cell r="I440">
            <v>0</v>
          </cell>
          <cell r="J440">
            <v>0</v>
          </cell>
          <cell r="K440">
            <v>0</v>
          </cell>
          <cell r="L440">
            <v>0</v>
          </cell>
          <cell r="M440">
            <v>0</v>
          </cell>
          <cell r="T440">
            <v>8430</v>
          </cell>
          <cell r="U440">
            <v>0</v>
          </cell>
        </row>
        <row r="441">
          <cell r="D441">
            <v>8440</v>
          </cell>
          <cell r="E441" t="str">
            <v>专项储备_综合收益总额增加权益</v>
          </cell>
          <cell r="F441">
            <v>0</v>
          </cell>
          <cell r="G441">
            <v>0</v>
          </cell>
          <cell r="H441">
            <v>0</v>
          </cell>
          <cell r="I441">
            <v>0</v>
          </cell>
          <cell r="J441">
            <v>0</v>
          </cell>
          <cell r="K441">
            <v>0</v>
          </cell>
          <cell r="L441">
            <v>0</v>
          </cell>
          <cell r="M441">
            <v>0</v>
          </cell>
          <cell r="T441">
            <v>8440</v>
          </cell>
          <cell r="U441">
            <v>0</v>
          </cell>
        </row>
        <row r="442">
          <cell r="D442">
            <v>8450</v>
          </cell>
          <cell r="E442" t="str">
            <v>专项储备_所有者投入和减少资本影响权益</v>
          </cell>
          <cell r="F442">
            <v>0</v>
          </cell>
          <cell r="G442">
            <v>0</v>
          </cell>
          <cell r="H442">
            <v>0</v>
          </cell>
          <cell r="I442">
            <v>0</v>
          </cell>
          <cell r="J442">
            <v>0</v>
          </cell>
          <cell r="K442">
            <v>0</v>
          </cell>
          <cell r="L442">
            <v>0</v>
          </cell>
          <cell r="M442">
            <v>0</v>
          </cell>
          <cell r="T442">
            <v>8450</v>
          </cell>
          <cell r="U442">
            <v>0</v>
          </cell>
        </row>
        <row r="443">
          <cell r="D443">
            <v>8451</v>
          </cell>
          <cell r="E443" t="str">
            <v>专项储备_所有者投入资本增加权益</v>
          </cell>
          <cell r="F443">
            <v>0</v>
          </cell>
          <cell r="G443">
            <v>0</v>
          </cell>
          <cell r="H443">
            <v>0</v>
          </cell>
          <cell r="I443">
            <v>0</v>
          </cell>
          <cell r="J443">
            <v>0</v>
          </cell>
          <cell r="K443">
            <v>0</v>
          </cell>
          <cell r="L443">
            <v>0</v>
          </cell>
          <cell r="M443">
            <v>0</v>
          </cell>
          <cell r="T443">
            <v>8451</v>
          </cell>
          <cell r="U443">
            <v>0</v>
          </cell>
        </row>
        <row r="444">
          <cell r="D444">
            <v>8453</v>
          </cell>
          <cell r="E444" t="str">
            <v>专项储备_其他权益工具持有者投入资本</v>
          </cell>
          <cell r="F444">
            <v>0</v>
          </cell>
          <cell r="G444">
            <v>0</v>
          </cell>
          <cell r="H444">
            <v>0</v>
          </cell>
          <cell r="I444">
            <v>0</v>
          </cell>
          <cell r="J444">
            <v>0</v>
          </cell>
          <cell r="K444">
            <v>0</v>
          </cell>
          <cell r="L444">
            <v>0</v>
          </cell>
          <cell r="M444">
            <v>0</v>
          </cell>
          <cell r="T444">
            <v>8453</v>
          </cell>
          <cell r="U444">
            <v>0</v>
          </cell>
        </row>
        <row r="445">
          <cell r="D445">
            <v>8452</v>
          </cell>
          <cell r="E445" t="str">
            <v>专项储备_股份支付计入所有者权益的金额</v>
          </cell>
          <cell r="F445">
            <v>0</v>
          </cell>
          <cell r="G445">
            <v>0</v>
          </cell>
          <cell r="H445">
            <v>0</v>
          </cell>
          <cell r="I445">
            <v>0</v>
          </cell>
          <cell r="J445">
            <v>0</v>
          </cell>
          <cell r="K445">
            <v>0</v>
          </cell>
          <cell r="L445">
            <v>0</v>
          </cell>
          <cell r="M445">
            <v>0</v>
          </cell>
          <cell r="T445">
            <v>8452</v>
          </cell>
          <cell r="U445">
            <v>0</v>
          </cell>
        </row>
        <row r="446">
          <cell r="D446">
            <v>8456</v>
          </cell>
          <cell r="E446" t="str">
            <v>专项储备_所有者其他投入和减少资本</v>
          </cell>
          <cell r="F446">
            <v>0</v>
          </cell>
          <cell r="G446">
            <v>0</v>
          </cell>
          <cell r="H446">
            <v>0</v>
          </cell>
          <cell r="I446">
            <v>0</v>
          </cell>
          <cell r="J446">
            <v>0</v>
          </cell>
          <cell r="K446">
            <v>0</v>
          </cell>
          <cell r="L446">
            <v>0</v>
          </cell>
          <cell r="M446">
            <v>0</v>
          </cell>
          <cell r="T446">
            <v>8456</v>
          </cell>
          <cell r="U446">
            <v>0</v>
          </cell>
        </row>
        <row r="447">
          <cell r="D447">
            <v>8460</v>
          </cell>
          <cell r="E447" t="str">
            <v>专项储备_利润分配影响权益</v>
          </cell>
          <cell r="F447">
            <v>0</v>
          </cell>
          <cell r="G447">
            <v>0</v>
          </cell>
          <cell r="H447">
            <v>0</v>
          </cell>
          <cell r="I447">
            <v>0</v>
          </cell>
          <cell r="J447">
            <v>0</v>
          </cell>
          <cell r="K447">
            <v>0</v>
          </cell>
          <cell r="L447">
            <v>0</v>
          </cell>
          <cell r="M447">
            <v>0</v>
          </cell>
          <cell r="T447">
            <v>8460</v>
          </cell>
          <cell r="U447">
            <v>0</v>
          </cell>
        </row>
        <row r="448">
          <cell r="D448">
            <v>8461</v>
          </cell>
          <cell r="E448" t="str">
            <v>专项储备_提取盈余公积影响权益</v>
          </cell>
          <cell r="F448">
            <v>0</v>
          </cell>
          <cell r="G448">
            <v>0</v>
          </cell>
          <cell r="H448">
            <v>0</v>
          </cell>
          <cell r="I448">
            <v>0</v>
          </cell>
          <cell r="J448">
            <v>0</v>
          </cell>
          <cell r="K448">
            <v>0</v>
          </cell>
          <cell r="L448">
            <v>0</v>
          </cell>
          <cell r="M448">
            <v>0</v>
          </cell>
          <cell r="T448">
            <v>8461</v>
          </cell>
          <cell r="U448">
            <v>0</v>
          </cell>
        </row>
        <row r="449">
          <cell r="D449">
            <v>8462</v>
          </cell>
          <cell r="E449" t="str">
            <v>专项储备_提取一般风险准备影响权益</v>
          </cell>
          <cell r="F449">
            <v>0</v>
          </cell>
          <cell r="G449">
            <v>0</v>
          </cell>
          <cell r="H449">
            <v>0</v>
          </cell>
          <cell r="I449">
            <v>0</v>
          </cell>
          <cell r="J449">
            <v>0</v>
          </cell>
          <cell r="K449">
            <v>0</v>
          </cell>
          <cell r="L449">
            <v>0</v>
          </cell>
          <cell r="M449">
            <v>0</v>
          </cell>
          <cell r="T449">
            <v>8462</v>
          </cell>
          <cell r="U449">
            <v>0</v>
          </cell>
        </row>
        <row r="450">
          <cell r="D450">
            <v>8463</v>
          </cell>
          <cell r="E450" t="str">
            <v>专项储备_对所有者的分配影响权益</v>
          </cell>
          <cell r="F450">
            <v>0</v>
          </cell>
          <cell r="G450">
            <v>0</v>
          </cell>
          <cell r="H450">
            <v>0</v>
          </cell>
          <cell r="I450">
            <v>0</v>
          </cell>
          <cell r="J450">
            <v>0</v>
          </cell>
          <cell r="K450">
            <v>0</v>
          </cell>
          <cell r="L450">
            <v>0</v>
          </cell>
          <cell r="M450">
            <v>0</v>
          </cell>
          <cell r="T450">
            <v>8463</v>
          </cell>
          <cell r="U450">
            <v>0</v>
          </cell>
        </row>
        <row r="451">
          <cell r="D451">
            <v>8466</v>
          </cell>
          <cell r="E451" t="str">
            <v>专项储备_其他利润分配影响权益</v>
          </cell>
          <cell r="F451">
            <v>0</v>
          </cell>
          <cell r="G451">
            <v>0</v>
          </cell>
          <cell r="H451">
            <v>0</v>
          </cell>
          <cell r="I451">
            <v>0</v>
          </cell>
          <cell r="J451">
            <v>0</v>
          </cell>
          <cell r="K451">
            <v>0</v>
          </cell>
          <cell r="L451">
            <v>0</v>
          </cell>
          <cell r="M451">
            <v>0</v>
          </cell>
          <cell r="T451">
            <v>8466</v>
          </cell>
          <cell r="U451">
            <v>0</v>
          </cell>
        </row>
        <row r="452">
          <cell r="D452">
            <v>8470</v>
          </cell>
          <cell r="E452" t="str">
            <v>专项储备_所有者权益内部结转</v>
          </cell>
          <cell r="F452">
            <v>0</v>
          </cell>
          <cell r="G452">
            <v>0</v>
          </cell>
          <cell r="H452">
            <v>0</v>
          </cell>
          <cell r="I452">
            <v>0</v>
          </cell>
          <cell r="J452">
            <v>0</v>
          </cell>
          <cell r="K452">
            <v>0</v>
          </cell>
          <cell r="L452">
            <v>0</v>
          </cell>
          <cell r="M452">
            <v>0</v>
          </cell>
          <cell r="T452">
            <v>8470</v>
          </cell>
          <cell r="U452">
            <v>0</v>
          </cell>
        </row>
        <row r="453">
          <cell r="D453">
            <v>8471</v>
          </cell>
          <cell r="E453" t="str">
            <v>专项储备_资本公积转增资本影响权益</v>
          </cell>
          <cell r="F453">
            <v>0</v>
          </cell>
          <cell r="G453">
            <v>0</v>
          </cell>
          <cell r="H453">
            <v>0</v>
          </cell>
          <cell r="I453">
            <v>0</v>
          </cell>
          <cell r="J453">
            <v>0</v>
          </cell>
          <cell r="K453">
            <v>0</v>
          </cell>
          <cell r="L453">
            <v>0</v>
          </cell>
          <cell r="M453">
            <v>0</v>
          </cell>
          <cell r="T453">
            <v>8471</v>
          </cell>
          <cell r="U453">
            <v>0</v>
          </cell>
        </row>
        <row r="454">
          <cell r="D454">
            <v>8472</v>
          </cell>
          <cell r="E454" t="str">
            <v>专项储备_盈余公积转增资本影响权益</v>
          </cell>
          <cell r="F454">
            <v>0</v>
          </cell>
          <cell r="G454">
            <v>0</v>
          </cell>
          <cell r="H454">
            <v>0</v>
          </cell>
          <cell r="I454">
            <v>0</v>
          </cell>
          <cell r="J454">
            <v>0</v>
          </cell>
          <cell r="K454">
            <v>0</v>
          </cell>
          <cell r="L454">
            <v>0</v>
          </cell>
          <cell r="M454">
            <v>0</v>
          </cell>
          <cell r="T454">
            <v>8472</v>
          </cell>
          <cell r="U454">
            <v>0</v>
          </cell>
        </row>
        <row r="455">
          <cell r="D455">
            <v>8473</v>
          </cell>
          <cell r="E455" t="str">
            <v>专项储备_盈余公积弥补亏损影响权益</v>
          </cell>
          <cell r="F455">
            <v>0</v>
          </cell>
          <cell r="G455">
            <v>0</v>
          </cell>
          <cell r="H455">
            <v>0</v>
          </cell>
          <cell r="I455">
            <v>0</v>
          </cell>
          <cell r="J455">
            <v>0</v>
          </cell>
          <cell r="K455">
            <v>0</v>
          </cell>
          <cell r="L455">
            <v>0</v>
          </cell>
          <cell r="M455">
            <v>0</v>
          </cell>
          <cell r="T455">
            <v>8473</v>
          </cell>
          <cell r="U455">
            <v>0</v>
          </cell>
        </row>
        <row r="456">
          <cell r="D456">
            <v>8475</v>
          </cell>
          <cell r="E456" t="str">
            <v>专项储备_设定受益计划变动额结转留存收益</v>
          </cell>
          <cell r="F456">
            <v>0</v>
          </cell>
          <cell r="G456">
            <v>0</v>
          </cell>
          <cell r="H456">
            <v>0</v>
          </cell>
          <cell r="I456">
            <v>0</v>
          </cell>
          <cell r="J456">
            <v>0</v>
          </cell>
          <cell r="K456">
            <v>0</v>
          </cell>
          <cell r="L456">
            <v>0</v>
          </cell>
          <cell r="M456">
            <v>0</v>
          </cell>
          <cell r="T456">
            <v>8475</v>
          </cell>
          <cell r="U456">
            <v>0</v>
          </cell>
        </row>
        <row r="457">
          <cell r="D457">
            <v>8476</v>
          </cell>
          <cell r="E457" t="str">
            <v>专项储备_所有者权益其他内部结转</v>
          </cell>
          <cell r="F457">
            <v>0</v>
          </cell>
          <cell r="G457">
            <v>0</v>
          </cell>
          <cell r="H457">
            <v>0</v>
          </cell>
          <cell r="I457">
            <v>0</v>
          </cell>
          <cell r="J457">
            <v>0</v>
          </cell>
          <cell r="K457">
            <v>0</v>
          </cell>
          <cell r="L457">
            <v>0</v>
          </cell>
          <cell r="M457">
            <v>0</v>
          </cell>
          <cell r="T457">
            <v>8476</v>
          </cell>
          <cell r="U457">
            <v>0</v>
          </cell>
        </row>
        <row r="458">
          <cell r="D458">
            <v>8480</v>
          </cell>
          <cell r="E458" t="str">
            <v>专项储备_专项储备影响权益</v>
          </cell>
          <cell r="F458">
            <v>691641</v>
          </cell>
          <cell r="G458">
            <v>0</v>
          </cell>
          <cell r="H458">
            <v>144603.26</v>
          </cell>
          <cell r="I458">
            <v>836244.26</v>
          </cell>
          <cell r="J458">
            <v>1559396.11</v>
          </cell>
          <cell r="K458">
            <v>0</v>
          </cell>
          <cell r="L458">
            <v>0</v>
          </cell>
          <cell r="M458">
            <v>1559396.11</v>
          </cell>
          <cell r="T458">
            <v>8480</v>
          </cell>
          <cell r="U458">
            <v>1559396.11</v>
          </cell>
        </row>
        <row r="459">
          <cell r="D459">
            <v>8481</v>
          </cell>
          <cell r="E459" t="str">
            <v>专项储备_本期提取</v>
          </cell>
          <cell r="F459">
            <v>691641</v>
          </cell>
          <cell r="G459">
            <v>0</v>
          </cell>
          <cell r="H459">
            <v>144603.26</v>
          </cell>
          <cell r="I459">
            <v>836244.26</v>
          </cell>
          <cell r="J459">
            <v>1559396.11</v>
          </cell>
          <cell r="K459">
            <v>0</v>
          </cell>
          <cell r="L459">
            <v>0</v>
          </cell>
          <cell r="M459">
            <v>1559396.11</v>
          </cell>
          <cell r="T459">
            <v>8481</v>
          </cell>
          <cell r="U459">
            <v>1559396.11</v>
          </cell>
        </row>
        <row r="460">
          <cell r="D460">
            <v>8482</v>
          </cell>
          <cell r="E460" t="str">
            <v>专项储备_本期使用</v>
          </cell>
          <cell r="F460">
            <v>0</v>
          </cell>
          <cell r="G460">
            <v>0</v>
          </cell>
          <cell r="H460">
            <v>0</v>
          </cell>
          <cell r="I460">
            <v>0</v>
          </cell>
          <cell r="J460">
            <v>0</v>
          </cell>
          <cell r="K460">
            <v>0</v>
          </cell>
          <cell r="L460">
            <v>0</v>
          </cell>
          <cell r="M460">
            <v>0</v>
          </cell>
          <cell r="T460">
            <v>8482</v>
          </cell>
          <cell r="U460">
            <v>0</v>
          </cell>
        </row>
        <row r="461">
          <cell r="D461">
            <v>8496</v>
          </cell>
          <cell r="E461" t="str">
            <v>专项储备_本期其他增减变动</v>
          </cell>
          <cell r="F461">
            <v>0</v>
          </cell>
          <cell r="G461">
            <v>0</v>
          </cell>
          <cell r="H461">
            <v>0</v>
          </cell>
          <cell r="I461">
            <v>0</v>
          </cell>
          <cell r="J461">
            <v>0</v>
          </cell>
          <cell r="K461">
            <v>0</v>
          </cell>
          <cell r="L461">
            <v>0</v>
          </cell>
          <cell r="M461">
            <v>0</v>
          </cell>
          <cell r="T461">
            <v>8496</v>
          </cell>
          <cell r="U461">
            <v>0</v>
          </cell>
        </row>
        <row r="462">
          <cell r="D462">
            <v>8499</v>
          </cell>
          <cell r="E462" t="str">
            <v>专项储备_本期期末余额</v>
          </cell>
          <cell r="F462">
            <v>7802112.5599999996</v>
          </cell>
          <cell r="G462">
            <v>191233.61</v>
          </cell>
          <cell r="H462">
            <v>335836.87</v>
          </cell>
          <cell r="I462">
            <v>7946715.8200000003</v>
          </cell>
          <cell r="J462">
            <v>7110471.5599999996</v>
          </cell>
          <cell r="K462">
            <v>0</v>
          </cell>
          <cell r="L462">
            <v>0</v>
          </cell>
          <cell r="M462">
            <v>7110471.5599999996</v>
          </cell>
          <cell r="T462">
            <v>8499</v>
          </cell>
          <cell r="U462">
            <v>7110471.5599999996</v>
          </cell>
        </row>
        <row r="463">
          <cell r="D463">
            <v>8500</v>
          </cell>
          <cell r="E463" t="str">
            <v>盈余公积增减变动</v>
          </cell>
          <cell r="F463">
            <v>0</v>
          </cell>
          <cell r="G463">
            <v>0</v>
          </cell>
          <cell r="H463">
            <v>0</v>
          </cell>
          <cell r="I463">
            <v>0</v>
          </cell>
          <cell r="J463">
            <v>0</v>
          </cell>
          <cell r="K463">
            <v>0</v>
          </cell>
          <cell r="L463">
            <v>0</v>
          </cell>
          <cell r="M463">
            <v>0</v>
          </cell>
          <cell r="T463">
            <v>8500</v>
          </cell>
          <cell r="U463">
            <v>0</v>
          </cell>
        </row>
        <row r="464">
          <cell r="D464">
            <v>8501</v>
          </cell>
          <cell r="E464" t="str">
            <v>盈余公积_上年年末余额</v>
          </cell>
          <cell r="F464">
            <v>17597029.559999999</v>
          </cell>
          <cell r="G464">
            <v>1252865.45</v>
          </cell>
          <cell r="H464">
            <v>0</v>
          </cell>
          <cell r="I464">
            <v>16344164.109999999</v>
          </cell>
          <cell r="J464">
            <v>13774458.859999999</v>
          </cell>
          <cell r="K464">
            <v>0</v>
          </cell>
          <cell r="L464">
            <v>0</v>
          </cell>
          <cell r="M464">
            <v>13774458.859999999</v>
          </cell>
          <cell r="T464">
            <v>8501</v>
          </cell>
          <cell r="U464">
            <v>13774458.859999999</v>
          </cell>
        </row>
        <row r="465">
          <cell r="D465">
            <v>8502</v>
          </cell>
          <cell r="E465" t="str">
            <v>盈余公积_会计政策变更调整上年年末余额</v>
          </cell>
          <cell r="F465">
            <v>0</v>
          </cell>
          <cell r="G465">
            <v>0</v>
          </cell>
          <cell r="H465">
            <v>0</v>
          </cell>
          <cell r="I465">
            <v>0</v>
          </cell>
          <cell r="J465">
            <v>0</v>
          </cell>
          <cell r="K465">
            <v>0</v>
          </cell>
          <cell r="L465">
            <v>0</v>
          </cell>
          <cell r="M465">
            <v>0</v>
          </cell>
          <cell r="T465">
            <v>8502</v>
          </cell>
          <cell r="U465">
            <v>0</v>
          </cell>
        </row>
        <row r="466">
          <cell r="D466">
            <v>8503</v>
          </cell>
          <cell r="E466" t="str">
            <v>盈余公积_前期差错更正调整上年年末余额</v>
          </cell>
          <cell r="F466">
            <v>0</v>
          </cell>
          <cell r="G466">
            <v>0</v>
          </cell>
          <cell r="H466">
            <v>0</v>
          </cell>
          <cell r="I466">
            <v>0</v>
          </cell>
          <cell r="J466">
            <v>0</v>
          </cell>
          <cell r="K466">
            <v>0</v>
          </cell>
          <cell r="L466">
            <v>0</v>
          </cell>
          <cell r="M466">
            <v>0</v>
          </cell>
          <cell r="T466">
            <v>8503</v>
          </cell>
          <cell r="U466">
            <v>0</v>
          </cell>
        </row>
        <row r="467">
          <cell r="D467">
            <v>8504</v>
          </cell>
          <cell r="E467" t="str">
            <v>盈余公积_同一控制下企业合并调整上年年末余额</v>
          </cell>
          <cell r="F467">
            <v>0</v>
          </cell>
          <cell r="G467">
            <v>0</v>
          </cell>
          <cell r="H467">
            <v>0</v>
          </cell>
          <cell r="I467">
            <v>0</v>
          </cell>
          <cell r="J467">
            <v>0</v>
          </cell>
          <cell r="K467">
            <v>0</v>
          </cell>
          <cell r="L467">
            <v>0</v>
          </cell>
          <cell r="M467">
            <v>0</v>
          </cell>
          <cell r="T467">
            <v>8504</v>
          </cell>
          <cell r="U467">
            <v>0</v>
          </cell>
        </row>
        <row r="468">
          <cell r="D468">
            <v>8509</v>
          </cell>
          <cell r="E468" t="str">
            <v>盈余公积_其他原因调整上年年末余额</v>
          </cell>
          <cell r="F468">
            <v>-800832.28</v>
          </cell>
          <cell r="G468">
            <v>0</v>
          </cell>
          <cell r="H468">
            <v>800832.28</v>
          </cell>
          <cell r="I468">
            <v>0</v>
          </cell>
          <cell r="J468">
            <v>0</v>
          </cell>
          <cell r="K468">
            <v>0</v>
          </cell>
          <cell r="L468">
            <v>0</v>
          </cell>
          <cell r="M468">
            <v>0</v>
          </cell>
          <cell r="T468">
            <v>8509</v>
          </cell>
          <cell r="U468">
            <v>0</v>
          </cell>
        </row>
        <row r="469">
          <cell r="D469">
            <v>8510</v>
          </cell>
          <cell r="E469" t="str">
            <v>盈余公积_本年年初余额</v>
          </cell>
          <cell r="F469">
            <v>16796197.280000001</v>
          </cell>
          <cell r="G469">
            <v>1252865.45</v>
          </cell>
          <cell r="H469">
            <v>800832.28</v>
          </cell>
          <cell r="I469">
            <v>16344164.109999999</v>
          </cell>
          <cell r="J469">
            <v>13774458.859999999</v>
          </cell>
          <cell r="K469">
            <v>0</v>
          </cell>
          <cell r="L469">
            <v>0</v>
          </cell>
          <cell r="M469">
            <v>13774458.859999999</v>
          </cell>
          <cell r="T469">
            <v>8510</v>
          </cell>
          <cell r="U469">
            <v>13774458.859999999</v>
          </cell>
        </row>
        <row r="470">
          <cell r="D470">
            <v>8590</v>
          </cell>
          <cell r="E470" t="str">
            <v>盈余公积_本期增减变动金额</v>
          </cell>
          <cell r="F470">
            <v>0</v>
          </cell>
          <cell r="G470">
            <v>0</v>
          </cell>
          <cell r="H470">
            <v>2330145.23</v>
          </cell>
          <cell r="I470">
            <v>2330145.23</v>
          </cell>
          <cell r="J470">
            <v>2569705.25</v>
          </cell>
          <cell r="K470">
            <v>0</v>
          </cell>
          <cell r="L470">
            <v>0</v>
          </cell>
          <cell r="M470">
            <v>2569705.25</v>
          </cell>
          <cell r="T470">
            <v>8590</v>
          </cell>
          <cell r="U470">
            <v>2569705.25</v>
          </cell>
        </row>
        <row r="471">
          <cell r="D471">
            <v>8521</v>
          </cell>
          <cell r="E471" t="str">
            <v>盈余公积_净利润增加权益</v>
          </cell>
          <cell r="F471">
            <v>0</v>
          </cell>
          <cell r="G471">
            <v>0</v>
          </cell>
          <cell r="H471">
            <v>0</v>
          </cell>
          <cell r="I471">
            <v>0</v>
          </cell>
          <cell r="J471">
            <v>0</v>
          </cell>
          <cell r="K471">
            <v>0</v>
          </cell>
          <cell r="L471">
            <v>0</v>
          </cell>
          <cell r="M471">
            <v>0</v>
          </cell>
          <cell r="T471">
            <v>8521</v>
          </cell>
          <cell r="U471">
            <v>0</v>
          </cell>
        </row>
        <row r="472">
          <cell r="D472">
            <v>8530</v>
          </cell>
          <cell r="E472" t="str">
            <v>盈余公积_其他综合收益增加权益</v>
          </cell>
          <cell r="F472">
            <v>0</v>
          </cell>
          <cell r="G472">
            <v>0</v>
          </cell>
          <cell r="H472">
            <v>0</v>
          </cell>
          <cell r="I472">
            <v>0</v>
          </cell>
          <cell r="J472">
            <v>0</v>
          </cell>
          <cell r="K472">
            <v>0</v>
          </cell>
          <cell r="L472">
            <v>0</v>
          </cell>
          <cell r="M472">
            <v>0</v>
          </cell>
          <cell r="T472">
            <v>8530</v>
          </cell>
          <cell r="U472">
            <v>0</v>
          </cell>
        </row>
        <row r="473">
          <cell r="D473">
            <v>8540</v>
          </cell>
          <cell r="E473" t="str">
            <v>盈余公积_综合收益总额增加权益</v>
          </cell>
          <cell r="F473">
            <v>0</v>
          </cell>
          <cell r="G473">
            <v>0</v>
          </cell>
          <cell r="H473">
            <v>0</v>
          </cell>
          <cell r="I473">
            <v>0</v>
          </cell>
          <cell r="J473">
            <v>0</v>
          </cell>
          <cell r="K473">
            <v>0</v>
          </cell>
          <cell r="L473">
            <v>0</v>
          </cell>
          <cell r="M473">
            <v>0</v>
          </cell>
          <cell r="T473">
            <v>8540</v>
          </cell>
          <cell r="U473">
            <v>0</v>
          </cell>
        </row>
        <row r="474">
          <cell r="D474">
            <v>8550</v>
          </cell>
          <cell r="E474" t="str">
            <v>盈余公积_所有者投入和减少资本影响权益</v>
          </cell>
          <cell r="F474">
            <v>0</v>
          </cell>
          <cell r="G474">
            <v>0</v>
          </cell>
          <cell r="H474">
            <v>0</v>
          </cell>
          <cell r="I474">
            <v>0</v>
          </cell>
          <cell r="J474">
            <v>0</v>
          </cell>
          <cell r="K474">
            <v>0</v>
          </cell>
          <cell r="L474">
            <v>0</v>
          </cell>
          <cell r="M474">
            <v>0</v>
          </cell>
          <cell r="T474">
            <v>8550</v>
          </cell>
          <cell r="U474">
            <v>0</v>
          </cell>
        </row>
        <row r="475">
          <cell r="D475">
            <v>8551</v>
          </cell>
          <cell r="E475" t="str">
            <v>盈余公积_所有者投入资本增加权益</v>
          </cell>
          <cell r="F475">
            <v>0</v>
          </cell>
          <cell r="G475">
            <v>0</v>
          </cell>
          <cell r="H475">
            <v>0</v>
          </cell>
          <cell r="I475">
            <v>0</v>
          </cell>
          <cell r="J475">
            <v>0</v>
          </cell>
          <cell r="K475">
            <v>0</v>
          </cell>
          <cell r="L475">
            <v>0</v>
          </cell>
          <cell r="M475">
            <v>0</v>
          </cell>
          <cell r="T475">
            <v>8551</v>
          </cell>
          <cell r="U475">
            <v>0</v>
          </cell>
        </row>
        <row r="476">
          <cell r="D476">
            <v>8553</v>
          </cell>
          <cell r="E476" t="str">
            <v>盈余公积_其他权益工具持有者投入资本</v>
          </cell>
          <cell r="F476">
            <v>0</v>
          </cell>
          <cell r="G476">
            <v>0</v>
          </cell>
          <cell r="H476">
            <v>0</v>
          </cell>
          <cell r="I476">
            <v>0</v>
          </cell>
          <cell r="J476">
            <v>0</v>
          </cell>
          <cell r="K476">
            <v>0</v>
          </cell>
          <cell r="L476">
            <v>0</v>
          </cell>
          <cell r="M476">
            <v>0</v>
          </cell>
          <cell r="T476">
            <v>8553</v>
          </cell>
          <cell r="U476">
            <v>0</v>
          </cell>
        </row>
        <row r="477">
          <cell r="D477">
            <v>8552</v>
          </cell>
          <cell r="E477" t="str">
            <v>盈余公积_股份支付计入所有者权益的金额</v>
          </cell>
          <cell r="F477">
            <v>0</v>
          </cell>
          <cell r="G477">
            <v>0</v>
          </cell>
          <cell r="H477">
            <v>0</v>
          </cell>
          <cell r="I477">
            <v>0</v>
          </cell>
          <cell r="J477">
            <v>0</v>
          </cell>
          <cell r="K477">
            <v>0</v>
          </cell>
          <cell r="L477">
            <v>0</v>
          </cell>
          <cell r="M477">
            <v>0</v>
          </cell>
          <cell r="T477">
            <v>8552</v>
          </cell>
          <cell r="U477">
            <v>0</v>
          </cell>
        </row>
        <row r="478">
          <cell r="D478">
            <v>8556</v>
          </cell>
          <cell r="E478" t="str">
            <v>盈余公积_所有者其他投入和减少资本</v>
          </cell>
          <cell r="F478">
            <v>0</v>
          </cell>
          <cell r="G478">
            <v>0</v>
          </cell>
          <cell r="H478">
            <v>0</v>
          </cell>
          <cell r="I478">
            <v>0</v>
          </cell>
          <cell r="J478">
            <v>0</v>
          </cell>
          <cell r="K478">
            <v>0</v>
          </cell>
          <cell r="L478">
            <v>0</v>
          </cell>
          <cell r="M478">
            <v>0</v>
          </cell>
          <cell r="T478">
            <v>8556</v>
          </cell>
          <cell r="U478">
            <v>0</v>
          </cell>
        </row>
        <row r="479">
          <cell r="D479">
            <v>8560</v>
          </cell>
          <cell r="E479" t="str">
            <v>盈余公积_利润分配影响权益</v>
          </cell>
          <cell r="F479">
            <v>0</v>
          </cell>
          <cell r="G479">
            <v>0</v>
          </cell>
          <cell r="H479">
            <v>2330145.23</v>
          </cell>
          <cell r="I479">
            <v>2330145.23</v>
          </cell>
          <cell r="J479">
            <v>2569705.25</v>
          </cell>
          <cell r="K479">
            <v>0</v>
          </cell>
          <cell r="L479">
            <v>0</v>
          </cell>
          <cell r="M479">
            <v>2569705.25</v>
          </cell>
          <cell r="T479">
            <v>8560</v>
          </cell>
          <cell r="U479">
            <v>2569705.25</v>
          </cell>
        </row>
        <row r="480">
          <cell r="D480">
            <v>8561</v>
          </cell>
          <cell r="E480" t="str">
            <v>盈余公积_提取</v>
          </cell>
          <cell r="F480">
            <v>0</v>
          </cell>
          <cell r="G480">
            <v>0</v>
          </cell>
          <cell r="H480">
            <v>2330145.23</v>
          </cell>
          <cell r="I480">
            <v>2330145.23</v>
          </cell>
          <cell r="J480">
            <v>2569705.25</v>
          </cell>
          <cell r="K480">
            <v>0</v>
          </cell>
          <cell r="L480">
            <v>0</v>
          </cell>
          <cell r="M480">
            <v>2569705.25</v>
          </cell>
          <cell r="T480">
            <v>8561</v>
          </cell>
          <cell r="U480">
            <v>2569705.25</v>
          </cell>
        </row>
        <row r="481">
          <cell r="D481">
            <v>8562</v>
          </cell>
          <cell r="E481" t="str">
            <v>盈余公积_提取一般风险准备影响权益</v>
          </cell>
          <cell r="F481">
            <v>0</v>
          </cell>
          <cell r="G481">
            <v>0</v>
          </cell>
          <cell r="H481">
            <v>0</v>
          </cell>
          <cell r="I481">
            <v>0</v>
          </cell>
          <cell r="J481">
            <v>0</v>
          </cell>
          <cell r="K481">
            <v>0</v>
          </cell>
          <cell r="L481">
            <v>0</v>
          </cell>
          <cell r="M481">
            <v>0</v>
          </cell>
          <cell r="T481">
            <v>8562</v>
          </cell>
          <cell r="U481">
            <v>0</v>
          </cell>
        </row>
        <row r="482">
          <cell r="D482">
            <v>8563</v>
          </cell>
          <cell r="E482" t="str">
            <v>盈余公积_对所有者的分配</v>
          </cell>
          <cell r="F482">
            <v>0</v>
          </cell>
          <cell r="G482">
            <v>0</v>
          </cell>
          <cell r="H482">
            <v>0</v>
          </cell>
          <cell r="I482">
            <v>0</v>
          </cell>
          <cell r="J482">
            <v>0</v>
          </cell>
          <cell r="K482">
            <v>0</v>
          </cell>
          <cell r="L482">
            <v>0</v>
          </cell>
          <cell r="M482">
            <v>0</v>
          </cell>
          <cell r="T482">
            <v>8563</v>
          </cell>
          <cell r="U482">
            <v>0</v>
          </cell>
        </row>
        <row r="483">
          <cell r="D483">
            <v>8566</v>
          </cell>
          <cell r="E483" t="str">
            <v>盈余公积_其他利润分配</v>
          </cell>
          <cell r="F483">
            <v>0</v>
          </cell>
          <cell r="G483">
            <v>0</v>
          </cell>
          <cell r="H483">
            <v>0</v>
          </cell>
          <cell r="I483">
            <v>0</v>
          </cell>
          <cell r="J483">
            <v>0</v>
          </cell>
          <cell r="K483">
            <v>0</v>
          </cell>
          <cell r="L483">
            <v>0</v>
          </cell>
          <cell r="M483">
            <v>0</v>
          </cell>
          <cell r="T483">
            <v>8566</v>
          </cell>
          <cell r="U483">
            <v>0</v>
          </cell>
        </row>
        <row r="484">
          <cell r="D484">
            <v>8570</v>
          </cell>
          <cell r="E484" t="str">
            <v>盈余公积_所有者权益内部结转</v>
          </cell>
          <cell r="F484">
            <v>0</v>
          </cell>
          <cell r="G484">
            <v>0</v>
          </cell>
          <cell r="H484">
            <v>0</v>
          </cell>
          <cell r="I484">
            <v>0</v>
          </cell>
          <cell r="J484">
            <v>0</v>
          </cell>
          <cell r="K484">
            <v>0</v>
          </cell>
          <cell r="L484">
            <v>0</v>
          </cell>
          <cell r="M484">
            <v>0</v>
          </cell>
          <cell r="T484">
            <v>8570</v>
          </cell>
          <cell r="U484">
            <v>0</v>
          </cell>
        </row>
        <row r="485">
          <cell r="D485">
            <v>8571</v>
          </cell>
          <cell r="E485" t="str">
            <v>盈余公积_资本公积转增资本影响权益</v>
          </cell>
          <cell r="F485">
            <v>0</v>
          </cell>
          <cell r="G485">
            <v>0</v>
          </cell>
          <cell r="H485">
            <v>0</v>
          </cell>
          <cell r="I485">
            <v>0</v>
          </cell>
          <cell r="J485">
            <v>0</v>
          </cell>
          <cell r="K485">
            <v>0</v>
          </cell>
          <cell r="L485">
            <v>0</v>
          </cell>
          <cell r="M485">
            <v>0</v>
          </cell>
          <cell r="T485">
            <v>8571</v>
          </cell>
          <cell r="U485">
            <v>0</v>
          </cell>
        </row>
        <row r="486">
          <cell r="D486">
            <v>8572</v>
          </cell>
          <cell r="E486" t="str">
            <v>盈余公积_转增资本</v>
          </cell>
          <cell r="F486">
            <v>0</v>
          </cell>
          <cell r="G486">
            <v>0</v>
          </cell>
          <cell r="H486">
            <v>0</v>
          </cell>
          <cell r="I486">
            <v>0</v>
          </cell>
          <cell r="J486">
            <v>0</v>
          </cell>
          <cell r="K486">
            <v>0</v>
          </cell>
          <cell r="L486">
            <v>0</v>
          </cell>
          <cell r="M486">
            <v>0</v>
          </cell>
          <cell r="T486">
            <v>8572</v>
          </cell>
          <cell r="U486">
            <v>0</v>
          </cell>
        </row>
        <row r="487">
          <cell r="D487">
            <v>8573</v>
          </cell>
          <cell r="E487" t="str">
            <v>盈余公积_弥补亏损</v>
          </cell>
          <cell r="F487">
            <v>0</v>
          </cell>
          <cell r="G487">
            <v>0</v>
          </cell>
          <cell r="H487">
            <v>0</v>
          </cell>
          <cell r="I487">
            <v>0</v>
          </cell>
          <cell r="J487">
            <v>0</v>
          </cell>
          <cell r="K487">
            <v>0</v>
          </cell>
          <cell r="L487">
            <v>0</v>
          </cell>
          <cell r="M487">
            <v>0</v>
          </cell>
          <cell r="T487">
            <v>8573</v>
          </cell>
          <cell r="U487">
            <v>0</v>
          </cell>
        </row>
        <row r="488">
          <cell r="D488">
            <v>8575</v>
          </cell>
          <cell r="E488" t="str">
            <v>盈余公积_设定受益计划变动额结转留存收益</v>
          </cell>
          <cell r="F488">
            <v>0</v>
          </cell>
          <cell r="G488">
            <v>0</v>
          </cell>
          <cell r="H488">
            <v>0</v>
          </cell>
          <cell r="I488">
            <v>0</v>
          </cell>
          <cell r="J488">
            <v>0</v>
          </cell>
          <cell r="K488">
            <v>0</v>
          </cell>
          <cell r="L488">
            <v>0</v>
          </cell>
          <cell r="M488">
            <v>0</v>
          </cell>
          <cell r="T488">
            <v>8575</v>
          </cell>
          <cell r="U488">
            <v>0</v>
          </cell>
        </row>
        <row r="489">
          <cell r="D489">
            <v>8576</v>
          </cell>
          <cell r="E489" t="str">
            <v>盈余公积_所有者权益其他内部结转</v>
          </cell>
          <cell r="F489">
            <v>0</v>
          </cell>
          <cell r="G489">
            <v>0</v>
          </cell>
          <cell r="H489">
            <v>0</v>
          </cell>
          <cell r="I489">
            <v>0</v>
          </cell>
          <cell r="J489">
            <v>0</v>
          </cell>
          <cell r="K489">
            <v>0</v>
          </cell>
          <cell r="L489">
            <v>0</v>
          </cell>
          <cell r="M489">
            <v>0</v>
          </cell>
          <cell r="T489">
            <v>8576</v>
          </cell>
          <cell r="U489">
            <v>0</v>
          </cell>
        </row>
        <row r="490">
          <cell r="D490">
            <v>8580</v>
          </cell>
          <cell r="E490" t="str">
            <v>盈余公积_专项储备影响权益</v>
          </cell>
          <cell r="F490">
            <v>0</v>
          </cell>
          <cell r="G490">
            <v>0</v>
          </cell>
          <cell r="H490">
            <v>0</v>
          </cell>
          <cell r="I490">
            <v>0</v>
          </cell>
          <cell r="J490">
            <v>0</v>
          </cell>
          <cell r="K490">
            <v>0</v>
          </cell>
          <cell r="L490">
            <v>0</v>
          </cell>
          <cell r="M490">
            <v>0</v>
          </cell>
          <cell r="T490">
            <v>8580</v>
          </cell>
          <cell r="U490">
            <v>0</v>
          </cell>
        </row>
        <row r="491">
          <cell r="D491">
            <v>8581</v>
          </cell>
          <cell r="E491" t="str">
            <v>盈余公积_专项储备本期提取</v>
          </cell>
          <cell r="F491">
            <v>0</v>
          </cell>
          <cell r="G491">
            <v>0</v>
          </cell>
          <cell r="H491">
            <v>0</v>
          </cell>
          <cell r="I491">
            <v>0</v>
          </cell>
          <cell r="J491">
            <v>0</v>
          </cell>
          <cell r="K491">
            <v>0</v>
          </cell>
          <cell r="L491">
            <v>0</v>
          </cell>
          <cell r="M491">
            <v>0</v>
          </cell>
          <cell r="T491">
            <v>8581</v>
          </cell>
          <cell r="U491">
            <v>0</v>
          </cell>
        </row>
        <row r="492">
          <cell r="D492">
            <v>8582</v>
          </cell>
          <cell r="E492" t="str">
            <v>盈余公积_专项储备本期使用</v>
          </cell>
          <cell r="F492">
            <v>0</v>
          </cell>
          <cell r="G492">
            <v>0</v>
          </cell>
          <cell r="H492">
            <v>0</v>
          </cell>
          <cell r="I492">
            <v>0</v>
          </cell>
          <cell r="J492">
            <v>0</v>
          </cell>
          <cell r="K492">
            <v>0</v>
          </cell>
          <cell r="L492">
            <v>0</v>
          </cell>
          <cell r="M492">
            <v>0</v>
          </cell>
          <cell r="T492">
            <v>8582</v>
          </cell>
          <cell r="U492">
            <v>0</v>
          </cell>
        </row>
        <row r="493">
          <cell r="D493">
            <v>8596</v>
          </cell>
          <cell r="E493" t="str">
            <v>盈余公积_本期其他增减变动</v>
          </cell>
          <cell r="F493">
            <v>0</v>
          </cell>
          <cell r="G493">
            <v>0</v>
          </cell>
          <cell r="H493">
            <v>0</v>
          </cell>
          <cell r="I493">
            <v>0</v>
          </cell>
          <cell r="J493">
            <v>0</v>
          </cell>
          <cell r="K493">
            <v>0</v>
          </cell>
          <cell r="L493">
            <v>0</v>
          </cell>
          <cell r="M493">
            <v>0</v>
          </cell>
          <cell r="T493">
            <v>8596</v>
          </cell>
          <cell r="U493">
            <v>0</v>
          </cell>
        </row>
        <row r="494">
          <cell r="D494">
            <v>8599</v>
          </cell>
          <cell r="E494" t="str">
            <v>盈余公积_本期期末余额</v>
          </cell>
          <cell r="F494">
            <v>16796197.280000001</v>
          </cell>
          <cell r="G494">
            <v>1252865.45</v>
          </cell>
          <cell r="H494">
            <v>3130977.51</v>
          </cell>
          <cell r="I494">
            <v>18674309.34</v>
          </cell>
          <cell r="J494">
            <v>16344164.109999999</v>
          </cell>
          <cell r="K494">
            <v>0</v>
          </cell>
          <cell r="L494">
            <v>0</v>
          </cell>
          <cell r="M494">
            <v>16344164.109999999</v>
          </cell>
          <cell r="T494">
            <v>8599</v>
          </cell>
          <cell r="U494">
            <v>16344164.109999999</v>
          </cell>
        </row>
        <row r="495">
          <cell r="D495">
            <v>8600</v>
          </cell>
          <cell r="E495" t="str">
            <v>一般风险准备增减变动</v>
          </cell>
          <cell r="F495">
            <v>0</v>
          </cell>
          <cell r="G495">
            <v>0</v>
          </cell>
          <cell r="H495">
            <v>0</v>
          </cell>
          <cell r="I495">
            <v>0</v>
          </cell>
          <cell r="J495">
            <v>0</v>
          </cell>
          <cell r="K495">
            <v>0</v>
          </cell>
          <cell r="L495">
            <v>0</v>
          </cell>
          <cell r="M495">
            <v>0</v>
          </cell>
          <cell r="T495">
            <v>8600</v>
          </cell>
          <cell r="U495">
            <v>0</v>
          </cell>
        </row>
        <row r="496">
          <cell r="D496">
            <v>8601</v>
          </cell>
          <cell r="E496" t="str">
            <v>一般风险准备_上年年末余额</v>
          </cell>
          <cell r="F496">
            <v>0</v>
          </cell>
          <cell r="G496">
            <v>0</v>
          </cell>
          <cell r="H496">
            <v>0</v>
          </cell>
          <cell r="I496">
            <v>0</v>
          </cell>
          <cell r="J496">
            <v>0</v>
          </cell>
          <cell r="K496">
            <v>0</v>
          </cell>
          <cell r="L496">
            <v>0</v>
          </cell>
          <cell r="M496">
            <v>0</v>
          </cell>
          <cell r="T496">
            <v>8601</v>
          </cell>
          <cell r="U496">
            <v>0</v>
          </cell>
        </row>
        <row r="497">
          <cell r="D497">
            <v>8602</v>
          </cell>
          <cell r="E497" t="str">
            <v>一般风险准备_会计政策变更调整上年年末余额</v>
          </cell>
          <cell r="F497">
            <v>0</v>
          </cell>
          <cell r="G497">
            <v>0</v>
          </cell>
          <cell r="H497">
            <v>0</v>
          </cell>
          <cell r="I497">
            <v>0</v>
          </cell>
          <cell r="J497">
            <v>0</v>
          </cell>
          <cell r="K497">
            <v>0</v>
          </cell>
          <cell r="L497">
            <v>0</v>
          </cell>
          <cell r="M497">
            <v>0</v>
          </cell>
          <cell r="T497">
            <v>8602</v>
          </cell>
          <cell r="U497">
            <v>0</v>
          </cell>
        </row>
        <row r="498">
          <cell r="D498">
            <v>8603</v>
          </cell>
          <cell r="E498" t="str">
            <v>一般风险准备_前期差错更正调整上年年末余额</v>
          </cell>
          <cell r="F498">
            <v>0</v>
          </cell>
          <cell r="G498">
            <v>0</v>
          </cell>
          <cell r="H498">
            <v>0</v>
          </cell>
          <cell r="I498">
            <v>0</v>
          </cell>
          <cell r="J498">
            <v>0</v>
          </cell>
          <cell r="K498">
            <v>0</v>
          </cell>
          <cell r="L498">
            <v>0</v>
          </cell>
          <cell r="M498">
            <v>0</v>
          </cell>
          <cell r="T498">
            <v>8603</v>
          </cell>
          <cell r="U498">
            <v>0</v>
          </cell>
        </row>
        <row r="499">
          <cell r="D499">
            <v>8604</v>
          </cell>
          <cell r="E499" t="str">
            <v>一般风险准备_同一控制下企业合并调整上年年末余额</v>
          </cell>
          <cell r="F499">
            <v>0</v>
          </cell>
          <cell r="G499">
            <v>0</v>
          </cell>
          <cell r="H499">
            <v>0</v>
          </cell>
          <cell r="I499">
            <v>0</v>
          </cell>
          <cell r="J499">
            <v>0</v>
          </cell>
          <cell r="K499">
            <v>0</v>
          </cell>
          <cell r="L499">
            <v>0</v>
          </cell>
          <cell r="M499">
            <v>0</v>
          </cell>
          <cell r="T499">
            <v>8604</v>
          </cell>
          <cell r="U499">
            <v>0</v>
          </cell>
        </row>
        <row r="500">
          <cell r="D500">
            <v>8609</v>
          </cell>
          <cell r="E500" t="str">
            <v>一般风险准备_其他原因调整上年年末余额</v>
          </cell>
          <cell r="F500">
            <v>0</v>
          </cell>
          <cell r="G500">
            <v>0</v>
          </cell>
          <cell r="H500">
            <v>0</v>
          </cell>
          <cell r="I500">
            <v>0</v>
          </cell>
          <cell r="J500">
            <v>0</v>
          </cell>
          <cell r="K500">
            <v>0</v>
          </cell>
          <cell r="L500">
            <v>0</v>
          </cell>
          <cell r="M500">
            <v>0</v>
          </cell>
          <cell r="T500">
            <v>8609</v>
          </cell>
          <cell r="U500">
            <v>0</v>
          </cell>
        </row>
        <row r="501">
          <cell r="D501">
            <v>8610</v>
          </cell>
          <cell r="E501" t="str">
            <v>一般风险准备_本年年初余额</v>
          </cell>
          <cell r="F501">
            <v>0</v>
          </cell>
          <cell r="G501">
            <v>0</v>
          </cell>
          <cell r="H501">
            <v>0</v>
          </cell>
          <cell r="I501">
            <v>0</v>
          </cell>
          <cell r="J501">
            <v>0</v>
          </cell>
          <cell r="K501">
            <v>0</v>
          </cell>
          <cell r="L501">
            <v>0</v>
          </cell>
          <cell r="M501">
            <v>0</v>
          </cell>
          <cell r="T501">
            <v>8610</v>
          </cell>
          <cell r="U501">
            <v>0</v>
          </cell>
        </row>
        <row r="502">
          <cell r="D502">
            <v>8690</v>
          </cell>
          <cell r="E502" t="str">
            <v>一般风险准备_本期增减变动金额</v>
          </cell>
          <cell r="F502">
            <v>0</v>
          </cell>
          <cell r="G502">
            <v>0</v>
          </cell>
          <cell r="H502">
            <v>0</v>
          </cell>
          <cell r="I502">
            <v>0</v>
          </cell>
          <cell r="J502">
            <v>0</v>
          </cell>
          <cell r="K502">
            <v>0</v>
          </cell>
          <cell r="L502">
            <v>0</v>
          </cell>
          <cell r="M502">
            <v>0</v>
          </cell>
          <cell r="T502">
            <v>8690</v>
          </cell>
          <cell r="U502">
            <v>0</v>
          </cell>
        </row>
        <row r="503">
          <cell r="D503">
            <v>8621</v>
          </cell>
          <cell r="E503" t="str">
            <v>一般风险准备_净利润增加权益</v>
          </cell>
          <cell r="F503">
            <v>0</v>
          </cell>
          <cell r="G503">
            <v>0</v>
          </cell>
          <cell r="H503">
            <v>0</v>
          </cell>
          <cell r="I503">
            <v>0</v>
          </cell>
          <cell r="J503">
            <v>0</v>
          </cell>
          <cell r="K503">
            <v>0</v>
          </cell>
          <cell r="L503">
            <v>0</v>
          </cell>
          <cell r="M503">
            <v>0</v>
          </cell>
          <cell r="T503">
            <v>8621</v>
          </cell>
          <cell r="U503">
            <v>0</v>
          </cell>
        </row>
        <row r="504">
          <cell r="D504">
            <v>8630</v>
          </cell>
          <cell r="E504" t="str">
            <v>一般风险准备_其他综合收益增加权益</v>
          </cell>
          <cell r="F504">
            <v>0</v>
          </cell>
          <cell r="G504">
            <v>0</v>
          </cell>
          <cell r="H504">
            <v>0</v>
          </cell>
          <cell r="I504">
            <v>0</v>
          </cell>
          <cell r="J504">
            <v>0</v>
          </cell>
          <cell r="K504">
            <v>0</v>
          </cell>
          <cell r="L504">
            <v>0</v>
          </cell>
          <cell r="M504">
            <v>0</v>
          </cell>
          <cell r="T504">
            <v>8630</v>
          </cell>
          <cell r="U504">
            <v>0</v>
          </cell>
        </row>
        <row r="505">
          <cell r="D505">
            <v>8640</v>
          </cell>
          <cell r="E505" t="str">
            <v>一般风险准备_综合收益总额增加权益</v>
          </cell>
          <cell r="F505">
            <v>0</v>
          </cell>
          <cell r="G505">
            <v>0</v>
          </cell>
          <cell r="H505">
            <v>0</v>
          </cell>
          <cell r="I505">
            <v>0</v>
          </cell>
          <cell r="J505">
            <v>0</v>
          </cell>
          <cell r="K505">
            <v>0</v>
          </cell>
          <cell r="L505">
            <v>0</v>
          </cell>
          <cell r="M505">
            <v>0</v>
          </cell>
          <cell r="T505">
            <v>8640</v>
          </cell>
          <cell r="U505">
            <v>0</v>
          </cell>
        </row>
        <row r="506">
          <cell r="D506">
            <v>8650</v>
          </cell>
          <cell r="E506" t="str">
            <v>一般风险准备_所有者投入和减少资本影响权益</v>
          </cell>
          <cell r="F506">
            <v>0</v>
          </cell>
          <cell r="G506">
            <v>0</v>
          </cell>
          <cell r="H506">
            <v>0</v>
          </cell>
          <cell r="I506">
            <v>0</v>
          </cell>
          <cell r="J506">
            <v>0</v>
          </cell>
          <cell r="K506">
            <v>0</v>
          </cell>
          <cell r="L506">
            <v>0</v>
          </cell>
          <cell r="M506">
            <v>0</v>
          </cell>
          <cell r="T506">
            <v>8650</v>
          </cell>
          <cell r="U506">
            <v>0</v>
          </cell>
        </row>
        <row r="507">
          <cell r="D507">
            <v>8651</v>
          </cell>
          <cell r="E507" t="str">
            <v>一般风险准备_所有者投入资本增加权益</v>
          </cell>
          <cell r="F507">
            <v>0</v>
          </cell>
          <cell r="G507">
            <v>0</v>
          </cell>
          <cell r="H507">
            <v>0</v>
          </cell>
          <cell r="I507">
            <v>0</v>
          </cell>
          <cell r="J507">
            <v>0</v>
          </cell>
          <cell r="K507">
            <v>0</v>
          </cell>
          <cell r="L507">
            <v>0</v>
          </cell>
          <cell r="M507">
            <v>0</v>
          </cell>
          <cell r="T507">
            <v>8651</v>
          </cell>
          <cell r="U507">
            <v>0</v>
          </cell>
        </row>
        <row r="508">
          <cell r="D508">
            <v>8653</v>
          </cell>
          <cell r="E508" t="str">
            <v>一般风险准备_其他权益工具持有者投入资本</v>
          </cell>
          <cell r="F508">
            <v>0</v>
          </cell>
          <cell r="G508">
            <v>0</v>
          </cell>
          <cell r="H508">
            <v>0</v>
          </cell>
          <cell r="I508">
            <v>0</v>
          </cell>
          <cell r="J508">
            <v>0</v>
          </cell>
          <cell r="K508">
            <v>0</v>
          </cell>
          <cell r="L508">
            <v>0</v>
          </cell>
          <cell r="M508">
            <v>0</v>
          </cell>
          <cell r="T508">
            <v>8653</v>
          </cell>
          <cell r="U508">
            <v>0</v>
          </cell>
        </row>
        <row r="509">
          <cell r="D509">
            <v>8652</v>
          </cell>
          <cell r="E509" t="str">
            <v>一般风险准备_股份支付计入所有者权益的金额</v>
          </cell>
          <cell r="F509">
            <v>0</v>
          </cell>
          <cell r="G509">
            <v>0</v>
          </cell>
          <cell r="H509">
            <v>0</v>
          </cell>
          <cell r="I509">
            <v>0</v>
          </cell>
          <cell r="J509">
            <v>0</v>
          </cell>
          <cell r="K509">
            <v>0</v>
          </cell>
          <cell r="L509">
            <v>0</v>
          </cell>
          <cell r="M509">
            <v>0</v>
          </cell>
          <cell r="T509">
            <v>8652</v>
          </cell>
          <cell r="U509">
            <v>0</v>
          </cell>
        </row>
        <row r="510">
          <cell r="D510">
            <v>8656</v>
          </cell>
          <cell r="E510" t="str">
            <v>一般风险准备_所有者其他投入和减少资本</v>
          </cell>
          <cell r="F510">
            <v>0</v>
          </cell>
          <cell r="G510">
            <v>0</v>
          </cell>
          <cell r="H510">
            <v>0</v>
          </cell>
          <cell r="I510">
            <v>0</v>
          </cell>
          <cell r="J510">
            <v>0</v>
          </cell>
          <cell r="K510">
            <v>0</v>
          </cell>
          <cell r="L510">
            <v>0</v>
          </cell>
          <cell r="M510">
            <v>0</v>
          </cell>
          <cell r="T510">
            <v>8656</v>
          </cell>
          <cell r="U510">
            <v>0</v>
          </cell>
        </row>
        <row r="511">
          <cell r="D511">
            <v>8660</v>
          </cell>
          <cell r="E511" t="str">
            <v>一般风险准备_利润分配影响权益</v>
          </cell>
          <cell r="F511">
            <v>0</v>
          </cell>
          <cell r="G511">
            <v>0</v>
          </cell>
          <cell r="H511">
            <v>0</v>
          </cell>
          <cell r="I511">
            <v>0</v>
          </cell>
          <cell r="J511">
            <v>0</v>
          </cell>
          <cell r="K511">
            <v>0</v>
          </cell>
          <cell r="L511">
            <v>0</v>
          </cell>
          <cell r="M511">
            <v>0</v>
          </cell>
          <cell r="T511">
            <v>8660</v>
          </cell>
          <cell r="U511">
            <v>0</v>
          </cell>
        </row>
        <row r="512">
          <cell r="D512">
            <v>8661</v>
          </cell>
          <cell r="E512" t="str">
            <v>一般风险准备_提取盈余公积影响权益</v>
          </cell>
          <cell r="F512">
            <v>0</v>
          </cell>
          <cell r="G512">
            <v>0</v>
          </cell>
          <cell r="H512">
            <v>0</v>
          </cell>
          <cell r="I512">
            <v>0</v>
          </cell>
          <cell r="J512">
            <v>0</v>
          </cell>
          <cell r="K512">
            <v>0</v>
          </cell>
          <cell r="L512">
            <v>0</v>
          </cell>
          <cell r="M512">
            <v>0</v>
          </cell>
          <cell r="T512">
            <v>8661</v>
          </cell>
          <cell r="U512">
            <v>0</v>
          </cell>
        </row>
        <row r="513">
          <cell r="D513">
            <v>8662</v>
          </cell>
          <cell r="E513" t="str">
            <v>一般风险准备_提取</v>
          </cell>
          <cell r="F513">
            <v>0</v>
          </cell>
          <cell r="G513">
            <v>0</v>
          </cell>
          <cell r="H513">
            <v>0</v>
          </cell>
          <cell r="I513">
            <v>0</v>
          </cell>
          <cell r="J513">
            <v>0</v>
          </cell>
          <cell r="K513">
            <v>0</v>
          </cell>
          <cell r="L513">
            <v>0</v>
          </cell>
          <cell r="M513">
            <v>0</v>
          </cell>
          <cell r="T513">
            <v>8662</v>
          </cell>
          <cell r="U513">
            <v>0</v>
          </cell>
        </row>
        <row r="514">
          <cell r="D514">
            <v>8663</v>
          </cell>
          <cell r="E514" t="str">
            <v>一般风险准备_对所有者的分配影响权益</v>
          </cell>
          <cell r="F514">
            <v>0</v>
          </cell>
          <cell r="G514">
            <v>0</v>
          </cell>
          <cell r="H514">
            <v>0</v>
          </cell>
          <cell r="I514">
            <v>0</v>
          </cell>
          <cell r="J514">
            <v>0</v>
          </cell>
          <cell r="K514">
            <v>0</v>
          </cell>
          <cell r="L514">
            <v>0</v>
          </cell>
          <cell r="M514">
            <v>0</v>
          </cell>
          <cell r="T514">
            <v>8663</v>
          </cell>
          <cell r="U514">
            <v>0</v>
          </cell>
        </row>
        <row r="515">
          <cell r="D515">
            <v>8666</v>
          </cell>
          <cell r="E515" t="str">
            <v>一般风险准备_其他利润分配</v>
          </cell>
          <cell r="F515">
            <v>0</v>
          </cell>
          <cell r="G515">
            <v>0</v>
          </cell>
          <cell r="H515">
            <v>0</v>
          </cell>
          <cell r="I515">
            <v>0</v>
          </cell>
          <cell r="J515">
            <v>0</v>
          </cell>
          <cell r="K515">
            <v>0</v>
          </cell>
          <cell r="L515">
            <v>0</v>
          </cell>
          <cell r="M515">
            <v>0</v>
          </cell>
          <cell r="T515">
            <v>8666</v>
          </cell>
          <cell r="U515">
            <v>0</v>
          </cell>
        </row>
        <row r="516">
          <cell r="D516">
            <v>8670</v>
          </cell>
          <cell r="E516" t="str">
            <v>一般风险准备_所有者权益内部结转</v>
          </cell>
          <cell r="F516">
            <v>0</v>
          </cell>
          <cell r="G516">
            <v>0</v>
          </cell>
          <cell r="H516">
            <v>0</v>
          </cell>
          <cell r="I516">
            <v>0</v>
          </cell>
          <cell r="J516">
            <v>0</v>
          </cell>
          <cell r="K516">
            <v>0</v>
          </cell>
          <cell r="L516">
            <v>0</v>
          </cell>
          <cell r="M516">
            <v>0</v>
          </cell>
          <cell r="T516">
            <v>8670</v>
          </cell>
          <cell r="U516">
            <v>0</v>
          </cell>
        </row>
        <row r="517">
          <cell r="D517">
            <v>8671</v>
          </cell>
          <cell r="E517" t="str">
            <v>一般风险准备_资本公积转增资本影响权益</v>
          </cell>
          <cell r="F517">
            <v>0</v>
          </cell>
          <cell r="G517">
            <v>0</v>
          </cell>
          <cell r="H517">
            <v>0</v>
          </cell>
          <cell r="I517">
            <v>0</v>
          </cell>
          <cell r="J517">
            <v>0</v>
          </cell>
          <cell r="K517">
            <v>0</v>
          </cell>
          <cell r="L517">
            <v>0</v>
          </cell>
          <cell r="M517">
            <v>0</v>
          </cell>
          <cell r="T517">
            <v>8671</v>
          </cell>
          <cell r="U517">
            <v>0</v>
          </cell>
        </row>
        <row r="518">
          <cell r="D518">
            <v>8672</v>
          </cell>
          <cell r="E518" t="str">
            <v>一般风险准备_盈余公积转增资本影响权益</v>
          </cell>
          <cell r="F518">
            <v>0</v>
          </cell>
          <cell r="G518">
            <v>0</v>
          </cell>
          <cell r="H518">
            <v>0</v>
          </cell>
          <cell r="I518">
            <v>0</v>
          </cell>
          <cell r="J518">
            <v>0</v>
          </cell>
          <cell r="K518">
            <v>0</v>
          </cell>
          <cell r="L518">
            <v>0</v>
          </cell>
          <cell r="M518">
            <v>0</v>
          </cell>
          <cell r="T518">
            <v>8672</v>
          </cell>
          <cell r="U518">
            <v>0</v>
          </cell>
        </row>
        <row r="519">
          <cell r="D519">
            <v>8673</v>
          </cell>
          <cell r="E519" t="str">
            <v>一般风险准备_盈余公积弥补亏损影响权益</v>
          </cell>
          <cell r="F519">
            <v>0</v>
          </cell>
          <cell r="G519">
            <v>0</v>
          </cell>
          <cell r="H519">
            <v>0</v>
          </cell>
          <cell r="I519">
            <v>0</v>
          </cell>
          <cell r="J519">
            <v>0</v>
          </cell>
          <cell r="K519">
            <v>0</v>
          </cell>
          <cell r="L519">
            <v>0</v>
          </cell>
          <cell r="M519">
            <v>0</v>
          </cell>
          <cell r="T519">
            <v>8673</v>
          </cell>
          <cell r="U519">
            <v>0</v>
          </cell>
        </row>
        <row r="520">
          <cell r="D520">
            <v>8675</v>
          </cell>
          <cell r="E520" t="str">
            <v>一般风险准备_设定受益计划变动额结转留存收益</v>
          </cell>
          <cell r="F520">
            <v>0</v>
          </cell>
          <cell r="G520">
            <v>0</v>
          </cell>
          <cell r="H520">
            <v>0</v>
          </cell>
          <cell r="I520">
            <v>0</v>
          </cell>
          <cell r="J520">
            <v>0</v>
          </cell>
          <cell r="K520">
            <v>0</v>
          </cell>
          <cell r="L520">
            <v>0</v>
          </cell>
          <cell r="M520">
            <v>0</v>
          </cell>
          <cell r="T520">
            <v>8675</v>
          </cell>
          <cell r="U520">
            <v>0</v>
          </cell>
        </row>
        <row r="521">
          <cell r="D521">
            <v>8676</v>
          </cell>
          <cell r="E521" t="str">
            <v>一般风险准备_所有者权益其他内部结转</v>
          </cell>
          <cell r="F521">
            <v>0</v>
          </cell>
          <cell r="G521">
            <v>0</v>
          </cell>
          <cell r="H521">
            <v>0</v>
          </cell>
          <cell r="I521">
            <v>0</v>
          </cell>
          <cell r="J521">
            <v>0</v>
          </cell>
          <cell r="K521">
            <v>0</v>
          </cell>
          <cell r="L521">
            <v>0</v>
          </cell>
          <cell r="M521">
            <v>0</v>
          </cell>
          <cell r="T521">
            <v>8676</v>
          </cell>
          <cell r="U521">
            <v>0</v>
          </cell>
        </row>
        <row r="522">
          <cell r="D522">
            <v>8680</v>
          </cell>
          <cell r="E522" t="str">
            <v>一般风险准备_专项储备影响权益</v>
          </cell>
          <cell r="F522">
            <v>0</v>
          </cell>
          <cell r="G522">
            <v>0</v>
          </cell>
          <cell r="H522">
            <v>0</v>
          </cell>
          <cell r="I522">
            <v>0</v>
          </cell>
          <cell r="J522">
            <v>0</v>
          </cell>
          <cell r="K522">
            <v>0</v>
          </cell>
          <cell r="L522">
            <v>0</v>
          </cell>
          <cell r="M522">
            <v>0</v>
          </cell>
          <cell r="T522">
            <v>8680</v>
          </cell>
          <cell r="U522">
            <v>0</v>
          </cell>
        </row>
        <row r="523">
          <cell r="D523">
            <v>8681</v>
          </cell>
          <cell r="E523" t="str">
            <v>一般风险准备_专项储备本期提取</v>
          </cell>
          <cell r="F523">
            <v>0</v>
          </cell>
          <cell r="G523">
            <v>0</v>
          </cell>
          <cell r="H523">
            <v>0</v>
          </cell>
          <cell r="I523">
            <v>0</v>
          </cell>
          <cell r="J523">
            <v>0</v>
          </cell>
          <cell r="K523">
            <v>0</v>
          </cell>
          <cell r="L523">
            <v>0</v>
          </cell>
          <cell r="M523">
            <v>0</v>
          </cell>
          <cell r="T523">
            <v>8681</v>
          </cell>
          <cell r="U523">
            <v>0</v>
          </cell>
        </row>
        <row r="524">
          <cell r="D524">
            <v>8682</v>
          </cell>
          <cell r="E524" t="str">
            <v>一般风险准备_专项储备本期使用</v>
          </cell>
          <cell r="F524">
            <v>0</v>
          </cell>
          <cell r="G524">
            <v>0</v>
          </cell>
          <cell r="H524">
            <v>0</v>
          </cell>
          <cell r="I524">
            <v>0</v>
          </cell>
          <cell r="J524">
            <v>0</v>
          </cell>
          <cell r="K524">
            <v>0</v>
          </cell>
          <cell r="L524">
            <v>0</v>
          </cell>
          <cell r="M524">
            <v>0</v>
          </cell>
          <cell r="T524">
            <v>8682</v>
          </cell>
          <cell r="U524">
            <v>0</v>
          </cell>
        </row>
        <row r="525">
          <cell r="D525">
            <v>8696</v>
          </cell>
          <cell r="E525" t="str">
            <v>一般风险准备_本期其他增减变动</v>
          </cell>
          <cell r="F525">
            <v>0</v>
          </cell>
          <cell r="G525">
            <v>0</v>
          </cell>
          <cell r="H525">
            <v>0</v>
          </cell>
          <cell r="I525">
            <v>0</v>
          </cell>
          <cell r="J525">
            <v>0</v>
          </cell>
          <cell r="K525">
            <v>0</v>
          </cell>
          <cell r="L525">
            <v>0</v>
          </cell>
          <cell r="M525">
            <v>0</v>
          </cell>
          <cell r="T525">
            <v>8696</v>
          </cell>
          <cell r="U525">
            <v>0</v>
          </cell>
        </row>
        <row r="526">
          <cell r="D526">
            <v>8699</v>
          </cell>
          <cell r="E526" t="str">
            <v>一般风险准备_本期期末余额</v>
          </cell>
          <cell r="F526">
            <v>0</v>
          </cell>
          <cell r="G526">
            <v>0</v>
          </cell>
          <cell r="H526">
            <v>0</v>
          </cell>
          <cell r="I526">
            <v>0</v>
          </cell>
          <cell r="J526">
            <v>0</v>
          </cell>
          <cell r="K526">
            <v>0</v>
          </cell>
          <cell r="L526">
            <v>0</v>
          </cell>
          <cell r="M526">
            <v>0</v>
          </cell>
          <cell r="T526">
            <v>8699</v>
          </cell>
          <cell r="U526">
            <v>0</v>
          </cell>
        </row>
        <row r="527">
          <cell r="D527">
            <v>8700</v>
          </cell>
          <cell r="E527" t="str">
            <v>未分配利润增减变动</v>
          </cell>
          <cell r="F527">
            <v>0</v>
          </cell>
          <cell r="G527">
            <v>0</v>
          </cell>
          <cell r="H527">
            <v>0</v>
          </cell>
          <cell r="I527">
            <v>0</v>
          </cell>
          <cell r="J527">
            <v>0</v>
          </cell>
          <cell r="K527">
            <v>0</v>
          </cell>
          <cell r="L527">
            <v>0</v>
          </cell>
          <cell r="M527">
            <v>0</v>
          </cell>
          <cell r="T527">
            <v>8700</v>
          </cell>
          <cell r="U527">
            <v>0</v>
          </cell>
        </row>
        <row r="528">
          <cell r="D528">
            <v>8701</v>
          </cell>
          <cell r="E528" t="str">
            <v>未分配利润_上年年末余额</v>
          </cell>
          <cell r="F528">
            <v>137553756.93000001</v>
          </cell>
          <cell r="G528">
            <v>85875746.590000004</v>
          </cell>
          <cell r="H528">
            <v>11335269.75</v>
          </cell>
          <cell r="I528">
            <v>63013280.090000004</v>
          </cell>
          <cell r="J528">
            <v>39885932.859999999</v>
          </cell>
          <cell r="K528">
            <v>0</v>
          </cell>
          <cell r="L528">
            <v>0</v>
          </cell>
          <cell r="M528">
            <v>39885932.859999999</v>
          </cell>
          <cell r="T528">
            <v>8701</v>
          </cell>
          <cell r="U528">
            <v>39885932.859999999</v>
          </cell>
        </row>
        <row r="529">
          <cell r="D529">
            <v>8702</v>
          </cell>
          <cell r="E529" t="str">
            <v>未分配利润_会计政策变更调整上年年末余额</v>
          </cell>
          <cell r="F529">
            <v>0</v>
          </cell>
          <cell r="G529">
            <v>0</v>
          </cell>
          <cell r="H529">
            <v>0</v>
          </cell>
          <cell r="I529">
            <v>0</v>
          </cell>
          <cell r="J529">
            <v>0</v>
          </cell>
          <cell r="K529">
            <v>0</v>
          </cell>
          <cell r="L529">
            <v>0</v>
          </cell>
          <cell r="M529">
            <v>0</v>
          </cell>
          <cell r="T529">
            <v>8702</v>
          </cell>
          <cell r="U529">
            <v>0</v>
          </cell>
        </row>
        <row r="530">
          <cell r="D530">
            <v>8703</v>
          </cell>
          <cell r="E530" t="str">
            <v>未分配利润_前期差错更正调整上年年末余额</v>
          </cell>
          <cell r="F530">
            <v>0</v>
          </cell>
          <cell r="G530">
            <v>0</v>
          </cell>
          <cell r="H530">
            <v>0</v>
          </cell>
          <cell r="I530">
            <v>0</v>
          </cell>
          <cell r="J530">
            <v>0</v>
          </cell>
          <cell r="K530">
            <v>0</v>
          </cell>
          <cell r="L530">
            <v>0</v>
          </cell>
          <cell r="M530">
            <v>0</v>
          </cell>
          <cell r="T530">
            <v>8703</v>
          </cell>
          <cell r="U530">
            <v>0</v>
          </cell>
        </row>
        <row r="531">
          <cell r="D531">
            <v>8704</v>
          </cell>
          <cell r="E531" t="str">
            <v>未分配利润_同一控制下企业合并调整上年年末余额</v>
          </cell>
          <cell r="F531">
            <v>0</v>
          </cell>
          <cell r="G531">
            <v>0</v>
          </cell>
          <cell r="H531">
            <v>0</v>
          </cell>
          <cell r="I531">
            <v>0</v>
          </cell>
          <cell r="J531">
            <v>0</v>
          </cell>
          <cell r="K531">
            <v>0</v>
          </cell>
          <cell r="L531">
            <v>0</v>
          </cell>
          <cell r="M531">
            <v>0</v>
          </cell>
          <cell r="T531">
            <v>8704</v>
          </cell>
          <cell r="U531">
            <v>0</v>
          </cell>
        </row>
        <row r="532">
          <cell r="D532">
            <v>8709</v>
          </cell>
          <cell r="E532" t="str">
            <v>未分配利润_其他原因调整上年年末余额</v>
          </cell>
          <cell r="F532">
            <v>-22584866.57</v>
          </cell>
          <cell r="G532">
            <v>-22584866.57</v>
          </cell>
          <cell r="H532">
            <v>0</v>
          </cell>
          <cell r="I532">
            <v>0</v>
          </cell>
          <cell r="J532">
            <v>0</v>
          </cell>
          <cell r="K532">
            <v>0</v>
          </cell>
          <cell r="L532">
            <v>0</v>
          </cell>
          <cell r="M532">
            <v>0</v>
          </cell>
          <cell r="T532">
            <v>8709</v>
          </cell>
          <cell r="U532">
            <v>0</v>
          </cell>
        </row>
        <row r="533">
          <cell r="D533">
            <v>8710</v>
          </cell>
          <cell r="E533" t="str">
            <v>未分配利润_本年年初余额</v>
          </cell>
          <cell r="F533">
            <v>114968890.36</v>
          </cell>
          <cell r="G533">
            <v>63290880.020000003</v>
          </cell>
          <cell r="H533">
            <v>11335269.75</v>
          </cell>
          <cell r="I533">
            <v>63013280.090000004</v>
          </cell>
          <cell r="J533">
            <v>39885932.859999999</v>
          </cell>
          <cell r="K533">
            <v>0</v>
          </cell>
          <cell r="L533">
            <v>0</v>
          </cell>
          <cell r="M533">
            <v>39885932.859999999</v>
          </cell>
          <cell r="T533">
            <v>8710</v>
          </cell>
          <cell r="U533">
            <v>39885932.859999999</v>
          </cell>
        </row>
        <row r="534">
          <cell r="D534">
            <v>8790</v>
          </cell>
          <cell r="E534" t="str">
            <v>未分配利润_本期增减变动金额</v>
          </cell>
          <cell r="F534">
            <v>17906312.969999999</v>
          </cell>
          <cell r="G534">
            <v>35419251.82</v>
          </cell>
          <cell r="H534">
            <v>38484245.960000001</v>
          </cell>
          <cell r="I534">
            <v>20971307.109999999</v>
          </cell>
          <cell r="J534">
            <v>23127347.23</v>
          </cell>
          <cell r="K534">
            <v>0</v>
          </cell>
          <cell r="L534">
            <v>0</v>
          </cell>
          <cell r="M534">
            <v>23127347.23</v>
          </cell>
          <cell r="T534">
            <v>8790</v>
          </cell>
          <cell r="U534">
            <v>23127347.23</v>
          </cell>
        </row>
        <row r="535">
          <cell r="D535">
            <v>8721</v>
          </cell>
          <cell r="E535" t="str">
            <v>未分配利润_净利润增加权益</v>
          </cell>
          <cell r="F535">
            <v>17906312.969999999</v>
          </cell>
          <cell r="G535">
            <v>33089106.59</v>
          </cell>
          <cell r="H535">
            <v>38484245.960000001</v>
          </cell>
          <cell r="I535">
            <v>23301452.34</v>
          </cell>
          <cell r="J535">
            <v>25697052.48</v>
          </cell>
          <cell r="K535">
            <v>0</v>
          </cell>
          <cell r="L535">
            <v>0</v>
          </cell>
          <cell r="M535">
            <v>25697052.48</v>
          </cell>
          <cell r="T535">
            <v>8721</v>
          </cell>
          <cell r="U535">
            <v>25697052.48</v>
          </cell>
        </row>
        <row r="536">
          <cell r="D536">
            <v>8730</v>
          </cell>
          <cell r="E536" t="str">
            <v>未分配利润_其他综合收益增加权益</v>
          </cell>
          <cell r="F536">
            <v>0</v>
          </cell>
          <cell r="G536">
            <v>0</v>
          </cell>
          <cell r="H536">
            <v>0</v>
          </cell>
          <cell r="I536">
            <v>0</v>
          </cell>
          <cell r="J536">
            <v>0</v>
          </cell>
          <cell r="K536">
            <v>0</v>
          </cell>
          <cell r="L536">
            <v>0</v>
          </cell>
          <cell r="M536">
            <v>0</v>
          </cell>
          <cell r="T536">
            <v>8730</v>
          </cell>
          <cell r="U536">
            <v>0</v>
          </cell>
        </row>
        <row r="537">
          <cell r="D537">
            <v>8740</v>
          </cell>
          <cell r="E537" t="str">
            <v>未分配利润_综合收益总额增加权益</v>
          </cell>
          <cell r="F537">
            <v>17906312.969999999</v>
          </cell>
          <cell r="G537">
            <v>33089106.59</v>
          </cell>
          <cell r="H537">
            <v>38484245.960000001</v>
          </cell>
          <cell r="I537">
            <v>23301452.34</v>
          </cell>
          <cell r="J537">
            <v>25697052.48</v>
          </cell>
          <cell r="K537">
            <v>0</v>
          </cell>
          <cell r="L537">
            <v>0</v>
          </cell>
          <cell r="M537">
            <v>25697052.48</v>
          </cell>
          <cell r="T537">
            <v>8740</v>
          </cell>
          <cell r="U537">
            <v>25697052.48</v>
          </cell>
        </row>
        <row r="538">
          <cell r="D538">
            <v>8750</v>
          </cell>
          <cell r="E538" t="str">
            <v>未分配利润_所有者投入和减少资本影响权益</v>
          </cell>
          <cell r="F538">
            <v>0</v>
          </cell>
          <cell r="G538">
            <v>0</v>
          </cell>
          <cell r="H538">
            <v>0</v>
          </cell>
          <cell r="I538">
            <v>0</v>
          </cell>
          <cell r="J538">
            <v>0</v>
          </cell>
          <cell r="K538">
            <v>0</v>
          </cell>
          <cell r="L538">
            <v>0</v>
          </cell>
          <cell r="M538">
            <v>0</v>
          </cell>
          <cell r="T538">
            <v>8750</v>
          </cell>
          <cell r="U538">
            <v>0</v>
          </cell>
        </row>
        <row r="539">
          <cell r="D539">
            <v>8751</v>
          </cell>
          <cell r="E539" t="str">
            <v>未分配利润_所有者投入资本增加权益</v>
          </cell>
          <cell r="F539">
            <v>0</v>
          </cell>
          <cell r="G539">
            <v>0</v>
          </cell>
          <cell r="H539">
            <v>0</v>
          </cell>
          <cell r="I539">
            <v>0</v>
          </cell>
          <cell r="J539">
            <v>0</v>
          </cell>
          <cell r="K539">
            <v>0</v>
          </cell>
          <cell r="L539">
            <v>0</v>
          </cell>
          <cell r="M539">
            <v>0</v>
          </cell>
          <cell r="T539">
            <v>8751</v>
          </cell>
          <cell r="U539">
            <v>0</v>
          </cell>
        </row>
        <row r="540">
          <cell r="D540">
            <v>8753</v>
          </cell>
          <cell r="E540" t="str">
            <v>未分配利润_其他权益工具持有者投入资本</v>
          </cell>
          <cell r="F540">
            <v>0</v>
          </cell>
          <cell r="G540">
            <v>0</v>
          </cell>
          <cell r="H540">
            <v>0</v>
          </cell>
          <cell r="I540">
            <v>0</v>
          </cell>
          <cell r="J540">
            <v>0</v>
          </cell>
          <cell r="K540">
            <v>0</v>
          </cell>
          <cell r="L540">
            <v>0</v>
          </cell>
          <cell r="M540">
            <v>0</v>
          </cell>
          <cell r="T540">
            <v>8753</v>
          </cell>
          <cell r="U540">
            <v>0</v>
          </cell>
        </row>
        <row r="541">
          <cell r="D541">
            <v>8752</v>
          </cell>
          <cell r="E541" t="str">
            <v>未分配利润_股份支付计入所有者权益的金额</v>
          </cell>
          <cell r="F541">
            <v>0</v>
          </cell>
          <cell r="G541">
            <v>0</v>
          </cell>
          <cell r="H541">
            <v>0</v>
          </cell>
          <cell r="I541">
            <v>0</v>
          </cell>
          <cell r="J541">
            <v>0</v>
          </cell>
          <cell r="K541">
            <v>0</v>
          </cell>
          <cell r="L541">
            <v>0</v>
          </cell>
          <cell r="M541">
            <v>0</v>
          </cell>
          <cell r="T541">
            <v>8752</v>
          </cell>
          <cell r="U541">
            <v>0</v>
          </cell>
        </row>
        <row r="542">
          <cell r="D542">
            <v>8756</v>
          </cell>
          <cell r="E542" t="str">
            <v>未分配利润_所有者其他投入和减少资本</v>
          </cell>
          <cell r="F542">
            <v>0</v>
          </cell>
          <cell r="G542">
            <v>0</v>
          </cell>
          <cell r="H542">
            <v>0</v>
          </cell>
          <cell r="I542">
            <v>0</v>
          </cell>
          <cell r="J542">
            <v>0</v>
          </cell>
          <cell r="K542">
            <v>0</v>
          </cell>
          <cell r="L542">
            <v>0</v>
          </cell>
          <cell r="M542">
            <v>0</v>
          </cell>
          <cell r="T542">
            <v>8756</v>
          </cell>
          <cell r="U542">
            <v>0</v>
          </cell>
        </row>
        <row r="543">
          <cell r="D543">
            <v>8760</v>
          </cell>
          <cell r="E543" t="str">
            <v>未分配利润_利润分配影响权益</v>
          </cell>
          <cell r="F543">
            <v>0</v>
          </cell>
          <cell r="G543">
            <v>2330145.23</v>
          </cell>
          <cell r="H543">
            <v>0</v>
          </cell>
          <cell r="I543">
            <v>-2330145.23</v>
          </cell>
          <cell r="J543">
            <v>-2569705.25</v>
          </cell>
          <cell r="K543">
            <v>0</v>
          </cell>
          <cell r="L543">
            <v>0</v>
          </cell>
          <cell r="M543">
            <v>-2569705.25</v>
          </cell>
          <cell r="T543">
            <v>8760</v>
          </cell>
          <cell r="U543">
            <v>-2569705.25</v>
          </cell>
        </row>
        <row r="544">
          <cell r="D544">
            <v>8761</v>
          </cell>
          <cell r="E544" t="str">
            <v>未分配利润_提取盈余公积</v>
          </cell>
          <cell r="F544">
            <v>0</v>
          </cell>
          <cell r="G544">
            <v>2330145.23</v>
          </cell>
          <cell r="H544">
            <v>0</v>
          </cell>
          <cell r="I544">
            <v>-2330145.23</v>
          </cell>
          <cell r="J544">
            <v>-2569705.25</v>
          </cell>
          <cell r="K544">
            <v>0</v>
          </cell>
          <cell r="L544">
            <v>0</v>
          </cell>
          <cell r="M544">
            <v>-2569705.25</v>
          </cell>
          <cell r="T544">
            <v>8761</v>
          </cell>
          <cell r="U544">
            <v>-2569705.25</v>
          </cell>
        </row>
        <row r="545">
          <cell r="D545">
            <v>8762</v>
          </cell>
          <cell r="E545" t="str">
            <v>未分配利润_提取一般风险准备</v>
          </cell>
          <cell r="F545">
            <v>0</v>
          </cell>
          <cell r="G545">
            <v>0</v>
          </cell>
          <cell r="H545">
            <v>0</v>
          </cell>
          <cell r="I545">
            <v>0</v>
          </cell>
          <cell r="J545">
            <v>0</v>
          </cell>
          <cell r="K545">
            <v>0</v>
          </cell>
          <cell r="L545">
            <v>0</v>
          </cell>
          <cell r="M545">
            <v>0</v>
          </cell>
          <cell r="T545">
            <v>8762</v>
          </cell>
          <cell r="U545">
            <v>0</v>
          </cell>
        </row>
        <row r="546">
          <cell r="D546">
            <v>8763</v>
          </cell>
          <cell r="E546" t="str">
            <v>未分配利润_对所有者的分配</v>
          </cell>
          <cell r="F546">
            <v>0</v>
          </cell>
          <cell r="G546">
            <v>0</v>
          </cell>
          <cell r="H546">
            <v>0</v>
          </cell>
          <cell r="I546">
            <v>0</v>
          </cell>
          <cell r="J546">
            <v>0</v>
          </cell>
          <cell r="K546">
            <v>0</v>
          </cell>
          <cell r="L546">
            <v>0</v>
          </cell>
          <cell r="M546">
            <v>0</v>
          </cell>
          <cell r="T546">
            <v>8763</v>
          </cell>
          <cell r="U546">
            <v>0</v>
          </cell>
        </row>
        <row r="547">
          <cell r="D547">
            <v>8766</v>
          </cell>
          <cell r="E547" t="str">
            <v>未分配利润_其他利润分配</v>
          </cell>
          <cell r="F547">
            <v>0</v>
          </cell>
          <cell r="G547">
            <v>0</v>
          </cell>
          <cell r="H547">
            <v>0</v>
          </cell>
          <cell r="I547">
            <v>0</v>
          </cell>
          <cell r="J547">
            <v>0</v>
          </cell>
          <cell r="K547">
            <v>0</v>
          </cell>
          <cell r="L547">
            <v>0</v>
          </cell>
          <cell r="M547">
            <v>0</v>
          </cell>
          <cell r="T547">
            <v>8766</v>
          </cell>
          <cell r="U547">
            <v>0</v>
          </cell>
        </row>
        <row r="548">
          <cell r="D548">
            <v>8770</v>
          </cell>
          <cell r="E548" t="str">
            <v>未分配利润_所有者权益内部结转</v>
          </cell>
          <cell r="F548">
            <v>0</v>
          </cell>
          <cell r="G548">
            <v>0</v>
          </cell>
          <cell r="H548">
            <v>0</v>
          </cell>
          <cell r="I548">
            <v>0</v>
          </cell>
          <cell r="J548">
            <v>0</v>
          </cell>
          <cell r="K548">
            <v>0</v>
          </cell>
          <cell r="L548">
            <v>0</v>
          </cell>
          <cell r="M548">
            <v>0</v>
          </cell>
          <cell r="T548">
            <v>8770</v>
          </cell>
          <cell r="U548">
            <v>0</v>
          </cell>
        </row>
        <row r="549">
          <cell r="D549">
            <v>8771</v>
          </cell>
          <cell r="E549" t="str">
            <v>未分配利润_资本公积转增资本影响权益</v>
          </cell>
          <cell r="F549">
            <v>0</v>
          </cell>
          <cell r="G549">
            <v>0</v>
          </cell>
          <cell r="H549">
            <v>0</v>
          </cell>
          <cell r="I549">
            <v>0</v>
          </cell>
          <cell r="J549">
            <v>0</v>
          </cell>
          <cell r="K549">
            <v>0</v>
          </cell>
          <cell r="L549">
            <v>0</v>
          </cell>
          <cell r="M549">
            <v>0</v>
          </cell>
          <cell r="T549">
            <v>8771</v>
          </cell>
          <cell r="U549">
            <v>0</v>
          </cell>
        </row>
        <row r="550">
          <cell r="D550">
            <v>8772</v>
          </cell>
          <cell r="E550" t="str">
            <v>未分配利润_盈余公积转增资本影响权益</v>
          </cell>
          <cell r="F550">
            <v>0</v>
          </cell>
          <cell r="G550">
            <v>0</v>
          </cell>
          <cell r="H550">
            <v>0</v>
          </cell>
          <cell r="I550">
            <v>0</v>
          </cell>
          <cell r="J550">
            <v>0</v>
          </cell>
          <cell r="K550">
            <v>0</v>
          </cell>
          <cell r="L550">
            <v>0</v>
          </cell>
          <cell r="M550">
            <v>0</v>
          </cell>
          <cell r="T550">
            <v>8772</v>
          </cell>
          <cell r="U550">
            <v>0</v>
          </cell>
        </row>
        <row r="551">
          <cell r="D551">
            <v>8773</v>
          </cell>
          <cell r="E551" t="str">
            <v>未分配利润_盈余公积弥补亏损</v>
          </cell>
          <cell r="F551">
            <v>0</v>
          </cell>
          <cell r="G551">
            <v>0</v>
          </cell>
          <cell r="H551">
            <v>0</v>
          </cell>
          <cell r="I551">
            <v>0</v>
          </cell>
          <cell r="J551">
            <v>0</v>
          </cell>
          <cell r="K551">
            <v>0</v>
          </cell>
          <cell r="L551">
            <v>0</v>
          </cell>
          <cell r="M551">
            <v>0</v>
          </cell>
          <cell r="T551">
            <v>8773</v>
          </cell>
          <cell r="U551">
            <v>0</v>
          </cell>
        </row>
        <row r="552">
          <cell r="D552">
            <v>8775</v>
          </cell>
          <cell r="E552" t="str">
            <v>未分配利润_设定受益计划变动额结转留存收益</v>
          </cell>
          <cell r="F552">
            <v>0</v>
          </cell>
          <cell r="G552">
            <v>0</v>
          </cell>
          <cell r="H552">
            <v>0</v>
          </cell>
          <cell r="I552">
            <v>0</v>
          </cell>
          <cell r="J552">
            <v>0</v>
          </cell>
          <cell r="K552">
            <v>0</v>
          </cell>
          <cell r="L552">
            <v>0</v>
          </cell>
          <cell r="M552">
            <v>0</v>
          </cell>
          <cell r="T552">
            <v>8775</v>
          </cell>
          <cell r="U552">
            <v>0</v>
          </cell>
        </row>
        <row r="553">
          <cell r="D553">
            <v>8776</v>
          </cell>
          <cell r="E553" t="str">
            <v>未分配利润_所有者权益其他内部结转</v>
          </cell>
          <cell r="F553">
            <v>0</v>
          </cell>
          <cell r="G553">
            <v>0</v>
          </cell>
          <cell r="H553">
            <v>0</v>
          </cell>
          <cell r="I553">
            <v>0</v>
          </cell>
          <cell r="J553">
            <v>0</v>
          </cell>
          <cell r="K553">
            <v>0</v>
          </cell>
          <cell r="L553">
            <v>0</v>
          </cell>
          <cell r="M553">
            <v>0</v>
          </cell>
          <cell r="T553">
            <v>8776</v>
          </cell>
          <cell r="U553">
            <v>0</v>
          </cell>
        </row>
        <row r="554">
          <cell r="D554">
            <v>8780</v>
          </cell>
          <cell r="E554" t="str">
            <v>未分配利润_专项储备影响权益</v>
          </cell>
          <cell r="F554">
            <v>0</v>
          </cell>
          <cell r="G554">
            <v>0</v>
          </cell>
          <cell r="H554">
            <v>0</v>
          </cell>
          <cell r="I554">
            <v>0</v>
          </cell>
          <cell r="J554">
            <v>0</v>
          </cell>
          <cell r="K554">
            <v>0</v>
          </cell>
          <cell r="L554">
            <v>0</v>
          </cell>
          <cell r="M554">
            <v>0</v>
          </cell>
          <cell r="T554">
            <v>8780</v>
          </cell>
          <cell r="U554">
            <v>0</v>
          </cell>
        </row>
        <row r="555">
          <cell r="D555">
            <v>8781</v>
          </cell>
          <cell r="E555" t="str">
            <v>未分配利润_专项储备本期提取</v>
          </cell>
          <cell r="F555">
            <v>0</v>
          </cell>
          <cell r="G555">
            <v>0</v>
          </cell>
          <cell r="H555">
            <v>0</v>
          </cell>
          <cell r="I555">
            <v>0</v>
          </cell>
          <cell r="J555">
            <v>0</v>
          </cell>
          <cell r="K555">
            <v>0</v>
          </cell>
          <cell r="L555">
            <v>0</v>
          </cell>
          <cell r="M555">
            <v>0</v>
          </cell>
          <cell r="T555">
            <v>8781</v>
          </cell>
          <cell r="U555">
            <v>0</v>
          </cell>
        </row>
        <row r="556">
          <cell r="D556">
            <v>8782</v>
          </cell>
          <cell r="E556" t="str">
            <v>未分配利润_专项储备本期使用</v>
          </cell>
          <cell r="F556">
            <v>0</v>
          </cell>
          <cell r="G556">
            <v>0</v>
          </cell>
          <cell r="H556">
            <v>0</v>
          </cell>
          <cell r="I556">
            <v>0</v>
          </cell>
          <cell r="J556">
            <v>0</v>
          </cell>
          <cell r="K556">
            <v>0</v>
          </cell>
          <cell r="L556">
            <v>0</v>
          </cell>
          <cell r="M556">
            <v>0</v>
          </cell>
          <cell r="T556">
            <v>8782</v>
          </cell>
          <cell r="U556">
            <v>0</v>
          </cell>
        </row>
        <row r="557">
          <cell r="D557">
            <v>8796</v>
          </cell>
          <cell r="E557" t="str">
            <v>未分配利润_本期其他增减变动</v>
          </cell>
          <cell r="F557">
            <v>0</v>
          </cell>
          <cell r="G557">
            <v>0</v>
          </cell>
          <cell r="H557">
            <v>0</v>
          </cell>
          <cell r="I557">
            <v>0</v>
          </cell>
          <cell r="J557">
            <v>0</v>
          </cell>
          <cell r="K557">
            <v>0</v>
          </cell>
          <cell r="L557">
            <v>0</v>
          </cell>
          <cell r="M557">
            <v>0</v>
          </cell>
          <cell r="T557">
            <v>8796</v>
          </cell>
          <cell r="U557">
            <v>0</v>
          </cell>
        </row>
        <row r="558">
          <cell r="D558">
            <v>8799</v>
          </cell>
          <cell r="E558" t="str">
            <v>未分配利润_本期期末余额</v>
          </cell>
          <cell r="F558">
            <v>132875203.33</v>
          </cell>
          <cell r="G558">
            <v>98710131.840000004</v>
          </cell>
          <cell r="H558">
            <v>49819515.710000001</v>
          </cell>
          <cell r="I558">
            <v>83984587.200000003</v>
          </cell>
          <cell r="J558">
            <v>63013280.090000004</v>
          </cell>
          <cell r="K558">
            <v>0</v>
          </cell>
          <cell r="L558">
            <v>0</v>
          </cell>
          <cell r="M558">
            <v>63013280.090000004</v>
          </cell>
          <cell r="T558">
            <v>8799</v>
          </cell>
          <cell r="U558">
            <v>63013280.090000004</v>
          </cell>
        </row>
        <row r="559">
          <cell r="D559">
            <v>8800</v>
          </cell>
          <cell r="E559" t="str">
            <v>其他归属于母公司所有者权益增减变动</v>
          </cell>
          <cell r="F559">
            <v>0</v>
          </cell>
          <cell r="G559">
            <v>0</v>
          </cell>
          <cell r="H559">
            <v>0</v>
          </cell>
          <cell r="I559">
            <v>0</v>
          </cell>
          <cell r="J559">
            <v>0</v>
          </cell>
          <cell r="K559">
            <v>0</v>
          </cell>
          <cell r="L559">
            <v>0</v>
          </cell>
          <cell r="M559">
            <v>0</v>
          </cell>
          <cell r="T559">
            <v>8800</v>
          </cell>
          <cell r="U559">
            <v>0</v>
          </cell>
        </row>
        <row r="560">
          <cell r="D560">
            <v>8801</v>
          </cell>
          <cell r="E560" t="str">
            <v>其他归属于母公司所有者权益_上年年末余额</v>
          </cell>
          <cell r="F560">
            <v>0</v>
          </cell>
          <cell r="G560">
            <v>0</v>
          </cell>
          <cell r="H560">
            <v>0</v>
          </cell>
          <cell r="I560">
            <v>0</v>
          </cell>
          <cell r="J560">
            <v>0</v>
          </cell>
          <cell r="K560">
            <v>0</v>
          </cell>
          <cell r="L560">
            <v>0</v>
          </cell>
          <cell r="M560">
            <v>0</v>
          </cell>
          <cell r="T560">
            <v>8801</v>
          </cell>
          <cell r="U560">
            <v>0</v>
          </cell>
        </row>
        <row r="561">
          <cell r="D561">
            <v>8802</v>
          </cell>
          <cell r="E561" t="str">
            <v>其他归属于母公司所有者权益_会计政策变更调整上年年末余额</v>
          </cell>
          <cell r="F561">
            <v>0</v>
          </cell>
          <cell r="G561">
            <v>0</v>
          </cell>
          <cell r="H561">
            <v>0</v>
          </cell>
          <cell r="I561">
            <v>0</v>
          </cell>
          <cell r="J561">
            <v>0</v>
          </cell>
          <cell r="K561">
            <v>0</v>
          </cell>
          <cell r="L561">
            <v>0</v>
          </cell>
          <cell r="M561">
            <v>0</v>
          </cell>
          <cell r="T561">
            <v>8802</v>
          </cell>
          <cell r="U561">
            <v>0</v>
          </cell>
        </row>
        <row r="562">
          <cell r="D562">
            <v>8803</v>
          </cell>
          <cell r="E562" t="str">
            <v>其他归属于母公司所有者权益_前期差错更正调整上年年末余额</v>
          </cell>
          <cell r="F562">
            <v>0</v>
          </cell>
          <cell r="G562">
            <v>0</v>
          </cell>
          <cell r="H562">
            <v>0</v>
          </cell>
          <cell r="I562">
            <v>0</v>
          </cell>
          <cell r="J562">
            <v>0</v>
          </cell>
          <cell r="K562">
            <v>0</v>
          </cell>
          <cell r="L562">
            <v>0</v>
          </cell>
          <cell r="M562">
            <v>0</v>
          </cell>
          <cell r="T562">
            <v>8803</v>
          </cell>
          <cell r="U562">
            <v>0</v>
          </cell>
        </row>
        <row r="563">
          <cell r="D563">
            <v>8804</v>
          </cell>
          <cell r="E563" t="str">
            <v>其他归属于母公司所有者权益_同一控制下企业合并调整上年年末余额</v>
          </cell>
          <cell r="F563">
            <v>0</v>
          </cell>
          <cell r="G563">
            <v>0</v>
          </cell>
          <cell r="H563">
            <v>0</v>
          </cell>
          <cell r="I563">
            <v>0</v>
          </cell>
          <cell r="J563">
            <v>0</v>
          </cell>
          <cell r="K563">
            <v>0</v>
          </cell>
          <cell r="L563">
            <v>0</v>
          </cell>
          <cell r="M563">
            <v>0</v>
          </cell>
          <cell r="T563">
            <v>8804</v>
          </cell>
          <cell r="U563">
            <v>0</v>
          </cell>
        </row>
        <row r="564">
          <cell r="D564">
            <v>8809</v>
          </cell>
          <cell r="E564" t="str">
            <v>其他归属于母公司所有者权益_其他原因调整上年年末余额</v>
          </cell>
          <cell r="F564">
            <v>0</v>
          </cell>
          <cell r="G564">
            <v>0</v>
          </cell>
          <cell r="H564">
            <v>0</v>
          </cell>
          <cell r="I564">
            <v>0</v>
          </cell>
          <cell r="J564">
            <v>0</v>
          </cell>
          <cell r="K564">
            <v>0</v>
          </cell>
          <cell r="L564">
            <v>0</v>
          </cell>
          <cell r="M564">
            <v>0</v>
          </cell>
          <cell r="T564">
            <v>8809</v>
          </cell>
          <cell r="U564">
            <v>0</v>
          </cell>
        </row>
        <row r="565">
          <cell r="D565">
            <v>8810</v>
          </cell>
          <cell r="E565" t="str">
            <v>其他归属于母公司所有者权益_本年年初余额</v>
          </cell>
          <cell r="F565">
            <v>0</v>
          </cell>
          <cell r="G565">
            <v>0</v>
          </cell>
          <cell r="H565">
            <v>0</v>
          </cell>
          <cell r="I565">
            <v>0</v>
          </cell>
          <cell r="J565">
            <v>0</v>
          </cell>
          <cell r="K565">
            <v>0</v>
          </cell>
          <cell r="L565">
            <v>0</v>
          </cell>
          <cell r="M565">
            <v>0</v>
          </cell>
          <cell r="T565">
            <v>8810</v>
          </cell>
          <cell r="U565">
            <v>0</v>
          </cell>
        </row>
        <row r="566">
          <cell r="D566">
            <v>8890</v>
          </cell>
          <cell r="E566" t="str">
            <v>其他归属于母公司所有者权益_本期增减变动金额</v>
          </cell>
          <cell r="F566">
            <v>0</v>
          </cell>
          <cell r="G566">
            <v>0</v>
          </cell>
          <cell r="H566">
            <v>0</v>
          </cell>
          <cell r="I566">
            <v>0</v>
          </cell>
          <cell r="J566">
            <v>0</v>
          </cell>
          <cell r="K566">
            <v>0</v>
          </cell>
          <cell r="L566">
            <v>0</v>
          </cell>
          <cell r="M566">
            <v>0</v>
          </cell>
          <cell r="T566">
            <v>8890</v>
          </cell>
          <cell r="U566">
            <v>0</v>
          </cell>
        </row>
        <row r="567">
          <cell r="D567">
            <v>8821</v>
          </cell>
          <cell r="E567" t="str">
            <v>其他归属于母公司所有者权益_净利润增加权益</v>
          </cell>
          <cell r="F567">
            <v>0</v>
          </cell>
          <cell r="G567">
            <v>0</v>
          </cell>
          <cell r="H567">
            <v>0</v>
          </cell>
          <cell r="I567">
            <v>0</v>
          </cell>
          <cell r="J567">
            <v>0</v>
          </cell>
          <cell r="K567">
            <v>0</v>
          </cell>
          <cell r="L567">
            <v>0</v>
          </cell>
          <cell r="M567">
            <v>0</v>
          </cell>
          <cell r="T567">
            <v>8821</v>
          </cell>
          <cell r="U567">
            <v>0</v>
          </cell>
        </row>
        <row r="568">
          <cell r="D568">
            <v>8830</v>
          </cell>
          <cell r="E568" t="str">
            <v>其他归属于母公司所有者权益_其他综合收益</v>
          </cell>
          <cell r="F568">
            <v>0</v>
          </cell>
          <cell r="G568">
            <v>0</v>
          </cell>
          <cell r="H568">
            <v>0</v>
          </cell>
          <cell r="I568">
            <v>0</v>
          </cell>
          <cell r="J568">
            <v>0</v>
          </cell>
          <cell r="K568">
            <v>0</v>
          </cell>
          <cell r="L568">
            <v>0</v>
          </cell>
          <cell r="M568">
            <v>0</v>
          </cell>
          <cell r="T568">
            <v>8830</v>
          </cell>
          <cell r="U568">
            <v>0</v>
          </cell>
        </row>
        <row r="569">
          <cell r="D569">
            <v>8840</v>
          </cell>
          <cell r="E569" t="str">
            <v>其他归属于母公司所有者权益_综合收益总额增加权益</v>
          </cell>
          <cell r="F569">
            <v>0</v>
          </cell>
          <cell r="G569">
            <v>0</v>
          </cell>
          <cell r="H569">
            <v>0</v>
          </cell>
          <cell r="I569">
            <v>0</v>
          </cell>
          <cell r="J569">
            <v>0</v>
          </cell>
          <cell r="K569">
            <v>0</v>
          </cell>
          <cell r="L569">
            <v>0</v>
          </cell>
          <cell r="M569">
            <v>0</v>
          </cell>
          <cell r="T569">
            <v>8840</v>
          </cell>
          <cell r="U569">
            <v>0</v>
          </cell>
        </row>
        <row r="570">
          <cell r="D570">
            <v>8850</v>
          </cell>
          <cell r="E570" t="str">
            <v>其他归属于母公司所有者权益_所有者投入和减少资本影响权益</v>
          </cell>
          <cell r="F570">
            <v>0</v>
          </cell>
          <cell r="G570">
            <v>0</v>
          </cell>
          <cell r="H570">
            <v>0</v>
          </cell>
          <cell r="I570">
            <v>0</v>
          </cell>
          <cell r="J570">
            <v>0</v>
          </cell>
          <cell r="K570">
            <v>0</v>
          </cell>
          <cell r="L570">
            <v>0</v>
          </cell>
          <cell r="M570">
            <v>0</v>
          </cell>
          <cell r="T570">
            <v>8850</v>
          </cell>
          <cell r="U570">
            <v>0</v>
          </cell>
        </row>
        <row r="571">
          <cell r="D571">
            <v>8851</v>
          </cell>
          <cell r="E571" t="str">
            <v>其他归属于母公司所有者权益_所有者投入资本</v>
          </cell>
          <cell r="F571">
            <v>0</v>
          </cell>
          <cell r="G571">
            <v>0</v>
          </cell>
          <cell r="H571">
            <v>0</v>
          </cell>
          <cell r="I571">
            <v>0</v>
          </cell>
          <cell r="J571">
            <v>0</v>
          </cell>
          <cell r="K571">
            <v>0</v>
          </cell>
          <cell r="L571">
            <v>0</v>
          </cell>
          <cell r="M571">
            <v>0</v>
          </cell>
          <cell r="T571">
            <v>8851</v>
          </cell>
          <cell r="U571">
            <v>0</v>
          </cell>
        </row>
        <row r="572">
          <cell r="D572">
            <v>8853</v>
          </cell>
          <cell r="E572" t="str">
            <v>其他归属于母公司所有者权益_其他权益工具持有者投入资本</v>
          </cell>
          <cell r="F572">
            <v>0</v>
          </cell>
          <cell r="G572">
            <v>0</v>
          </cell>
          <cell r="H572">
            <v>0</v>
          </cell>
          <cell r="I572">
            <v>0</v>
          </cell>
          <cell r="J572">
            <v>0</v>
          </cell>
          <cell r="K572">
            <v>0</v>
          </cell>
          <cell r="L572">
            <v>0</v>
          </cell>
          <cell r="M572">
            <v>0</v>
          </cell>
          <cell r="T572">
            <v>8853</v>
          </cell>
          <cell r="U572">
            <v>0</v>
          </cell>
        </row>
        <row r="573">
          <cell r="D573">
            <v>8852</v>
          </cell>
          <cell r="E573" t="str">
            <v>其他归属于母公司所有者权益_股份支付</v>
          </cell>
          <cell r="F573">
            <v>0</v>
          </cell>
          <cell r="G573">
            <v>0</v>
          </cell>
          <cell r="H573">
            <v>0</v>
          </cell>
          <cell r="I573">
            <v>0</v>
          </cell>
          <cell r="J573">
            <v>0</v>
          </cell>
          <cell r="K573">
            <v>0</v>
          </cell>
          <cell r="L573">
            <v>0</v>
          </cell>
          <cell r="M573">
            <v>0</v>
          </cell>
          <cell r="T573">
            <v>8852</v>
          </cell>
          <cell r="U573">
            <v>0</v>
          </cell>
        </row>
        <row r="574">
          <cell r="D574">
            <v>8856</v>
          </cell>
          <cell r="E574" t="str">
            <v>其他归属于母公司所有者权益_所有者其他投入和减少资本</v>
          </cell>
          <cell r="F574">
            <v>0</v>
          </cell>
          <cell r="G574">
            <v>0</v>
          </cell>
          <cell r="H574">
            <v>0</v>
          </cell>
          <cell r="I574">
            <v>0</v>
          </cell>
          <cell r="J574">
            <v>0</v>
          </cell>
          <cell r="K574">
            <v>0</v>
          </cell>
          <cell r="L574">
            <v>0</v>
          </cell>
          <cell r="M574">
            <v>0</v>
          </cell>
          <cell r="T574">
            <v>8856</v>
          </cell>
          <cell r="U574">
            <v>0</v>
          </cell>
        </row>
        <row r="575">
          <cell r="D575">
            <v>8860</v>
          </cell>
          <cell r="E575" t="str">
            <v>其他归属于母公司所有者权益_利润分配影响权益</v>
          </cell>
          <cell r="F575">
            <v>0</v>
          </cell>
          <cell r="G575">
            <v>0</v>
          </cell>
          <cell r="H575">
            <v>0</v>
          </cell>
          <cell r="I575">
            <v>0</v>
          </cell>
          <cell r="J575">
            <v>0</v>
          </cell>
          <cell r="K575">
            <v>0</v>
          </cell>
          <cell r="L575">
            <v>0</v>
          </cell>
          <cell r="M575">
            <v>0</v>
          </cell>
          <cell r="T575">
            <v>8860</v>
          </cell>
          <cell r="U575">
            <v>0</v>
          </cell>
        </row>
        <row r="576">
          <cell r="D576">
            <v>8861</v>
          </cell>
          <cell r="E576" t="str">
            <v>其他归属于母公司所有者权益_提取盈余公积</v>
          </cell>
          <cell r="F576">
            <v>0</v>
          </cell>
          <cell r="G576">
            <v>0</v>
          </cell>
          <cell r="H576">
            <v>0</v>
          </cell>
          <cell r="I576">
            <v>0</v>
          </cell>
          <cell r="J576">
            <v>0</v>
          </cell>
          <cell r="K576">
            <v>0</v>
          </cell>
          <cell r="L576">
            <v>0</v>
          </cell>
          <cell r="M576">
            <v>0</v>
          </cell>
          <cell r="T576">
            <v>8861</v>
          </cell>
          <cell r="U576">
            <v>0</v>
          </cell>
        </row>
        <row r="577">
          <cell r="D577">
            <v>8862</v>
          </cell>
          <cell r="E577" t="str">
            <v>其他归属于母公司所有者权益_提取一般风险准备</v>
          </cell>
          <cell r="F577">
            <v>0</v>
          </cell>
          <cell r="G577">
            <v>0</v>
          </cell>
          <cell r="H577">
            <v>0</v>
          </cell>
          <cell r="I577">
            <v>0</v>
          </cell>
          <cell r="J577">
            <v>0</v>
          </cell>
          <cell r="K577">
            <v>0</v>
          </cell>
          <cell r="L577">
            <v>0</v>
          </cell>
          <cell r="M577">
            <v>0</v>
          </cell>
          <cell r="T577">
            <v>8862</v>
          </cell>
          <cell r="U577">
            <v>0</v>
          </cell>
        </row>
        <row r="578">
          <cell r="D578">
            <v>8863</v>
          </cell>
          <cell r="E578" t="str">
            <v>其他归属于母公司所有者权益_对所有者的分配</v>
          </cell>
          <cell r="F578">
            <v>0</v>
          </cell>
          <cell r="G578">
            <v>0</v>
          </cell>
          <cell r="H578">
            <v>0</v>
          </cell>
          <cell r="I578">
            <v>0</v>
          </cell>
          <cell r="J578">
            <v>0</v>
          </cell>
          <cell r="K578">
            <v>0</v>
          </cell>
          <cell r="L578">
            <v>0</v>
          </cell>
          <cell r="M578">
            <v>0</v>
          </cell>
          <cell r="T578">
            <v>8863</v>
          </cell>
          <cell r="U578">
            <v>0</v>
          </cell>
        </row>
        <row r="579">
          <cell r="D579">
            <v>8866</v>
          </cell>
          <cell r="E579" t="str">
            <v>其他归属于母公司所有者权益_其他利润分配</v>
          </cell>
          <cell r="F579">
            <v>0</v>
          </cell>
          <cell r="G579">
            <v>0</v>
          </cell>
          <cell r="H579">
            <v>0</v>
          </cell>
          <cell r="I579">
            <v>0</v>
          </cell>
          <cell r="J579">
            <v>0</v>
          </cell>
          <cell r="K579">
            <v>0</v>
          </cell>
          <cell r="L579">
            <v>0</v>
          </cell>
          <cell r="M579">
            <v>0</v>
          </cell>
          <cell r="T579">
            <v>8866</v>
          </cell>
          <cell r="U579">
            <v>0</v>
          </cell>
        </row>
        <row r="580">
          <cell r="D580">
            <v>8870</v>
          </cell>
          <cell r="E580" t="str">
            <v>其他归属于母公司所有者权益_所有者权益内部结转</v>
          </cell>
          <cell r="F580">
            <v>0</v>
          </cell>
          <cell r="G580">
            <v>0</v>
          </cell>
          <cell r="H580">
            <v>0</v>
          </cell>
          <cell r="I580">
            <v>0</v>
          </cell>
          <cell r="J580">
            <v>0</v>
          </cell>
          <cell r="K580">
            <v>0</v>
          </cell>
          <cell r="L580">
            <v>0</v>
          </cell>
          <cell r="M580">
            <v>0</v>
          </cell>
          <cell r="T580">
            <v>8870</v>
          </cell>
          <cell r="U580">
            <v>0</v>
          </cell>
        </row>
        <row r="581">
          <cell r="D581">
            <v>8871</v>
          </cell>
          <cell r="E581" t="str">
            <v>其他归属于母公司所有者权益_资本公积转增资本</v>
          </cell>
          <cell r="F581">
            <v>0</v>
          </cell>
          <cell r="G581">
            <v>0</v>
          </cell>
          <cell r="H581">
            <v>0</v>
          </cell>
          <cell r="I581">
            <v>0</v>
          </cell>
          <cell r="J581">
            <v>0</v>
          </cell>
          <cell r="K581">
            <v>0</v>
          </cell>
          <cell r="L581">
            <v>0</v>
          </cell>
          <cell r="M581">
            <v>0</v>
          </cell>
          <cell r="T581">
            <v>8871</v>
          </cell>
          <cell r="U581">
            <v>0</v>
          </cell>
        </row>
        <row r="582">
          <cell r="D582">
            <v>8872</v>
          </cell>
          <cell r="E582" t="str">
            <v>其他归属于母公司所有者权益_盈余公积转增资本</v>
          </cell>
          <cell r="F582">
            <v>0</v>
          </cell>
          <cell r="G582">
            <v>0</v>
          </cell>
          <cell r="H582">
            <v>0</v>
          </cell>
          <cell r="I582">
            <v>0</v>
          </cell>
          <cell r="J582">
            <v>0</v>
          </cell>
          <cell r="K582">
            <v>0</v>
          </cell>
          <cell r="L582">
            <v>0</v>
          </cell>
          <cell r="M582">
            <v>0</v>
          </cell>
          <cell r="T582">
            <v>8872</v>
          </cell>
          <cell r="U582">
            <v>0</v>
          </cell>
        </row>
        <row r="583">
          <cell r="D583">
            <v>8873</v>
          </cell>
          <cell r="E583" t="str">
            <v>其他归属于母公司所有者权益_盈余公积弥补亏损</v>
          </cell>
          <cell r="F583">
            <v>0</v>
          </cell>
          <cell r="G583">
            <v>0</v>
          </cell>
          <cell r="H583">
            <v>0</v>
          </cell>
          <cell r="I583">
            <v>0</v>
          </cell>
          <cell r="J583">
            <v>0</v>
          </cell>
          <cell r="K583">
            <v>0</v>
          </cell>
          <cell r="L583">
            <v>0</v>
          </cell>
          <cell r="M583">
            <v>0</v>
          </cell>
          <cell r="T583">
            <v>8873</v>
          </cell>
          <cell r="U583">
            <v>0</v>
          </cell>
        </row>
        <row r="584">
          <cell r="D584">
            <v>8875</v>
          </cell>
          <cell r="E584" t="str">
            <v>其他归属于母公司所有者权益_设定受益计划变动额结转留存收益</v>
          </cell>
          <cell r="F584">
            <v>0</v>
          </cell>
          <cell r="G584">
            <v>0</v>
          </cell>
          <cell r="H584">
            <v>0</v>
          </cell>
          <cell r="I584">
            <v>0</v>
          </cell>
          <cell r="J584">
            <v>0</v>
          </cell>
          <cell r="K584">
            <v>0</v>
          </cell>
          <cell r="L584">
            <v>0</v>
          </cell>
          <cell r="M584">
            <v>0</v>
          </cell>
          <cell r="T584">
            <v>8875</v>
          </cell>
          <cell r="U584">
            <v>0</v>
          </cell>
        </row>
        <row r="585">
          <cell r="D585">
            <v>8876</v>
          </cell>
          <cell r="E585" t="str">
            <v>其他归属于母公司所有者权益_所有者权益其他内部结转</v>
          </cell>
          <cell r="F585">
            <v>0</v>
          </cell>
          <cell r="G585">
            <v>0</v>
          </cell>
          <cell r="H585">
            <v>0</v>
          </cell>
          <cell r="I585">
            <v>0</v>
          </cell>
          <cell r="J585">
            <v>0</v>
          </cell>
          <cell r="K585">
            <v>0</v>
          </cell>
          <cell r="L585">
            <v>0</v>
          </cell>
          <cell r="M585">
            <v>0</v>
          </cell>
          <cell r="T585">
            <v>8876</v>
          </cell>
          <cell r="U585">
            <v>0</v>
          </cell>
        </row>
        <row r="586">
          <cell r="D586">
            <v>8880</v>
          </cell>
          <cell r="E586" t="str">
            <v>其他归属于母公司所有者权益_专项储备影响权益</v>
          </cell>
          <cell r="F586">
            <v>0</v>
          </cell>
          <cell r="G586">
            <v>0</v>
          </cell>
          <cell r="H586">
            <v>0</v>
          </cell>
          <cell r="I586">
            <v>0</v>
          </cell>
          <cell r="J586">
            <v>0</v>
          </cell>
          <cell r="K586">
            <v>0</v>
          </cell>
          <cell r="L586">
            <v>0</v>
          </cell>
          <cell r="M586">
            <v>0</v>
          </cell>
          <cell r="T586">
            <v>8880</v>
          </cell>
          <cell r="U586">
            <v>0</v>
          </cell>
        </row>
        <row r="587">
          <cell r="D587">
            <v>8881</v>
          </cell>
          <cell r="E587" t="str">
            <v>其他归属于母公司所有者权益_专项储备本期提取</v>
          </cell>
          <cell r="F587">
            <v>0</v>
          </cell>
          <cell r="G587">
            <v>0</v>
          </cell>
          <cell r="H587">
            <v>0</v>
          </cell>
          <cell r="I587">
            <v>0</v>
          </cell>
          <cell r="J587">
            <v>0</v>
          </cell>
          <cell r="K587">
            <v>0</v>
          </cell>
          <cell r="L587">
            <v>0</v>
          </cell>
          <cell r="M587">
            <v>0</v>
          </cell>
          <cell r="T587">
            <v>8881</v>
          </cell>
          <cell r="U587">
            <v>0</v>
          </cell>
        </row>
        <row r="588">
          <cell r="D588">
            <v>8882</v>
          </cell>
          <cell r="E588" t="str">
            <v>其他归属于母公司所有者权益_专项储备本期使用</v>
          </cell>
          <cell r="F588">
            <v>0</v>
          </cell>
          <cell r="G588">
            <v>0</v>
          </cell>
          <cell r="H588">
            <v>0</v>
          </cell>
          <cell r="I588">
            <v>0</v>
          </cell>
          <cell r="J588">
            <v>0</v>
          </cell>
          <cell r="K588">
            <v>0</v>
          </cell>
          <cell r="L588">
            <v>0</v>
          </cell>
          <cell r="M588">
            <v>0</v>
          </cell>
          <cell r="T588">
            <v>8882</v>
          </cell>
          <cell r="U588">
            <v>0</v>
          </cell>
        </row>
        <row r="589">
          <cell r="D589">
            <v>8896</v>
          </cell>
          <cell r="E589" t="str">
            <v>其他归属于母公司所有者权益_本期其他增减变动</v>
          </cell>
          <cell r="F589">
            <v>0</v>
          </cell>
          <cell r="G589">
            <v>0</v>
          </cell>
          <cell r="H589">
            <v>0</v>
          </cell>
          <cell r="I589">
            <v>0</v>
          </cell>
          <cell r="J589">
            <v>0</v>
          </cell>
          <cell r="K589">
            <v>0</v>
          </cell>
          <cell r="L589">
            <v>0</v>
          </cell>
          <cell r="M589">
            <v>0</v>
          </cell>
          <cell r="T589">
            <v>8896</v>
          </cell>
          <cell r="U589">
            <v>0</v>
          </cell>
        </row>
        <row r="590">
          <cell r="D590">
            <v>8899</v>
          </cell>
          <cell r="E590" t="str">
            <v>其他归属于母公司所有者权益_本期期末余额</v>
          </cell>
          <cell r="F590">
            <v>0</v>
          </cell>
          <cell r="G590">
            <v>0</v>
          </cell>
          <cell r="H590">
            <v>0</v>
          </cell>
          <cell r="I590">
            <v>0</v>
          </cell>
          <cell r="J590">
            <v>0</v>
          </cell>
          <cell r="K590">
            <v>0</v>
          </cell>
          <cell r="L590">
            <v>0</v>
          </cell>
          <cell r="M590">
            <v>0</v>
          </cell>
          <cell r="T590">
            <v>8899</v>
          </cell>
          <cell r="U590">
            <v>0</v>
          </cell>
        </row>
        <row r="591">
          <cell r="D591">
            <v>8900</v>
          </cell>
          <cell r="E591" t="str">
            <v>少数股东权益增减变动</v>
          </cell>
          <cell r="F591">
            <v>0</v>
          </cell>
          <cell r="G591">
            <v>0</v>
          </cell>
          <cell r="H591">
            <v>0</v>
          </cell>
          <cell r="I591">
            <v>0</v>
          </cell>
          <cell r="J591">
            <v>0</v>
          </cell>
          <cell r="K591">
            <v>0</v>
          </cell>
          <cell r="L591">
            <v>0</v>
          </cell>
          <cell r="M591">
            <v>0</v>
          </cell>
          <cell r="T591">
            <v>8900</v>
          </cell>
          <cell r="U591">
            <v>0</v>
          </cell>
        </row>
        <row r="592">
          <cell r="D592">
            <v>8901</v>
          </cell>
          <cell r="E592" t="str">
            <v>少数股东权益_上年年末余额</v>
          </cell>
          <cell r="F592">
            <v>0</v>
          </cell>
          <cell r="G592">
            <v>0</v>
          </cell>
          <cell r="H592">
            <v>0</v>
          </cell>
          <cell r="I592">
            <v>0</v>
          </cell>
          <cell r="J592">
            <v>0</v>
          </cell>
          <cell r="K592">
            <v>0</v>
          </cell>
          <cell r="L592">
            <v>0</v>
          </cell>
          <cell r="M592">
            <v>0</v>
          </cell>
          <cell r="T592">
            <v>8901</v>
          </cell>
          <cell r="U592">
            <v>0</v>
          </cell>
        </row>
        <row r="593">
          <cell r="D593">
            <v>8902</v>
          </cell>
          <cell r="E593" t="str">
            <v>少数股东权益_会计政策变更调整上年年末余额</v>
          </cell>
          <cell r="F593">
            <v>0</v>
          </cell>
          <cell r="G593">
            <v>0</v>
          </cell>
          <cell r="H593">
            <v>0</v>
          </cell>
          <cell r="I593">
            <v>0</v>
          </cell>
          <cell r="J593">
            <v>0</v>
          </cell>
          <cell r="K593">
            <v>0</v>
          </cell>
          <cell r="L593">
            <v>0</v>
          </cell>
          <cell r="M593">
            <v>0</v>
          </cell>
          <cell r="T593">
            <v>8902</v>
          </cell>
          <cell r="U593">
            <v>0</v>
          </cell>
        </row>
        <row r="594">
          <cell r="D594">
            <v>8903</v>
          </cell>
          <cell r="E594" t="str">
            <v>少数股东权益_前期差错更正调整上年年末余额</v>
          </cell>
          <cell r="F594">
            <v>0</v>
          </cell>
          <cell r="G594">
            <v>0</v>
          </cell>
          <cell r="H594">
            <v>0</v>
          </cell>
          <cell r="I594">
            <v>0</v>
          </cell>
          <cell r="J594">
            <v>0</v>
          </cell>
          <cell r="K594">
            <v>0</v>
          </cell>
          <cell r="L594">
            <v>0</v>
          </cell>
          <cell r="M594">
            <v>0</v>
          </cell>
          <cell r="T594">
            <v>8903</v>
          </cell>
          <cell r="U594">
            <v>0</v>
          </cell>
        </row>
        <row r="595">
          <cell r="D595">
            <v>8904</v>
          </cell>
          <cell r="E595" t="str">
            <v>少数股东权益_同一控制下企业合并调整上年年末余额</v>
          </cell>
          <cell r="F595">
            <v>0</v>
          </cell>
          <cell r="G595">
            <v>0</v>
          </cell>
          <cell r="H595">
            <v>0</v>
          </cell>
          <cell r="I595">
            <v>0</v>
          </cell>
          <cell r="J595">
            <v>0</v>
          </cell>
          <cell r="K595">
            <v>0</v>
          </cell>
          <cell r="L595">
            <v>0</v>
          </cell>
          <cell r="M595">
            <v>0</v>
          </cell>
          <cell r="T595">
            <v>8904</v>
          </cell>
          <cell r="U595">
            <v>0</v>
          </cell>
        </row>
        <row r="596">
          <cell r="D596">
            <v>8909</v>
          </cell>
          <cell r="E596" t="str">
            <v>少数股东权益_其他原因调整上年年末余额</v>
          </cell>
          <cell r="F596">
            <v>0</v>
          </cell>
          <cell r="G596">
            <v>0</v>
          </cell>
          <cell r="H596">
            <v>0</v>
          </cell>
          <cell r="I596">
            <v>0</v>
          </cell>
          <cell r="J596">
            <v>0</v>
          </cell>
          <cell r="K596">
            <v>0</v>
          </cell>
          <cell r="L596">
            <v>0</v>
          </cell>
          <cell r="M596">
            <v>0</v>
          </cell>
          <cell r="T596">
            <v>8909</v>
          </cell>
          <cell r="U596">
            <v>0</v>
          </cell>
        </row>
        <row r="597">
          <cell r="D597">
            <v>8910</v>
          </cell>
          <cell r="E597" t="str">
            <v>少数股东权益_本年年初余额</v>
          </cell>
          <cell r="F597">
            <v>0</v>
          </cell>
          <cell r="G597">
            <v>0</v>
          </cell>
          <cell r="H597">
            <v>0</v>
          </cell>
          <cell r="I597">
            <v>0</v>
          </cell>
          <cell r="J597">
            <v>0</v>
          </cell>
          <cell r="K597">
            <v>0</v>
          </cell>
          <cell r="L597">
            <v>0</v>
          </cell>
          <cell r="M597">
            <v>0</v>
          </cell>
          <cell r="T597">
            <v>8910</v>
          </cell>
          <cell r="U597">
            <v>0</v>
          </cell>
        </row>
        <row r="598">
          <cell r="D598">
            <v>8990</v>
          </cell>
          <cell r="E598" t="str">
            <v>少数股东权益_本期增减变动金额</v>
          </cell>
          <cell r="F598">
            <v>0</v>
          </cell>
          <cell r="G598">
            <v>0</v>
          </cell>
          <cell r="H598">
            <v>0</v>
          </cell>
          <cell r="I598">
            <v>0</v>
          </cell>
          <cell r="J598">
            <v>0</v>
          </cell>
          <cell r="K598">
            <v>0</v>
          </cell>
          <cell r="L598">
            <v>0</v>
          </cell>
          <cell r="M598">
            <v>0</v>
          </cell>
          <cell r="T598">
            <v>8990</v>
          </cell>
          <cell r="U598">
            <v>0</v>
          </cell>
        </row>
        <row r="599">
          <cell r="D599">
            <v>8921</v>
          </cell>
          <cell r="E599" t="str">
            <v>少数股东权益_净利润</v>
          </cell>
          <cell r="F599">
            <v>0</v>
          </cell>
          <cell r="G599">
            <v>0</v>
          </cell>
          <cell r="H599">
            <v>0</v>
          </cell>
          <cell r="I599">
            <v>0</v>
          </cell>
          <cell r="J599">
            <v>0</v>
          </cell>
          <cell r="K599">
            <v>0</v>
          </cell>
          <cell r="L599">
            <v>0</v>
          </cell>
          <cell r="M599">
            <v>0</v>
          </cell>
          <cell r="T599">
            <v>8921</v>
          </cell>
          <cell r="U599">
            <v>0</v>
          </cell>
        </row>
        <row r="600">
          <cell r="D600">
            <v>8930</v>
          </cell>
          <cell r="E600" t="str">
            <v>少数股东权益_其他综合收益</v>
          </cell>
          <cell r="F600">
            <v>0</v>
          </cell>
          <cell r="G600">
            <v>0</v>
          </cell>
          <cell r="H600">
            <v>0</v>
          </cell>
          <cell r="I600">
            <v>0</v>
          </cell>
          <cell r="J600">
            <v>0</v>
          </cell>
          <cell r="K600">
            <v>0</v>
          </cell>
          <cell r="L600">
            <v>0</v>
          </cell>
          <cell r="M600">
            <v>0</v>
          </cell>
          <cell r="T600">
            <v>8930</v>
          </cell>
          <cell r="U600">
            <v>0</v>
          </cell>
        </row>
        <row r="601">
          <cell r="D601">
            <v>8940</v>
          </cell>
          <cell r="E601" t="str">
            <v>少数股东权益_综合收益总额增加权益</v>
          </cell>
          <cell r="F601">
            <v>0</v>
          </cell>
          <cell r="G601">
            <v>0</v>
          </cell>
          <cell r="H601">
            <v>0</v>
          </cell>
          <cell r="I601">
            <v>0</v>
          </cell>
          <cell r="J601">
            <v>0</v>
          </cell>
          <cell r="K601">
            <v>0</v>
          </cell>
          <cell r="L601">
            <v>0</v>
          </cell>
          <cell r="M601">
            <v>0</v>
          </cell>
          <cell r="T601">
            <v>8940</v>
          </cell>
          <cell r="U601">
            <v>0</v>
          </cell>
        </row>
        <row r="602">
          <cell r="D602">
            <v>8950</v>
          </cell>
          <cell r="E602" t="str">
            <v>少数股东权益_所有者投入和减少资本影响权益</v>
          </cell>
          <cell r="F602">
            <v>0</v>
          </cell>
          <cell r="G602">
            <v>0</v>
          </cell>
          <cell r="H602">
            <v>0</v>
          </cell>
          <cell r="I602">
            <v>0</v>
          </cell>
          <cell r="J602">
            <v>0</v>
          </cell>
          <cell r="K602">
            <v>0</v>
          </cell>
          <cell r="L602">
            <v>0</v>
          </cell>
          <cell r="M602">
            <v>0</v>
          </cell>
          <cell r="T602">
            <v>8950</v>
          </cell>
          <cell r="U602">
            <v>0</v>
          </cell>
        </row>
        <row r="603">
          <cell r="D603">
            <v>8951</v>
          </cell>
          <cell r="E603" t="str">
            <v>少数股东权益_所有者投入资本</v>
          </cell>
          <cell r="F603">
            <v>0</v>
          </cell>
          <cell r="G603">
            <v>0</v>
          </cell>
          <cell r="H603">
            <v>0</v>
          </cell>
          <cell r="I603">
            <v>0</v>
          </cell>
          <cell r="J603">
            <v>0</v>
          </cell>
          <cell r="K603">
            <v>0</v>
          </cell>
          <cell r="L603">
            <v>0</v>
          </cell>
          <cell r="M603">
            <v>0</v>
          </cell>
          <cell r="T603">
            <v>8951</v>
          </cell>
          <cell r="U603">
            <v>0</v>
          </cell>
        </row>
        <row r="604">
          <cell r="D604">
            <v>8953</v>
          </cell>
          <cell r="E604" t="str">
            <v>少数股东权益_其他权益工具持有者投入资本</v>
          </cell>
          <cell r="F604">
            <v>0</v>
          </cell>
          <cell r="G604">
            <v>0</v>
          </cell>
          <cell r="H604">
            <v>0</v>
          </cell>
          <cell r="I604">
            <v>0</v>
          </cell>
          <cell r="J604">
            <v>0</v>
          </cell>
          <cell r="K604">
            <v>0</v>
          </cell>
          <cell r="L604">
            <v>0</v>
          </cell>
          <cell r="M604">
            <v>0</v>
          </cell>
          <cell r="T604">
            <v>8953</v>
          </cell>
          <cell r="U604">
            <v>0</v>
          </cell>
        </row>
        <row r="605">
          <cell r="D605">
            <v>8952</v>
          </cell>
          <cell r="E605" t="str">
            <v>少数股东权益_股份支付</v>
          </cell>
          <cell r="F605">
            <v>0</v>
          </cell>
          <cell r="G605">
            <v>0</v>
          </cell>
          <cell r="H605">
            <v>0</v>
          </cell>
          <cell r="I605">
            <v>0</v>
          </cell>
          <cell r="J605">
            <v>0</v>
          </cell>
          <cell r="K605">
            <v>0</v>
          </cell>
          <cell r="L605">
            <v>0</v>
          </cell>
          <cell r="M605">
            <v>0</v>
          </cell>
          <cell r="T605">
            <v>8952</v>
          </cell>
          <cell r="U605">
            <v>0</v>
          </cell>
        </row>
        <row r="606">
          <cell r="D606">
            <v>8956</v>
          </cell>
          <cell r="E606" t="str">
            <v>少数股东权益_所有者其他投入和减少资本</v>
          </cell>
          <cell r="F606">
            <v>0</v>
          </cell>
          <cell r="G606">
            <v>0</v>
          </cell>
          <cell r="H606">
            <v>0</v>
          </cell>
          <cell r="I606">
            <v>0</v>
          </cell>
          <cell r="J606">
            <v>0</v>
          </cell>
          <cell r="K606">
            <v>0</v>
          </cell>
          <cell r="L606">
            <v>0</v>
          </cell>
          <cell r="M606">
            <v>0</v>
          </cell>
          <cell r="T606">
            <v>8956</v>
          </cell>
          <cell r="U606">
            <v>0</v>
          </cell>
        </row>
        <row r="607">
          <cell r="D607">
            <v>8960</v>
          </cell>
          <cell r="E607" t="str">
            <v>少数股东权益_利润分配影响权益</v>
          </cell>
          <cell r="F607">
            <v>0</v>
          </cell>
          <cell r="G607">
            <v>0</v>
          </cell>
          <cell r="H607">
            <v>0</v>
          </cell>
          <cell r="I607">
            <v>0</v>
          </cell>
          <cell r="J607">
            <v>0</v>
          </cell>
          <cell r="K607">
            <v>0</v>
          </cell>
          <cell r="L607">
            <v>0</v>
          </cell>
          <cell r="M607">
            <v>0</v>
          </cell>
          <cell r="T607">
            <v>8960</v>
          </cell>
          <cell r="U607">
            <v>0</v>
          </cell>
        </row>
        <row r="608">
          <cell r="D608">
            <v>8961</v>
          </cell>
          <cell r="E608" t="str">
            <v>少数股东权益_提取盈余公积影响权益</v>
          </cell>
          <cell r="F608">
            <v>0</v>
          </cell>
          <cell r="G608">
            <v>0</v>
          </cell>
          <cell r="H608">
            <v>0</v>
          </cell>
          <cell r="I608">
            <v>0</v>
          </cell>
          <cell r="J608">
            <v>0</v>
          </cell>
          <cell r="K608">
            <v>0</v>
          </cell>
          <cell r="L608">
            <v>0</v>
          </cell>
          <cell r="M608">
            <v>0</v>
          </cell>
          <cell r="T608">
            <v>8961</v>
          </cell>
          <cell r="U608">
            <v>0</v>
          </cell>
        </row>
        <row r="609">
          <cell r="D609">
            <v>8962</v>
          </cell>
          <cell r="E609" t="str">
            <v>少数股东权益_提取一般风险准备影响权益</v>
          </cell>
          <cell r="F609">
            <v>0</v>
          </cell>
          <cell r="G609">
            <v>0</v>
          </cell>
          <cell r="H609">
            <v>0</v>
          </cell>
          <cell r="I609">
            <v>0</v>
          </cell>
          <cell r="J609">
            <v>0</v>
          </cell>
          <cell r="K609">
            <v>0</v>
          </cell>
          <cell r="L609">
            <v>0</v>
          </cell>
          <cell r="M609">
            <v>0</v>
          </cell>
          <cell r="T609">
            <v>8962</v>
          </cell>
          <cell r="U609">
            <v>0</v>
          </cell>
        </row>
        <row r="610">
          <cell r="D610">
            <v>8963</v>
          </cell>
          <cell r="E610" t="str">
            <v>少数股东权益_对所有者的分配</v>
          </cell>
          <cell r="F610">
            <v>0</v>
          </cell>
          <cell r="G610">
            <v>0</v>
          </cell>
          <cell r="H610">
            <v>0</v>
          </cell>
          <cell r="I610">
            <v>0</v>
          </cell>
          <cell r="J610">
            <v>0</v>
          </cell>
          <cell r="K610">
            <v>0</v>
          </cell>
          <cell r="L610">
            <v>0</v>
          </cell>
          <cell r="M610">
            <v>0</v>
          </cell>
          <cell r="T610">
            <v>8963</v>
          </cell>
          <cell r="U610">
            <v>0</v>
          </cell>
        </row>
        <row r="611">
          <cell r="D611">
            <v>8966</v>
          </cell>
          <cell r="E611" t="str">
            <v>少数股东权益_其他利润分配</v>
          </cell>
          <cell r="F611">
            <v>0</v>
          </cell>
          <cell r="G611">
            <v>0</v>
          </cell>
          <cell r="H611">
            <v>0</v>
          </cell>
          <cell r="I611">
            <v>0</v>
          </cell>
          <cell r="J611">
            <v>0</v>
          </cell>
          <cell r="K611">
            <v>0</v>
          </cell>
          <cell r="L611">
            <v>0</v>
          </cell>
          <cell r="M611">
            <v>0</v>
          </cell>
          <cell r="T611">
            <v>8966</v>
          </cell>
          <cell r="U611">
            <v>0</v>
          </cell>
        </row>
        <row r="612">
          <cell r="D612">
            <v>8970</v>
          </cell>
          <cell r="E612" t="str">
            <v>少数股东权益_所有者权益内部结转</v>
          </cell>
          <cell r="F612">
            <v>0</v>
          </cell>
          <cell r="G612">
            <v>0</v>
          </cell>
          <cell r="H612">
            <v>0</v>
          </cell>
          <cell r="I612">
            <v>0</v>
          </cell>
          <cell r="J612">
            <v>0</v>
          </cell>
          <cell r="K612">
            <v>0</v>
          </cell>
          <cell r="L612">
            <v>0</v>
          </cell>
          <cell r="M612">
            <v>0</v>
          </cell>
          <cell r="T612">
            <v>8970</v>
          </cell>
          <cell r="U612">
            <v>0</v>
          </cell>
        </row>
        <row r="613">
          <cell r="D613">
            <v>8971</v>
          </cell>
          <cell r="E613" t="str">
            <v>少数股东权益_资本公积转增资本影响权益</v>
          </cell>
          <cell r="F613">
            <v>0</v>
          </cell>
          <cell r="G613">
            <v>0</v>
          </cell>
          <cell r="H613">
            <v>0</v>
          </cell>
          <cell r="I613">
            <v>0</v>
          </cell>
          <cell r="J613">
            <v>0</v>
          </cell>
          <cell r="K613">
            <v>0</v>
          </cell>
          <cell r="L613">
            <v>0</v>
          </cell>
          <cell r="M613">
            <v>0</v>
          </cell>
          <cell r="T613">
            <v>8971</v>
          </cell>
          <cell r="U613">
            <v>0</v>
          </cell>
        </row>
        <row r="614">
          <cell r="D614">
            <v>8972</v>
          </cell>
          <cell r="E614" t="str">
            <v>少数股东权益_盈余公积转增资本影响权益</v>
          </cell>
          <cell r="F614">
            <v>0</v>
          </cell>
          <cell r="G614">
            <v>0</v>
          </cell>
          <cell r="H614">
            <v>0</v>
          </cell>
          <cell r="I614">
            <v>0</v>
          </cell>
          <cell r="J614">
            <v>0</v>
          </cell>
          <cell r="K614">
            <v>0</v>
          </cell>
          <cell r="L614">
            <v>0</v>
          </cell>
          <cell r="M614">
            <v>0</v>
          </cell>
          <cell r="T614">
            <v>8972</v>
          </cell>
          <cell r="U614">
            <v>0</v>
          </cell>
        </row>
        <row r="615">
          <cell r="D615">
            <v>8973</v>
          </cell>
          <cell r="E615" t="str">
            <v>少数股东权益_盈余公积弥补亏损影响权益</v>
          </cell>
          <cell r="F615">
            <v>0</v>
          </cell>
          <cell r="G615">
            <v>0</v>
          </cell>
          <cell r="H615">
            <v>0</v>
          </cell>
          <cell r="I615">
            <v>0</v>
          </cell>
          <cell r="J615">
            <v>0</v>
          </cell>
          <cell r="K615">
            <v>0</v>
          </cell>
          <cell r="L615">
            <v>0</v>
          </cell>
          <cell r="M615">
            <v>0</v>
          </cell>
          <cell r="T615">
            <v>8973</v>
          </cell>
          <cell r="U615">
            <v>0</v>
          </cell>
        </row>
        <row r="616">
          <cell r="D616">
            <v>8975</v>
          </cell>
          <cell r="E616" t="str">
            <v>少数股东权益_设定受益计划变动额结转留存收益</v>
          </cell>
          <cell r="F616">
            <v>0</v>
          </cell>
          <cell r="G616">
            <v>0</v>
          </cell>
          <cell r="H616">
            <v>0</v>
          </cell>
          <cell r="I616">
            <v>0</v>
          </cell>
          <cell r="J616">
            <v>0</v>
          </cell>
          <cell r="K616">
            <v>0</v>
          </cell>
          <cell r="L616">
            <v>0</v>
          </cell>
          <cell r="M616">
            <v>0</v>
          </cell>
          <cell r="T616">
            <v>8975</v>
          </cell>
          <cell r="U616">
            <v>0</v>
          </cell>
        </row>
        <row r="617">
          <cell r="D617">
            <v>8976</v>
          </cell>
          <cell r="E617" t="str">
            <v>少数股东权益_所有者权益其他内部结转</v>
          </cell>
          <cell r="F617">
            <v>0</v>
          </cell>
          <cell r="G617">
            <v>0</v>
          </cell>
          <cell r="H617">
            <v>0</v>
          </cell>
          <cell r="I617">
            <v>0</v>
          </cell>
          <cell r="J617">
            <v>0</v>
          </cell>
          <cell r="K617">
            <v>0</v>
          </cell>
          <cell r="L617">
            <v>0</v>
          </cell>
          <cell r="M617">
            <v>0</v>
          </cell>
          <cell r="T617">
            <v>8976</v>
          </cell>
          <cell r="U617">
            <v>0</v>
          </cell>
        </row>
        <row r="618">
          <cell r="D618">
            <v>8980</v>
          </cell>
          <cell r="E618" t="str">
            <v>少数股东权益_专项储备影响权益</v>
          </cell>
          <cell r="F618">
            <v>0</v>
          </cell>
          <cell r="G618">
            <v>0</v>
          </cell>
          <cell r="H618">
            <v>0</v>
          </cell>
          <cell r="I618">
            <v>0</v>
          </cell>
          <cell r="J618">
            <v>0</v>
          </cell>
          <cell r="K618">
            <v>0</v>
          </cell>
          <cell r="L618">
            <v>0</v>
          </cell>
          <cell r="M618">
            <v>0</v>
          </cell>
          <cell r="T618">
            <v>8980</v>
          </cell>
          <cell r="U618">
            <v>0</v>
          </cell>
        </row>
        <row r="619">
          <cell r="D619">
            <v>8981</v>
          </cell>
          <cell r="E619" t="str">
            <v>少数股东权益_专项储备本期提取</v>
          </cell>
          <cell r="F619">
            <v>0</v>
          </cell>
          <cell r="G619">
            <v>0</v>
          </cell>
          <cell r="H619">
            <v>0</v>
          </cell>
          <cell r="I619">
            <v>0</v>
          </cell>
          <cell r="J619">
            <v>0</v>
          </cell>
          <cell r="K619">
            <v>0</v>
          </cell>
          <cell r="L619">
            <v>0</v>
          </cell>
          <cell r="M619">
            <v>0</v>
          </cell>
          <cell r="T619">
            <v>8981</v>
          </cell>
          <cell r="U619">
            <v>0</v>
          </cell>
        </row>
        <row r="620">
          <cell r="D620">
            <v>8982</v>
          </cell>
          <cell r="E620" t="str">
            <v>少数股东权益_专项储备本期使用</v>
          </cell>
          <cell r="F620">
            <v>0</v>
          </cell>
          <cell r="G620">
            <v>0</v>
          </cell>
          <cell r="H620">
            <v>0</v>
          </cell>
          <cell r="I620">
            <v>0</v>
          </cell>
          <cell r="J620">
            <v>0</v>
          </cell>
          <cell r="K620">
            <v>0</v>
          </cell>
          <cell r="L620">
            <v>0</v>
          </cell>
          <cell r="M620">
            <v>0</v>
          </cell>
          <cell r="T620">
            <v>8982</v>
          </cell>
          <cell r="U620">
            <v>0</v>
          </cell>
        </row>
        <row r="621">
          <cell r="D621">
            <v>8996</v>
          </cell>
          <cell r="E621" t="str">
            <v>少数股东权益_本期其他增减变动</v>
          </cell>
          <cell r="F621">
            <v>0</v>
          </cell>
          <cell r="G621">
            <v>0</v>
          </cell>
          <cell r="H621">
            <v>0</v>
          </cell>
          <cell r="I621">
            <v>0</v>
          </cell>
          <cell r="J621">
            <v>0</v>
          </cell>
          <cell r="K621">
            <v>0</v>
          </cell>
          <cell r="L621">
            <v>0</v>
          </cell>
          <cell r="M621">
            <v>0</v>
          </cell>
          <cell r="T621">
            <v>8996</v>
          </cell>
          <cell r="U621">
            <v>0</v>
          </cell>
        </row>
        <row r="622">
          <cell r="D622">
            <v>8999</v>
          </cell>
          <cell r="E622" t="str">
            <v>少数股东权益_本期期末余额</v>
          </cell>
          <cell r="F622">
            <v>0</v>
          </cell>
          <cell r="G622">
            <v>0</v>
          </cell>
          <cell r="H622">
            <v>0</v>
          </cell>
          <cell r="I622">
            <v>0</v>
          </cell>
          <cell r="J622">
            <v>0</v>
          </cell>
          <cell r="K622">
            <v>0</v>
          </cell>
          <cell r="L622">
            <v>0</v>
          </cell>
          <cell r="M622">
            <v>0</v>
          </cell>
          <cell r="T622">
            <v>8999</v>
          </cell>
          <cell r="U622">
            <v>0</v>
          </cell>
        </row>
        <row r="623">
          <cell r="D623">
            <v>7</v>
          </cell>
          <cell r="E623" t="str">
            <v>现金流量表</v>
          </cell>
          <cell r="F623">
            <v>0</v>
          </cell>
          <cell r="G623">
            <v>0</v>
          </cell>
          <cell r="H623">
            <v>0</v>
          </cell>
          <cell r="I623">
            <v>0</v>
          </cell>
          <cell r="J623">
            <v>0</v>
          </cell>
          <cell r="K623">
            <v>0</v>
          </cell>
          <cell r="L623">
            <v>0</v>
          </cell>
          <cell r="M623">
            <v>0</v>
          </cell>
          <cell r="T623">
            <v>7</v>
          </cell>
          <cell r="U623">
            <v>0</v>
          </cell>
        </row>
        <row r="624">
          <cell r="D624">
            <v>7000</v>
          </cell>
          <cell r="E624" t="str">
            <v>经营活动现金流量项目</v>
          </cell>
          <cell r="F624">
            <v>0</v>
          </cell>
          <cell r="G624">
            <v>0</v>
          </cell>
          <cell r="H624">
            <v>0</v>
          </cell>
          <cell r="I624">
            <v>0</v>
          </cell>
          <cell r="J624">
            <v>0</v>
          </cell>
          <cell r="K624">
            <v>0</v>
          </cell>
          <cell r="L624">
            <v>0</v>
          </cell>
          <cell r="M624">
            <v>0</v>
          </cell>
          <cell r="T624">
            <v>7000</v>
          </cell>
          <cell r="U624">
            <v>0</v>
          </cell>
        </row>
        <row r="625">
          <cell r="D625">
            <v>7001</v>
          </cell>
          <cell r="E625" t="str">
            <v>销售商品提供劳务收到的现金</v>
          </cell>
          <cell r="F625">
            <v>125637670.59</v>
          </cell>
          <cell r="G625">
            <v>0</v>
          </cell>
          <cell r="H625">
            <v>0</v>
          </cell>
          <cell r="I625">
            <v>125637670.59</v>
          </cell>
          <cell r="J625">
            <v>391616125.20999998</v>
          </cell>
          <cell r="K625">
            <v>0</v>
          </cell>
          <cell r="L625">
            <v>0</v>
          </cell>
          <cell r="M625">
            <v>391616125.20999998</v>
          </cell>
          <cell r="T625">
            <v>7001</v>
          </cell>
          <cell r="U625">
            <v>391616125.20999998</v>
          </cell>
        </row>
        <row r="626">
          <cell r="D626">
            <v>7011</v>
          </cell>
          <cell r="E626" t="str">
            <v>客户存款和同业存放款项净增加额</v>
          </cell>
          <cell r="F626">
            <v>0</v>
          </cell>
          <cell r="G626">
            <v>0</v>
          </cell>
          <cell r="H626">
            <v>0</v>
          </cell>
          <cell r="I626">
            <v>0</v>
          </cell>
          <cell r="J626">
            <v>0</v>
          </cell>
          <cell r="K626">
            <v>0</v>
          </cell>
          <cell r="L626">
            <v>0</v>
          </cell>
          <cell r="M626">
            <v>0</v>
          </cell>
          <cell r="T626">
            <v>7011</v>
          </cell>
          <cell r="U626">
            <v>0</v>
          </cell>
        </row>
        <row r="627">
          <cell r="D627">
            <v>7012</v>
          </cell>
          <cell r="E627" t="str">
            <v>向中央银行借款净增加额</v>
          </cell>
          <cell r="F627">
            <v>0</v>
          </cell>
          <cell r="G627">
            <v>0</v>
          </cell>
          <cell r="H627">
            <v>0</v>
          </cell>
          <cell r="I627">
            <v>0</v>
          </cell>
          <cell r="J627">
            <v>0</v>
          </cell>
          <cell r="K627">
            <v>0</v>
          </cell>
          <cell r="L627">
            <v>0</v>
          </cell>
          <cell r="M627">
            <v>0</v>
          </cell>
          <cell r="T627">
            <v>7012</v>
          </cell>
          <cell r="U627">
            <v>0</v>
          </cell>
        </row>
        <row r="628">
          <cell r="D628">
            <v>7013</v>
          </cell>
          <cell r="E628" t="str">
            <v>向其他金融机构拆入资金净增加额</v>
          </cell>
          <cell r="F628">
            <v>0</v>
          </cell>
          <cell r="G628">
            <v>0</v>
          </cell>
          <cell r="H628">
            <v>0</v>
          </cell>
          <cell r="I628">
            <v>0</v>
          </cell>
          <cell r="J628">
            <v>0</v>
          </cell>
          <cell r="K628">
            <v>0</v>
          </cell>
          <cell r="L628">
            <v>0</v>
          </cell>
          <cell r="M628">
            <v>0</v>
          </cell>
          <cell r="T628">
            <v>7013</v>
          </cell>
          <cell r="U628">
            <v>0</v>
          </cell>
        </row>
        <row r="629">
          <cell r="D629">
            <v>7014</v>
          </cell>
          <cell r="E629" t="str">
            <v>收到原保险合同保费取得的现金</v>
          </cell>
          <cell r="F629">
            <v>0</v>
          </cell>
          <cell r="G629">
            <v>0</v>
          </cell>
          <cell r="H629">
            <v>0</v>
          </cell>
          <cell r="I629">
            <v>0</v>
          </cell>
          <cell r="J629">
            <v>0</v>
          </cell>
          <cell r="K629">
            <v>0</v>
          </cell>
          <cell r="L629">
            <v>0</v>
          </cell>
          <cell r="M629">
            <v>0</v>
          </cell>
          <cell r="T629">
            <v>7014</v>
          </cell>
          <cell r="U629">
            <v>0</v>
          </cell>
        </row>
        <row r="630">
          <cell r="D630">
            <v>7015</v>
          </cell>
          <cell r="E630" t="str">
            <v>收到再保险业务现金净额</v>
          </cell>
          <cell r="F630">
            <v>0</v>
          </cell>
          <cell r="G630">
            <v>0</v>
          </cell>
          <cell r="H630">
            <v>0</v>
          </cell>
          <cell r="I630">
            <v>0</v>
          </cell>
          <cell r="J630">
            <v>0</v>
          </cell>
          <cell r="K630">
            <v>0</v>
          </cell>
          <cell r="L630">
            <v>0</v>
          </cell>
          <cell r="M630">
            <v>0</v>
          </cell>
          <cell r="T630">
            <v>7015</v>
          </cell>
          <cell r="U630">
            <v>0</v>
          </cell>
        </row>
        <row r="631">
          <cell r="D631">
            <v>7016</v>
          </cell>
          <cell r="E631" t="str">
            <v>保户储金及投资款净增加额</v>
          </cell>
          <cell r="F631">
            <v>0</v>
          </cell>
          <cell r="G631">
            <v>0</v>
          </cell>
          <cell r="H631">
            <v>0</v>
          </cell>
          <cell r="I631">
            <v>0</v>
          </cell>
          <cell r="J631">
            <v>0</v>
          </cell>
          <cell r="K631">
            <v>0</v>
          </cell>
          <cell r="L631">
            <v>0</v>
          </cell>
          <cell r="M631">
            <v>0</v>
          </cell>
          <cell r="T631">
            <v>7016</v>
          </cell>
          <cell r="U631">
            <v>0</v>
          </cell>
        </row>
        <row r="632">
          <cell r="D632">
            <v>7021</v>
          </cell>
          <cell r="E632" t="str">
            <v>处置交易性金融资产净增加额</v>
          </cell>
          <cell r="F632">
            <v>0</v>
          </cell>
          <cell r="G632">
            <v>0</v>
          </cell>
          <cell r="H632">
            <v>0</v>
          </cell>
          <cell r="I632">
            <v>0</v>
          </cell>
          <cell r="J632">
            <v>0</v>
          </cell>
          <cell r="K632">
            <v>0</v>
          </cell>
          <cell r="L632">
            <v>0</v>
          </cell>
          <cell r="M632">
            <v>0</v>
          </cell>
          <cell r="T632">
            <v>7021</v>
          </cell>
          <cell r="U632">
            <v>0</v>
          </cell>
        </row>
        <row r="633">
          <cell r="D633">
            <v>7023</v>
          </cell>
          <cell r="E633" t="str">
            <v>收取利息手续费及佣金的现金</v>
          </cell>
          <cell r="F633">
            <v>0</v>
          </cell>
          <cell r="G633">
            <v>0</v>
          </cell>
          <cell r="H633">
            <v>0</v>
          </cell>
          <cell r="I633">
            <v>0</v>
          </cell>
          <cell r="J633">
            <v>0</v>
          </cell>
          <cell r="K633">
            <v>0</v>
          </cell>
          <cell r="L633">
            <v>0</v>
          </cell>
          <cell r="M633">
            <v>0</v>
          </cell>
          <cell r="T633">
            <v>7023</v>
          </cell>
          <cell r="U633">
            <v>0</v>
          </cell>
        </row>
        <row r="634">
          <cell r="D634">
            <v>7025</v>
          </cell>
          <cell r="E634" t="str">
            <v>拆入资金净增加额</v>
          </cell>
          <cell r="F634">
            <v>0</v>
          </cell>
          <cell r="G634">
            <v>0</v>
          </cell>
          <cell r="H634">
            <v>0</v>
          </cell>
          <cell r="I634">
            <v>0</v>
          </cell>
          <cell r="J634">
            <v>0</v>
          </cell>
          <cell r="K634">
            <v>0</v>
          </cell>
          <cell r="L634">
            <v>0</v>
          </cell>
          <cell r="M634">
            <v>0</v>
          </cell>
          <cell r="T634">
            <v>7025</v>
          </cell>
          <cell r="U634">
            <v>0</v>
          </cell>
        </row>
        <row r="635">
          <cell r="D635">
            <v>7026</v>
          </cell>
          <cell r="E635" t="str">
            <v>回购业务资金净增加额</v>
          </cell>
          <cell r="F635">
            <v>0</v>
          </cell>
          <cell r="G635">
            <v>0</v>
          </cell>
          <cell r="H635">
            <v>0</v>
          </cell>
          <cell r="I635">
            <v>0</v>
          </cell>
          <cell r="J635">
            <v>0</v>
          </cell>
          <cell r="K635">
            <v>0</v>
          </cell>
          <cell r="L635">
            <v>0</v>
          </cell>
          <cell r="M635">
            <v>0</v>
          </cell>
          <cell r="T635">
            <v>7026</v>
          </cell>
          <cell r="U635">
            <v>0</v>
          </cell>
        </row>
        <row r="636">
          <cell r="D636">
            <v>7031</v>
          </cell>
          <cell r="E636" t="str">
            <v>收到的税费返还</v>
          </cell>
          <cell r="F636">
            <v>0</v>
          </cell>
          <cell r="G636">
            <v>0</v>
          </cell>
          <cell r="H636">
            <v>0</v>
          </cell>
          <cell r="I636">
            <v>0</v>
          </cell>
          <cell r="J636">
            <v>0</v>
          </cell>
          <cell r="K636">
            <v>0</v>
          </cell>
          <cell r="L636">
            <v>0</v>
          </cell>
          <cell r="M636">
            <v>0</v>
          </cell>
          <cell r="T636">
            <v>7031</v>
          </cell>
          <cell r="U636">
            <v>0</v>
          </cell>
        </row>
        <row r="637">
          <cell r="D637">
            <v>7046</v>
          </cell>
          <cell r="E637" t="str">
            <v>收到其他与经营活动有关的现金</v>
          </cell>
          <cell r="F637">
            <v>1009248.62</v>
          </cell>
          <cell r="G637">
            <v>0</v>
          </cell>
          <cell r="H637">
            <v>0</v>
          </cell>
          <cell r="I637">
            <v>1009248.62</v>
          </cell>
          <cell r="J637">
            <v>14091863.050000001</v>
          </cell>
          <cell r="K637">
            <v>0</v>
          </cell>
          <cell r="L637">
            <v>0</v>
          </cell>
          <cell r="M637">
            <v>14091863.050000001</v>
          </cell>
          <cell r="T637">
            <v>7046</v>
          </cell>
          <cell r="U637">
            <v>14091863.050000001</v>
          </cell>
        </row>
        <row r="638">
          <cell r="D638">
            <v>7048</v>
          </cell>
          <cell r="E638" t="str">
            <v>经营活动现金流入</v>
          </cell>
          <cell r="F638">
            <v>126646919.20999999</v>
          </cell>
          <cell r="G638">
            <v>0</v>
          </cell>
          <cell r="H638">
            <v>0</v>
          </cell>
          <cell r="I638">
            <v>126646919.20999999</v>
          </cell>
          <cell r="J638">
            <v>405707988.25999999</v>
          </cell>
          <cell r="K638">
            <v>0</v>
          </cell>
          <cell r="L638">
            <v>0</v>
          </cell>
          <cell r="M638">
            <v>405707988.25999999</v>
          </cell>
          <cell r="T638">
            <v>7048</v>
          </cell>
          <cell r="U638">
            <v>405707988.25999999</v>
          </cell>
        </row>
        <row r="639">
          <cell r="D639">
            <v>7051</v>
          </cell>
          <cell r="E639" t="str">
            <v>购买商品接受劳务支付的现金</v>
          </cell>
          <cell r="F639">
            <v>150439544.69999999</v>
          </cell>
          <cell r="G639">
            <v>0</v>
          </cell>
          <cell r="H639">
            <v>0</v>
          </cell>
          <cell r="I639">
            <v>150439544.69999999</v>
          </cell>
          <cell r="J639">
            <v>301625485.38999999</v>
          </cell>
          <cell r="K639">
            <v>0</v>
          </cell>
          <cell r="L639">
            <v>0</v>
          </cell>
          <cell r="M639">
            <v>301625485.38999999</v>
          </cell>
          <cell r="T639">
            <v>7051</v>
          </cell>
          <cell r="U639">
            <v>301625485.38999999</v>
          </cell>
        </row>
        <row r="640">
          <cell r="D640">
            <v>7053</v>
          </cell>
          <cell r="E640" t="str">
            <v>客户贷款及垫款净增加额</v>
          </cell>
          <cell r="F640">
            <v>0</v>
          </cell>
          <cell r="G640">
            <v>0</v>
          </cell>
          <cell r="H640">
            <v>0</v>
          </cell>
          <cell r="I640">
            <v>0</v>
          </cell>
          <cell r="J640">
            <v>0</v>
          </cell>
          <cell r="K640">
            <v>0</v>
          </cell>
          <cell r="L640">
            <v>0</v>
          </cell>
          <cell r="M640">
            <v>0</v>
          </cell>
          <cell r="T640">
            <v>7053</v>
          </cell>
          <cell r="U640">
            <v>0</v>
          </cell>
        </row>
        <row r="641">
          <cell r="D641">
            <v>7054</v>
          </cell>
          <cell r="E641" t="str">
            <v>存放中央银行和同业款项净增加额</v>
          </cell>
          <cell r="F641">
            <v>0</v>
          </cell>
          <cell r="G641">
            <v>0</v>
          </cell>
          <cell r="H641">
            <v>0</v>
          </cell>
          <cell r="I641">
            <v>0</v>
          </cell>
          <cell r="J641">
            <v>0</v>
          </cell>
          <cell r="K641">
            <v>0</v>
          </cell>
          <cell r="L641">
            <v>0</v>
          </cell>
          <cell r="M641">
            <v>0</v>
          </cell>
          <cell r="T641">
            <v>7054</v>
          </cell>
          <cell r="U641">
            <v>0</v>
          </cell>
        </row>
        <row r="642">
          <cell r="D642">
            <v>7055</v>
          </cell>
          <cell r="E642" t="str">
            <v>支付原保险合同赔付款项的现金</v>
          </cell>
          <cell r="F642">
            <v>0</v>
          </cell>
          <cell r="G642">
            <v>0</v>
          </cell>
          <cell r="H642">
            <v>0</v>
          </cell>
          <cell r="I642">
            <v>0</v>
          </cell>
          <cell r="J642">
            <v>0</v>
          </cell>
          <cell r="K642">
            <v>0</v>
          </cell>
          <cell r="L642">
            <v>0</v>
          </cell>
          <cell r="M642">
            <v>0</v>
          </cell>
          <cell r="T642">
            <v>7055</v>
          </cell>
          <cell r="U642">
            <v>0</v>
          </cell>
        </row>
        <row r="643">
          <cell r="D643">
            <v>7056</v>
          </cell>
          <cell r="E643" t="str">
            <v>支付利息手续费及佣金的现金</v>
          </cell>
          <cell r="F643">
            <v>0</v>
          </cell>
          <cell r="G643">
            <v>0</v>
          </cell>
          <cell r="H643">
            <v>0</v>
          </cell>
          <cell r="I643">
            <v>0</v>
          </cell>
          <cell r="J643">
            <v>0</v>
          </cell>
          <cell r="K643">
            <v>0</v>
          </cell>
          <cell r="L643">
            <v>0</v>
          </cell>
          <cell r="M643">
            <v>0</v>
          </cell>
          <cell r="T643">
            <v>7056</v>
          </cell>
          <cell r="U643">
            <v>0</v>
          </cell>
        </row>
        <row r="644">
          <cell r="D644">
            <v>7057</v>
          </cell>
          <cell r="E644" t="str">
            <v>支付保单红利的现金</v>
          </cell>
          <cell r="F644">
            <v>0</v>
          </cell>
          <cell r="G644">
            <v>0</v>
          </cell>
          <cell r="H644">
            <v>0</v>
          </cell>
          <cell r="I644">
            <v>0</v>
          </cell>
          <cell r="J644">
            <v>0</v>
          </cell>
          <cell r="K644">
            <v>0</v>
          </cell>
          <cell r="L644">
            <v>0</v>
          </cell>
          <cell r="M644">
            <v>0</v>
          </cell>
          <cell r="T644">
            <v>7057</v>
          </cell>
          <cell r="U644">
            <v>0</v>
          </cell>
        </row>
        <row r="645">
          <cell r="D645">
            <v>7061</v>
          </cell>
          <cell r="E645" t="str">
            <v>支付给职工以及为职工支付的现金</v>
          </cell>
          <cell r="F645">
            <v>25817090.350000001</v>
          </cell>
          <cell r="G645">
            <v>0</v>
          </cell>
          <cell r="H645">
            <v>0</v>
          </cell>
          <cell r="I645">
            <v>25817090.350000001</v>
          </cell>
          <cell r="J645">
            <v>45991416.079999998</v>
          </cell>
          <cell r="K645">
            <v>0</v>
          </cell>
          <cell r="L645">
            <v>0</v>
          </cell>
          <cell r="M645">
            <v>45991416.079999998</v>
          </cell>
          <cell r="T645">
            <v>7061</v>
          </cell>
          <cell r="U645">
            <v>45991416.079999998</v>
          </cell>
        </row>
        <row r="646">
          <cell r="D646">
            <v>7071</v>
          </cell>
          <cell r="E646" t="str">
            <v>支付的各项税费</v>
          </cell>
          <cell r="F646">
            <v>502480.28</v>
          </cell>
          <cell r="G646">
            <v>0</v>
          </cell>
          <cell r="H646">
            <v>0</v>
          </cell>
          <cell r="I646">
            <v>502480.28</v>
          </cell>
          <cell r="J646">
            <v>31214180.52</v>
          </cell>
          <cell r="K646">
            <v>0</v>
          </cell>
          <cell r="L646">
            <v>0</v>
          </cell>
          <cell r="M646">
            <v>31214180.52</v>
          </cell>
          <cell r="T646">
            <v>7071</v>
          </cell>
          <cell r="U646">
            <v>31214180.52</v>
          </cell>
        </row>
        <row r="647">
          <cell r="D647">
            <v>7096</v>
          </cell>
          <cell r="E647" t="str">
            <v>支付其他与经营活动有关的现金</v>
          </cell>
          <cell r="F647">
            <v>60119938.380000003</v>
          </cell>
          <cell r="G647">
            <v>0</v>
          </cell>
          <cell r="H647">
            <v>0</v>
          </cell>
          <cell r="I647">
            <v>60119938.380000003</v>
          </cell>
          <cell r="J647">
            <v>73666459.489999995</v>
          </cell>
          <cell r="K647">
            <v>0</v>
          </cell>
          <cell r="L647">
            <v>0</v>
          </cell>
          <cell r="M647">
            <v>73666459.489999995</v>
          </cell>
          <cell r="T647">
            <v>7096</v>
          </cell>
          <cell r="U647">
            <v>73666459.489999995</v>
          </cell>
        </row>
        <row r="648">
          <cell r="D648">
            <v>7098</v>
          </cell>
          <cell r="E648" t="str">
            <v>经营活动现金流出</v>
          </cell>
          <cell r="F648">
            <v>236879053.71000001</v>
          </cell>
          <cell r="G648">
            <v>0</v>
          </cell>
          <cell r="H648">
            <v>0</v>
          </cell>
          <cell r="I648">
            <v>236879053.71000001</v>
          </cell>
          <cell r="J648">
            <v>452497541.48000002</v>
          </cell>
          <cell r="K648">
            <v>0</v>
          </cell>
          <cell r="L648">
            <v>0</v>
          </cell>
          <cell r="M648">
            <v>452497541.48000002</v>
          </cell>
          <cell r="T648">
            <v>7098</v>
          </cell>
          <cell r="U648">
            <v>452497541.48000002</v>
          </cell>
        </row>
        <row r="649">
          <cell r="D649">
            <v>7099</v>
          </cell>
          <cell r="E649" t="str">
            <v>经营活动产生的现金流量净额</v>
          </cell>
          <cell r="F649">
            <v>-110232134.5</v>
          </cell>
          <cell r="G649">
            <v>0</v>
          </cell>
          <cell r="H649">
            <v>0</v>
          </cell>
          <cell r="I649">
            <v>-110232134.5</v>
          </cell>
          <cell r="J649">
            <v>-46789553.219999999</v>
          </cell>
          <cell r="K649">
            <v>0</v>
          </cell>
          <cell r="L649">
            <v>0</v>
          </cell>
          <cell r="M649">
            <v>-46789553.219999999</v>
          </cell>
          <cell r="T649">
            <v>7099</v>
          </cell>
          <cell r="U649">
            <v>-46789553.219999999</v>
          </cell>
        </row>
        <row r="650">
          <cell r="D650">
            <v>7100</v>
          </cell>
          <cell r="E650" t="str">
            <v>投资活动现金流量项目</v>
          </cell>
          <cell r="F650">
            <v>0</v>
          </cell>
          <cell r="G650">
            <v>0</v>
          </cell>
          <cell r="H650">
            <v>0</v>
          </cell>
          <cell r="I650">
            <v>0</v>
          </cell>
          <cell r="J650">
            <v>0</v>
          </cell>
          <cell r="K650">
            <v>0</v>
          </cell>
          <cell r="L650">
            <v>0</v>
          </cell>
          <cell r="M650">
            <v>0</v>
          </cell>
          <cell r="T650">
            <v>7100</v>
          </cell>
          <cell r="U650">
            <v>0</v>
          </cell>
        </row>
        <row r="651">
          <cell r="D651">
            <v>7101</v>
          </cell>
          <cell r="E651" t="str">
            <v>收回投资收到的现金</v>
          </cell>
          <cell r="F651">
            <v>0</v>
          </cell>
          <cell r="G651">
            <v>0</v>
          </cell>
          <cell r="H651">
            <v>0</v>
          </cell>
          <cell r="I651">
            <v>0</v>
          </cell>
          <cell r="J651">
            <v>104990000</v>
          </cell>
          <cell r="K651">
            <v>0</v>
          </cell>
          <cell r="L651">
            <v>0</v>
          </cell>
          <cell r="M651">
            <v>104990000</v>
          </cell>
          <cell r="T651">
            <v>7101</v>
          </cell>
          <cell r="U651">
            <v>104990000</v>
          </cell>
        </row>
        <row r="652">
          <cell r="D652">
            <v>7105</v>
          </cell>
          <cell r="E652" t="str">
            <v>取得投资收益收到的现金</v>
          </cell>
          <cell r="F652">
            <v>487100.02</v>
          </cell>
          <cell r="G652">
            <v>0</v>
          </cell>
          <cell r="H652">
            <v>0</v>
          </cell>
          <cell r="I652">
            <v>487100.02</v>
          </cell>
          <cell r="J652">
            <v>902178.35</v>
          </cell>
          <cell r="K652">
            <v>0</v>
          </cell>
          <cell r="L652">
            <v>0</v>
          </cell>
          <cell r="M652">
            <v>902178.35</v>
          </cell>
          <cell r="T652">
            <v>7105</v>
          </cell>
          <cell r="U652">
            <v>902178.35</v>
          </cell>
        </row>
        <row r="653">
          <cell r="D653">
            <v>7111</v>
          </cell>
          <cell r="E653" t="str">
            <v>处置固定资产无形资产长期资产收回的现金</v>
          </cell>
          <cell r="F653">
            <v>129290.57</v>
          </cell>
          <cell r="G653">
            <v>0</v>
          </cell>
          <cell r="H653">
            <v>0</v>
          </cell>
          <cell r="I653">
            <v>129290.57</v>
          </cell>
          <cell r="J653">
            <v>0</v>
          </cell>
          <cell r="K653">
            <v>0</v>
          </cell>
          <cell r="L653">
            <v>0</v>
          </cell>
          <cell r="M653">
            <v>0</v>
          </cell>
          <cell r="T653">
            <v>7111</v>
          </cell>
          <cell r="U653">
            <v>0</v>
          </cell>
        </row>
        <row r="654">
          <cell r="D654">
            <v>7121</v>
          </cell>
          <cell r="E654" t="str">
            <v>处置子公司及其他营业单位收到的现金净额</v>
          </cell>
          <cell r="F654">
            <v>0</v>
          </cell>
          <cell r="G654">
            <v>0</v>
          </cell>
          <cell r="H654">
            <v>0</v>
          </cell>
          <cell r="I654">
            <v>0</v>
          </cell>
          <cell r="J654">
            <v>0</v>
          </cell>
          <cell r="K654">
            <v>0</v>
          </cell>
          <cell r="L654">
            <v>0</v>
          </cell>
          <cell r="M654">
            <v>0</v>
          </cell>
          <cell r="T654">
            <v>7121</v>
          </cell>
          <cell r="U654">
            <v>0</v>
          </cell>
        </row>
        <row r="655">
          <cell r="D655">
            <v>7146</v>
          </cell>
          <cell r="E655" t="str">
            <v>收到其他与投资活动有关的现金</v>
          </cell>
          <cell r="F655">
            <v>0</v>
          </cell>
          <cell r="G655">
            <v>0</v>
          </cell>
          <cell r="H655">
            <v>0</v>
          </cell>
          <cell r="I655">
            <v>0</v>
          </cell>
          <cell r="J655">
            <v>0</v>
          </cell>
          <cell r="K655">
            <v>0</v>
          </cell>
          <cell r="L655">
            <v>0</v>
          </cell>
          <cell r="M655">
            <v>0</v>
          </cell>
          <cell r="T655">
            <v>7146</v>
          </cell>
          <cell r="U655">
            <v>0</v>
          </cell>
        </row>
        <row r="656">
          <cell r="D656">
            <v>7148</v>
          </cell>
          <cell r="E656" t="str">
            <v>投资活动现金流入</v>
          </cell>
          <cell r="F656">
            <v>616390.59</v>
          </cell>
          <cell r="G656">
            <v>0</v>
          </cell>
          <cell r="H656">
            <v>0</v>
          </cell>
          <cell r="I656">
            <v>616390.59</v>
          </cell>
          <cell r="J656">
            <v>105892178.34999999</v>
          </cell>
          <cell r="K656">
            <v>0</v>
          </cell>
          <cell r="L656">
            <v>0</v>
          </cell>
          <cell r="M656">
            <v>105892178.34999999</v>
          </cell>
          <cell r="T656">
            <v>7148</v>
          </cell>
          <cell r="U656">
            <v>105892178.34999999</v>
          </cell>
        </row>
        <row r="657">
          <cell r="D657">
            <v>7151</v>
          </cell>
          <cell r="E657" t="str">
            <v>购置固定资产无形资产长期资产支付的现金</v>
          </cell>
          <cell r="F657">
            <v>32274224.190000001</v>
          </cell>
          <cell r="G657">
            <v>0</v>
          </cell>
          <cell r="H657">
            <v>0</v>
          </cell>
          <cell r="I657">
            <v>32274224.190000001</v>
          </cell>
          <cell r="J657">
            <v>26344550.879999999</v>
          </cell>
          <cell r="K657">
            <v>0</v>
          </cell>
          <cell r="L657">
            <v>0</v>
          </cell>
          <cell r="M657">
            <v>26344550.879999999</v>
          </cell>
          <cell r="T657">
            <v>7151</v>
          </cell>
          <cell r="U657">
            <v>26344550.879999999</v>
          </cell>
        </row>
        <row r="658">
          <cell r="D658">
            <v>7161</v>
          </cell>
          <cell r="E658" t="str">
            <v>投资支付的现金</v>
          </cell>
          <cell r="F658">
            <v>0</v>
          </cell>
          <cell r="G658">
            <v>0</v>
          </cell>
          <cell r="H658">
            <v>0</v>
          </cell>
          <cell r="I658">
            <v>0</v>
          </cell>
          <cell r="J658">
            <v>13563393.26</v>
          </cell>
          <cell r="K658">
            <v>0</v>
          </cell>
          <cell r="L658">
            <v>0</v>
          </cell>
          <cell r="M658">
            <v>13563393.26</v>
          </cell>
          <cell r="T658">
            <v>7161</v>
          </cell>
          <cell r="U658">
            <v>13563393.26</v>
          </cell>
        </row>
        <row r="659">
          <cell r="D659">
            <v>7165</v>
          </cell>
          <cell r="E659" t="str">
            <v>质押贷款净增加额</v>
          </cell>
          <cell r="F659">
            <v>0</v>
          </cell>
          <cell r="G659">
            <v>0</v>
          </cell>
          <cell r="H659">
            <v>0</v>
          </cell>
          <cell r="I659">
            <v>0</v>
          </cell>
          <cell r="J659">
            <v>0</v>
          </cell>
          <cell r="K659">
            <v>0</v>
          </cell>
          <cell r="L659">
            <v>0</v>
          </cell>
          <cell r="M659">
            <v>0</v>
          </cell>
          <cell r="T659">
            <v>7165</v>
          </cell>
          <cell r="U659">
            <v>0</v>
          </cell>
        </row>
        <row r="660">
          <cell r="D660">
            <v>7171</v>
          </cell>
          <cell r="E660" t="str">
            <v>取得子公司及其他营业单位支付的现金净额</v>
          </cell>
          <cell r="F660">
            <v>0</v>
          </cell>
          <cell r="G660">
            <v>0</v>
          </cell>
          <cell r="H660">
            <v>0</v>
          </cell>
          <cell r="I660">
            <v>0</v>
          </cell>
          <cell r="J660">
            <v>0</v>
          </cell>
          <cell r="K660">
            <v>0</v>
          </cell>
          <cell r="L660">
            <v>0</v>
          </cell>
          <cell r="M660">
            <v>0</v>
          </cell>
          <cell r="T660">
            <v>7171</v>
          </cell>
          <cell r="U660">
            <v>0</v>
          </cell>
        </row>
        <row r="661">
          <cell r="D661">
            <v>7196</v>
          </cell>
          <cell r="E661" t="str">
            <v>支付其他与投资活动有关的现金</v>
          </cell>
          <cell r="F661">
            <v>0</v>
          </cell>
          <cell r="G661">
            <v>0</v>
          </cell>
          <cell r="H661">
            <v>0</v>
          </cell>
          <cell r="I661">
            <v>0</v>
          </cell>
          <cell r="J661">
            <v>0</v>
          </cell>
          <cell r="K661">
            <v>0</v>
          </cell>
          <cell r="L661">
            <v>0</v>
          </cell>
          <cell r="M661">
            <v>0</v>
          </cell>
          <cell r="T661">
            <v>7196</v>
          </cell>
          <cell r="U661">
            <v>0</v>
          </cell>
        </row>
        <row r="662">
          <cell r="D662">
            <v>7198</v>
          </cell>
          <cell r="E662" t="str">
            <v>投资活动现金流出</v>
          </cell>
          <cell r="F662">
            <v>32274224.190000001</v>
          </cell>
          <cell r="G662">
            <v>0</v>
          </cell>
          <cell r="H662">
            <v>0</v>
          </cell>
          <cell r="I662">
            <v>32274224.190000001</v>
          </cell>
          <cell r="J662">
            <v>39907944.140000001</v>
          </cell>
          <cell r="K662">
            <v>0</v>
          </cell>
          <cell r="L662">
            <v>0</v>
          </cell>
          <cell r="M662">
            <v>39907944.140000001</v>
          </cell>
          <cell r="T662">
            <v>7198</v>
          </cell>
          <cell r="U662">
            <v>39907944.140000001</v>
          </cell>
        </row>
        <row r="663">
          <cell r="D663">
            <v>7199</v>
          </cell>
          <cell r="E663" t="str">
            <v>投资活动产生的现金流量净额</v>
          </cell>
          <cell r="F663">
            <v>-31657833.600000001</v>
          </cell>
          <cell r="G663">
            <v>0</v>
          </cell>
          <cell r="H663">
            <v>0</v>
          </cell>
          <cell r="I663">
            <v>-31657833.600000001</v>
          </cell>
          <cell r="J663">
            <v>65984234.210000001</v>
          </cell>
          <cell r="K663">
            <v>0</v>
          </cell>
          <cell r="L663">
            <v>0</v>
          </cell>
          <cell r="M663">
            <v>65984234.210000001</v>
          </cell>
          <cell r="T663">
            <v>7199</v>
          </cell>
          <cell r="U663">
            <v>65984234.210000001</v>
          </cell>
        </row>
        <row r="664">
          <cell r="D664">
            <v>7200</v>
          </cell>
          <cell r="E664" t="str">
            <v>筹资活动现金流量项目</v>
          </cell>
          <cell r="F664">
            <v>0</v>
          </cell>
          <cell r="G664">
            <v>0</v>
          </cell>
          <cell r="H664">
            <v>0</v>
          </cell>
          <cell r="I664">
            <v>0</v>
          </cell>
          <cell r="J664">
            <v>0</v>
          </cell>
          <cell r="K664">
            <v>0</v>
          </cell>
          <cell r="L664">
            <v>0</v>
          </cell>
          <cell r="M664">
            <v>0</v>
          </cell>
          <cell r="T664">
            <v>7200</v>
          </cell>
          <cell r="U664">
            <v>0</v>
          </cell>
        </row>
        <row r="665">
          <cell r="D665">
            <v>7201</v>
          </cell>
          <cell r="E665" t="str">
            <v>吸收投资收到的现金</v>
          </cell>
          <cell r="F665">
            <v>0</v>
          </cell>
          <cell r="G665">
            <v>0</v>
          </cell>
          <cell r="H665">
            <v>0</v>
          </cell>
          <cell r="I665">
            <v>0</v>
          </cell>
          <cell r="J665">
            <v>75600001</v>
          </cell>
          <cell r="K665">
            <v>0</v>
          </cell>
          <cell r="L665">
            <v>0</v>
          </cell>
          <cell r="M665">
            <v>75600001</v>
          </cell>
          <cell r="T665">
            <v>7201</v>
          </cell>
          <cell r="U665">
            <v>75600001</v>
          </cell>
        </row>
        <row r="666">
          <cell r="D666">
            <v>7201.01</v>
          </cell>
          <cell r="E666" t="str">
            <v>子公司吸收少数股东投资收到的现金</v>
          </cell>
          <cell r="F666">
            <v>0</v>
          </cell>
          <cell r="G666">
            <v>0</v>
          </cell>
          <cell r="H666">
            <v>0</v>
          </cell>
          <cell r="I666">
            <v>0</v>
          </cell>
          <cell r="J666">
            <v>0</v>
          </cell>
          <cell r="K666">
            <v>0</v>
          </cell>
          <cell r="L666">
            <v>0</v>
          </cell>
          <cell r="M666">
            <v>0</v>
          </cell>
          <cell r="T666">
            <v>7201.01</v>
          </cell>
          <cell r="U666">
            <v>0</v>
          </cell>
        </row>
        <row r="667">
          <cell r="D667">
            <v>7211</v>
          </cell>
          <cell r="E667" t="str">
            <v>取得借款收到的现金</v>
          </cell>
          <cell r="F667">
            <v>42240699.979999997</v>
          </cell>
          <cell r="G667">
            <v>0</v>
          </cell>
          <cell r="H667">
            <v>0</v>
          </cell>
          <cell r="I667">
            <v>42240699.979999997</v>
          </cell>
          <cell r="J667">
            <v>71738421.109999999</v>
          </cell>
          <cell r="K667">
            <v>0</v>
          </cell>
          <cell r="L667">
            <v>0</v>
          </cell>
          <cell r="M667">
            <v>71738421.109999999</v>
          </cell>
          <cell r="T667">
            <v>7211</v>
          </cell>
          <cell r="U667">
            <v>71738421.109999999</v>
          </cell>
        </row>
        <row r="668">
          <cell r="D668">
            <v>7221</v>
          </cell>
          <cell r="E668" t="str">
            <v>发行债券收到的现金</v>
          </cell>
          <cell r="F668">
            <v>0</v>
          </cell>
          <cell r="G668">
            <v>0</v>
          </cell>
          <cell r="H668">
            <v>0</v>
          </cell>
          <cell r="I668">
            <v>0</v>
          </cell>
          <cell r="J668">
            <v>0</v>
          </cell>
          <cell r="K668">
            <v>0</v>
          </cell>
          <cell r="L668">
            <v>0</v>
          </cell>
          <cell r="M668">
            <v>0</v>
          </cell>
          <cell r="T668">
            <v>7221</v>
          </cell>
          <cell r="U668">
            <v>0</v>
          </cell>
        </row>
        <row r="669">
          <cell r="D669">
            <v>7246</v>
          </cell>
          <cell r="E669" t="str">
            <v>收到其他与筹资活动有关的现金</v>
          </cell>
          <cell r="F669">
            <v>14958887.6</v>
          </cell>
          <cell r="G669">
            <v>0</v>
          </cell>
          <cell r="H669">
            <v>0</v>
          </cell>
          <cell r="I669">
            <v>14958887.6</v>
          </cell>
          <cell r="J669">
            <v>0</v>
          </cell>
          <cell r="K669">
            <v>0</v>
          </cell>
          <cell r="L669">
            <v>0</v>
          </cell>
          <cell r="M669">
            <v>0</v>
          </cell>
          <cell r="T669">
            <v>7246</v>
          </cell>
          <cell r="U669">
            <v>0</v>
          </cell>
        </row>
        <row r="670">
          <cell r="D670">
            <v>7248</v>
          </cell>
          <cell r="E670" t="str">
            <v>筹资活动现金流入</v>
          </cell>
          <cell r="F670">
            <v>57199587.579999998</v>
          </cell>
          <cell r="G670">
            <v>0</v>
          </cell>
          <cell r="H670">
            <v>0</v>
          </cell>
          <cell r="I670">
            <v>57199587.579999998</v>
          </cell>
          <cell r="J670">
            <v>147338422.11000001</v>
          </cell>
          <cell r="K670">
            <v>0</v>
          </cell>
          <cell r="L670">
            <v>0</v>
          </cell>
          <cell r="M670">
            <v>147338422.11000001</v>
          </cell>
          <cell r="T670">
            <v>7248</v>
          </cell>
          <cell r="U670">
            <v>147338422.11000001</v>
          </cell>
        </row>
        <row r="671">
          <cell r="D671">
            <v>7251</v>
          </cell>
          <cell r="E671" t="str">
            <v>偿还债务支付的现金</v>
          </cell>
          <cell r="F671">
            <v>22320699.98</v>
          </cell>
          <cell r="G671">
            <v>0</v>
          </cell>
          <cell r="H671">
            <v>0</v>
          </cell>
          <cell r="I671">
            <v>22320699.98</v>
          </cell>
          <cell r="J671">
            <v>29361905.199999999</v>
          </cell>
          <cell r="K671">
            <v>0</v>
          </cell>
          <cell r="L671">
            <v>0</v>
          </cell>
          <cell r="M671">
            <v>29361905.199999999</v>
          </cell>
          <cell r="T671">
            <v>7251</v>
          </cell>
          <cell r="U671">
            <v>29361905.199999999</v>
          </cell>
        </row>
        <row r="672">
          <cell r="D672">
            <v>7261</v>
          </cell>
          <cell r="E672" t="str">
            <v>分配利润偿付利息支付的现金</v>
          </cell>
          <cell r="F672">
            <v>2234664.42</v>
          </cell>
          <cell r="G672">
            <v>0</v>
          </cell>
          <cell r="H672">
            <v>0</v>
          </cell>
          <cell r="I672">
            <v>2234664.42</v>
          </cell>
          <cell r="J672">
            <v>4013126.32</v>
          </cell>
          <cell r="K672">
            <v>0</v>
          </cell>
          <cell r="L672">
            <v>0</v>
          </cell>
          <cell r="M672">
            <v>4013126.32</v>
          </cell>
          <cell r="T672">
            <v>7261</v>
          </cell>
          <cell r="U672">
            <v>4013126.32</v>
          </cell>
        </row>
        <row r="673">
          <cell r="D673">
            <v>7261.01</v>
          </cell>
          <cell r="E673" t="str">
            <v>子公司支付少数股东的现金股利</v>
          </cell>
          <cell r="F673">
            <v>0</v>
          </cell>
          <cell r="G673">
            <v>0</v>
          </cell>
          <cell r="H673">
            <v>0</v>
          </cell>
          <cell r="I673">
            <v>0</v>
          </cell>
          <cell r="J673">
            <v>0</v>
          </cell>
          <cell r="K673">
            <v>0</v>
          </cell>
          <cell r="L673">
            <v>0</v>
          </cell>
          <cell r="M673">
            <v>0</v>
          </cell>
          <cell r="T673">
            <v>7261.01</v>
          </cell>
          <cell r="U673">
            <v>0</v>
          </cell>
        </row>
        <row r="674">
          <cell r="D674">
            <v>7296</v>
          </cell>
          <cell r="E674" t="str">
            <v>支付其他与筹资活动有关的现金</v>
          </cell>
          <cell r="F674">
            <v>1359031.03</v>
          </cell>
          <cell r="G674">
            <v>0</v>
          </cell>
          <cell r="H674">
            <v>0</v>
          </cell>
          <cell r="I674">
            <v>1359031.03</v>
          </cell>
          <cell r="J674">
            <v>31088758.620000001</v>
          </cell>
          <cell r="K674">
            <v>0</v>
          </cell>
          <cell r="L674">
            <v>0</v>
          </cell>
          <cell r="M674">
            <v>31088758.620000001</v>
          </cell>
          <cell r="T674">
            <v>7296</v>
          </cell>
          <cell r="U674">
            <v>31088758.620000001</v>
          </cell>
        </row>
        <row r="675">
          <cell r="D675">
            <v>7296.11</v>
          </cell>
          <cell r="E675" t="str">
            <v>子公司减资支付给少数股东的现金</v>
          </cell>
          <cell r="F675">
            <v>0</v>
          </cell>
          <cell r="G675">
            <v>0</v>
          </cell>
          <cell r="H675">
            <v>0</v>
          </cell>
          <cell r="I675">
            <v>0</v>
          </cell>
          <cell r="J675">
            <v>0</v>
          </cell>
          <cell r="K675">
            <v>0</v>
          </cell>
          <cell r="L675">
            <v>0</v>
          </cell>
          <cell r="M675">
            <v>0</v>
          </cell>
          <cell r="T675">
            <v>7296.11</v>
          </cell>
          <cell r="U675">
            <v>0</v>
          </cell>
        </row>
        <row r="676">
          <cell r="D676">
            <v>7298</v>
          </cell>
          <cell r="E676" t="str">
            <v>筹资活动现金流出</v>
          </cell>
          <cell r="F676">
            <v>25914395.43</v>
          </cell>
          <cell r="G676">
            <v>0</v>
          </cell>
          <cell r="H676">
            <v>0</v>
          </cell>
          <cell r="I676">
            <v>25914395.43</v>
          </cell>
          <cell r="J676">
            <v>64463790.140000001</v>
          </cell>
          <cell r="K676">
            <v>0</v>
          </cell>
          <cell r="L676">
            <v>0</v>
          </cell>
          <cell r="M676">
            <v>64463790.140000001</v>
          </cell>
          <cell r="T676">
            <v>7298</v>
          </cell>
          <cell r="U676">
            <v>64463790.140000001</v>
          </cell>
        </row>
        <row r="677">
          <cell r="D677">
            <v>7299</v>
          </cell>
          <cell r="E677" t="str">
            <v>筹资活动产生的现金流量净额</v>
          </cell>
          <cell r="F677">
            <v>31285192.149999999</v>
          </cell>
          <cell r="G677">
            <v>0</v>
          </cell>
          <cell r="H677">
            <v>0</v>
          </cell>
          <cell r="I677">
            <v>31285192.149999999</v>
          </cell>
          <cell r="J677">
            <v>82874631.969999999</v>
          </cell>
          <cell r="K677">
            <v>0</v>
          </cell>
          <cell r="L677">
            <v>0</v>
          </cell>
          <cell r="M677">
            <v>82874631.969999999</v>
          </cell>
          <cell r="T677">
            <v>7299</v>
          </cell>
          <cell r="U677">
            <v>82874631.969999999</v>
          </cell>
        </row>
        <row r="678">
          <cell r="D678">
            <v>7309</v>
          </cell>
          <cell r="E678" t="str">
            <v>汇率变动对现金及现金等价物的影响</v>
          </cell>
          <cell r="F678">
            <v>0</v>
          </cell>
          <cell r="G678">
            <v>0</v>
          </cell>
          <cell r="H678">
            <v>0</v>
          </cell>
          <cell r="I678">
            <v>0</v>
          </cell>
          <cell r="J678">
            <v>0</v>
          </cell>
          <cell r="K678">
            <v>0</v>
          </cell>
          <cell r="L678">
            <v>0</v>
          </cell>
          <cell r="M678">
            <v>0</v>
          </cell>
          <cell r="T678">
            <v>7309</v>
          </cell>
          <cell r="U678">
            <v>0</v>
          </cell>
        </row>
        <row r="679">
          <cell r="D679">
            <v>7348</v>
          </cell>
          <cell r="E679" t="str">
            <v>现金及现金等价物净增加额</v>
          </cell>
          <cell r="F679">
            <v>-110604775.95</v>
          </cell>
          <cell r="G679">
            <v>0</v>
          </cell>
          <cell r="H679">
            <v>0</v>
          </cell>
          <cell r="I679">
            <v>-110604775.95</v>
          </cell>
          <cell r="J679">
            <v>102069312.95999999</v>
          </cell>
          <cell r="K679">
            <v>0</v>
          </cell>
          <cell r="L679">
            <v>0</v>
          </cell>
          <cell r="M679">
            <v>102069312.95999999</v>
          </cell>
          <cell r="T679">
            <v>7348</v>
          </cell>
          <cell r="U679">
            <v>102069312.95999999</v>
          </cell>
        </row>
        <row r="680">
          <cell r="D680">
            <v>7349</v>
          </cell>
          <cell r="E680" t="str">
            <v>期初现金及现金等价物余额</v>
          </cell>
          <cell r="F680">
            <v>163033259.58000001</v>
          </cell>
          <cell r="G680">
            <v>0</v>
          </cell>
          <cell r="H680">
            <v>0</v>
          </cell>
          <cell r="I680">
            <v>163033259.58000001</v>
          </cell>
          <cell r="J680">
            <v>60963946.619999997</v>
          </cell>
          <cell r="K680">
            <v>0</v>
          </cell>
          <cell r="L680">
            <v>0</v>
          </cell>
          <cell r="M680">
            <v>60963946.619999997</v>
          </cell>
          <cell r="T680">
            <v>7349</v>
          </cell>
          <cell r="U680">
            <v>60963946.619999997</v>
          </cell>
        </row>
        <row r="681">
          <cell r="D681">
            <v>7399</v>
          </cell>
          <cell r="E681" t="str">
            <v>期末现金及现金等价物余额</v>
          </cell>
          <cell r="F681">
            <v>52428483.630000003</v>
          </cell>
          <cell r="G681">
            <v>0</v>
          </cell>
          <cell r="H681">
            <v>0</v>
          </cell>
          <cell r="I681">
            <v>52428483.630000003</v>
          </cell>
          <cell r="J681">
            <v>163033259.58000001</v>
          </cell>
          <cell r="K681">
            <v>0</v>
          </cell>
          <cell r="L681">
            <v>0</v>
          </cell>
          <cell r="M681">
            <v>163033259.58000001</v>
          </cell>
          <cell r="T681">
            <v>7399</v>
          </cell>
          <cell r="U681">
            <v>163033259.58000001</v>
          </cell>
        </row>
        <row r="682">
          <cell r="D682">
            <v>19</v>
          </cell>
          <cell r="E682" t="str">
            <v>资产负债表补充资料：资产减值准备</v>
          </cell>
          <cell r="F682">
            <v>0</v>
          </cell>
          <cell r="G682">
            <v>0</v>
          </cell>
          <cell r="H682">
            <v>0</v>
          </cell>
          <cell r="I682">
            <v>0</v>
          </cell>
          <cell r="J682">
            <v>0</v>
          </cell>
          <cell r="K682">
            <v>0</v>
          </cell>
          <cell r="L682">
            <v>0</v>
          </cell>
          <cell r="M682">
            <v>0</v>
          </cell>
          <cell r="T682">
            <v>19</v>
          </cell>
          <cell r="U682">
            <v>0</v>
          </cell>
        </row>
        <row r="683">
          <cell r="D683">
            <v>1122.1231</v>
          </cell>
          <cell r="E683" t="str">
            <v>应收账款坏账准备</v>
          </cell>
          <cell r="F683">
            <v>0</v>
          </cell>
          <cell r="G683">
            <v>0</v>
          </cell>
          <cell r="H683">
            <v>-2106856.65</v>
          </cell>
          <cell r="I683">
            <v>-2106856.65</v>
          </cell>
          <cell r="J683">
            <v>0</v>
          </cell>
          <cell r="K683">
            <v>0</v>
          </cell>
          <cell r="L683">
            <v>0</v>
          </cell>
          <cell r="M683">
            <v>0</v>
          </cell>
          <cell r="T683">
            <v>1122.1231</v>
          </cell>
          <cell r="U683">
            <v>3582811.79</v>
          </cell>
        </row>
        <row r="684">
          <cell r="D684">
            <v>1125.1231</v>
          </cell>
          <cell r="E684" t="str">
            <v>预付款项坏账准备</v>
          </cell>
          <cell r="F684">
            <v>0</v>
          </cell>
          <cell r="G684">
            <v>0</v>
          </cell>
          <cell r="H684">
            <v>0</v>
          </cell>
          <cell r="I684">
            <v>0</v>
          </cell>
          <cell r="J684">
            <v>0</v>
          </cell>
          <cell r="K684">
            <v>0</v>
          </cell>
          <cell r="L684">
            <v>0</v>
          </cell>
          <cell r="M684">
            <v>0</v>
          </cell>
          <cell r="T684">
            <v>1125.1231</v>
          </cell>
          <cell r="U684">
            <v>0</v>
          </cell>
        </row>
        <row r="685">
          <cell r="D685">
            <v>1221.1231</v>
          </cell>
          <cell r="E685" t="str">
            <v>其他应收款坏账准备</v>
          </cell>
          <cell r="F685">
            <v>0</v>
          </cell>
          <cell r="G685">
            <v>0</v>
          </cell>
          <cell r="H685">
            <v>2087775.9</v>
          </cell>
          <cell r="I685">
            <v>2087775.9</v>
          </cell>
          <cell r="J685">
            <v>0</v>
          </cell>
          <cell r="K685">
            <v>0</v>
          </cell>
          <cell r="L685">
            <v>0</v>
          </cell>
          <cell r="M685">
            <v>0</v>
          </cell>
          <cell r="T685">
            <v>1221.1231</v>
          </cell>
          <cell r="U685">
            <v>0</v>
          </cell>
        </row>
        <row r="686">
          <cell r="D686">
            <v>1400.1470999999999</v>
          </cell>
          <cell r="E686" t="str">
            <v>存货跌价准备</v>
          </cell>
          <cell r="F686">
            <v>0</v>
          </cell>
          <cell r="G686">
            <v>0</v>
          </cell>
          <cell r="H686">
            <v>1265694.8400000001</v>
          </cell>
          <cell r="I686">
            <v>1265694.8400000001</v>
          </cell>
          <cell r="J686">
            <v>0</v>
          </cell>
          <cell r="K686">
            <v>0</v>
          </cell>
          <cell r="L686">
            <v>0</v>
          </cell>
          <cell r="M686">
            <v>0</v>
          </cell>
          <cell r="T686">
            <v>1400.1470999999999</v>
          </cell>
          <cell r="U686">
            <v>8165757.25</v>
          </cell>
        </row>
        <row r="687">
          <cell r="D687">
            <v>1503.1504</v>
          </cell>
          <cell r="E687" t="str">
            <v>可供出售金融资产减值准备</v>
          </cell>
          <cell r="F687">
            <v>0</v>
          </cell>
          <cell r="G687">
            <v>0</v>
          </cell>
          <cell r="H687">
            <v>0</v>
          </cell>
          <cell r="I687">
            <v>0</v>
          </cell>
          <cell r="J687">
            <v>0</v>
          </cell>
          <cell r="K687">
            <v>0</v>
          </cell>
          <cell r="L687">
            <v>0</v>
          </cell>
          <cell r="M687">
            <v>0</v>
          </cell>
          <cell r="T687">
            <v>1503.1504</v>
          </cell>
          <cell r="U687">
            <v>0</v>
          </cell>
        </row>
        <row r="688">
          <cell r="D688">
            <v>1501.1502</v>
          </cell>
          <cell r="E688" t="str">
            <v>持有至到期投资减值准备</v>
          </cell>
          <cell r="F688">
            <v>0</v>
          </cell>
          <cell r="G688">
            <v>0</v>
          </cell>
          <cell r="H688">
            <v>0</v>
          </cell>
          <cell r="I688">
            <v>0</v>
          </cell>
          <cell r="J688">
            <v>0</v>
          </cell>
          <cell r="K688">
            <v>0</v>
          </cell>
          <cell r="L688">
            <v>0</v>
          </cell>
          <cell r="M688">
            <v>0</v>
          </cell>
          <cell r="T688">
            <v>1501.1502</v>
          </cell>
          <cell r="U688">
            <v>0</v>
          </cell>
        </row>
        <row r="689">
          <cell r="D689">
            <v>1511.1512</v>
          </cell>
          <cell r="E689" t="str">
            <v>长期股权投资减值准备</v>
          </cell>
          <cell r="F689">
            <v>0</v>
          </cell>
          <cell r="G689">
            <v>0</v>
          </cell>
          <cell r="H689">
            <v>0</v>
          </cell>
          <cell r="I689">
            <v>0</v>
          </cell>
          <cell r="J689">
            <v>0</v>
          </cell>
          <cell r="K689">
            <v>0</v>
          </cell>
          <cell r="L689">
            <v>0</v>
          </cell>
          <cell r="M689">
            <v>0</v>
          </cell>
          <cell r="T689">
            <v>1511.1512</v>
          </cell>
          <cell r="U689">
            <v>0</v>
          </cell>
        </row>
        <row r="690">
          <cell r="D690">
            <v>1521.1522</v>
          </cell>
          <cell r="E690" t="str">
            <v>投资性房地产减值准备</v>
          </cell>
          <cell r="F690">
            <v>0</v>
          </cell>
          <cell r="G690">
            <v>0</v>
          </cell>
          <cell r="H690">
            <v>0</v>
          </cell>
          <cell r="I690">
            <v>0</v>
          </cell>
          <cell r="J690">
            <v>0</v>
          </cell>
          <cell r="K690">
            <v>0</v>
          </cell>
          <cell r="L690">
            <v>0</v>
          </cell>
          <cell r="M690">
            <v>0</v>
          </cell>
          <cell r="T690">
            <v>1521.1522</v>
          </cell>
          <cell r="U690">
            <v>0</v>
          </cell>
        </row>
        <row r="691">
          <cell r="D691">
            <v>1601.1603</v>
          </cell>
          <cell r="E691" t="str">
            <v>固定资产减值准备</v>
          </cell>
          <cell r="F691">
            <v>0</v>
          </cell>
          <cell r="G691">
            <v>0</v>
          </cell>
          <cell r="H691">
            <v>0</v>
          </cell>
          <cell r="I691">
            <v>0</v>
          </cell>
          <cell r="J691">
            <v>0</v>
          </cell>
          <cell r="K691">
            <v>0</v>
          </cell>
          <cell r="L691">
            <v>0</v>
          </cell>
          <cell r="M691">
            <v>0</v>
          </cell>
          <cell r="T691">
            <v>1601.1603</v>
          </cell>
          <cell r="U691">
            <v>0</v>
          </cell>
        </row>
        <row r="692">
          <cell r="D692">
            <v>1605.1608000000001</v>
          </cell>
          <cell r="E692" t="str">
            <v>工程物资减值准备</v>
          </cell>
          <cell r="F692">
            <v>0</v>
          </cell>
          <cell r="G692">
            <v>0</v>
          </cell>
          <cell r="H692">
            <v>0</v>
          </cell>
          <cell r="I692">
            <v>0</v>
          </cell>
          <cell r="J692">
            <v>0</v>
          </cell>
          <cell r="K692">
            <v>0</v>
          </cell>
          <cell r="L692">
            <v>0</v>
          </cell>
          <cell r="M692">
            <v>0</v>
          </cell>
          <cell r="T692">
            <v>1605.1608000000001</v>
          </cell>
          <cell r="U692">
            <v>0</v>
          </cell>
        </row>
        <row r="693">
          <cell r="D693">
            <v>1604.1606999999999</v>
          </cell>
          <cell r="E693" t="str">
            <v>在建工程减值准备</v>
          </cell>
          <cell r="F693">
            <v>0</v>
          </cell>
          <cell r="G693">
            <v>0</v>
          </cell>
          <cell r="H693">
            <v>0</v>
          </cell>
          <cell r="I693">
            <v>0</v>
          </cell>
          <cell r="J693">
            <v>0</v>
          </cell>
          <cell r="K693">
            <v>0</v>
          </cell>
          <cell r="L693">
            <v>0</v>
          </cell>
          <cell r="M693">
            <v>0</v>
          </cell>
          <cell r="T693">
            <v>1604.1606999999999</v>
          </cell>
          <cell r="U693">
            <v>0</v>
          </cell>
        </row>
        <row r="694">
          <cell r="D694">
            <v>1621.1623999999999</v>
          </cell>
          <cell r="E694" t="str">
            <v>生产性生物资产减值准备</v>
          </cell>
          <cell r="F694">
            <v>0</v>
          </cell>
          <cell r="G694">
            <v>0</v>
          </cell>
          <cell r="H694">
            <v>0</v>
          </cell>
          <cell r="I694">
            <v>0</v>
          </cell>
          <cell r="J694">
            <v>0</v>
          </cell>
          <cell r="K694">
            <v>0</v>
          </cell>
          <cell r="L694">
            <v>0</v>
          </cell>
          <cell r="M694">
            <v>0</v>
          </cell>
          <cell r="T694">
            <v>1621.1623999999999</v>
          </cell>
          <cell r="U694">
            <v>0</v>
          </cell>
        </row>
        <row r="695">
          <cell r="D695">
            <v>1631.1632999999999</v>
          </cell>
          <cell r="E695" t="str">
            <v>油气资产减值准备</v>
          </cell>
          <cell r="F695">
            <v>0</v>
          </cell>
          <cell r="G695">
            <v>0</v>
          </cell>
          <cell r="H695">
            <v>0</v>
          </cell>
          <cell r="I695">
            <v>0</v>
          </cell>
          <cell r="J695">
            <v>0</v>
          </cell>
          <cell r="K695">
            <v>0</v>
          </cell>
          <cell r="L695">
            <v>0</v>
          </cell>
          <cell r="M695">
            <v>0</v>
          </cell>
          <cell r="T695">
            <v>1631.1632999999999</v>
          </cell>
          <cell r="U695">
            <v>0</v>
          </cell>
        </row>
        <row r="696">
          <cell r="D696">
            <v>1701.1703</v>
          </cell>
          <cell r="E696" t="str">
            <v>无形资产减值准备</v>
          </cell>
          <cell r="F696">
            <v>0</v>
          </cell>
          <cell r="G696">
            <v>0</v>
          </cell>
          <cell r="H696">
            <v>0</v>
          </cell>
          <cell r="I696">
            <v>0</v>
          </cell>
          <cell r="J696">
            <v>0</v>
          </cell>
          <cell r="K696">
            <v>0</v>
          </cell>
          <cell r="L696">
            <v>0</v>
          </cell>
          <cell r="M696">
            <v>0</v>
          </cell>
          <cell r="T696">
            <v>1701.1703</v>
          </cell>
          <cell r="U696">
            <v>0</v>
          </cell>
        </row>
        <row r="697">
          <cell r="D697">
            <v>1711.1712</v>
          </cell>
          <cell r="E697" t="str">
            <v>商誉减值准备</v>
          </cell>
          <cell r="F697">
            <v>0</v>
          </cell>
          <cell r="G697">
            <v>0</v>
          </cell>
          <cell r="H697">
            <v>0</v>
          </cell>
          <cell r="I697">
            <v>0</v>
          </cell>
          <cell r="J697">
            <v>0</v>
          </cell>
          <cell r="K697">
            <v>0</v>
          </cell>
          <cell r="L697">
            <v>0</v>
          </cell>
          <cell r="M697">
            <v>0</v>
          </cell>
          <cell r="T697">
            <v>1711.1712</v>
          </cell>
          <cell r="U697">
            <v>0</v>
          </cell>
        </row>
        <row r="698">
          <cell r="D698">
            <v>1991.1992</v>
          </cell>
          <cell r="E698" t="str">
            <v>其他减值准备</v>
          </cell>
          <cell r="F698">
            <v>0</v>
          </cell>
          <cell r="G698">
            <v>0</v>
          </cell>
          <cell r="H698">
            <v>0</v>
          </cell>
          <cell r="I698">
            <v>0</v>
          </cell>
          <cell r="J698">
            <v>0</v>
          </cell>
          <cell r="K698">
            <v>0</v>
          </cell>
          <cell r="L698">
            <v>0</v>
          </cell>
          <cell r="M698">
            <v>0</v>
          </cell>
          <cell r="T698">
            <v>1991.1992</v>
          </cell>
          <cell r="U698">
            <v>0</v>
          </cell>
        </row>
        <row r="699">
          <cell r="D699">
            <v>1991</v>
          </cell>
          <cell r="E699" t="str">
            <v>资产减值准备</v>
          </cell>
          <cell r="F699">
            <v>0</v>
          </cell>
          <cell r="G699">
            <v>0</v>
          </cell>
          <cell r="H699">
            <v>1246614.0900000001</v>
          </cell>
          <cell r="I699">
            <v>1246614.0900000001</v>
          </cell>
          <cell r="J699">
            <v>0</v>
          </cell>
          <cell r="K699">
            <v>0</v>
          </cell>
          <cell r="L699">
            <v>0</v>
          </cell>
          <cell r="M699">
            <v>0</v>
          </cell>
          <cell r="T699">
            <v>1991</v>
          </cell>
          <cell r="U699">
            <v>11748569.039999999</v>
          </cell>
        </row>
        <row r="700">
          <cell r="D700">
            <v>7500</v>
          </cell>
          <cell r="E700" t="str">
            <v>现金流量表补充资料</v>
          </cell>
          <cell r="F700">
            <v>0</v>
          </cell>
          <cell r="G700" t="str">
            <v>以下须手工调整，不从CFJE表取数</v>
          </cell>
          <cell r="H700">
            <v>0</v>
          </cell>
          <cell r="I700">
            <v>0</v>
          </cell>
          <cell r="J700">
            <v>0</v>
          </cell>
          <cell r="K700" t="str">
            <v>以下须手工调整，不从CFJE表取数</v>
          </cell>
          <cell r="L700">
            <v>0</v>
          </cell>
          <cell r="M700">
            <v>0</v>
          </cell>
          <cell r="T700">
            <v>7500</v>
          </cell>
          <cell r="U700">
            <v>0</v>
          </cell>
        </row>
        <row r="701">
          <cell r="D701">
            <v>7501</v>
          </cell>
          <cell r="E701" t="str">
            <v>将净利润调节为经营活动现金流量</v>
          </cell>
          <cell r="F701">
            <v>0</v>
          </cell>
          <cell r="G701" t="str">
            <v>调增</v>
          </cell>
          <cell r="H701" t="str">
            <v>调减</v>
          </cell>
          <cell r="I701">
            <v>0</v>
          </cell>
          <cell r="J701">
            <v>0</v>
          </cell>
          <cell r="K701" t="str">
            <v>调增</v>
          </cell>
          <cell r="L701" t="str">
            <v>调减</v>
          </cell>
          <cell r="M701">
            <v>0</v>
          </cell>
          <cell r="T701">
            <v>7501</v>
          </cell>
          <cell r="U701">
            <v>0</v>
          </cell>
        </row>
        <row r="702">
          <cell r="D702">
            <v>7502</v>
          </cell>
          <cell r="E702" t="str">
            <v>净利润金额</v>
          </cell>
          <cell r="F702">
            <v>17906312.969999999</v>
          </cell>
          <cell r="G702">
            <v>5395139.3700000001</v>
          </cell>
          <cell r="H702">
            <v>0</v>
          </cell>
          <cell r="I702">
            <v>23301452.34</v>
          </cell>
          <cell r="J702">
            <v>25697052.48</v>
          </cell>
          <cell r="K702">
            <v>0</v>
          </cell>
          <cell r="L702">
            <v>0</v>
          </cell>
          <cell r="M702">
            <v>25697052.48</v>
          </cell>
          <cell r="T702">
            <v>7502</v>
          </cell>
          <cell r="U702">
            <v>25697052.48</v>
          </cell>
        </row>
        <row r="703">
          <cell r="D703">
            <v>7503</v>
          </cell>
          <cell r="E703" t="str">
            <v>资产减值准备金额</v>
          </cell>
          <cell r="F703">
            <v>6944633.6500000004</v>
          </cell>
          <cell r="G703">
            <v>0</v>
          </cell>
          <cell r="H703">
            <v>0</v>
          </cell>
          <cell r="I703">
            <v>6944633.6500000004</v>
          </cell>
          <cell r="J703">
            <v>11514489.27</v>
          </cell>
          <cell r="K703">
            <v>0</v>
          </cell>
          <cell r="L703">
            <v>0</v>
          </cell>
          <cell r="M703">
            <v>11514489.27</v>
          </cell>
          <cell r="T703">
            <v>7503</v>
          </cell>
          <cell r="U703">
            <v>11514489.27</v>
          </cell>
        </row>
        <row r="704">
          <cell r="D704">
            <v>7505</v>
          </cell>
          <cell r="E704" t="str">
            <v>固定资产折旧、油气资产折耗、生产性生物资产折旧</v>
          </cell>
          <cell r="F704">
            <v>1080754.98</v>
          </cell>
          <cell r="G704">
            <v>0</v>
          </cell>
          <cell r="H704">
            <v>0</v>
          </cell>
          <cell r="I704">
            <v>1080754.98</v>
          </cell>
          <cell r="J704">
            <v>1593497.5</v>
          </cell>
          <cell r="K704">
            <v>0</v>
          </cell>
          <cell r="L704">
            <v>0</v>
          </cell>
          <cell r="M704">
            <v>1593497.5</v>
          </cell>
          <cell r="T704">
            <v>7505</v>
          </cell>
          <cell r="U704">
            <v>1593497.5</v>
          </cell>
        </row>
        <row r="705">
          <cell r="D705">
            <v>7506</v>
          </cell>
          <cell r="E705" t="str">
            <v>无形资产摊销</v>
          </cell>
          <cell r="F705">
            <v>718540.94</v>
          </cell>
          <cell r="G705">
            <v>0</v>
          </cell>
          <cell r="H705">
            <v>0</v>
          </cell>
          <cell r="I705">
            <v>718540.94</v>
          </cell>
          <cell r="J705">
            <v>613075.88</v>
          </cell>
          <cell r="K705">
            <v>0</v>
          </cell>
          <cell r="L705">
            <v>0</v>
          </cell>
          <cell r="M705">
            <v>613075.88</v>
          </cell>
          <cell r="T705">
            <v>7506</v>
          </cell>
          <cell r="U705">
            <v>613075.88</v>
          </cell>
        </row>
        <row r="706">
          <cell r="D706">
            <v>7507</v>
          </cell>
          <cell r="E706" t="str">
            <v>长期待摊费用摊销</v>
          </cell>
          <cell r="F706">
            <v>666642.78</v>
          </cell>
          <cell r="G706">
            <v>0</v>
          </cell>
          <cell r="H706">
            <v>0</v>
          </cell>
          <cell r="I706">
            <v>666642.78</v>
          </cell>
          <cell r="J706">
            <v>885573.52</v>
          </cell>
          <cell r="K706">
            <v>0</v>
          </cell>
          <cell r="L706">
            <v>0</v>
          </cell>
          <cell r="M706">
            <v>885573.52</v>
          </cell>
          <cell r="T706">
            <v>7507</v>
          </cell>
          <cell r="U706">
            <v>885573.52</v>
          </cell>
        </row>
        <row r="707">
          <cell r="D707">
            <v>7508</v>
          </cell>
          <cell r="E707" t="str">
            <v>处置固定资产、无形资产和其他长期资产的损失</v>
          </cell>
          <cell r="F707">
            <v>137970.93</v>
          </cell>
          <cell r="G707">
            <v>-267261.5</v>
          </cell>
          <cell r="H707">
            <v>0</v>
          </cell>
          <cell r="I707">
            <v>-129290.57</v>
          </cell>
          <cell r="J707">
            <v>6188.4</v>
          </cell>
          <cell r="K707">
            <v>0</v>
          </cell>
          <cell r="L707">
            <v>0</v>
          </cell>
          <cell r="M707">
            <v>6188.4</v>
          </cell>
          <cell r="T707">
            <v>7508</v>
          </cell>
          <cell r="U707">
            <v>6188.4</v>
          </cell>
        </row>
        <row r="708">
          <cell r="D708">
            <v>7509</v>
          </cell>
          <cell r="E708" t="str">
            <v>固定资产报废损失</v>
          </cell>
          <cell r="F708">
            <v>0</v>
          </cell>
          <cell r="G708">
            <v>46057.760000000002</v>
          </cell>
          <cell r="H708">
            <v>0</v>
          </cell>
          <cell r="I708">
            <v>46057.760000000002</v>
          </cell>
          <cell r="J708">
            <v>0</v>
          </cell>
          <cell r="K708">
            <v>0</v>
          </cell>
          <cell r="L708">
            <v>0</v>
          </cell>
          <cell r="M708">
            <v>0</v>
          </cell>
          <cell r="T708">
            <v>7509</v>
          </cell>
          <cell r="U708">
            <v>0</v>
          </cell>
        </row>
        <row r="709">
          <cell r="D709">
            <v>7510</v>
          </cell>
          <cell r="E709" t="str">
            <v>公允价值变动损失</v>
          </cell>
          <cell r="F709">
            <v>0</v>
          </cell>
          <cell r="G709">
            <v>0</v>
          </cell>
          <cell r="H709">
            <v>0</v>
          </cell>
          <cell r="I709">
            <v>0</v>
          </cell>
          <cell r="J709">
            <v>0</v>
          </cell>
          <cell r="K709">
            <v>0</v>
          </cell>
          <cell r="L709">
            <v>0</v>
          </cell>
          <cell r="M709">
            <v>0</v>
          </cell>
          <cell r="T709">
            <v>7510</v>
          </cell>
          <cell r="U709">
            <v>0</v>
          </cell>
        </row>
        <row r="710">
          <cell r="D710">
            <v>7511</v>
          </cell>
          <cell r="E710" t="str">
            <v>财务费用金额</v>
          </cell>
          <cell r="F710">
            <v>5587606.9299999997</v>
          </cell>
          <cell r="G710">
            <v>0</v>
          </cell>
          <cell r="H710">
            <v>0</v>
          </cell>
          <cell r="I710">
            <v>5587606.9299999997</v>
          </cell>
          <cell r="J710">
            <v>7059915.6799999997</v>
          </cell>
          <cell r="K710">
            <v>0</v>
          </cell>
          <cell r="L710">
            <v>0</v>
          </cell>
          <cell r="M710">
            <v>7059915.6799999997</v>
          </cell>
          <cell r="T710">
            <v>7511</v>
          </cell>
          <cell r="U710">
            <v>7059915.6799999997</v>
          </cell>
        </row>
        <row r="711">
          <cell r="D711">
            <v>7512</v>
          </cell>
          <cell r="E711" t="str">
            <v>投资损失</v>
          </cell>
          <cell r="F711">
            <v>-487100.02</v>
          </cell>
          <cell r="G711">
            <v>0</v>
          </cell>
          <cell r="H711">
            <v>0</v>
          </cell>
          <cell r="I711">
            <v>-487100.02</v>
          </cell>
          <cell r="J711">
            <v>-902178.35</v>
          </cell>
          <cell r="K711">
            <v>0</v>
          </cell>
          <cell r="L711">
            <v>0</v>
          </cell>
          <cell r="M711">
            <v>-902178.35</v>
          </cell>
          <cell r="T711">
            <v>7512</v>
          </cell>
          <cell r="U711">
            <v>-902178.35</v>
          </cell>
        </row>
        <row r="712">
          <cell r="D712">
            <v>7515</v>
          </cell>
          <cell r="E712" t="str">
            <v>递延所得税资产减少</v>
          </cell>
          <cell r="F712">
            <v>-540196.35</v>
          </cell>
          <cell r="G712">
            <v>0</v>
          </cell>
          <cell r="H712">
            <v>0</v>
          </cell>
          <cell r="I712">
            <v>-540196.35</v>
          </cell>
          <cell r="J712">
            <v>-1328968.8</v>
          </cell>
          <cell r="K712">
            <v>0</v>
          </cell>
          <cell r="L712">
            <v>0</v>
          </cell>
          <cell r="M712">
            <v>-1328968.8</v>
          </cell>
          <cell r="T712">
            <v>7515</v>
          </cell>
          <cell r="U712">
            <v>-1328968.8</v>
          </cell>
        </row>
        <row r="713">
          <cell r="D713">
            <v>7516</v>
          </cell>
          <cell r="E713" t="str">
            <v>递延所得税负债增加</v>
          </cell>
          <cell r="F713">
            <v>0</v>
          </cell>
          <cell r="G713">
            <v>0</v>
          </cell>
          <cell r="H713">
            <v>0</v>
          </cell>
          <cell r="I713">
            <v>0</v>
          </cell>
          <cell r="J713">
            <v>0</v>
          </cell>
          <cell r="K713">
            <v>0</v>
          </cell>
          <cell r="L713">
            <v>0</v>
          </cell>
          <cell r="M713">
            <v>0</v>
          </cell>
          <cell r="T713">
            <v>7516</v>
          </cell>
          <cell r="U713">
            <v>0</v>
          </cell>
        </row>
        <row r="714">
          <cell r="D714">
            <v>7517</v>
          </cell>
          <cell r="E714" t="str">
            <v>存货的减少</v>
          </cell>
          <cell r="F714">
            <v>22570437.859999999</v>
          </cell>
          <cell r="G714">
            <v>0</v>
          </cell>
          <cell r="H714">
            <v>0</v>
          </cell>
          <cell r="I714">
            <v>22570437.859999999</v>
          </cell>
          <cell r="J714">
            <v>-73595142.370000005</v>
          </cell>
          <cell r="K714">
            <v>0</v>
          </cell>
          <cell r="L714">
            <v>0</v>
          </cell>
          <cell r="M714">
            <v>-73595142.370000005</v>
          </cell>
          <cell r="T714">
            <v>7517</v>
          </cell>
          <cell r="U714">
            <v>-73595142.370000005</v>
          </cell>
        </row>
        <row r="715">
          <cell r="D715">
            <v>7518</v>
          </cell>
          <cell r="E715" t="str">
            <v>经营性应收项目的减少</v>
          </cell>
          <cell r="F715">
            <v>-134541487.99000001</v>
          </cell>
          <cell r="G715">
            <v>0</v>
          </cell>
          <cell r="H715">
            <v>0</v>
          </cell>
          <cell r="I715">
            <v>-134541487.99000001</v>
          </cell>
          <cell r="J715">
            <v>-50909710.740000002</v>
          </cell>
          <cell r="K715">
            <v>0</v>
          </cell>
          <cell r="L715">
            <v>0</v>
          </cell>
          <cell r="M715">
            <v>-50909710.740000002</v>
          </cell>
          <cell r="T715">
            <v>7518</v>
          </cell>
          <cell r="U715">
            <v>-50909710.740000002</v>
          </cell>
        </row>
        <row r="716">
          <cell r="D716">
            <v>7519</v>
          </cell>
          <cell r="E716" t="str">
            <v>经营性应付项目的增加</v>
          </cell>
          <cell r="F716">
            <v>-36399431.07</v>
          </cell>
          <cell r="G716">
            <v>0</v>
          </cell>
          <cell r="H716">
            <v>0</v>
          </cell>
          <cell r="I716">
            <v>-36399431.07</v>
          </cell>
          <cell r="J716">
            <v>31017258.199999999</v>
          </cell>
          <cell r="K716">
            <v>0</v>
          </cell>
          <cell r="L716">
            <v>0</v>
          </cell>
          <cell r="M716">
            <v>31017258.199999999</v>
          </cell>
          <cell r="T716">
            <v>7519</v>
          </cell>
          <cell r="U716">
            <v>31017258.199999999</v>
          </cell>
        </row>
        <row r="717">
          <cell r="D717">
            <v>7523</v>
          </cell>
          <cell r="E717" t="str">
            <v>其他将净利润调节为经营活动现金流量项目</v>
          </cell>
          <cell r="F717">
            <v>949244.26</v>
          </cell>
          <cell r="G717">
            <v>0</v>
          </cell>
          <cell r="H717">
            <v>0</v>
          </cell>
          <cell r="I717">
            <v>949244.26</v>
          </cell>
          <cell r="J717">
            <v>1559396.11</v>
          </cell>
          <cell r="K717">
            <v>0</v>
          </cell>
          <cell r="L717">
            <v>0</v>
          </cell>
          <cell r="M717">
            <v>1559396.11</v>
          </cell>
          <cell r="T717">
            <v>7523</v>
          </cell>
          <cell r="U717">
            <v>1559396.11</v>
          </cell>
        </row>
        <row r="718">
          <cell r="D718">
            <v>7525</v>
          </cell>
          <cell r="E718" t="str">
            <v>经营活动产生的现金流量净额</v>
          </cell>
          <cell r="F718">
            <v>-115406070.13</v>
          </cell>
          <cell r="G718">
            <v>5173935.63</v>
          </cell>
          <cell r="H718">
            <v>0</v>
          </cell>
          <cell r="I718">
            <v>-110232134.5</v>
          </cell>
          <cell r="J718">
            <v>-46789553.219999999</v>
          </cell>
          <cell r="K718">
            <v>0</v>
          </cell>
          <cell r="L718">
            <v>0</v>
          </cell>
          <cell r="M718">
            <v>-46789553.219999999</v>
          </cell>
          <cell r="T718">
            <v>7525</v>
          </cell>
          <cell r="U718">
            <v>-46789553.219999999</v>
          </cell>
        </row>
        <row r="719">
          <cell r="D719">
            <v>7526</v>
          </cell>
          <cell r="E719" t="str">
            <v>不涉及现金收支的重大投资和筹资活动</v>
          </cell>
          <cell r="F719">
            <v>0</v>
          </cell>
          <cell r="G719">
            <v>0</v>
          </cell>
          <cell r="H719">
            <v>0</v>
          </cell>
          <cell r="I719">
            <v>0</v>
          </cell>
          <cell r="J719">
            <v>0</v>
          </cell>
          <cell r="K719">
            <v>0</v>
          </cell>
          <cell r="L719">
            <v>0</v>
          </cell>
          <cell r="M719">
            <v>0</v>
          </cell>
          <cell r="T719">
            <v>7526</v>
          </cell>
          <cell r="U719">
            <v>0</v>
          </cell>
        </row>
        <row r="720">
          <cell r="D720">
            <v>7527</v>
          </cell>
          <cell r="E720" t="str">
            <v>债务转为资本</v>
          </cell>
          <cell r="F720">
            <v>0</v>
          </cell>
          <cell r="G720">
            <v>0</v>
          </cell>
          <cell r="H720">
            <v>0</v>
          </cell>
          <cell r="I720">
            <v>0</v>
          </cell>
          <cell r="J720">
            <v>0</v>
          </cell>
          <cell r="K720">
            <v>0</v>
          </cell>
          <cell r="L720">
            <v>0</v>
          </cell>
          <cell r="M720">
            <v>0</v>
          </cell>
          <cell r="T720">
            <v>7527</v>
          </cell>
          <cell r="U720">
            <v>0</v>
          </cell>
        </row>
        <row r="721">
          <cell r="D721">
            <v>7528</v>
          </cell>
          <cell r="E721" t="str">
            <v>一年内到期的可转换公司债券</v>
          </cell>
          <cell r="F721">
            <v>0</v>
          </cell>
          <cell r="G721">
            <v>0</v>
          </cell>
          <cell r="H721">
            <v>0</v>
          </cell>
          <cell r="I721">
            <v>0</v>
          </cell>
          <cell r="J721">
            <v>0</v>
          </cell>
          <cell r="K721">
            <v>0</v>
          </cell>
          <cell r="L721">
            <v>0</v>
          </cell>
          <cell r="M721">
            <v>0</v>
          </cell>
          <cell r="T721">
            <v>7528</v>
          </cell>
          <cell r="U721">
            <v>0</v>
          </cell>
        </row>
        <row r="722">
          <cell r="D722">
            <v>7529</v>
          </cell>
          <cell r="E722" t="str">
            <v>融资租入固定资产</v>
          </cell>
          <cell r="F722">
            <v>0</v>
          </cell>
          <cell r="G722">
            <v>0</v>
          </cell>
          <cell r="H722">
            <v>0</v>
          </cell>
          <cell r="I722">
            <v>0</v>
          </cell>
          <cell r="J722">
            <v>0</v>
          </cell>
          <cell r="K722">
            <v>0</v>
          </cell>
          <cell r="L722">
            <v>0</v>
          </cell>
          <cell r="M722">
            <v>0</v>
          </cell>
          <cell r="T722">
            <v>7529</v>
          </cell>
          <cell r="U722">
            <v>0</v>
          </cell>
        </row>
        <row r="723">
          <cell r="D723">
            <v>7533</v>
          </cell>
          <cell r="E723" t="str">
            <v>现金及现金等价物净变动情况</v>
          </cell>
          <cell r="F723">
            <v>0</v>
          </cell>
          <cell r="G723">
            <v>0</v>
          </cell>
          <cell r="H723">
            <v>0</v>
          </cell>
          <cell r="I723">
            <v>0</v>
          </cell>
          <cell r="J723">
            <v>0</v>
          </cell>
          <cell r="K723">
            <v>0</v>
          </cell>
          <cell r="L723">
            <v>0</v>
          </cell>
          <cell r="M723">
            <v>0</v>
          </cell>
          <cell r="T723">
            <v>7533</v>
          </cell>
          <cell r="U723">
            <v>0</v>
          </cell>
        </row>
        <row r="724">
          <cell r="D724">
            <v>7535</v>
          </cell>
          <cell r="E724" t="str">
            <v>现金的期末余额</v>
          </cell>
          <cell r="F724">
            <v>52428483.630000003</v>
          </cell>
          <cell r="G724">
            <v>0</v>
          </cell>
          <cell r="H724">
            <v>0</v>
          </cell>
          <cell r="I724">
            <v>52428483.630000003</v>
          </cell>
          <cell r="J724">
            <v>163033259.58000001</v>
          </cell>
          <cell r="K724">
            <v>0</v>
          </cell>
          <cell r="L724">
            <v>0</v>
          </cell>
          <cell r="M724">
            <v>163033259.58000001</v>
          </cell>
          <cell r="T724">
            <v>7535</v>
          </cell>
          <cell r="U724">
            <v>163033259.58000001</v>
          </cell>
        </row>
        <row r="725">
          <cell r="D725">
            <v>7536</v>
          </cell>
          <cell r="E725" t="str">
            <v>减：现金的年初余额</v>
          </cell>
          <cell r="F725">
            <v>163033259.58000001</v>
          </cell>
          <cell r="G725">
            <v>0</v>
          </cell>
          <cell r="H725">
            <v>0</v>
          </cell>
          <cell r="I725">
            <v>163033259.58000001</v>
          </cell>
          <cell r="J725">
            <v>60963946.619999997</v>
          </cell>
          <cell r="K725">
            <v>0</v>
          </cell>
          <cell r="L725">
            <v>0</v>
          </cell>
          <cell r="M725">
            <v>60963946.619999997</v>
          </cell>
          <cell r="T725">
            <v>7536</v>
          </cell>
          <cell r="U725">
            <v>60963946.619999997</v>
          </cell>
        </row>
        <row r="726">
          <cell r="D726">
            <v>7537</v>
          </cell>
          <cell r="E726" t="str">
            <v>加：现金等价物的期末余额</v>
          </cell>
          <cell r="F726">
            <v>0</v>
          </cell>
          <cell r="G726">
            <v>0</v>
          </cell>
          <cell r="H726">
            <v>0</v>
          </cell>
          <cell r="I726">
            <v>0</v>
          </cell>
          <cell r="J726">
            <v>0</v>
          </cell>
          <cell r="K726">
            <v>0</v>
          </cell>
          <cell r="L726">
            <v>0</v>
          </cell>
          <cell r="M726">
            <v>0</v>
          </cell>
          <cell r="T726">
            <v>7537</v>
          </cell>
          <cell r="U726">
            <v>0</v>
          </cell>
        </row>
        <row r="727">
          <cell r="D727">
            <v>7538</v>
          </cell>
          <cell r="E727" t="str">
            <v>减：现金等价物的年初余额</v>
          </cell>
          <cell r="F727">
            <v>0</v>
          </cell>
          <cell r="G727">
            <v>0</v>
          </cell>
          <cell r="H727">
            <v>0</v>
          </cell>
          <cell r="I727">
            <v>0</v>
          </cell>
          <cell r="J727">
            <v>0</v>
          </cell>
          <cell r="K727">
            <v>0</v>
          </cell>
          <cell r="L727">
            <v>0</v>
          </cell>
          <cell r="M727">
            <v>0</v>
          </cell>
          <cell r="T727">
            <v>7538</v>
          </cell>
          <cell r="U727">
            <v>0</v>
          </cell>
        </row>
        <row r="728">
          <cell r="D728">
            <v>7539</v>
          </cell>
          <cell r="E728" t="str">
            <v>现金及现金等价物净增加额</v>
          </cell>
          <cell r="F728">
            <v>-110604775.95</v>
          </cell>
          <cell r="G728">
            <v>0</v>
          </cell>
          <cell r="H728">
            <v>0</v>
          </cell>
          <cell r="I728">
            <v>-110604775.95</v>
          </cell>
          <cell r="J728">
            <v>102069312.95999999</v>
          </cell>
          <cell r="K728">
            <v>0</v>
          </cell>
          <cell r="L728">
            <v>0</v>
          </cell>
          <cell r="M728">
            <v>102069312.95999999</v>
          </cell>
          <cell r="T728">
            <v>7539</v>
          </cell>
          <cell r="U728">
            <v>102069312.95999999</v>
          </cell>
        </row>
        <row r="729">
          <cell r="D729">
            <v>6829.5110000000004</v>
          </cell>
          <cell r="E729" t="str">
            <v>少数股东其他综合收益_重新计量设定受益计划变动额</v>
          </cell>
          <cell r="F729">
            <v>0</v>
          </cell>
          <cell r="G729">
            <v>0</v>
          </cell>
          <cell r="H729">
            <v>0</v>
          </cell>
          <cell r="I729">
            <v>0</v>
          </cell>
          <cell r="J729">
            <v>0</v>
          </cell>
          <cell r="K729">
            <v>0</v>
          </cell>
          <cell r="L729">
            <v>0</v>
          </cell>
          <cell r="M729">
            <v>0</v>
          </cell>
          <cell r="T729">
            <v>6829.5110000000004</v>
          </cell>
          <cell r="U729">
            <v>0</v>
          </cell>
        </row>
        <row r="730">
          <cell r="D730">
            <v>6829.5119999999997</v>
          </cell>
          <cell r="E730" t="str">
            <v>少数股东其他综合收益_权益法下不能转损益的其他综合收益</v>
          </cell>
          <cell r="F730">
            <v>0</v>
          </cell>
          <cell r="G730">
            <v>0</v>
          </cell>
          <cell r="H730">
            <v>0</v>
          </cell>
          <cell r="I730">
            <v>0</v>
          </cell>
          <cell r="J730">
            <v>0</v>
          </cell>
          <cell r="K730">
            <v>0</v>
          </cell>
          <cell r="L730">
            <v>0</v>
          </cell>
          <cell r="M730">
            <v>0</v>
          </cell>
          <cell r="T730">
            <v>6829.5119999999997</v>
          </cell>
          <cell r="U730">
            <v>0</v>
          </cell>
        </row>
        <row r="731">
          <cell r="D731">
            <v>6829.5190000000002</v>
          </cell>
          <cell r="E731" t="str">
            <v>少数股东其他综合收益_其他以后不能重分类进损益的其他综合收益</v>
          </cell>
          <cell r="F731">
            <v>0</v>
          </cell>
          <cell r="G731">
            <v>0</v>
          </cell>
          <cell r="H731">
            <v>0</v>
          </cell>
          <cell r="I731">
            <v>0</v>
          </cell>
          <cell r="J731">
            <v>0</v>
          </cell>
          <cell r="K731">
            <v>0</v>
          </cell>
          <cell r="L731">
            <v>0</v>
          </cell>
          <cell r="M731">
            <v>0</v>
          </cell>
          <cell r="T731">
            <v>6829.5190000000002</v>
          </cell>
          <cell r="U731">
            <v>0</v>
          </cell>
        </row>
        <row r="732">
          <cell r="D732">
            <v>6829.5309999999999</v>
          </cell>
          <cell r="E732" t="str">
            <v>少数股东其他综合收益_权益法下可转损益的其他综合收益</v>
          </cell>
          <cell r="F732">
            <v>0</v>
          </cell>
          <cell r="G732">
            <v>0</v>
          </cell>
          <cell r="H732">
            <v>0</v>
          </cell>
          <cell r="I732">
            <v>0</v>
          </cell>
          <cell r="J732">
            <v>0</v>
          </cell>
          <cell r="K732">
            <v>0</v>
          </cell>
          <cell r="L732">
            <v>0</v>
          </cell>
          <cell r="M732">
            <v>0</v>
          </cell>
          <cell r="T732">
            <v>6829.5309999999999</v>
          </cell>
          <cell r="U732">
            <v>0</v>
          </cell>
        </row>
        <row r="733">
          <cell r="D733">
            <v>6829.5320000000002</v>
          </cell>
          <cell r="E733" t="str">
            <v>少数股东其他综合收益_可供出售金融资产公允价值变动损益</v>
          </cell>
          <cell r="F733">
            <v>0</v>
          </cell>
          <cell r="G733">
            <v>0</v>
          </cell>
          <cell r="H733">
            <v>0</v>
          </cell>
          <cell r="I733">
            <v>0</v>
          </cell>
          <cell r="J733">
            <v>0</v>
          </cell>
          <cell r="K733">
            <v>0</v>
          </cell>
          <cell r="L733">
            <v>0</v>
          </cell>
          <cell r="M733">
            <v>0</v>
          </cell>
          <cell r="T733">
            <v>6829.5320000000002</v>
          </cell>
          <cell r="U733">
            <v>0</v>
          </cell>
        </row>
        <row r="734">
          <cell r="D734">
            <v>6829.5330000000004</v>
          </cell>
          <cell r="E734" t="str">
            <v>少数股东其他综合收益_持有至到期投资重分类为可供出售金融资产损益</v>
          </cell>
          <cell r="F734">
            <v>0</v>
          </cell>
          <cell r="G734">
            <v>0</v>
          </cell>
          <cell r="H734">
            <v>0</v>
          </cell>
          <cell r="I734">
            <v>0</v>
          </cell>
          <cell r="J734">
            <v>0</v>
          </cell>
          <cell r="K734">
            <v>0</v>
          </cell>
          <cell r="L734">
            <v>0</v>
          </cell>
          <cell r="M734">
            <v>0</v>
          </cell>
          <cell r="T734">
            <v>6829.5330000000004</v>
          </cell>
          <cell r="U734">
            <v>0</v>
          </cell>
        </row>
        <row r="735">
          <cell r="D735">
            <v>6829.5339999999997</v>
          </cell>
          <cell r="E735" t="str">
            <v>少数股东其他综合收益_现金流量套期损益的有效部分</v>
          </cell>
          <cell r="F735">
            <v>0</v>
          </cell>
          <cell r="G735">
            <v>0</v>
          </cell>
          <cell r="H735">
            <v>0</v>
          </cell>
          <cell r="I735">
            <v>0</v>
          </cell>
          <cell r="J735">
            <v>0</v>
          </cell>
          <cell r="K735">
            <v>0</v>
          </cell>
          <cell r="L735">
            <v>0</v>
          </cell>
          <cell r="M735">
            <v>0</v>
          </cell>
          <cell r="T735">
            <v>6829.5339999999997</v>
          </cell>
          <cell r="U735">
            <v>0</v>
          </cell>
        </row>
        <row r="736">
          <cell r="D736">
            <v>6829.5349999999999</v>
          </cell>
          <cell r="E736" t="str">
            <v>少数股东其他综合收益_外币财务报表折算差额</v>
          </cell>
          <cell r="F736">
            <v>0</v>
          </cell>
          <cell r="G736">
            <v>0</v>
          </cell>
          <cell r="H736">
            <v>0</v>
          </cell>
          <cell r="I736">
            <v>0</v>
          </cell>
          <cell r="J736">
            <v>0</v>
          </cell>
          <cell r="K736">
            <v>0</v>
          </cell>
          <cell r="L736">
            <v>0</v>
          </cell>
          <cell r="M736">
            <v>0</v>
          </cell>
          <cell r="T736">
            <v>6829.5349999999999</v>
          </cell>
          <cell r="U736">
            <v>0</v>
          </cell>
        </row>
        <row r="737">
          <cell r="D737">
            <v>6829.5360000000001</v>
          </cell>
          <cell r="E737" t="str">
            <v>少数股东其他综合收益_自用房地产或作为存货的房地产转换为以公允价值计量的投资性房地产在转换日公允价值大于账面价值部分</v>
          </cell>
          <cell r="F737">
            <v>0</v>
          </cell>
          <cell r="G737">
            <v>0</v>
          </cell>
          <cell r="H737">
            <v>0</v>
          </cell>
          <cell r="I737">
            <v>0</v>
          </cell>
          <cell r="J737">
            <v>0</v>
          </cell>
          <cell r="K737">
            <v>0</v>
          </cell>
          <cell r="L737">
            <v>0</v>
          </cell>
          <cell r="M737">
            <v>0</v>
          </cell>
          <cell r="T737">
            <v>6829.5360000000001</v>
          </cell>
          <cell r="U737">
            <v>0</v>
          </cell>
        </row>
        <row r="738">
          <cell r="D738">
            <v>6829.5370000000003</v>
          </cell>
          <cell r="E738" t="str">
            <v>少数股东其他综合收益_多次交易分步处置子公司股权构成一揽子交易的丧失控制权之前各次交易处置价款与对应净资产账面价值份额的差额</v>
          </cell>
          <cell r="F738">
            <v>0</v>
          </cell>
          <cell r="G738">
            <v>0</v>
          </cell>
          <cell r="H738">
            <v>0</v>
          </cell>
          <cell r="I738">
            <v>0</v>
          </cell>
          <cell r="J738">
            <v>0</v>
          </cell>
          <cell r="K738">
            <v>0</v>
          </cell>
          <cell r="L738">
            <v>0</v>
          </cell>
          <cell r="M738">
            <v>0</v>
          </cell>
          <cell r="T738">
            <v>6829.5370000000003</v>
          </cell>
          <cell r="U738">
            <v>0</v>
          </cell>
        </row>
        <row r="739">
          <cell r="D739">
            <v>6829.5389999999998</v>
          </cell>
          <cell r="E739" t="str">
            <v>少数股东其他综合收益_其他以后将重分类进损益的其他综合收益</v>
          </cell>
          <cell r="F739">
            <v>0</v>
          </cell>
          <cell r="G739">
            <v>0</v>
          </cell>
          <cell r="H739">
            <v>0</v>
          </cell>
          <cell r="I739">
            <v>0</v>
          </cell>
          <cell r="J739">
            <v>0</v>
          </cell>
          <cell r="K739">
            <v>0</v>
          </cell>
          <cell r="L739">
            <v>0</v>
          </cell>
          <cell r="M739">
            <v>0</v>
          </cell>
          <cell r="T739">
            <v>6829.5389999999998</v>
          </cell>
          <cell r="U739">
            <v>0</v>
          </cell>
        </row>
      </sheetData>
      <sheetData sheetId="8" refreshError="1"/>
      <sheetData sheetId="9" refreshError="1"/>
      <sheetData sheetId="10">
        <row r="6">
          <cell r="C6">
            <v>5458383.7699999996</v>
          </cell>
        </row>
      </sheetData>
      <sheetData sheetId="11" refreshError="1"/>
      <sheetData sheetId="12" refreshError="1"/>
      <sheetData sheetId="13">
        <row r="16">
          <cell r="E16">
            <v>6944633.6500000004</v>
          </cell>
        </row>
      </sheetData>
      <sheetData sheetId="14">
        <row r="8">
          <cell r="B8" t="str">
            <v>项目编号</v>
          </cell>
          <cell r="C8" t="str">
            <v>项       目</v>
          </cell>
          <cell r="D8" t="str">
            <v>附注</v>
          </cell>
          <cell r="E8" t="str">
            <v>本期金额</v>
          </cell>
          <cell r="F8" t="str">
            <v>上期金额</v>
          </cell>
        </row>
        <row r="9">
          <cell r="B9">
            <v>7000</v>
          </cell>
          <cell r="C9" t="str">
            <v>一、经营活动产生的现金流量：</v>
          </cell>
          <cell r="D9">
            <v>0</v>
          </cell>
          <cell r="E9">
            <v>0</v>
          </cell>
          <cell r="F9">
            <v>0</v>
          </cell>
        </row>
        <row r="10">
          <cell r="B10">
            <v>7001</v>
          </cell>
          <cell r="C10" t="str">
            <v>销售商品、提供劳务收到的现金</v>
          </cell>
          <cell r="D10">
            <v>0</v>
          </cell>
          <cell r="E10">
            <v>125637670.59</v>
          </cell>
          <cell r="F10">
            <v>391616125.20999998</v>
          </cell>
        </row>
        <row r="11">
          <cell r="B11">
            <v>7011</v>
          </cell>
          <cell r="C11" t="str">
            <v>客户存款和同业存放款项净增加额</v>
          </cell>
          <cell r="D11">
            <v>0</v>
          </cell>
          <cell r="E11">
            <v>0</v>
          </cell>
          <cell r="F11">
            <v>0</v>
          </cell>
        </row>
        <row r="12">
          <cell r="B12">
            <v>7012</v>
          </cell>
          <cell r="C12" t="str">
            <v>向中央银行借款净增加额</v>
          </cell>
          <cell r="D12">
            <v>0</v>
          </cell>
          <cell r="E12">
            <v>0</v>
          </cell>
          <cell r="F12">
            <v>0</v>
          </cell>
        </row>
        <row r="13">
          <cell r="B13">
            <v>7013</v>
          </cell>
          <cell r="C13" t="str">
            <v>向其他金融机构拆入资金净增加额</v>
          </cell>
          <cell r="D13">
            <v>0</v>
          </cell>
          <cell r="E13">
            <v>0</v>
          </cell>
          <cell r="F13">
            <v>0</v>
          </cell>
        </row>
        <row r="14">
          <cell r="B14">
            <v>7014</v>
          </cell>
          <cell r="C14" t="str">
            <v>收到原保险合同保费取得的现金</v>
          </cell>
          <cell r="D14">
            <v>0</v>
          </cell>
          <cell r="E14">
            <v>0</v>
          </cell>
          <cell r="F14">
            <v>0</v>
          </cell>
        </row>
        <row r="15">
          <cell r="B15">
            <v>7015</v>
          </cell>
          <cell r="C15" t="str">
            <v>收到再保险业务现金净额</v>
          </cell>
          <cell r="D15">
            <v>0</v>
          </cell>
          <cell r="E15">
            <v>0</v>
          </cell>
          <cell r="F15">
            <v>0</v>
          </cell>
        </row>
        <row r="16">
          <cell r="B16">
            <v>7016</v>
          </cell>
          <cell r="C16" t="str">
            <v>保户储金及投资款净增加额</v>
          </cell>
          <cell r="D16">
            <v>0</v>
          </cell>
          <cell r="E16">
            <v>0</v>
          </cell>
          <cell r="F16">
            <v>0</v>
          </cell>
        </row>
        <row r="17">
          <cell r="B17">
            <v>7021</v>
          </cell>
          <cell r="C17" t="str">
            <v>处置以公允价值计量且其变动计入当期损益的金融资产净增加额</v>
          </cell>
          <cell r="D17">
            <v>0</v>
          </cell>
          <cell r="E17">
            <v>0</v>
          </cell>
          <cell r="F17">
            <v>0</v>
          </cell>
        </row>
        <row r="18">
          <cell r="B18">
            <v>7023</v>
          </cell>
          <cell r="C18" t="str">
            <v>收取利息、手续费及佣金的现金</v>
          </cell>
          <cell r="D18">
            <v>0</v>
          </cell>
          <cell r="E18">
            <v>0</v>
          </cell>
          <cell r="F18">
            <v>0</v>
          </cell>
        </row>
        <row r="19">
          <cell r="B19">
            <v>7025</v>
          </cell>
          <cell r="C19" t="str">
            <v>拆入资金净增加额</v>
          </cell>
          <cell r="D19">
            <v>0</v>
          </cell>
          <cell r="E19">
            <v>0</v>
          </cell>
          <cell r="F19">
            <v>0</v>
          </cell>
        </row>
        <row r="20">
          <cell r="B20">
            <v>7026</v>
          </cell>
          <cell r="C20" t="str">
            <v>回购业务资金净增加额</v>
          </cell>
          <cell r="D20">
            <v>0</v>
          </cell>
          <cell r="E20">
            <v>0</v>
          </cell>
          <cell r="F20">
            <v>0</v>
          </cell>
        </row>
        <row r="21">
          <cell r="B21">
            <v>7031</v>
          </cell>
          <cell r="C21" t="str">
            <v>收到的税费返还</v>
          </cell>
          <cell r="D21">
            <v>0</v>
          </cell>
          <cell r="E21">
            <v>0</v>
          </cell>
          <cell r="F21">
            <v>0</v>
          </cell>
        </row>
        <row r="22">
          <cell r="B22">
            <v>7046</v>
          </cell>
          <cell r="C22" t="str">
            <v>收到其他与经营活动有关的现金</v>
          </cell>
          <cell r="D22">
            <v>0</v>
          </cell>
          <cell r="E22">
            <v>1009248.62</v>
          </cell>
          <cell r="F22">
            <v>14091863.050000001</v>
          </cell>
        </row>
        <row r="23">
          <cell r="B23">
            <v>7048</v>
          </cell>
          <cell r="C23" t="str">
            <v>经营活动现金流入小计</v>
          </cell>
          <cell r="D23">
            <v>0</v>
          </cell>
          <cell r="E23">
            <v>126646919.20999999</v>
          </cell>
          <cell r="F23">
            <v>405707988.25999999</v>
          </cell>
        </row>
        <row r="24">
          <cell r="B24">
            <v>7051</v>
          </cell>
          <cell r="C24" t="str">
            <v>购买商品、接受劳务支付的现金</v>
          </cell>
          <cell r="D24">
            <v>0</v>
          </cell>
          <cell r="E24">
            <v>150439544.69999999</v>
          </cell>
          <cell r="F24">
            <v>301625485.38999999</v>
          </cell>
        </row>
        <row r="25">
          <cell r="B25">
            <v>7053</v>
          </cell>
          <cell r="C25" t="str">
            <v>客户贷款及垫款净增加额</v>
          </cell>
          <cell r="D25">
            <v>0</v>
          </cell>
          <cell r="E25">
            <v>0</v>
          </cell>
          <cell r="F25">
            <v>0</v>
          </cell>
        </row>
        <row r="26">
          <cell r="B26">
            <v>7054</v>
          </cell>
          <cell r="C26" t="str">
            <v>存放中央银行和同业款项净增加额</v>
          </cell>
          <cell r="D26">
            <v>0</v>
          </cell>
          <cell r="E26">
            <v>0</v>
          </cell>
          <cell r="F26">
            <v>0</v>
          </cell>
        </row>
        <row r="27">
          <cell r="B27">
            <v>7055</v>
          </cell>
          <cell r="C27" t="str">
            <v>支付原保险合同赔付款项的现金</v>
          </cell>
          <cell r="D27">
            <v>0</v>
          </cell>
          <cell r="E27">
            <v>0</v>
          </cell>
          <cell r="F27">
            <v>0</v>
          </cell>
        </row>
        <row r="28">
          <cell r="B28">
            <v>7056</v>
          </cell>
          <cell r="C28" t="str">
            <v>支付利息、手续费及佣金的现金</v>
          </cell>
          <cell r="D28">
            <v>0</v>
          </cell>
          <cell r="E28">
            <v>0</v>
          </cell>
          <cell r="F28">
            <v>0</v>
          </cell>
        </row>
        <row r="29">
          <cell r="B29">
            <v>7057</v>
          </cell>
          <cell r="C29" t="str">
            <v>支付保单红利的现金</v>
          </cell>
          <cell r="D29">
            <v>0</v>
          </cell>
          <cell r="E29">
            <v>0</v>
          </cell>
          <cell r="F29">
            <v>0</v>
          </cell>
        </row>
        <row r="30">
          <cell r="B30">
            <v>7061</v>
          </cell>
          <cell r="C30" t="str">
            <v>支付给职工以及为职工支付的现金</v>
          </cell>
          <cell r="D30">
            <v>0</v>
          </cell>
          <cell r="E30">
            <v>25817090.350000001</v>
          </cell>
          <cell r="F30">
            <v>45991416.079999998</v>
          </cell>
        </row>
        <row r="31">
          <cell r="B31">
            <v>7071</v>
          </cell>
          <cell r="C31" t="str">
            <v>支付的各项税费</v>
          </cell>
          <cell r="D31">
            <v>0</v>
          </cell>
          <cell r="E31">
            <v>502480.28</v>
          </cell>
          <cell r="F31">
            <v>31214180.52</v>
          </cell>
        </row>
        <row r="32">
          <cell r="B32">
            <v>7096</v>
          </cell>
          <cell r="C32" t="str">
            <v>支付其他与经营活动有关的现金</v>
          </cell>
          <cell r="D32">
            <v>0</v>
          </cell>
          <cell r="E32">
            <v>60119938.380000003</v>
          </cell>
          <cell r="F32">
            <v>73666459.489999995</v>
          </cell>
        </row>
        <row r="33">
          <cell r="B33">
            <v>7098</v>
          </cell>
          <cell r="C33" t="str">
            <v>经营活动现金流出小计</v>
          </cell>
          <cell r="D33">
            <v>0</v>
          </cell>
          <cell r="E33">
            <v>236879053.71000001</v>
          </cell>
          <cell r="F33">
            <v>452497541.48000002</v>
          </cell>
        </row>
        <row r="34">
          <cell r="B34">
            <v>7099</v>
          </cell>
          <cell r="C34" t="str">
            <v>经营活动产生的现金流量净额</v>
          </cell>
          <cell r="D34">
            <v>0</v>
          </cell>
          <cell r="E34">
            <v>-110232134.5</v>
          </cell>
          <cell r="F34">
            <v>-46789553.219999999</v>
          </cell>
        </row>
        <row r="35">
          <cell r="B35">
            <v>7100</v>
          </cell>
          <cell r="C35" t="str">
            <v>二、投资活动产生的现金流量：</v>
          </cell>
          <cell r="D35">
            <v>0</v>
          </cell>
          <cell r="E35">
            <v>0</v>
          </cell>
          <cell r="F35">
            <v>0</v>
          </cell>
        </row>
        <row r="36">
          <cell r="B36">
            <v>7101</v>
          </cell>
          <cell r="C36" t="str">
            <v>收回投资收到的现金</v>
          </cell>
          <cell r="D36">
            <v>0</v>
          </cell>
          <cell r="E36">
            <v>0</v>
          </cell>
          <cell r="F36">
            <v>104990000</v>
          </cell>
        </row>
        <row r="37">
          <cell r="B37">
            <v>7105</v>
          </cell>
          <cell r="C37" t="str">
            <v>取得投资收益收到的现金</v>
          </cell>
          <cell r="D37">
            <v>0</v>
          </cell>
          <cell r="E37">
            <v>487100.02</v>
          </cell>
          <cell r="F37">
            <v>902178.35</v>
          </cell>
        </row>
        <row r="38">
          <cell r="B38">
            <v>7111</v>
          </cell>
          <cell r="C38" t="str">
            <v>处置固定资产、无形资产和其他长期资产收回的现金净额</v>
          </cell>
          <cell r="D38">
            <v>0</v>
          </cell>
          <cell r="E38">
            <v>129290.57</v>
          </cell>
          <cell r="F38">
            <v>0</v>
          </cell>
        </row>
        <row r="39">
          <cell r="B39">
            <v>7121</v>
          </cell>
          <cell r="C39" t="str">
            <v>处置子公司及其他营业单位收到的现金净额</v>
          </cell>
          <cell r="D39">
            <v>0</v>
          </cell>
          <cell r="E39">
            <v>0</v>
          </cell>
          <cell r="F39">
            <v>0</v>
          </cell>
        </row>
        <row r="40">
          <cell r="B40">
            <v>7146</v>
          </cell>
          <cell r="C40" t="str">
            <v>收到其他与投资活动有关的现金</v>
          </cell>
          <cell r="D40">
            <v>0</v>
          </cell>
          <cell r="E40">
            <v>0</v>
          </cell>
          <cell r="F40">
            <v>0</v>
          </cell>
        </row>
        <row r="41">
          <cell r="B41">
            <v>7148</v>
          </cell>
          <cell r="C41" t="str">
            <v>投资活动现金流入小计</v>
          </cell>
          <cell r="D41">
            <v>0</v>
          </cell>
          <cell r="E41">
            <v>616390.59</v>
          </cell>
          <cell r="F41">
            <v>105892178.34999999</v>
          </cell>
        </row>
        <row r="42">
          <cell r="B42">
            <v>7151</v>
          </cell>
          <cell r="C42" t="str">
            <v>购置固定资产、无形资产和其他长期资产支付的现金</v>
          </cell>
          <cell r="D42">
            <v>0</v>
          </cell>
          <cell r="E42">
            <v>32274224.190000001</v>
          </cell>
          <cell r="F42">
            <v>26344550.879999999</v>
          </cell>
        </row>
        <row r="43">
          <cell r="B43">
            <v>7161</v>
          </cell>
          <cell r="C43" t="str">
            <v>投资支付的现金</v>
          </cell>
          <cell r="D43">
            <v>0</v>
          </cell>
          <cell r="E43">
            <v>0</v>
          </cell>
          <cell r="F43">
            <v>13563393.26</v>
          </cell>
        </row>
        <row r="44">
          <cell r="B44">
            <v>7165</v>
          </cell>
          <cell r="C44" t="str">
            <v>质押贷款净增加额</v>
          </cell>
          <cell r="D44">
            <v>0</v>
          </cell>
          <cell r="E44">
            <v>0</v>
          </cell>
          <cell r="F44">
            <v>0</v>
          </cell>
        </row>
        <row r="45">
          <cell r="B45">
            <v>7171</v>
          </cell>
          <cell r="C45" t="str">
            <v>取得子公司及其他营业单位支付的现金净额</v>
          </cell>
          <cell r="D45">
            <v>0</v>
          </cell>
          <cell r="E45">
            <v>0</v>
          </cell>
          <cell r="F45">
            <v>0</v>
          </cell>
        </row>
        <row r="46">
          <cell r="B46">
            <v>7196</v>
          </cell>
          <cell r="C46" t="str">
            <v>支付其他与投资活动有关的现金</v>
          </cell>
          <cell r="D46">
            <v>0</v>
          </cell>
          <cell r="E46">
            <v>0</v>
          </cell>
          <cell r="F46">
            <v>0</v>
          </cell>
        </row>
        <row r="47">
          <cell r="B47">
            <v>7198</v>
          </cell>
          <cell r="C47" t="str">
            <v>投资活动现金流出小计</v>
          </cell>
          <cell r="D47">
            <v>0</v>
          </cell>
          <cell r="E47">
            <v>32274224.190000001</v>
          </cell>
          <cell r="F47">
            <v>39907944.140000001</v>
          </cell>
        </row>
        <row r="48">
          <cell r="B48">
            <v>7199</v>
          </cell>
          <cell r="C48" t="str">
            <v>投资活动产生的现金流量净额</v>
          </cell>
          <cell r="D48">
            <v>0</v>
          </cell>
          <cell r="E48">
            <v>-31657833.600000001</v>
          </cell>
          <cell r="F48">
            <v>65984234.210000001</v>
          </cell>
        </row>
        <row r="49">
          <cell r="B49">
            <v>7200</v>
          </cell>
          <cell r="C49" t="str">
            <v>三、筹资活动产生的现金流量：</v>
          </cell>
          <cell r="D49">
            <v>0</v>
          </cell>
          <cell r="E49">
            <v>0</v>
          </cell>
          <cell r="F49">
            <v>0</v>
          </cell>
        </row>
        <row r="50">
          <cell r="B50">
            <v>7201</v>
          </cell>
          <cell r="C50" t="str">
            <v>吸收投资收到的现金</v>
          </cell>
          <cell r="D50">
            <v>0</v>
          </cell>
          <cell r="E50">
            <v>0</v>
          </cell>
          <cell r="F50">
            <v>75600001</v>
          </cell>
        </row>
        <row r="51">
          <cell r="B51">
            <v>7201.01</v>
          </cell>
          <cell r="C51" t="str">
            <v>其中：子公司吸收少数股东权益性投资收到的现金</v>
          </cell>
          <cell r="D51">
            <v>0</v>
          </cell>
          <cell r="E51">
            <v>0</v>
          </cell>
          <cell r="F51">
            <v>0</v>
          </cell>
        </row>
        <row r="52">
          <cell r="B52">
            <v>7211</v>
          </cell>
          <cell r="C52" t="str">
            <v>取得借款收到的现金</v>
          </cell>
          <cell r="D52">
            <v>0</v>
          </cell>
          <cell r="E52">
            <v>42240699.979999997</v>
          </cell>
          <cell r="F52">
            <v>71738421.109999999</v>
          </cell>
        </row>
        <row r="53">
          <cell r="B53">
            <v>7221</v>
          </cell>
          <cell r="C53" t="str">
            <v>发行债券收到的现金</v>
          </cell>
          <cell r="D53">
            <v>0</v>
          </cell>
          <cell r="E53">
            <v>0</v>
          </cell>
          <cell r="F53">
            <v>0</v>
          </cell>
        </row>
        <row r="54">
          <cell r="B54">
            <v>7246</v>
          </cell>
          <cell r="C54" t="str">
            <v>收到其他与筹资活动有关的现金</v>
          </cell>
          <cell r="D54">
            <v>0</v>
          </cell>
          <cell r="E54">
            <v>14958887.6</v>
          </cell>
          <cell r="F54">
            <v>0</v>
          </cell>
        </row>
        <row r="55">
          <cell r="B55">
            <v>7248</v>
          </cell>
          <cell r="C55" t="str">
            <v>筹资活动现金流入小计</v>
          </cell>
          <cell r="D55">
            <v>0</v>
          </cell>
          <cell r="E55">
            <v>57199587.579999998</v>
          </cell>
          <cell r="F55">
            <v>147338422.11000001</v>
          </cell>
        </row>
        <row r="56">
          <cell r="B56">
            <v>7251</v>
          </cell>
          <cell r="C56" t="str">
            <v>偿还债务支付的现金</v>
          </cell>
          <cell r="D56">
            <v>0</v>
          </cell>
          <cell r="E56">
            <v>22320699.98</v>
          </cell>
          <cell r="F56">
            <v>29361905.199999999</v>
          </cell>
        </row>
        <row r="57">
          <cell r="B57">
            <v>7261</v>
          </cell>
          <cell r="C57" t="str">
            <v>分配股利、利润或偿付利息支付的现金</v>
          </cell>
          <cell r="D57">
            <v>0</v>
          </cell>
          <cell r="E57">
            <v>2234664.42</v>
          </cell>
          <cell r="F57">
            <v>4013126.32</v>
          </cell>
        </row>
        <row r="58">
          <cell r="B58">
            <v>7261.01</v>
          </cell>
          <cell r="C58" t="str">
            <v>其中：子公司支付少数股东的现金股利</v>
          </cell>
          <cell r="D58">
            <v>0</v>
          </cell>
          <cell r="E58">
            <v>0</v>
          </cell>
          <cell r="F58">
            <v>0</v>
          </cell>
        </row>
        <row r="59">
          <cell r="B59">
            <v>7296</v>
          </cell>
          <cell r="C59" t="str">
            <v>支付其他与筹资活动有关的现金</v>
          </cell>
          <cell r="D59">
            <v>0</v>
          </cell>
          <cell r="E59">
            <v>1359031.03</v>
          </cell>
          <cell r="F59">
            <v>31088758.620000001</v>
          </cell>
        </row>
        <row r="60">
          <cell r="B60">
            <v>7296.11</v>
          </cell>
          <cell r="C60" t="str">
            <v>其中：子公司减资支付给少数股东的现金</v>
          </cell>
          <cell r="D60">
            <v>0</v>
          </cell>
          <cell r="E60">
            <v>0</v>
          </cell>
          <cell r="F60">
            <v>0</v>
          </cell>
        </row>
        <row r="61">
          <cell r="B61">
            <v>7298</v>
          </cell>
          <cell r="C61" t="str">
            <v>筹资活动现金流出小计</v>
          </cell>
          <cell r="D61">
            <v>0</v>
          </cell>
          <cell r="E61">
            <v>25914395.43</v>
          </cell>
          <cell r="F61">
            <v>64463790.140000001</v>
          </cell>
        </row>
        <row r="62">
          <cell r="B62">
            <v>7299</v>
          </cell>
          <cell r="C62" t="str">
            <v>筹资活动产生的现金流量净额</v>
          </cell>
          <cell r="D62">
            <v>0</v>
          </cell>
          <cell r="E62">
            <v>31285192.149999999</v>
          </cell>
          <cell r="F62">
            <v>82874631.969999999</v>
          </cell>
        </row>
        <row r="63">
          <cell r="B63">
            <v>7309</v>
          </cell>
          <cell r="C63" t="str">
            <v>四、汇率变动对现金及现金等价物的影响</v>
          </cell>
          <cell r="D63">
            <v>0</v>
          </cell>
          <cell r="E63">
            <v>0</v>
          </cell>
          <cell r="F63">
            <v>0</v>
          </cell>
        </row>
        <row r="64">
          <cell r="B64">
            <v>7348</v>
          </cell>
          <cell r="C64" t="str">
            <v>五、现金及现金等价物净增加额</v>
          </cell>
          <cell r="D64">
            <v>0</v>
          </cell>
          <cell r="E64">
            <v>-110604775.95</v>
          </cell>
          <cell r="F64">
            <v>102069312.95999999</v>
          </cell>
        </row>
        <row r="65">
          <cell r="B65">
            <v>7349</v>
          </cell>
          <cell r="C65" t="str">
            <v>加：期初现金及现金等价物余额</v>
          </cell>
          <cell r="D65">
            <v>0</v>
          </cell>
          <cell r="E65">
            <v>163033259.58000001</v>
          </cell>
          <cell r="F65">
            <v>60963946.619999997</v>
          </cell>
        </row>
        <row r="66">
          <cell r="B66">
            <v>7399</v>
          </cell>
          <cell r="C66" t="str">
            <v>六、期末现金及现金等价物余额</v>
          </cell>
          <cell r="D66">
            <v>0</v>
          </cell>
          <cell r="E66">
            <v>52428483.630000003</v>
          </cell>
          <cell r="F66">
            <v>163033259.58000001</v>
          </cell>
        </row>
        <row r="70">
          <cell r="B70">
            <v>0</v>
          </cell>
          <cell r="C70" t="str">
            <v>补充资料</v>
          </cell>
          <cell r="D70">
            <v>0</v>
          </cell>
          <cell r="E70" t="str">
            <v>本年金额</v>
          </cell>
          <cell r="F70" t="str">
            <v>上年金额</v>
          </cell>
        </row>
        <row r="71">
          <cell r="B71">
            <v>7501</v>
          </cell>
          <cell r="C71" t="str">
            <v>1.将净利润调节为经营活动现金流量：</v>
          </cell>
          <cell r="D71">
            <v>0</v>
          </cell>
          <cell r="E71">
            <v>0</v>
          </cell>
          <cell r="F71">
            <v>0</v>
          </cell>
        </row>
        <row r="72">
          <cell r="B72">
            <v>7502</v>
          </cell>
          <cell r="C72" t="str">
            <v>净利润</v>
          </cell>
          <cell r="D72">
            <v>0</v>
          </cell>
          <cell r="E72">
            <v>17906312.969999999</v>
          </cell>
          <cell r="F72">
            <v>25697052.48</v>
          </cell>
        </row>
        <row r="73">
          <cell r="B73">
            <v>7503</v>
          </cell>
          <cell r="C73" t="str">
            <v>加：资产减值准备</v>
          </cell>
          <cell r="D73">
            <v>0</v>
          </cell>
          <cell r="E73">
            <v>6944633.6500000004</v>
          </cell>
          <cell r="F73">
            <v>11514489.27</v>
          </cell>
        </row>
        <row r="74">
          <cell r="B74">
            <v>7505</v>
          </cell>
          <cell r="C74" t="str">
            <v>固定资产折旧、油气资产折耗、生产性生物资产折旧</v>
          </cell>
          <cell r="D74">
            <v>0</v>
          </cell>
          <cell r="E74">
            <v>1080754.98</v>
          </cell>
          <cell r="F74">
            <v>1593497.5</v>
          </cell>
        </row>
        <row r="75">
          <cell r="B75">
            <v>7506</v>
          </cell>
          <cell r="C75" t="str">
            <v>无形资产摊销</v>
          </cell>
          <cell r="D75">
            <v>0</v>
          </cell>
          <cell r="E75">
            <v>718540.94</v>
          </cell>
          <cell r="F75">
            <v>613075.88</v>
          </cell>
        </row>
        <row r="76">
          <cell r="B76">
            <v>7507</v>
          </cell>
          <cell r="C76" t="str">
            <v>长期待摊费用摊销</v>
          </cell>
          <cell r="D76">
            <v>0</v>
          </cell>
          <cell r="E76">
            <v>666642.78</v>
          </cell>
          <cell r="F76">
            <v>885573.52</v>
          </cell>
        </row>
        <row r="77">
          <cell r="B77">
            <v>7508</v>
          </cell>
          <cell r="C77" t="str">
            <v>处置固定资产、无形资产和其他长期资产的损失（收益以“－”号填列）</v>
          </cell>
          <cell r="D77">
            <v>0</v>
          </cell>
          <cell r="E77">
            <v>137970.93</v>
          </cell>
          <cell r="F77">
            <v>6188.4</v>
          </cell>
        </row>
        <row r="78">
          <cell r="B78">
            <v>7509</v>
          </cell>
          <cell r="C78" t="str">
            <v>固定资产报废损失（收益以“－”号填列）</v>
          </cell>
          <cell r="D78">
            <v>0</v>
          </cell>
          <cell r="E78">
            <v>0</v>
          </cell>
          <cell r="F78">
            <v>0</v>
          </cell>
        </row>
        <row r="79">
          <cell r="B79">
            <v>7510</v>
          </cell>
          <cell r="C79" t="str">
            <v>公允价值变动损失（收益以“－”号填列）</v>
          </cell>
          <cell r="D79">
            <v>0</v>
          </cell>
          <cell r="E79">
            <v>0</v>
          </cell>
          <cell r="F79">
            <v>0</v>
          </cell>
        </row>
        <row r="80">
          <cell r="B80">
            <v>7511</v>
          </cell>
          <cell r="C80" t="str">
            <v>财务费用（收益以“－”号填列）</v>
          </cell>
          <cell r="D80">
            <v>0</v>
          </cell>
          <cell r="E80">
            <v>5587606.9299999997</v>
          </cell>
          <cell r="F80">
            <v>7059915.6799999997</v>
          </cell>
        </row>
        <row r="81">
          <cell r="B81">
            <v>7512</v>
          </cell>
          <cell r="C81" t="str">
            <v>投资损失（收益以“－”号填列）</v>
          </cell>
          <cell r="D81">
            <v>0</v>
          </cell>
          <cell r="E81">
            <v>-487100.02</v>
          </cell>
          <cell r="F81">
            <v>-902178.35</v>
          </cell>
        </row>
        <row r="82">
          <cell r="B82">
            <v>7515</v>
          </cell>
          <cell r="C82" t="str">
            <v>递延所得税资产减少（增加以“－”号填列）</v>
          </cell>
          <cell r="D82">
            <v>0</v>
          </cell>
          <cell r="E82">
            <v>-540196.35</v>
          </cell>
          <cell r="F82">
            <v>-1328968.8</v>
          </cell>
        </row>
        <row r="83">
          <cell r="B83">
            <v>7516</v>
          </cell>
          <cell r="C83" t="str">
            <v>递延所得税负债增加（减少以“－”号填列）</v>
          </cell>
          <cell r="D83">
            <v>0</v>
          </cell>
          <cell r="E83">
            <v>0</v>
          </cell>
          <cell r="F83">
            <v>0</v>
          </cell>
        </row>
        <row r="84">
          <cell r="B84">
            <v>7517</v>
          </cell>
          <cell r="C84" t="str">
            <v>存货的减少（增加以“－”号填列）</v>
          </cell>
          <cell r="D84">
            <v>0</v>
          </cell>
          <cell r="E84">
            <v>22570437.859999999</v>
          </cell>
          <cell r="F84">
            <v>-73595142.370000005</v>
          </cell>
        </row>
        <row r="85">
          <cell r="B85">
            <v>7518</v>
          </cell>
          <cell r="C85" t="str">
            <v>经营性应收项目的减少（增加以“－”号填列）</v>
          </cell>
          <cell r="D85">
            <v>0</v>
          </cell>
          <cell r="E85">
            <v>-134541487.99000001</v>
          </cell>
          <cell r="F85">
            <v>-50909710.740000002</v>
          </cell>
        </row>
        <row r="86">
          <cell r="B86">
            <v>7519</v>
          </cell>
          <cell r="C86" t="str">
            <v>经营性应付项目的增加（减少以“－”号填列）</v>
          </cell>
          <cell r="D86">
            <v>0</v>
          </cell>
          <cell r="E86">
            <v>-36399431.07</v>
          </cell>
          <cell r="F86">
            <v>31017258.199999999</v>
          </cell>
        </row>
        <row r="87">
          <cell r="B87">
            <v>7523</v>
          </cell>
          <cell r="C87" t="str">
            <v>其他</v>
          </cell>
          <cell r="D87">
            <v>0</v>
          </cell>
          <cell r="E87">
            <v>949244.26</v>
          </cell>
          <cell r="F87">
            <v>1559396.11</v>
          </cell>
        </row>
        <row r="88">
          <cell r="B88">
            <v>7525</v>
          </cell>
          <cell r="C88" t="str">
            <v>经营活动产生的现金流量净额</v>
          </cell>
          <cell r="D88">
            <v>0</v>
          </cell>
          <cell r="E88">
            <v>-115406070.13</v>
          </cell>
          <cell r="F88">
            <v>-46789553.219999999</v>
          </cell>
        </row>
        <row r="89">
          <cell r="B89">
            <v>7526</v>
          </cell>
          <cell r="C89" t="str">
            <v>2.不涉及现金收支的重大投资和筹资活动：</v>
          </cell>
          <cell r="D89">
            <v>0</v>
          </cell>
          <cell r="E89">
            <v>0</v>
          </cell>
          <cell r="F89">
            <v>0</v>
          </cell>
        </row>
        <row r="90">
          <cell r="B90">
            <v>7527</v>
          </cell>
          <cell r="C90" t="str">
            <v>债务转为资本</v>
          </cell>
          <cell r="D90">
            <v>0</v>
          </cell>
          <cell r="E90">
            <v>0</v>
          </cell>
          <cell r="F90">
            <v>0</v>
          </cell>
        </row>
        <row r="91">
          <cell r="B91">
            <v>7528</v>
          </cell>
          <cell r="C91" t="str">
            <v>一年内到期的可转换公司债券</v>
          </cell>
          <cell r="D91">
            <v>0</v>
          </cell>
          <cell r="E91">
            <v>0</v>
          </cell>
          <cell r="F91">
            <v>0</v>
          </cell>
        </row>
        <row r="92">
          <cell r="B92">
            <v>7529</v>
          </cell>
          <cell r="C92" t="str">
            <v>融资租入固定资产</v>
          </cell>
          <cell r="D92">
            <v>0</v>
          </cell>
          <cell r="E92">
            <v>0</v>
          </cell>
          <cell r="F92">
            <v>0</v>
          </cell>
        </row>
        <row r="93">
          <cell r="B93">
            <v>7533</v>
          </cell>
          <cell r="C93" t="str">
            <v>3.现金及现金等价物净变动情况：</v>
          </cell>
          <cell r="D93">
            <v>0</v>
          </cell>
          <cell r="E93">
            <v>0</v>
          </cell>
          <cell r="F93">
            <v>0</v>
          </cell>
        </row>
        <row r="94">
          <cell r="B94">
            <v>7535</v>
          </cell>
          <cell r="C94" t="str">
            <v>现金的期末余额</v>
          </cell>
          <cell r="D94">
            <v>0</v>
          </cell>
          <cell r="E94">
            <v>52428483.630000003</v>
          </cell>
          <cell r="F94">
            <v>163033259.58000001</v>
          </cell>
        </row>
        <row r="95">
          <cell r="B95">
            <v>7536</v>
          </cell>
          <cell r="C95" t="str">
            <v>减：现金的年初余额</v>
          </cell>
          <cell r="D95">
            <v>0</v>
          </cell>
          <cell r="E95">
            <v>163033259.58000001</v>
          </cell>
          <cell r="F95">
            <v>60963946.619999997</v>
          </cell>
        </row>
        <row r="96">
          <cell r="B96">
            <v>7537</v>
          </cell>
          <cell r="C96" t="str">
            <v>加：现金等价物的期末余额</v>
          </cell>
          <cell r="D96">
            <v>0</v>
          </cell>
          <cell r="E96">
            <v>0</v>
          </cell>
          <cell r="F96">
            <v>0</v>
          </cell>
        </row>
        <row r="97">
          <cell r="B97">
            <v>7538</v>
          </cell>
          <cell r="C97" t="str">
            <v>减：现金等价物的年初余额</v>
          </cell>
          <cell r="D97">
            <v>0</v>
          </cell>
          <cell r="E97">
            <v>0</v>
          </cell>
          <cell r="F97">
            <v>0</v>
          </cell>
        </row>
        <row r="98">
          <cell r="B98">
            <v>7539</v>
          </cell>
          <cell r="C98" t="str">
            <v>现金及现金等价物净增加额</v>
          </cell>
          <cell r="D98">
            <v>0</v>
          </cell>
          <cell r="E98">
            <v>-110604775.95</v>
          </cell>
          <cell r="F98">
            <v>102069312.95999999</v>
          </cell>
        </row>
      </sheetData>
      <sheetData sheetId="15">
        <row r="50">
          <cell r="B50">
            <v>0</v>
          </cell>
          <cell r="C50" t="str">
            <v>现金流量表补充资料</v>
          </cell>
          <cell r="D50">
            <v>0</v>
          </cell>
          <cell r="E50" t="str">
            <v>本年金额</v>
          </cell>
          <cell r="F50" t="str">
            <v>上年金额</v>
          </cell>
        </row>
        <row r="51">
          <cell r="B51">
            <v>7501</v>
          </cell>
          <cell r="C51" t="str">
            <v>1.将净利润调节为经营活动现金流量：</v>
          </cell>
          <cell r="D51">
            <v>0</v>
          </cell>
          <cell r="E51">
            <v>0</v>
          </cell>
          <cell r="F51">
            <v>0</v>
          </cell>
        </row>
        <row r="52">
          <cell r="B52">
            <v>7502</v>
          </cell>
          <cell r="C52" t="str">
            <v>净利润</v>
          </cell>
          <cell r="D52">
            <v>0</v>
          </cell>
          <cell r="E52">
            <v>23301452.34</v>
          </cell>
          <cell r="F52">
            <v>25697052.48</v>
          </cell>
        </row>
        <row r="53">
          <cell r="B53">
            <v>7503</v>
          </cell>
          <cell r="C53" t="str">
            <v>加：资产减值准备</v>
          </cell>
          <cell r="D53">
            <v>0</v>
          </cell>
          <cell r="E53">
            <v>6944633.6500000004</v>
          </cell>
          <cell r="F53">
            <v>11514489.27</v>
          </cell>
        </row>
        <row r="54">
          <cell r="B54">
            <v>7505</v>
          </cell>
          <cell r="C54" t="str">
            <v>固定资产折旧、油气资产折耗、生产性生物资产折旧</v>
          </cell>
          <cell r="D54">
            <v>0</v>
          </cell>
          <cell r="E54">
            <v>1080754.98</v>
          </cell>
          <cell r="F54">
            <v>1593497.5</v>
          </cell>
        </row>
        <row r="55">
          <cell r="B55">
            <v>7506</v>
          </cell>
          <cell r="C55" t="str">
            <v>无形资产摊销</v>
          </cell>
          <cell r="D55">
            <v>0</v>
          </cell>
          <cell r="E55">
            <v>718540.94</v>
          </cell>
          <cell r="F55">
            <v>613075.88</v>
          </cell>
        </row>
        <row r="56">
          <cell r="B56">
            <v>7507</v>
          </cell>
          <cell r="C56" t="str">
            <v>长期待摊费用摊销</v>
          </cell>
          <cell r="D56">
            <v>0</v>
          </cell>
          <cell r="E56">
            <v>666642.78</v>
          </cell>
          <cell r="F56">
            <v>885573.52</v>
          </cell>
        </row>
        <row r="57">
          <cell r="B57">
            <v>7508</v>
          </cell>
          <cell r="C57" t="str">
            <v>处置固定资产、无形资产和其他长期资产的损失（收益以“－”号填列）</v>
          </cell>
          <cell r="D57">
            <v>0</v>
          </cell>
          <cell r="E57">
            <v>-129290.57</v>
          </cell>
          <cell r="F57">
            <v>6188.4</v>
          </cell>
        </row>
        <row r="58">
          <cell r="B58">
            <v>7509</v>
          </cell>
          <cell r="C58" t="str">
            <v>固定资产报废损失（收益以“－”号填列）</v>
          </cell>
          <cell r="D58">
            <v>0</v>
          </cell>
          <cell r="E58">
            <v>46057.760000000002</v>
          </cell>
          <cell r="F58">
            <v>0</v>
          </cell>
        </row>
        <row r="59">
          <cell r="B59">
            <v>7510</v>
          </cell>
          <cell r="C59" t="str">
            <v>公允价值变动损失（收益以“－”号填列）</v>
          </cell>
          <cell r="D59">
            <v>0</v>
          </cell>
          <cell r="E59">
            <v>0</v>
          </cell>
          <cell r="F59">
            <v>0</v>
          </cell>
        </row>
        <row r="60">
          <cell r="B60">
            <v>7511</v>
          </cell>
          <cell r="C60" t="str">
            <v>财务费用（收益以“－”号填列）</v>
          </cell>
          <cell r="D60">
            <v>0</v>
          </cell>
          <cell r="E60">
            <v>5587606.9299999997</v>
          </cell>
          <cell r="F60">
            <v>7059915.6799999997</v>
          </cell>
        </row>
        <row r="61">
          <cell r="B61">
            <v>7512</v>
          </cell>
          <cell r="C61" t="str">
            <v>投资损失（收益以“－”号填列）</v>
          </cell>
          <cell r="D61">
            <v>0</v>
          </cell>
          <cell r="E61">
            <v>-487100.02</v>
          </cell>
          <cell r="F61">
            <v>-902178.35</v>
          </cell>
        </row>
        <row r="62">
          <cell r="B62">
            <v>7515</v>
          </cell>
          <cell r="C62" t="str">
            <v>递延所得税资产减少（增加以“－”号填列）</v>
          </cell>
          <cell r="D62">
            <v>0</v>
          </cell>
          <cell r="E62">
            <v>-540196.35</v>
          </cell>
          <cell r="F62">
            <v>-1328968.8</v>
          </cell>
        </row>
        <row r="63">
          <cell r="B63">
            <v>7516</v>
          </cell>
          <cell r="C63" t="str">
            <v>递延所得税负债增加（减少以“－”号填列）</v>
          </cell>
          <cell r="D63">
            <v>0</v>
          </cell>
          <cell r="E63">
            <v>0</v>
          </cell>
          <cell r="F63">
            <v>0</v>
          </cell>
        </row>
        <row r="64">
          <cell r="B64">
            <v>7517</v>
          </cell>
          <cell r="C64" t="str">
            <v>存货的减少（增加以“－”号填列）</v>
          </cell>
          <cell r="D64">
            <v>0</v>
          </cell>
          <cell r="E64">
            <v>22570437.859999999</v>
          </cell>
          <cell r="F64">
            <v>-73595142.370000005</v>
          </cell>
        </row>
        <row r="65">
          <cell r="B65">
            <v>7518</v>
          </cell>
          <cell r="C65" t="str">
            <v>经营性应收项目的减少（增加以“－”号填列）</v>
          </cell>
          <cell r="D65">
            <v>0</v>
          </cell>
          <cell r="E65">
            <v>-134541487.99000001</v>
          </cell>
          <cell r="F65">
            <v>-50909710.740000002</v>
          </cell>
        </row>
        <row r="66">
          <cell r="B66">
            <v>7519</v>
          </cell>
          <cell r="C66" t="str">
            <v>经营性应付项目的增加（减少以“－”号填列）</v>
          </cell>
          <cell r="D66">
            <v>0</v>
          </cell>
          <cell r="E66">
            <v>-36399431.07</v>
          </cell>
          <cell r="F66">
            <v>31017258.199999999</v>
          </cell>
        </row>
        <row r="67">
          <cell r="B67">
            <v>7523</v>
          </cell>
          <cell r="C67" t="str">
            <v>其他</v>
          </cell>
          <cell r="D67">
            <v>0</v>
          </cell>
          <cell r="E67">
            <v>949244.26</v>
          </cell>
          <cell r="F67">
            <v>1559396.11</v>
          </cell>
        </row>
        <row r="68">
          <cell r="B68">
            <v>7525</v>
          </cell>
          <cell r="C68" t="str">
            <v>经营活动产生的现金流量净额</v>
          </cell>
          <cell r="D68">
            <v>0</v>
          </cell>
          <cell r="E68">
            <v>-110232134.5</v>
          </cell>
          <cell r="F68">
            <v>-46789553.219999999</v>
          </cell>
        </row>
        <row r="69">
          <cell r="B69">
            <v>7526</v>
          </cell>
          <cell r="C69" t="str">
            <v>2.不涉及现金收支的重大投资和筹资活动：</v>
          </cell>
          <cell r="D69">
            <v>0</v>
          </cell>
          <cell r="E69">
            <v>0</v>
          </cell>
          <cell r="F69">
            <v>0</v>
          </cell>
        </row>
        <row r="70">
          <cell r="B70">
            <v>7527</v>
          </cell>
          <cell r="C70" t="str">
            <v>债务转为资本</v>
          </cell>
          <cell r="D70">
            <v>0</v>
          </cell>
          <cell r="E70">
            <v>0</v>
          </cell>
          <cell r="F70">
            <v>0</v>
          </cell>
        </row>
        <row r="71">
          <cell r="B71">
            <v>7528</v>
          </cell>
          <cell r="C71" t="str">
            <v>一年内到期的可转换公司债券</v>
          </cell>
          <cell r="D71">
            <v>0</v>
          </cell>
          <cell r="E71">
            <v>0</v>
          </cell>
          <cell r="F71">
            <v>0</v>
          </cell>
        </row>
        <row r="72">
          <cell r="B72">
            <v>7529</v>
          </cell>
          <cell r="C72" t="str">
            <v>融资租入固定资产</v>
          </cell>
          <cell r="D72">
            <v>0</v>
          </cell>
          <cell r="E72">
            <v>0</v>
          </cell>
          <cell r="F72">
            <v>0</v>
          </cell>
        </row>
        <row r="73">
          <cell r="B73">
            <v>7533</v>
          </cell>
          <cell r="C73" t="str">
            <v>3.现金及现金等价物净变动情况：</v>
          </cell>
          <cell r="D73">
            <v>0</v>
          </cell>
          <cell r="E73">
            <v>0</v>
          </cell>
          <cell r="F73">
            <v>0</v>
          </cell>
        </row>
        <row r="74">
          <cell r="B74">
            <v>7535</v>
          </cell>
          <cell r="C74" t="str">
            <v>现金的期末余额</v>
          </cell>
          <cell r="D74">
            <v>0</v>
          </cell>
          <cell r="E74">
            <v>52428483.630000003</v>
          </cell>
          <cell r="F74">
            <v>163033259.58000001</v>
          </cell>
        </row>
        <row r="75">
          <cell r="B75">
            <v>7536</v>
          </cell>
          <cell r="C75" t="str">
            <v>减：现金的年初余额</v>
          </cell>
          <cell r="D75">
            <v>0</v>
          </cell>
          <cell r="E75">
            <v>163033259.58000001</v>
          </cell>
          <cell r="F75">
            <v>60963946.619999997</v>
          </cell>
        </row>
        <row r="76">
          <cell r="B76">
            <v>7537</v>
          </cell>
          <cell r="C76" t="str">
            <v>加：现金等价物的期末余额</v>
          </cell>
          <cell r="D76">
            <v>0</v>
          </cell>
          <cell r="E76">
            <v>0</v>
          </cell>
          <cell r="F76">
            <v>0</v>
          </cell>
        </row>
        <row r="77">
          <cell r="B77">
            <v>7538</v>
          </cell>
          <cell r="C77" t="str">
            <v>减：现金等价物的年初余额</v>
          </cell>
          <cell r="D77">
            <v>0</v>
          </cell>
          <cell r="E77">
            <v>0</v>
          </cell>
          <cell r="F77">
            <v>0</v>
          </cell>
        </row>
        <row r="78">
          <cell r="B78">
            <v>7539</v>
          </cell>
          <cell r="C78" t="str">
            <v>现金及现金等价物净增加额</v>
          </cell>
          <cell r="D78">
            <v>0</v>
          </cell>
          <cell r="E78">
            <v>-110604775.95</v>
          </cell>
          <cell r="F78">
            <v>102069312.95999999</v>
          </cell>
        </row>
      </sheetData>
      <sheetData sheetId="16" refreshError="1"/>
      <sheetData sheetId="17" refreshError="1"/>
      <sheetData sheetId="18" refreshError="1"/>
      <sheetData sheetId="19" refreshError="1"/>
      <sheetData sheetId="20">
        <row r="772">
          <cell r="K772">
            <v>2598856.0699999998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坏账及减值表"/>
      <sheetName val="递延所得税计算表"/>
      <sheetName val="所得税计算表"/>
      <sheetName val="所得税"/>
      <sheetName val="银行存款明细帐"/>
      <sheetName val="preCF"/>
      <sheetName val="preCE"/>
      <sheetName val="TB"/>
      <sheetName val="BS"/>
      <sheetName val="IS"/>
      <sheetName val="CF"/>
      <sheetName val="CE"/>
      <sheetName val="CFJE"/>
      <sheetName val="AJE"/>
      <sheetName val="UJE"/>
      <sheetName val="AJE1"/>
      <sheetName val="现金流量表直接法"/>
      <sheetName val="现金流量表间接法"/>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B1" t="str">
            <v>itemID</v>
          </cell>
          <cell r="C1" t="str">
            <v>itemName</v>
          </cell>
          <cell r="D1" t="str">
            <v>drCr</v>
          </cell>
          <cell r="E1" t="str">
            <v>rowSign</v>
          </cell>
          <cell r="F1" t="str">
            <v>indexNo</v>
          </cell>
          <cell r="G1" t="str">
            <v>itemText</v>
          </cell>
          <cell r="H1" t="str">
            <v>itemText2</v>
          </cell>
          <cell r="I1" t="str">
            <v>itemID2</v>
          </cell>
          <cell r="J1" t="str">
            <v>ajeCode</v>
          </cell>
          <cell r="M1" t="str">
            <v>货币资金</v>
          </cell>
          <cell r="P1" t="str">
            <v>销售商品提供劳务收到的现金</v>
          </cell>
          <cell r="S1" t="str">
            <v>noteID</v>
          </cell>
          <cell r="T1" t="str">
            <v>noteText</v>
          </cell>
          <cell r="U1" t="str">
            <v>itemColCaption</v>
          </cell>
          <cell r="V1" t="str">
            <v>stDataType</v>
          </cell>
          <cell r="W1" t="str">
            <v>stItemId</v>
          </cell>
          <cell r="X1" t="str">
            <v>chkPriority</v>
          </cell>
          <cell r="AG1" t="str">
            <v>审计初拟</v>
          </cell>
          <cell r="AI1" t="str">
            <v>待继续询问</v>
          </cell>
          <cell r="AK1" t="str">
            <v>1资产</v>
          </cell>
          <cell r="AM1" t="str">
            <v>事实错报</v>
          </cell>
          <cell r="AO1" t="str">
            <v>前期未更正错报_在前期识别影响本期</v>
          </cell>
          <cell r="AQ1" t="str">
            <v>错误</v>
          </cell>
        </row>
        <row r="2">
          <cell r="B2">
            <v>1</v>
          </cell>
          <cell r="C2" t="str">
            <v>资产负债表</v>
          </cell>
          <cell r="E2" t="str">
            <v>：</v>
          </cell>
          <cell r="G2" t="str">
            <v>资产负债表</v>
          </cell>
          <cell r="I2">
            <v>1</v>
          </cell>
          <cell r="M2" t="str">
            <v>库存现金</v>
          </cell>
          <cell r="P2" t="str">
            <v>收到的税费返还</v>
          </cell>
          <cell r="S2" t="str">
            <v>1015a</v>
          </cell>
          <cell r="T2" t="str">
            <v>货币资金按币种列示</v>
          </cell>
          <cell r="U2" t="str">
            <v>项       目</v>
          </cell>
          <cell r="V2">
            <v>1</v>
          </cell>
          <cell r="W2">
            <v>1015</v>
          </cell>
          <cell r="X2">
            <v>1</v>
          </cell>
          <cell r="AG2" t="str">
            <v>已与经办会计沟通</v>
          </cell>
          <cell r="AI2" t="str">
            <v>待追加审计程序</v>
          </cell>
          <cell r="AK2" t="str">
            <v>16资产_贷项</v>
          </cell>
          <cell r="AM2" t="str">
            <v>判断错报</v>
          </cell>
          <cell r="AO2" t="str">
            <v>前期未更正错报_在本期识别影响本期</v>
          </cell>
          <cell r="AQ2" t="str">
            <v>舞弊</v>
          </cell>
        </row>
        <row r="3">
          <cell r="B3">
            <v>1000</v>
          </cell>
          <cell r="C3" t="str">
            <v>流动资产项目</v>
          </cell>
          <cell r="E3" t="str">
            <v>：</v>
          </cell>
          <cell r="G3" t="str">
            <v>流动资产：</v>
          </cell>
          <cell r="I3">
            <v>1000</v>
          </cell>
          <cell r="M3" t="str">
            <v>银行存款</v>
          </cell>
          <cell r="P3" t="str">
            <v>收到其他与经营活动有关的现金</v>
          </cell>
          <cell r="S3" t="str">
            <v>1015b</v>
          </cell>
          <cell r="T3" t="str">
            <v>货币资金明细项目</v>
          </cell>
          <cell r="U3" t="str">
            <v>项       目</v>
          </cell>
          <cell r="V3">
            <v>1</v>
          </cell>
          <cell r="W3">
            <v>1015</v>
          </cell>
          <cell r="X3">
            <v>2</v>
          </cell>
          <cell r="AG3" t="str">
            <v>已与财务经理沟通</v>
          </cell>
          <cell r="AI3" t="str">
            <v>待补充资料</v>
          </cell>
          <cell r="AK3" t="str">
            <v>2负债</v>
          </cell>
          <cell r="AM3" t="str">
            <v>推断错报</v>
          </cell>
          <cell r="AO3" t="str">
            <v>本期未更正错报</v>
          </cell>
        </row>
        <row r="4">
          <cell r="B4">
            <v>1015</v>
          </cell>
          <cell r="C4" t="str">
            <v>货币资金</v>
          </cell>
          <cell r="D4">
            <v>1</v>
          </cell>
          <cell r="F4" t="str">
            <v>3100</v>
          </cell>
          <cell r="G4" t="str">
            <v>货币资金</v>
          </cell>
          <cell r="I4">
            <v>1015</v>
          </cell>
          <cell r="J4" t="str">
            <v>J</v>
          </cell>
          <cell r="M4" t="str">
            <v>其他货币资金</v>
          </cell>
          <cell r="P4" t="str">
            <v>购买商品接受劳务支付的现金</v>
          </cell>
          <cell r="S4" t="str">
            <v>1015c</v>
          </cell>
          <cell r="T4" t="str">
            <v>有回收风险的款项</v>
          </cell>
          <cell r="U4" t="str">
            <v>项       目</v>
          </cell>
          <cell r="V4">
            <v>1</v>
          </cell>
          <cell r="W4">
            <v>1015</v>
          </cell>
          <cell r="X4">
            <v>2</v>
          </cell>
          <cell r="AG4" t="str">
            <v>已与财务总监沟通</v>
          </cell>
          <cell r="AI4" t="str">
            <v>待复印资料</v>
          </cell>
          <cell r="AK4" t="str">
            <v>4权益</v>
          </cell>
        </row>
        <row r="5">
          <cell r="B5">
            <v>1021</v>
          </cell>
          <cell r="C5" t="str">
            <v>结算备付金</v>
          </cell>
          <cell r="D5">
            <v>1</v>
          </cell>
          <cell r="E5" t="str">
            <v>△</v>
          </cell>
          <cell r="G5" t="str">
            <v>结算备付金</v>
          </cell>
          <cell r="I5">
            <v>1021</v>
          </cell>
          <cell r="J5" t="str">
            <v>J</v>
          </cell>
          <cell r="M5" t="str">
            <v>以公允价值计量且其变动计入当期损益的金融资产</v>
          </cell>
          <cell r="P5" t="str">
            <v>支付给职工以及为职工支付的现金</v>
          </cell>
          <cell r="S5" t="str">
            <v>1101a</v>
          </cell>
          <cell r="T5" t="str">
            <v>以公允价值计量且其变动计入当期损益的金融资产</v>
          </cell>
          <cell r="U5" t="str">
            <v>项       目</v>
          </cell>
          <cell r="V5">
            <v>1</v>
          </cell>
          <cell r="W5">
            <v>1101</v>
          </cell>
          <cell r="X5">
            <v>1</v>
          </cell>
          <cell r="AG5" t="str">
            <v>已与客户高层沟通</v>
          </cell>
          <cell r="AI5" t="str">
            <v>已记录关键证据</v>
          </cell>
          <cell r="AK5" t="str">
            <v>47权益_未分配利润</v>
          </cell>
        </row>
        <row r="6">
          <cell r="B6">
            <v>1302</v>
          </cell>
          <cell r="C6" t="str">
            <v>拆出资金</v>
          </cell>
          <cell r="D6">
            <v>1</v>
          </cell>
          <cell r="E6" t="str">
            <v>△</v>
          </cell>
          <cell r="G6" t="str">
            <v>拆出资金</v>
          </cell>
          <cell r="I6">
            <v>1302</v>
          </cell>
          <cell r="J6" t="str">
            <v>J</v>
          </cell>
          <cell r="M6" t="str">
            <v>衍生金融资产</v>
          </cell>
          <cell r="P6" t="str">
            <v>支付的各项税费</v>
          </cell>
          <cell r="S6" t="str">
            <v>1101c</v>
          </cell>
          <cell r="T6" t="str">
            <v>以公允价值计量且其变动计入当期损益的金融资产（证券公司适用）</v>
          </cell>
          <cell r="U6" t="str">
            <v>项       目</v>
          </cell>
          <cell r="V6">
            <v>1</v>
          </cell>
          <cell r="W6">
            <v>1101</v>
          </cell>
          <cell r="X6">
            <v>2</v>
          </cell>
          <cell r="AG6" t="str">
            <v>客户初步同意调整</v>
          </cell>
          <cell r="AI6" t="str">
            <v>已取得关键证据</v>
          </cell>
          <cell r="AK6" t="str">
            <v>6损益</v>
          </cell>
        </row>
        <row r="7">
          <cell r="B7">
            <v>1101</v>
          </cell>
          <cell r="C7" t="str">
            <v>以公允价值计量且其变动计入当期损益的金融资产</v>
          </cell>
          <cell r="D7">
            <v>1</v>
          </cell>
          <cell r="F7" t="str">
            <v>3210_3280</v>
          </cell>
          <cell r="G7" t="str">
            <v>以公允价值计量且其变动计入当期损益的金融资产</v>
          </cell>
          <cell r="I7">
            <v>1101</v>
          </cell>
          <cell r="J7" t="str">
            <v>J</v>
          </cell>
          <cell r="M7" t="str">
            <v>应收票据</v>
          </cell>
          <cell r="P7" t="str">
            <v>支付其他与经营活动有关的现金</v>
          </cell>
          <cell r="S7" t="str">
            <v>1115a</v>
          </cell>
          <cell r="T7" t="str">
            <v>衍生金融资产</v>
          </cell>
          <cell r="U7" t="str">
            <v>项       目</v>
          </cell>
          <cell r="V7">
            <v>1</v>
          </cell>
          <cell r="W7">
            <v>1115</v>
          </cell>
          <cell r="X7">
            <v>1</v>
          </cell>
          <cell r="AG7" t="str">
            <v>客户有异议须继续沟通</v>
          </cell>
          <cell r="AK7" t="str">
            <v>61损益_收入</v>
          </cell>
        </row>
        <row r="8">
          <cell r="B8">
            <v>1115</v>
          </cell>
          <cell r="C8" t="str">
            <v>衍生金融资产</v>
          </cell>
          <cell r="D8">
            <v>1</v>
          </cell>
          <cell r="E8" t="str">
            <v>Ｘ</v>
          </cell>
          <cell r="F8" t="str">
            <v>3280</v>
          </cell>
          <cell r="G8" t="str">
            <v>衍生金融资产</v>
          </cell>
          <cell r="I8">
            <v>1115</v>
          </cell>
          <cell r="J8" t="str">
            <v>J</v>
          </cell>
          <cell r="M8" t="str">
            <v>应收账款</v>
          </cell>
          <cell r="P8" t="str">
            <v>收回投资收到的现金</v>
          </cell>
          <cell r="S8" t="str">
            <v>1121a</v>
          </cell>
          <cell r="T8" t="str">
            <v>应收票据分类</v>
          </cell>
          <cell r="U8" t="str">
            <v>种       类</v>
          </cell>
          <cell r="V8">
            <v>1</v>
          </cell>
          <cell r="W8">
            <v>1121</v>
          </cell>
          <cell r="X8">
            <v>1</v>
          </cell>
          <cell r="AG8" t="str">
            <v>客户不同意调整</v>
          </cell>
          <cell r="AK8" t="str">
            <v>65损益_费用</v>
          </cell>
        </row>
        <row r="9">
          <cell r="B9">
            <v>1121</v>
          </cell>
          <cell r="C9" t="str">
            <v>应收票据</v>
          </cell>
          <cell r="D9">
            <v>1</v>
          </cell>
          <cell r="F9" t="str">
            <v>3310</v>
          </cell>
          <cell r="G9" t="str">
            <v>应收票据</v>
          </cell>
          <cell r="I9">
            <v>1121</v>
          </cell>
          <cell r="J9" t="str">
            <v>J</v>
          </cell>
          <cell r="M9" t="str">
            <v>应收账款坏账准备</v>
          </cell>
          <cell r="P9" t="str">
            <v>取得投资收益收到的现金</v>
          </cell>
          <cell r="S9" t="str">
            <v>1121b</v>
          </cell>
          <cell r="T9" t="str">
            <v>期末已质押的应收票据</v>
          </cell>
          <cell r="U9" t="str">
            <v>种       类</v>
          </cell>
          <cell r="V9">
            <v>1</v>
          </cell>
          <cell r="W9">
            <v>1121</v>
          </cell>
          <cell r="X9">
            <v>2</v>
          </cell>
          <cell r="AG9" t="str">
            <v>客户正式同意调整</v>
          </cell>
        </row>
        <row r="10">
          <cell r="B10">
            <v>1122</v>
          </cell>
          <cell r="C10" t="str">
            <v>应收账款</v>
          </cell>
          <cell r="D10">
            <v>1</v>
          </cell>
          <cell r="F10" t="str">
            <v>3320</v>
          </cell>
          <cell r="G10" t="str">
            <v>应收账款</v>
          </cell>
          <cell r="I10">
            <v>1122</v>
          </cell>
          <cell r="J10" t="str">
            <v>J</v>
          </cell>
          <cell r="M10" t="str">
            <v>预付款项</v>
          </cell>
          <cell r="P10" t="str">
            <v>处置固定资产无形资产长期资产收回的现金</v>
          </cell>
          <cell r="S10" t="str">
            <v>1121d</v>
          </cell>
          <cell r="T10" t="str">
            <v>期末已背书或贴现但尚未到期的应收票据</v>
          </cell>
          <cell r="U10" t="str">
            <v>种       类</v>
          </cell>
          <cell r="V10">
            <v>1</v>
          </cell>
          <cell r="W10">
            <v>1121</v>
          </cell>
          <cell r="X10">
            <v>2</v>
          </cell>
          <cell r="AG10" t="str">
            <v>经理复核</v>
          </cell>
        </row>
        <row r="11">
          <cell r="B11">
            <v>1125</v>
          </cell>
          <cell r="C11" t="str">
            <v>预付款项</v>
          </cell>
          <cell r="D11">
            <v>1</v>
          </cell>
          <cell r="F11" t="str">
            <v>3330</v>
          </cell>
          <cell r="G11" t="str">
            <v>预付款项</v>
          </cell>
          <cell r="I11">
            <v>1125</v>
          </cell>
          <cell r="J11" t="str">
            <v>J</v>
          </cell>
          <cell r="M11" t="str">
            <v>预付款项坏账准备</v>
          </cell>
          <cell r="P11" t="str">
            <v>处置子公司及其他营业单位收到的现金净额</v>
          </cell>
          <cell r="S11" t="str">
            <v>1121c</v>
          </cell>
          <cell r="T11" t="str">
            <v>期末因出票人未履约而转为应收账款的票据</v>
          </cell>
          <cell r="U11" t="str">
            <v>种       类</v>
          </cell>
          <cell r="V11">
            <v>1</v>
          </cell>
          <cell r="W11">
            <v>1121</v>
          </cell>
          <cell r="X11">
            <v>2</v>
          </cell>
          <cell r="AG11" t="str">
            <v>合伙人复核</v>
          </cell>
        </row>
        <row r="12">
          <cell r="B12">
            <v>1127</v>
          </cell>
          <cell r="C12" t="str">
            <v>应收保费</v>
          </cell>
          <cell r="D12">
            <v>1</v>
          </cell>
          <cell r="E12" t="str">
            <v>△</v>
          </cell>
          <cell r="G12" t="str">
            <v>应收保费</v>
          </cell>
          <cell r="I12">
            <v>1127</v>
          </cell>
          <cell r="J12" t="str">
            <v>J</v>
          </cell>
          <cell r="M12" t="str">
            <v>应收利息</v>
          </cell>
          <cell r="P12" t="str">
            <v>收到其他与投资活动有关的现金</v>
          </cell>
          <cell r="S12" t="str">
            <v>1122a</v>
          </cell>
          <cell r="T12" t="str">
            <v>应收账款按种类列示</v>
          </cell>
          <cell r="U12" t="str">
            <v>种       类</v>
          </cell>
          <cell r="V12">
            <v>1</v>
          </cell>
          <cell r="W12">
            <v>1122</v>
          </cell>
          <cell r="X12">
            <v>1</v>
          </cell>
          <cell r="AG12" t="str">
            <v>质控部复核</v>
          </cell>
        </row>
        <row r="13">
          <cell r="B13">
            <v>1211</v>
          </cell>
          <cell r="C13" t="str">
            <v>应收分保账款</v>
          </cell>
          <cell r="D13">
            <v>1</v>
          </cell>
          <cell r="E13" t="str">
            <v>△</v>
          </cell>
          <cell r="G13" t="str">
            <v>应收分保账款</v>
          </cell>
          <cell r="I13">
            <v>1211</v>
          </cell>
          <cell r="J13" t="str">
            <v>J</v>
          </cell>
          <cell r="M13" t="str">
            <v>应收股利</v>
          </cell>
          <cell r="P13" t="str">
            <v>购置固定资产无形资产长期资产支付的现金</v>
          </cell>
          <cell r="S13" t="str">
            <v>1122b</v>
          </cell>
          <cell r="T13" t="str">
            <v>应收账款按种类列示（续）</v>
          </cell>
          <cell r="U13" t="str">
            <v>种       类</v>
          </cell>
          <cell r="V13">
            <v>1</v>
          </cell>
          <cell r="W13">
            <v>1122</v>
          </cell>
          <cell r="X13">
            <v>2</v>
          </cell>
        </row>
        <row r="14">
          <cell r="B14">
            <v>1212</v>
          </cell>
          <cell r="C14" t="str">
            <v>应收分保合同准备金</v>
          </cell>
          <cell r="D14">
            <v>1</v>
          </cell>
          <cell r="E14" t="str">
            <v>△</v>
          </cell>
          <cell r="G14" t="str">
            <v>应收分保合同准备金</v>
          </cell>
          <cell r="I14">
            <v>1212</v>
          </cell>
          <cell r="J14" t="str">
            <v>J</v>
          </cell>
          <cell r="M14" t="str">
            <v>其他应收款</v>
          </cell>
          <cell r="P14" t="str">
            <v>投资支付的现金</v>
          </cell>
          <cell r="S14" t="str">
            <v>1122g</v>
          </cell>
          <cell r="T14" t="str">
            <v>期末单项金额重大并单项计提坏账准备的应收账款</v>
          </cell>
          <cell r="U14" t="str">
            <v>应收账款（按单位）</v>
          </cell>
          <cell r="V14">
            <v>1</v>
          </cell>
          <cell r="W14">
            <v>1122</v>
          </cell>
          <cell r="X14">
            <v>2</v>
          </cell>
        </row>
        <row r="15">
          <cell r="B15">
            <v>1132</v>
          </cell>
          <cell r="C15" t="str">
            <v>应收利息</v>
          </cell>
          <cell r="D15">
            <v>1</v>
          </cell>
          <cell r="F15" t="str">
            <v>3350</v>
          </cell>
          <cell r="G15" t="str">
            <v>应收利息</v>
          </cell>
          <cell r="I15">
            <v>1132</v>
          </cell>
          <cell r="J15" t="str">
            <v>J</v>
          </cell>
          <cell r="M15" t="str">
            <v>其他应收款坏账准备</v>
          </cell>
          <cell r="P15" t="str">
            <v>取得子公司及其他营业单位支付的现金净额</v>
          </cell>
          <cell r="S15" t="str">
            <v>1122d</v>
          </cell>
          <cell r="T15" t="str">
            <v>组合中按账龄分析法计提坏账准备的应收账款</v>
          </cell>
          <cell r="U15" t="str">
            <v>账  龄</v>
          </cell>
          <cell r="V15">
            <v>1</v>
          </cell>
          <cell r="W15">
            <v>1122</v>
          </cell>
          <cell r="X15">
            <v>2</v>
          </cell>
        </row>
        <row r="16">
          <cell r="B16">
            <v>1131</v>
          </cell>
          <cell r="C16" t="str">
            <v>应收股利</v>
          </cell>
          <cell r="D16">
            <v>1</v>
          </cell>
          <cell r="F16" t="str">
            <v>3340</v>
          </cell>
          <cell r="G16" t="str">
            <v>应收股利</v>
          </cell>
          <cell r="I16">
            <v>1131</v>
          </cell>
          <cell r="J16" t="str">
            <v>J</v>
          </cell>
          <cell r="M16" t="str">
            <v>划分为持有待售的资产</v>
          </cell>
          <cell r="P16" t="str">
            <v>支付其他与投资活动有关的现金</v>
          </cell>
          <cell r="S16" t="str">
            <v>1122e</v>
          </cell>
          <cell r="T16" t="str">
            <v>组合中采用余额百分比法计提坏账准备的应收账款</v>
          </cell>
          <cell r="U16" t="str">
            <v>组合名称</v>
          </cell>
          <cell r="V16">
            <v>1</v>
          </cell>
          <cell r="W16">
            <v>1122</v>
          </cell>
          <cell r="X16">
            <v>2</v>
          </cell>
        </row>
        <row r="17">
          <cell r="B17">
            <v>1221</v>
          </cell>
          <cell r="C17" t="str">
            <v>其他应收款</v>
          </cell>
          <cell r="D17">
            <v>1</v>
          </cell>
          <cell r="F17" t="str">
            <v>3360</v>
          </cell>
          <cell r="G17" t="str">
            <v>其他应收款</v>
          </cell>
          <cell r="I17">
            <v>1221</v>
          </cell>
          <cell r="J17" t="str">
            <v>J</v>
          </cell>
          <cell r="M17" t="str">
            <v>存货</v>
          </cell>
          <cell r="P17" t="str">
            <v>吸收投资收到的现金</v>
          </cell>
          <cell r="S17" t="str">
            <v>1122f</v>
          </cell>
          <cell r="T17" t="str">
            <v>组合中采用其他方法计提坏账准备的应收账款</v>
          </cell>
          <cell r="U17" t="str">
            <v>组合名称</v>
          </cell>
          <cell r="V17">
            <v>1</v>
          </cell>
          <cell r="W17">
            <v>1122</v>
          </cell>
          <cell r="X17">
            <v>2</v>
          </cell>
        </row>
        <row r="18">
          <cell r="B18">
            <v>1111</v>
          </cell>
          <cell r="C18" t="str">
            <v>买入返售金融资产</v>
          </cell>
          <cell r="D18">
            <v>1</v>
          </cell>
          <cell r="E18" t="str">
            <v>△</v>
          </cell>
          <cell r="G18" t="str">
            <v>买入返售金融资产</v>
          </cell>
          <cell r="I18">
            <v>1111</v>
          </cell>
          <cell r="J18" t="str">
            <v>J</v>
          </cell>
          <cell r="M18" t="str">
            <v>存货跌价准备</v>
          </cell>
          <cell r="P18" t="str">
            <v>子公司吸收少数股东投资收到的现金</v>
          </cell>
          <cell r="S18" t="str">
            <v>1122h</v>
          </cell>
          <cell r="T18" t="str">
            <v>本期坏账准备转回或收回金额重要的</v>
          </cell>
          <cell r="U18" t="str">
            <v>单位名称</v>
          </cell>
          <cell r="V18">
            <v>1</v>
          </cell>
          <cell r="W18">
            <v>1122</v>
          </cell>
          <cell r="X18">
            <v>2</v>
          </cell>
        </row>
        <row r="19">
          <cell r="B19">
            <v>1400</v>
          </cell>
          <cell r="C19" t="str">
            <v>存货</v>
          </cell>
          <cell r="D19">
            <v>1</v>
          </cell>
          <cell r="F19" t="str">
            <v>3400</v>
          </cell>
          <cell r="G19" t="str">
            <v>存货</v>
          </cell>
          <cell r="I19">
            <v>1400</v>
          </cell>
          <cell r="J19" t="str">
            <v>J</v>
          </cell>
          <cell r="M19" t="str">
            <v>材料采购</v>
          </cell>
          <cell r="P19" t="str">
            <v>取得借款收到的现金</v>
          </cell>
          <cell r="S19" t="str">
            <v>1122i</v>
          </cell>
          <cell r="T19" t="str">
            <v>本期重要的应收账款核销情况</v>
          </cell>
          <cell r="U19" t="str">
            <v>单位名称</v>
          </cell>
          <cell r="V19">
            <v>1</v>
          </cell>
          <cell r="W19">
            <v>1122</v>
          </cell>
          <cell r="X19">
            <v>2</v>
          </cell>
        </row>
        <row r="20">
          <cell r="B20">
            <v>1315</v>
          </cell>
          <cell r="C20" t="str">
            <v>划分为持有待售的资产</v>
          </cell>
          <cell r="D20">
            <v>1</v>
          </cell>
          <cell r="E20" t="str">
            <v>Ｘ</v>
          </cell>
          <cell r="F20">
            <v>3860</v>
          </cell>
          <cell r="G20" t="str">
            <v>划分为持有待售的资产</v>
          </cell>
          <cell r="I20">
            <v>1315</v>
          </cell>
          <cell r="J20" t="str">
            <v>J</v>
          </cell>
          <cell r="M20" t="str">
            <v>在途物资</v>
          </cell>
          <cell r="P20" t="str">
            <v>收到其他与筹资活动有关的现金</v>
          </cell>
          <cell r="S20" t="str">
            <v>1122k</v>
          </cell>
          <cell r="T20" t="str">
            <v>按欠款方归集的应收账款期末余额前五名单位情况</v>
          </cell>
          <cell r="U20" t="str">
            <v>单位名称</v>
          </cell>
          <cell r="V20">
            <v>1</v>
          </cell>
          <cell r="W20">
            <v>1122</v>
          </cell>
          <cell r="X20">
            <v>2</v>
          </cell>
        </row>
        <row r="21">
          <cell r="B21">
            <v>1495</v>
          </cell>
          <cell r="C21" t="str">
            <v>一年内到期的非流动资产</v>
          </cell>
          <cell r="D21">
            <v>1</v>
          </cell>
          <cell r="F21" t="str">
            <v>3380</v>
          </cell>
          <cell r="G21" t="str">
            <v>一年内到期的非流动资产</v>
          </cell>
          <cell r="I21">
            <v>1495</v>
          </cell>
          <cell r="J21" t="str">
            <v>J</v>
          </cell>
          <cell r="M21" t="str">
            <v>原材料</v>
          </cell>
          <cell r="P21" t="str">
            <v>偿还债务支付的现金</v>
          </cell>
          <cell r="S21" t="str">
            <v>1122m</v>
          </cell>
          <cell r="T21" t="str">
            <v>因金融资产转移而终止确认的应收账款情况</v>
          </cell>
          <cell r="U21" t="str">
            <v>项       目</v>
          </cell>
          <cell r="V21">
            <v>1</v>
          </cell>
          <cell r="W21">
            <v>1122</v>
          </cell>
          <cell r="X21">
            <v>2</v>
          </cell>
        </row>
        <row r="22">
          <cell r="B22">
            <v>1496</v>
          </cell>
          <cell r="C22" t="str">
            <v>其他流动资产</v>
          </cell>
          <cell r="D22">
            <v>1</v>
          </cell>
          <cell r="F22" t="str">
            <v>3390</v>
          </cell>
          <cell r="G22" t="str">
            <v>其他流动资产</v>
          </cell>
          <cell r="I22">
            <v>1496</v>
          </cell>
          <cell r="J22" t="str">
            <v>J</v>
          </cell>
          <cell r="M22" t="str">
            <v>材料成本差异</v>
          </cell>
          <cell r="P22" t="str">
            <v>分配利润偿付利息支付的现金</v>
          </cell>
          <cell r="S22" t="str">
            <v>1122n</v>
          </cell>
          <cell r="T22" t="str">
            <v>转移应收账款且继续涉入形成的资产的金额</v>
          </cell>
          <cell r="U22" t="str">
            <v>项       目</v>
          </cell>
          <cell r="V22">
            <v>1</v>
          </cell>
          <cell r="W22">
            <v>1122</v>
          </cell>
          <cell r="X22">
            <v>2</v>
          </cell>
        </row>
        <row r="23">
          <cell r="B23">
            <v>1498</v>
          </cell>
          <cell r="C23" t="str">
            <v>流动资产</v>
          </cell>
          <cell r="E23" t="str">
            <v>＝</v>
          </cell>
          <cell r="G23" t="str">
            <v>流动资产合计</v>
          </cell>
          <cell r="I23">
            <v>1498</v>
          </cell>
          <cell r="M23" t="str">
            <v>库存商品</v>
          </cell>
          <cell r="P23" t="str">
            <v>子公司支付少数股东的现金股利</v>
          </cell>
          <cell r="S23" t="str">
            <v>1122o</v>
          </cell>
          <cell r="T23" t="str">
            <v>转移应收账款且继续涉入形成的负债的金额</v>
          </cell>
          <cell r="U23" t="str">
            <v>项       目</v>
          </cell>
          <cell r="V23">
            <v>1</v>
          </cell>
          <cell r="W23">
            <v>1122</v>
          </cell>
          <cell r="X23">
            <v>2</v>
          </cell>
        </row>
        <row r="24">
          <cell r="B24">
            <v>1500</v>
          </cell>
          <cell r="C24" t="str">
            <v>非流动资产项目</v>
          </cell>
          <cell r="E24" t="str">
            <v>：</v>
          </cell>
          <cell r="G24" t="str">
            <v>非流动资产：</v>
          </cell>
          <cell r="I24">
            <v>1500</v>
          </cell>
          <cell r="M24" t="str">
            <v>发出商品</v>
          </cell>
          <cell r="P24" t="str">
            <v>支付其他与筹资活动有关的现金</v>
          </cell>
          <cell r="S24" t="str">
            <v>1122c</v>
          </cell>
          <cell r="T24" t="str">
            <v>外币货币性项目——应收账款</v>
          </cell>
          <cell r="U24" t="str">
            <v>币       种</v>
          </cell>
          <cell r="V24">
            <v>1</v>
          </cell>
          <cell r="W24">
            <v>1122</v>
          </cell>
          <cell r="X24">
            <v>2</v>
          </cell>
        </row>
        <row r="25">
          <cell r="B25">
            <v>1600</v>
          </cell>
          <cell r="C25" t="str">
            <v>发放委托贷款及垫款</v>
          </cell>
          <cell r="D25">
            <v>1</v>
          </cell>
          <cell r="E25" t="str">
            <v>△</v>
          </cell>
          <cell r="G25" t="str">
            <v>发放委托贷款及垫款</v>
          </cell>
          <cell r="I25">
            <v>1600</v>
          </cell>
          <cell r="J25" t="str">
            <v>J</v>
          </cell>
          <cell r="M25" t="str">
            <v>商品进销差价</v>
          </cell>
          <cell r="P25" t="str">
            <v>子公司减资支付给少数股东的现金</v>
          </cell>
          <cell r="S25" t="str">
            <v>1122l</v>
          </cell>
          <cell r="T25" t="str">
            <v>关联方应收应付款项——应收账款</v>
          </cell>
          <cell r="U25" t="str">
            <v>关联方</v>
          </cell>
          <cell r="V25">
            <v>1</v>
          </cell>
          <cell r="W25">
            <v>1122</v>
          </cell>
          <cell r="X25">
            <v>2</v>
          </cell>
        </row>
        <row r="26">
          <cell r="B26">
            <v>1503</v>
          </cell>
          <cell r="C26" t="str">
            <v>可供出售金融资产</v>
          </cell>
          <cell r="D26">
            <v>1</v>
          </cell>
          <cell r="F26" t="str">
            <v>3220</v>
          </cell>
          <cell r="G26" t="str">
            <v>可供出售金融资产</v>
          </cell>
          <cell r="I26">
            <v>1503</v>
          </cell>
          <cell r="J26" t="str">
            <v>J</v>
          </cell>
          <cell r="M26" t="str">
            <v>委托加工物资</v>
          </cell>
          <cell r="P26" t="str">
            <v>汇率变动对现金及现金等价物的影响</v>
          </cell>
          <cell r="S26" t="str">
            <v>1125a</v>
          </cell>
          <cell r="T26" t="str">
            <v>预付款项按账龄列示</v>
          </cell>
          <cell r="U26" t="str">
            <v>账       龄</v>
          </cell>
          <cell r="V26">
            <v>1</v>
          </cell>
          <cell r="W26">
            <v>1125</v>
          </cell>
          <cell r="X26">
            <v>1</v>
          </cell>
        </row>
        <row r="27">
          <cell r="B27">
            <v>1501</v>
          </cell>
          <cell r="C27" t="str">
            <v>持有至到期投资</v>
          </cell>
          <cell r="D27">
            <v>1</v>
          </cell>
          <cell r="F27" t="str">
            <v>3230</v>
          </cell>
          <cell r="G27" t="str">
            <v>持有至到期投资</v>
          </cell>
          <cell r="I27">
            <v>1501</v>
          </cell>
          <cell r="J27" t="str">
            <v>J</v>
          </cell>
          <cell r="M27" t="str">
            <v>周转材料</v>
          </cell>
          <cell r="P27" t="str">
            <v>收到原保险合同保费取得的现金</v>
          </cell>
          <cell r="S27" t="str">
            <v>1125d</v>
          </cell>
          <cell r="T27" t="str">
            <v>账龄超过1年的金额重要的预付账款</v>
          </cell>
          <cell r="U27" t="str">
            <v>单位名称</v>
          </cell>
          <cell r="V27">
            <v>1</v>
          </cell>
          <cell r="W27">
            <v>1125</v>
          </cell>
          <cell r="X27">
            <v>2</v>
          </cell>
        </row>
        <row r="28">
          <cell r="B28">
            <v>1531</v>
          </cell>
          <cell r="C28" t="str">
            <v>长期应收款</v>
          </cell>
          <cell r="D28">
            <v>1</v>
          </cell>
          <cell r="F28" t="str">
            <v>3840</v>
          </cell>
          <cell r="G28" t="str">
            <v>长期应收款</v>
          </cell>
          <cell r="I28">
            <v>1531</v>
          </cell>
          <cell r="J28" t="str">
            <v>J</v>
          </cell>
          <cell r="M28" t="str">
            <v>生产成本</v>
          </cell>
          <cell r="P28" t="str">
            <v>收到再保险业务现金净额</v>
          </cell>
          <cell r="S28" t="str">
            <v>1125c</v>
          </cell>
          <cell r="T28" t="str">
            <v>按预付对象归集的预付款项期末余额前五名单位情况</v>
          </cell>
          <cell r="U28" t="str">
            <v>单位名称</v>
          </cell>
          <cell r="V28">
            <v>1</v>
          </cell>
          <cell r="W28">
            <v>1125</v>
          </cell>
          <cell r="X28">
            <v>2</v>
          </cell>
        </row>
        <row r="29">
          <cell r="B29">
            <v>1515</v>
          </cell>
          <cell r="C29" t="str">
            <v>设定受益计划净资产</v>
          </cell>
          <cell r="D29">
            <v>1</v>
          </cell>
          <cell r="E29" t="str">
            <v>OEI</v>
          </cell>
          <cell r="F29" t="str">
            <v>4330</v>
          </cell>
          <cell r="G29" t="str">
            <v>设定受益计划净资产</v>
          </cell>
          <cell r="I29">
            <v>1515</v>
          </cell>
          <cell r="J29" t="str">
            <v>J</v>
          </cell>
          <cell r="M29" t="str">
            <v>制造费用</v>
          </cell>
          <cell r="P29" t="str">
            <v>保户储金及投资款净增加额</v>
          </cell>
          <cell r="S29" t="str">
            <v>1125b</v>
          </cell>
          <cell r="T29" t="str">
            <v>外币货币性项目——预付款项</v>
          </cell>
          <cell r="U29" t="str">
            <v>币       种</v>
          </cell>
          <cell r="V29">
            <v>1</v>
          </cell>
          <cell r="W29">
            <v>1125</v>
          </cell>
          <cell r="X29">
            <v>2</v>
          </cell>
        </row>
        <row r="30">
          <cell r="B30">
            <v>1511</v>
          </cell>
          <cell r="C30" t="str">
            <v>长期股权投资</v>
          </cell>
          <cell r="D30">
            <v>1</v>
          </cell>
          <cell r="F30" t="str">
            <v>3240</v>
          </cell>
          <cell r="G30" t="str">
            <v>长期股权投资</v>
          </cell>
          <cell r="I30">
            <v>1511</v>
          </cell>
          <cell r="J30" t="str">
            <v>J</v>
          </cell>
          <cell r="M30" t="str">
            <v>工程施工</v>
          </cell>
          <cell r="P30" t="str">
            <v>处置交易性金融资产净增加额</v>
          </cell>
          <cell r="S30" t="str">
            <v>1125e</v>
          </cell>
          <cell r="T30" t="str">
            <v>关联方应收应付款项——预付款项</v>
          </cell>
          <cell r="U30" t="str">
            <v>单位名称</v>
          </cell>
          <cell r="V30">
            <v>1</v>
          </cell>
          <cell r="W30">
            <v>1125</v>
          </cell>
          <cell r="X30">
            <v>2</v>
          </cell>
        </row>
        <row r="31">
          <cell r="B31">
            <v>1521</v>
          </cell>
          <cell r="C31" t="str">
            <v>投资性房地产</v>
          </cell>
          <cell r="D31">
            <v>1</v>
          </cell>
          <cell r="F31" t="str">
            <v>3710</v>
          </cell>
          <cell r="G31" t="str">
            <v>投资性房地产</v>
          </cell>
          <cell r="I31">
            <v>1521</v>
          </cell>
          <cell r="J31" t="str">
            <v>J</v>
          </cell>
          <cell r="M31" t="str">
            <v>消耗性生物资产</v>
          </cell>
          <cell r="P31" t="str">
            <v>收取利息手续费及佣金的现金</v>
          </cell>
          <cell r="S31" t="str">
            <v>1132a</v>
          </cell>
          <cell r="T31" t="str">
            <v>应收利息明细项目</v>
          </cell>
          <cell r="U31" t="str">
            <v>项       目</v>
          </cell>
          <cell r="V31">
            <v>1</v>
          </cell>
          <cell r="W31">
            <v>1132</v>
          </cell>
          <cell r="X31">
            <v>1</v>
          </cell>
        </row>
        <row r="32">
          <cell r="B32">
            <v>1601</v>
          </cell>
          <cell r="C32" t="str">
            <v>固定资产</v>
          </cell>
          <cell r="D32">
            <v>1</v>
          </cell>
          <cell r="F32" t="str">
            <v>3720</v>
          </cell>
          <cell r="G32" t="str">
            <v>固定资产</v>
          </cell>
          <cell r="I32">
            <v>1601</v>
          </cell>
          <cell r="J32" t="str">
            <v>J</v>
          </cell>
          <cell r="M32" t="str">
            <v>一年内到期的非流动资产</v>
          </cell>
          <cell r="P32" t="str">
            <v>拆入资金净增加额</v>
          </cell>
          <cell r="S32" t="str">
            <v>1132b</v>
          </cell>
          <cell r="T32" t="str">
            <v>重要的逾期应收利息</v>
          </cell>
          <cell r="U32" t="str">
            <v>借款单位</v>
          </cell>
          <cell r="V32">
            <v>1</v>
          </cell>
          <cell r="W32">
            <v>1132</v>
          </cell>
          <cell r="X32">
            <v>2</v>
          </cell>
        </row>
        <row r="33">
          <cell r="B33">
            <v>1604</v>
          </cell>
          <cell r="C33" t="str">
            <v>在建工程</v>
          </cell>
          <cell r="D33">
            <v>1</v>
          </cell>
          <cell r="F33" t="str">
            <v>3730</v>
          </cell>
          <cell r="G33" t="str">
            <v>在建工程</v>
          </cell>
          <cell r="I33">
            <v>1604</v>
          </cell>
          <cell r="J33" t="str">
            <v>J</v>
          </cell>
          <cell r="M33" t="str">
            <v>其他流动资产</v>
          </cell>
          <cell r="P33" t="str">
            <v>回购业务资金净增加额</v>
          </cell>
          <cell r="S33" t="str">
            <v>1131a</v>
          </cell>
          <cell r="T33" t="str">
            <v>应收股利明细项目</v>
          </cell>
          <cell r="U33" t="str">
            <v>项       目</v>
          </cell>
          <cell r="V33">
            <v>1</v>
          </cell>
          <cell r="W33">
            <v>1131</v>
          </cell>
          <cell r="X33">
            <v>1</v>
          </cell>
        </row>
        <row r="34">
          <cell r="B34">
            <v>1605</v>
          </cell>
          <cell r="C34" t="str">
            <v>工程物资</v>
          </cell>
          <cell r="D34">
            <v>1</v>
          </cell>
          <cell r="F34" t="str">
            <v>3740</v>
          </cell>
          <cell r="G34" t="str">
            <v>工程物资</v>
          </cell>
          <cell r="I34">
            <v>1605</v>
          </cell>
          <cell r="J34" t="str">
            <v>J</v>
          </cell>
          <cell r="M34" t="str">
            <v>可供出售金融资产</v>
          </cell>
          <cell r="P34" t="str">
            <v>客户贷款及垫款净增加额</v>
          </cell>
          <cell r="S34" t="str">
            <v>1131b</v>
          </cell>
          <cell r="T34" t="str">
            <v>重要的账龄超过1年的应收股利</v>
          </cell>
          <cell r="U34" t="str">
            <v>项       目</v>
          </cell>
          <cell r="V34">
            <v>1</v>
          </cell>
          <cell r="W34">
            <v>1131</v>
          </cell>
          <cell r="X34">
            <v>2</v>
          </cell>
        </row>
        <row r="35">
          <cell r="B35">
            <v>1606</v>
          </cell>
          <cell r="C35" t="str">
            <v>固定资产清理</v>
          </cell>
          <cell r="D35">
            <v>1</v>
          </cell>
          <cell r="F35" t="str">
            <v>3750</v>
          </cell>
          <cell r="G35" t="str">
            <v>固定资产清理</v>
          </cell>
          <cell r="I35">
            <v>1606</v>
          </cell>
          <cell r="J35" t="str">
            <v>J</v>
          </cell>
          <cell r="M35" t="str">
            <v>可供出售金融资产减值准备</v>
          </cell>
          <cell r="P35" t="str">
            <v>存放中央银行和同业款项净增加额</v>
          </cell>
          <cell r="S35" t="str">
            <v>1221a</v>
          </cell>
          <cell r="T35" t="str">
            <v>其他应收款按种类列示</v>
          </cell>
          <cell r="U35" t="str">
            <v xml:space="preserve">类       别  </v>
          </cell>
          <cell r="V35">
            <v>1</v>
          </cell>
          <cell r="W35">
            <v>1221</v>
          </cell>
          <cell r="X35">
            <v>1</v>
          </cell>
        </row>
        <row r="36">
          <cell r="B36">
            <v>1621</v>
          </cell>
          <cell r="C36" t="str">
            <v>生产性生物资产</v>
          </cell>
          <cell r="D36">
            <v>1</v>
          </cell>
          <cell r="F36" t="str">
            <v>3760</v>
          </cell>
          <cell r="G36" t="str">
            <v>生产性生物资产</v>
          </cell>
          <cell r="I36">
            <v>1621</v>
          </cell>
          <cell r="J36" t="str">
            <v>J</v>
          </cell>
          <cell r="M36" t="str">
            <v>持有至到期投资</v>
          </cell>
          <cell r="P36" t="str">
            <v>支付原保险合同赔付款项的现金</v>
          </cell>
          <cell r="S36" t="str">
            <v>1221b</v>
          </cell>
          <cell r="T36" t="str">
            <v>其他应收款按种类列示（续）</v>
          </cell>
          <cell r="U36" t="str">
            <v xml:space="preserve">类       别  </v>
          </cell>
          <cell r="V36">
            <v>1</v>
          </cell>
          <cell r="W36">
            <v>1221</v>
          </cell>
          <cell r="X36">
            <v>2</v>
          </cell>
        </row>
        <row r="37">
          <cell r="B37">
            <v>1631</v>
          </cell>
          <cell r="C37" t="str">
            <v>油气资产</v>
          </cell>
          <cell r="D37">
            <v>1</v>
          </cell>
          <cell r="F37" t="str">
            <v>3770</v>
          </cell>
          <cell r="G37" t="str">
            <v>油气资产</v>
          </cell>
          <cell r="I37">
            <v>1631</v>
          </cell>
          <cell r="J37" t="str">
            <v>J</v>
          </cell>
          <cell r="M37" t="str">
            <v>持有至到期投资减值准备</v>
          </cell>
          <cell r="P37" t="str">
            <v>支付利息手续费及佣金的现金</v>
          </cell>
          <cell r="S37" t="str">
            <v>1221g</v>
          </cell>
          <cell r="T37" t="str">
            <v>期末单项金额重大并单项计提坏账准备的其他应收款</v>
          </cell>
          <cell r="U37" t="str">
            <v>其他应收款（按单位）</v>
          </cell>
          <cell r="V37">
            <v>1</v>
          </cell>
          <cell r="W37">
            <v>1221</v>
          </cell>
          <cell r="X37">
            <v>2</v>
          </cell>
        </row>
        <row r="38">
          <cell r="B38">
            <v>1701</v>
          </cell>
          <cell r="C38" t="str">
            <v>无形资产</v>
          </cell>
          <cell r="D38">
            <v>1</v>
          </cell>
          <cell r="F38" t="str">
            <v>3810</v>
          </cell>
          <cell r="G38" t="str">
            <v>无形资产</v>
          </cell>
          <cell r="I38">
            <v>1701</v>
          </cell>
          <cell r="J38" t="str">
            <v>J</v>
          </cell>
          <cell r="M38" t="str">
            <v>长期应收款</v>
          </cell>
          <cell r="P38" t="str">
            <v>支付保单红利的现金</v>
          </cell>
          <cell r="S38" t="str">
            <v>1221d</v>
          </cell>
          <cell r="T38" t="str">
            <v>组合中按账龄分析法计提坏账准备的其他应收款</v>
          </cell>
          <cell r="U38" t="str">
            <v>账  龄</v>
          </cell>
          <cell r="V38">
            <v>1</v>
          </cell>
          <cell r="W38">
            <v>1221</v>
          </cell>
          <cell r="X38">
            <v>2</v>
          </cell>
        </row>
        <row r="39">
          <cell r="B39">
            <v>1700</v>
          </cell>
          <cell r="C39" t="str">
            <v>开发支出</v>
          </cell>
          <cell r="D39">
            <v>1</v>
          </cell>
          <cell r="F39" t="str">
            <v>3820</v>
          </cell>
          <cell r="G39" t="str">
            <v>开发支出</v>
          </cell>
          <cell r="I39">
            <v>1700</v>
          </cell>
          <cell r="J39" t="str">
            <v>J</v>
          </cell>
          <cell r="M39" t="str">
            <v>设定受益计划净资产</v>
          </cell>
          <cell r="P39" t="str">
            <v>质押贷款净增加额</v>
          </cell>
          <cell r="S39" t="str">
            <v>1221e</v>
          </cell>
          <cell r="T39" t="str">
            <v>组合中采用余额百分比法计提坏账准备的其他应收款</v>
          </cell>
          <cell r="U39" t="str">
            <v>组合名称</v>
          </cell>
          <cell r="V39">
            <v>1</v>
          </cell>
          <cell r="W39">
            <v>1221</v>
          </cell>
          <cell r="X39">
            <v>2</v>
          </cell>
        </row>
        <row r="40">
          <cell r="B40">
            <v>1711</v>
          </cell>
          <cell r="C40" t="str">
            <v>商誉</v>
          </cell>
          <cell r="D40">
            <v>1</v>
          </cell>
          <cell r="F40" t="str">
            <v>3830</v>
          </cell>
          <cell r="G40" t="str">
            <v>商誉</v>
          </cell>
          <cell r="I40">
            <v>1711</v>
          </cell>
          <cell r="J40" t="str">
            <v>J</v>
          </cell>
          <cell r="M40" t="str">
            <v>长期股权投资</v>
          </cell>
          <cell r="P40" t="str">
            <v>发行债券收到的现金</v>
          </cell>
          <cell r="S40" t="str">
            <v>1221f</v>
          </cell>
          <cell r="T40" t="str">
            <v>组合中采用其他方法计提坏账准备的其他应收款</v>
          </cell>
          <cell r="U40" t="str">
            <v>组合名称</v>
          </cell>
          <cell r="V40">
            <v>1</v>
          </cell>
          <cell r="W40">
            <v>1221</v>
          </cell>
          <cell r="X40">
            <v>2</v>
          </cell>
        </row>
        <row r="41">
          <cell r="B41">
            <v>1801</v>
          </cell>
          <cell r="C41" t="str">
            <v>长期待摊费用</v>
          </cell>
          <cell r="D41">
            <v>1</v>
          </cell>
          <cell r="F41" t="str">
            <v>3850</v>
          </cell>
          <cell r="G41" t="str">
            <v>长期待摊费用</v>
          </cell>
          <cell r="I41">
            <v>1801</v>
          </cell>
          <cell r="J41" t="str">
            <v>J</v>
          </cell>
          <cell r="M41" t="str">
            <v>长期股权投资减值准备</v>
          </cell>
          <cell r="P41" t="str">
            <v>客户存款和同业存放款项净增加额</v>
          </cell>
          <cell r="S41" t="str">
            <v>1221h</v>
          </cell>
          <cell r="T41" t="str">
            <v>本期其他应收款坏账准备转回或收回金额重要的</v>
          </cell>
          <cell r="U41" t="str">
            <v>单位名称</v>
          </cell>
          <cell r="V41">
            <v>1</v>
          </cell>
          <cell r="W41">
            <v>1221</v>
          </cell>
          <cell r="X41">
            <v>2</v>
          </cell>
        </row>
        <row r="42">
          <cell r="B42">
            <v>1811</v>
          </cell>
          <cell r="C42" t="str">
            <v>递延所得税资产</v>
          </cell>
          <cell r="D42">
            <v>1</v>
          </cell>
          <cell r="F42" t="str">
            <v>3880</v>
          </cell>
          <cell r="G42" t="str">
            <v>递延所得税资产</v>
          </cell>
          <cell r="I42">
            <v>1811</v>
          </cell>
          <cell r="J42" t="str">
            <v>J</v>
          </cell>
          <cell r="M42" t="str">
            <v>投资性房地产</v>
          </cell>
          <cell r="P42" t="str">
            <v>向中央银行借款净增加额</v>
          </cell>
          <cell r="S42" t="str">
            <v>1221i</v>
          </cell>
          <cell r="T42" t="str">
            <v>本期重要的其他应收款核销情况</v>
          </cell>
          <cell r="U42" t="str">
            <v>单位名称</v>
          </cell>
          <cell r="V42">
            <v>1</v>
          </cell>
          <cell r="W42">
            <v>1221</v>
          </cell>
          <cell r="X42">
            <v>2</v>
          </cell>
        </row>
        <row r="43">
          <cell r="B43">
            <v>1996</v>
          </cell>
          <cell r="C43" t="str">
            <v>其他非流动资产</v>
          </cell>
          <cell r="D43">
            <v>1</v>
          </cell>
          <cell r="F43" t="str">
            <v>3890</v>
          </cell>
          <cell r="G43" t="str">
            <v>其他非流动资产</v>
          </cell>
          <cell r="I43">
            <v>1996</v>
          </cell>
          <cell r="J43" t="str">
            <v>J</v>
          </cell>
          <cell r="M43" t="str">
            <v>投资性房地产减值准备</v>
          </cell>
          <cell r="P43" t="str">
            <v>向其他金融机构拆入资金净增加额</v>
          </cell>
          <cell r="S43" t="str">
            <v>1221l</v>
          </cell>
          <cell r="T43" t="str">
            <v>其他应收款按款项性质披露</v>
          </cell>
          <cell r="U43" t="str">
            <v>单位名称</v>
          </cell>
          <cell r="V43">
            <v>1</v>
          </cell>
          <cell r="W43">
            <v>1221</v>
          </cell>
          <cell r="X43">
            <v>2</v>
          </cell>
        </row>
        <row r="44">
          <cell r="B44">
            <v>1998</v>
          </cell>
          <cell r="C44" t="str">
            <v>非流动资产</v>
          </cell>
          <cell r="E44" t="str">
            <v>＝</v>
          </cell>
          <cell r="G44" t="str">
            <v>非流动资产合计</v>
          </cell>
          <cell r="I44">
            <v>1998</v>
          </cell>
          <cell r="M44" t="str">
            <v>固定资产</v>
          </cell>
          <cell r="P44" t="str">
            <v>收到原保险合同保费取得的现金</v>
          </cell>
          <cell r="S44" t="str">
            <v>1221k</v>
          </cell>
          <cell r="T44" t="str">
            <v>按欠款方归集的其他应收款期末余额前五名单位情况</v>
          </cell>
          <cell r="U44" t="str">
            <v>单位名称</v>
          </cell>
          <cell r="V44">
            <v>1</v>
          </cell>
          <cell r="W44">
            <v>1221</v>
          </cell>
          <cell r="X44">
            <v>2</v>
          </cell>
        </row>
        <row r="45">
          <cell r="B45">
            <v>1999</v>
          </cell>
          <cell r="C45" t="str">
            <v>资产</v>
          </cell>
          <cell r="E45" t="str">
            <v>＝</v>
          </cell>
          <cell r="G45" t="str">
            <v>资产总计</v>
          </cell>
          <cell r="I45">
            <v>1999</v>
          </cell>
          <cell r="M45" t="str">
            <v>累计折旧</v>
          </cell>
          <cell r="P45" t="str">
            <v>收到再保险业务现金净额</v>
          </cell>
          <cell r="S45" t="str">
            <v>1221r</v>
          </cell>
          <cell r="T45" t="str">
            <v>应收政府补助情况</v>
          </cell>
          <cell r="U45" t="str">
            <v>单位名称</v>
          </cell>
          <cell r="V45">
            <v>1</v>
          </cell>
          <cell r="W45">
            <v>1221</v>
          </cell>
          <cell r="X45">
            <v>2</v>
          </cell>
        </row>
        <row r="46">
          <cell r="B46">
            <v>2000</v>
          </cell>
          <cell r="C46" t="str">
            <v>流动负债项目</v>
          </cell>
          <cell r="E46" t="str">
            <v>：</v>
          </cell>
          <cell r="G46" t="str">
            <v>流动负债：</v>
          </cell>
          <cell r="I46">
            <v>2000</v>
          </cell>
          <cell r="M46" t="str">
            <v>固定资产减值准备</v>
          </cell>
          <cell r="P46" t="str">
            <v>保户储金及投资款净增加额</v>
          </cell>
          <cell r="S46" t="str">
            <v>1221n</v>
          </cell>
          <cell r="T46" t="str">
            <v>因金融资产转移而终止确认的其他应收款情况</v>
          </cell>
          <cell r="U46" t="str">
            <v>项       目</v>
          </cell>
          <cell r="V46">
            <v>1</v>
          </cell>
          <cell r="W46">
            <v>1221</v>
          </cell>
          <cell r="X46">
            <v>2</v>
          </cell>
        </row>
        <row r="47">
          <cell r="B47">
            <v>2001</v>
          </cell>
          <cell r="C47" t="str">
            <v>短期借款</v>
          </cell>
          <cell r="D47">
            <v>-1</v>
          </cell>
          <cell r="F47" t="str">
            <v>4110</v>
          </cell>
          <cell r="G47" t="str">
            <v>短期借款</v>
          </cell>
          <cell r="I47">
            <v>2001</v>
          </cell>
          <cell r="J47" t="str">
            <v>J</v>
          </cell>
          <cell r="M47" t="str">
            <v>在建工程</v>
          </cell>
          <cell r="P47" t="str">
            <v>处置交易性金融资产净增加额</v>
          </cell>
          <cell r="S47" t="str">
            <v>1221o</v>
          </cell>
          <cell r="T47" t="str">
            <v>转移其他应收款且继续涉入形成的资产金额</v>
          </cell>
          <cell r="U47" t="str">
            <v>项       目</v>
          </cell>
          <cell r="V47">
            <v>1</v>
          </cell>
          <cell r="W47">
            <v>1221</v>
          </cell>
          <cell r="X47">
            <v>2</v>
          </cell>
        </row>
        <row r="48">
          <cell r="B48">
            <v>2004</v>
          </cell>
          <cell r="C48" t="str">
            <v>向中央银行借款</v>
          </cell>
          <cell r="D48">
            <v>-1</v>
          </cell>
          <cell r="E48" t="str">
            <v>△</v>
          </cell>
          <cell r="G48" t="str">
            <v>向中央银行借款</v>
          </cell>
          <cell r="I48">
            <v>2004</v>
          </cell>
          <cell r="J48" t="str">
            <v>J</v>
          </cell>
          <cell r="M48" t="str">
            <v>在建工程减值准备</v>
          </cell>
          <cell r="P48" t="str">
            <v>收取利息手续费及佣金的现金</v>
          </cell>
          <cell r="S48" t="str">
            <v>1221p</v>
          </cell>
          <cell r="T48" t="str">
            <v>转移其他应收款且继续涉入形成的负债金额</v>
          </cell>
          <cell r="U48" t="str">
            <v>项       目</v>
          </cell>
          <cell r="V48">
            <v>1</v>
          </cell>
          <cell r="W48">
            <v>1221</v>
          </cell>
          <cell r="X48">
            <v>2</v>
          </cell>
        </row>
        <row r="49">
          <cell r="B49">
            <v>2010</v>
          </cell>
          <cell r="C49" t="str">
            <v>吸收存款及同业存放</v>
          </cell>
          <cell r="D49">
            <v>-1</v>
          </cell>
          <cell r="E49" t="str">
            <v>△</v>
          </cell>
          <cell r="G49" t="str">
            <v>吸收存款及同业存放</v>
          </cell>
          <cell r="I49">
            <v>2010</v>
          </cell>
          <cell r="J49" t="str">
            <v>J</v>
          </cell>
          <cell r="M49" t="str">
            <v>工程物资</v>
          </cell>
          <cell r="P49" t="str">
            <v>拆入资金净增加额</v>
          </cell>
          <cell r="S49" t="str">
            <v>1221c</v>
          </cell>
          <cell r="T49" t="str">
            <v>外币货币性项目——其他应收款</v>
          </cell>
          <cell r="U49" t="str">
            <v>币       种</v>
          </cell>
          <cell r="V49">
            <v>1</v>
          </cell>
          <cell r="W49">
            <v>1221</v>
          </cell>
          <cell r="X49">
            <v>2</v>
          </cell>
        </row>
        <row r="50">
          <cell r="B50">
            <v>2003</v>
          </cell>
          <cell r="C50" t="str">
            <v>拆入资金</v>
          </cell>
          <cell r="D50">
            <v>-1</v>
          </cell>
          <cell r="E50" t="str">
            <v>△</v>
          </cell>
          <cell r="G50" t="str">
            <v>拆入资金</v>
          </cell>
          <cell r="I50">
            <v>2003</v>
          </cell>
          <cell r="J50" t="str">
            <v>J</v>
          </cell>
          <cell r="M50" t="str">
            <v>工程物资减值准备</v>
          </cell>
          <cell r="P50" t="str">
            <v>回购业务资金净增加额</v>
          </cell>
          <cell r="S50" t="str">
            <v>1221m</v>
          </cell>
          <cell r="T50" t="str">
            <v>关联方应收应付款项——其他应收款</v>
          </cell>
          <cell r="U50" t="str">
            <v>单位名称</v>
          </cell>
          <cell r="V50">
            <v>1</v>
          </cell>
          <cell r="W50">
            <v>1221</v>
          </cell>
          <cell r="X50">
            <v>2</v>
          </cell>
        </row>
        <row r="51">
          <cell r="B51">
            <v>2101</v>
          </cell>
          <cell r="C51" t="str">
            <v>以公允价值计量且其变动计入当期损益的金融负债</v>
          </cell>
          <cell r="D51">
            <v>-1</v>
          </cell>
          <cell r="F51" t="str">
            <v>4610_4620</v>
          </cell>
          <cell r="G51" t="str">
            <v>以公允价值计量且其变动计入当期损益的金融负债</v>
          </cell>
          <cell r="I51">
            <v>2101</v>
          </cell>
          <cell r="J51" t="str">
            <v>J</v>
          </cell>
          <cell r="M51" t="str">
            <v>固定资产清理</v>
          </cell>
          <cell r="P51" t="str">
            <v>客户贷款及垫款净增加额</v>
          </cell>
          <cell r="S51" t="str">
            <v>1400a</v>
          </cell>
          <cell r="T51" t="str">
            <v>存货分类列示</v>
          </cell>
          <cell r="U51" t="str">
            <v>存货种类</v>
          </cell>
          <cell r="V51">
            <v>1</v>
          </cell>
          <cell r="W51">
            <v>1400</v>
          </cell>
          <cell r="X51">
            <v>1</v>
          </cell>
        </row>
        <row r="52">
          <cell r="B52">
            <v>2115</v>
          </cell>
          <cell r="C52" t="str">
            <v>衍生金融负债</v>
          </cell>
          <cell r="D52">
            <v>-1</v>
          </cell>
          <cell r="E52" t="str">
            <v>Ｘ</v>
          </cell>
          <cell r="F52" t="str">
            <v>4620</v>
          </cell>
          <cell r="G52" t="str">
            <v>衍生金融负债</v>
          </cell>
          <cell r="I52">
            <v>2115</v>
          </cell>
          <cell r="J52" t="str">
            <v>J</v>
          </cell>
          <cell r="M52" t="str">
            <v>生产性生物资产</v>
          </cell>
          <cell r="P52" t="str">
            <v>存放中央银行和同业款项净增加额</v>
          </cell>
          <cell r="S52" t="str">
            <v>1400b</v>
          </cell>
          <cell r="T52" t="str">
            <v>存货跌价准备的增减变动情况</v>
          </cell>
          <cell r="U52" t="str">
            <v>存货种类</v>
          </cell>
          <cell r="V52">
            <v>1</v>
          </cell>
          <cell r="W52">
            <v>1400</v>
          </cell>
          <cell r="X52">
            <v>2</v>
          </cell>
        </row>
        <row r="53">
          <cell r="B53">
            <v>2201</v>
          </cell>
          <cell r="C53" t="str">
            <v>应付票据</v>
          </cell>
          <cell r="D53">
            <v>-1</v>
          </cell>
          <cell r="F53" t="str">
            <v>4220</v>
          </cell>
          <cell r="G53" t="str">
            <v>应付票据</v>
          </cell>
          <cell r="I53">
            <v>2201</v>
          </cell>
          <cell r="J53" t="str">
            <v>J</v>
          </cell>
          <cell r="M53" t="str">
            <v>生产性生物资产累计折旧</v>
          </cell>
          <cell r="P53" t="str">
            <v>支付原保险合同赔付款项的现金</v>
          </cell>
          <cell r="S53" t="str">
            <v>1400c</v>
          </cell>
          <cell r="T53" t="str">
            <v>存货跌价准备计提依据与转回情况</v>
          </cell>
          <cell r="U53" t="str">
            <v>存货种类</v>
          </cell>
          <cell r="V53">
            <v>1</v>
          </cell>
          <cell r="W53">
            <v>1400</v>
          </cell>
          <cell r="X53">
            <v>2</v>
          </cell>
        </row>
        <row r="54">
          <cell r="B54">
            <v>2202</v>
          </cell>
          <cell r="C54" t="str">
            <v>应付账款</v>
          </cell>
          <cell r="D54">
            <v>-1</v>
          </cell>
          <cell r="F54" t="str">
            <v>4230</v>
          </cell>
          <cell r="G54" t="str">
            <v>应付账款</v>
          </cell>
          <cell r="I54">
            <v>2202</v>
          </cell>
          <cell r="J54" t="str">
            <v>J</v>
          </cell>
          <cell r="M54" t="str">
            <v>生产性生物资产减值准备</v>
          </cell>
          <cell r="P54" t="str">
            <v>支付利息手续费及佣金的现金</v>
          </cell>
          <cell r="S54" t="str">
            <v>1400t</v>
          </cell>
          <cell r="T54" t="str">
            <v>存货期末余额中含有借款费用资本化金额的说明</v>
          </cell>
          <cell r="U54" t="str">
            <v>项       目</v>
          </cell>
          <cell r="V54">
            <v>1</v>
          </cell>
          <cell r="W54">
            <v>1400</v>
          </cell>
          <cell r="X54">
            <v>2</v>
          </cell>
        </row>
        <row r="55">
          <cell r="B55">
            <v>2205</v>
          </cell>
          <cell r="C55" t="str">
            <v>预收款项</v>
          </cell>
          <cell r="D55">
            <v>-1</v>
          </cell>
          <cell r="F55" t="str">
            <v>4240</v>
          </cell>
          <cell r="G55" t="str">
            <v>预收款项</v>
          </cell>
          <cell r="I55">
            <v>2205</v>
          </cell>
          <cell r="J55" t="str">
            <v>J</v>
          </cell>
          <cell r="M55" t="str">
            <v>油气资产</v>
          </cell>
          <cell r="P55" t="str">
            <v>支付保单红利的现金</v>
          </cell>
          <cell r="S55" t="str">
            <v>1400d</v>
          </cell>
          <cell r="T55" t="str">
            <v>开发成本</v>
          </cell>
          <cell r="U55" t="str">
            <v>项目名称</v>
          </cell>
          <cell r="V55">
            <v>1</v>
          </cell>
          <cell r="W55">
            <v>1400</v>
          </cell>
          <cell r="X55">
            <v>2</v>
          </cell>
        </row>
        <row r="56">
          <cell r="B56">
            <v>2111</v>
          </cell>
          <cell r="C56" t="str">
            <v>卖出回购金融资产款</v>
          </cell>
          <cell r="D56">
            <v>-1</v>
          </cell>
          <cell r="E56" t="str">
            <v>△</v>
          </cell>
          <cell r="G56" t="str">
            <v>卖出回购金融资产款</v>
          </cell>
          <cell r="I56">
            <v>2111</v>
          </cell>
          <cell r="J56" t="str">
            <v>J</v>
          </cell>
          <cell r="M56" t="str">
            <v>累计折耗</v>
          </cell>
          <cell r="P56" t="str">
            <v>质押贷款净增加额</v>
          </cell>
          <cell r="S56" t="str">
            <v>1400e</v>
          </cell>
          <cell r="T56" t="str">
            <v>开发产品</v>
          </cell>
          <cell r="U56" t="str">
            <v>项目名称</v>
          </cell>
          <cell r="V56">
            <v>1</v>
          </cell>
          <cell r="W56">
            <v>1400</v>
          </cell>
          <cell r="X56">
            <v>2</v>
          </cell>
        </row>
        <row r="57">
          <cell r="B57">
            <v>2240</v>
          </cell>
          <cell r="C57" t="str">
            <v>应付手续费及佣金</v>
          </cell>
          <cell r="D57">
            <v>-1</v>
          </cell>
          <cell r="E57" t="str">
            <v>△</v>
          </cell>
          <cell r="G57" t="str">
            <v>应付手续费及佣金</v>
          </cell>
          <cell r="I57">
            <v>2240</v>
          </cell>
          <cell r="J57" t="str">
            <v>J</v>
          </cell>
          <cell r="M57" t="str">
            <v>油气资产减值准备</v>
          </cell>
          <cell r="P57" t="str">
            <v>期初现金及现金等价物余额</v>
          </cell>
          <cell r="S57" t="str">
            <v>1400g</v>
          </cell>
          <cell r="T57" t="str">
            <v>周转房</v>
          </cell>
          <cell r="U57" t="str">
            <v>项目名称</v>
          </cell>
          <cell r="V57">
            <v>1</v>
          </cell>
          <cell r="W57">
            <v>1400</v>
          </cell>
          <cell r="X57">
            <v>2</v>
          </cell>
        </row>
        <row r="58">
          <cell r="B58">
            <v>2211</v>
          </cell>
          <cell r="C58" t="str">
            <v>应付职工薪酬</v>
          </cell>
          <cell r="D58">
            <v>-1</v>
          </cell>
          <cell r="F58" t="str">
            <v>4300</v>
          </cell>
          <cell r="G58" t="str">
            <v>应付职工薪酬</v>
          </cell>
          <cell r="I58">
            <v>2211</v>
          </cell>
          <cell r="J58" t="str">
            <v>J</v>
          </cell>
          <cell r="M58" t="str">
            <v>无形资产</v>
          </cell>
          <cell r="S58" t="str">
            <v>1400h</v>
          </cell>
          <cell r="T58" t="str">
            <v>建造合同形成的已完工未结算资产</v>
          </cell>
          <cell r="U58" t="str">
            <v>项       目</v>
          </cell>
          <cell r="V58">
            <v>1</v>
          </cell>
          <cell r="W58">
            <v>1400</v>
          </cell>
          <cell r="X58">
            <v>2</v>
          </cell>
        </row>
        <row r="59">
          <cell r="B59">
            <v>2221</v>
          </cell>
          <cell r="C59" t="str">
            <v>应交税费</v>
          </cell>
          <cell r="D59">
            <v>-1</v>
          </cell>
          <cell r="F59" t="str">
            <v>4410</v>
          </cell>
          <cell r="G59" t="str">
            <v>应交税费</v>
          </cell>
          <cell r="I59">
            <v>2221</v>
          </cell>
          <cell r="J59" t="str">
            <v>J</v>
          </cell>
          <cell r="M59" t="str">
            <v>累计摊销</v>
          </cell>
          <cell r="S59" t="str">
            <v>1400s</v>
          </cell>
          <cell r="T59" t="str">
            <v>期末用于债务担保的存货</v>
          </cell>
          <cell r="U59" t="str">
            <v>项       目</v>
          </cell>
          <cell r="V59">
            <v>1</v>
          </cell>
          <cell r="W59">
            <v>1400</v>
          </cell>
          <cell r="X59">
            <v>2</v>
          </cell>
        </row>
        <row r="60">
          <cell r="B60">
            <v>2231</v>
          </cell>
          <cell r="C60" t="str">
            <v>应付利息</v>
          </cell>
          <cell r="D60">
            <v>-1</v>
          </cell>
          <cell r="F60" t="str">
            <v>4250</v>
          </cell>
          <cell r="G60" t="str">
            <v>应付利息</v>
          </cell>
          <cell r="I60">
            <v>2231</v>
          </cell>
          <cell r="J60" t="str">
            <v>J</v>
          </cell>
          <cell r="M60" t="str">
            <v>无形资产减值准备</v>
          </cell>
          <cell r="S60" t="str">
            <v>1315a</v>
          </cell>
          <cell r="T60" t="str">
            <v>划分为持有待售的资产</v>
          </cell>
          <cell r="U60" t="str">
            <v>项       目</v>
          </cell>
          <cell r="V60">
            <v>1</v>
          </cell>
          <cell r="W60">
            <v>1315</v>
          </cell>
          <cell r="X60">
            <v>1</v>
          </cell>
        </row>
        <row r="61">
          <cell r="B61">
            <v>2232</v>
          </cell>
          <cell r="C61" t="str">
            <v>应付股利</v>
          </cell>
          <cell r="D61">
            <v>-1</v>
          </cell>
          <cell r="F61" t="str">
            <v>4260</v>
          </cell>
          <cell r="G61" t="str">
            <v>应付股利</v>
          </cell>
          <cell r="I61">
            <v>2232</v>
          </cell>
          <cell r="J61" t="str">
            <v>J</v>
          </cell>
          <cell r="M61" t="str">
            <v>开发支出</v>
          </cell>
          <cell r="S61" t="str">
            <v>2315a</v>
          </cell>
          <cell r="T61" t="str">
            <v>划分为持有待售的负债</v>
          </cell>
          <cell r="U61" t="str">
            <v>项       目</v>
          </cell>
          <cell r="V61">
            <v>1</v>
          </cell>
          <cell r="W61">
            <v>2315</v>
          </cell>
          <cell r="X61">
            <v>1</v>
          </cell>
        </row>
        <row r="62">
          <cell r="B62">
            <v>2241</v>
          </cell>
          <cell r="C62" t="str">
            <v>其他应付款</v>
          </cell>
          <cell r="D62">
            <v>-1</v>
          </cell>
          <cell r="F62" t="str">
            <v>4270</v>
          </cell>
          <cell r="G62" t="str">
            <v>其他应付款</v>
          </cell>
          <cell r="I62">
            <v>2241</v>
          </cell>
          <cell r="J62" t="str">
            <v>J</v>
          </cell>
          <cell r="M62" t="str">
            <v>商誉</v>
          </cell>
          <cell r="S62" t="str">
            <v>1315b</v>
          </cell>
          <cell r="T62" t="str">
            <v>划分为持有待售的非流动资产</v>
          </cell>
          <cell r="U62" t="str">
            <v>项       目</v>
          </cell>
          <cell r="V62">
            <v>1</v>
          </cell>
          <cell r="W62">
            <v>1315</v>
          </cell>
          <cell r="X62">
            <v>2</v>
          </cell>
        </row>
        <row r="63">
          <cell r="B63">
            <v>2261</v>
          </cell>
          <cell r="C63" t="str">
            <v>应付分保账款</v>
          </cell>
          <cell r="D63">
            <v>-1</v>
          </cell>
          <cell r="E63" t="str">
            <v>△</v>
          </cell>
          <cell r="G63" t="str">
            <v>应付分保账款</v>
          </cell>
          <cell r="I63">
            <v>2261</v>
          </cell>
          <cell r="J63" t="str">
            <v>J</v>
          </cell>
          <cell r="M63" t="str">
            <v>商誉减值准备</v>
          </cell>
          <cell r="S63" t="str">
            <v>1315c</v>
          </cell>
          <cell r="T63" t="str">
            <v>划分为持有待售的处置组（一）</v>
          </cell>
          <cell r="U63" t="str">
            <v>项       目</v>
          </cell>
          <cell r="V63">
            <v>1</v>
          </cell>
          <cell r="W63">
            <v>1315</v>
          </cell>
          <cell r="X63">
            <v>2</v>
          </cell>
        </row>
        <row r="64">
          <cell r="B64">
            <v>2310</v>
          </cell>
          <cell r="C64" t="str">
            <v>保险合同准备金</v>
          </cell>
          <cell r="D64">
            <v>-1</v>
          </cell>
          <cell r="E64" t="str">
            <v>△</v>
          </cell>
          <cell r="G64" t="str">
            <v>保险合同准备金</v>
          </cell>
          <cell r="I64">
            <v>2310</v>
          </cell>
          <cell r="J64" t="str">
            <v>J</v>
          </cell>
          <cell r="M64" t="str">
            <v>长期待摊费用</v>
          </cell>
          <cell r="S64" t="str">
            <v>1315d</v>
          </cell>
          <cell r="T64" t="str">
            <v>划分为持有待售的处置组（二）</v>
          </cell>
          <cell r="U64" t="str">
            <v>项       目</v>
          </cell>
          <cell r="V64">
            <v>1</v>
          </cell>
          <cell r="W64">
            <v>1315</v>
          </cell>
          <cell r="X64">
            <v>2</v>
          </cell>
        </row>
        <row r="65">
          <cell r="B65">
            <v>2311</v>
          </cell>
          <cell r="C65" t="str">
            <v>代理买卖证券款</v>
          </cell>
          <cell r="D65">
            <v>-1</v>
          </cell>
          <cell r="E65" t="str">
            <v>△</v>
          </cell>
          <cell r="G65" t="str">
            <v>代理买卖证券款</v>
          </cell>
          <cell r="I65">
            <v>2311</v>
          </cell>
          <cell r="J65" t="str">
            <v>J</v>
          </cell>
          <cell r="M65" t="str">
            <v>递延所得税资产</v>
          </cell>
          <cell r="S65" t="str">
            <v>1495a</v>
          </cell>
          <cell r="T65" t="str">
            <v>一年内到期的非流动资产</v>
          </cell>
          <cell r="U65" t="str">
            <v>项       目</v>
          </cell>
          <cell r="V65">
            <v>1</v>
          </cell>
          <cell r="W65">
            <v>1495</v>
          </cell>
          <cell r="X65">
            <v>2</v>
          </cell>
        </row>
        <row r="66">
          <cell r="B66">
            <v>2312</v>
          </cell>
          <cell r="C66" t="str">
            <v>代理承销证券款</v>
          </cell>
          <cell r="D66">
            <v>-1</v>
          </cell>
          <cell r="E66" t="str">
            <v>△</v>
          </cell>
          <cell r="G66" t="str">
            <v>代理承销证券款</v>
          </cell>
          <cell r="I66">
            <v>2312</v>
          </cell>
          <cell r="J66" t="str">
            <v>J</v>
          </cell>
          <cell r="M66" t="str">
            <v>其他非流动资产</v>
          </cell>
          <cell r="S66" t="str">
            <v>1496a</v>
          </cell>
          <cell r="T66" t="str">
            <v>其他流动资产明细列示</v>
          </cell>
          <cell r="U66" t="str">
            <v>项       目</v>
          </cell>
          <cell r="V66">
            <v>1</v>
          </cell>
          <cell r="W66">
            <v>1496</v>
          </cell>
          <cell r="X66">
            <v>1</v>
          </cell>
        </row>
        <row r="67">
          <cell r="B67">
            <v>2315</v>
          </cell>
          <cell r="C67" t="str">
            <v>划分为持有待售的负债</v>
          </cell>
          <cell r="D67">
            <v>-1</v>
          </cell>
          <cell r="E67" t="str">
            <v>Ｘ</v>
          </cell>
          <cell r="F67" t="str">
            <v>4550</v>
          </cell>
          <cell r="G67" t="str">
            <v>划分为持有待售的负债</v>
          </cell>
          <cell r="I67">
            <v>2315</v>
          </cell>
          <cell r="J67" t="str">
            <v>J</v>
          </cell>
          <cell r="M67" t="str">
            <v>公益性生物资产</v>
          </cell>
          <cell r="S67" t="str">
            <v>1503a</v>
          </cell>
          <cell r="T67" t="str">
            <v>可供出售金融资产情况</v>
          </cell>
          <cell r="U67" t="str">
            <v>项       目</v>
          </cell>
          <cell r="V67">
            <v>1</v>
          </cell>
          <cell r="W67">
            <v>1503</v>
          </cell>
          <cell r="X67">
            <v>1</v>
          </cell>
        </row>
        <row r="68">
          <cell r="B68">
            <v>2395</v>
          </cell>
          <cell r="C68" t="str">
            <v>一年内到期的非流动负债</v>
          </cell>
          <cell r="D68">
            <v>-1</v>
          </cell>
          <cell r="F68" t="str">
            <v>4280</v>
          </cell>
          <cell r="G68" t="str">
            <v>一年内到期的非流动负债</v>
          </cell>
          <cell r="I68">
            <v>2395</v>
          </cell>
          <cell r="J68" t="str">
            <v>J</v>
          </cell>
          <cell r="M68" t="str">
            <v>短期借款</v>
          </cell>
          <cell r="S68" t="str">
            <v>1503e</v>
          </cell>
          <cell r="T68" t="str">
            <v>按公允价值计量的可供出售金融资产</v>
          </cell>
          <cell r="U68" t="str">
            <v>可供出售金融资产分类</v>
          </cell>
          <cell r="V68">
            <v>1</v>
          </cell>
          <cell r="W68">
            <v>1503</v>
          </cell>
          <cell r="X68">
            <v>2</v>
          </cell>
        </row>
        <row r="69">
          <cell r="B69">
            <v>2396</v>
          </cell>
          <cell r="C69" t="str">
            <v>其他流动负债</v>
          </cell>
          <cell r="D69">
            <v>-1</v>
          </cell>
          <cell r="F69" t="str">
            <v>4290</v>
          </cell>
          <cell r="G69" t="str">
            <v>其他流动负债</v>
          </cell>
          <cell r="I69">
            <v>2396</v>
          </cell>
          <cell r="J69" t="str">
            <v>J</v>
          </cell>
          <cell r="M69" t="str">
            <v>以公允价值计量且其变动计入当期损益的金融负债</v>
          </cell>
          <cell r="S69" t="str">
            <v>1503f</v>
          </cell>
          <cell r="T69" t="str">
            <v>采用成本计量的可供出售权益工具投资</v>
          </cell>
          <cell r="U69" t="str">
            <v>被投资单位</v>
          </cell>
          <cell r="V69">
            <v>1</v>
          </cell>
          <cell r="W69">
            <v>1503</v>
          </cell>
          <cell r="X69">
            <v>2</v>
          </cell>
        </row>
        <row r="70">
          <cell r="B70">
            <v>2498</v>
          </cell>
          <cell r="C70" t="str">
            <v>流动负债</v>
          </cell>
          <cell r="E70" t="str">
            <v>＝</v>
          </cell>
          <cell r="G70" t="str">
            <v>流动负债合计</v>
          </cell>
          <cell r="I70">
            <v>2498</v>
          </cell>
          <cell r="M70" t="str">
            <v>衍生金融负债</v>
          </cell>
          <cell r="S70" t="str">
            <v>1503d</v>
          </cell>
          <cell r="T70" t="str">
            <v>报告期内可供出售金融资产减值的变动情况</v>
          </cell>
          <cell r="U70" t="str">
            <v>可供出售金融资产分类</v>
          </cell>
          <cell r="V70">
            <v>1</v>
          </cell>
          <cell r="W70">
            <v>1503</v>
          </cell>
          <cell r="X70">
            <v>2</v>
          </cell>
        </row>
        <row r="71">
          <cell r="B71">
            <v>2500</v>
          </cell>
          <cell r="C71" t="str">
            <v>非流动负债项目</v>
          </cell>
          <cell r="E71" t="str">
            <v>：</v>
          </cell>
          <cell r="G71" t="str">
            <v>非流动负债：</v>
          </cell>
          <cell r="I71">
            <v>2500</v>
          </cell>
          <cell r="M71" t="str">
            <v>应付票据</v>
          </cell>
          <cell r="S71" t="str">
            <v>1503g</v>
          </cell>
          <cell r="T71" t="str">
            <v>可供出售权益工具期末公允价值大幅下跌或持续下跌相关说明</v>
          </cell>
          <cell r="U71" t="str">
            <v>可供出售权益工具项目</v>
          </cell>
          <cell r="V71">
            <v>1</v>
          </cell>
          <cell r="W71">
            <v>1503</v>
          </cell>
          <cell r="X71">
            <v>2</v>
          </cell>
        </row>
        <row r="72">
          <cell r="B72">
            <v>2501</v>
          </cell>
          <cell r="C72" t="str">
            <v>长期借款</v>
          </cell>
          <cell r="D72">
            <v>-1</v>
          </cell>
          <cell r="F72" t="str">
            <v>4120</v>
          </cell>
          <cell r="G72" t="str">
            <v>长期借款</v>
          </cell>
          <cell r="I72">
            <v>2501</v>
          </cell>
          <cell r="J72" t="str">
            <v>J</v>
          </cell>
          <cell r="M72" t="str">
            <v>应付账款</v>
          </cell>
          <cell r="S72" t="str">
            <v>1501a</v>
          </cell>
          <cell r="T72" t="str">
            <v>持有至到期投资分项列示</v>
          </cell>
          <cell r="U72" t="str">
            <v>项       目</v>
          </cell>
          <cell r="V72">
            <v>1</v>
          </cell>
          <cell r="W72">
            <v>1501</v>
          </cell>
          <cell r="X72">
            <v>1</v>
          </cell>
        </row>
        <row r="73">
          <cell r="B73">
            <v>2502</v>
          </cell>
          <cell r="C73" t="str">
            <v>应付债券</v>
          </cell>
          <cell r="D73">
            <v>-1</v>
          </cell>
          <cell r="F73" t="str">
            <v>4130</v>
          </cell>
          <cell r="G73" t="str">
            <v>应付债券</v>
          </cell>
          <cell r="I73">
            <v>2502</v>
          </cell>
          <cell r="J73" t="str">
            <v>J</v>
          </cell>
          <cell r="M73" t="str">
            <v>预收款项</v>
          </cell>
          <cell r="S73" t="str">
            <v>1501d</v>
          </cell>
          <cell r="T73" t="str">
            <v>重要的持有至到期投资</v>
          </cell>
          <cell r="U73" t="str">
            <v>债券项目</v>
          </cell>
          <cell r="V73">
            <v>1</v>
          </cell>
          <cell r="W73">
            <v>1501</v>
          </cell>
          <cell r="X73">
            <v>2</v>
          </cell>
        </row>
        <row r="74">
          <cell r="B74">
            <v>2502.11</v>
          </cell>
          <cell r="C74" t="str">
            <v>应付债券_优先股</v>
          </cell>
          <cell r="D74">
            <v>-1</v>
          </cell>
          <cell r="E74" t="str">
            <v>OEI</v>
          </cell>
          <cell r="G74" t="str">
            <v>其中：优先股</v>
          </cell>
          <cell r="I74">
            <v>2502.11</v>
          </cell>
          <cell r="J74" t="str">
            <v>J</v>
          </cell>
          <cell r="M74" t="str">
            <v>应付职工薪酬</v>
          </cell>
          <cell r="S74" t="str">
            <v>1501e</v>
          </cell>
          <cell r="T74" t="str">
            <v>持有至到期投资重分类情况</v>
          </cell>
          <cell r="U74" t="str">
            <v>项       目</v>
          </cell>
          <cell r="V74">
            <v>1</v>
          </cell>
          <cell r="W74">
            <v>1501</v>
          </cell>
          <cell r="X74">
            <v>2</v>
          </cell>
        </row>
        <row r="75">
          <cell r="B75">
            <v>2502.31</v>
          </cell>
          <cell r="C75" t="str">
            <v>应付债券_永续债</v>
          </cell>
          <cell r="D75">
            <v>-1</v>
          </cell>
          <cell r="E75" t="str">
            <v>OEI</v>
          </cell>
          <cell r="G75" t="str">
            <v xml:space="preserve">      永续债</v>
          </cell>
          <cell r="I75">
            <v>2502.31</v>
          </cell>
          <cell r="J75" t="str">
            <v>J</v>
          </cell>
          <cell r="M75" t="str">
            <v>应交税费</v>
          </cell>
          <cell r="S75" t="str">
            <v>1531a</v>
          </cell>
          <cell r="T75" t="str">
            <v>长期应收款按性质披露</v>
          </cell>
          <cell r="U75" t="str">
            <v>项       目</v>
          </cell>
          <cell r="V75">
            <v>1</v>
          </cell>
          <cell r="W75">
            <v>1531</v>
          </cell>
          <cell r="X75">
            <v>1</v>
          </cell>
        </row>
        <row r="76">
          <cell r="B76">
            <v>2701</v>
          </cell>
          <cell r="C76" t="str">
            <v>长期应付款</v>
          </cell>
          <cell r="D76">
            <v>-1</v>
          </cell>
          <cell r="F76" t="str">
            <v>4510</v>
          </cell>
          <cell r="G76" t="str">
            <v>长期应付款</v>
          </cell>
          <cell r="I76">
            <v>2701</v>
          </cell>
          <cell r="J76" t="str">
            <v>J</v>
          </cell>
          <cell r="M76" t="str">
            <v>应付利息</v>
          </cell>
          <cell r="S76" t="str">
            <v>1531b</v>
          </cell>
          <cell r="T76" t="str">
            <v>长期应收款逾期情况</v>
          </cell>
          <cell r="U76" t="str">
            <v>逾  期</v>
          </cell>
          <cell r="V76">
            <v>1</v>
          </cell>
          <cell r="W76">
            <v>1531</v>
          </cell>
          <cell r="X76">
            <v>2</v>
          </cell>
        </row>
        <row r="77">
          <cell r="B77">
            <v>2715</v>
          </cell>
          <cell r="C77" t="str">
            <v>长期应付职工薪酬</v>
          </cell>
          <cell r="D77">
            <v>-1</v>
          </cell>
          <cell r="F77" t="str">
            <v>4320</v>
          </cell>
          <cell r="G77" t="str">
            <v>长期应付职工薪酬</v>
          </cell>
          <cell r="I77">
            <v>2715</v>
          </cell>
          <cell r="J77" t="str">
            <v>J</v>
          </cell>
          <cell r="M77" t="str">
            <v>应付股利</v>
          </cell>
          <cell r="S77" t="str">
            <v>1531c</v>
          </cell>
          <cell r="T77" t="str">
            <v>终止确认的长期应收款情况</v>
          </cell>
          <cell r="U77" t="str">
            <v>项       目</v>
          </cell>
          <cell r="V77">
            <v>1</v>
          </cell>
          <cell r="W77">
            <v>1531</v>
          </cell>
          <cell r="X77">
            <v>2</v>
          </cell>
        </row>
        <row r="78">
          <cell r="B78">
            <v>2711</v>
          </cell>
          <cell r="C78" t="str">
            <v>专项应付款</v>
          </cell>
          <cell r="D78">
            <v>-1</v>
          </cell>
          <cell r="F78" t="str">
            <v>4520</v>
          </cell>
          <cell r="G78" t="str">
            <v>专项应付款</v>
          </cell>
          <cell r="I78">
            <v>2711</v>
          </cell>
          <cell r="J78" t="str">
            <v>J</v>
          </cell>
          <cell r="M78" t="str">
            <v>其他应付款</v>
          </cell>
          <cell r="S78" t="str">
            <v>1531d</v>
          </cell>
          <cell r="T78" t="str">
            <v>转移长期应收款且继续涉入形成的资产</v>
          </cell>
          <cell r="U78" t="str">
            <v>项       目</v>
          </cell>
          <cell r="V78">
            <v>1</v>
          </cell>
          <cell r="W78">
            <v>1531</v>
          </cell>
          <cell r="X78">
            <v>2</v>
          </cell>
        </row>
        <row r="79">
          <cell r="B79">
            <v>2801</v>
          </cell>
          <cell r="C79" t="str">
            <v>预计负债</v>
          </cell>
          <cell r="D79">
            <v>-1</v>
          </cell>
          <cell r="F79" t="str">
            <v>4530</v>
          </cell>
          <cell r="G79" t="str">
            <v>预计负债</v>
          </cell>
          <cell r="I79">
            <v>2801</v>
          </cell>
          <cell r="J79" t="str">
            <v>J</v>
          </cell>
          <cell r="M79" t="str">
            <v>一年内到期的非流动负债</v>
          </cell>
          <cell r="S79" t="str">
            <v>1531e</v>
          </cell>
          <cell r="T79" t="str">
            <v>转移长期应收款且继续涉入形成的负债</v>
          </cell>
          <cell r="U79" t="str">
            <v>项       目</v>
          </cell>
          <cell r="V79">
            <v>1</v>
          </cell>
          <cell r="W79">
            <v>1531</v>
          </cell>
          <cell r="X79">
            <v>2</v>
          </cell>
        </row>
        <row r="80">
          <cell r="B80">
            <v>2401</v>
          </cell>
          <cell r="C80" t="str">
            <v>递延收益</v>
          </cell>
          <cell r="D80">
            <v>-1</v>
          </cell>
          <cell r="F80" t="str">
            <v>4540</v>
          </cell>
          <cell r="G80" t="str">
            <v>递延收益</v>
          </cell>
          <cell r="I80">
            <v>2401</v>
          </cell>
          <cell r="J80" t="str">
            <v>J</v>
          </cell>
          <cell r="M80" t="str">
            <v>划分为持有待售的负债</v>
          </cell>
          <cell r="S80" t="str">
            <v>1531f</v>
          </cell>
          <cell r="T80" t="str">
            <v>外币货币性项目——长期应收款</v>
          </cell>
          <cell r="U80" t="str">
            <v>币       种</v>
          </cell>
          <cell r="V80">
            <v>1</v>
          </cell>
          <cell r="W80">
            <v>1531</v>
          </cell>
          <cell r="X80">
            <v>2</v>
          </cell>
        </row>
        <row r="81">
          <cell r="B81">
            <v>2901</v>
          </cell>
          <cell r="C81" t="str">
            <v>递延所得税负债</v>
          </cell>
          <cell r="D81">
            <v>-1</v>
          </cell>
          <cell r="F81" t="str">
            <v>4420</v>
          </cell>
          <cell r="G81" t="str">
            <v>递延所得税负债</v>
          </cell>
          <cell r="I81">
            <v>2901</v>
          </cell>
          <cell r="J81" t="str">
            <v>J</v>
          </cell>
          <cell r="M81" t="str">
            <v>其他流动负债</v>
          </cell>
          <cell r="S81" t="str">
            <v>1515a</v>
          </cell>
          <cell r="T81" t="str">
            <v>设定受益计划净资产</v>
          </cell>
          <cell r="U81" t="str">
            <v>项       目</v>
          </cell>
          <cell r="V81">
            <v>1</v>
          </cell>
          <cell r="W81">
            <v>1515</v>
          </cell>
          <cell r="X81">
            <v>1</v>
          </cell>
        </row>
        <row r="82">
          <cell r="B82">
            <v>2996</v>
          </cell>
          <cell r="C82" t="str">
            <v>其他非流动负债</v>
          </cell>
          <cell r="D82">
            <v>-1</v>
          </cell>
          <cell r="F82" t="str">
            <v>4590</v>
          </cell>
          <cell r="G82" t="str">
            <v>其他非流动负债</v>
          </cell>
          <cell r="I82">
            <v>2996</v>
          </cell>
          <cell r="J82" t="str">
            <v>J</v>
          </cell>
          <cell r="M82" t="str">
            <v>长期借款</v>
          </cell>
          <cell r="S82" t="str">
            <v>1515b</v>
          </cell>
          <cell r="T82" t="str">
            <v>设定受益计划义务现值变动情况</v>
          </cell>
          <cell r="U82" t="str">
            <v>项       目</v>
          </cell>
          <cell r="V82">
            <v>1</v>
          </cell>
          <cell r="W82">
            <v>1515</v>
          </cell>
          <cell r="X82">
            <v>2</v>
          </cell>
        </row>
        <row r="83">
          <cell r="B83">
            <v>2998</v>
          </cell>
          <cell r="C83" t="str">
            <v>非流动负债</v>
          </cell>
          <cell r="E83" t="str">
            <v>＝</v>
          </cell>
          <cell r="G83" t="str">
            <v>非流动负债合计</v>
          </cell>
          <cell r="I83">
            <v>2998</v>
          </cell>
          <cell r="M83" t="str">
            <v>应付债券</v>
          </cell>
          <cell r="S83" t="str">
            <v>1515c</v>
          </cell>
          <cell r="T83" t="str">
            <v>设定受益计划资产变动情况</v>
          </cell>
          <cell r="U83" t="str">
            <v>项       目</v>
          </cell>
          <cell r="V83">
            <v>1</v>
          </cell>
          <cell r="W83">
            <v>1515</v>
          </cell>
          <cell r="X83">
            <v>2</v>
          </cell>
        </row>
        <row r="84">
          <cell r="B84">
            <v>2999</v>
          </cell>
          <cell r="C84" t="str">
            <v>负债</v>
          </cell>
          <cell r="E84" t="str">
            <v>＝</v>
          </cell>
          <cell r="G84" t="str">
            <v>负债合计</v>
          </cell>
          <cell r="I84">
            <v>2999</v>
          </cell>
          <cell r="M84" t="str">
            <v>应付债券_优先股</v>
          </cell>
          <cell r="S84" t="str">
            <v>1515d</v>
          </cell>
          <cell r="T84" t="str">
            <v>设定受益计划净资产变动情况</v>
          </cell>
          <cell r="U84" t="str">
            <v>项       目</v>
          </cell>
          <cell r="V84">
            <v>1</v>
          </cell>
          <cell r="W84">
            <v>1515</v>
          </cell>
          <cell r="X84">
            <v>2</v>
          </cell>
        </row>
        <row r="85">
          <cell r="B85">
            <v>4000</v>
          </cell>
          <cell r="C85" t="str">
            <v>所有者权益项目</v>
          </cell>
          <cell r="E85" t="str">
            <v>：</v>
          </cell>
          <cell r="G85" t="str">
            <v>股东（或所有者）权益：</v>
          </cell>
          <cell r="H85" t="str">
            <v>所有者权益(或股东权益)：</v>
          </cell>
          <cell r="I85">
            <v>4000</v>
          </cell>
          <cell r="M85" t="str">
            <v>应付债券_永续债</v>
          </cell>
          <cell r="S85" t="str">
            <v>1515e</v>
          </cell>
          <cell r="T85" t="str">
            <v>未折现的离职后福利预计到期分析</v>
          </cell>
          <cell r="U85" t="str">
            <v>项       目</v>
          </cell>
          <cell r="V85">
            <v>1</v>
          </cell>
          <cell r="W85">
            <v>1515</v>
          </cell>
          <cell r="X85">
            <v>2</v>
          </cell>
        </row>
        <row r="86">
          <cell r="B86">
            <v>4001</v>
          </cell>
          <cell r="C86" t="str">
            <v>实收资本</v>
          </cell>
          <cell r="D86">
            <v>-1</v>
          </cell>
          <cell r="F86" t="str">
            <v>5110</v>
          </cell>
          <cell r="G86" t="str">
            <v>股本</v>
          </cell>
          <cell r="H86" t="str">
            <v>实收资本（或股本）</v>
          </cell>
          <cell r="I86">
            <v>4001</v>
          </cell>
          <cell r="J86" t="str">
            <v>J</v>
          </cell>
          <cell r="M86" t="str">
            <v>长期应付款</v>
          </cell>
          <cell r="S86" t="str">
            <v>1515f</v>
          </cell>
          <cell r="T86" t="str">
            <v>设定受益计划资产明细</v>
          </cell>
          <cell r="U86" t="str">
            <v>项       目</v>
          </cell>
          <cell r="V86">
            <v>1</v>
          </cell>
          <cell r="W86">
            <v>1515</v>
          </cell>
          <cell r="X86">
            <v>2</v>
          </cell>
        </row>
        <row r="87">
          <cell r="B87">
            <v>4015</v>
          </cell>
          <cell r="C87" t="str">
            <v>其他权益工具</v>
          </cell>
          <cell r="D87">
            <v>-1</v>
          </cell>
          <cell r="E87" t="str">
            <v>OEI</v>
          </cell>
          <cell r="F87" t="str">
            <v>5120</v>
          </cell>
          <cell r="G87" t="str">
            <v>其他权益工具</v>
          </cell>
          <cell r="H87" t="str">
            <v>其他权益工具</v>
          </cell>
          <cell r="I87">
            <v>4015</v>
          </cell>
          <cell r="J87" t="str">
            <v>J</v>
          </cell>
          <cell r="M87" t="str">
            <v>长期应付职工薪酬</v>
          </cell>
          <cell r="S87" t="str">
            <v>1515g</v>
          </cell>
          <cell r="T87" t="str">
            <v>设定受益计划精算假设</v>
          </cell>
          <cell r="U87" t="str">
            <v>项       目</v>
          </cell>
          <cell r="V87">
            <v>1</v>
          </cell>
          <cell r="W87">
            <v>1515</v>
          </cell>
          <cell r="X87">
            <v>2</v>
          </cell>
        </row>
        <row r="88">
          <cell r="B88">
            <v>4015.11</v>
          </cell>
          <cell r="C88" t="str">
            <v>其他权益工具_优先股</v>
          </cell>
          <cell r="D88">
            <v>-1</v>
          </cell>
          <cell r="E88" t="str">
            <v>OEI</v>
          </cell>
          <cell r="G88" t="str">
            <v>其中：优先股</v>
          </cell>
          <cell r="H88" t="str">
            <v>其中：优先股</v>
          </cell>
          <cell r="I88">
            <v>4015.11</v>
          </cell>
          <cell r="J88" t="str">
            <v>J</v>
          </cell>
          <cell r="M88" t="str">
            <v>专项应付款</v>
          </cell>
          <cell r="S88" t="str">
            <v>1515h</v>
          </cell>
          <cell r="T88" t="str">
            <v>设定受益计划敏感性分析</v>
          </cell>
          <cell r="U88" t="str">
            <v>项       目</v>
          </cell>
          <cell r="V88">
            <v>1</v>
          </cell>
          <cell r="W88">
            <v>1515</v>
          </cell>
          <cell r="X88">
            <v>2</v>
          </cell>
        </row>
        <row r="89">
          <cell r="B89">
            <v>4015.31</v>
          </cell>
          <cell r="C89" t="str">
            <v>其他权益工具_永续债</v>
          </cell>
          <cell r="D89">
            <v>-1</v>
          </cell>
          <cell r="E89" t="str">
            <v>OEI</v>
          </cell>
          <cell r="G89" t="str">
            <v xml:space="preserve">      永续债</v>
          </cell>
          <cell r="H89" t="str">
            <v xml:space="preserve">      永续债</v>
          </cell>
          <cell r="I89">
            <v>4015.31</v>
          </cell>
          <cell r="J89" t="str">
            <v>J</v>
          </cell>
          <cell r="M89" t="str">
            <v>预计负债</v>
          </cell>
          <cell r="S89" t="str">
            <v>1511a</v>
          </cell>
          <cell r="T89" t="str">
            <v>长期股权投资分项列示</v>
          </cell>
          <cell r="U89" t="str">
            <v>被投资单位</v>
          </cell>
          <cell r="V89">
            <v>1</v>
          </cell>
          <cell r="W89">
            <v>1511</v>
          </cell>
          <cell r="X89">
            <v>1</v>
          </cell>
        </row>
        <row r="90">
          <cell r="B90">
            <v>4015.91</v>
          </cell>
          <cell r="C90" t="str">
            <v>其他权益工具_其他</v>
          </cell>
          <cell r="D90">
            <v>-1</v>
          </cell>
          <cell r="E90" t="str">
            <v>OEI</v>
          </cell>
          <cell r="G90" t="str">
            <v xml:space="preserve">      其他</v>
          </cell>
          <cell r="H90" t="str">
            <v xml:space="preserve">      其他</v>
          </cell>
          <cell r="I90">
            <v>4015.91</v>
          </cell>
          <cell r="J90" t="str">
            <v>J</v>
          </cell>
          <cell r="M90" t="str">
            <v>递延收益</v>
          </cell>
          <cell r="S90" t="str">
            <v>1511b</v>
          </cell>
          <cell r="T90" t="str">
            <v>长期股权投资本期增减变动</v>
          </cell>
          <cell r="U90" t="str">
            <v>被投资单位</v>
          </cell>
          <cell r="V90">
            <v>1</v>
          </cell>
          <cell r="W90">
            <v>1511</v>
          </cell>
          <cell r="X90">
            <v>2</v>
          </cell>
        </row>
        <row r="91">
          <cell r="B91">
            <v>4002</v>
          </cell>
          <cell r="C91" t="str">
            <v>资本公积</v>
          </cell>
          <cell r="D91">
            <v>-1</v>
          </cell>
          <cell r="F91">
            <v>5210</v>
          </cell>
          <cell r="G91" t="str">
            <v>资本公积</v>
          </cell>
          <cell r="H91" t="str">
            <v>资本公积</v>
          </cell>
          <cell r="I91">
            <v>4002</v>
          </cell>
          <cell r="J91" t="str">
            <v>J</v>
          </cell>
          <cell r="M91" t="str">
            <v>递延所得税负债</v>
          </cell>
          <cell r="S91" t="str">
            <v>1521d</v>
          </cell>
          <cell r="T91" t="str">
            <v>按成本计量的投资性房地产账面原值</v>
          </cell>
          <cell r="U91" t="str">
            <v>项       目</v>
          </cell>
          <cell r="V91">
            <v>1</v>
          </cell>
          <cell r="W91">
            <v>1521</v>
          </cell>
          <cell r="X91">
            <v>2</v>
          </cell>
        </row>
        <row r="92">
          <cell r="B92">
            <v>4201</v>
          </cell>
          <cell r="C92" t="str">
            <v>库存股</v>
          </cell>
          <cell r="D92">
            <v>1</v>
          </cell>
          <cell r="F92">
            <v>5310</v>
          </cell>
          <cell r="G92" t="str">
            <v>减：库存股</v>
          </cell>
          <cell r="H92" t="str">
            <v>减：库存股</v>
          </cell>
          <cell r="I92">
            <v>4201</v>
          </cell>
          <cell r="J92" t="str">
            <v>J</v>
          </cell>
          <cell r="M92" t="str">
            <v>其他非流动负债</v>
          </cell>
          <cell r="S92" t="str">
            <v>1521e</v>
          </cell>
          <cell r="T92" t="str">
            <v>按成本计量的投资性房地产累计折旧和累计摊销</v>
          </cell>
          <cell r="U92" t="str">
            <v>项       目</v>
          </cell>
          <cell r="V92">
            <v>1</v>
          </cell>
          <cell r="W92">
            <v>1521</v>
          </cell>
          <cell r="X92">
            <v>2</v>
          </cell>
        </row>
        <row r="93">
          <cell r="B93">
            <v>4215</v>
          </cell>
          <cell r="C93" t="str">
            <v>其他综合收益</v>
          </cell>
          <cell r="D93">
            <v>-1</v>
          </cell>
          <cell r="G93" t="str">
            <v>其他综合收益</v>
          </cell>
          <cell r="H93" t="str">
            <v>其他综合收益</v>
          </cell>
          <cell r="I93">
            <v>4215</v>
          </cell>
          <cell r="J93" t="str">
            <v>J</v>
          </cell>
          <cell r="M93" t="str">
            <v>营业收入</v>
          </cell>
          <cell r="S93" t="str">
            <v>1521f</v>
          </cell>
          <cell r="T93" t="str">
            <v>按成本计量的投资性房地产减值准备</v>
          </cell>
          <cell r="U93" t="str">
            <v>项       目</v>
          </cell>
          <cell r="V93">
            <v>1</v>
          </cell>
          <cell r="W93">
            <v>1521</v>
          </cell>
          <cell r="X93">
            <v>2</v>
          </cell>
        </row>
        <row r="94">
          <cell r="B94">
            <v>4301</v>
          </cell>
          <cell r="C94" t="str">
            <v>专项储备</v>
          </cell>
          <cell r="D94">
            <v>-1</v>
          </cell>
          <cell r="F94">
            <v>5510</v>
          </cell>
          <cell r="G94" t="str">
            <v>专项储备</v>
          </cell>
          <cell r="H94" t="str">
            <v>专项储备</v>
          </cell>
          <cell r="I94">
            <v>4301</v>
          </cell>
          <cell r="J94" t="str">
            <v>J</v>
          </cell>
          <cell r="M94" t="str">
            <v>营业成本</v>
          </cell>
          <cell r="S94" t="str">
            <v>1521g</v>
          </cell>
          <cell r="T94" t="str">
            <v>按成本计量的投资性房地产账面价值</v>
          </cell>
          <cell r="U94" t="str">
            <v>项       目</v>
          </cell>
          <cell r="V94">
            <v>1</v>
          </cell>
          <cell r="W94">
            <v>1521</v>
          </cell>
          <cell r="X94">
            <v>1</v>
          </cell>
        </row>
        <row r="95">
          <cell r="B95">
            <v>4101</v>
          </cell>
          <cell r="C95" t="str">
            <v>盈余公积</v>
          </cell>
          <cell r="D95">
            <v>-1</v>
          </cell>
          <cell r="F95">
            <v>5410</v>
          </cell>
          <cell r="G95" t="str">
            <v>盈余公积</v>
          </cell>
          <cell r="H95" t="str">
            <v>盈余公积</v>
          </cell>
          <cell r="I95">
            <v>4101</v>
          </cell>
          <cell r="J95" t="str">
            <v>J</v>
          </cell>
          <cell r="M95" t="str">
            <v>营业税金及附加</v>
          </cell>
          <cell r="S95" t="str">
            <v>1521b</v>
          </cell>
          <cell r="T95" t="str">
            <v>按公允价值计量的投资性房地产</v>
          </cell>
          <cell r="U95" t="str">
            <v>项       目</v>
          </cell>
          <cell r="V95">
            <v>1</v>
          </cell>
          <cell r="W95">
            <v>1521</v>
          </cell>
          <cell r="X95">
            <v>2</v>
          </cell>
        </row>
        <row r="96">
          <cell r="B96">
            <v>4102</v>
          </cell>
          <cell r="C96" t="str">
            <v>一般风险准备</v>
          </cell>
          <cell r="D96">
            <v>-1</v>
          </cell>
          <cell r="G96" t="str">
            <v>一般风险准备</v>
          </cell>
          <cell r="H96" t="str">
            <v>一般风险准备</v>
          </cell>
          <cell r="I96">
            <v>4102</v>
          </cell>
          <cell r="J96" t="str">
            <v>J</v>
          </cell>
          <cell r="M96" t="str">
            <v>销售费用</v>
          </cell>
          <cell r="S96" t="str">
            <v>1521c</v>
          </cell>
          <cell r="T96" t="str">
            <v>未办妥产权证书的情况</v>
          </cell>
          <cell r="U96" t="str">
            <v>项       目</v>
          </cell>
          <cell r="V96">
            <v>1</v>
          </cell>
          <cell r="W96">
            <v>1521</v>
          </cell>
          <cell r="X96">
            <v>2</v>
          </cell>
        </row>
        <row r="97">
          <cell r="B97">
            <v>4200</v>
          </cell>
          <cell r="C97" t="str">
            <v>未分配利润</v>
          </cell>
          <cell r="D97">
            <v>-1</v>
          </cell>
          <cell r="F97">
            <v>5610</v>
          </cell>
          <cell r="G97" t="str">
            <v>未分配利润</v>
          </cell>
          <cell r="H97" t="str">
            <v>未分配利润</v>
          </cell>
          <cell r="I97">
            <v>4200</v>
          </cell>
          <cell r="J97" t="str">
            <v>J</v>
          </cell>
          <cell r="M97" t="str">
            <v>管理费用</v>
          </cell>
          <cell r="S97" t="str">
            <v>1521s</v>
          </cell>
          <cell r="T97" t="str">
            <v>投资性房地产抵押情况</v>
          </cell>
          <cell r="U97" t="str">
            <v>抵押资产明细项目</v>
          </cell>
          <cell r="V97">
            <v>1</v>
          </cell>
          <cell r="W97">
            <v>1521</v>
          </cell>
          <cell r="X97">
            <v>2</v>
          </cell>
        </row>
        <row r="98">
          <cell r="B98">
            <v>4210</v>
          </cell>
          <cell r="C98" t="str">
            <v>外币报表折算差额</v>
          </cell>
          <cell r="D98">
            <v>-1</v>
          </cell>
          <cell r="E98" t="str">
            <v>※</v>
          </cell>
          <cell r="G98" t="str">
            <v>外币报表折算差额</v>
          </cell>
          <cell r="H98" t="str">
            <v>外币报表折算差额</v>
          </cell>
          <cell r="I98">
            <v>4210</v>
          </cell>
          <cell r="J98" t="str">
            <v>J</v>
          </cell>
          <cell r="M98" t="str">
            <v>财务费用</v>
          </cell>
          <cell r="S98" t="str">
            <v>1521a</v>
          </cell>
          <cell r="T98" t="str">
            <v>采用成本计量模式的投资性房地产增减变动</v>
          </cell>
          <cell r="U98" t="str">
            <v>项       目</v>
          </cell>
          <cell r="V98">
            <v>1</v>
          </cell>
          <cell r="W98">
            <v>1521</v>
          </cell>
          <cell r="X98">
            <v>2</v>
          </cell>
        </row>
        <row r="99">
          <cell r="B99">
            <v>4298</v>
          </cell>
          <cell r="C99" t="str">
            <v>归属于母公司所有者权益</v>
          </cell>
          <cell r="E99" t="str">
            <v>※</v>
          </cell>
          <cell r="G99" t="str">
            <v>归属于母公司股东权益合计</v>
          </cell>
          <cell r="H99" t="str">
            <v>归属于母公司所有者权益合计</v>
          </cell>
          <cell r="I99">
            <v>4298</v>
          </cell>
          <cell r="M99" t="str">
            <v>资产减值损失</v>
          </cell>
          <cell r="S99" t="str">
            <v>1601g</v>
          </cell>
          <cell r="T99" t="str">
            <v>固定资产原值</v>
          </cell>
          <cell r="U99" t="str">
            <v>项       目</v>
          </cell>
          <cell r="V99">
            <v>1</v>
          </cell>
          <cell r="W99">
            <v>1601</v>
          </cell>
          <cell r="X99">
            <v>2</v>
          </cell>
        </row>
        <row r="100">
          <cell r="B100">
            <v>4398</v>
          </cell>
          <cell r="C100" t="str">
            <v>少数股东权益</v>
          </cell>
          <cell r="D100">
            <v>-1</v>
          </cell>
          <cell r="E100" t="str">
            <v>※</v>
          </cell>
          <cell r="G100" t="str">
            <v>少数股东权益</v>
          </cell>
          <cell r="H100" t="str">
            <v>少数股东权益</v>
          </cell>
          <cell r="I100">
            <v>4398</v>
          </cell>
          <cell r="J100" t="str">
            <v>J</v>
          </cell>
          <cell r="M100" t="str">
            <v>公允价值变动收益</v>
          </cell>
          <cell r="S100" t="str">
            <v>1601h</v>
          </cell>
          <cell r="T100" t="str">
            <v>固定资产累计折旧</v>
          </cell>
          <cell r="U100" t="str">
            <v>项       目</v>
          </cell>
          <cell r="V100">
            <v>1</v>
          </cell>
          <cell r="W100">
            <v>1601</v>
          </cell>
          <cell r="X100">
            <v>2</v>
          </cell>
        </row>
        <row r="101">
          <cell r="B101">
            <v>4999</v>
          </cell>
          <cell r="C101" t="str">
            <v>所有者权益</v>
          </cell>
          <cell r="E101" t="str">
            <v>＝</v>
          </cell>
          <cell r="G101" t="str">
            <v>股东（或所有者）权益合计</v>
          </cell>
          <cell r="H101" t="str">
            <v>所有者权益合计</v>
          </cell>
          <cell r="I101">
            <v>4999</v>
          </cell>
          <cell r="M101" t="str">
            <v>投资收益</v>
          </cell>
          <cell r="S101" t="str">
            <v>1601i</v>
          </cell>
          <cell r="T101" t="str">
            <v>固定资产减值准备</v>
          </cell>
          <cell r="U101" t="str">
            <v>项       目</v>
          </cell>
          <cell r="V101">
            <v>1</v>
          </cell>
          <cell r="W101">
            <v>1601</v>
          </cell>
          <cell r="X101">
            <v>2</v>
          </cell>
        </row>
        <row r="102">
          <cell r="B102">
            <v>5000</v>
          </cell>
          <cell r="C102" t="str">
            <v>负债和所有者权益</v>
          </cell>
          <cell r="E102" t="str">
            <v>＝</v>
          </cell>
          <cell r="G102" t="str">
            <v>负债和股东（或所有者）权益总计</v>
          </cell>
          <cell r="H102" t="str">
            <v>负债和所有者权益总计</v>
          </cell>
          <cell r="I102">
            <v>5000</v>
          </cell>
          <cell r="M102" t="str">
            <v>对联营企业和合营企业的投资收益</v>
          </cell>
          <cell r="S102" t="str">
            <v>1601j</v>
          </cell>
          <cell r="T102" t="str">
            <v>固定资产账面价值</v>
          </cell>
          <cell r="U102" t="str">
            <v>项       目</v>
          </cell>
          <cell r="V102">
            <v>1</v>
          </cell>
          <cell r="W102">
            <v>1601</v>
          </cell>
          <cell r="X102">
            <v>1</v>
          </cell>
        </row>
        <row r="103">
          <cell r="B103">
            <v>6</v>
          </cell>
          <cell r="C103" t="str">
            <v>利润表</v>
          </cell>
          <cell r="E103" t="str">
            <v>：</v>
          </cell>
          <cell r="G103" t="str">
            <v>利润表</v>
          </cell>
          <cell r="I103">
            <v>6</v>
          </cell>
          <cell r="M103" t="str">
            <v>营业外收入</v>
          </cell>
          <cell r="S103" t="str">
            <v>1601b</v>
          </cell>
          <cell r="T103" t="str">
            <v>暂时闲置的固定资产情况</v>
          </cell>
          <cell r="U103" t="str">
            <v>类       别</v>
          </cell>
          <cell r="V103">
            <v>1</v>
          </cell>
          <cell r="W103">
            <v>1601</v>
          </cell>
          <cell r="X103">
            <v>2</v>
          </cell>
        </row>
        <row r="104">
          <cell r="B104">
            <v>6098</v>
          </cell>
          <cell r="C104" t="str">
            <v>营业总收入</v>
          </cell>
          <cell r="E104" t="str">
            <v>※</v>
          </cell>
          <cell r="G104" t="str">
            <v>一、营业总收入</v>
          </cell>
          <cell r="H104" t="str">
            <v>一、营业总收入</v>
          </cell>
          <cell r="I104">
            <v>6098</v>
          </cell>
          <cell r="M104" t="str">
            <v>营业外收入_非流动资产处置利得</v>
          </cell>
          <cell r="S104" t="str">
            <v>1601c</v>
          </cell>
          <cell r="T104" t="str">
            <v>通过融资租赁租入的固定资产情况</v>
          </cell>
          <cell r="U104" t="str">
            <v>资产类别</v>
          </cell>
          <cell r="V104">
            <v>1</v>
          </cell>
          <cell r="W104">
            <v>1601</v>
          </cell>
          <cell r="X104">
            <v>2</v>
          </cell>
        </row>
        <row r="105">
          <cell r="B105">
            <v>6001</v>
          </cell>
          <cell r="C105" t="str">
            <v>营业收入</v>
          </cell>
          <cell r="D105">
            <v>-1</v>
          </cell>
          <cell r="F105">
            <v>6100</v>
          </cell>
          <cell r="G105" t="str">
            <v>一、营业收入</v>
          </cell>
          <cell r="H105" t="str">
            <v>其中：营业收入</v>
          </cell>
          <cell r="I105">
            <v>6001</v>
          </cell>
          <cell r="J105" t="str">
            <v>J</v>
          </cell>
          <cell r="M105" t="str">
            <v>营业外支出</v>
          </cell>
          <cell r="S105" t="str">
            <v>1601d</v>
          </cell>
          <cell r="T105" t="str">
            <v>通过经营租赁租出的固定资产</v>
          </cell>
          <cell r="U105" t="str">
            <v>资产类别</v>
          </cell>
          <cell r="V105">
            <v>1</v>
          </cell>
          <cell r="W105">
            <v>1601</v>
          </cell>
          <cell r="X105">
            <v>2</v>
          </cell>
        </row>
        <row r="106">
          <cell r="B106">
            <v>6011</v>
          </cell>
          <cell r="C106" t="str">
            <v>利息收入</v>
          </cell>
          <cell r="D106">
            <v>-1</v>
          </cell>
          <cell r="E106" t="str">
            <v>△</v>
          </cell>
          <cell r="G106" t="str">
            <v>利息收入</v>
          </cell>
          <cell r="H106" t="str">
            <v>利息收入</v>
          </cell>
          <cell r="I106">
            <v>6011</v>
          </cell>
          <cell r="J106" t="str">
            <v>J</v>
          </cell>
          <cell r="M106" t="str">
            <v>非流动资产处置损失</v>
          </cell>
          <cell r="S106" t="str">
            <v>1601f</v>
          </cell>
          <cell r="T106" t="str">
            <v>未办妥产权证书的固定资产情况</v>
          </cell>
          <cell r="U106" t="str">
            <v>项       目</v>
          </cell>
          <cell r="V106">
            <v>1</v>
          </cell>
          <cell r="W106">
            <v>1601</v>
          </cell>
          <cell r="X106">
            <v>2</v>
          </cell>
        </row>
        <row r="107">
          <cell r="B107">
            <v>6030</v>
          </cell>
          <cell r="C107" t="str">
            <v>已赚保费</v>
          </cell>
          <cell r="D107">
            <v>-1</v>
          </cell>
          <cell r="E107" t="str">
            <v>△</v>
          </cell>
          <cell r="G107" t="str">
            <v>已赚保费</v>
          </cell>
          <cell r="H107" t="str">
            <v>已赚保费</v>
          </cell>
          <cell r="I107">
            <v>6030</v>
          </cell>
          <cell r="J107" t="str">
            <v>J</v>
          </cell>
          <cell r="M107" t="str">
            <v>所得税费用</v>
          </cell>
          <cell r="S107" t="str">
            <v>1601s</v>
          </cell>
          <cell r="T107" t="str">
            <v>固定资产抵押情况</v>
          </cell>
          <cell r="U107" t="str">
            <v>抵押资产明细项目</v>
          </cell>
          <cell r="V107">
            <v>1</v>
          </cell>
          <cell r="W107">
            <v>1601</v>
          </cell>
          <cell r="X107">
            <v>2</v>
          </cell>
        </row>
        <row r="108">
          <cell r="B108">
            <v>6021</v>
          </cell>
          <cell r="C108" t="str">
            <v>手续费及佣金收入</v>
          </cell>
          <cell r="D108">
            <v>-1</v>
          </cell>
          <cell r="E108" t="str">
            <v>△</v>
          </cell>
          <cell r="G108" t="str">
            <v>手续费及佣金收入</v>
          </cell>
          <cell r="H108" t="str">
            <v>手续费及佣金收入</v>
          </cell>
          <cell r="I108">
            <v>6021</v>
          </cell>
          <cell r="J108" t="str">
            <v>J</v>
          </cell>
          <cell r="M108" t="str">
            <v>少数股东损益</v>
          </cell>
          <cell r="S108" t="str">
            <v>1601a</v>
          </cell>
          <cell r="T108" t="str">
            <v>固定资产及其累计折旧明细项目和增减变动</v>
          </cell>
          <cell r="U108" t="str">
            <v>项       目</v>
          </cell>
          <cell r="V108">
            <v>1</v>
          </cell>
          <cell r="W108">
            <v>1601</v>
          </cell>
          <cell r="X108">
            <v>2</v>
          </cell>
        </row>
        <row r="109">
          <cell r="B109">
            <v>6598</v>
          </cell>
          <cell r="C109" t="str">
            <v>营业总成本</v>
          </cell>
          <cell r="E109" t="str">
            <v>※</v>
          </cell>
          <cell r="G109" t="str">
            <v>二、营业总成本</v>
          </cell>
          <cell r="H109" t="str">
            <v>二、营业总成本</v>
          </cell>
          <cell r="I109">
            <v>6598</v>
          </cell>
          <cell r="M109" t="str">
            <v>重新计量设定受益计划净负债或净资产的变动</v>
          </cell>
          <cell r="S109" t="str">
            <v>1604a</v>
          </cell>
          <cell r="T109" t="str">
            <v>在建工程明细</v>
          </cell>
          <cell r="U109" t="str">
            <v>项       目</v>
          </cell>
          <cell r="V109">
            <v>1</v>
          </cell>
          <cell r="W109">
            <v>1604</v>
          </cell>
          <cell r="X109">
            <v>1</v>
          </cell>
        </row>
        <row r="110">
          <cell r="B110">
            <v>6401</v>
          </cell>
          <cell r="C110" t="str">
            <v>营业成本</v>
          </cell>
          <cell r="D110">
            <v>1</v>
          </cell>
          <cell r="F110" t="str">
            <v>6200</v>
          </cell>
          <cell r="G110" t="str">
            <v>减：营业成本</v>
          </cell>
          <cell r="H110" t="str">
            <v>其中：营业成本</v>
          </cell>
          <cell r="I110">
            <v>6401</v>
          </cell>
          <cell r="J110" t="str">
            <v>J</v>
          </cell>
          <cell r="M110" t="str">
            <v>权益法下在被投资单位不能重分类进损益的其他综合收益中享有的份额</v>
          </cell>
          <cell r="S110" t="str">
            <v>1604b</v>
          </cell>
          <cell r="T110" t="str">
            <v>重要在建工程项目变动情况</v>
          </cell>
          <cell r="U110" t="str">
            <v>工程名称</v>
          </cell>
          <cell r="V110">
            <v>1</v>
          </cell>
          <cell r="W110">
            <v>1604</v>
          </cell>
          <cell r="X110">
            <v>2</v>
          </cell>
        </row>
        <row r="111">
          <cell r="B111">
            <v>6411</v>
          </cell>
          <cell r="C111" t="str">
            <v>利息支出</v>
          </cell>
          <cell r="D111">
            <v>1</v>
          </cell>
          <cell r="E111" t="str">
            <v>△</v>
          </cell>
          <cell r="G111" t="str">
            <v>利息支出</v>
          </cell>
          <cell r="H111" t="str">
            <v>利息支出</v>
          </cell>
          <cell r="I111">
            <v>6411</v>
          </cell>
          <cell r="J111" t="str">
            <v>J</v>
          </cell>
          <cell r="M111" t="str">
            <v>其他以后不能重分类进损益的其他综合收益</v>
          </cell>
          <cell r="S111" t="str">
            <v>1604c</v>
          </cell>
          <cell r="T111" t="str">
            <v>重要在建工程项目变动情况（续）</v>
          </cell>
          <cell r="U111" t="str">
            <v>工程名称</v>
          </cell>
          <cell r="V111">
            <v>1</v>
          </cell>
          <cell r="W111">
            <v>1604</v>
          </cell>
          <cell r="X111">
            <v>2</v>
          </cell>
        </row>
        <row r="112">
          <cell r="B112">
            <v>6421</v>
          </cell>
          <cell r="C112" t="str">
            <v>手续费及佣金支出</v>
          </cell>
          <cell r="D112">
            <v>1</v>
          </cell>
          <cell r="E112" t="str">
            <v>△</v>
          </cell>
          <cell r="G112" t="str">
            <v>手续费及佣金支出</v>
          </cell>
          <cell r="H112" t="str">
            <v>手续费及佣金支出</v>
          </cell>
          <cell r="I112">
            <v>6421</v>
          </cell>
          <cell r="J112" t="str">
            <v>J</v>
          </cell>
          <cell r="M112" t="str">
            <v>权益法下在被投资单位以后将重分类进损益的其他综合收益中享有的份额</v>
          </cell>
          <cell r="S112" t="str">
            <v>1604d</v>
          </cell>
          <cell r="T112" t="str">
            <v>在建工程减值准备</v>
          </cell>
          <cell r="U112" t="str">
            <v>项       目</v>
          </cell>
          <cell r="V112">
            <v>1</v>
          </cell>
          <cell r="W112">
            <v>1604</v>
          </cell>
          <cell r="X112">
            <v>2</v>
          </cell>
        </row>
        <row r="113">
          <cell r="B113">
            <v>6531</v>
          </cell>
          <cell r="C113" t="str">
            <v>退保金</v>
          </cell>
          <cell r="D113">
            <v>1</v>
          </cell>
          <cell r="E113" t="str">
            <v>△</v>
          </cell>
          <cell r="G113" t="str">
            <v>退保金</v>
          </cell>
          <cell r="H113" t="str">
            <v>退保金</v>
          </cell>
          <cell r="I113">
            <v>6531</v>
          </cell>
          <cell r="J113" t="str">
            <v>J</v>
          </cell>
          <cell r="M113" t="str">
            <v>可供出售金融资产公允价值变动损益</v>
          </cell>
          <cell r="S113" t="str">
            <v>1605a</v>
          </cell>
          <cell r="T113" t="str">
            <v>工程物资明细项目</v>
          </cell>
          <cell r="U113" t="str">
            <v>项       目</v>
          </cell>
          <cell r="V113">
            <v>1</v>
          </cell>
          <cell r="W113">
            <v>1605</v>
          </cell>
          <cell r="X113">
            <v>1</v>
          </cell>
        </row>
        <row r="114">
          <cell r="B114">
            <v>6510</v>
          </cell>
          <cell r="C114" t="str">
            <v>赔付支出净额</v>
          </cell>
          <cell r="D114">
            <v>1</v>
          </cell>
          <cell r="E114" t="str">
            <v>△</v>
          </cell>
          <cell r="G114" t="str">
            <v>赔付支出净额</v>
          </cell>
          <cell r="H114" t="str">
            <v>赔付支出净额</v>
          </cell>
          <cell r="I114">
            <v>6510</v>
          </cell>
          <cell r="J114" t="str">
            <v>J</v>
          </cell>
          <cell r="M114" t="str">
            <v>持有至到期投资重分类为可供出售金融资产损益</v>
          </cell>
          <cell r="S114" t="str">
            <v>1606a</v>
          </cell>
          <cell r="T114" t="str">
            <v>固定资产清理明细项目</v>
          </cell>
          <cell r="U114" t="str">
            <v>类       别</v>
          </cell>
          <cell r="V114">
            <v>1</v>
          </cell>
          <cell r="W114">
            <v>1606</v>
          </cell>
          <cell r="X114">
            <v>1</v>
          </cell>
        </row>
        <row r="115">
          <cell r="B115">
            <v>6505</v>
          </cell>
          <cell r="C115" t="str">
            <v>提取保险合同准备金净额</v>
          </cell>
          <cell r="D115">
            <v>1</v>
          </cell>
          <cell r="E115" t="str">
            <v>△</v>
          </cell>
          <cell r="G115" t="str">
            <v>提取保险合同准备金净额</v>
          </cell>
          <cell r="H115" t="str">
            <v>提取保险合同准备金净额</v>
          </cell>
          <cell r="I115">
            <v>6505</v>
          </cell>
          <cell r="J115" t="str">
            <v>J</v>
          </cell>
          <cell r="M115" t="str">
            <v>现金流量套期损益的有效部分</v>
          </cell>
          <cell r="S115" t="str">
            <v>1621c</v>
          </cell>
          <cell r="T115" t="str">
            <v>以成本计量的生产性生物资产账面原值</v>
          </cell>
          <cell r="U115" t="str">
            <v>项       目</v>
          </cell>
          <cell r="V115">
            <v>1</v>
          </cell>
          <cell r="W115">
            <v>1621</v>
          </cell>
          <cell r="X115">
            <v>2</v>
          </cell>
        </row>
        <row r="116">
          <cell r="B116">
            <v>6521</v>
          </cell>
          <cell r="C116" t="str">
            <v>保单红利支出</v>
          </cell>
          <cell r="D116">
            <v>1</v>
          </cell>
          <cell r="E116" t="str">
            <v>△</v>
          </cell>
          <cell r="G116" t="str">
            <v>保单红利支出</v>
          </cell>
          <cell r="H116" t="str">
            <v>保单红利支出</v>
          </cell>
          <cell r="I116">
            <v>6521</v>
          </cell>
          <cell r="J116" t="str">
            <v>J</v>
          </cell>
          <cell r="M116" t="str">
            <v>外币财务报表折算差额</v>
          </cell>
          <cell r="S116" t="str">
            <v>1621d</v>
          </cell>
          <cell r="T116" t="str">
            <v>以成本计量的生产性生物资产累计折旧</v>
          </cell>
          <cell r="U116" t="str">
            <v>项       目</v>
          </cell>
          <cell r="V116">
            <v>1</v>
          </cell>
          <cell r="W116">
            <v>1621</v>
          </cell>
          <cell r="X116">
            <v>2</v>
          </cell>
        </row>
        <row r="117">
          <cell r="B117">
            <v>6542</v>
          </cell>
          <cell r="C117" t="str">
            <v>分保费用</v>
          </cell>
          <cell r="D117">
            <v>1</v>
          </cell>
          <cell r="E117" t="str">
            <v>△</v>
          </cell>
          <cell r="G117" t="str">
            <v>分保费用</v>
          </cell>
          <cell r="H117" t="str">
            <v>分保费用</v>
          </cell>
          <cell r="I117">
            <v>6542</v>
          </cell>
          <cell r="J117" t="str">
            <v>J</v>
          </cell>
          <cell r="M117" t="str">
            <v>自用房地产或作为存货的房地产转换为以公允价值计量的投资性房地产在转换日公允价值大于账面价值部分</v>
          </cell>
          <cell r="S117" t="str">
            <v>1621e</v>
          </cell>
          <cell r="T117" t="str">
            <v>以成本计量的生产性生物资产减值准备</v>
          </cell>
          <cell r="U117" t="str">
            <v>项       目</v>
          </cell>
          <cell r="V117">
            <v>1</v>
          </cell>
          <cell r="W117">
            <v>1621</v>
          </cell>
          <cell r="X117">
            <v>2</v>
          </cell>
        </row>
        <row r="118">
          <cell r="B118">
            <v>6600</v>
          </cell>
          <cell r="C118" t="str">
            <v>营业税金及附加</v>
          </cell>
          <cell r="D118">
            <v>1</v>
          </cell>
          <cell r="F118" t="str">
            <v>6610</v>
          </cell>
          <cell r="G118" t="str">
            <v>营业税金及附加</v>
          </cell>
          <cell r="H118" t="str">
            <v>营业税金及附加</v>
          </cell>
          <cell r="I118">
            <v>6600</v>
          </cell>
          <cell r="J118" t="str">
            <v>J</v>
          </cell>
          <cell r="M118" t="str">
            <v>多次交易分步处置子公司股权构成一揽子交易的丧失控制权之前各次交易处置价款与对应净资产账面价值份额的差额</v>
          </cell>
          <cell r="S118" t="str">
            <v>1621f</v>
          </cell>
          <cell r="T118" t="str">
            <v>以成本计量的生产性生物资产账面价值</v>
          </cell>
          <cell r="U118" t="str">
            <v>项       目</v>
          </cell>
          <cell r="V118">
            <v>1</v>
          </cell>
          <cell r="W118">
            <v>1621</v>
          </cell>
          <cell r="X118">
            <v>1</v>
          </cell>
        </row>
        <row r="119">
          <cell r="B119">
            <v>6601</v>
          </cell>
          <cell r="C119" t="str">
            <v>销售费用</v>
          </cell>
          <cell r="D119">
            <v>1</v>
          </cell>
          <cell r="F119" t="str">
            <v>6310</v>
          </cell>
          <cell r="G119" t="str">
            <v>销售费用</v>
          </cell>
          <cell r="H119" t="str">
            <v>销售费用</v>
          </cell>
          <cell r="I119">
            <v>6601</v>
          </cell>
          <cell r="J119" t="str">
            <v>J</v>
          </cell>
          <cell r="M119" t="str">
            <v>其他以后将重分类进损益的其他综合收益</v>
          </cell>
          <cell r="S119" t="str">
            <v>1621b</v>
          </cell>
          <cell r="T119" t="str">
            <v>以公允价值计量的生产性生物资产明细列示</v>
          </cell>
          <cell r="U119" t="str">
            <v>项       目</v>
          </cell>
          <cell r="V119">
            <v>1</v>
          </cell>
          <cell r="W119">
            <v>1621</v>
          </cell>
          <cell r="X119">
            <v>2</v>
          </cell>
        </row>
        <row r="120">
          <cell r="B120">
            <v>6602</v>
          </cell>
          <cell r="C120" t="str">
            <v>管理费用</v>
          </cell>
          <cell r="D120">
            <v>1</v>
          </cell>
          <cell r="F120" t="str">
            <v>6320</v>
          </cell>
          <cell r="G120" t="str">
            <v>管理费用</v>
          </cell>
          <cell r="H120" t="str">
            <v>管理费用</v>
          </cell>
          <cell r="I120">
            <v>6602</v>
          </cell>
          <cell r="J120" t="str">
            <v>J</v>
          </cell>
          <cell r="M120" t="str">
            <v>归属于少数股东的其他综合收益的税后净额</v>
          </cell>
          <cell r="S120" t="str">
            <v>1621a</v>
          </cell>
          <cell r="T120" t="str">
            <v>以成本计量的生产性生物资产明细列示</v>
          </cell>
          <cell r="U120" t="str">
            <v>项       目</v>
          </cell>
          <cell r="V120">
            <v>1</v>
          </cell>
          <cell r="W120">
            <v>1621</v>
          </cell>
          <cell r="X120">
            <v>1</v>
          </cell>
        </row>
        <row r="121">
          <cell r="B121">
            <v>6603</v>
          </cell>
          <cell r="C121" t="str">
            <v>财务费用</v>
          </cell>
          <cell r="D121">
            <v>1</v>
          </cell>
          <cell r="F121" t="str">
            <v>6330</v>
          </cell>
          <cell r="G121" t="str">
            <v>财务费用</v>
          </cell>
          <cell r="H121" t="str">
            <v>财务费用</v>
          </cell>
          <cell r="I121">
            <v>6603</v>
          </cell>
          <cell r="J121" t="str">
            <v>J</v>
          </cell>
          <cell r="M121" t="str">
            <v>实收资本_上年年末余额</v>
          </cell>
          <cell r="S121" t="str">
            <v>1631a</v>
          </cell>
          <cell r="T121" t="str">
            <v>油气资产明细项目</v>
          </cell>
          <cell r="U121" t="str">
            <v>项       目</v>
          </cell>
          <cell r="V121">
            <v>1</v>
          </cell>
          <cell r="W121">
            <v>1631</v>
          </cell>
          <cell r="X121">
            <v>1</v>
          </cell>
        </row>
        <row r="122">
          <cell r="B122">
            <v>6671</v>
          </cell>
          <cell r="C122" t="str">
            <v>资产减值损失</v>
          </cell>
          <cell r="D122">
            <v>1</v>
          </cell>
          <cell r="F122" t="str">
            <v>6350</v>
          </cell>
          <cell r="G122" t="str">
            <v>资产减值损失</v>
          </cell>
          <cell r="H122" t="str">
            <v>资产减值损失</v>
          </cell>
          <cell r="I122">
            <v>6671</v>
          </cell>
          <cell r="J122" t="str">
            <v>J</v>
          </cell>
          <cell r="M122" t="str">
            <v>实收资本_会计政策变更调整上年年末余额</v>
          </cell>
          <cell r="S122" t="str">
            <v>1701a</v>
          </cell>
          <cell r="T122" t="str">
            <v>无形资产账面原值</v>
          </cell>
          <cell r="U122" t="str">
            <v>项       目</v>
          </cell>
          <cell r="V122">
            <v>1</v>
          </cell>
          <cell r="W122">
            <v>1701</v>
          </cell>
          <cell r="X122">
            <v>2</v>
          </cell>
        </row>
        <row r="123">
          <cell r="B123">
            <v>6101</v>
          </cell>
          <cell r="C123" t="str">
            <v>公允价值变动收益</v>
          </cell>
          <cell r="D123">
            <v>-1</v>
          </cell>
          <cell r="F123" t="str">
            <v>6410</v>
          </cell>
          <cell r="G123" t="str">
            <v>加：公允价值变动收益（损失以“-”号填列）</v>
          </cell>
          <cell r="H123" t="str">
            <v>加：公允价值变动收益（损失以“-”号填列）</v>
          </cell>
          <cell r="I123">
            <v>6101</v>
          </cell>
          <cell r="J123" t="str">
            <v>J</v>
          </cell>
          <cell r="M123" t="str">
            <v>实收资本_前期差错更正调整上年年末余额</v>
          </cell>
          <cell r="S123" t="str">
            <v>1701b</v>
          </cell>
          <cell r="T123" t="str">
            <v>无形资产累计摊销</v>
          </cell>
          <cell r="U123" t="str">
            <v>项       目</v>
          </cell>
          <cell r="V123">
            <v>1</v>
          </cell>
          <cell r="W123">
            <v>1701</v>
          </cell>
          <cell r="X123">
            <v>2</v>
          </cell>
        </row>
        <row r="124">
          <cell r="B124">
            <v>6111</v>
          </cell>
          <cell r="C124" t="str">
            <v>投资收益</v>
          </cell>
          <cell r="D124">
            <v>-1</v>
          </cell>
          <cell r="F124" t="str">
            <v>6420</v>
          </cell>
          <cell r="G124" t="str">
            <v>投资收益（损失以“-”号填列）</v>
          </cell>
          <cell r="H124" t="str">
            <v>投资收益（损失以“-”号填列）</v>
          </cell>
          <cell r="I124">
            <v>6111</v>
          </cell>
          <cell r="J124" t="str">
            <v>J</v>
          </cell>
          <cell r="M124" t="str">
            <v>实收资本_同一控制下企业合并调整上年年末余额</v>
          </cell>
          <cell r="S124" t="str">
            <v>1701c</v>
          </cell>
          <cell r="T124" t="str">
            <v>无形资产减值准备</v>
          </cell>
          <cell r="U124" t="str">
            <v>项       目</v>
          </cell>
          <cell r="V124">
            <v>1</v>
          </cell>
          <cell r="W124">
            <v>1701</v>
          </cell>
          <cell r="X124">
            <v>2</v>
          </cell>
        </row>
        <row r="125">
          <cell r="B125">
            <v>6111.01</v>
          </cell>
          <cell r="C125" t="str">
            <v>对联营企业和合营企业的投资收益</v>
          </cell>
          <cell r="D125">
            <v>-1</v>
          </cell>
          <cell r="G125" t="str">
            <v>其中：对联营企业和合营企业的投资收益</v>
          </cell>
          <cell r="H125" t="str">
            <v>其中：对联营企业和合营企业的投资收益</v>
          </cell>
          <cell r="I125">
            <v>6111.01</v>
          </cell>
          <cell r="J125" t="str">
            <v>J</v>
          </cell>
          <cell r="M125" t="str">
            <v>实收资本_其他原因调整上年年末余额</v>
          </cell>
          <cell r="S125" t="str">
            <v>1701d</v>
          </cell>
          <cell r="T125" t="str">
            <v>无形资产账面价值</v>
          </cell>
          <cell r="U125" t="str">
            <v>项       目</v>
          </cell>
          <cell r="V125">
            <v>1</v>
          </cell>
          <cell r="W125">
            <v>1701</v>
          </cell>
          <cell r="X125">
            <v>1</v>
          </cell>
        </row>
        <row r="126">
          <cell r="B126">
            <v>6161</v>
          </cell>
          <cell r="C126" t="str">
            <v>汇兑收益</v>
          </cell>
          <cell r="D126">
            <v>-1</v>
          </cell>
          <cell r="E126" t="str">
            <v>△</v>
          </cell>
          <cell r="G126" t="str">
            <v>汇兑收益（损失以“-”号填列）</v>
          </cell>
          <cell r="H126" t="str">
            <v>汇兑收益（损失以“-”号填列）</v>
          </cell>
          <cell r="I126">
            <v>6161</v>
          </cell>
          <cell r="J126" t="str">
            <v>J</v>
          </cell>
          <cell r="M126" t="str">
            <v>实收资本_所有者投入资本</v>
          </cell>
          <cell r="S126" t="str">
            <v>1701e</v>
          </cell>
          <cell r="T126" t="str">
            <v>未办妥产权证书的土地使用权情况</v>
          </cell>
          <cell r="U126" t="str">
            <v>项       目</v>
          </cell>
          <cell r="V126">
            <v>1</v>
          </cell>
          <cell r="W126">
            <v>1701</v>
          </cell>
          <cell r="X126">
            <v>2</v>
          </cell>
        </row>
        <row r="127">
          <cell r="B127">
            <v>6689</v>
          </cell>
          <cell r="C127" t="str">
            <v>营业利润</v>
          </cell>
          <cell r="E127" t="str">
            <v>＝</v>
          </cell>
          <cell r="G127" t="str">
            <v>二、营业利润（亏损以“-”号填列）</v>
          </cell>
          <cell r="H127" t="str">
            <v>三、营业利润（亏损以“-”号填列）</v>
          </cell>
          <cell r="I127">
            <v>6689</v>
          </cell>
          <cell r="M127" t="str">
            <v>实收资本_其他权益工具持有者投入资本</v>
          </cell>
          <cell r="S127" t="str">
            <v>1705t</v>
          </cell>
          <cell r="T127" t="str">
            <v>无形资产抵押情况</v>
          </cell>
          <cell r="U127" t="str">
            <v>项       目</v>
          </cell>
          <cell r="V127">
            <v>1</v>
          </cell>
          <cell r="W127">
            <v>1701</v>
          </cell>
          <cell r="X127">
            <v>2</v>
          </cell>
        </row>
        <row r="128">
          <cell r="B128">
            <v>6710</v>
          </cell>
          <cell r="C128" t="str">
            <v>营业外收入</v>
          </cell>
          <cell r="D128">
            <v>-1</v>
          </cell>
          <cell r="F128" t="str">
            <v>6510</v>
          </cell>
          <cell r="G128" t="str">
            <v>加：营业外收入</v>
          </cell>
          <cell r="H128" t="str">
            <v>加：营业外收入</v>
          </cell>
          <cell r="I128">
            <v>6710</v>
          </cell>
          <cell r="J128" t="str">
            <v>J</v>
          </cell>
          <cell r="M128" t="str">
            <v>实收资本_所有者其他投入和减少资本</v>
          </cell>
          <cell r="S128" t="str">
            <v>1705a</v>
          </cell>
          <cell r="T128" t="str">
            <v>无形资产情况</v>
          </cell>
          <cell r="U128" t="str">
            <v>项       目</v>
          </cell>
          <cell r="V128">
            <v>-1</v>
          </cell>
          <cell r="W128">
            <v>1701</v>
          </cell>
          <cell r="X128">
            <v>1</v>
          </cell>
        </row>
        <row r="129">
          <cell r="B129">
            <v>6710.11</v>
          </cell>
          <cell r="C129" t="str">
            <v>营业外收入_非流动资产处置利得</v>
          </cell>
          <cell r="D129">
            <v>-1</v>
          </cell>
          <cell r="G129" t="str">
            <v>其中：非流动资产处置利得</v>
          </cell>
          <cell r="H129" t="str">
            <v>其中：非流动资产处置利得</v>
          </cell>
          <cell r="I129">
            <v>6710.11</v>
          </cell>
          <cell r="J129" t="str">
            <v>J</v>
          </cell>
          <cell r="M129" t="str">
            <v>实收资本_资本公积转增</v>
          </cell>
          <cell r="S129" t="str">
            <v>1705b</v>
          </cell>
          <cell r="T129" t="str">
            <v>开发支出明细项目</v>
          </cell>
          <cell r="U129" t="str">
            <v>项       目</v>
          </cell>
          <cell r="V129">
            <v>-1</v>
          </cell>
          <cell r="W129">
            <v>1700</v>
          </cell>
          <cell r="X129">
            <v>1</v>
          </cell>
        </row>
        <row r="130">
          <cell r="B130">
            <v>6711</v>
          </cell>
          <cell r="C130" t="str">
            <v>营业外支出</v>
          </cell>
          <cell r="D130">
            <v>1</v>
          </cell>
          <cell r="F130" t="str">
            <v>6520</v>
          </cell>
          <cell r="G130" t="str">
            <v>减：营业外支出</v>
          </cell>
          <cell r="H130" t="str">
            <v>减：营业外支出</v>
          </cell>
          <cell r="I130">
            <v>6711</v>
          </cell>
          <cell r="J130" t="str">
            <v>J</v>
          </cell>
          <cell r="M130" t="str">
            <v>实收资本_盈余公积转增</v>
          </cell>
          <cell r="S130" t="str">
            <v>1711a</v>
          </cell>
          <cell r="T130" t="str">
            <v>商誉账面原值</v>
          </cell>
          <cell r="U130" t="str">
            <v>被投资单位名称或形成商誉的事项</v>
          </cell>
          <cell r="V130">
            <v>1</v>
          </cell>
          <cell r="W130">
            <v>1711</v>
          </cell>
          <cell r="X130">
            <v>1</v>
          </cell>
        </row>
        <row r="131">
          <cell r="B131">
            <v>6711.01</v>
          </cell>
          <cell r="C131" t="str">
            <v>非流动资产处置损失</v>
          </cell>
          <cell r="D131">
            <v>1</v>
          </cell>
          <cell r="G131" t="str">
            <v>其中：非流动资产处置损失</v>
          </cell>
          <cell r="H131" t="str">
            <v>其中：非流动资产处置损失</v>
          </cell>
          <cell r="I131">
            <v>6711.01</v>
          </cell>
          <cell r="J131" t="str">
            <v>J</v>
          </cell>
          <cell r="M131" t="str">
            <v>实收资本_结转重新计量设定受益计划净负债或净资产所产生的变动</v>
          </cell>
          <cell r="S131" t="str">
            <v>1711b</v>
          </cell>
          <cell r="T131" t="str">
            <v xml:space="preserve">商誉减值准备 </v>
          </cell>
          <cell r="U131" t="str">
            <v>被投资单位名称或形成商誉的事项</v>
          </cell>
          <cell r="V131">
            <v>1</v>
          </cell>
          <cell r="W131">
            <v>1711</v>
          </cell>
          <cell r="X131">
            <v>1</v>
          </cell>
        </row>
        <row r="132">
          <cell r="B132">
            <v>6788</v>
          </cell>
          <cell r="C132" t="str">
            <v>利润总额</v>
          </cell>
          <cell r="E132" t="str">
            <v>＝</v>
          </cell>
          <cell r="G132" t="str">
            <v>三、利润总额（亏损总额以“-”号填列）</v>
          </cell>
          <cell r="H132" t="str">
            <v>四、利润总额（亏损总额以“-”号填列）</v>
          </cell>
          <cell r="I132">
            <v>6788</v>
          </cell>
          <cell r="M132" t="str">
            <v>实收资本_所有者权益其他内部结转</v>
          </cell>
          <cell r="S132" t="str">
            <v>1801a</v>
          </cell>
          <cell r="T132" t="str">
            <v>长期待摊费用明细项目</v>
          </cell>
          <cell r="U132" t="str">
            <v>项       目</v>
          </cell>
          <cell r="V132">
            <v>1</v>
          </cell>
          <cell r="W132">
            <v>1801</v>
          </cell>
          <cell r="X132">
            <v>1</v>
          </cell>
        </row>
        <row r="133">
          <cell r="B133">
            <v>6791</v>
          </cell>
          <cell r="C133" t="str">
            <v>所得税费用</v>
          </cell>
          <cell r="D133">
            <v>1</v>
          </cell>
          <cell r="F133" t="str">
            <v>6620</v>
          </cell>
          <cell r="G133" t="str">
            <v>减：所得税费用</v>
          </cell>
          <cell r="H133" t="str">
            <v>减：所得税费用</v>
          </cell>
          <cell r="I133">
            <v>6791</v>
          </cell>
          <cell r="J133" t="str">
            <v>J</v>
          </cell>
          <cell r="M133" t="str">
            <v>实收资本_本期其他增减变动</v>
          </cell>
          <cell r="S133" t="str">
            <v>1829a</v>
          </cell>
          <cell r="T133" t="str">
            <v>未经抵销的递延所得税资产</v>
          </cell>
          <cell r="U133" t="str">
            <v>项       目</v>
          </cell>
          <cell r="V133">
            <v>-1</v>
          </cell>
          <cell r="W133">
            <v>1811</v>
          </cell>
          <cell r="X133">
            <v>1</v>
          </cell>
        </row>
        <row r="134">
          <cell r="B134">
            <v>6799</v>
          </cell>
          <cell r="C134" t="str">
            <v>净利润</v>
          </cell>
          <cell r="E134" t="str">
            <v>＝</v>
          </cell>
          <cell r="G134" t="str">
            <v>四、净利润（净亏损以“-”号填列）</v>
          </cell>
          <cell r="H134" t="str">
            <v>五、净利润（净亏损以“-”号填列）</v>
          </cell>
          <cell r="I134">
            <v>6799</v>
          </cell>
          <cell r="M134" t="str">
            <v>其他权益工具（优先股）_上年年末余额</v>
          </cell>
          <cell r="S134" t="str">
            <v>1829b</v>
          </cell>
          <cell r="T134" t="str">
            <v>未经抵销的递延所得税负债</v>
          </cell>
          <cell r="U134" t="str">
            <v>项       目</v>
          </cell>
          <cell r="V134">
            <v>-1</v>
          </cell>
          <cell r="W134">
            <v>2901</v>
          </cell>
          <cell r="X134">
            <v>1</v>
          </cell>
        </row>
        <row r="135">
          <cell r="B135">
            <v>6805</v>
          </cell>
          <cell r="C135" t="str">
            <v>同一控制下企业合并的被合并方在合并前实现的净利润</v>
          </cell>
          <cell r="D135">
            <v>1</v>
          </cell>
          <cell r="E135" t="str">
            <v>※</v>
          </cell>
          <cell r="G135" t="str">
            <v>其中：同一控制下企业合并的被合并方在合并前实现的净利润</v>
          </cell>
          <cell r="H135" t="str">
            <v>其中：同一控制下企业合并的被合并方在合并前实现的净利润</v>
          </cell>
          <cell r="I135">
            <v>6805</v>
          </cell>
          <cell r="M135" t="str">
            <v>其他权益工具（优先股）_会计政策变更调整上年年末余额</v>
          </cell>
          <cell r="S135" t="str">
            <v>1829c</v>
          </cell>
          <cell r="T135" t="str">
            <v>以抵销后净额列示的递延所得税资产或负债</v>
          </cell>
          <cell r="U135" t="str">
            <v>项       目</v>
          </cell>
          <cell r="V135">
            <v>-1</v>
          </cell>
          <cell r="X135">
            <v>2</v>
          </cell>
        </row>
        <row r="136">
          <cell r="B136">
            <v>6811</v>
          </cell>
          <cell r="C136" t="str">
            <v>归属于母公司所有者的净利润</v>
          </cell>
          <cell r="D136">
            <v>-1</v>
          </cell>
          <cell r="E136" t="str">
            <v>※</v>
          </cell>
          <cell r="G136" t="str">
            <v>归属于母公司股东的净利润</v>
          </cell>
          <cell r="H136" t="str">
            <v>归属于母公司股东的净利润</v>
          </cell>
          <cell r="I136">
            <v>6811</v>
          </cell>
          <cell r="J136" t="str">
            <v>J</v>
          </cell>
          <cell r="M136" t="str">
            <v>其他权益工具（优先股）_前期差错更正调整上年年末余额</v>
          </cell>
          <cell r="S136" t="str">
            <v>1829e</v>
          </cell>
          <cell r="T136" t="str">
            <v>未确认递延所得税资产的可抵扣暂时性差异及可抵扣亏损明细</v>
          </cell>
          <cell r="U136" t="str">
            <v>项       目</v>
          </cell>
          <cell r="V136">
            <v>-1</v>
          </cell>
          <cell r="X136">
            <v>2</v>
          </cell>
        </row>
        <row r="137">
          <cell r="B137">
            <v>6812</v>
          </cell>
          <cell r="C137" t="str">
            <v>少数股东损益</v>
          </cell>
          <cell r="D137">
            <v>1</v>
          </cell>
          <cell r="E137" t="str">
            <v>※</v>
          </cell>
          <cell r="G137" t="str">
            <v>少数股东损益</v>
          </cell>
          <cell r="H137" t="str">
            <v>少数股东损益</v>
          </cell>
          <cell r="I137">
            <v>6812</v>
          </cell>
          <cell r="J137" t="str">
            <v>J</v>
          </cell>
          <cell r="M137" t="str">
            <v>其他权益工具（优先股）_同一控制下企业合并调整上年年末余额</v>
          </cell>
          <cell r="S137" t="str">
            <v>1829f</v>
          </cell>
          <cell r="T137" t="str">
            <v>未确认递延所得税资产的可抵扣亏损将于以下年度到期</v>
          </cell>
          <cell r="U137" t="str">
            <v>年       份</v>
          </cell>
          <cell r="V137">
            <v>-1</v>
          </cell>
          <cell r="X137">
            <v>2</v>
          </cell>
        </row>
        <row r="138">
          <cell r="B138">
            <v>6820</v>
          </cell>
          <cell r="C138" t="str">
            <v>每股收益</v>
          </cell>
          <cell r="E138" t="str">
            <v>：</v>
          </cell>
          <cell r="G138" t="str">
            <v>七、每股收益：</v>
          </cell>
          <cell r="H138" t="str">
            <v>六、每股收益：</v>
          </cell>
          <cell r="I138">
            <v>6820</v>
          </cell>
          <cell r="M138" t="str">
            <v>其他权益工具（优先股）_其他原因调整上年年末余额</v>
          </cell>
          <cell r="S138" t="str">
            <v>1996a</v>
          </cell>
          <cell r="T138" t="str">
            <v>其他非流动资产明细项目</v>
          </cell>
          <cell r="U138" t="str">
            <v>项       目</v>
          </cell>
          <cell r="V138">
            <v>1</v>
          </cell>
          <cell r="W138">
            <v>1996</v>
          </cell>
          <cell r="X138">
            <v>1</v>
          </cell>
        </row>
        <row r="139">
          <cell r="B139">
            <v>6821</v>
          </cell>
          <cell r="C139" t="str">
            <v>基本每股收益</v>
          </cell>
          <cell r="G139" t="str">
            <v>（一）基本每股收益</v>
          </cell>
          <cell r="H139" t="str">
            <v>（一）基本每股收益</v>
          </cell>
          <cell r="I139">
            <v>6821</v>
          </cell>
          <cell r="M139" t="str">
            <v>其他权益工具（优先股）_所有者投入资本</v>
          </cell>
          <cell r="S139" t="str">
            <v>2001a</v>
          </cell>
          <cell r="T139" t="str">
            <v>短期借款明细项目</v>
          </cell>
          <cell r="U139" t="str">
            <v>借款类别</v>
          </cell>
          <cell r="V139">
            <v>1</v>
          </cell>
          <cell r="W139">
            <v>2001</v>
          </cell>
          <cell r="X139">
            <v>1</v>
          </cell>
        </row>
        <row r="140">
          <cell r="B140">
            <v>6822</v>
          </cell>
          <cell r="C140" t="str">
            <v>稀释每股收益</v>
          </cell>
          <cell r="G140" t="str">
            <v>（二）稀释每股收益</v>
          </cell>
          <cell r="H140" t="str">
            <v>（二）稀释每股收益</v>
          </cell>
          <cell r="I140">
            <v>6822</v>
          </cell>
          <cell r="M140" t="str">
            <v>其他权益工具（优先股）_股份支付</v>
          </cell>
          <cell r="S140" t="str">
            <v>2001b</v>
          </cell>
          <cell r="T140" t="str">
            <v>重要的逾期借款情况</v>
          </cell>
          <cell r="U140" t="str">
            <v>贷款单位</v>
          </cell>
          <cell r="V140">
            <v>1</v>
          </cell>
          <cell r="W140">
            <v>2001</v>
          </cell>
          <cell r="X140">
            <v>2</v>
          </cell>
        </row>
        <row r="141">
          <cell r="B141">
            <v>6829</v>
          </cell>
          <cell r="C141" t="str">
            <v>其他综合收益的税后净额</v>
          </cell>
          <cell r="E141" t="str">
            <v>＝</v>
          </cell>
          <cell r="G141" t="str">
            <v>五、其他综合收益的税后净额</v>
          </cell>
          <cell r="H141" t="str">
            <v>五、其他综合收益的税后净额</v>
          </cell>
          <cell r="I141">
            <v>6829</v>
          </cell>
          <cell r="M141" t="str">
            <v>其他权益工具（优先股）_其他权益工具持有者投入资本</v>
          </cell>
          <cell r="S141" t="str">
            <v>2001c</v>
          </cell>
          <cell r="T141" t="str">
            <v>外币货币性项目——短期借款</v>
          </cell>
          <cell r="U141" t="str">
            <v>币       种</v>
          </cell>
          <cell r="V141">
            <v>1</v>
          </cell>
          <cell r="W141">
            <v>2001</v>
          </cell>
          <cell r="X141">
            <v>2</v>
          </cell>
        </row>
        <row r="142">
          <cell r="B142">
            <v>6829.2</v>
          </cell>
          <cell r="C142" t="str">
            <v>归属于母公司所有者的其他综合收益的税后净额</v>
          </cell>
          <cell r="E142" t="str">
            <v>※</v>
          </cell>
          <cell r="G142" t="str">
            <v>归属于母公司股东的其他综合收益的税后净额</v>
          </cell>
          <cell r="H142" t="str">
            <v>归属于母公司股东的其他综合收益的税后净额</v>
          </cell>
          <cell r="I142">
            <v>6829.2</v>
          </cell>
          <cell r="M142" t="str">
            <v>其他权益工具（优先股）_所有者其他投入和减少资本</v>
          </cell>
          <cell r="S142" t="str">
            <v>2101a</v>
          </cell>
          <cell r="T142" t="str">
            <v>以公允价值计量且其变动计入当期损益的金融负债</v>
          </cell>
          <cell r="U142" t="str">
            <v>项       目</v>
          </cell>
          <cell r="V142">
            <v>1</v>
          </cell>
          <cell r="W142">
            <v>2101</v>
          </cell>
          <cell r="X142">
            <v>1</v>
          </cell>
        </row>
        <row r="143">
          <cell r="B143">
            <v>6829.21</v>
          </cell>
          <cell r="C143" t="str">
            <v>以后不能重分类进损益的其他综合收益</v>
          </cell>
          <cell r="E143" t="str">
            <v>＝</v>
          </cell>
          <cell r="G143" t="str">
            <v>（一）以后不能重分类进损益的其他综合收益</v>
          </cell>
          <cell r="H143" t="str">
            <v>（一）以后不能重分类进损益的其他综合收益</v>
          </cell>
          <cell r="I143">
            <v>6829.21</v>
          </cell>
          <cell r="M143" t="str">
            <v>其他权益工具（优先股）_提取盈余公积</v>
          </cell>
          <cell r="S143" t="str">
            <v>2115a</v>
          </cell>
          <cell r="T143" t="str">
            <v>衍生金融负债</v>
          </cell>
          <cell r="U143" t="str">
            <v>项       目</v>
          </cell>
          <cell r="V143">
            <v>1</v>
          </cell>
          <cell r="W143">
            <v>2115</v>
          </cell>
          <cell r="X143">
            <v>1</v>
          </cell>
        </row>
        <row r="144">
          <cell r="B144">
            <v>6829.2110000000002</v>
          </cell>
          <cell r="C144" t="str">
            <v>重新计量设定受益计划净负债或净资产的变动</v>
          </cell>
          <cell r="D144">
            <v>-1</v>
          </cell>
          <cell r="E144" t="str">
            <v>Ｘ</v>
          </cell>
          <cell r="G144" t="str">
            <v>1、重新计量设定受益计划净负债或净资产的变动</v>
          </cell>
          <cell r="H144" t="str">
            <v>1、重新计量设定受益计划净负债或净资产的变动</v>
          </cell>
          <cell r="I144">
            <v>6829.2110000000002</v>
          </cell>
          <cell r="J144" t="str">
            <v>J</v>
          </cell>
          <cell r="M144" t="str">
            <v>其他权益工具（优先股）_提取一般风险准备</v>
          </cell>
          <cell r="S144" t="str">
            <v>2201a</v>
          </cell>
          <cell r="T144" t="str">
            <v>应付票据明细项目</v>
          </cell>
          <cell r="U144" t="str">
            <v>种       类</v>
          </cell>
          <cell r="V144">
            <v>1</v>
          </cell>
          <cell r="W144">
            <v>2201</v>
          </cell>
          <cell r="X144">
            <v>1</v>
          </cell>
        </row>
        <row r="145">
          <cell r="B145">
            <v>6829.2120000000004</v>
          </cell>
          <cell r="C145" t="str">
            <v>权益法下在被投资单位不能重分类进损益的其他综合收益中享有的份额</v>
          </cell>
          <cell r="D145">
            <v>-1</v>
          </cell>
          <cell r="E145" t="str">
            <v>Ｘ</v>
          </cell>
          <cell r="G145" t="str">
            <v>2、权益法下在被投资单位不能重分类进损益的其他综合收益中享有的份额</v>
          </cell>
          <cell r="H145" t="str">
            <v>2、权益法下在被投资单位不能重分类进损益的其他综合收益中享有的份额</v>
          </cell>
          <cell r="I145">
            <v>6829.2120000000004</v>
          </cell>
          <cell r="J145" t="str">
            <v>J</v>
          </cell>
          <cell r="M145" t="str">
            <v>其他权益工具（优先股）_对所有者的分配</v>
          </cell>
          <cell r="S145" t="str">
            <v>2202e</v>
          </cell>
          <cell r="T145" t="str">
            <v>应付账款按项目列示</v>
          </cell>
          <cell r="U145" t="str">
            <v>项       目</v>
          </cell>
          <cell r="V145">
            <v>1</v>
          </cell>
          <cell r="W145">
            <v>2202</v>
          </cell>
          <cell r="X145">
            <v>1</v>
          </cell>
        </row>
        <row r="146">
          <cell r="B146">
            <v>6829.2190000000001</v>
          </cell>
          <cell r="C146" t="str">
            <v>其他以后不能重分类进损益的其他综合收益</v>
          </cell>
          <cell r="D146">
            <v>-1</v>
          </cell>
          <cell r="G146" t="str">
            <v>3、其他</v>
          </cell>
          <cell r="H146" t="str">
            <v>3、其他</v>
          </cell>
          <cell r="I146">
            <v>6829.2190000000001</v>
          </cell>
          <cell r="J146" t="str">
            <v>J</v>
          </cell>
          <cell r="M146" t="str">
            <v>其他权益工具（优先股）_其他利润分配</v>
          </cell>
          <cell r="S146" t="str">
            <v>2202a</v>
          </cell>
          <cell r="T146" t="str">
            <v>账龄超过1年的重要应付账款</v>
          </cell>
          <cell r="U146" t="str">
            <v>债权人名称</v>
          </cell>
          <cell r="V146">
            <v>1</v>
          </cell>
          <cell r="W146">
            <v>2202</v>
          </cell>
          <cell r="X146">
            <v>2</v>
          </cell>
        </row>
        <row r="147">
          <cell r="B147">
            <v>6829.23</v>
          </cell>
          <cell r="C147" t="str">
            <v>以后将重分类进损益的其他综合收益</v>
          </cell>
          <cell r="E147" t="str">
            <v>＝</v>
          </cell>
          <cell r="G147" t="str">
            <v>（二）以后将重分类进损益的其他综合收益</v>
          </cell>
          <cell r="H147" t="str">
            <v>（二）以后将重分类进损益的其他综合收益</v>
          </cell>
          <cell r="I147">
            <v>6829.23</v>
          </cell>
          <cell r="M147" t="str">
            <v>其他权益工具（优先股）_资本公积转增资本</v>
          </cell>
          <cell r="S147" t="str">
            <v>2202d</v>
          </cell>
          <cell r="T147" t="str">
            <v>外币货币性项目——应付账款</v>
          </cell>
          <cell r="U147" t="str">
            <v>币       种</v>
          </cell>
          <cell r="V147">
            <v>1</v>
          </cell>
          <cell r="W147">
            <v>2202</v>
          </cell>
          <cell r="X147">
            <v>2</v>
          </cell>
        </row>
        <row r="148">
          <cell r="B148">
            <v>6829.2309999999998</v>
          </cell>
          <cell r="C148" t="str">
            <v>权益法下在被投资单位以后将重分类进损益的其他综合收益中享有的份额</v>
          </cell>
          <cell r="D148">
            <v>-1</v>
          </cell>
          <cell r="E148" t="str">
            <v>Ｘ</v>
          </cell>
          <cell r="G148" t="str">
            <v>1、权益法下在被投资单位以后将重分类进损益的其他综合收益中享有的份额</v>
          </cell>
          <cell r="H148" t="str">
            <v>1、权益法下在被投资单位以后将重分类进损益的其他综合收益中享有的份额</v>
          </cell>
          <cell r="I148">
            <v>6829.2309999999998</v>
          </cell>
          <cell r="J148" t="str">
            <v>J</v>
          </cell>
          <cell r="M148" t="str">
            <v>其他权益工具（优先股）_盈余公积转增资本</v>
          </cell>
          <cell r="S148" t="str">
            <v>2202c</v>
          </cell>
          <cell r="T148" t="str">
            <v>关联方应收应付款项——应付账款</v>
          </cell>
          <cell r="U148" t="str">
            <v>关联方</v>
          </cell>
          <cell r="V148">
            <v>1</v>
          </cell>
          <cell r="W148">
            <v>2202</v>
          </cell>
          <cell r="X148">
            <v>2</v>
          </cell>
        </row>
        <row r="149">
          <cell r="B149">
            <v>6829.232</v>
          </cell>
          <cell r="C149" t="str">
            <v>可供出售金融资产公允价值变动损益</v>
          </cell>
          <cell r="D149">
            <v>-1</v>
          </cell>
          <cell r="E149" t="str">
            <v>Ｘ</v>
          </cell>
          <cell r="G149" t="str">
            <v>2、可供出售金融资产公允价值变动损益</v>
          </cell>
          <cell r="H149" t="str">
            <v>2、可供出售金融资产公允价值变动损益</v>
          </cell>
          <cell r="I149">
            <v>6829.232</v>
          </cell>
          <cell r="J149" t="str">
            <v>J</v>
          </cell>
          <cell r="M149" t="str">
            <v>其他权益工具（优先股）_盈余公积弥补亏损</v>
          </cell>
          <cell r="S149" t="str">
            <v>2205f</v>
          </cell>
          <cell r="T149" t="str">
            <v>预收账款按项目列示</v>
          </cell>
          <cell r="U149" t="str">
            <v>项       目</v>
          </cell>
          <cell r="V149">
            <v>1</v>
          </cell>
          <cell r="W149">
            <v>2205</v>
          </cell>
          <cell r="X149">
            <v>1</v>
          </cell>
        </row>
        <row r="150">
          <cell r="B150">
            <v>6829.2330000000002</v>
          </cell>
          <cell r="C150" t="str">
            <v>持有至到期投资重分类为可供出售金融资产损益</v>
          </cell>
          <cell r="D150">
            <v>-1</v>
          </cell>
          <cell r="E150" t="str">
            <v>Ｘ</v>
          </cell>
          <cell r="G150" t="str">
            <v>3、持有至到期投资重分类为可供出售金融资产损益</v>
          </cell>
          <cell r="H150" t="str">
            <v>3、持有至到期投资重分类为可供出售金融资产损益</v>
          </cell>
          <cell r="I150">
            <v>6829.2330000000002</v>
          </cell>
          <cell r="J150" t="str">
            <v>J</v>
          </cell>
          <cell r="M150" t="str">
            <v>其他权益工具（优先股）_结转重新计量设定受益计划净负债或净资产所产生的变动</v>
          </cell>
          <cell r="S150" t="str">
            <v>2205a</v>
          </cell>
          <cell r="T150" t="str">
            <v>账龄超过1年的重要预收款项</v>
          </cell>
          <cell r="U150" t="str">
            <v>项       目</v>
          </cell>
          <cell r="V150">
            <v>1</v>
          </cell>
          <cell r="W150">
            <v>2205</v>
          </cell>
          <cell r="X150">
            <v>2</v>
          </cell>
        </row>
        <row r="151">
          <cell r="B151">
            <v>6829.2340000000004</v>
          </cell>
          <cell r="C151" t="str">
            <v>现金流量套期损益的有效部分</v>
          </cell>
          <cell r="D151">
            <v>-1</v>
          </cell>
          <cell r="E151" t="str">
            <v>Ｘ</v>
          </cell>
          <cell r="G151" t="str">
            <v>4、现金流量套期损益的有效部分</v>
          </cell>
          <cell r="H151" t="str">
            <v>4、现金流量套期损益的有效部分</v>
          </cell>
          <cell r="I151">
            <v>6829.2340000000004</v>
          </cell>
          <cell r="J151" t="str">
            <v>J</v>
          </cell>
          <cell r="M151" t="str">
            <v>其他权益工具（优先股）_所有者权益其他内部结转</v>
          </cell>
          <cell r="S151" t="str">
            <v>2205h</v>
          </cell>
          <cell r="T151" t="str">
            <v>建造合同形成的已结算未完工项目</v>
          </cell>
          <cell r="U151" t="str">
            <v>项       目</v>
          </cell>
          <cell r="V151">
            <v>1</v>
          </cell>
          <cell r="W151">
            <v>2205</v>
          </cell>
          <cell r="X151">
            <v>2</v>
          </cell>
        </row>
        <row r="152">
          <cell r="B152">
            <v>6829.2349999999997</v>
          </cell>
          <cell r="C152" t="str">
            <v>外币财务报表折算差额</v>
          </cell>
          <cell r="D152">
            <v>-1</v>
          </cell>
          <cell r="E152" t="str">
            <v>Ｘ</v>
          </cell>
          <cell r="G152" t="str">
            <v>5、外币财务报表折算差额</v>
          </cell>
          <cell r="H152" t="str">
            <v>5、外币财务报表折算差额</v>
          </cell>
          <cell r="I152">
            <v>6829.2349999999997</v>
          </cell>
          <cell r="J152" t="str">
            <v>J</v>
          </cell>
          <cell r="M152" t="str">
            <v>其他权益工具（优先股）_专项储备本期提取</v>
          </cell>
          <cell r="S152" t="str">
            <v>2205e</v>
          </cell>
          <cell r="T152" t="str">
            <v>预收款项中预售房产收款情况</v>
          </cell>
          <cell r="U152" t="str">
            <v>项目名称</v>
          </cell>
          <cell r="V152">
            <v>1</v>
          </cell>
          <cell r="W152">
            <v>2205</v>
          </cell>
          <cell r="X152">
            <v>2</v>
          </cell>
        </row>
        <row r="153">
          <cell r="B153">
            <v>6829.2359999999999</v>
          </cell>
          <cell r="C153" t="str">
            <v>自用房地产或作为存货的房地产转换为以公允价值计量的投资性房地产在转换日公允价值大于账面价值部分</v>
          </cell>
          <cell r="D153">
            <v>-1</v>
          </cell>
          <cell r="E153" t="str">
            <v>Ｘ</v>
          </cell>
          <cell r="G153" t="str">
            <v>6、自用房地产或作为存货的房地产转换为以公允价值计量的投资性房地产在转换日公允价值大于账面价值部分</v>
          </cell>
          <cell r="H153" t="str">
            <v>6、自用房地产或作为存货的房地产转换为以公允价值计量的投资性房地产在转换日公允价值大于账面价值部分</v>
          </cell>
          <cell r="I153">
            <v>6829.2359999999999</v>
          </cell>
          <cell r="J153" t="str">
            <v>J</v>
          </cell>
          <cell r="M153" t="str">
            <v>其他权益工具（优先股）_专项储备本期使用</v>
          </cell>
          <cell r="S153" t="str">
            <v>2205d</v>
          </cell>
          <cell r="T153" t="str">
            <v>外币货币性项目——预收款项</v>
          </cell>
          <cell r="U153" t="str">
            <v>币       种</v>
          </cell>
          <cell r="V153">
            <v>1</v>
          </cell>
          <cell r="W153">
            <v>2205</v>
          </cell>
          <cell r="X153">
            <v>2</v>
          </cell>
        </row>
        <row r="154">
          <cell r="B154">
            <v>6829.2370000000001</v>
          </cell>
          <cell r="C154" t="str">
            <v>多次交易分步处置子公司股权构成一揽子交易的丧失控制权之前各次交易处置价款与对应净资产账面价值份额的差额</v>
          </cell>
          <cell r="D154">
            <v>-1</v>
          </cell>
          <cell r="E154" t="str">
            <v>Ｘ</v>
          </cell>
          <cell r="G154" t="str">
            <v>7、多次交易分步处置子公司股权构成一揽子交易的，丧失控制权之前各次交易处置价款与对应净资产账面价值份额的差额</v>
          </cell>
          <cell r="H154" t="str">
            <v>7、多次交易分步处置子公司股权构成一揽子交易的，丧失控制权之前各次交易处置价款与对应净资产账面价值份额的差额</v>
          </cell>
          <cell r="I154">
            <v>6829.2370000000001</v>
          </cell>
          <cell r="J154" t="str">
            <v>J</v>
          </cell>
          <cell r="M154" t="str">
            <v>其他权益工具（优先股）_本期其他增减变动</v>
          </cell>
          <cell r="S154" t="str">
            <v>2205c</v>
          </cell>
          <cell r="T154" t="str">
            <v>关联方应收应付款项——预收款项</v>
          </cell>
          <cell r="U154" t="str">
            <v>单位名称</v>
          </cell>
          <cell r="V154">
            <v>1</v>
          </cell>
          <cell r="W154">
            <v>2205</v>
          </cell>
          <cell r="X154">
            <v>2</v>
          </cell>
        </row>
        <row r="155">
          <cell r="B155">
            <v>6829.2389999999996</v>
          </cell>
          <cell r="C155" t="str">
            <v>其他以后将重分类进损益的其他综合收益</v>
          </cell>
          <cell r="D155">
            <v>-1</v>
          </cell>
          <cell r="G155" t="str">
            <v>8、其他</v>
          </cell>
          <cell r="H155" t="str">
            <v>8、其他</v>
          </cell>
          <cell r="I155">
            <v>6829.2389999999996</v>
          </cell>
          <cell r="J155" t="str">
            <v>J</v>
          </cell>
          <cell r="M155" t="str">
            <v>其他权益工具（永续债）_上年年末余额</v>
          </cell>
          <cell r="S155" t="str">
            <v>2211a</v>
          </cell>
          <cell r="T155" t="str">
            <v>应付职工薪酬明细项目</v>
          </cell>
          <cell r="U155" t="str">
            <v>项       目</v>
          </cell>
          <cell r="V155">
            <v>1</v>
          </cell>
          <cell r="W155">
            <v>2211</v>
          </cell>
          <cell r="X155">
            <v>1</v>
          </cell>
        </row>
        <row r="156">
          <cell r="B156">
            <v>6829.5</v>
          </cell>
          <cell r="C156" t="str">
            <v>归属于少数股东的其他综合收益的税后净额</v>
          </cell>
          <cell r="D156">
            <v>1</v>
          </cell>
          <cell r="E156" t="str">
            <v>※</v>
          </cell>
          <cell r="G156" t="str">
            <v>归属于少数股东的其他综合收益的税后净额</v>
          </cell>
          <cell r="H156" t="str">
            <v>归属于少数股东的其他综合收益的税后净额</v>
          </cell>
          <cell r="I156">
            <v>6829.5</v>
          </cell>
          <cell r="J156" t="str">
            <v>J</v>
          </cell>
          <cell r="M156" t="str">
            <v>其他权益工具（永续债）_会计政策变更调整上年年末余额</v>
          </cell>
          <cell r="S156" t="str">
            <v>2211b</v>
          </cell>
          <cell r="T156" t="str">
            <v>短期薪酬</v>
          </cell>
          <cell r="U156" t="str">
            <v>项       目</v>
          </cell>
          <cell r="V156">
            <v>1</v>
          </cell>
          <cell r="W156">
            <v>2211</v>
          </cell>
          <cell r="X156">
            <v>2</v>
          </cell>
        </row>
        <row r="157">
          <cell r="B157">
            <v>6839</v>
          </cell>
          <cell r="C157" t="str">
            <v>综合收益总额</v>
          </cell>
          <cell r="E157" t="str">
            <v>＝</v>
          </cell>
          <cell r="G157" t="str">
            <v>六、综合收益总额</v>
          </cell>
          <cell r="H157" t="str">
            <v>八、综合收益总额</v>
          </cell>
          <cell r="I157">
            <v>6839</v>
          </cell>
          <cell r="M157" t="str">
            <v>其他权益工具（永续债）_前期差错更正调整上年年末余额</v>
          </cell>
          <cell r="S157" t="str">
            <v>2211c</v>
          </cell>
          <cell r="T157" t="str">
            <v>设定提存计划</v>
          </cell>
          <cell r="U157" t="str">
            <v>项       目</v>
          </cell>
          <cell r="V157">
            <v>1</v>
          </cell>
          <cell r="W157">
            <v>2211</v>
          </cell>
          <cell r="X157">
            <v>2</v>
          </cell>
        </row>
        <row r="158">
          <cell r="B158">
            <v>6841</v>
          </cell>
          <cell r="C158" t="str">
            <v>归属于母公司所有者的综合收益总额</v>
          </cell>
          <cell r="D158">
            <v>-1</v>
          </cell>
          <cell r="E158" t="str">
            <v>※</v>
          </cell>
          <cell r="G158" t="str">
            <v>归属于母公司股东的综合收益总额</v>
          </cell>
          <cell r="H158" t="str">
            <v>归属于母公司股东的综合收益总额</v>
          </cell>
          <cell r="I158">
            <v>6841</v>
          </cell>
          <cell r="M158" t="str">
            <v>其他权益工具（永续债）_同一控制下企业合并调整上年年末余额</v>
          </cell>
          <cell r="S158" t="str">
            <v>2221a</v>
          </cell>
          <cell r="T158" t="str">
            <v>应交税费明细项目</v>
          </cell>
          <cell r="U158" t="str">
            <v>项       目</v>
          </cell>
          <cell r="V158">
            <v>1</v>
          </cell>
          <cell r="W158">
            <v>2221</v>
          </cell>
          <cell r="X158">
            <v>1</v>
          </cell>
        </row>
        <row r="159">
          <cell r="B159">
            <v>6842</v>
          </cell>
          <cell r="C159" t="str">
            <v>归属于少数股东的综合收益总额</v>
          </cell>
          <cell r="D159">
            <v>1</v>
          </cell>
          <cell r="E159" t="str">
            <v>※</v>
          </cell>
          <cell r="G159" t="str">
            <v>归属于少数股东的综合收益总额</v>
          </cell>
          <cell r="H159" t="str">
            <v>归属于少数股东的综合收益总额</v>
          </cell>
          <cell r="I159">
            <v>6842</v>
          </cell>
          <cell r="M159" t="str">
            <v>其他权益工具（永续债）_其他原因调整上年年末余额</v>
          </cell>
          <cell r="S159" t="str">
            <v>2231a</v>
          </cell>
          <cell r="T159" t="str">
            <v>应付利息明细项目</v>
          </cell>
          <cell r="U159" t="str">
            <v>项       目</v>
          </cell>
          <cell r="V159">
            <v>1</v>
          </cell>
          <cell r="W159">
            <v>2231</v>
          </cell>
          <cell r="X159">
            <v>1</v>
          </cell>
        </row>
        <row r="160">
          <cell r="B160">
            <v>8</v>
          </cell>
          <cell r="C160" t="str">
            <v>所有者权益变动表</v>
          </cell>
          <cell r="E160" t="str">
            <v>：</v>
          </cell>
          <cell r="G160" t="str">
            <v>所有者权益变动表</v>
          </cell>
          <cell r="H160" t="str">
            <v>所有者权益变动表</v>
          </cell>
          <cell r="I160">
            <v>8</v>
          </cell>
          <cell r="M160" t="str">
            <v>其他权益工具（永续债）_所有者投入资本</v>
          </cell>
          <cell r="S160" t="str">
            <v>2231b</v>
          </cell>
          <cell r="T160" t="str">
            <v xml:space="preserve">重要的逾期未付利息 </v>
          </cell>
          <cell r="U160" t="str">
            <v>借款单位</v>
          </cell>
          <cell r="V160">
            <v>1</v>
          </cell>
          <cell r="W160">
            <v>2231</v>
          </cell>
          <cell r="X160">
            <v>1</v>
          </cell>
        </row>
        <row r="161">
          <cell r="B161">
            <v>8000</v>
          </cell>
          <cell r="C161" t="str">
            <v>所有者权益增减变动</v>
          </cell>
          <cell r="E161" t="str">
            <v>：</v>
          </cell>
          <cell r="G161" t="str">
            <v>所有者权益增减变动</v>
          </cell>
          <cell r="H161" t="str">
            <v>所有者权益增减变动</v>
          </cell>
          <cell r="I161">
            <v>8000</v>
          </cell>
          <cell r="M161" t="str">
            <v>其他权益工具（永续债）_股份支付</v>
          </cell>
          <cell r="S161" t="str">
            <v>2232a</v>
          </cell>
          <cell r="T161" t="str">
            <v>应付股利明细项目</v>
          </cell>
          <cell r="U161" t="str">
            <v>项目（或股东名称）</v>
          </cell>
          <cell r="V161">
            <v>1</v>
          </cell>
          <cell r="W161">
            <v>2232</v>
          </cell>
          <cell r="X161">
            <v>1</v>
          </cell>
        </row>
        <row r="162">
          <cell r="B162">
            <v>8001</v>
          </cell>
          <cell r="C162" t="str">
            <v>所有者权益_上年年末余额</v>
          </cell>
          <cell r="D162">
            <v>-1</v>
          </cell>
          <cell r="E162" t="str">
            <v>＝</v>
          </cell>
          <cell r="G162" t="str">
            <v>一、上年年末余额</v>
          </cell>
          <cell r="H162" t="str">
            <v>一、上年年末余额</v>
          </cell>
          <cell r="I162">
            <v>8001</v>
          </cell>
          <cell r="M162" t="str">
            <v>其他权益工具（永续债）_其他权益工具持有者投入资本</v>
          </cell>
          <cell r="S162" t="str">
            <v>2232b</v>
          </cell>
          <cell r="T162" t="str">
            <v>重要的超过1年未支付的应付股利</v>
          </cell>
          <cell r="U162" t="str">
            <v>股东名称</v>
          </cell>
          <cell r="V162">
            <v>1</v>
          </cell>
          <cell r="W162">
            <v>2232</v>
          </cell>
          <cell r="X162">
            <v>2</v>
          </cell>
        </row>
        <row r="163">
          <cell r="B163">
            <v>8002</v>
          </cell>
          <cell r="C163" t="str">
            <v>所有者权益_会计政策变更调整上年年末余额</v>
          </cell>
          <cell r="D163">
            <v>-1</v>
          </cell>
          <cell r="E163" t="str">
            <v>＝</v>
          </cell>
          <cell r="G163" t="str">
            <v>加：会计政策变更</v>
          </cell>
          <cell r="H163" t="str">
            <v>加：会计政策变更</v>
          </cell>
          <cell r="I163">
            <v>8002</v>
          </cell>
          <cell r="M163" t="str">
            <v>其他权益工具（永续债）_所有者其他投入和减少资本</v>
          </cell>
          <cell r="S163" t="str">
            <v>2241e</v>
          </cell>
          <cell r="T163" t="str">
            <v>其他应付款按款项性质列示</v>
          </cell>
          <cell r="U163" t="str">
            <v>项       目</v>
          </cell>
          <cell r="V163">
            <v>1</v>
          </cell>
          <cell r="W163">
            <v>2241</v>
          </cell>
          <cell r="X163">
            <v>1</v>
          </cell>
        </row>
        <row r="164">
          <cell r="B164">
            <v>8003</v>
          </cell>
          <cell r="C164" t="str">
            <v>所有者权益_前期差错更正调整上年年末余额</v>
          </cell>
          <cell r="D164">
            <v>-1</v>
          </cell>
          <cell r="E164" t="str">
            <v>＝</v>
          </cell>
          <cell r="G164" t="str">
            <v>前期差错更正</v>
          </cell>
          <cell r="H164" t="str">
            <v>前期差错更正</v>
          </cell>
          <cell r="I164">
            <v>8003</v>
          </cell>
          <cell r="M164" t="str">
            <v>其他权益工具（永续债）_提取盈余公积</v>
          </cell>
          <cell r="S164" t="str">
            <v>2241c</v>
          </cell>
          <cell r="T164" t="str">
            <v>账龄超过1年的重要其他应付款</v>
          </cell>
          <cell r="U164" t="str">
            <v>项       目</v>
          </cell>
          <cell r="V164">
            <v>1</v>
          </cell>
          <cell r="W164">
            <v>2241</v>
          </cell>
          <cell r="X164">
            <v>2</v>
          </cell>
        </row>
        <row r="165">
          <cell r="B165">
            <v>8004</v>
          </cell>
          <cell r="C165" t="str">
            <v>所有者权益_同一控制下企业合并调整上年年末余额</v>
          </cell>
          <cell r="D165">
            <v>-1</v>
          </cell>
          <cell r="E165" t="str">
            <v>※＝</v>
          </cell>
          <cell r="G165" t="str">
            <v>同一控制下企业合并</v>
          </cell>
          <cell r="H165" t="str">
            <v>同一控制下企业合并</v>
          </cell>
          <cell r="I165">
            <v>8004</v>
          </cell>
          <cell r="M165" t="str">
            <v>其他权益工具（永续债）_提取一般风险准备</v>
          </cell>
          <cell r="S165" t="str">
            <v>2241g</v>
          </cell>
          <cell r="T165" t="str">
            <v>外币货币性项目——其他应付款</v>
          </cell>
          <cell r="U165" t="str">
            <v>币       种</v>
          </cell>
          <cell r="V165">
            <v>1</v>
          </cell>
          <cell r="W165">
            <v>2241</v>
          </cell>
          <cell r="X165">
            <v>2</v>
          </cell>
        </row>
        <row r="166">
          <cell r="B166">
            <v>8009</v>
          </cell>
          <cell r="C166" t="str">
            <v>所有者权益_其他原因调整上年年末余额</v>
          </cell>
          <cell r="D166">
            <v>-1</v>
          </cell>
          <cell r="E166" t="str">
            <v>＝</v>
          </cell>
          <cell r="G166" t="str">
            <v>其他</v>
          </cell>
          <cell r="H166" t="str">
            <v>其他</v>
          </cell>
          <cell r="I166">
            <v>8009</v>
          </cell>
          <cell r="M166" t="str">
            <v>其他权益工具（永续债）_对所有者的分配</v>
          </cell>
          <cell r="S166" t="str">
            <v>2241a</v>
          </cell>
          <cell r="T166" t="str">
            <v>关联方应收应付款项——其他应付款</v>
          </cell>
          <cell r="U166" t="str">
            <v>项       目</v>
          </cell>
          <cell r="V166">
            <v>1</v>
          </cell>
          <cell r="W166">
            <v>2241</v>
          </cell>
          <cell r="X166">
            <v>2</v>
          </cell>
        </row>
        <row r="167">
          <cell r="B167">
            <v>8010</v>
          </cell>
          <cell r="C167" t="str">
            <v>所有者权益_本年年初余额</v>
          </cell>
          <cell r="E167" t="str">
            <v>＝</v>
          </cell>
          <cell r="G167" t="str">
            <v>二、本年年初余额</v>
          </cell>
          <cell r="H167" t="str">
            <v>二、本年年初余额</v>
          </cell>
          <cell r="I167">
            <v>8010</v>
          </cell>
          <cell r="M167" t="str">
            <v>其他权益工具（永续债）_其他利润分配</v>
          </cell>
          <cell r="S167" t="str">
            <v>2395a</v>
          </cell>
          <cell r="T167" t="str">
            <v>一年内到期的非流动负债</v>
          </cell>
          <cell r="U167" t="str">
            <v>项       目</v>
          </cell>
          <cell r="V167">
            <v>1</v>
          </cell>
          <cell r="W167">
            <v>2395</v>
          </cell>
          <cell r="X167">
            <v>1</v>
          </cell>
        </row>
        <row r="168">
          <cell r="B168">
            <v>8090</v>
          </cell>
          <cell r="C168" t="str">
            <v>所有者权益_本期增减变动金额</v>
          </cell>
          <cell r="E168" t="str">
            <v>＝</v>
          </cell>
          <cell r="G168" t="str">
            <v>三、本期增减变动金额（减少以“-”号填列）</v>
          </cell>
          <cell r="H168" t="str">
            <v>三、本年增减变动金额（减少以“－”号填列）</v>
          </cell>
          <cell r="I168">
            <v>8090</v>
          </cell>
          <cell r="M168" t="str">
            <v>其他权益工具（永续债）_资本公积转增资本</v>
          </cell>
          <cell r="S168" t="str">
            <v>2395b</v>
          </cell>
          <cell r="T168" t="str">
            <v>1年内到期的长期借款</v>
          </cell>
          <cell r="U168" t="str">
            <v>项       目</v>
          </cell>
          <cell r="V168">
            <v>1</v>
          </cell>
          <cell r="W168">
            <v>2395</v>
          </cell>
          <cell r="X168">
            <v>2</v>
          </cell>
        </row>
        <row r="169">
          <cell r="B169">
            <v>8021</v>
          </cell>
          <cell r="C169" t="str">
            <v>所有者权益_净利润增加权益</v>
          </cell>
          <cell r="D169">
            <v>-1</v>
          </cell>
          <cell r="E169" t="str">
            <v>＝</v>
          </cell>
          <cell r="G169" t="str">
            <v>（一）净利润</v>
          </cell>
          <cell r="I169">
            <v>8021</v>
          </cell>
          <cell r="M169" t="str">
            <v>其他权益工具（永续债）_盈余公积转增资本</v>
          </cell>
          <cell r="S169" t="str">
            <v>2395e</v>
          </cell>
          <cell r="T169" t="str">
            <v>1年内到期的应付债券</v>
          </cell>
          <cell r="U169" t="str">
            <v>债券名称</v>
          </cell>
          <cell r="V169">
            <v>1</v>
          </cell>
          <cell r="W169">
            <v>2395</v>
          </cell>
          <cell r="X169">
            <v>2</v>
          </cell>
        </row>
        <row r="170">
          <cell r="B170">
            <v>8030</v>
          </cell>
          <cell r="C170" t="str">
            <v>所有者权益_其他综合收益增加权益</v>
          </cell>
          <cell r="D170">
            <v>-1</v>
          </cell>
          <cell r="E170" t="str">
            <v>＝</v>
          </cell>
          <cell r="G170" t="str">
            <v>（二）其他综合收益</v>
          </cell>
          <cell r="I170">
            <v>8030</v>
          </cell>
          <cell r="M170" t="str">
            <v>其他权益工具（永续债）_盈余公积弥补亏损</v>
          </cell>
          <cell r="S170" t="str">
            <v>2395f</v>
          </cell>
          <cell r="T170" t="str">
            <v>一年内到期的长期应付款</v>
          </cell>
          <cell r="U170" t="str">
            <v>项       目</v>
          </cell>
          <cell r="V170">
            <v>1</v>
          </cell>
          <cell r="W170">
            <v>2395</v>
          </cell>
          <cell r="X170">
            <v>2</v>
          </cell>
        </row>
        <row r="171">
          <cell r="B171">
            <v>8040</v>
          </cell>
          <cell r="C171" t="str">
            <v>所有者权益_综合收益总额增加权益</v>
          </cell>
          <cell r="E171" t="str">
            <v>＝</v>
          </cell>
          <cell r="G171" t="str">
            <v>（一）综合收益总额</v>
          </cell>
          <cell r="H171" t="str">
            <v>（一）综合收益总额</v>
          </cell>
          <cell r="I171">
            <v>8040</v>
          </cell>
          <cell r="M171" t="str">
            <v>其他权益工具（永续债）_结转重新计量设定受益计划净负债或净资产所产生的变动</v>
          </cell>
          <cell r="S171" t="str">
            <v>2396a</v>
          </cell>
          <cell r="T171" t="str">
            <v>其他流动负债明细项目</v>
          </cell>
          <cell r="U171" t="str">
            <v>项       目</v>
          </cell>
          <cell r="V171">
            <v>1</v>
          </cell>
          <cell r="W171">
            <v>2396</v>
          </cell>
          <cell r="X171">
            <v>1</v>
          </cell>
        </row>
        <row r="172">
          <cell r="B172">
            <v>8050</v>
          </cell>
          <cell r="C172" t="str">
            <v>所有者权益_所有者投入和减少资本影响权益</v>
          </cell>
          <cell r="E172" t="str">
            <v>＝</v>
          </cell>
          <cell r="G172" t="str">
            <v>（二）所有者投入和减少资本</v>
          </cell>
          <cell r="H172" t="str">
            <v>（二）股东（或所有者）投入和减少资本</v>
          </cell>
          <cell r="I172">
            <v>8050</v>
          </cell>
          <cell r="M172" t="str">
            <v>其他权益工具（永续债）_所有者权益其他内部结转</v>
          </cell>
          <cell r="S172" t="str">
            <v>2396c</v>
          </cell>
          <cell r="T172" t="str">
            <v>短期应付债券</v>
          </cell>
          <cell r="U172" t="str">
            <v>债券名称</v>
          </cell>
          <cell r="V172">
            <v>1</v>
          </cell>
          <cell r="W172">
            <v>2396</v>
          </cell>
          <cell r="X172">
            <v>2</v>
          </cell>
        </row>
        <row r="173">
          <cell r="B173">
            <v>8051</v>
          </cell>
          <cell r="C173" t="str">
            <v>所有者权益_所有者投入资本增加权益</v>
          </cell>
          <cell r="D173">
            <v>-1</v>
          </cell>
          <cell r="E173" t="str">
            <v>＝</v>
          </cell>
          <cell r="G173" t="str">
            <v>所有者投入资本</v>
          </cell>
          <cell r="H173" t="str">
            <v>1．股东投入的普通股</v>
          </cell>
          <cell r="I173">
            <v>8051</v>
          </cell>
          <cell r="M173" t="str">
            <v>其他权益工具（永续债）_专项储备本期提取</v>
          </cell>
          <cell r="S173" t="str">
            <v>2396b</v>
          </cell>
          <cell r="T173" t="str">
            <v>递延收益——政府补助情况</v>
          </cell>
          <cell r="U173" t="str">
            <v>补助项目</v>
          </cell>
          <cell r="V173">
            <v>1</v>
          </cell>
          <cell r="W173">
            <v>2396</v>
          </cell>
          <cell r="X173">
            <v>2</v>
          </cell>
        </row>
        <row r="174">
          <cell r="B174">
            <v>8053</v>
          </cell>
          <cell r="C174" t="str">
            <v>所有者权益_其他权益工具持有者投入资本</v>
          </cell>
          <cell r="D174">
            <v>-1</v>
          </cell>
          <cell r="E174" t="str">
            <v>OEI＝</v>
          </cell>
          <cell r="G174" t="str">
            <v>其他权益工具持有者投入资本</v>
          </cell>
          <cell r="H174" t="str">
            <v>2．其他权益工具持有者投入资本</v>
          </cell>
          <cell r="I174">
            <v>8053</v>
          </cell>
          <cell r="M174" t="str">
            <v>其他权益工具（永续债）_专项储备本期使用</v>
          </cell>
          <cell r="S174" t="str">
            <v>2501a</v>
          </cell>
          <cell r="T174" t="str">
            <v>长期借款明细项目</v>
          </cell>
          <cell r="U174" t="str">
            <v>借款类别</v>
          </cell>
          <cell r="V174">
            <v>1</v>
          </cell>
          <cell r="W174">
            <v>2501</v>
          </cell>
          <cell r="X174">
            <v>1</v>
          </cell>
        </row>
        <row r="175">
          <cell r="B175">
            <v>8052</v>
          </cell>
          <cell r="C175" t="str">
            <v>所有者权益_股份支付计入所有者权益的金额</v>
          </cell>
          <cell r="D175">
            <v>-1</v>
          </cell>
          <cell r="E175" t="str">
            <v>＝</v>
          </cell>
          <cell r="G175" t="str">
            <v>股份支付计入所有者权益的金额</v>
          </cell>
          <cell r="H175" t="str">
            <v>3．股份支付计入股东权益的金额</v>
          </cell>
          <cell r="I175">
            <v>8052</v>
          </cell>
          <cell r="M175" t="str">
            <v>其他权益工具（永续债）_本期其他增减变动</v>
          </cell>
          <cell r="S175" t="str">
            <v>2501c</v>
          </cell>
          <cell r="T175" t="str">
            <v>外币货币性项目——长期借款</v>
          </cell>
          <cell r="U175" t="str">
            <v>币       种</v>
          </cell>
          <cell r="V175">
            <v>1</v>
          </cell>
          <cell r="W175">
            <v>2501</v>
          </cell>
          <cell r="X175">
            <v>2</v>
          </cell>
        </row>
        <row r="176">
          <cell r="B176">
            <v>8056</v>
          </cell>
          <cell r="C176" t="str">
            <v>所有者权益_所有者其他投入和减少资本</v>
          </cell>
          <cell r="D176">
            <v>-1</v>
          </cell>
          <cell r="E176" t="str">
            <v>＝</v>
          </cell>
          <cell r="G176" t="str">
            <v>其他</v>
          </cell>
          <cell r="H176" t="str">
            <v>4．其他</v>
          </cell>
          <cell r="I176">
            <v>8056</v>
          </cell>
          <cell r="M176" t="str">
            <v>其他权益工具（其他）_上年年末余额</v>
          </cell>
          <cell r="S176" t="str">
            <v>2502b</v>
          </cell>
          <cell r="T176" t="str">
            <v>应付债券明细项目</v>
          </cell>
          <cell r="U176" t="str">
            <v>债券名称</v>
          </cell>
          <cell r="V176">
            <v>1</v>
          </cell>
          <cell r="W176">
            <v>2502</v>
          </cell>
          <cell r="X176">
            <v>1</v>
          </cell>
        </row>
        <row r="177">
          <cell r="B177">
            <v>8060</v>
          </cell>
          <cell r="C177" t="str">
            <v>所有者权益_利润分配影响权益</v>
          </cell>
          <cell r="E177" t="str">
            <v>＝</v>
          </cell>
          <cell r="G177" t="str">
            <v>（三）利润分配</v>
          </cell>
          <cell r="H177" t="str">
            <v>（三）利润分配</v>
          </cell>
          <cell r="I177">
            <v>8060</v>
          </cell>
          <cell r="M177" t="str">
            <v>其他权益工具（其他）_会计政策变更调整上年年末余额</v>
          </cell>
          <cell r="S177" t="str">
            <v>2502a</v>
          </cell>
          <cell r="T177" t="str">
            <v>应付债券的增减变动</v>
          </cell>
          <cell r="U177" t="str">
            <v>债券名称</v>
          </cell>
          <cell r="V177">
            <v>1</v>
          </cell>
          <cell r="W177">
            <v>2502</v>
          </cell>
          <cell r="X177">
            <v>2</v>
          </cell>
        </row>
        <row r="178">
          <cell r="B178">
            <v>8061</v>
          </cell>
          <cell r="C178" t="str">
            <v>所有者权益_提取盈余公积影响权益</v>
          </cell>
          <cell r="D178">
            <v>-1</v>
          </cell>
          <cell r="E178" t="str">
            <v>＝</v>
          </cell>
          <cell r="G178" t="str">
            <v>提取盈余公积</v>
          </cell>
          <cell r="H178" t="str">
            <v>1．提取盈余公积</v>
          </cell>
          <cell r="I178">
            <v>8061</v>
          </cell>
          <cell r="M178" t="str">
            <v>其他权益工具（其他）_前期差错更正调整上年年末余额</v>
          </cell>
          <cell r="S178" t="str">
            <v>2502c</v>
          </cell>
          <cell r="T178" t="str">
            <v>期末发行在外的优先股、永续债等其他金融工具变动情况表</v>
          </cell>
          <cell r="U178" t="str">
            <v>发行在外的金融工具</v>
          </cell>
          <cell r="V178">
            <v>1</v>
          </cell>
          <cell r="W178">
            <v>2502</v>
          </cell>
          <cell r="X178">
            <v>2</v>
          </cell>
        </row>
        <row r="179">
          <cell r="B179">
            <v>8062</v>
          </cell>
          <cell r="C179" t="str">
            <v>所有者权益_提取一般风险准备影响权益</v>
          </cell>
          <cell r="D179">
            <v>-1</v>
          </cell>
          <cell r="E179" t="str">
            <v>＝</v>
          </cell>
          <cell r="G179" t="str">
            <v>提取一般风险准备</v>
          </cell>
          <cell r="H179" t="str">
            <v>2．提取一般风险准备</v>
          </cell>
          <cell r="I179">
            <v>8062</v>
          </cell>
          <cell r="M179" t="str">
            <v>其他权益工具（其他）_同一控制下企业合并调整上年年末余额</v>
          </cell>
          <cell r="S179" t="str">
            <v>2701c</v>
          </cell>
          <cell r="T179" t="str">
            <v>长期应付款明细项目</v>
          </cell>
          <cell r="U179" t="str">
            <v>项       目</v>
          </cell>
          <cell r="V179">
            <v>1</v>
          </cell>
          <cell r="W179">
            <v>2701</v>
          </cell>
          <cell r="X179">
            <v>1</v>
          </cell>
        </row>
        <row r="180">
          <cell r="B180">
            <v>8063</v>
          </cell>
          <cell r="C180" t="str">
            <v>所有者权益_对所有者的分配影响权益</v>
          </cell>
          <cell r="D180">
            <v>-1</v>
          </cell>
          <cell r="E180" t="str">
            <v>＝</v>
          </cell>
          <cell r="G180" t="str">
            <v>对所有者（或股东）的分配</v>
          </cell>
          <cell r="H180" t="str">
            <v>2．对股东（或所有者）的分配</v>
          </cell>
          <cell r="I180">
            <v>8063</v>
          </cell>
          <cell r="M180" t="str">
            <v>其他权益工具（其他）_其他原因调整上年年末余额</v>
          </cell>
          <cell r="S180" t="str">
            <v>2701d</v>
          </cell>
          <cell r="T180" t="str">
            <v>外币货币性项目——长期应付款</v>
          </cell>
          <cell r="U180" t="str">
            <v>币       种</v>
          </cell>
          <cell r="V180">
            <v>1</v>
          </cell>
          <cell r="W180">
            <v>2701</v>
          </cell>
          <cell r="X180">
            <v>2</v>
          </cell>
        </row>
        <row r="181">
          <cell r="B181">
            <v>8066</v>
          </cell>
          <cell r="C181" t="str">
            <v>所有者权益_其他利润分配影响权益</v>
          </cell>
          <cell r="D181">
            <v>-1</v>
          </cell>
          <cell r="E181" t="str">
            <v>＝</v>
          </cell>
          <cell r="G181" t="str">
            <v>其他</v>
          </cell>
          <cell r="H181" t="str">
            <v>3．其他</v>
          </cell>
          <cell r="I181">
            <v>8066</v>
          </cell>
          <cell r="M181" t="str">
            <v>其他权益工具（其他）_所有者投入资本</v>
          </cell>
          <cell r="S181" t="str">
            <v>2715a</v>
          </cell>
          <cell r="T181" t="str">
            <v>长期应付职工薪酬</v>
          </cell>
          <cell r="U181" t="str">
            <v>项       目</v>
          </cell>
          <cell r="V181">
            <v>1</v>
          </cell>
          <cell r="W181">
            <v>2715</v>
          </cell>
          <cell r="X181">
            <v>1</v>
          </cell>
        </row>
        <row r="182">
          <cell r="B182">
            <v>8070</v>
          </cell>
          <cell r="C182" t="str">
            <v>所有者权益_所有者权益内部结转</v>
          </cell>
          <cell r="E182" t="str">
            <v>＝</v>
          </cell>
          <cell r="G182" t="str">
            <v>（四）所有者权益内部结转</v>
          </cell>
          <cell r="H182" t="str">
            <v>（四）股东权益内部结转</v>
          </cell>
          <cell r="I182">
            <v>8070</v>
          </cell>
          <cell r="M182" t="str">
            <v>其他权益工具（其他）_股份支付</v>
          </cell>
          <cell r="S182" t="str">
            <v>2715b</v>
          </cell>
          <cell r="T182" t="str">
            <v>设定受益计划义务现值变动情况</v>
          </cell>
          <cell r="U182" t="str">
            <v>项       目</v>
          </cell>
          <cell r="V182">
            <v>1</v>
          </cell>
          <cell r="W182">
            <v>2715</v>
          </cell>
          <cell r="X182">
            <v>2</v>
          </cell>
        </row>
        <row r="183">
          <cell r="B183">
            <v>8071</v>
          </cell>
          <cell r="C183" t="str">
            <v>所有者权益_资本公积转增资本影响权益</v>
          </cell>
          <cell r="D183">
            <v>-1</v>
          </cell>
          <cell r="E183" t="str">
            <v>＝</v>
          </cell>
          <cell r="G183" t="str">
            <v>资本公积转增资本（或股本）</v>
          </cell>
          <cell r="H183" t="str">
            <v>1．资本公积转增股本（或资本）</v>
          </cell>
          <cell r="I183">
            <v>8071</v>
          </cell>
          <cell r="M183" t="str">
            <v>其他权益工具（其他）_其他权益工具持有者投入资本</v>
          </cell>
          <cell r="S183" t="str">
            <v>2715c</v>
          </cell>
          <cell r="T183" t="str">
            <v>设定受益计划资产变动情况</v>
          </cell>
          <cell r="U183" t="str">
            <v>项       目</v>
          </cell>
          <cell r="V183">
            <v>1</v>
          </cell>
          <cell r="W183">
            <v>2715</v>
          </cell>
          <cell r="X183">
            <v>2</v>
          </cell>
        </row>
        <row r="184">
          <cell r="B184">
            <v>8072</v>
          </cell>
          <cell r="C184" t="str">
            <v>所有者权益_盈余公积转增资本影响权益</v>
          </cell>
          <cell r="D184">
            <v>-1</v>
          </cell>
          <cell r="E184" t="str">
            <v>＝</v>
          </cell>
          <cell r="G184" t="str">
            <v>盈余公积转增资本（或股本）</v>
          </cell>
          <cell r="H184" t="str">
            <v>2．盈余公积转增股本（或资本）</v>
          </cell>
          <cell r="I184">
            <v>8072</v>
          </cell>
          <cell r="M184" t="str">
            <v>其他权益工具（其他）_所有者其他投入和减少资本</v>
          </cell>
          <cell r="S184" t="str">
            <v>2715d</v>
          </cell>
          <cell r="T184" t="str">
            <v>设定受益计划净负债变动情况</v>
          </cell>
          <cell r="U184" t="str">
            <v>项       目</v>
          </cell>
          <cell r="V184">
            <v>1</v>
          </cell>
          <cell r="W184">
            <v>2715</v>
          </cell>
          <cell r="X184">
            <v>2</v>
          </cell>
        </row>
        <row r="185">
          <cell r="B185">
            <v>8073</v>
          </cell>
          <cell r="C185" t="str">
            <v>所有者权益_盈余公积弥补亏损影响权益</v>
          </cell>
          <cell r="D185">
            <v>-1</v>
          </cell>
          <cell r="E185" t="str">
            <v>＝</v>
          </cell>
          <cell r="G185" t="str">
            <v>盈余公积弥补亏损</v>
          </cell>
          <cell r="H185" t="str">
            <v>3．盈余公积弥补亏损</v>
          </cell>
          <cell r="I185">
            <v>8073</v>
          </cell>
          <cell r="M185" t="str">
            <v>其他权益工具（其他）_提取盈余公积</v>
          </cell>
          <cell r="S185" t="str">
            <v>2715e</v>
          </cell>
          <cell r="T185" t="str">
            <v>未折现的离职后福利预计到期分析</v>
          </cell>
          <cell r="U185" t="str">
            <v>项       目</v>
          </cell>
          <cell r="V185">
            <v>1</v>
          </cell>
          <cell r="W185">
            <v>2715</v>
          </cell>
          <cell r="X185">
            <v>2</v>
          </cell>
        </row>
        <row r="186">
          <cell r="B186">
            <v>8075</v>
          </cell>
          <cell r="C186" t="str">
            <v>所有者权益_结转重新计量设定受益计划净负债或净资产所产生的变动</v>
          </cell>
          <cell r="D186">
            <v>-1</v>
          </cell>
          <cell r="E186" t="str">
            <v>OEI＝</v>
          </cell>
          <cell r="G186" t="str">
            <v>结转重新计量设定受益计划净负债或净资产所产生的变动</v>
          </cell>
          <cell r="H186" t="str">
            <v>4．结转重新计量设定受益计划净负债或净资产所产生的变动</v>
          </cell>
          <cell r="I186">
            <v>8075</v>
          </cell>
          <cell r="M186" t="str">
            <v>其他权益工具（其他）_提取一般风险准备</v>
          </cell>
          <cell r="S186" t="str">
            <v>2715f</v>
          </cell>
          <cell r="T186" t="str">
            <v>设定受益计划资产明细</v>
          </cell>
          <cell r="U186" t="str">
            <v>项       目</v>
          </cell>
          <cell r="V186">
            <v>1</v>
          </cell>
          <cell r="W186">
            <v>2715</v>
          </cell>
          <cell r="X186">
            <v>2</v>
          </cell>
        </row>
        <row r="187">
          <cell r="B187">
            <v>8076</v>
          </cell>
          <cell r="C187" t="str">
            <v>所有者权益_所有者权益其他内部结转</v>
          </cell>
          <cell r="D187">
            <v>-1</v>
          </cell>
          <cell r="E187" t="str">
            <v>＝</v>
          </cell>
          <cell r="G187" t="str">
            <v>其他</v>
          </cell>
          <cell r="H187" t="str">
            <v>5．其他</v>
          </cell>
          <cell r="I187">
            <v>8076</v>
          </cell>
          <cell r="M187" t="str">
            <v>其他权益工具（其他）_对所有者的分配</v>
          </cell>
          <cell r="S187" t="str">
            <v>2715g</v>
          </cell>
          <cell r="T187" t="str">
            <v>设定受益计划精算假设</v>
          </cell>
          <cell r="U187" t="str">
            <v>项       目</v>
          </cell>
          <cell r="V187">
            <v>1</v>
          </cell>
          <cell r="W187">
            <v>2715</v>
          </cell>
          <cell r="X187">
            <v>2</v>
          </cell>
        </row>
        <row r="188">
          <cell r="B188">
            <v>8080</v>
          </cell>
          <cell r="C188" t="str">
            <v>所有者权益_专项储备影响权益</v>
          </cell>
          <cell r="E188" t="str">
            <v>＝</v>
          </cell>
          <cell r="G188" t="str">
            <v>（五）专项储备</v>
          </cell>
          <cell r="H188" t="str">
            <v>（五）专项储备</v>
          </cell>
          <cell r="I188">
            <v>8080</v>
          </cell>
          <cell r="M188" t="str">
            <v>其他权益工具（其他）_其他利润分配</v>
          </cell>
          <cell r="S188" t="str">
            <v>2715h</v>
          </cell>
          <cell r="T188" t="str">
            <v>设定受益计划敏感性分析</v>
          </cell>
          <cell r="U188" t="str">
            <v>项       目</v>
          </cell>
          <cell r="V188">
            <v>1</v>
          </cell>
          <cell r="W188">
            <v>2715</v>
          </cell>
          <cell r="X188">
            <v>2</v>
          </cell>
        </row>
        <row r="189">
          <cell r="B189">
            <v>8081</v>
          </cell>
          <cell r="C189" t="str">
            <v>所有者权益_专项储备本期提取</v>
          </cell>
          <cell r="D189">
            <v>-1</v>
          </cell>
          <cell r="E189" t="str">
            <v>＝</v>
          </cell>
          <cell r="G189" t="str">
            <v>本期提取</v>
          </cell>
          <cell r="H189" t="str">
            <v>1．本期提取</v>
          </cell>
          <cell r="I189">
            <v>8081</v>
          </cell>
          <cell r="M189" t="str">
            <v>其他权益工具（其他）_资本公积转增资本</v>
          </cell>
          <cell r="S189" t="str">
            <v>2711a</v>
          </cell>
          <cell r="T189" t="str">
            <v>专项应付款明细项目</v>
          </cell>
          <cell r="U189" t="str">
            <v>项       目</v>
          </cell>
          <cell r="V189">
            <v>1</v>
          </cell>
          <cell r="W189">
            <v>2711</v>
          </cell>
          <cell r="X189">
            <v>1</v>
          </cell>
        </row>
        <row r="190">
          <cell r="B190">
            <v>8082</v>
          </cell>
          <cell r="C190" t="str">
            <v>所有者权益_专项储备本期使用</v>
          </cell>
          <cell r="D190">
            <v>-1</v>
          </cell>
          <cell r="E190" t="str">
            <v>＝</v>
          </cell>
          <cell r="G190" t="str">
            <v>本期使用</v>
          </cell>
          <cell r="H190" t="str">
            <v>2．本期使用（以负号填列）</v>
          </cell>
          <cell r="I190">
            <v>8082</v>
          </cell>
          <cell r="M190" t="str">
            <v>其他权益工具（其他）_盈余公积转增资本</v>
          </cell>
          <cell r="S190" t="str">
            <v>2711b</v>
          </cell>
          <cell r="T190" t="str">
            <v>外币货币性项目——专项应付款</v>
          </cell>
          <cell r="U190" t="str">
            <v>币       种</v>
          </cell>
          <cell r="V190">
            <v>1</v>
          </cell>
          <cell r="W190">
            <v>2711</v>
          </cell>
          <cell r="X190">
            <v>2</v>
          </cell>
        </row>
        <row r="191">
          <cell r="B191">
            <v>8096</v>
          </cell>
          <cell r="C191" t="str">
            <v>所有者权益_本期其他增减变动</v>
          </cell>
          <cell r="D191">
            <v>-1</v>
          </cell>
          <cell r="E191" t="str">
            <v>＝</v>
          </cell>
          <cell r="G191" t="str">
            <v>（七）其他</v>
          </cell>
          <cell r="H191" t="str">
            <v>（六）其他</v>
          </cell>
          <cell r="I191">
            <v>8096</v>
          </cell>
          <cell r="M191" t="str">
            <v>其他权益工具（其他）_盈余公积弥补亏损</v>
          </cell>
          <cell r="S191" t="str">
            <v>2801a</v>
          </cell>
          <cell r="T191" t="str">
            <v>预计负债明细项目</v>
          </cell>
          <cell r="U191" t="str">
            <v>种       类</v>
          </cell>
          <cell r="V191">
            <v>1</v>
          </cell>
          <cell r="W191">
            <v>2801</v>
          </cell>
          <cell r="X191">
            <v>1</v>
          </cell>
        </row>
        <row r="192">
          <cell r="B192">
            <v>8099</v>
          </cell>
          <cell r="C192" t="str">
            <v>所有者权益_本期期末余额</v>
          </cell>
          <cell r="E192" t="str">
            <v>＝</v>
          </cell>
          <cell r="G192" t="str">
            <v>四、本期期末余额</v>
          </cell>
          <cell r="H192" t="str">
            <v>四、本年年末余额</v>
          </cell>
          <cell r="I192">
            <v>8099</v>
          </cell>
          <cell r="M192" t="str">
            <v>其他权益工具（其他）_结转重新计量设定受益计划净负债或净资产所产生的变动</v>
          </cell>
          <cell r="S192" t="str">
            <v>2401a</v>
          </cell>
          <cell r="T192" t="str">
            <v>递延收益</v>
          </cell>
          <cell r="U192" t="str">
            <v>项       目</v>
          </cell>
          <cell r="V192">
            <v>1</v>
          </cell>
          <cell r="W192">
            <v>2401</v>
          </cell>
          <cell r="X192">
            <v>1</v>
          </cell>
        </row>
        <row r="193">
          <cell r="B193">
            <v>8100</v>
          </cell>
          <cell r="C193" t="str">
            <v>实收资本增减变动</v>
          </cell>
          <cell r="E193" t="str">
            <v>：</v>
          </cell>
          <cell r="G193" t="str">
            <v>实收资本(或股本)增减变动</v>
          </cell>
          <cell r="I193">
            <v>8100</v>
          </cell>
          <cell r="M193" t="str">
            <v>其他权益工具（其他）_所有者权益其他内部结转</v>
          </cell>
          <cell r="S193" t="str">
            <v>2401b</v>
          </cell>
          <cell r="T193" t="str">
            <v>递延收益——政府补助情况</v>
          </cell>
          <cell r="U193" t="str">
            <v>补助项目</v>
          </cell>
          <cell r="V193">
            <v>1</v>
          </cell>
          <cell r="W193">
            <v>2401</v>
          </cell>
          <cell r="X193">
            <v>2</v>
          </cell>
        </row>
        <row r="194">
          <cell r="B194">
            <v>8101</v>
          </cell>
          <cell r="C194" t="str">
            <v>实收资本_上年年末余额</v>
          </cell>
          <cell r="D194">
            <v>-1</v>
          </cell>
          <cell r="F194" t="str">
            <v>5110</v>
          </cell>
          <cell r="G194" t="str">
            <v>一、上年年末余额</v>
          </cell>
          <cell r="I194">
            <v>8101</v>
          </cell>
          <cell r="J194" t="str">
            <v>J</v>
          </cell>
          <cell r="M194" t="str">
            <v>其他权益工具（其他）_专项储备本期提取</v>
          </cell>
          <cell r="S194" t="str">
            <v>2996a</v>
          </cell>
          <cell r="T194" t="str">
            <v>其他非流动负债明细项目</v>
          </cell>
          <cell r="U194" t="str">
            <v>项       目</v>
          </cell>
          <cell r="V194">
            <v>1</v>
          </cell>
          <cell r="W194">
            <v>2996</v>
          </cell>
          <cell r="X194">
            <v>1</v>
          </cell>
        </row>
        <row r="195">
          <cell r="B195">
            <v>8102</v>
          </cell>
          <cell r="C195" t="str">
            <v>实收资本_会计政策变更调整上年年末余额</v>
          </cell>
          <cell r="D195">
            <v>-1</v>
          </cell>
          <cell r="E195" t="str">
            <v>LOW</v>
          </cell>
          <cell r="F195" t="str">
            <v>5110</v>
          </cell>
          <cell r="G195" t="str">
            <v>加：会计政策变更</v>
          </cell>
          <cell r="I195">
            <v>8102</v>
          </cell>
          <cell r="J195" t="str">
            <v>J</v>
          </cell>
          <cell r="M195" t="str">
            <v>其他权益工具（其他）_专项储备本期使用</v>
          </cell>
          <cell r="S195" t="str">
            <v>2996x</v>
          </cell>
          <cell r="T195" t="str">
            <v>其他非流动负债</v>
          </cell>
          <cell r="U195" t="str">
            <v>项       目</v>
          </cell>
          <cell r="V195">
            <v>1</v>
          </cell>
          <cell r="W195">
            <v>2996</v>
          </cell>
          <cell r="X195">
            <v>2</v>
          </cell>
        </row>
        <row r="196">
          <cell r="B196">
            <v>8103</v>
          </cell>
          <cell r="C196" t="str">
            <v>实收资本_前期差错更正调整上年年末余额</v>
          </cell>
          <cell r="D196">
            <v>-1</v>
          </cell>
          <cell r="F196" t="str">
            <v>5110</v>
          </cell>
          <cell r="G196" t="str">
            <v>前期差错更正</v>
          </cell>
          <cell r="I196">
            <v>8103</v>
          </cell>
          <cell r="J196" t="str">
            <v>J</v>
          </cell>
          <cell r="M196" t="str">
            <v>其他权益工具（其他）_本期其他增减变动</v>
          </cell>
          <cell r="S196" t="str">
            <v>4001a</v>
          </cell>
          <cell r="T196" t="str">
            <v>股本变动情况</v>
          </cell>
          <cell r="U196" t="str">
            <v>股份类别</v>
          </cell>
          <cell r="V196">
            <v>0</v>
          </cell>
          <cell r="W196">
            <v>4001</v>
          </cell>
          <cell r="X196">
            <v>2</v>
          </cell>
        </row>
        <row r="197">
          <cell r="B197">
            <v>8104</v>
          </cell>
          <cell r="C197" t="str">
            <v>实收资本_同一控制下企业合并调整上年年末余额</v>
          </cell>
          <cell r="D197">
            <v>-1</v>
          </cell>
          <cell r="E197" t="str">
            <v>※</v>
          </cell>
          <cell r="F197" t="str">
            <v>5110</v>
          </cell>
          <cell r="G197" t="str">
            <v>同一控制下企业合并</v>
          </cell>
          <cell r="I197">
            <v>8104</v>
          </cell>
          <cell r="J197" t="str">
            <v>J</v>
          </cell>
          <cell r="M197" t="str">
            <v>其他综合收益_上年年末余额</v>
          </cell>
          <cell r="S197" t="str">
            <v>4001b</v>
          </cell>
          <cell r="T197" t="str">
            <v>实收资本变动情况</v>
          </cell>
          <cell r="U197" t="str">
            <v>股东名称</v>
          </cell>
          <cell r="V197">
            <v>1</v>
          </cell>
          <cell r="W197">
            <v>4001</v>
          </cell>
          <cell r="X197">
            <v>1</v>
          </cell>
        </row>
        <row r="198">
          <cell r="B198">
            <v>8109</v>
          </cell>
          <cell r="C198" t="str">
            <v>实收资本_其他原因调整上年年末余额</v>
          </cell>
          <cell r="D198">
            <v>-1</v>
          </cell>
          <cell r="E198" t="str">
            <v>LOW</v>
          </cell>
          <cell r="F198" t="str">
            <v>5110</v>
          </cell>
          <cell r="G198" t="str">
            <v>其他</v>
          </cell>
          <cell r="I198">
            <v>8109</v>
          </cell>
          <cell r="J198" t="str">
            <v>J</v>
          </cell>
          <cell r="M198" t="str">
            <v>其他综合收益_会计政策变更调整上年年末余额</v>
          </cell>
          <cell r="S198" t="str">
            <v>4015a</v>
          </cell>
          <cell r="T198" t="str">
            <v>期末发行在外的优先股、永续债等其他金融工具变动情况表</v>
          </cell>
          <cell r="U198" t="str">
            <v>发行在外的金融工具</v>
          </cell>
          <cell r="V198">
            <v>1</v>
          </cell>
          <cell r="W198">
            <v>4015</v>
          </cell>
          <cell r="X198">
            <v>1</v>
          </cell>
        </row>
        <row r="199">
          <cell r="B199">
            <v>8110</v>
          </cell>
          <cell r="C199" t="str">
            <v>实收资本_本年年初余额</v>
          </cell>
          <cell r="E199" t="str">
            <v>＝</v>
          </cell>
          <cell r="G199" t="str">
            <v>二、本年年初余额</v>
          </cell>
          <cell r="I199">
            <v>8110</v>
          </cell>
          <cell r="M199" t="str">
            <v>其他综合收益_前期差错更正调整上年年末余额</v>
          </cell>
          <cell r="S199" t="str">
            <v>4002a</v>
          </cell>
          <cell r="T199" t="str">
            <v>资本公积变动情况</v>
          </cell>
          <cell r="U199" t="str">
            <v>种       类</v>
          </cell>
          <cell r="V199">
            <v>1</v>
          </cell>
          <cell r="W199">
            <v>4002</v>
          </cell>
          <cell r="X199">
            <v>1</v>
          </cell>
        </row>
        <row r="200">
          <cell r="B200">
            <v>8190</v>
          </cell>
          <cell r="C200" t="str">
            <v>实收资本_本期增减变动金额</v>
          </cell>
          <cell r="E200" t="str">
            <v>＝</v>
          </cell>
          <cell r="G200" t="str">
            <v>三、本期增减变动金额（减少以“-”号填列）</v>
          </cell>
          <cell r="I200">
            <v>8190</v>
          </cell>
          <cell r="M200" t="str">
            <v>其他综合收益_同一控制下企业合并调整上年年末余额</v>
          </cell>
          <cell r="S200" t="str">
            <v>4201a</v>
          </cell>
          <cell r="T200" t="str">
            <v>库存股变动情况</v>
          </cell>
          <cell r="U200" t="str">
            <v>项       目</v>
          </cell>
          <cell r="V200">
            <v>1</v>
          </cell>
          <cell r="W200">
            <v>4201</v>
          </cell>
          <cell r="X200">
            <v>1</v>
          </cell>
        </row>
        <row r="201">
          <cell r="B201">
            <v>8150</v>
          </cell>
          <cell r="C201" t="str">
            <v>实收资本_所有者投入和减少资本影响权益</v>
          </cell>
          <cell r="E201" t="str">
            <v>＝</v>
          </cell>
          <cell r="G201" t="str">
            <v>（二）所有者投入和减少资本</v>
          </cell>
          <cell r="I201">
            <v>8150</v>
          </cell>
          <cell r="M201" t="str">
            <v>其他综合收益_其他原因调整上年年末余额</v>
          </cell>
          <cell r="S201" t="str">
            <v>4215a</v>
          </cell>
          <cell r="T201" t="str">
            <v>其他综合收益</v>
          </cell>
          <cell r="U201" t="str">
            <v>项       目</v>
          </cell>
          <cell r="V201">
            <v>1</v>
          </cell>
          <cell r="W201">
            <v>4215</v>
          </cell>
          <cell r="X201">
            <v>1</v>
          </cell>
        </row>
        <row r="202">
          <cell r="B202">
            <v>8151</v>
          </cell>
          <cell r="C202" t="str">
            <v>实收资本_所有者投入资本</v>
          </cell>
          <cell r="D202">
            <v>-1</v>
          </cell>
          <cell r="F202" t="str">
            <v>5110</v>
          </cell>
          <cell r="G202" t="str">
            <v>所有者投入资本</v>
          </cell>
          <cell r="I202">
            <v>8151</v>
          </cell>
          <cell r="J202" t="str">
            <v>J</v>
          </cell>
          <cell r="M202" t="str">
            <v>其他综合收益_所有者投入资本</v>
          </cell>
          <cell r="S202" t="str">
            <v>4301a</v>
          </cell>
          <cell r="T202" t="str">
            <v>专项储备变动情况</v>
          </cell>
          <cell r="U202" t="str">
            <v>项       目</v>
          </cell>
          <cell r="V202">
            <v>1</v>
          </cell>
          <cell r="W202">
            <v>4301</v>
          </cell>
          <cell r="X202">
            <v>1</v>
          </cell>
        </row>
        <row r="203">
          <cell r="B203">
            <v>8153</v>
          </cell>
          <cell r="C203" t="str">
            <v>实收资本_其他权益工具持有者投入资本</v>
          </cell>
          <cell r="D203">
            <v>-1</v>
          </cell>
          <cell r="E203" t="str">
            <v>OEI</v>
          </cell>
          <cell r="F203" t="str">
            <v>5110</v>
          </cell>
          <cell r="G203" t="str">
            <v>其他权益工具持有者投入资本</v>
          </cell>
          <cell r="I203">
            <v>8153</v>
          </cell>
          <cell r="J203" t="str">
            <v>J</v>
          </cell>
          <cell r="M203" t="str">
            <v>其他综合收益_股份支付</v>
          </cell>
          <cell r="S203" t="str">
            <v>4101a</v>
          </cell>
          <cell r="T203" t="str">
            <v>盈余公积变动情况</v>
          </cell>
          <cell r="U203" t="str">
            <v>项       目</v>
          </cell>
          <cell r="V203">
            <v>1</v>
          </cell>
          <cell r="W203">
            <v>4101</v>
          </cell>
          <cell r="X203">
            <v>1</v>
          </cell>
        </row>
        <row r="204">
          <cell r="B204">
            <v>8156</v>
          </cell>
          <cell r="C204" t="str">
            <v>实收资本_所有者其他投入和减少资本</v>
          </cell>
          <cell r="D204">
            <v>-1</v>
          </cell>
          <cell r="E204" t="str">
            <v>LOW</v>
          </cell>
          <cell r="F204" t="str">
            <v>5110</v>
          </cell>
          <cell r="G204" t="str">
            <v>其他</v>
          </cell>
          <cell r="I204">
            <v>8156</v>
          </cell>
          <cell r="J204" t="str">
            <v>J</v>
          </cell>
          <cell r="M204" t="str">
            <v>其他综合收益_其他权益工具持有者投入资本</v>
          </cell>
          <cell r="S204" t="str">
            <v>4102a</v>
          </cell>
          <cell r="T204" t="str">
            <v>一般风险准备变动情况</v>
          </cell>
          <cell r="U204" t="str">
            <v>项       目</v>
          </cell>
          <cell r="V204">
            <v>1</v>
          </cell>
          <cell r="W204">
            <v>4102</v>
          </cell>
          <cell r="X204">
            <v>1</v>
          </cell>
        </row>
        <row r="205">
          <cell r="B205">
            <v>8170</v>
          </cell>
          <cell r="C205" t="str">
            <v>实收资本_所有者权益内部结转</v>
          </cell>
          <cell r="E205" t="str">
            <v>＝</v>
          </cell>
          <cell r="G205" t="str">
            <v>（四）所有者权益内部结转</v>
          </cell>
          <cell r="I205">
            <v>8170</v>
          </cell>
          <cell r="M205" t="str">
            <v>其他综合收益_所有者其他投入和减少资本</v>
          </cell>
          <cell r="S205" t="str">
            <v>4200a</v>
          </cell>
          <cell r="T205" t="str">
            <v>未分配利润增减变动情况</v>
          </cell>
          <cell r="U205" t="str">
            <v>项       目</v>
          </cell>
          <cell r="V205">
            <v>1</v>
          </cell>
          <cell r="W205">
            <v>4200</v>
          </cell>
          <cell r="X205">
            <v>1</v>
          </cell>
        </row>
        <row r="206">
          <cell r="B206">
            <v>8171</v>
          </cell>
          <cell r="C206" t="str">
            <v>实收资本_资本公积转增</v>
          </cell>
          <cell r="D206">
            <v>-1</v>
          </cell>
          <cell r="F206" t="str">
            <v>5110</v>
          </cell>
          <cell r="G206" t="str">
            <v>资本公积转增资本（或股本）</v>
          </cell>
          <cell r="I206">
            <v>8171</v>
          </cell>
          <cell r="J206" t="str">
            <v>J</v>
          </cell>
          <cell r="M206" t="str">
            <v>其他综合收益_提取盈余公积</v>
          </cell>
          <cell r="S206" t="str">
            <v>4200b</v>
          </cell>
          <cell r="T206" t="str">
            <v>调整本期期初未分配利润明细情况</v>
          </cell>
          <cell r="U206" t="str">
            <v>调整原因</v>
          </cell>
          <cell r="V206">
            <v>1</v>
          </cell>
          <cell r="W206">
            <v>4200</v>
          </cell>
          <cell r="X206">
            <v>2</v>
          </cell>
        </row>
        <row r="207">
          <cell r="B207">
            <v>8172</v>
          </cell>
          <cell r="C207" t="str">
            <v>实收资本_盈余公积转增</v>
          </cell>
          <cell r="D207">
            <v>-1</v>
          </cell>
          <cell r="F207" t="str">
            <v>5110</v>
          </cell>
          <cell r="G207" t="str">
            <v>盈余公积转增资本（或股本）</v>
          </cell>
          <cell r="I207">
            <v>8172</v>
          </cell>
          <cell r="J207" t="str">
            <v>J</v>
          </cell>
          <cell r="M207" t="str">
            <v>其他综合收益_提取一般风险准备</v>
          </cell>
          <cell r="S207" t="str">
            <v>6064a</v>
          </cell>
          <cell r="T207" t="str">
            <v>营业收入明细项目</v>
          </cell>
          <cell r="U207" t="str">
            <v>项       目</v>
          </cell>
          <cell r="V207">
            <v>-1</v>
          </cell>
          <cell r="W207">
            <v>6001</v>
          </cell>
          <cell r="X207">
            <v>1</v>
          </cell>
        </row>
        <row r="208">
          <cell r="B208">
            <v>8175</v>
          </cell>
          <cell r="C208" t="str">
            <v>实收资本_结转重新计量设定受益计划净负债或净资产所产生的变动</v>
          </cell>
          <cell r="D208">
            <v>-1</v>
          </cell>
          <cell r="E208" t="str">
            <v>OEI</v>
          </cell>
          <cell r="F208" t="str">
            <v>5110</v>
          </cell>
          <cell r="G208" t="str">
            <v>结转重新计量设定受益计划净负债或净资产所产生的变动</v>
          </cell>
          <cell r="I208">
            <v>8175</v>
          </cell>
          <cell r="J208" t="str">
            <v>J</v>
          </cell>
          <cell r="M208" t="str">
            <v>其他综合收益_对所有者的分配</v>
          </cell>
          <cell r="S208" t="str">
            <v>6064b</v>
          </cell>
          <cell r="T208" t="str">
            <v>营业成本明细项目</v>
          </cell>
          <cell r="U208" t="str">
            <v>项       目</v>
          </cell>
          <cell r="V208">
            <v>-1</v>
          </cell>
          <cell r="W208">
            <v>6401</v>
          </cell>
          <cell r="X208">
            <v>1</v>
          </cell>
        </row>
        <row r="209">
          <cell r="B209">
            <v>8176</v>
          </cell>
          <cell r="C209" t="str">
            <v>实收资本_所有者权益其他内部结转</v>
          </cell>
          <cell r="D209">
            <v>-1</v>
          </cell>
          <cell r="E209" t="str">
            <v>LOW</v>
          </cell>
          <cell r="F209" t="str">
            <v>5110</v>
          </cell>
          <cell r="G209" t="str">
            <v>其他</v>
          </cell>
          <cell r="I209">
            <v>8176</v>
          </cell>
          <cell r="J209" t="str">
            <v>J</v>
          </cell>
          <cell r="M209" t="str">
            <v>其他综合收益_其他利润分配</v>
          </cell>
          <cell r="S209" t="str">
            <v>6064c</v>
          </cell>
          <cell r="T209" t="str">
            <v>主营业务按行业类别列示</v>
          </cell>
          <cell r="U209" t="str">
            <v>行业或业务名称</v>
          </cell>
          <cell r="V209">
            <v>-2</v>
          </cell>
          <cell r="X209">
            <v>2</v>
          </cell>
        </row>
        <row r="210">
          <cell r="B210">
            <v>8196</v>
          </cell>
          <cell r="C210" t="str">
            <v>实收资本_本期其他增减变动</v>
          </cell>
          <cell r="D210">
            <v>-1</v>
          </cell>
          <cell r="E210" t="str">
            <v>LOW</v>
          </cell>
          <cell r="F210" t="str">
            <v>5110</v>
          </cell>
          <cell r="G210" t="str">
            <v>（七）其他</v>
          </cell>
          <cell r="I210">
            <v>8196</v>
          </cell>
          <cell r="J210" t="str">
            <v>J</v>
          </cell>
          <cell r="M210" t="str">
            <v>其他综合收益_资本公积转增资本</v>
          </cell>
          <cell r="S210" t="str">
            <v>6064d</v>
          </cell>
          <cell r="T210" t="str">
            <v>主营业务按产品类别列示</v>
          </cell>
          <cell r="U210" t="str">
            <v>产品名称</v>
          </cell>
          <cell r="V210">
            <v>-2</v>
          </cell>
          <cell r="X210">
            <v>2</v>
          </cell>
        </row>
        <row r="211">
          <cell r="B211">
            <v>8199</v>
          </cell>
          <cell r="C211" t="str">
            <v>实收资本_本期期末余额</v>
          </cell>
          <cell r="E211" t="str">
            <v>＝</v>
          </cell>
          <cell r="G211" t="str">
            <v>四、本期期末余额</v>
          </cell>
          <cell r="I211">
            <v>8199</v>
          </cell>
          <cell r="M211" t="str">
            <v>其他综合收益_盈余公积转增资本</v>
          </cell>
          <cell r="S211" t="str">
            <v>6064e</v>
          </cell>
          <cell r="T211" t="str">
            <v>主营业务按地区类别列示</v>
          </cell>
          <cell r="U211" t="str">
            <v>地区名称</v>
          </cell>
          <cell r="V211">
            <v>-2</v>
          </cell>
          <cell r="X211">
            <v>2</v>
          </cell>
        </row>
        <row r="212">
          <cell r="B212" t="str">
            <v>8a00</v>
          </cell>
          <cell r="C212" t="str">
            <v>其他权益工具增减变动</v>
          </cell>
          <cell r="E212" t="str">
            <v>：OEI</v>
          </cell>
          <cell r="G212" t="str">
            <v>其他权益工具增减变动</v>
          </cell>
          <cell r="I212" t="str">
            <v>8a00</v>
          </cell>
          <cell r="M212" t="str">
            <v>其他综合收益_盈余公积弥补亏损</v>
          </cell>
          <cell r="S212" t="str">
            <v>6600a</v>
          </cell>
          <cell r="T212" t="str">
            <v>营业税金及附加明细项目</v>
          </cell>
          <cell r="U212" t="str">
            <v>税       种</v>
          </cell>
          <cell r="V212">
            <v>1</v>
          </cell>
          <cell r="W212">
            <v>6600</v>
          </cell>
          <cell r="X212">
            <v>1</v>
          </cell>
        </row>
        <row r="213">
          <cell r="B213" t="str">
            <v>8b00</v>
          </cell>
          <cell r="C213" t="str">
            <v>其他权益工具（优先股）增减变动</v>
          </cell>
          <cell r="E213" t="str">
            <v>：OEI</v>
          </cell>
          <cell r="G213" t="str">
            <v>其他权益工具（优先股）增减变动</v>
          </cell>
          <cell r="I213" t="str">
            <v>8b00</v>
          </cell>
          <cell r="M213" t="str">
            <v>其他综合收益_结转重新计量设定受益计划净负债或净资产所产生的变动</v>
          </cell>
          <cell r="S213" t="str">
            <v>6601a</v>
          </cell>
          <cell r="T213" t="str">
            <v>销售费用明细项目</v>
          </cell>
          <cell r="U213" t="str">
            <v>项       目</v>
          </cell>
          <cell r="V213">
            <v>1</v>
          </cell>
          <cell r="W213">
            <v>6601</v>
          </cell>
          <cell r="X213">
            <v>1</v>
          </cell>
        </row>
        <row r="214">
          <cell r="B214" t="str">
            <v>8b01</v>
          </cell>
          <cell r="C214" t="str">
            <v>其他权益工具（优先股）_上年年末余额</v>
          </cell>
          <cell r="D214">
            <v>-1</v>
          </cell>
          <cell r="E214" t="str">
            <v>OEI</v>
          </cell>
          <cell r="G214" t="str">
            <v>一、上年年末余额</v>
          </cell>
          <cell r="I214" t="str">
            <v>8b01</v>
          </cell>
          <cell r="J214" t="str">
            <v>J</v>
          </cell>
          <cell r="M214" t="str">
            <v>其他综合收益_所有者权益其他内部结转</v>
          </cell>
          <cell r="S214" t="str">
            <v>6602a</v>
          </cell>
          <cell r="T214" t="str">
            <v>管理费用明细项目</v>
          </cell>
          <cell r="U214" t="str">
            <v>项       目</v>
          </cell>
          <cell r="V214">
            <v>1</v>
          </cell>
          <cell r="W214">
            <v>6602</v>
          </cell>
          <cell r="X214">
            <v>1</v>
          </cell>
        </row>
        <row r="215">
          <cell r="B215" t="str">
            <v>8b02</v>
          </cell>
          <cell r="C215" t="str">
            <v>其他权益工具（优先股）_会计政策变更调整上年年末余额</v>
          </cell>
          <cell r="D215">
            <v>-1</v>
          </cell>
          <cell r="E215" t="str">
            <v>OEI</v>
          </cell>
          <cell r="G215" t="str">
            <v>加：会计政策变更</v>
          </cell>
          <cell r="I215" t="str">
            <v>8b02</v>
          </cell>
          <cell r="J215" t="str">
            <v>J</v>
          </cell>
          <cell r="M215" t="str">
            <v>其他综合收益_专项储备本期提取</v>
          </cell>
          <cell r="S215" t="str">
            <v>6603a</v>
          </cell>
          <cell r="T215" t="str">
            <v>财务费用明细项目</v>
          </cell>
          <cell r="U215" t="str">
            <v>项       目</v>
          </cell>
          <cell r="V215">
            <v>1</v>
          </cell>
          <cell r="W215">
            <v>6603</v>
          </cell>
          <cell r="X215">
            <v>1</v>
          </cell>
        </row>
        <row r="216">
          <cell r="B216" t="str">
            <v>8b03</v>
          </cell>
          <cell r="C216" t="str">
            <v>其他权益工具（优先股）_前期差错更正调整上年年末余额</v>
          </cell>
          <cell r="D216">
            <v>-1</v>
          </cell>
          <cell r="E216" t="str">
            <v>OEI</v>
          </cell>
          <cell r="G216" t="str">
            <v>前期差错更正</v>
          </cell>
          <cell r="I216" t="str">
            <v>8b03</v>
          </cell>
          <cell r="J216" t="str">
            <v>J</v>
          </cell>
          <cell r="M216" t="str">
            <v>其他综合收益_专项储备本期使用</v>
          </cell>
          <cell r="S216" t="str">
            <v>6671a</v>
          </cell>
          <cell r="T216" t="str">
            <v>资产减值损失明细项目</v>
          </cell>
          <cell r="U216" t="str">
            <v>项       目</v>
          </cell>
          <cell r="V216">
            <v>1</v>
          </cell>
          <cell r="W216">
            <v>6671</v>
          </cell>
          <cell r="X216">
            <v>1</v>
          </cell>
        </row>
        <row r="217">
          <cell r="B217" t="str">
            <v>8b04</v>
          </cell>
          <cell r="C217" t="str">
            <v>其他权益工具（优先股）_同一控制下企业合并调整上年年末余额</v>
          </cell>
          <cell r="D217">
            <v>-1</v>
          </cell>
          <cell r="E217" t="str">
            <v>※OEI</v>
          </cell>
          <cell r="G217" t="str">
            <v>同一控制下企业合并</v>
          </cell>
          <cell r="I217" t="str">
            <v>8b04</v>
          </cell>
          <cell r="J217" t="str">
            <v>J</v>
          </cell>
          <cell r="M217" t="str">
            <v>其他综合收益_本期其他增减变动</v>
          </cell>
          <cell r="S217" t="str">
            <v>6101a</v>
          </cell>
          <cell r="T217" t="str">
            <v>公允价值变动收益明细项目</v>
          </cell>
          <cell r="U217" t="str">
            <v>产生公允价值变动收益的来源</v>
          </cell>
          <cell r="V217">
            <v>1</v>
          </cell>
          <cell r="W217">
            <v>6101</v>
          </cell>
          <cell r="X217">
            <v>1</v>
          </cell>
        </row>
        <row r="218">
          <cell r="B218" t="str">
            <v>8b09</v>
          </cell>
          <cell r="C218" t="str">
            <v>其他权益工具（优先股）_其他原因调整上年年末余额</v>
          </cell>
          <cell r="D218">
            <v>-1</v>
          </cell>
          <cell r="E218" t="str">
            <v>OEI</v>
          </cell>
          <cell r="G218" t="str">
            <v>其他</v>
          </cell>
          <cell r="I218" t="str">
            <v>8b09</v>
          </cell>
          <cell r="J218" t="str">
            <v>J</v>
          </cell>
          <cell r="M218" t="str">
            <v>资本公积_上年年末余额</v>
          </cell>
          <cell r="S218" t="str">
            <v>6111a</v>
          </cell>
          <cell r="T218" t="str">
            <v>投资收益按来源列示</v>
          </cell>
          <cell r="U218" t="str">
            <v>项       目</v>
          </cell>
          <cell r="V218">
            <v>1</v>
          </cell>
          <cell r="W218">
            <v>6111</v>
          </cell>
          <cell r="X218">
            <v>1</v>
          </cell>
        </row>
        <row r="219">
          <cell r="B219" t="str">
            <v>8b10</v>
          </cell>
          <cell r="C219" t="str">
            <v>其他权益工具（优先股）_本年年初余额</v>
          </cell>
          <cell r="E219" t="str">
            <v>OEI＝</v>
          </cell>
          <cell r="G219" t="str">
            <v>二、本年年初余额</v>
          </cell>
          <cell r="I219" t="str">
            <v>8b10</v>
          </cell>
          <cell r="M219" t="str">
            <v>资本公积_会计政策变更调整上年年末余额</v>
          </cell>
          <cell r="S219" t="str">
            <v>6710a</v>
          </cell>
          <cell r="T219" t="str">
            <v>营业外收入明细项目</v>
          </cell>
          <cell r="U219" t="str">
            <v>项       目</v>
          </cell>
          <cell r="V219">
            <v>1</v>
          </cell>
          <cell r="W219">
            <v>6710</v>
          </cell>
          <cell r="X219">
            <v>1</v>
          </cell>
        </row>
        <row r="220">
          <cell r="B220" t="str">
            <v>8b90</v>
          </cell>
          <cell r="C220" t="str">
            <v>其他权益工具（优先股）_本期增减变动金额</v>
          </cell>
          <cell r="E220" t="str">
            <v>OEI＝</v>
          </cell>
          <cell r="G220" t="str">
            <v>三、本期增减变动金额（减少以“-”号填列）</v>
          </cell>
          <cell r="I220" t="str">
            <v>8b90</v>
          </cell>
          <cell r="M220" t="str">
            <v>资本公积_前期差错更正调整上年年末余额</v>
          </cell>
          <cell r="S220" t="str">
            <v>6710b</v>
          </cell>
          <cell r="T220" t="str">
            <v>政府补助明细列示</v>
          </cell>
          <cell r="U220" t="str">
            <v>项       目</v>
          </cell>
          <cell r="V220">
            <v>1</v>
          </cell>
          <cell r="W220">
            <v>6710</v>
          </cell>
          <cell r="X220">
            <v>2</v>
          </cell>
        </row>
        <row r="221">
          <cell r="B221" t="str">
            <v>8b40</v>
          </cell>
          <cell r="C221" t="str">
            <v>其他权益工具（优先股）_综合收益总额增加权益</v>
          </cell>
          <cell r="D221">
            <v>-1</v>
          </cell>
          <cell r="E221" t="str">
            <v>OEI</v>
          </cell>
          <cell r="G221" t="str">
            <v>（一）综合收益总额</v>
          </cell>
          <cell r="I221" t="str">
            <v>8b40</v>
          </cell>
          <cell r="J221" t="str">
            <v>J</v>
          </cell>
          <cell r="M221" t="str">
            <v>资本公积_同一控制下企业合并调整上年年末余额</v>
          </cell>
          <cell r="S221" t="str">
            <v>6711a</v>
          </cell>
          <cell r="T221" t="str">
            <v>营业外支出明细项目</v>
          </cell>
          <cell r="U221" t="str">
            <v>项       目</v>
          </cell>
          <cell r="V221">
            <v>1</v>
          </cell>
          <cell r="W221">
            <v>6711</v>
          </cell>
          <cell r="X221">
            <v>1</v>
          </cell>
        </row>
        <row r="222">
          <cell r="B222" t="str">
            <v>8b50</v>
          </cell>
          <cell r="C222" t="str">
            <v>其他权益工具（优先股）_所有者投入和减少资本影响权益</v>
          </cell>
          <cell r="E222" t="str">
            <v>OEI＝</v>
          </cell>
          <cell r="G222" t="str">
            <v>（二）所有者投入和减少资本</v>
          </cell>
          <cell r="I222" t="str">
            <v>8b50</v>
          </cell>
          <cell r="M222" t="str">
            <v>资本公积_其他原因调整上年年末余额</v>
          </cell>
          <cell r="S222" t="str">
            <v>6791a</v>
          </cell>
          <cell r="T222" t="str">
            <v>所得税费用明细</v>
          </cell>
          <cell r="U222" t="str">
            <v>项       目</v>
          </cell>
          <cell r="V222">
            <v>1</v>
          </cell>
          <cell r="W222">
            <v>6791</v>
          </cell>
          <cell r="X222">
            <v>1</v>
          </cell>
        </row>
        <row r="223">
          <cell r="B223" t="str">
            <v>8b51</v>
          </cell>
          <cell r="C223" t="str">
            <v>其他权益工具（优先股）_所有者投入资本</v>
          </cell>
          <cell r="D223">
            <v>-1</v>
          </cell>
          <cell r="E223" t="str">
            <v>OEI</v>
          </cell>
          <cell r="G223" t="str">
            <v>所有者投入资本</v>
          </cell>
          <cell r="I223" t="str">
            <v>8b51</v>
          </cell>
          <cell r="J223" t="str">
            <v>J</v>
          </cell>
          <cell r="M223" t="str">
            <v>资本公积_其他综合收益</v>
          </cell>
          <cell r="S223" t="str">
            <v>6791b</v>
          </cell>
          <cell r="T223" t="str">
            <v>所得税费用与利润总额的关系</v>
          </cell>
          <cell r="U223" t="str">
            <v>项       目</v>
          </cell>
          <cell r="V223">
            <v>1</v>
          </cell>
          <cell r="W223">
            <v>6791</v>
          </cell>
          <cell r="X223">
            <v>2</v>
          </cell>
        </row>
        <row r="224">
          <cell r="B224" t="str">
            <v>8b52</v>
          </cell>
          <cell r="C224" t="str">
            <v>其他权益工具（优先股）_股份支付</v>
          </cell>
          <cell r="D224">
            <v>-1</v>
          </cell>
          <cell r="E224" t="str">
            <v>OEI</v>
          </cell>
          <cell r="G224" t="str">
            <v>股份支付计入所有者权益的金额</v>
          </cell>
          <cell r="I224" t="str">
            <v>8b52</v>
          </cell>
          <cell r="J224" t="str">
            <v>J</v>
          </cell>
          <cell r="M224" t="str">
            <v>资本公积_所有者投入资本</v>
          </cell>
          <cell r="S224" t="str">
            <v>7046a</v>
          </cell>
          <cell r="T224" t="str">
            <v>收到的其他与经营活动有关的现金</v>
          </cell>
          <cell r="U224" t="str">
            <v>项       目</v>
          </cell>
          <cell r="V224">
            <v>1</v>
          </cell>
          <cell r="W224">
            <v>7046</v>
          </cell>
          <cell r="X224">
            <v>1</v>
          </cell>
        </row>
        <row r="225">
          <cell r="B225" t="str">
            <v>8b53</v>
          </cell>
          <cell r="C225" t="str">
            <v>其他权益工具（优先股）_其他权益工具持有者投入资本</v>
          </cell>
          <cell r="D225">
            <v>-1</v>
          </cell>
          <cell r="E225" t="str">
            <v>OEI</v>
          </cell>
          <cell r="G225" t="str">
            <v>其他权益工具持有者投入资本</v>
          </cell>
          <cell r="I225" t="str">
            <v>8b53</v>
          </cell>
          <cell r="J225" t="str">
            <v>J</v>
          </cell>
          <cell r="M225" t="str">
            <v>资本公积_股份支付</v>
          </cell>
          <cell r="S225" t="str">
            <v>7096a</v>
          </cell>
          <cell r="T225" t="str">
            <v>支付的其他与经营活动有关的现金</v>
          </cell>
          <cell r="U225" t="str">
            <v>项       目</v>
          </cell>
          <cell r="V225">
            <v>1</v>
          </cell>
          <cell r="W225">
            <v>7096</v>
          </cell>
          <cell r="X225">
            <v>1</v>
          </cell>
        </row>
        <row r="226">
          <cell r="B226" t="str">
            <v>8b56</v>
          </cell>
          <cell r="C226" t="str">
            <v>其他权益工具（优先股）_所有者其他投入和减少资本</v>
          </cell>
          <cell r="D226">
            <v>-1</v>
          </cell>
          <cell r="E226" t="str">
            <v>OEI</v>
          </cell>
          <cell r="G226" t="str">
            <v>其他</v>
          </cell>
          <cell r="I226" t="str">
            <v>8b56</v>
          </cell>
          <cell r="J226" t="str">
            <v>J</v>
          </cell>
          <cell r="M226" t="str">
            <v>资本公积_其他权益工具持有者投入资本</v>
          </cell>
          <cell r="S226" t="str">
            <v>7146a</v>
          </cell>
          <cell r="T226" t="str">
            <v>收到的其他与投资活动有关的现金</v>
          </cell>
          <cell r="U226" t="str">
            <v>项       目</v>
          </cell>
          <cell r="V226">
            <v>1</v>
          </cell>
          <cell r="W226">
            <v>7146</v>
          </cell>
          <cell r="X226">
            <v>1</v>
          </cell>
        </row>
        <row r="227">
          <cell r="B227" t="str">
            <v>8b60</v>
          </cell>
          <cell r="C227" t="str">
            <v>其他权益工具（优先股）_利润分配影响权益</v>
          </cell>
          <cell r="E227" t="str">
            <v>OEI＝</v>
          </cell>
          <cell r="G227" t="str">
            <v>（三）利润分配</v>
          </cell>
          <cell r="I227" t="str">
            <v>8b60</v>
          </cell>
          <cell r="M227" t="str">
            <v>资本公积_所有者其他投入和减少资本</v>
          </cell>
          <cell r="S227" t="str">
            <v>7196a</v>
          </cell>
          <cell r="T227" t="str">
            <v>支付的其他与投资活动有关的现金</v>
          </cell>
          <cell r="U227" t="str">
            <v>项       目</v>
          </cell>
          <cell r="V227">
            <v>1</v>
          </cell>
          <cell r="W227">
            <v>7196</v>
          </cell>
          <cell r="X227">
            <v>1</v>
          </cell>
        </row>
        <row r="228">
          <cell r="B228" t="str">
            <v>8b61</v>
          </cell>
          <cell r="C228" t="str">
            <v>其他权益工具（优先股）_提取盈余公积</v>
          </cell>
          <cell r="D228">
            <v>-1</v>
          </cell>
          <cell r="E228" t="str">
            <v>OEI</v>
          </cell>
          <cell r="G228" t="str">
            <v>提取盈余公积</v>
          </cell>
          <cell r="I228" t="str">
            <v>8b61</v>
          </cell>
          <cell r="J228" t="str">
            <v>J</v>
          </cell>
          <cell r="M228" t="str">
            <v>资本公积_其他利润分配</v>
          </cell>
          <cell r="S228" t="str">
            <v>7246a</v>
          </cell>
          <cell r="T228" t="str">
            <v>收到的其他与筹资活动有关的现金</v>
          </cell>
          <cell r="U228" t="str">
            <v>项       目</v>
          </cell>
          <cell r="V228">
            <v>1</v>
          </cell>
          <cell r="W228">
            <v>7246</v>
          </cell>
          <cell r="X228">
            <v>1</v>
          </cell>
        </row>
        <row r="229">
          <cell r="B229" t="str">
            <v>8b62</v>
          </cell>
          <cell r="C229" t="str">
            <v>其他权益工具（优先股）_提取一般风险准备</v>
          </cell>
          <cell r="D229">
            <v>-1</v>
          </cell>
          <cell r="E229" t="str">
            <v>OEI</v>
          </cell>
          <cell r="G229" t="str">
            <v>提取一般风险准备</v>
          </cell>
          <cell r="I229" t="str">
            <v>8b62</v>
          </cell>
          <cell r="J229" t="str">
            <v>J</v>
          </cell>
          <cell r="M229" t="str">
            <v>资本公积_转增资本</v>
          </cell>
          <cell r="S229" t="str">
            <v>7296a</v>
          </cell>
          <cell r="T229" t="str">
            <v>支付的其他与筹资活动有关的现金</v>
          </cell>
          <cell r="U229" t="str">
            <v>项       目</v>
          </cell>
          <cell r="V229">
            <v>1</v>
          </cell>
          <cell r="W229">
            <v>7296</v>
          </cell>
          <cell r="X229">
            <v>1</v>
          </cell>
        </row>
        <row r="230">
          <cell r="B230" t="str">
            <v>8b63</v>
          </cell>
          <cell r="C230" t="str">
            <v>其他权益工具（优先股）_对所有者的分配</v>
          </cell>
          <cell r="D230">
            <v>-1</v>
          </cell>
          <cell r="E230" t="str">
            <v>OEI</v>
          </cell>
          <cell r="G230" t="str">
            <v>对所有者（或股东）的分配</v>
          </cell>
          <cell r="I230" t="str">
            <v>8b63</v>
          </cell>
          <cell r="J230" t="str">
            <v>J</v>
          </cell>
          <cell r="M230" t="str">
            <v>资本公积_结转重新计量设定受益计划净负债或净资产所产生的变动</v>
          </cell>
          <cell r="S230" t="str">
            <v>7500a</v>
          </cell>
          <cell r="T230" t="str">
            <v>将净利润调节为经营活动现金流量</v>
          </cell>
          <cell r="U230" t="str">
            <v>补充资料</v>
          </cell>
          <cell r="V230">
            <v>-2</v>
          </cell>
          <cell r="X230">
            <v>2</v>
          </cell>
        </row>
        <row r="231">
          <cell r="B231" t="str">
            <v>8b66</v>
          </cell>
          <cell r="C231" t="str">
            <v>其他权益工具（优先股）_其他利润分配</v>
          </cell>
          <cell r="D231">
            <v>-1</v>
          </cell>
          <cell r="E231" t="str">
            <v>OEI</v>
          </cell>
          <cell r="G231" t="str">
            <v>其他</v>
          </cell>
          <cell r="I231" t="str">
            <v>8b66</v>
          </cell>
          <cell r="J231" t="str">
            <v>J</v>
          </cell>
          <cell r="M231" t="str">
            <v>资本公积_所有者权益其他内部结转</v>
          </cell>
          <cell r="S231" t="str">
            <v>7500b</v>
          </cell>
          <cell r="T231" t="str">
            <v>不涉及现金收支的重大投资和筹资活动</v>
          </cell>
          <cell r="U231" t="str">
            <v>补充资料</v>
          </cell>
          <cell r="V231">
            <v>-2</v>
          </cell>
          <cell r="X231">
            <v>2</v>
          </cell>
        </row>
        <row r="232">
          <cell r="B232" t="str">
            <v>8b70</v>
          </cell>
          <cell r="C232" t="str">
            <v>其他权益工具（优先股）_所有者权益内部结转</v>
          </cell>
          <cell r="E232" t="str">
            <v>OEI＝</v>
          </cell>
          <cell r="G232" t="str">
            <v>（四）所有者权益内部结转</v>
          </cell>
          <cell r="I232" t="str">
            <v>8b70</v>
          </cell>
          <cell r="M232" t="str">
            <v>资本公积_本期其他增减变动</v>
          </cell>
          <cell r="S232" t="str">
            <v>7500c</v>
          </cell>
          <cell r="T232" t="str">
            <v>现金及现金等价物净变动情况</v>
          </cell>
          <cell r="U232" t="str">
            <v>补充资料</v>
          </cell>
          <cell r="V232">
            <v>-2</v>
          </cell>
          <cell r="X232">
            <v>2</v>
          </cell>
        </row>
        <row r="233">
          <cell r="B233" t="str">
            <v>8b71</v>
          </cell>
          <cell r="C233" t="str">
            <v>其他权益工具（优先股）_资本公积转增资本</v>
          </cell>
          <cell r="D233">
            <v>-1</v>
          </cell>
          <cell r="E233" t="str">
            <v>OEI</v>
          </cell>
          <cell r="G233" t="str">
            <v>资本公积转增资本（或股本）</v>
          </cell>
          <cell r="I233" t="str">
            <v>8b71</v>
          </cell>
          <cell r="J233" t="str">
            <v>J</v>
          </cell>
          <cell r="M233" t="str">
            <v>库存股_上年年末余额</v>
          </cell>
          <cell r="S233" t="str">
            <v>7500g</v>
          </cell>
          <cell r="T233" t="str">
            <v xml:space="preserve">本期支付的取得子公司的现金净额 </v>
          </cell>
          <cell r="U233" t="str">
            <v>项       目</v>
          </cell>
          <cell r="V233">
            <v>-2</v>
          </cell>
          <cell r="X233">
            <v>2</v>
          </cell>
        </row>
        <row r="234">
          <cell r="B234" t="str">
            <v>8b72</v>
          </cell>
          <cell r="C234" t="str">
            <v>其他权益工具（优先股）_盈余公积转增资本</v>
          </cell>
          <cell r="D234">
            <v>-1</v>
          </cell>
          <cell r="E234" t="str">
            <v>OEI</v>
          </cell>
          <cell r="G234" t="str">
            <v>盈余公积转增资本（或股本）</v>
          </cell>
          <cell r="I234" t="str">
            <v>8b72</v>
          </cell>
          <cell r="J234" t="str">
            <v>J</v>
          </cell>
          <cell r="M234" t="str">
            <v>库存股_会计政策变更调整上年年末余额</v>
          </cell>
          <cell r="S234" t="str">
            <v>7500h</v>
          </cell>
          <cell r="T234" t="str">
            <v xml:space="preserve">本期收到的处置子公司的现金净额 </v>
          </cell>
          <cell r="U234" t="str">
            <v>项       目</v>
          </cell>
          <cell r="V234">
            <v>-2</v>
          </cell>
          <cell r="X234">
            <v>2</v>
          </cell>
        </row>
        <row r="235">
          <cell r="B235" t="str">
            <v>8b73</v>
          </cell>
          <cell r="C235" t="str">
            <v>其他权益工具（优先股）_盈余公积弥补亏损</v>
          </cell>
          <cell r="D235">
            <v>-1</v>
          </cell>
          <cell r="E235" t="str">
            <v>OEI</v>
          </cell>
          <cell r="G235" t="str">
            <v>盈余公积弥补亏损</v>
          </cell>
          <cell r="I235" t="str">
            <v>8b73</v>
          </cell>
          <cell r="J235" t="str">
            <v>J</v>
          </cell>
          <cell r="M235" t="str">
            <v>库存股_前期差错更正调整上年年末余额</v>
          </cell>
          <cell r="S235" t="str">
            <v>7500e</v>
          </cell>
          <cell r="T235" t="str">
            <v>现金及现金等价物的构成</v>
          </cell>
          <cell r="U235" t="str">
            <v>项       目</v>
          </cell>
          <cell r="V235">
            <v>-2</v>
          </cell>
          <cell r="X235">
            <v>2</v>
          </cell>
        </row>
        <row r="236">
          <cell r="B236" t="str">
            <v>8b75</v>
          </cell>
          <cell r="C236" t="str">
            <v>其他权益工具（优先股）_结转重新计量设定受益计划净负债或净资产所产生的变动</v>
          </cell>
          <cell r="D236">
            <v>-1</v>
          </cell>
          <cell r="E236" t="str">
            <v>OEI</v>
          </cell>
          <cell r="G236" t="str">
            <v>结转重新计量设定受益计划净负债或净资产所产生的变动</v>
          </cell>
          <cell r="I236" t="str">
            <v>8b75</v>
          </cell>
          <cell r="J236" t="str">
            <v>J</v>
          </cell>
          <cell r="M236" t="str">
            <v>库存股_同一控制下企业合并调整上年年末余额</v>
          </cell>
          <cell r="S236" t="str">
            <v>7500f</v>
          </cell>
          <cell r="T236" t="str">
            <v>货币资金与现金及现金等价物的调节</v>
          </cell>
          <cell r="U236" t="str">
            <v>项       目</v>
          </cell>
          <cell r="V236">
            <v>-2</v>
          </cell>
          <cell r="X236">
            <v>2</v>
          </cell>
        </row>
        <row r="237">
          <cell r="B237" t="str">
            <v>8b76</v>
          </cell>
          <cell r="C237" t="str">
            <v>其他权益工具（优先股）_所有者权益其他内部结转</v>
          </cell>
          <cell r="D237">
            <v>-1</v>
          </cell>
          <cell r="E237" t="str">
            <v>OEI</v>
          </cell>
          <cell r="G237" t="str">
            <v>其他</v>
          </cell>
          <cell r="I237" t="str">
            <v>8b76</v>
          </cell>
          <cell r="J237" t="str">
            <v>J</v>
          </cell>
          <cell r="M237" t="str">
            <v>库存股_其他原因调整上年年末余额</v>
          </cell>
          <cell r="S237" t="str">
            <v>7500d</v>
          </cell>
          <cell r="T237" t="str">
            <v>本期取得或处置子公司及其他营业单位的有关信息</v>
          </cell>
          <cell r="U237" t="str">
            <v>项       目</v>
          </cell>
          <cell r="V237">
            <v>-2</v>
          </cell>
          <cell r="X237">
            <v>2</v>
          </cell>
        </row>
        <row r="238">
          <cell r="B238" t="str">
            <v>8b80</v>
          </cell>
          <cell r="C238" t="str">
            <v>其他权益工具（优先股）_专项储备影响权益</v>
          </cell>
          <cell r="E238" t="str">
            <v>OEI＝</v>
          </cell>
          <cell r="G238" t="str">
            <v>（五）专项储备</v>
          </cell>
          <cell r="I238" t="str">
            <v>8b80</v>
          </cell>
          <cell r="M238" t="str">
            <v>库存股_所有者投入资本</v>
          </cell>
          <cell r="S238" t="str">
            <v>9314a</v>
          </cell>
          <cell r="T238" t="str">
            <v>所有者权益变动表项目注释</v>
          </cell>
          <cell r="U238" t="str">
            <v>项       目</v>
          </cell>
          <cell r="V238">
            <v>-2</v>
          </cell>
          <cell r="X238">
            <v>1</v>
          </cell>
        </row>
        <row r="239">
          <cell r="B239" t="str">
            <v>8b81</v>
          </cell>
          <cell r="C239" t="str">
            <v>其他权益工具（优先股）_专项储备本期提取</v>
          </cell>
          <cell r="D239">
            <v>-1</v>
          </cell>
          <cell r="E239" t="str">
            <v>OEI</v>
          </cell>
          <cell r="G239" t="str">
            <v>本期提取</v>
          </cell>
          <cell r="I239" t="str">
            <v>8b81</v>
          </cell>
          <cell r="J239" t="str">
            <v>J</v>
          </cell>
          <cell r="M239" t="str">
            <v>库存股_股份支付</v>
          </cell>
          <cell r="S239" t="str">
            <v>1997a</v>
          </cell>
          <cell r="T239" t="str">
            <v>所有权或使用权受到限制的资产</v>
          </cell>
          <cell r="U239" t="str">
            <v>所有权受到限制的资产类别</v>
          </cell>
          <cell r="V239">
            <v>-2</v>
          </cell>
          <cell r="X239">
            <v>1</v>
          </cell>
        </row>
        <row r="240">
          <cell r="B240" t="str">
            <v>8b82</v>
          </cell>
          <cell r="C240" t="str">
            <v>其他权益工具（优先股）_专项储备本期使用</v>
          </cell>
          <cell r="D240">
            <v>-1</v>
          </cell>
          <cell r="E240" t="str">
            <v>OEI</v>
          </cell>
          <cell r="G240" t="str">
            <v>本期使用</v>
          </cell>
          <cell r="I240" t="str">
            <v>8b82</v>
          </cell>
          <cell r="J240" t="str">
            <v>J</v>
          </cell>
          <cell r="M240" t="str">
            <v>库存股_其他权益工具持有者投入资本</v>
          </cell>
          <cell r="S240" t="str">
            <v>1704a</v>
          </cell>
          <cell r="T240" t="str">
            <v>外币货币性项目</v>
          </cell>
          <cell r="U240" t="str">
            <v>项       目</v>
          </cell>
          <cell r="V240">
            <v>-2</v>
          </cell>
          <cell r="X240">
            <v>1</v>
          </cell>
        </row>
        <row r="241">
          <cell r="B241" t="str">
            <v>8b96</v>
          </cell>
          <cell r="C241" t="str">
            <v>其他权益工具（优先股）_本期其他增减变动</v>
          </cell>
          <cell r="D241">
            <v>-1</v>
          </cell>
          <cell r="E241" t="str">
            <v>OEI</v>
          </cell>
          <cell r="G241" t="str">
            <v>（七）其他</v>
          </cell>
          <cell r="I241" t="str">
            <v>8b96</v>
          </cell>
          <cell r="J241" t="str">
            <v>J</v>
          </cell>
          <cell r="M241" t="str">
            <v>库存股_所有者其他投入和减少资本</v>
          </cell>
          <cell r="S241" t="str">
            <v>7503a</v>
          </cell>
          <cell r="T241" t="str">
            <v>将净利润调节为经营活动现金流量：资产减值准备金额</v>
          </cell>
          <cell r="U241" t="str">
            <v>项       目</v>
          </cell>
          <cell r="V241">
            <v>1</v>
          </cell>
          <cell r="X241">
            <v>9</v>
          </cell>
        </row>
        <row r="242">
          <cell r="B242" t="str">
            <v>8b99</v>
          </cell>
          <cell r="C242" t="str">
            <v>其他权益工具（优先股）_本期期末余额</v>
          </cell>
          <cell r="E242" t="str">
            <v>OEI＝</v>
          </cell>
          <cell r="G242" t="str">
            <v>四、本期期末余额</v>
          </cell>
          <cell r="I242" t="str">
            <v>8b99</v>
          </cell>
          <cell r="M242" t="str">
            <v>库存股_对所有者的分配</v>
          </cell>
          <cell r="S242" t="str">
            <v>7505a</v>
          </cell>
          <cell r="T242" t="str">
            <v>将净利润调节为经营活动现金流量：固定资产折旧、油气资产折耗、生产性生物资产折旧</v>
          </cell>
          <cell r="U242" t="str">
            <v>项       目</v>
          </cell>
          <cell r="V242">
            <v>1</v>
          </cell>
          <cell r="X242">
            <v>9</v>
          </cell>
        </row>
        <row r="243">
          <cell r="B243" t="str">
            <v>8c00</v>
          </cell>
          <cell r="C243" t="str">
            <v>其他权益工具（永续债）增减变动</v>
          </cell>
          <cell r="E243" t="str">
            <v>：OEI</v>
          </cell>
          <cell r="G243" t="str">
            <v>其他权益工具（永续债）增减变动</v>
          </cell>
          <cell r="I243" t="str">
            <v>8c00</v>
          </cell>
          <cell r="M243" t="str">
            <v>库存股_其他利润分配</v>
          </cell>
          <cell r="S243" t="str">
            <v>7506a</v>
          </cell>
          <cell r="T243" t="str">
            <v>将净利润调节为经营活动现金流量：无形资产摊销</v>
          </cell>
          <cell r="U243" t="str">
            <v>项       目</v>
          </cell>
          <cell r="V243">
            <v>1</v>
          </cell>
          <cell r="X243">
            <v>9</v>
          </cell>
        </row>
        <row r="244">
          <cell r="B244" t="str">
            <v>8c01</v>
          </cell>
          <cell r="C244" t="str">
            <v>其他权益工具（永续债）_上年年末余额</v>
          </cell>
          <cell r="D244">
            <v>-1</v>
          </cell>
          <cell r="E244" t="str">
            <v>OEI</v>
          </cell>
          <cell r="G244" t="str">
            <v>一、上年年末余额</v>
          </cell>
          <cell r="I244" t="str">
            <v>8c01</v>
          </cell>
          <cell r="J244" t="str">
            <v>J</v>
          </cell>
          <cell r="M244" t="str">
            <v>库存股_结转重新计量设定受益计划净负债或净资产所产生的变动</v>
          </cell>
          <cell r="S244" t="str">
            <v>7507a</v>
          </cell>
          <cell r="T244" t="str">
            <v>将净利润调节为经营活动现金流量：长期待摊费用摊销</v>
          </cell>
          <cell r="U244" t="str">
            <v>项       目</v>
          </cell>
          <cell r="V244">
            <v>1</v>
          </cell>
          <cell r="X244">
            <v>9</v>
          </cell>
        </row>
        <row r="245">
          <cell r="B245" t="str">
            <v>8c02</v>
          </cell>
          <cell r="C245" t="str">
            <v>其他权益工具（永续债）_会计政策变更调整上年年末余额</v>
          </cell>
          <cell r="D245">
            <v>-1</v>
          </cell>
          <cell r="E245" t="str">
            <v>OEI</v>
          </cell>
          <cell r="G245" t="str">
            <v>加：会计政策变更</v>
          </cell>
          <cell r="I245" t="str">
            <v>8c02</v>
          </cell>
          <cell r="J245" t="str">
            <v>J</v>
          </cell>
          <cell r="M245" t="str">
            <v>库存股_所有者权益其他内部结转</v>
          </cell>
          <cell r="S245" t="str">
            <v>7508a</v>
          </cell>
          <cell r="T245" t="str">
            <v>将净利润调节为经营活动现金流量：处置固定资产、无形资产和其他长期资产的损失</v>
          </cell>
          <cell r="U245" t="str">
            <v>项       目</v>
          </cell>
          <cell r="V245">
            <v>1</v>
          </cell>
          <cell r="X245">
            <v>9</v>
          </cell>
        </row>
        <row r="246">
          <cell r="B246" t="str">
            <v>8c03</v>
          </cell>
          <cell r="C246" t="str">
            <v>其他权益工具（永续债）_前期差错更正调整上年年末余额</v>
          </cell>
          <cell r="D246">
            <v>-1</v>
          </cell>
          <cell r="E246" t="str">
            <v>OEI</v>
          </cell>
          <cell r="G246" t="str">
            <v>前期差错更正</v>
          </cell>
          <cell r="I246" t="str">
            <v>8c03</v>
          </cell>
          <cell r="J246" t="str">
            <v>J</v>
          </cell>
          <cell r="M246" t="str">
            <v>库存股_本期其他增减变动</v>
          </cell>
          <cell r="S246" t="str">
            <v>7509a</v>
          </cell>
          <cell r="T246" t="str">
            <v>将净利润调节为经营活动现金流量：固定资产报废损失</v>
          </cell>
          <cell r="U246" t="str">
            <v>项       目</v>
          </cell>
          <cell r="V246">
            <v>1</v>
          </cell>
          <cell r="X246">
            <v>9</v>
          </cell>
        </row>
        <row r="247">
          <cell r="B247" t="str">
            <v>8c04</v>
          </cell>
          <cell r="C247" t="str">
            <v>其他权益工具（永续债）_同一控制下企业合并调整上年年末余额</v>
          </cell>
          <cell r="D247">
            <v>-1</v>
          </cell>
          <cell r="E247" t="str">
            <v>※OEI</v>
          </cell>
          <cell r="G247" t="str">
            <v>同一控制下企业合并</v>
          </cell>
          <cell r="I247" t="str">
            <v>8c04</v>
          </cell>
          <cell r="J247" t="str">
            <v>J</v>
          </cell>
          <cell r="M247" t="str">
            <v>专项储备_上年年末余额</v>
          </cell>
          <cell r="S247" t="str">
            <v>7510a</v>
          </cell>
          <cell r="T247" t="str">
            <v>将净利润调节为经营活动现金流量：公允价值变动损失</v>
          </cell>
          <cell r="U247" t="str">
            <v>项       目</v>
          </cell>
          <cell r="V247">
            <v>1</v>
          </cell>
          <cell r="X247">
            <v>9</v>
          </cell>
        </row>
        <row r="248">
          <cell r="B248" t="str">
            <v>8c09</v>
          </cell>
          <cell r="C248" t="str">
            <v>其他权益工具（永续债）_其他原因调整上年年末余额</v>
          </cell>
          <cell r="D248">
            <v>-1</v>
          </cell>
          <cell r="E248" t="str">
            <v>OEI</v>
          </cell>
          <cell r="G248" t="str">
            <v>其他</v>
          </cell>
          <cell r="I248" t="str">
            <v>8c09</v>
          </cell>
          <cell r="J248" t="str">
            <v>J</v>
          </cell>
          <cell r="M248" t="str">
            <v>专项储备_会计政策变更调整上年年末余额</v>
          </cell>
          <cell r="S248" t="str">
            <v>7511a</v>
          </cell>
          <cell r="T248" t="str">
            <v>将净利润调节为经营活动现金流量：财务费用金额</v>
          </cell>
          <cell r="U248" t="str">
            <v>项       目</v>
          </cell>
          <cell r="V248">
            <v>1</v>
          </cell>
          <cell r="X248">
            <v>9</v>
          </cell>
        </row>
        <row r="249">
          <cell r="B249" t="str">
            <v>8c10</v>
          </cell>
          <cell r="C249" t="str">
            <v>其他权益工具（永续债）_本年年初余额</v>
          </cell>
          <cell r="E249" t="str">
            <v>OEI＝</v>
          </cell>
          <cell r="G249" t="str">
            <v>二、本年年初余额</v>
          </cell>
          <cell r="I249" t="str">
            <v>8c10</v>
          </cell>
          <cell r="M249" t="str">
            <v>专项储备_前期差错更正调整上年年末余额</v>
          </cell>
          <cell r="S249" t="str">
            <v>7512a</v>
          </cell>
          <cell r="T249" t="str">
            <v>将净利润调节为经营活动现金流量：投资损失</v>
          </cell>
          <cell r="U249" t="str">
            <v>项       目</v>
          </cell>
          <cell r="V249">
            <v>1</v>
          </cell>
          <cell r="X249">
            <v>9</v>
          </cell>
        </row>
        <row r="250">
          <cell r="B250" t="str">
            <v>8c90</v>
          </cell>
          <cell r="C250" t="str">
            <v>其他权益工具（永续债）_本期增减变动金额</v>
          </cell>
          <cell r="E250" t="str">
            <v>OEI＝</v>
          </cell>
          <cell r="G250" t="str">
            <v>三、本期增减变动金额（减少以“-”号填列）</v>
          </cell>
          <cell r="I250" t="str">
            <v>8c90</v>
          </cell>
          <cell r="M250" t="str">
            <v>专项储备_同一控制下企业合并调整上年年末余额</v>
          </cell>
          <cell r="S250" t="str">
            <v>7515a</v>
          </cell>
          <cell r="T250" t="str">
            <v>将净利润调节为经营活动现金流量：递延所得税资产减少</v>
          </cell>
          <cell r="U250" t="str">
            <v>项       目</v>
          </cell>
          <cell r="V250">
            <v>1</v>
          </cell>
          <cell r="X250">
            <v>9</v>
          </cell>
        </row>
        <row r="251">
          <cell r="B251" t="str">
            <v>8c40</v>
          </cell>
          <cell r="C251" t="str">
            <v>其他权益工具（永续债）_综合收益总额增加权益</v>
          </cell>
          <cell r="D251">
            <v>-1</v>
          </cell>
          <cell r="E251" t="str">
            <v>OEI</v>
          </cell>
          <cell r="G251" t="str">
            <v>（一）综合收益总额</v>
          </cell>
          <cell r="I251" t="str">
            <v>8c40</v>
          </cell>
          <cell r="J251" t="str">
            <v>J</v>
          </cell>
          <cell r="M251" t="str">
            <v>专项储备_其他原因调整上年年末余额</v>
          </cell>
          <cell r="S251" t="str">
            <v>7516a</v>
          </cell>
          <cell r="T251" t="str">
            <v>将净利润调节为经营活动现金流量：递延所得税负债增加</v>
          </cell>
          <cell r="U251" t="str">
            <v>项       目</v>
          </cell>
          <cell r="V251">
            <v>1</v>
          </cell>
          <cell r="X251">
            <v>9</v>
          </cell>
        </row>
        <row r="252">
          <cell r="B252" t="str">
            <v>8c50</v>
          </cell>
          <cell r="C252" t="str">
            <v>其他权益工具（永续债）_所有者投入和减少资本影响权益</v>
          </cell>
          <cell r="E252" t="str">
            <v>OEI＝</v>
          </cell>
          <cell r="G252" t="str">
            <v>（二）所有者投入和减少资本</v>
          </cell>
          <cell r="I252" t="str">
            <v>8c50</v>
          </cell>
          <cell r="M252" t="str">
            <v>专项储备_其他权益工具持有者投入资本</v>
          </cell>
          <cell r="S252" t="str">
            <v>7517a</v>
          </cell>
          <cell r="T252" t="str">
            <v>将净利润调节为经营活动现金流量：存货的减少</v>
          </cell>
          <cell r="U252" t="str">
            <v>项       目</v>
          </cell>
          <cell r="V252">
            <v>1</v>
          </cell>
          <cell r="X252">
            <v>9</v>
          </cell>
        </row>
        <row r="253">
          <cell r="B253" t="str">
            <v>8c51</v>
          </cell>
          <cell r="C253" t="str">
            <v>其他权益工具（永续债）_所有者投入资本</v>
          </cell>
          <cell r="D253">
            <v>-1</v>
          </cell>
          <cell r="E253" t="str">
            <v>OEI</v>
          </cell>
          <cell r="G253" t="str">
            <v>所有者投入资本</v>
          </cell>
          <cell r="I253" t="str">
            <v>8c51</v>
          </cell>
          <cell r="J253" t="str">
            <v>J</v>
          </cell>
          <cell r="M253" t="str">
            <v>专项储备_结转重新计量设定受益计划净负债或净资产所产生的变动</v>
          </cell>
          <cell r="S253" t="str">
            <v>7518a</v>
          </cell>
          <cell r="T253" t="str">
            <v>将净利润调节为经营活动现金流量：经营性应收项目的减少</v>
          </cell>
          <cell r="U253" t="str">
            <v>项       目</v>
          </cell>
          <cell r="V253">
            <v>1</v>
          </cell>
          <cell r="X253">
            <v>9</v>
          </cell>
        </row>
        <row r="254">
          <cell r="B254" t="str">
            <v>8c52</v>
          </cell>
          <cell r="C254" t="str">
            <v>其他权益工具（永续债）_股份支付</v>
          </cell>
          <cell r="D254">
            <v>-1</v>
          </cell>
          <cell r="E254" t="str">
            <v>OEI</v>
          </cell>
          <cell r="G254" t="str">
            <v>股份支付计入所有者权益的金额</v>
          </cell>
          <cell r="I254" t="str">
            <v>8c52</v>
          </cell>
          <cell r="J254" t="str">
            <v>J</v>
          </cell>
          <cell r="M254" t="str">
            <v>专项储备_所有者权益其他内部结转</v>
          </cell>
          <cell r="S254" t="str">
            <v>7519a</v>
          </cell>
          <cell r="T254" t="str">
            <v>将净利润调节为经营活动现金流量：经营性应付项目的增加</v>
          </cell>
          <cell r="U254" t="str">
            <v>项       目</v>
          </cell>
          <cell r="V254">
            <v>1</v>
          </cell>
          <cell r="X254">
            <v>9</v>
          </cell>
        </row>
        <row r="255">
          <cell r="B255" t="str">
            <v>8c53</v>
          </cell>
          <cell r="C255" t="str">
            <v>其他权益工具（永续债）_其他权益工具持有者投入资本</v>
          </cell>
          <cell r="D255">
            <v>-1</v>
          </cell>
          <cell r="E255" t="str">
            <v>OEI</v>
          </cell>
          <cell r="G255" t="str">
            <v>其他权益工具持有者投入资本</v>
          </cell>
          <cell r="I255" t="str">
            <v>8c53</v>
          </cell>
          <cell r="J255" t="str">
            <v>J</v>
          </cell>
          <cell r="M255" t="str">
            <v>专项储备_本期提取</v>
          </cell>
          <cell r="S255" t="str">
            <v>7523a</v>
          </cell>
          <cell r="T255" t="str">
            <v>将净利润调节为经营活动现金流量：其他项目</v>
          </cell>
          <cell r="U255" t="str">
            <v>项       目</v>
          </cell>
          <cell r="V255">
            <v>1</v>
          </cell>
          <cell r="X255">
            <v>9</v>
          </cell>
        </row>
        <row r="256">
          <cell r="B256" t="str">
            <v>8c56</v>
          </cell>
          <cell r="C256" t="str">
            <v>其他权益工具（永续债）_所有者其他投入和减少资本</v>
          </cell>
          <cell r="D256">
            <v>-1</v>
          </cell>
          <cell r="E256" t="str">
            <v>OEI</v>
          </cell>
          <cell r="G256" t="str">
            <v>其他</v>
          </cell>
          <cell r="I256" t="str">
            <v>8c56</v>
          </cell>
          <cell r="J256" t="str">
            <v>J</v>
          </cell>
          <cell r="M256" t="str">
            <v>专项储备_本期使用</v>
          </cell>
        </row>
        <row r="257">
          <cell r="B257" t="str">
            <v>8c60</v>
          </cell>
          <cell r="C257" t="str">
            <v>其他权益工具（永续债）_利润分配影响权益</v>
          </cell>
          <cell r="E257" t="str">
            <v>OEI＝</v>
          </cell>
          <cell r="G257" t="str">
            <v>（三）利润分配</v>
          </cell>
          <cell r="I257" t="str">
            <v>8c60</v>
          </cell>
          <cell r="M257" t="str">
            <v>专项储备_本期其他增减变动</v>
          </cell>
        </row>
        <row r="258">
          <cell r="B258" t="str">
            <v>8c61</v>
          </cell>
          <cell r="C258" t="str">
            <v>其他权益工具（永续债）_提取盈余公积</v>
          </cell>
          <cell r="D258">
            <v>-1</v>
          </cell>
          <cell r="E258" t="str">
            <v>OEI</v>
          </cell>
          <cell r="G258" t="str">
            <v>提取盈余公积</v>
          </cell>
          <cell r="I258" t="str">
            <v>8c61</v>
          </cell>
          <cell r="J258" t="str">
            <v>J</v>
          </cell>
          <cell r="M258" t="str">
            <v>盈余公积_上年年末余额</v>
          </cell>
        </row>
        <row r="259">
          <cell r="B259" t="str">
            <v>8c62</v>
          </cell>
          <cell r="C259" t="str">
            <v>其他权益工具（永续债）_提取一般风险准备</v>
          </cell>
          <cell r="D259">
            <v>-1</v>
          </cell>
          <cell r="E259" t="str">
            <v>OEI</v>
          </cell>
          <cell r="G259" t="str">
            <v>提取一般风险准备</v>
          </cell>
          <cell r="I259" t="str">
            <v>8c62</v>
          </cell>
          <cell r="J259" t="str">
            <v>J</v>
          </cell>
          <cell r="M259" t="str">
            <v>盈余公积_会计政策变更调整上年年末余额</v>
          </cell>
        </row>
        <row r="260">
          <cell r="B260" t="str">
            <v>8c63</v>
          </cell>
          <cell r="C260" t="str">
            <v>其他权益工具（永续债）_对所有者的分配</v>
          </cell>
          <cell r="D260">
            <v>-1</v>
          </cell>
          <cell r="E260" t="str">
            <v>OEI</v>
          </cell>
          <cell r="G260" t="str">
            <v>对所有者（或股东）的分配</v>
          </cell>
          <cell r="I260" t="str">
            <v>8c63</v>
          </cell>
          <cell r="J260" t="str">
            <v>J</v>
          </cell>
          <cell r="M260" t="str">
            <v>盈余公积_前期差错更正调整上年年末余额</v>
          </cell>
        </row>
        <row r="261">
          <cell r="B261" t="str">
            <v>8c66</v>
          </cell>
          <cell r="C261" t="str">
            <v>其他权益工具（永续债）_其他利润分配</v>
          </cell>
          <cell r="D261">
            <v>-1</v>
          </cell>
          <cell r="E261" t="str">
            <v>OEI</v>
          </cell>
          <cell r="G261" t="str">
            <v>其他</v>
          </cell>
          <cell r="I261" t="str">
            <v>8c66</v>
          </cell>
          <cell r="J261" t="str">
            <v>J</v>
          </cell>
          <cell r="M261" t="str">
            <v>盈余公积_同一控制下企业合并调整上年年末余额</v>
          </cell>
        </row>
        <row r="262">
          <cell r="B262" t="str">
            <v>8c70</v>
          </cell>
          <cell r="C262" t="str">
            <v>其他权益工具（永续债）_所有者权益内部结转</v>
          </cell>
          <cell r="E262" t="str">
            <v>OEI＝</v>
          </cell>
          <cell r="G262" t="str">
            <v>（四）所有者权益内部结转</v>
          </cell>
          <cell r="I262" t="str">
            <v>8c70</v>
          </cell>
          <cell r="M262" t="str">
            <v>盈余公积_其他原因调整上年年末余额</v>
          </cell>
        </row>
        <row r="263">
          <cell r="B263" t="str">
            <v>8c71</v>
          </cell>
          <cell r="C263" t="str">
            <v>其他权益工具（永续债）_资本公积转增资本</v>
          </cell>
          <cell r="D263">
            <v>-1</v>
          </cell>
          <cell r="E263" t="str">
            <v>OEI</v>
          </cell>
          <cell r="G263" t="str">
            <v>资本公积转增资本（或股本）</v>
          </cell>
          <cell r="I263" t="str">
            <v>8c71</v>
          </cell>
          <cell r="J263" t="str">
            <v>J</v>
          </cell>
          <cell r="M263" t="str">
            <v>盈余公积_其他权益工具持有者投入资本</v>
          </cell>
        </row>
        <row r="264">
          <cell r="B264" t="str">
            <v>8c72</v>
          </cell>
          <cell r="C264" t="str">
            <v>其他权益工具（永续债）_盈余公积转增资本</v>
          </cell>
          <cell r="D264">
            <v>-1</v>
          </cell>
          <cell r="E264" t="str">
            <v>OEI</v>
          </cell>
          <cell r="G264" t="str">
            <v>盈余公积转增资本（或股本）</v>
          </cell>
          <cell r="I264" t="str">
            <v>8c72</v>
          </cell>
          <cell r="J264" t="str">
            <v>J</v>
          </cell>
          <cell r="M264" t="str">
            <v>盈余公积_所有者其他投入和减少资本</v>
          </cell>
        </row>
        <row r="265">
          <cell r="B265" t="str">
            <v>8c73</v>
          </cell>
          <cell r="C265" t="str">
            <v>其他权益工具（永续债）_盈余公积弥补亏损</v>
          </cell>
          <cell r="D265">
            <v>-1</v>
          </cell>
          <cell r="E265" t="str">
            <v>OEI</v>
          </cell>
          <cell r="G265" t="str">
            <v>盈余公积弥补亏损</v>
          </cell>
          <cell r="I265" t="str">
            <v>8c73</v>
          </cell>
          <cell r="J265" t="str">
            <v>J</v>
          </cell>
          <cell r="M265" t="str">
            <v>盈余公积_提取</v>
          </cell>
        </row>
        <row r="266">
          <cell r="B266" t="str">
            <v>8c75</v>
          </cell>
          <cell r="C266" t="str">
            <v>其他权益工具（永续债）_结转重新计量设定受益计划净负债或净资产所产生的变动</v>
          </cell>
          <cell r="D266">
            <v>-1</v>
          </cell>
          <cell r="E266" t="str">
            <v>OEI</v>
          </cell>
          <cell r="G266" t="str">
            <v>结转重新计量设定受益计划净负债或净资产所产生的变动</v>
          </cell>
          <cell r="I266" t="str">
            <v>8c75</v>
          </cell>
          <cell r="J266" t="str">
            <v>J</v>
          </cell>
          <cell r="M266" t="str">
            <v>盈余公积_对所有者的分配</v>
          </cell>
        </row>
        <row r="267">
          <cell r="B267" t="str">
            <v>8c76</v>
          </cell>
          <cell r="C267" t="str">
            <v>其他权益工具（永续债）_所有者权益其他内部结转</v>
          </cell>
          <cell r="D267">
            <v>-1</v>
          </cell>
          <cell r="E267" t="str">
            <v>OEI</v>
          </cell>
          <cell r="G267" t="str">
            <v>其他</v>
          </cell>
          <cell r="I267" t="str">
            <v>8c76</v>
          </cell>
          <cell r="J267" t="str">
            <v>J</v>
          </cell>
          <cell r="M267" t="str">
            <v>盈余公积_其他利润分配</v>
          </cell>
        </row>
        <row r="268">
          <cell r="B268" t="str">
            <v>8c80</v>
          </cell>
          <cell r="C268" t="str">
            <v>其他权益工具（永续债）_专项储备影响权益</v>
          </cell>
          <cell r="E268" t="str">
            <v>OEI＝</v>
          </cell>
          <cell r="G268" t="str">
            <v>（五）专项储备</v>
          </cell>
          <cell r="I268" t="str">
            <v>8c80</v>
          </cell>
          <cell r="M268" t="str">
            <v>盈余公积_转增资本</v>
          </cell>
        </row>
        <row r="269">
          <cell r="B269" t="str">
            <v>8c81</v>
          </cell>
          <cell r="C269" t="str">
            <v>其他权益工具（永续债）_专项储备本期提取</v>
          </cell>
          <cell r="D269">
            <v>-1</v>
          </cell>
          <cell r="E269" t="str">
            <v>OEI</v>
          </cell>
          <cell r="G269" t="str">
            <v>本期提取</v>
          </cell>
          <cell r="I269" t="str">
            <v>8c81</v>
          </cell>
          <cell r="J269" t="str">
            <v>J</v>
          </cell>
          <cell r="M269" t="str">
            <v>盈余公积_弥补亏损</v>
          </cell>
        </row>
        <row r="270">
          <cell r="B270" t="str">
            <v>8c82</v>
          </cell>
          <cell r="C270" t="str">
            <v>其他权益工具（永续债）_专项储备本期使用</v>
          </cell>
          <cell r="D270">
            <v>-1</v>
          </cell>
          <cell r="E270" t="str">
            <v>OEI</v>
          </cell>
          <cell r="G270" t="str">
            <v>本期使用</v>
          </cell>
          <cell r="I270" t="str">
            <v>8c82</v>
          </cell>
          <cell r="J270" t="str">
            <v>J</v>
          </cell>
          <cell r="M270" t="str">
            <v>盈余公积_结转重新计量设定受益计划净负债或净资产所产生的变动</v>
          </cell>
        </row>
        <row r="271">
          <cell r="B271" t="str">
            <v>8c96</v>
          </cell>
          <cell r="C271" t="str">
            <v>其他权益工具（永续债）_本期其他增减变动</v>
          </cell>
          <cell r="D271">
            <v>-1</v>
          </cell>
          <cell r="E271" t="str">
            <v>OEI</v>
          </cell>
          <cell r="G271" t="str">
            <v>（七）其他</v>
          </cell>
          <cell r="I271" t="str">
            <v>8c96</v>
          </cell>
          <cell r="J271" t="str">
            <v>J</v>
          </cell>
          <cell r="M271" t="str">
            <v>盈余公积_所有者权益其他内部结转</v>
          </cell>
        </row>
        <row r="272">
          <cell r="B272" t="str">
            <v>8c99</v>
          </cell>
          <cell r="C272" t="str">
            <v>其他权益工具（永续债）_本期期末余额</v>
          </cell>
          <cell r="E272" t="str">
            <v>OEI＝</v>
          </cell>
          <cell r="G272" t="str">
            <v>四、本期期末余额</v>
          </cell>
          <cell r="I272" t="str">
            <v>8c99</v>
          </cell>
          <cell r="M272" t="str">
            <v>盈余公积_本期其他增减变动</v>
          </cell>
        </row>
        <row r="273">
          <cell r="B273" t="str">
            <v>8d00</v>
          </cell>
          <cell r="C273" t="str">
            <v>其他权益工具（其他）增减变动</v>
          </cell>
          <cell r="E273" t="str">
            <v>：OEI</v>
          </cell>
          <cell r="G273" t="str">
            <v>其他权益工具（其他）增减变动</v>
          </cell>
          <cell r="I273" t="str">
            <v>8d00</v>
          </cell>
          <cell r="M273" t="str">
            <v>一般风险准备_上年年末余额</v>
          </cell>
        </row>
        <row r="274">
          <cell r="B274" t="str">
            <v>8d01</v>
          </cell>
          <cell r="C274" t="str">
            <v>其他权益工具（其他）_上年年末余额</v>
          </cell>
          <cell r="D274">
            <v>-1</v>
          </cell>
          <cell r="E274" t="str">
            <v>OEI</v>
          </cell>
          <cell r="G274" t="str">
            <v>一、上年年末余额</v>
          </cell>
          <cell r="I274" t="str">
            <v>8d01</v>
          </cell>
          <cell r="J274" t="str">
            <v>J</v>
          </cell>
          <cell r="M274" t="str">
            <v>一般风险准备_会计政策变更调整上年年末余额</v>
          </cell>
        </row>
        <row r="275">
          <cell r="B275" t="str">
            <v>8d02</v>
          </cell>
          <cell r="C275" t="str">
            <v>其他权益工具（其他）_会计政策变更调整上年年末余额</v>
          </cell>
          <cell r="D275">
            <v>-1</v>
          </cell>
          <cell r="E275" t="str">
            <v>OEI</v>
          </cell>
          <cell r="G275" t="str">
            <v>加：会计政策变更</v>
          </cell>
          <cell r="I275" t="str">
            <v>8d02</v>
          </cell>
          <cell r="J275" t="str">
            <v>J</v>
          </cell>
          <cell r="M275" t="str">
            <v>一般风险准备_前期差错更正调整上年年末余额</v>
          </cell>
        </row>
        <row r="276">
          <cell r="B276" t="str">
            <v>8d03</v>
          </cell>
          <cell r="C276" t="str">
            <v>其他权益工具（其他）_前期差错更正调整上年年末余额</v>
          </cell>
          <cell r="D276">
            <v>-1</v>
          </cell>
          <cell r="E276" t="str">
            <v>OEI</v>
          </cell>
          <cell r="G276" t="str">
            <v>前期差错更正</v>
          </cell>
          <cell r="I276" t="str">
            <v>8d03</v>
          </cell>
          <cell r="J276" t="str">
            <v>J</v>
          </cell>
          <cell r="M276" t="str">
            <v>一般风险准备_同一控制下企业合并调整上年年末余额</v>
          </cell>
        </row>
        <row r="277">
          <cell r="B277" t="str">
            <v>8d04</v>
          </cell>
          <cell r="C277" t="str">
            <v>其他权益工具（其他）_同一控制下企业合并调整上年年末余额</v>
          </cell>
          <cell r="D277">
            <v>-1</v>
          </cell>
          <cell r="E277" t="str">
            <v>※OEI</v>
          </cell>
          <cell r="G277" t="str">
            <v>同一控制下企业合并</v>
          </cell>
          <cell r="I277" t="str">
            <v>8d04</v>
          </cell>
          <cell r="J277" t="str">
            <v>J</v>
          </cell>
          <cell r="M277" t="str">
            <v>一般风险准备_其他原因调整上年年末余额</v>
          </cell>
        </row>
        <row r="278">
          <cell r="B278" t="str">
            <v>8d09</v>
          </cell>
          <cell r="C278" t="str">
            <v>其他权益工具（其他）_其他原因调整上年年末余额</v>
          </cell>
          <cell r="D278">
            <v>-1</v>
          </cell>
          <cell r="E278" t="str">
            <v>OEI</v>
          </cell>
          <cell r="G278" t="str">
            <v>其他</v>
          </cell>
          <cell r="I278" t="str">
            <v>8d09</v>
          </cell>
          <cell r="J278" t="str">
            <v>J</v>
          </cell>
          <cell r="M278" t="str">
            <v>一般风险准备_其他权益工具持有者投入资本</v>
          </cell>
        </row>
        <row r="279">
          <cell r="B279" t="str">
            <v>8d10</v>
          </cell>
          <cell r="C279" t="str">
            <v>其他权益工具（其他）_本年年初余额</v>
          </cell>
          <cell r="E279" t="str">
            <v>OEI＝</v>
          </cell>
          <cell r="G279" t="str">
            <v>二、本年年初余额</v>
          </cell>
          <cell r="I279" t="str">
            <v>8d10</v>
          </cell>
          <cell r="M279" t="str">
            <v>一般风险准备_所有者其他投入和减少资本</v>
          </cell>
        </row>
        <row r="280">
          <cell r="B280" t="str">
            <v>8d90</v>
          </cell>
          <cell r="C280" t="str">
            <v>其他权益工具（其他）_本期增减变动金额</v>
          </cell>
          <cell r="E280" t="str">
            <v>OEI＝</v>
          </cell>
          <cell r="G280" t="str">
            <v>三、本期增减变动金额（减少以“-”号填列）</v>
          </cell>
          <cell r="I280" t="str">
            <v>8d90</v>
          </cell>
          <cell r="M280" t="str">
            <v>一般风险准备_提取</v>
          </cell>
        </row>
        <row r="281">
          <cell r="B281" t="str">
            <v>8d40</v>
          </cell>
          <cell r="C281" t="str">
            <v>其他权益工具（其他）_综合收益总额增加权益</v>
          </cell>
          <cell r="D281">
            <v>-1</v>
          </cell>
          <cell r="E281" t="str">
            <v>OEI</v>
          </cell>
          <cell r="G281" t="str">
            <v>（一）综合收益总额</v>
          </cell>
          <cell r="I281" t="str">
            <v>8d40</v>
          </cell>
          <cell r="J281" t="str">
            <v>J</v>
          </cell>
          <cell r="M281" t="str">
            <v>一般风险准备_其他利润分配</v>
          </cell>
        </row>
        <row r="282">
          <cell r="B282" t="str">
            <v>8d50</v>
          </cell>
          <cell r="C282" t="str">
            <v>其他权益工具（其他）_所有者投入和减少资本影响权益</v>
          </cell>
          <cell r="E282" t="str">
            <v>OEI＝</v>
          </cell>
          <cell r="G282" t="str">
            <v>（二）所有者投入和减少资本</v>
          </cell>
          <cell r="I282" t="str">
            <v>8d50</v>
          </cell>
          <cell r="M282" t="str">
            <v>一般风险准备_结转重新计量设定受益计划净负债或净资产所产生的变动</v>
          </cell>
        </row>
        <row r="283">
          <cell r="B283" t="str">
            <v>8d51</v>
          </cell>
          <cell r="C283" t="str">
            <v>其他权益工具（其他）_所有者投入资本</v>
          </cell>
          <cell r="D283">
            <v>-1</v>
          </cell>
          <cell r="E283" t="str">
            <v>OEI</v>
          </cell>
          <cell r="G283" t="str">
            <v>所有者投入资本</v>
          </cell>
          <cell r="I283" t="str">
            <v>8d51</v>
          </cell>
          <cell r="J283" t="str">
            <v>J</v>
          </cell>
          <cell r="M283" t="str">
            <v>一般风险准备_所有者权益其他内部结转</v>
          </cell>
        </row>
        <row r="284">
          <cell r="B284" t="str">
            <v>8d52</v>
          </cell>
          <cell r="C284" t="str">
            <v>其他权益工具（其他）_股份支付</v>
          </cell>
          <cell r="D284">
            <v>-1</v>
          </cell>
          <cell r="E284" t="str">
            <v>OEI</v>
          </cell>
          <cell r="G284" t="str">
            <v>股份支付计入所有者权益的金额</v>
          </cell>
          <cell r="I284" t="str">
            <v>8d52</v>
          </cell>
          <cell r="J284" t="str">
            <v>J</v>
          </cell>
          <cell r="M284" t="str">
            <v>一般风险准备_本期其他增减变动</v>
          </cell>
        </row>
        <row r="285">
          <cell r="B285" t="str">
            <v>8d53</v>
          </cell>
          <cell r="C285" t="str">
            <v>其他权益工具（其他）_其他权益工具持有者投入资本</v>
          </cell>
          <cell r="D285">
            <v>-1</v>
          </cell>
          <cell r="E285" t="str">
            <v>OEI</v>
          </cell>
          <cell r="G285" t="str">
            <v>其他权益工具持有者投入资本</v>
          </cell>
          <cell r="I285" t="str">
            <v>8d53</v>
          </cell>
          <cell r="J285" t="str">
            <v>J</v>
          </cell>
          <cell r="M285" t="str">
            <v>未分配利润_上年年末余额</v>
          </cell>
        </row>
        <row r="286">
          <cell r="B286" t="str">
            <v>8d56</v>
          </cell>
          <cell r="C286" t="str">
            <v>其他权益工具（其他）_所有者其他投入和减少资本</v>
          </cell>
          <cell r="D286">
            <v>-1</v>
          </cell>
          <cell r="E286" t="str">
            <v>OEI</v>
          </cell>
          <cell r="G286" t="str">
            <v>其他</v>
          </cell>
          <cell r="I286" t="str">
            <v>8d56</v>
          </cell>
          <cell r="J286" t="str">
            <v>J</v>
          </cell>
          <cell r="M286" t="str">
            <v>未分配利润_会计政策变更调整上年年末余额</v>
          </cell>
        </row>
        <row r="287">
          <cell r="B287" t="str">
            <v>8d60</v>
          </cell>
          <cell r="C287" t="str">
            <v>其他权益工具（其他）_利润分配影响权益</v>
          </cell>
          <cell r="E287" t="str">
            <v>OEI＝</v>
          </cell>
          <cell r="G287" t="str">
            <v>（三）利润分配</v>
          </cell>
          <cell r="I287" t="str">
            <v>8d60</v>
          </cell>
          <cell r="M287" t="str">
            <v>未分配利润_前期差错更正调整上年年末余额</v>
          </cell>
        </row>
        <row r="288">
          <cell r="B288" t="str">
            <v>8d61</v>
          </cell>
          <cell r="C288" t="str">
            <v>其他权益工具（其他）_提取盈余公积</v>
          </cell>
          <cell r="D288">
            <v>-1</v>
          </cell>
          <cell r="E288" t="str">
            <v>OEI</v>
          </cell>
          <cell r="G288" t="str">
            <v>提取盈余公积</v>
          </cell>
          <cell r="I288" t="str">
            <v>8d61</v>
          </cell>
          <cell r="J288" t="str">
            <v>J</v>
          </cell>
          <cell r="M288" t="str">
            <v>未分配利润_同一控制下企业合并调整上年年末余额</v>
          </cell>
        </row>
        <row r="289">
          <cell r="B289" t="str">
            <v>8d62</v>
          </cell>
          <cell r="C289" t="str">
            <v>其他权益工具（其他）_提取一般风险准备</v>
          </cell>
          <cell r="D289">
            <v>-1</v>
          </cell>
          <cell r="E289" t="str">
            <v>OEI</v>
          </cell>
          <cell r="G289" t="str">
            <v>提取一般风险准备</v>
          </cell>
          <cell r="I289" t="str">
            <v>8d62</v>
          </cell>
          <cell r="J289" t="str">
            <v>J</v>
          </cell>
          <cell r="M289" t="str">
            <v>未分配利润_其他原因调整上年年末余额</v>
          </cell>
        </row>
        <row r="290">
          <cell r="B290" t="str">
            <v>8d63</v>
          </cell>
          <cell r="C290" t="str">
            <v>其他权益工具（其他）_对所有者的分配</v>
          </cell>
          <cell r="D290">
            <v>-1</v>
          </cell>
          <cell r="E290" t="str">
            <v>OEI</v>
          </cell>
          <cell r="G290" t="str">
            <v>对所有者（或股东）的分配</v>
          </cell>
          <cell r="I290" t="str">
            <v>8d63</v>
          </cell>
          <cell r="J290" t="str">
            <v>J</v>
          </cell>
          <cell r="M290" t="str">
            <v>未分配利润_其他权益工具持有者投入资本</v>
          </cell>
        </row>
        <row r="291">
          <cell r="B291" t="str">
            <v>8d66</v>
          </cell>
          <cell r="C291" t="str">
            <v>其他权益工具（其他）_其他利润分配</v>
          </cell>
          <cell r="D291">
            <v>-1</v>
          </cell>
          <cell r="E291" t="str">
            <v>OEI</v>
          </cell>
          <cell r="G291" t="str">
            <v>其他</v>
          </cell>
          <cell r="I291" t="str">
            <v>8d66</v>
          </cell>
          <cell r="J291" t="str">
            <v>J</v>
          </cell>
          <cell r="M291" t="str">
            <v>未分配利润_所有者其他投入和减少资本</v>
          </cell>
        </row>
        <row r="292">
          <cell r="B292" t="str">
            <v>8d70</v>
          </cell>
          <cell r="C292" t="str">
            <v>其他权益工具（其他）_所有者权益内部结转</v>
          </cell>
          <cell r="E292" t="str">
            <v>OEI＝</v>
          </cell>
          <cell r="G292" t="str">
            <v>（四）所有者权益内部结转</v>
          </cell>
          <cell r="I292" t="str">
            <v>8d70</v>
          </cell>
          <cell r="M292" t="str">
            <v>未分配利润_提取盈余公积</v>
          </cell>
        </row>
        <row r="293">
          <cell r="B293" t="str">
            <v>8d71</v>
          </cell>
          <cell r="C293" t="str">
            <v>其他权益工具（其他）_资本公积转增资本</v>
          </cell>
          <cell r="D293">
            <v>-1</v>
          </cell>
          <cell r="E293" t="str">
            <v>OEI</v>
          </cell>
          <cell r="G293" t="str">
            <v>资本公积转增资本（或股本）</v>
          </cell>
          <cell r="I293" t="str">
            <v>8d71</v>
          </cell>
          <cell r="J293" t="str">
            <v>J</v>
          </cell>
          <cell r="M293" t="str">
            <v>未分配利润_提取一般风险准备</v>
          </cell>
        </row>
        <row r="294">
          <cell r="B294" t="str">
            <v>8d72</v>
          </cell>
          <cell r="C294" t="str">
            <v>其他权益工具（其他）_盈余公积转增资本</v>
          </cell>
          <cell r="D294">
            <v>-1</v>
          </cell>
          <cell r="E294" t="str">
            <v>OEI</v>
          </cell>
          <cell r="G294" t="str">
            <v>盈余公积转增资本（或股本）</v>
          </cell>
          <cell r="I294" t="str">
            <v>8d72</v>
          </cell>
          <cell r="J294" t="str">
            <v>J</v>
          </cell>
          <cell r="M294" t="str">
            <v>未分配利润_对所有者的分配</v>
          </cell>
        </row>
        <row r="295">
          <cell r="B295" t="str">
            <v>8d73</v>
          </cell>
          <cell r="C295" t="str">
            <v>其他权益工具（其他）_盈余公积弥补亏损</v>
          </cell>
          <cell r="D295">
            <v>-1</v>
          </cell>
          <cell r="E295" t="str">
            <v>OEI</v>
          </cell>
          <cell r="G295" t="str">
            <v>盈余公积弥补亏损</v>
          </cell>
          <cell r="I295" t="str">
            <v>8d73</v>
          </cell>
          <cell r="J295" t="str">
            <v>J</v>
          </cell>
          <cell r="M295" t="str">
            <v>未分配利润_其他利润分配</v>
          </cell>
        </row>
        <row r="296">
          <cell r="B296" t="str">
            <v>8d75</v>
          </cell>
          <cell r="C296" t="str">
            <v>其他权益工具（其他）_结转重新计量设定受益计划净负债或净资产所产生的变动</v>
          </cell>
          <cell r="D296">
            <v>-1</v>
          </cell>
          <cell r="E296" t="str">
            <v>OEI</v>
          </cell>
          <cell r="G296" t="str">
            <v>结转重新计量设定受益计划净负债或净资产所产生的变动</v>
          </cell>
          <cell r="I296" t="str">
            <v>8d75</v>
          </cell>
          <cell r="J296" t="str">
            <v>J</v>
          </cell>
          <cell r="M296" t="str">
            <v>未分配利润_盈余公积弥补亏损</v>
          </cell>
        </row>
        <row r="297">
          <cell r="B297" t="str">
            <v>8d76</v>
          </cell>
          <cell r="C297" t="str">
            <v>其他权益工具（其他）_所有者权益其他内部结转</v>
          </cell>
          <cell r="D297">
            <v>-1</v>
          </cell>
          <cell r="E297" t="str">
            <v>OEI</v>
          </cell>
          <cell r="G297" t="str">
            <v>其他</v>
          </cell>
          <cell r="I297" t="str">
            <v>8d76</v>
          </cell>
          <cell r="J297" t="str">
            <v>J</v>
          </cell>
          <cell r="M297" t="str">
            <v>未分配利润_结转重新计量设定受益计划净负债或净资产所产生的变动</v>
          </cell>
        </row>
        <row r="298">
          <cell r="B298" t="str">
            <v>8d80</v>
          </cell>
          <cell r="C298" t="str">
            <v>其他权益工具（其他）_专项储备影响权益</v>
          </cell>
          <cell r="E298" t="str">
            <v>OEI＝</v>
          </cell>
          <cell r="G298" t="str">
            <v>（五）专项储备</v>
          </cell>
          <cell r="I298" t="str">
            <v>8d80</v>
          </cell>
          <cell r="M298" t="str">
            <v>未分配利润_所有者权益其他内部结转</v>
          </cell>
        </row>
        <row r="299">
          <cell r="B299" t="str">
            <v>8d81</v>
          </cell>
          <cell r="C299" t="str">
            <v>其他权益工具（其他）_专项储备本期提取</v>
          </cell>
          <cell r="D299">
            <v>-1</v>
          </cell>
          <cell r="E299" t="str">
            <v>OEI</v>
          </cell>
          <cell r="G299" t="str">
            <v>本期提取</v>
          </cell>
          <cell r="I299" t="str">
            <v>8d81</v>
          </cell>
          <cell r="J299" t="str">
            <v>J</v>
          </cell>
          <cell r="M299" t="str">
            <v>未分配利润_专项储备本期提取</v>
          </cell>
        </row>
        <row r="300">
          <cell r="B300" t="str">
            <v>8d82</v>
          </cell>
          <cell r="C300" t="str">
            <v>其他权益工具（其他）_专项储备本期使用</v>
          </cell>
          <cell r="D300">
            <v>-1</v>
          </cell>
          <cell r="E300" t="str">
            <v>OEI</v>
          </cell>
          <cell r="G300" t="str">
            <v>本期使用</v>
          </cell>
          <cell r="I300" t="str">
            <v>8d82</v>
          </cell>
          <cell r="J300" t="str">
            <v>J</v>
          </cell>
          <cell r="M300" t="str">
            <v>未分配利润_专项储备本期使用</v>
          </cell>
        </row>
        <row r="301">
          <cell r="B301" t="str">
            <v>8d96</v>
          </cell>
          <cell r="C301" t="str">
            <v>其他权益工具（其他）_本期其他增减变动</v>
          </cell>
          <cell r="D301">
            <v>-1</v>
          </cell>
          <cell r="E301" t="str">
            <v>OEI</v>
          </cell>
          <cell r="G301" t="str">
            <v>（七）其他</v>
          </cell>
          <cell r="I301" t="str">
            <v>8d96</v>
          </cell>
          <cell r="J301" t="str">
            <v>J</v>
          </cell>
          <cell r="M301" t="str">
            <v>未分配利润_本期其他增减变动</v>
          </cell>
        </row>
        <row r="302">
          <cell r="B302" t="str">
            <v>8d99</v>
          </cell>
          <cell r="C302" t="str">
            <v>其他权益工具（其他）_本期期末余额</v>
          </cell>
          <cell r="E302" t="str">
            <v>OEI＝</v>
          </cell>
          <cell r="G302" t="str">
            <v>四、本期期末余额</v>
          </cell>
          <cell r="I302" t="str">
            <v>8d99</v>
          </cell>
          <cell r="M302" t="str">
            <v>少数股东权益_上年年末余额</v>
          </cell>
        </row>
        <row r="303">
          <cell r="B303" t="str">
            <v>8g00</v>
          </cell>
          <cell r="C303" t="str">
            <v>其他综合收益增减变动</v>
          </cell>
          <cell r="E303" t="str">
            <v>：</v>
          </cell>
          <cell r="G303" t="str">
            <v>其他综合收益增减变动</v>
          </cell>
          <cell r="I303" t="str">
            <v>8g00</v>
          </cell>
          <cell r="M303" t="str">
            <v>少数股东权益_会计政策变更调整上年年末余额</v>
          </cell>
        </row>
        <row r="304">
          <cell r="B304" t="str">
            <v>8g01</v>
          </cell>
          <cell r="C304" t="str">
            <v>其他综合收益_上年年末余额</v>
          </cell>
          <cell r="D304">
            <v>-1</v>
          </cell>
          <cell r="G304" t="str">
            <v>一、上年年末余额</v>
          </cell>
          <cell r="I304" t="str">
            <v>8g01</v>
          </cell>
          <cell r="J304" t="str">
            <v>J</v>
          </cell>
          <cell r="M304" t="str">
            <v>少数股东权益_前期差错更正调整上年年末余额</v>
          </cell>
        </row>
        <row r="305">
          <cell r="B305" t="str">
            <v>8g02</v>
          </cell>
          <cell r="C305" t="str">
            <v>其他综合收益_会计政策变更调整上年年末余额</v>
          </cell>
          <cell r="D305">
            <v>-1</v>
          </cell>
          <cell r="G305" t="str">
            <v>加：会计政策变更</v>
          </cell>
          <cell r="I305" t="str">
            <v>8g02</v>
          </cell>
          <cell r="J305" t="str">
            <v>J</v>
          </cell>
          <cell r="M305" t="str">
            <v>少数股东权益_同一控制下企业合并调整上年年末余额</v>
          </cell>
        </row>
        <row r="306">
          <cell r="B306" t="str">
            <v>8g03</v>
          </cell>
          <cell r="C306" t="str">
            <v>其他综合收益_前期差错更正调整上年年末余额</v>
          </cell>
          <cell r="D306">
            <v>-1</v>
          </cell>
          <cell r="G306" t="str">
            <v>前期差错更正</v>
          </cell>
          <cell r="I306" t="str">
            <v>8g03</v>
          </cell>
          <cell r="J306" t="str">
            <v>J</v>
          </cell>
          <cell r="M306" t="str">
            <v>少数股东权益_其他原因调整上年年末余额</v>
          </cell>
        </row>
        <row r="307">
          <cell r="B307" t="str">
            <v>8g04</v>
          </cell>
          <cell r="C307" t="str">
            <v>其他综合收益_同一控制下企业合并调整上年年末余额</v>
          </cell>
          <cell r="D307">
            <v>-1</v>
          </cell>
          <cell r="E307" t="str">
            <v>※</v>
          </cell>
          <cell r="G307" t="str">
            <v>同一控制下企业合并</v>
          </cell>
          <cell r="I307" t="str">
            <v>8g04</v>
          </cell>
          <cell r="J307" t="str">
            <v>J</v>
          </cell>
          <cell r="M307" t="str">
            <v>少数股东权益_净利润</v>
          </cell>
        </row>
        <row r="308">
          <cell r="B308" t="str">
            <v>8g09</v>
          </cell>
          <cell r="C308" t="str">
            <v>其他综合收益_其他原因调整上年年末余额</v>
          </cell>
          <cell r="D308">
            <v>-1</v>
          </cell>
          <cell r="G308" t="str">
            <v>其他</v>
          </cell>
          <cell r="I308" t="str">
            <v>8g09</v>
          </cell>
          <cell r="J308" t="str">
            <v>J</v>
          </cell>
          <cell r="M308" t="str">
            <v>少数股东权益_其他综合收益</v>
          </cell>
        </row>
        <row r="309">
          <cell r="B309" t="str">
            <v>8g10</v>
          </cell>
          <cell r="C309" t="str">
            <v>其他综合收益_本年年初余额</v>
          </cell>
          <cell r="E309" t="str">
            <v>＝</v>
          </cell>
          <cell r="G309" t="str">
            <v>二、本年年初余额</v>
          </cell>
          <cell r="I309" t="str">
            <v>8g10</v>
          </cell>
          <cell r="M309" t="str">
            <v>少数股东权益_所有者投入资本</v>
          </cell>
        </row>
        <row r="310">
          <cell r="B310" t="str">
            <v>8g90</v>
          </cell>
          <cell r="C310" t="str">
            <v>其他综合收益_本期增减变动金额</v>
          </cell>
          <cell r="E310" t="str">
            <v>＝</v>
          </cell>
          <cell r="G310" t="str">
            <v>三、本期增减变动金额（减少以“-”号填列）</v>
          </cell>
          <cell r="I310" t="str">
            <v>8g90</v>
          </cell>
          <cell r="M310" t="str">
            <v>少数股东权益_股份支付</v>
          </cell>
        </row>
        <row r="311">
          <cell r="B311" t="str">
            <v>8g40</v>
          </cell>
          <cell r="C311" t="str">
            <v>其他综合收益_综合收益总额增加权益</v>
          </cell>
          <cell r="D311">
            <v>-1</v>
          </cell>
          <cell r="G311" t="str">
            <v>（一）综合收益总额</v>
          </cell>
          <cell r="I311" t="str">
            <v>8g40</v>
          </cell>
          <cell r="M311" t="str">
            <v>少数股东权益_其他权益工具持有者投入资本</v>
          </cell>
        </row>
        <row r="312">
          <cell r="B312" t="str">
            <v>8g50</v>
          </cell>
          <cell r="C312" t="str">
            <v>其他综合收益_所有者投入和减少资本影响权益</v>
          </cell>
          <cell r="E312" t="str">
            <v>＝</v>
          </cell>
          <cell r="G312" t="str">
            <v>（二）所有者投入和减少资本</v>
          </cell>
          <cell r="I312" t="str">
            <v>8g50</v>
          </cell>
          <cell r="M312" t="str">
            <v>少数股东权益_所有者其他投入和减少资本</v>
          </cell>
        </row>
        <row r="313">
          <cell r="B313" t="str">
            <v>8g51</v>
          </cell>
          <cell r="C313" t="str">
            <v>其他综合收益_所有者投入资本</v>
          </cell>
          <cell r="D313">
            <v>-1</v>
          </cell>
          <cell r="G313" t="str">
            <v>所有者投入资本</v>
          </cell>
          <cell r="I313" t="str">
            <v>8g51</v>
          </cell>
          <cell r="J313" t="str">
            <v>J</v>
          </cell>
          <cell r="M313" t="str">
            <v>少数股东权益_对所有者的分配</v>
          </cell>
        </row>
        <row r="314">
          <cell r="B314" t="str">
            <v>8g52</v>
          </cell>
          <cell r="C314" t="str">
            <v>其他综合收益_股份支付</v>
          </cell>
          <cell r="D314">
            <v>-1</v>
          </cell>
          <cell r="G314" t="str">
            <v>股份支付计入所有者权益的金额</v>
          </cell>
          <cell r="I314" t="str">
            <v>8g52</v>
          </cell>
          <cell r="J314" t="str">
            <v>J</v>
          </cell>
          <cell r="M314" t="str">
            <v>少数股东权益_其他利润分配</v>
          </cell>
        </row>
        <row r="315">
          <cell r="B315" t="str">
            <v>8g53</v>
          </cell>
          <cell r="C315" t="str">
            <v>其他综合收益_其他权益工具持有者投入资本</v>
          </cell>
          <cell r="D315">
            <v>-1</v>
          </cell>
          <cell r="E315" t="str">
            <v>OEI</v>
          </cell>
          <cell r="G315" t="str">
            <v>其他权益工具持有者投入资本</v>
          </cell>
          <cell r="I315" t="str">
            <v>8g53</v>
          </cell>
          <cell r="J315" t="str">
            <v>J</v>
          </cell>
          <cell r="M315" t="str">
            <v>少数股东权益_结转重新计量设定受益计划净负债或净资产所产生的变动</v>
          </cell>
        </row>
        <row r="316">
          <cell r="B316" t="str">
            <v>8g56</v>
          </cell>
          <cell r="C316" t="str">
            <v>其他综合收益_所有者其他投入和减少资本</v>
          </cell>
          <cell r="D316">
            <v>-1</v>
          </cell>
          <cell r="G316" t="str">
            <v>其他</v>
          </cell>
          <cell r="I316" t="str">
            <v>8g56</v>
          </cell>
          <cell r="J316" t="str">
            <v>J</v>
          </cell>
          <cell r="M316" t="str">
            <v>少数股东权益_所有者权益其他内部结转</v>
          </cell>
        </row>
        <row r="317">
          <cell r="B317" t="str">
            <v>8g60</v>
          </cell>
          <cell r="C317" t="str">
            <v>其他综合收益_利润分配影响权益</v>
          </cell>
          <cell r="E317" t="str">
            <v>＝</v>
          </cell>
          <cell r="G317" t="str">
            <v>（三）利润分配</v>
          </cell>
          <cell r="I317" t="str">
            <v>8g60</v>
          </cell>
          <cell r="M317" t="str">
            <v>少数股东权益_专项储备本期提取</v>
          </cell>
        </row>
        <row r="318">
          <cell r="B318" t="str">
            <v>8g61</v>
          </cell>
          <cell r="C318" t="str">
            <v>其他综合收益_提取盈余公积</v>
          </cell>
          <cell r="D318">
            <v>-1</v>
          </cell>
          <cell r="G318" t="str">
            <v>提取盈余公积</v>
          </cell>
          <cell r="I318" t="str">
            <v>8g61</v>
          </cell>
          <cell r="J318" t="str">
            <v>J</v>
          </cell>
          <cell r="M318" t="str">
            <v>少数股东权益_专项储备本期使用</v>
          </cell>
        </row>
        <row r="319">
          <cell r="B319" t="str">
            <v>8g62</v>
          </cell>
          <cell r="C319" t="str">
            <v>其他综合收益_提取一般风险准备</v>
          </cell>
          <cell r="D319">
            <v>-1</v>
          </cell>
          <cell r="G319" t="str">
            <v>提取一般风险准备</v>
          </cell>
          <cell r="I319" t="str">
            <v>8g62</v>
          </cell>
          <cell r="J319" t="str">
            <v>J</v>
          </cell>
          <cell r="M319" t="str">
            <v>少数股东权益_本期其他增减变动</v>
          </cell>
        </row>
        <row r="320">
          <cell r="B320" t="str">
            <v>8g63</v>
          </cell>
          <cell r="C320" t="str">
            <v>其他综合收益_对所有者的分配</v>
          </cell>
          <cell r="D320">
            <v>-1</v>
          </cell>
          <cell r="G320" t="str">
            <v>对所有者（或股东）的分配</v>
          </cell>
          <cell r="I320" t="str">
            <v>8g63</v>
          </cell>
          <cell r="J320" t="str">
            <v>J</v>
          </cell>
          <cell r="M320" t="str">
            <v>结算备付金</v>
          </cell>
        </row>
        <row r="321">
          <cell r="B321" t="str">
            <v>8g66</v>
          </cell>
          <cell r="C321" t="str">
            <v>其他综合收益_其他利润分配</v>
          </cell>
          <cell r="D321">
            <v>-1</v>
          </cell>
          <cell r="G321" t="str">
            <v>其他</v>
          </cell>
          <cell r="I321" t="str">
            <v>8g66</v>
          </cell>
          <cell r="J321" t="str">
            <v>J</v>
          </cell>
          <cell r="M321" t="str">
            <v>拆出资金</v>
          </cell>
        </row>
        <row r="322">
          <cell r="B322" t="str">
            <v>8g70</v>
          </cell>
          <cell r="C322" t="str">
            <v>其他综合收益_所有者权益内部结转</v>
          </cell>
          <cell r="E322" t="str">
            <v>＝</v>
          </cell>
          <cell r="G322" t="str">
            <v>（四）所有者权益内部结转</v>
          </cell>
          <cell r="I322" t="str">
            <v>8g70</v>
          </cell>
          <cell r="M322" t="str">
            <v>应收保费</v>
          </cell>
        </row>
        <row r="323">
          <cell r="B323" t="str">
            <v>8g71</v>
          </cell>
          <cell r="C323" t="str">
            <v>其他综合收益_资本公积转增资本</v>
          </cell>
          <cell r="D323">
            <v>-1</v>
          </cell>
          <cell r="G323" t="str">
            <v>资本公积转增资本（或股本）</v>
          </cell>
          <cell r="I323" t="str">
            <v>8g71</v>
          </cell>
          <cell r="J323" t="str">
            <v>J</v>
          </cell>
          <cell r="M323" t="str">
            <v>应收分保账款</v>
          </cell>
        </row>
        <row r="324">
          <cell r="B324" t="str">
            <v>8g72</v>
          </cell>
          <cell r="C324" t="str">
            <v>其他综合收益_盈余公积转增资本</v>
          </cell>
          <cell r="D324">
            <v>-1</v>
          </cell>
          <cell r="G324" t="str">
            <v>盈余公积转增资本（或股本）</v>
          </cell>
          <cell r="I324" t="str">
            <v>8g72</v>
          </cell>
          <cell r="J324" t="str">
            <v>J</v>
          </cell>
          <cell r="M324" t="str">
            <v>应收分保合同准备金</v>
          </cell>
        </row>
        <row r="325">
          <cell r="B325" t="str">
            <v>8g73</v>
          </cell>
          <cell r="C325" t="str">
            <v>其他综合收益_盈余公积弥补亏损</v>
          </cell>
          <cell r="D325">
            <v>-1</v>
          </cell>
          <cell r="G325" t="str">
            <v>盈余公积弥补亏损</v>
          </cell>
          <cell r="I325" t="str">
            <v>8g73</v>
          </cell>
          <cell r="J325" t="str">
            <v>J</v>
          </cell>
          <cell r="M325" t="str">
            <v>买入返售金融资产</v>
          </cell>
        </row>
        <row r="326">
          <cell r="B326" t="str">
            <v>8g75</v>
          </cell>
          <cell r="C326" t="str">
            <v>其他综合收益_结转重新计量设定受益计划净负债或净资产所产生的变动</v>
          </cell>
          <cell r="D326">
            <v>-1</v>
          </cell>
          <cell r="E326" t="str">
            <v>OEI</v>
          </cell>
          <cell r="G326" t="str">
            <v>结转重新计量设定受益计划净负债或净资产所产生的变动</v>
          </cell>
          <cell r="I326" t="str">
            <v>8g75</v>
          </cell>
          <cell r="J326" t="str">
            <v>J</v>
          </cell>
          <cell r="M326" t="str">
            <v>发放委托贷款及垫款</v>
          </cell>
        </row>
        <row r="327">
          <cell r="B327" t="str">
            <v>8g76</v>
          </cell>
          <cell r="C327" t="str">
            <v>其他综合收益_所有者权益其他内部结转</v>
          </cell>
          <cell r="D327">
            <v>-1</v>
          </cell>
          <cell r="G327" t="str">
            <v>其他</v>
          </cell>
          <cell r="I327" t="str">
            <v>8g76</v>
          </cell>
          <cell r="J327" t="str">
            <v>J</v>
          </cell>
          <cell r="M327" t="str">
            <v>向中央银行借款</v>
          </cell>
        </row>
        <row r="328">
          <cell r="B328" t="str">
            <v>8g80</v>
          </cell>
          <cell r="C328" t="str">
            <v>其他综合收益_专项储备影响权益</v>
          </cell>
          <cell r="E328" t="str">
            <v>＝</v>
          </cell>
          <cell r="G328" t="str">
            <v>（五）专项储备</v>
          </cell>
          <cell r="I328" t="str">
            <v>8g80</v>
          </cell>
          <cell r="M328" t="str">
            <v>吸收存款及同业存放</v>
          </cell>
        </row>
        <row r="329">
          <cell r="B329" t="str">
            <v>8g81</v>
          </cell>
          <cell r="C329" t="str">
            <v>其他综合收益_专项储备本期提取</v>
          </cell>
          <cell r="D329">
            <v>-1</v>
          </cell>
          <cell r="G329" t="str">
            <v>本期提取</v>
          </cell>
          <cell r="I329" t="str">
            <v>8g81</v>
          </cell>
          <cell r="J329" t="str">
            <v>J</v>
          </cell>
          <cell r="M329" t="str">
            <v>拆入资金</v>
          </cell>
        </row>
        <row r="330">
          <cell r="B330" t="str">
            <v>8g82</v>
          </cell>
          <cell r="C330" t="str">
            <v>其他综合收益_专项储备本期使用</v>
          </cell>
          <cell r="D330">
            <v>-1</v>
          </cell>
          <cell r="G330" t="str">
            <v>本期使用</v>
          </cell>
          <cell r="I330" t="str">
            <v>8g82</v>
          </cell>
          <cell r="J330" t="str">
            <v>J</v>
          </cell>
          <cell r="M330" t="str">
            <v>卖出回购金融资产款</v>
          </cell>
        </row>
        <row r="331">
          <cell r="B331" t="str">
            <v>8g96</v>
          </cell>
          <cell r="C331" t="str">
            <v>其他综合收益_本期其他增减变动</v>
          </cell>
          <cell r="D331">
            <v>-1</v>
          </cell>
          <cell r="G331" t="str">
            <v>（七）其他</v>
          </cell>
          <cell r="I331" t="str">
            <v>8g96</v>
          </cell>
          <cell r="J331" t="str">
            <v>J</v>
          </cell>
          <cell r="M331" t="str">
            <v>应付手续费及佣金</v>
          </cell>
        </row>
        <row r="332">
          <cell r="B332" t="str">
            <v>8g99</v>
          </cell>
          <cell r="C332" t="str">
            <v>其他综合收益_本期期末余额</v>
          </cell>
          <cell r="E332" t="str">
            <v>＝</v>
          </cell>
          <cell r="G332" t="str">
            <v>四、本期期末余额</v>
          </cell>
          <cell r="I332" t="str">
            <v>8g99</v>
          </cell>
          <cell r="M332" t="str">
            <v>应付分保账款</v>
          </cell>
        </row>
        <row r="333">
          <cell r="B333">
            <v>8200</v>
          </cell>
          <cell r="C333" t="str">
            <v>资本公积增减变动</v>
          </cell>
          <cell r="E333" t="str">
            <v>：</v>
          </cell>
          <cell r="G333" t="str">
            <v>资本公积增减变动</v>
          </cell>
          <cell r="I333">
            <v>8200</v>
          </cell>
          <cell r="M333" t="str">
            <v>保险合同准备金</v>
          </cell>
        </row>
        <row r="334">
          <cell r="B334">
            <v>8201</v>
          </cell>
          <cell r="C334" t="str">
            <v>资本公积_上年年末余额</v>
          </cell>
          <cell r="D334">
            <v>-1</v>
          </cell>
          <cell r="F334" t="str">
            <v>5210</v>
          </cell>
          <cell r="G334" t="str">
            <v>一、上年年末余额</v>
          </cell>
          <cell r="I334">
            <v>8201</v>
          </cell>
          <cell r="J334" t="str">
            <v>J</v>
          </cell>
          <cell r="M334" t="str">
            <v>代理买卖证券款</v>
          </cell>
        </row>
        <row r="335">
          <cell r="B335">
            <v>8202</v>
          </cell>
          <cell r="C335" t="str">
            <v>资本公积_会计政策变更调整上年年末余额</v>
          </cell>
          <cell r="D335">
            <v>-1</v>
          </cell>
          <cell r="F335" t="str">
            <v>5210</v>
          </cell>
          <cell r="G335" t="str">
            <v>加：会计政策变更</v>
          </cell>
          <cell r="I335">
            <v>8202</v>
          </cell>
          <cell r="J335" t="str">
            <v>J</v>
          </cell>
          <cell r="M335" t="str">
            <v>代理承销证券款</v>
          </cell>
        </row>
        <row r="336">
          <cell r="B336">
            <v>8203</v>
          </cell>
          <cell r="C336" t="str">
            <v>资本公积_前期差错更正调整上年年末余额</v>
          </cell>
          <cell r="D336">
            <v>-1</v>
          </cell>
          <cell r="F336" t="str">
            <v>5210</v>
          </cell>
          <cell r="G336" t="str">
            <v>前期差错更正</v>
          </cell>
          <cell r="I336">
            <v>8203</v>
          </cell>
          <cell r="J336" t="str">
            <v>J</v>
          </cell>
          <cell r="M336" t="str">
            <v>利息收入</v>
          </cell>
        </row>
        <row r="337">
          <cell r="B337">
            <v>8204</v>
          </cell>
          <cell r="C337" t="str">
            <v>资本公积_同一控制下企业合并调整上年年末余额</v>
          </cell>
          <cell r="D337">
            <v>-1</v>
          </cell>
          <cell r="E337" t="str">
            <v>※</v>
          </cell>
          <cell r="F337" t="str">
            <v>5210</v>
          </cell>
          <cell r="G337" t="str">
            <v>同一控制下企业合并</v>
          </cell>
          <cell r="I337">
            <v>8204</v>
          </cell>
          <cell r="J337" t="str">
            <v>J</v>
          </cell>
          <cell r="M337" t="str">
            <v>已赚保费</v>
          </cell>
        </row>
        <row r="338">
          <cell r="B338">
            <v>8209</v>
          </cell>
          <cell r="C338" t="str">
            <v>资本公积_其他原因调整上年年末余额</v>
          </cell>
          <cell r="D338">
            <v>-1</v>
          </cell>
          <cell r="F338" t="str">
            <v>5210</v>
          </cell>
          <cell r="G338" t="str">
            <v>其他</v>
          </cell>
          <cell r="I338">
            <v>8209</v>
          </cell>
          <cell r="J338" t="str">
            <v>J</v>
          </cell>
          <cell r="M338" t="str">
            <v>手续费及佣金收入</v>
          </cell>
        </row>
        <row r="339">
          <cell r="B339">
            <v>8210</v>
          </cell>
          <cell r="C339" t="str">
            <v>资本公积_本年年初余额</v>
          </cell>
          <cell r="E339" t="str">
            <v>＝</v>
          </cell>
          <cell r="G339" t="str">
            <v>二、本年年初余额</v>
          </cell>
          <cell r="I339">
            <v>8210</v>
          </cell>
          <cell r="M339" t="str">
            <v>利息支出</v>
          </cell>
        </row>
        <row r="340">
          <cell r="B340">
            <v>8290</v>
          </cell>
          <cell r="C340" t="str">
            <v>资本公积_本期增减变动金额</v>
          </cell>
          <cell r="E340" t="str">
            <v>＝</v>
          </cell>
          <cell r="G340" t="str">
            <v>三、本期增减变动金额（减少以“-”号填列）</v>
          </cell>
          <cell r="I340">
            <v>8290</v>
          </cell>
          <cell r="M340" t="str">
            <v>手续费及佣金支出</v>
          </cell>
        </row>
        <row r="341">
          <cell r="B341">
            <v>8230</v>
          </cell>
          <cell r="C341" t="str">
            <v>资本公积_其他综合收益</v>
          </cell>
          <cell r="D341">
            <v>-1</v>
          </cell>
          <cell r="F341" t="str">
            <v>5210</v>
          </cell>
          <cell r="G341" t="str">
            <v>（二）其他综合收益</v>
          </cell>
          <cell r="I341">
            <v>8230</v>
          </cell>
          <cell r="J341" t="str">
            <v>J</v>
          </cell>
          <cell r="M341" t="str">
            <v>退保金</v>
          </cell>
        </row>
        <row r="342">
          <cell r="B342">
            <v>8240</v>
          </cell>
          <cell r="C342" t="str">
            <v>资本公积_综合收益总额增加权益</v>
          </cell>
          <cell r="D342">
            <v>-1</v>
          </cell>
          <cell r="G342" t="str">
            <v>（一）综合收益总额</v>
          </cell>
          <cell r="I342">
            <v>8240</v>
          </cell>
          <cell r="J342" t="str">
            <v>J</v>
          </cell>
          <cell r="M342" t="str">
            <v>赔付支出净额</v>
          </cell>
        </row>
        <row r="343">
          <cell r="B343">
            <v>8250</v>
          </cell>
          <cell r="C343" t="str">
            <v>资本公积_所有者投入和减少资本影响权益</v>
          </cell>
          <cell r="E343" t="str">
            <v>＝</v>
          </cell>
          <cell r="G343" t="str">
            <v>（二）所有者投入和减少资本</v>
          </cell>
          <cell r="I343">
            <v>8250</v>
          </cell>
          <cell r="M343" t="str">
            <v>提取保险合同准备金净额</v>
          </cell>
        </row>
        <row r="344">
          <cell r="B344">
            <v>8251</v>
          </cell>
          <cell r="C344" t="str">
            <v>资本公积_所有者投入资本</v>
          </cell>
          <cell r="D344">
            <v>-1</v>
          </cell>
          <cell r="F344" t="str">
            <v>5210</v>
          </cell>
          <cell r="G344" t="str">
            <v>所有者投入资本</v>
          </cell>
          <cell r="I344">
            <v>8251</v>
          </cell>
          <cell r="J344" t="str">
            <v>J</v>
          </cell>
          <cell r="M344" t="str">
            <v>保单红利支出</v>
          </cell>
        </row>
        <row r="345">
          <cell r="B345">
            <v>8252</v>
          </cell>
          <cell r="C345" t="str">
            <v>资本公积_股份支付</v>
          </cell>
          <cell r="D345">
            <v>-1</v>
          </cell>
          <cell r="F345" t="str">
            <v>5210</v>
          </cell>
          <cell r="G345" t="str">
            <v>股份支付计入所有者权益的金额</v>
          </cell>
          <cell r="I345">
            <v>8252</v>
          </cell>
          <cell r="J345" t="str">
            <v>J</v>
          </cell>
          <cell r="M345" t="str">
            <v>分保费用</v>
          </cell>
        </row>
        <row r="346">
          <cell r="B346">
            <v>8253</v>
          </cell>
          <cell r="C346" t="str">
            <v>资本公积_其他权益工具持有者投入资本</v>
          </cell>
          <cell r="D346">
            <v>-1</v>
          </cell>
          <cell r="E346" t="str">
            <v>OEI</v>
          </cell>
          <cell r="F346" t="str">
            <v>5210</v>
          </cell>
          <cell r="G346" t="str">
            <v>其他权益工具持有者投入资本</v>
          </cell>
          <cell r="I346">
            <v>8253</v>
          </cell>
          <cell r="J346" t="str">
            <v>J</v>
          </cell>
          <cell r="M346" t="str">
            <v>汇兑收益</v>
          </cell>
        </row>
        <row r="347">
          <cell r="B347">
            <v>8256</v>
          </cell>
          <cell r="C347" t="str">
            <v>资本公积_所有者其他投入和减少资本</v>
          </cell>
          <cell r="D347">
            <v>-1</v>
          </cell>
          <cell r="F347" t="str">
            <v>5210</v>
          </cell>
          <cell r="G347" t="str">
            <v>其他</v>
          </cell>
          <cell r="I347">
            <v>8256</v>
          </cell>
          <cell r="J347" t="str">
            <v>J</v>
          </cell>
        </row>
        <row r="348">
          <cell r="B348">
            <v>8260</v>
          </cell>
          <cell r="C348" t="str">
            <v>资本公积_利润分配影响权益</v>
          </cell>
          <cell r="E348" t="str">
            <v>＝</v>
          </cell>
          <cell r="G348" t="str">
            <v>（三）利润分配</v>
          </cell>
          <cell r="I348">
            <v>8260</v>
          </cell>
        </row>
        <row r="349">
          <cell r="B349">
            <v>8266</v>
          </cell>
          <cell r="C349" t="str">
            <v>资本公积_其他利润分配</v>
          </cell>
          <cell r="D349">
            <v>-1</v>
          </cell>
          <cell r="F349" t="str">
            <v>5210</v>
          </cell>
          <cell r="G349" t="str">
            <v>其他</v>
          </cell>
          <cell r="I349">
            <v>8266</v>
          </cell>
          <cell r="J349" t="str">
            <v>J</v>
          </cell>
        </row>
        <row r="350">
          <cell r="B350">
            <v>8270</v>
          </cell>
          <cell r="C350" t="str">
            <v>资本公积_所有者权益内部结转</v>
          </cell>
          <cell r="E350" t="str">
            <v>＝</v>
          </cell>
          <cell r="G350" t="str">
            <v>（四）所有者权益内部结转</v>
          </cell>
          <cell r="I350">
            <v>8270</v>
          </cell>
        </row>
        <row r="351">
          <cell r="B351">
            <v>8271</v>
          </cell>
          <cell r="C351" t="str">
            <v>资本公积_转增资本</v>
          </cell>
          <cell r="D351">
            <v>-1</v>
          </cell>
          <cell r="F351" t="str">
            <v>5210</v>
          </cell>
          <cell r="G351" t="str">
            <v>资本公积转增资本（或股本）</v>
          </cell>
          <cell r="I351">
            <v>8271</v>
          </cell>
          <cell r="J351" t="str">
            <v>J</v>
          </cell>
        </row>
        <row r="352">
          <cell r="B352">
            <v>8275</v>
          </cell>
          <cell r="C352" t="str">
            <v>资本公积_结转重新计量设定受益计划净负债或净资产所产生的变动</v>
          </cell>
          <cell r="D352">
            <v>-1</v>
          </cell>
          <cell r="E352" t="str">
            <v>OEI</v>
          </cell>
          <cell r="F352" t="str">
            <v>5210</v>
          </cell>
          <cell r="G352" t="str">
            <v>结转重新计量设定受益计划净负债或净资产所产生的变动</v>
          </cell>
          <cell r="I352">
            <v>8275</v>
          </cell>
          <cell r="J352" t="str">
            <v>J</v>
          </cell>
        </row>
        <row r="353">
          <cell r="B353">
            <v>8276</v>
          </cell>
          <cell r="C353" t="str">
            <v>资本公积_所有者权益其他内部结转</v>
          </cell>
          <cell r="D353">
            <v>-1</v>
          </cell>
          <cell r="E353" t="str">
            <v>LOW</v>
          </cell>
          <cell r="F353" t="str">
            <v>5210</v>
          </cell>
          <cell r="G353" t="str">
            <v>其他</v>
          </cell>
          <cell r="I353">
            <v>8276</v>
          </cell>
          <cell r="J353" t="str">
            <v>J</v>
          </cell>
        </row>
        <row r="354">
          <cell r="B354">
            <v>8296</v>
          </cell>
          <cell r="C354" t="str">
            <v>资本公积_本期其他增减变动</v>
          </cell>
          <cell r="D354">
            <v>-1</v>
          </cell>
          <cell r="F354" t="str">
            <v>5210</v>
          </cell>
          <cell r="G354" t="str">
            <v>（七）其他</v>
          </cell>
          <cell r="I354">
            <v>8296</v>
          </cell>
          <cell r="J354" t="str">
            <v>J</v>
          </cell>
        </row>
        <row r="355">
          <cell r="B355">
            <v>8299</v>
          </cell>
          <cell r="C355" t="str">
            <v>资本公积_本期期末余额</v>
          </cell>
          <cell r="E355" t="str">
            <v>＝</v>
          </cell>
          <cell r="G355" t="str">
            <v>四、本期期末余额</v>
          </cell>
          <cell r="I355">
            <v>8299</v>
          </cell>
        </row>
        <row r="356">
          <cell r="B356">
            <v>8300</v>
          </cell>
          <cell r="C356" t="str">
            <v>库存股增减变动</v>
          </cell>
          <cell r="E356" t="str">
            <v>：</v>
          </cell>
          <cell r="G356" t="str">
            <v>减：库存股增减变动</v>
          </cell>
          <cell r="I356">
            <v>8300</v>
          </cell>
        </row>
        <row r="357">
          <cell r="B357">
            <v>8301</v>
          </cell>
          <cell r="C357" t="str">
            <v>库存股_上年年末余额</v>
          </cell>
          <cell r="D357">
            <v>1</v>
          </cell>
          <cell r="F357" t="str">
            <v>5310</v>
          </cell>
          <cell r="G357" t="str">
            <v>一、上年年末余额</v>
          </cell>
          <cell r="I357">
            <v>8301</v>
          </cell>
          <cell r="J357" t="str">
            <v>J</v>
          </cell>
        </row>
        <row r="358">
          <cell r="B358">
            <v>8302</v>
          </cell>
          <cell r="C358" t="str">
            <v>库存股_会计政策变更调整上年年末余额</v>
          </cell>
          <cell r="D358">
            <v>1</v>
          </cell>
          <cell r="F358" t="str">
            <v>5310</v>
          </cell>
          <cell r="G358" t="str">
            <v>加：会计政策变更</v>
          </cell>
          <cell r="I358">
            <v>8302</v>
          </cell>
          <cell r="J358" t="str">
            <v>J</v>
          </cell>
        </row>
        <row r="359">
          <cell r="B359">
            <v>8303</v>
          </cell>
          <cell r="C359" t="str">
            <v>库存股_前期差错更正调整上年年末余额</v>
          </cell>
          <cell r="D359">
            <v>1</v>
          </cell>
          <cell r="F359" t="str">
            <v>5310</v>
          </cell>
          <cell r="G359" t="str">
            <v>前期差错更正</v>
          </cell>
          <cell r="I359">
            <v>8303</v>
          </cell>
          <cell r="J359" t="str">
            <v>J</v>
          </cell>
        </row>
        <row r="360">
          <cell r="B360">
            <v>8304</v>
          </cell>
          <cell r="C360" t="str">
            <v>库存股_同一控制下企业合并调整上年年末余额</v>
          </cell>
          <cell r="D360">
            <v>1</v>
          </cell>
          <cell r="E360" t="str">
            <v>※</v>
          </cell>
          <cell r="F360" t="str">
            <v>5310</v>
          </cell>
          <cell r="G360" t="str">
            <v>同一控制下企业合并</v>
          </cell>
          <cell r="I360">
            <v>8304</v>
          </cell>
          <cell r="J360" t="str">
            <v>J</v>
          </cell>
        </row>
        <row r="361">
          <cell r="B361">
            <v>8309</v>
          </cell>
          <cell r="C361" t="str">
            <v>库存股_其他原因调整上年年末余额</v>
          </cell>
          <cell r="D361">
            <v>1</v>
          </cell>
          <cell r="E361" t="str">
            <v>LOW</v>
          </cell>
          <cell r="F361" t="str">
            <v>5310</v>
          </cell>
          <cell r="G361" t="str">
            <v>其他</v>
          </cell>
          <cell r="I361">
            <v>8309</v>
          </cell>
          <cell r="J361" t="str">
            <v>J</v>
          </cell>
        </row>
        <row r="362">
          <cell r="B362">
            <v>8310</v>
          </cell>
          <cell r="C362" t="str">
            <v>库存股_本年年初余额</v>
          </cell>
          <cell r="E362" t="str">
            <v>＝</v>
          </cell>
          <cell r="G362" t="str">
            <v>二、本年年初余额</v>
          </cell>
          <cell r="I362">
            <v>8310</v>
          </cell>
        </row>
        <row r="363">
          <cell r="B363">
            <v>8390</v>
          </cell>
          <cell r="C363" t="str">
            <v>库存股_本期增减变动金额</v>
          </cell>
          <cell r="E363" t="str">
            <v>＝</v>
          </cell>
          <cell r="G363" t="str">
            <v>三、本期增减变动金额（减少以“-”号填列）</v>
          </cell>
          <cell r="I363">
            <v>8390</v>
          </cell>
        </row>
        <row r="364">
          <cell r="B364">
            <v>8350</v>
          </cell>
          <cell r="C364" t="str">
            <v>库存股_所有者投入和减少资本影响权益</v>
          </cell>
          <cell r="E364" t="str">
            <v>＝</v>
          </cell>
          <cell r="G364" t="str">
            <v>（二）所有者投入和减少资本</v>
          </cell>
          <cell r="I364">
            <v>8350</v>
          </cell>
        </row>
        <row r="365">
          <cell r="B365">
            <v>8351</v>
          </cell>
          <cell r="C365" t="str">
            <v>库存股_所有者投入资本</v>
          </cell>
          <cell r="D365">
            <v>1</v>
          </cell>
          <cell r="F365" t="str">
            <v>5310</v>
          </cell>
          <cell r="G365" t="str">
            <v>所有者投入资本</v>
          </cell>
          <cell r="I365">
            <v>8351</v>
          </cell>
          <cell r="J365" t="str">
            <v>J</v>
          </cell>
        </row>
        <row r="366">
          <cell r="B366">
            <v>8352</v>
          </cell>
          <cell r="C366" t="str">
            <v>库存股_股份支付</v>
          </cell>
          <cell r="D366">
            <v>1</v>
          </cell>
          <cell r="E366" t="str">
            <v>LOW</v>
          </cell>
          <cell r="F366" t="str">
            <v>5310</v>
          </cell>
          <cell r="G366" t="str">
            <v>股份支付计入所有者权益的金额</v>
          </cell>
          <cell r="I366">
            <v>8352</v>
          </cell>
          <cell r="J366" t="str">
            <v>J</v>
          </cell>
        </row>
        <row r="367">
          <cell r="B367">
            <v>8353</v>
          </cell>
          <cell r="C367" t="str">
            <v>库存股_其他权益工具持有者投入资本</v>
          </cell>
          <cell r="D367">
            <v>1</v>
          </cell>
          <cell r="E367" t="str">
            <v>OEI</v>
          </cell>
          <cell r="F367" t="str">
            <v>5310</v>
          </cell>
          <cell r="G367" t="str">
            <v>其他权益工具持有者投入资本</v>
          </cell>
          <cell r="I367">
            <v>8353</v>
          </cell>
          <cell r="J367" t="str">
            <v>J</v>
          </cell>
        </row>
        <row r="368">
          <cell r="B368">
            <v>8356</v>
          </cell>
          <cell r="C368" t="str">
            <v>库存股_所有者其他投入和减少资本</v>
          </cell>
          <cell r="D368">
            <v>1</v>
          </cell>
          <cell r="E368" t="str">
            <v>LOW</v>
          </cell>
          <cell r="F368" t="str">
            <v>5310</v>
          </cell>
          <cell r="G368" t="str">
            <v>其他</v>
          </cell>
          <cell r="I368">
            <v>8356</v>
          </cell>
          <cell r="J368" t="str">
            <v>J</v>
          </cell>
        </row>
        <row r="369">
          <cell r="B369">
            <v>8360</v>
          </cell>
          <cell r="C369" t="str">
            <v>库存股_利润分配影响权益</v>
          </cell>
          <cell r="E369" t="str">
            <v>＝</v>
          </cell>
          <cell r="G369" t="str">
            <v>（三）利润分配</v>
          </cell>
          <cell r="I369">
            <v>8360</v>
          </cell>
        </row>
        <row r="370">
          <cell r="B370">
            <v>8363</v>
          </cell>
          <cell r="C370" t="str">
            <v>库存股_对所有者的分配</v>
          </cell>
          <cell r="D370">
            <v>1</v>
          </cell>
          <cell r="E370" t="str">
            <v>LOW</v>
          </cell>
          <cell r="F370" t="str">
            <v>5310</v>
          </cell>
          <cell r="G370" t="str">
            <v>对所有者（或股东）的分配</v>
          </cell>
          <cell r="I370">
            <v>8363</v>
          </cell>
          <cell r="J370" t="str">
            <v>J</v>
          </cell>
        </row>
        <row r="371">
          <cell r="B371">
            <v>8366</v>
          </cell>
          <cell r="C371" t="str">
            <v>库存股_其他利润分配</v>
          </cell>
          <cell r="D371">
            <v>1</v>
          </cell>
          <cell r="E371" t="str">
            <v>LOW</v>
          </cell>
          <cell r="F371" t="str">
            <v>5310</v>
          </cell>
          <cell r="G371" t="str">
            <v>其他</v>
          </cell>
          <cell r="I371">
            <v>8366</v>
          </cell>
          <cell r="J371" t="str">
            <v>J</v>
          </cell>
        </row>
        <row r="372">
          <cell r="B372">
            <v>8370</v>
          </cell>
          <cell r="C372" t="str">
            <v>库存股_所有者权益内部结转</v>
          </cell>
          <cell r="E372" t="str">
            <v>＝</v>
          </cell>
          <cell r="G372" t="str">
            <v>（四）所有者权益内部结转</v>
          </cell>
          <cell r="I372">
            <v>8370</v>
          </cell>
        </row>
        <row r="373">
          <cell r="B373">
            <v>8375</v>
          </cell>
          <cell r="C373" t="str">
            <v>库存股_结转重新计量设定受益计划净负债或净资产所产生的变动</v>
          </cell>
          <cell r="D373">
            <v>1</v>
          </cell>
          <cell r="E373" t="str">
            <v>OEI</v>
          </cell>
          <cell r="F373" t="str">
            <v>5310</v>
          </cell>
          <cell r="G373" t="str">
            <v>结转重新计量设定受益计划净负债或净资产所产生的变动</v>
          </cell>
          <cell r="I373">
            <v>8375</v>
          </cell>
          <cell r="J373" t="str">
            <v>J</v>
          </cell>
        </row>
        <row r="374">
          <cell r="B374">
            <v>8376</v>
          </cell>
          <cell r="C374" t="str">
            <v>库存股_所有者权益其他内部结转</v>
          </cell>
          <cell r="D374">
            <v>1</v>
          </cell>
          <cell r="F374" t="str">
            <v>5310</v>
          </cell>
          <cell r="G374" t="str">
            <v>其他</v>
          </cell>
          <cell r="I374">
            <v>8376</v>
          </cell>
          <cell r="J374" t="str">
            <v>J</v>
          </cell>
        </row>
        <row r="375">
          <cell r="B375">
            <v>8396</v>
          </cell>
          <cell r="C375" t="str">
            <v>库存股_本期其他增减变动</v>
          </cell>
          <cell r="D375">
            <v>1</v>
          </cell>
          <cell r="E375" t="str">
            <v>LOW</v>
          </cell>
          <cell r="F375" t="str">
            <v>5310</v>
          </cell>
          <cell r="G375" t="str">
            <v>（七）其他</v>
          </cell>
          <cell r="I375">
            <v>8396</v>
          </cell>
          <cell r="J375" t="str">
            <v>J</v>
          </cell>
        </row>
        <row r="376">
          <cell r="B376">
            <v>8399</v>
          </cell>
          <cell r="C376" t="str">
            <v>库存股_本期期末余额</v>
          </cell>
          <cell r="E376" t="str">
            <v>＝</v>
          </cell>
          <cell r="G376" t="str">
            <v>四、本期期末余额</v>
          </cell>
          <cell r="I376">
            <v>8399</v>
          </cell>
        </row>
        <row r="377">
          <cell r="B377">
            <v>8400</v>
          </cell>
          <cell r="C377" t="str">
            <v>专项储备增减变动</v>
          </cell>
          <cell r="E377" t="str">
            <v>：</v>
          </cell>
          <cell r="G377" t="str">
            <v>专项储备增减变动</v>
          </cell>
          <cell r="I377">
            <v>8400</v>
          </cell>
        </row>
        <row r="378">
          <cell r="B378">
            <v>8401</v>
          </cell>
          <cell r="C378" t="str">
            <v>专项储备_上年年末余额</v>
          </cell>
          <cell r="D378">
            <v>-1</v>
          </cell>
          <cell r="F378" t="str">
            <v>5510</v>
          </cell>
          <cell r="G378" t="str">
            <v>一、上年年末余额</v>
          </cell>
          <cell r="I378">
            <v>8401</v>
          </cell>
          <cell r="J378" t="str">
            <v>J</v>
          </cell>
        </row>
        <row r="379">
          <cell r="B379">
            <v>8402</v>
          </cell>
          <cell r="C379" t="str">
            <v>专项储备_会计政策变更调整上年年末余额</v>
          </cell>
          <cell r="D379">
            <v>-1</v>
          </cell>
          <cell r="F379" t="str">
            <v>5510</v>
          </cell>
          <cell r="G379" t="str">
            <v>加：会计政策变更</v>
          </cell>
          <cell r="I379">
            <v>8402</v>
          </cell>
          <cell r="J379" t="str">
            <v>J</v>
          </cell>
        </row>
        <row r="380">
          <cell r="B380">
            <v>8403</v>
          </cell>
          <cell r="C380" t="str">
            <v>专项储备_前期差错更正调整上年年末余额</v>
          </cell>
          <cell r="D380">
            <v>-1</v>
          </cell>
          <cell r="F380" t="str">
            <v>5510</v>
          </cell>
          <cell r="G380" t="str">
            <v>前期差错更正</v>
          </cell>
          <cell r="I380">
            <v>8403</v>
          </cell>
          <cell r="J380" t="str">
            <v>J</v>
          </cell>
        </row>
        <row r="381">
          <cell r="B381">
            <v>8404</v>
          </cell>
          <cell r="C381" t="str">
            <v>专项储备_同一控制下企业合并调整上年年末余额</v>
          </cell>
          <cell r="D381">
            <v>-1</v>
          </cell>
          <cell r="E381" t="str">
            <v>※</v>
          </cell>
          <cell r="F381" t="str">
            <v>5510</v>
          </cell>
          <cell r="G381" t="str">
            <v>同一控制下企业合并</v>
          </cell>
          <cell r="I381">
            <v>8404</v>
          </cell>
          <cell r="J381" t="str">
            <v>J</v>
          </cell>
        </row>
        <row r="382">
          <cell r="B382">
            <v>8409</v>
          </cell>
          <cell r="C382" t="str">
            <v>专项储备_其他原因调整上年年末余额</v>
          </cell>
          <cell r="D382">
            <v>-1</v>
          </cell>
          <cell r="E382" t="str">
            <v>LOW</v>
          </cell>
          <cell r="F382" t="str">
            <v>5510</v>
          </cell>
          <cell r="G382" t="str">
            <v>其他</v>
          </cell>
          <cell r="I382">
            <v>8409</v>
          </cell>
          <cell r="J382" t="str">
            <v>J</v>
          </cell>
        </row>
        <row r="383">
          <cell r="B383">
            <v>8410</v>
          </cell>
          <cell r="C383" t="str">
            <v>专项储备_本年年初余额</v>
          </cell>
          <cell r="E383" t="str">
            <v>＝</v>
          </cell>
          <cell r="G383" t="str">
            <v>二、本年年初余额</v>
          </cell>
          <cell r="I383">
            <v>8410</v>
          </cell>
        </row>
        <row r="384">
          <cell r="B384">
            <v>8453</v>
          </cell>
          <cell r="C384" t="str">
            <v>专项储备_其他权益工具持有者投入资本</v>
          </cell>
          <cell r="D384">
            <v>-1</v>
          </cell>
          <cell r="E384" t="str">
            <v>OEI</v>
          </cell>
          <cell r="F384" t="str">
            <v>5510</v>
          </cell>
          <cell r="G384" t="str">
            <v>其他权益工具持有者投入资本</v>
          </cell>
          <cell r="I384">
            <v>8453</v>
          </cell>
          <cell r="J384" t="str">
            <v>J</v>
          </cell>
        </row>
        <row r="385">
          <cell r="B385">
            <v>8490</v>
          </cell>
          <cell r="C385" t="str">
            <v>专项储备_本期增减变动金额</v>
          </cell>
          <cell r="E385" t="str">
            <v>＝</v>
          </cell>
          <cell r="G385" t="str">
            <v>三、本期增减变动金额（减少以“-”号填列）</v>
          </cell>
          <cell r="I385">
            <v>8490</v>
          </cell>
        </row>
        <row r="386">
          <cell r="B386">
            <v>8470</v>
          </cell>
          <cell r="C386" t="str">
            <v>专项储备_所有者权益内部结转</v>
          </cell>
          <cell r="E386" t="str">
            <v>＝</v>
          </cell>
          <cell r="G386" t="str">
            <v>（四）所有者权益内部结转</v>
          </cell>
          <cell r="I386">
            <v>8470</v>
          </cell>
        </row>
        <row r="387">
          <cell r="B387">
            <v>8475</v>
          </cell>
          <cell r="C387" t="str">
            <v>专项储备_结转重新计量设定受益计划净负债或净资产所产生的变动</v>
          </cell>
          <cell r="D387">
            <v>-1</v>
          </cell>
          <cell r="E387" t="str">
            <v>OEI</v>
          </cell>
          <cell r="F387" t="str">
            <v>5510</v>
          </cell>
          <cell r="G387" t="str">
            <v>结转重新计量设定受益计划净负债或净资产所产生的变动</v>
          </cell>
          <cell r="I387">
            <v>8475</v>
          </cell>
          <cell r="J387" t="str">
            <v>J</v>
          </cell>
        </row>
        <row r="388">
          <cell r="B388">
            <v>8476</v>
          </cell>
          <cell r="C388" t="str">
            <v>专项储备_所有者权益其他内部结转</v>
          </cell>
          <cell r="D388">
            <v>-1</v>
          </cell>
          <cell r="E388" t="str">
            <v>LOW</v>
          </cell>
          <cell r="F388" t="str">
            <v>5510</v>
          </cell>
          <cell r="G388" t="str">
            <v>其他</v>
          </cell>
          <cell r="I388">
            <v>8476</v>
          </cell>
          <cell r="J388" t="str">
            <v>J</v>
          </cell>
        </row>
        <row r="389">
          <cell r="B389">
            <v>8480</v>
          </cell>
          <cell r="C389" t="str">
            <v>专项储备_专项储备影响权益</v>
          </cell>
          <cell r="E389" t="str">
            <v>＝</v>
          </cell>
          <cell r="G389" t="str">
            <v>（五）专项储备</v>
          </cell>
          <cell r="I389">
            <v>8480</v>
          </cell>
        </row>
        <row r="390">
          <cell r="B390">
            <v>8481</v>
          </cell>
          <cell r="C390" t="str">
            <v>专项储备_本期提取</v>
          </cell>
          <cell r="D390">
            <v>-1</v>
          </cell>
          <cell r="F390" t="str">
            <v>5510</v>
          </cell>
          <cell r="G390" t="str">
            <v>本期提取</v>
          </cell>
          <cell r="I390">
            <v>8481</v>
          </cell>
          <cell r="J390" t="str">
            <v>J</v>
          </cell>
        </row>
        <row r="391">
          <cell r="B391">
            <v>8482</v>
          </cell>
          <cell r="C391" t="str">
            <v>专项储备_本期使用</v>
          </cell>
          <cell r="D391">
            <v>-1</v>
          </cell>
          <cell r="F391" t="str">
            <v>5510</v>
          </cell>
          <cell r="G391" t="str">
            <v>本期使用</v>
          </cell>
          <cell r="I391">
            <v>8482</v>
          </cell>
          <cell r="J391" t="str">
            <v>J</v>
          </cell>
        </row>
        <row r="392">
          <cell r="B392">
            <v>8496</v>
          </cell>
          <cell r="C392" t="str">
            <v>专项储备_本期其他增减变动</v>
          </cell>
          <cell r="D392">
            <v>-1</v>
          </cell>
          <cell r="E392" t="str">
            <v>LOW</v>
          </cell>
          <cell r="F392" t="str">
            <v>5510</v>
          </cell>
          <cell r="G392" t="str">
            <v>（七）其他</v>
          </cell>
          <cell r="I392">
            <v>8496</v>
          </cell>
          <cell r="J392" t="str">
            <v>J</v>
          </cell>
        </row>
        <row r="393">
          <cell r="B393">
            <v>8499</v>
          </cell>
          <cell r="C393" t="str">
            <v>专项储备_本期期末余额</v>
          </cell>
          <cell r="E393" t="str">
            <v>＝</v>
          </cell>
          <cell r="G393" t="str">
            <v>四、本期期末余额</v>
          </cell>
          <cell r="I393">
            <v>8499</v>
          </cell>
        </row>
        <row r="394">
          <cell r="B394">
            <v>8500</v>
          </cell>
          <cell r="C394" t="str">
            <v>盈余公积增减变动</v>
          </cell>
          <cell r="E394" t="str">
            <v>：</v>
          </cell>
          <cell r="G394" t="str">
            <v>盈余公积增减变动</v>
          </cell>
          <cell r="I394">
            <v>8500</v>
          </cell>
        </row>
        <row r="395">
          <cell r="B395">
            <v>8501</v>
          </cell>
          <cell r="C395" t="str">
            <v>盈余公积_上年年末余额</v>
          </cell>
          <cell r="D395">
            <v>-1</v>
          </cell>
          <cell r="F395" t="str">
            <v>5410</v>
          </cell>
          <cell r="G395" t="str">
            <v>一、上年年末余额</v>
          </cell>
          <cell r="I395">
            <v>8501</v>
          </cell>
          <cell r="J395" t="str">
            <v>J</v>
          </cell>
        </row>
        <row r="396">
          <cell r="B396">
            <v>8502</v>
          </cell>
          <cell r="C396" t="str">
            <v>盈余公积_会计政策变更调整上年年末余额</v>
          </cell>
          <cell r="D396">
            <v>-1</v>
          </cell>
          <cell r="F396" t="str">
            <v>5410</v>
          </cell>
          <cell r="G396" t="str">
            <v>加：会计政策变更</v>
          </cell>
          <cell r="I396">
            <v>8502</v>
          </cell>
          <cell r="J396" t="str">
            <v>J</v>
          </cell>
        </row>
        <row r="397">
          <cell r="B397">
            <v>8503</v>
          </cell>
          <cell r="C397" t="str">
            <v>盈余公积_前期差错更正调整上年年末余额</v>
          </cell>
          <cell r="D397">
            <v>-1</v>
          </cell>
          <cell r="F397" t="str">
            <v>5410</v>
          </cell>
          <cell r="G397" t="str">
            <v>前期差错更正</v>
          </cell>
          <cell r="I397">
            <v>8503</v>
          </cell>
          <cell r="J397" t="str">
            <v>J</v>
          </cell>
        </row>
        <row r="398">
          <cell r="B398">
            <v>8504</v>
          </cell>
          <cell r="C398" t="str">
            <v>盈余公积_同一控制下企业合并调整上年年末余额</v>
          </cell>
          <cell r="D398">
            <v>-1</v>
          </cell>
          <cell r="E398" t="str">
            <v>※</v>
          </cell>
          <cell r="F398" t="str">
            <v>5410</v>
          </cell>
          <cell r="G398" t="str">
            <v>同一控制下企业合并</v>
          </cell>
          <cell r="I398">
            <v>8504</v>
          </cell>
          <cell r="J398" t="str">
            <v>J</v>
          </cell>
        </row>
        <row r="399">
          <cell r="B399">
            <v>8509</v>
          </cell>
          <cell r="C399" t="str">
            <v>盈余公积_其他原因调整上年年末余额</v>
          </cell>
          <cell r="D399">
            <v>-1</v>
          </cell>
          <cell r="F399" t="str">
            <v>5410</v>
          </cell>
          <cell r="G399" t="str">
            <v>其他</v>
          </cell>
          <cell r="I399">
            <v>8509</v>
          </cell>
          <cell r="J399" t="str">
            <v>J</v>
          </cell>
        </row>
        <row r="400">
          <cell r="B400">
            <v>8510</v>
          </cell>
          <cell r="C400" t="str">
            <v>盈余公积_本年年初余额</v>
          </cell>
          <cell r="E400" t="str">
            <v>＝</v>
          </cell>
          <cell r="G400" t="str">
            <v>二、本年年初余额</v>
          </cell>
          <cell r="I400">
            <v>8510</v>
          </cell>
        </row>
        <row r="401">
          <cell r="B401">
            <v>8590</v>
          </cell>
          <cell r="C401" t="str">
            <v>盈余公积_本期增减变动金额</v>
          </cell>
          <cell r="E401" t="str">
            <v>＝</v>
          </cell>
          <cell r="G401" t="str">
            <v>三、本期增减变动金额（减少以“-”号填列）</v>
          </cell>
          <cell r="I401">
            <v>8590</v>
          </cell>
        </row>
        <row r="402">
          <cell r="B402">
            <v>8550</v>
          </cell>
          <cell r="C402" t="str">
            <v>盈余公积_所有者投入和减少资本影响权益</v>
          </cell>
          <cell r="E402" t="str">
            <v>＝</v>
          </cell>
          <cell r="G402" t="str">
            <v>（二）所有者投入和减少资本</v>
          </cell>
          <cell r="I402">
            <v>8550</v>
          </cell>
        </row>
        <row r="403">
          <cell r="B403">
            <v>8553</v>
          </cell>
          <cell r="C403" t="str">
            <v>盈余公积_其他权益工具持有者投入资本</v>
          </cell>
          <cell r="D403">
            <v>-1</v>
          </cell>
          <cell r="E403" t="str">
            <v>OEI</v>
          </cell>
          <cell r="F403" t="str">
            <v>5410</v>
          </cell>
          <cell r="G403" t="str">
            <v>其他权益工具持有者投入资本</v>
          </cell>
          <cell r="I403">
            <v>8553</v>
          </cell>
          <cell r="J403" t="str">
            <v>J</v>
          </cell>
        </row>
        <row r="404">
          <cell r="B404">
            <v>8556</v>
          </cell>
          <cell r="C404" t="str">
            <v>盈余公积_所有者其他投入和减少资本</v>
          </cell>
          <cell r="D404">
            <v>-1</v>
          </cell>
          <cell r="E404" t="str">
            <v>LOW</v>
          </cell>
          <cell r="F404" t="str">
            <v>5410</v>
          </cell>
          <cell r="G404" t="str">
            <v>其他</v>
          </cell>
          <cell r="I404">
            <v>8556</v>
          </cell>
          <cell r="J404" t="str">
            <v>J</v>
          </cell>
        </row>
        <row r="405">
          <cell r="B405">
            <v>8560</v>
          </cell>
          <cell r="C405" t="str">
            <v>盈余公积_利润分配影响权益</v>
          </cell>
          <cell r="E405" t="str">
            <v>＝</v>
          </cell>
          <cell r="G405" t="str">
            <v>（三）利润分配</v>
          </cell>
          <cell r="I405">
            <v>8560</v>
          </cell>
        </row>
        <row r="406">
          <cell r="B406">
            <v>8561</v>
          </cell>
          <cell r="C406" t="str">
            <v>盈余公积_提取</v>
          </cell>
          <cell r="D406">
            <v>-1</v>
          </cell>
          <cell r="F406" t="str">
            <v>5410</v>
          </cell>
          <cell r="G406" t="str">
            <v>提取盈余公积</v>
          </cell>
          <cell r="I406">
            <v>8561</v>
          </cell>
          <cell r="J406" t="str">
            <v>J</v>
          </cell>
        </row>
        <row r="407">
          <cell r="B407">
            <v>8563</v>
          </cell>
          <cell r="C407" t="str">
            <v>盈余公积_对所有者的分配</v>
          </cell>
          <cell r="D407">
            <v>-1</v>
          </cell>
          <cell r="F407" t="str">
            <v>5410</v>
          </cell>
          <cell r="G407" t="str">
            <v>对所有者（或股东）的分配</v>
          </cell>
          <cell r="I407">
            <v>8563</v>
          </cell>
          <cell r="J407" t="str">
            <v>J</v>
          </cell>
        </row>
        <row r="408">
          <cell r="B408">
            <v>8566</v>
          </cell>
          <cell r="C408" t="str">
            <v>盈余公积_其他利润分配</v>
          </cell>
          <cell r="D408">
            <v>-1</v>
          </cell>
          <cell r="F408" t="str">
            <v>5410</v>
          </cell>
          <cell r="G408" t="str">
            <v>其他</v>
          </cell>
          <cell r="I408">
            <v>8566</v>
          </cell>
          <cell r="J408" t="str">
            <v>J</v>
          </cell>
        </row>
        <row r="409">
          <cell r="B409">
            <v>8570</v>
          </cell>
          <cell r="C409" t="str">
            <v>盈余公积_所有者权益内部结转</v>
          </cell>
          <cell r="E409" t="str">
            <v>＝</v>
          </cell>
          <cell r="G409" t="str">
            <v>（四）所有者权益内部结转</v>
          </cell>
          <cell r="I409">
            <v>8570</v>
          </cell>
        </row>
        <row r="410">
          <cell r="B410">
            <v>8572</v>
          </cell>
          <cell r="C410" t="str">
            <v>盈余公积_转增资本</v>
          </cell>
          <cell r="D410">
            <v>-1</v>
          </cell>
          <cell r="F410" t="str">
            <v>5410</v>
          </cell>
          <cell r="G410" t="str">
            <v>盈余公积转增资本（或股本）</v>
          </cell>
          <cell r="I410">
            <v>8572</v>
          </cell>
          <cell r="J410" t="str">
            <v>J</v>
          </cell>
        </row>
        <row r="411">
          <cell r="B411">
            <v>8573</v>
          </cell>
          <cell r="C411" t="str">
            <v>盈余公积_弥补亏损</v>
          </cell>
          <cell r="D411">
            <v>-1</v>
          </cell>
          <cell r="F411" t="str">
            <v>5410</v>
          </cell>
          <cell r="G411" t="str">
            <v>盈余公积弥补亏损</v>
          </cell>
          <cell r="I411">
            <v>8573</v>
          </cell>
          <cell r="J411" t="str">
            <v>J</v>
          </cell>
        </row>
        <row r="412">
          <cell r="B412">
            <v>8575</v>
          </cell>
          <cell r="C412" t="str">
            <v>盈余公积_结转重新计量设定受益计划净负债或净资产所产生的变动</v>
          </cell>
          <cell r="D412">
            <v>-1</v>
          </cell>
          <cell r="E412" t="str">
            <v>OEI</v>
          </cell>
          <cell r="F412" t="str">
            <v>5410</v>
          </cell>
          <cell r="G412" t="str">
            <v>结转重新计量设定受益计划净负债或净资产所产生的变动</v>
          </cell>
          <cell r="I412">
            <v>8575</v>
          </cell>
          <cell r="J412" t="str">
            <v>J</v>
          </cell>
        </row>
        <row r="413">
          <cell r="B413">
            <v>8576</v>
          </cell>
          <cell r="C413" t="str">
            <v>盈余公积_所有者权益其他内部结转</v>
          </cell>
          <cell r="D413">
            <v>-1</v>
          </cell>
          <cell r="E413" t="str">
            <v>LOW</v>
          </cell>
          <cell r="F413" t="str">
            <v>5410</v>
          </cell>
          <cell r="G413" t="str">
            <v>其他</v>
          </cell>
          <cell r="I413">
            <v>8576</v>
          </cell>
          <cell r="J413" t="str">
            <v>J</v>
          </cell>
        </row>
        <row r="414">
          <cell r="B414">
            <v>8596</v>
          </cell>
          <cell r="C414" t="str">
            <v>盈余公积_本期其他增减变动</v>
          </cell>
          <cell r="D414">
            <v>-1</v>
          </cell>
          <cell r="E414" t="str">
            <v>LOW</v>
          </cell>
          <cell r="F414" t="str">
            <v>5410</v>
          </cell>
          <cell r="G414" t="str">
            <v>（七）其他</v>
          </cell>
          <cell r="I414">
            <v>8596</v>
          </cell>
          <cell r="J414" t="str">
            <v>J</v>
          </cell>
        </row>
        <row r="415">
          <cell r="B415">
            <v>8599</v>
          </cell>
          <cell r="C415" t="str">
            <v>盈余公积_本期期末余额</v>
          </cell>
          <cell r="E415" t="str">
            <v>＝</v>
          </cell>
          <cell r="G415" t="str">
            <v>四、本期期末余额</v>
          </cell>
          <cell r="I415">
            <v>8599</v>
          </cell>
        </row>
        <row r="416">
          <cell r="B416">
            <v>8600</v>
          </cell>
          <cell r="C416" t="str">
            <v>一般风险准备增减变动</v>
          </cell>
          <cell r="E416" t="str">
            <v>：</v>
          </cell>
          <cell r="G416" t="str">
            <v>一般风险准备增减变动</v>
          </cell>
          <cell r="I416">
            <v>8600</v>
          </cell>
        </row>
        <row r="417">
          <cell r="B417">
            <v>8601</v>
          </cell>
          <cell r="C417" t="str">
            <v>一般风险准备_上年年末余额</v>
          </cell>
          <cell r="D417">
            <v>-1</v>
          </cell>
          <cell r="G417" t="str">
            <v>一、上年年末余额</v>
          </cell>
          <cell r="I417">
            <v>8601</v>
          </cell>
          <cell r="J417" t="str">
            <v>J</v>
          </cell>
        </row>
        <row r="418">
          <cell r="B418">
            <v>8602</v>
          </cell>
          <cell r="C418" t="str">
            <v>一般风险准备_会计政策变更调整上年年末余额</v>
          </cell>
          <cell r="D418">
            <v>-1</v>
          </cell>
          <cell r="G418" t="str">
            <v>加：会计政策变更</v>
          </cell>
          <cell r="I418">
            <v>8602</v>
          </cell>
          <cell r="J418" t="str">
            <v>J</v>
          </cell>
        </row>
        <row r="419">
          <cell r="B419">
            <v>8603</v>
          </cell>
          <cell r="C419" t="str">
            <v>一般风险准备_前期差错更正调整上年年末余额</v>
          </cell>
          <cell r="D419">
            <v>-1</v>
          </cell>
          <cell r="G419" t="str">
            <v>前期差错更正</v>
          </cell>
          <cell r="I419">
            <v>8603</v>
          </cell>
          <cell r="J419" t="str">
            <v>J</v>
          </cell>
        </row>
        <row r="420">
          <cell r="B420">
            <v>8604</v>
          </cell>
          <cell r="C420" t="str">
            <v>一般风险准备_同一控制下企业合并调整上年年末余额</v>
          </cell>
          <cell r="D420">
            <v>-1</v>
          </cell>
          <cell r="E420" t="str">
            <v>※</v>
          </cell>
          <cell r="G420" t="str">
            <v>同一控制下企业合并</v>
          </cell>
          <cell r="I420">
            <v>8604</v>
          </cell>
          <cell r="J420" t="str">
            <v>J</v>
          </cell>
        </row>
        <row r="421">
          <cell r="B421">
            <v>8609</v>
          </cell>
          <cell r="C421" t="str">
            <v>一般风险准备_其他原因调整上年年末余额</v>
          </cell>
          <cell r="D421">
            <v>-1</v>
          </cell>
          <cell r="E421" t="str">
            <v>LOW</v>
          </cell>
          <cell r="G421" t="str">
            <v>其他</v>
          </cell>
          <cell r="I421">
            <v>8609</v>
          </cell>
          <cell r="J421" t="str">
            <v>J</v>
          </cell>
        </row>
        <row r="422">
          <cell r="B422">
            <v>8610</v>
          </cell>
          <cell r="C422" t="str">
            <v>一般风险准备_本年年初余额</v>
          </cell>
          <cell r="E422" t="str">
            <v>＝</v>
          </cell>
          <cell r="G422" t="str">
            <v>二、本年年初余额</v>
          </cell>
          <cell r="I422">
            <v>8610</v>
          </cell>
        </row>
        <row r="423">
          <cell r="B423">
            <v>8690</v>
          </cell>
          <cell r="C423" t="str">
            <v>一般风险准备_本期增减变动金额</v>
          </cell>
          <cell r="E423" t="str">
            <v>＝</v>
          </cell>
          <cell r="G423" t="str">
            <v>三、本期增减变动金额（减少以“-”号填列）</v>
          </cell>
          <cell r="I423">
            <v>8690</v>
          </cell>
        </row>
        <row r="424">
          <cell r="B424">
            <v>8650</v>
          </cell>
          <cell r="C424" t="str">
            <v>一般风险准备_所有者投入和减少资本影响权益</v>
          </cell>
          <cell r="E424" t="str">
            <v>＝</v>
          </cell>
          <cell r="G424" t="str">
            <v>（二）所有者投入和减少资本</v>
          </cell>
          <cell r="I424">
            <v>8650</v>
          </cell>
        </row>
        <row r="425">
          <cell r="B425">
            <v>8653</v>
          </cell>
          <cell r="C425" t="str">
            <v>一般风险准备_其他权益工具持有者投入资本</v>
          </cell>
          <cell r="D425">
            <v>-1</v>
          </cell>
          <cell r="E425" t="str">
            <v>OEI</v>
          </cell>
          <cell r="G425" t="str">
            <v>其他权益工具持有者投入资本</v>
          </cell>
          <cell r="I425">
            <v>8653</v>
          </cell>
          <cell r="J425" t="str">
            <v>J</v>
          </cell>
        </row>
        <row r="426">
          <cell r="B426">
            <v>8656</v>
          </cell>
          <cell r="C426" t="str">
            <v>一般风险准备_所有者其他投入和减少资本</v>
          </cell>
          <cell r="D426">
            <v>-1</v>
          </cell>
          <cell r="E426" t="str">
            <v>LOW</v>
          </cell>
          <cell r="G426" t="str">
            <v>其他</v>
          </cell>
          <cell r="I426">
            <v>8656</v>
          </cell>
          <cell r="J426" t="str">
            <v>J</v>
          </cell>
        </row>
        <row r="427">
          <cell r="B427">
            <v>8660</v>
          </cell>
          <cell r="C427" t="str">
            <v>一般风险准备_利润分配影响权益</v>
          </cell>
          <cell r="E427" t="str">
            <v>＝</v>
          </cell>
          <cell r="G427" t="str">
            <v>（三）利润分配</v>
          </cell>
          <cell r="I427">
            <v>8660</v>
          </cell>
        </row>
        <row r="428">
          <cell r="B428">
            <v>8662</v>
          </cell>
          <cell r="C428" t="str">
            <v>一般风险准备_提取</v>
          </cell>
          <cell r="D428">
            <v>-1</v>
          </cell>
          <cell r="G428" t="str">
            <v>提取一般风险准备</v>
          </cell>
          <cell r="I428">
            <v>8662</v>
          </cell>
          <cell r="J428" t="str">
            <v>J</v>
          </cell>
        </row>
        <row r="429">
          <cell r="B429">
            <v>8666</v>
          </cell>
          <cell r="C429" t="str">
            <v>一般风险准备_其他利润分配</v>
          </cell>
          <cell r="D429">
            <v>-1</v>
          </cell>
          <cell r="E429" t="str">
            <v>LOW</v>
          </cell>
          <cell r="G429" t="str">
            <v>其他</v>
          </cell>
          <cell r="I429">
            <v>8666</v>
          </cell>
          <cell r="J429" t="str">
            <v>J</v>
          </cell>
        </row>
        <row r="430">
          <cell r="B430">
            <v>8670</v>
          </cell>
          <cell r="C430" t="str">
            <v>一般风险准备_所有者权益内部结转</v>
          </cell>
          <cell r="E430" t="str">
            <v>＝</v>
          </cell>
          <cell r="G430" t="str">
            <v>（四）所有者权益内部结转</v>
          </cell>
          <cell r="I430">
            <v>8670</v>
          </cell>
        </row>
        <row r="431">
          <cell r="B431">
            <v>8675</v>
          </cell>
          <cell r="C431" t="str">
            <v>一般风险准备_结转重新计量设定受益计划净负债或净资产所产生的变动</v>
          </cell>
          <cell r="D431">
            <v>-1</v>
          </cell>
          <cell r="E431" t="str">
            <v>OEI</v>
          </cell>
          <cell r="G431" t="str">
            <v>结转重新计量设定受益计划净负债或净资产所产生的变动</v>
          </cell>
          <cell r="I431">
            <v>8675</v>
          </cell>
          <cell r="J431" t="str">
            <v>J</v>
          </cell>
        </row>
        <row r="432">
          <cell r="B432">
            <v>8676</v>
          </cell>
          <cell r="C432" t="str">
            <v>一般风险准备_所有者权益其他内部结转</v>
          </cell>
          <cell r="D432">
            <v>-1</v>
          </cell>
          <cell r="G432" t="str">
            <v>其他</v>
          </cell>
          <cell r="I432">
            <v>8676</v>
          </cell>
          <cell r="J432" t="str">
            <v>J</v>
          </cell>
        </row>
        <row r="433">
          <cell r="B433">
            <v>8696</v>
          </cell>
          <cell r="C433" t="str">
            <v>一般风险准备_本期其他增减变动</v>
          </cell>
          <cell r="D433">
            <v>-1</v>
          </cell>
          <cell r="E433" t="str">
            <v>LOW</v>
          </cell>
          <cell r="G433" t="str">
            <v>（七）其他</v>
          </cell>
          <cell r="I433">
            <v>8696</v>
          </cell>
          <cell r="J433" t="str">
            <v>J</v>
          </cell>
        </row>
        <row r="434">
          <cell r="B434">
            <v>8699</v>
          </cell>
          <cell r="C434" t="str">
            <v>一般风险准备_本期期末余额</v>
          </cell>
          <cell r="E434" t="str">
            <v>＝</v>
          </cell>
          <cell r="G434" t="str">
            <v>四、本期期末余额</v>
          </cell>
          <cell r="I434">
            <v>8699</v>
          </cell>
        </row>
        <row r="435">
          <cell r="B435">
            <v>8700</v>
          </cell>
          <cell r="C435" t="str">
            <v>未分配利润增减变动</v>
          </cell>
          <cell r="E435" t="str">
            <v>：</v>
          </cell>
          <cell r="G435" t="str">
            <v>未分配利润增减变动</v>
          </cell>
          <cell r="I435">
            <v>8700</v>
          </cell>
        </row>
        <row r="436">
          <cell r="B436">
            <v>8701</v>
          </cell>
          <cell r="C436" t="str">
            <v>未分配利润_上年年末余额</v>
          </cell>
          <cell r="D436">
            <v>-1</v>
          </cell>
          <cell r="F436" t="str">
            <v>5610</v>
          </cell>
          <cell r="G436" t="str">
            <v>一、上年年末余额</v>
          </cell>
          <cell r="I436">
            <v>8701</v>
          </cell>
          <cell r="J436" t="str">
            <v>J</v>
          </cell>
        </row>
        <row r="437">
          <cell r="B437">
            <v>8702</v>
          </cell>
          <cell r="C437" t="str">
            <v>未分配利润_会计政策变更调整上年年末余额</v>
          </cell>
          <cell r="D437">
            <v>-1</v>
          </cell>
          <cell r="F437" t="str">
            <v>5610</v>
          </cell>
          <cell r="G437" t="str">
            <v>加：会计政策变更</v>
          </cell>
          <cell r="I437">
            <v>8702</v>
          </cell>
          <cell r="J437" t="str">
            <v>J</v>
          </cell>
        </row>
        <row r="438">
          <cell r="B438">
            <v>8703</v>
          </cell>
          <cell r="C438" t="str">
            <v>未分配利润_前期差错更正调整上年年末余额</v>
          </cell>
          <cell r="D438">
            <v>-1</v>
          </cell>
          <cell r="F438" t="str">
            <v>5610</v>
          </cell>
          <cell r="G438" t="str">
            <v>前期差错更正</v>
          </cell>
          <cell r="I438">
            <v>8703</v>
          </cell>
          <cell r="J438" t="str">
            <v>J</v>
          </cell>
        </row>
        <row r="439">
          <cell r="B439">
            <v>8704</v>
          </cell>
          <cell r="C439" t="str">
            <v>未分配利润_同一控制下企业合并调整上年年末余额</v>
          </cell>
          <cell r="D439">
            <v>-1</v>
          </cell>
          <cell r="E439" t="str">
            <v>※</v>
          </cell>
          <cell r="F439" t="str">
            <v>5610</v>
          </cell>
          <cell r="G439" t="str">
            <v>同一控制下企业合并</v>
          </cell>
          <cell r="I439">
            <v>8704</v>
          </cell>
          <cell r="J439" t="str">
            <v>J</v>
          </cell>
        </row>
        <row r="440">
          <cell r="B440">
            <v>8709</v>
          </cell>
          <cell r="C440" t="str">
            <v>未分配利润_其他原因调整上年年末余额</v>
          </cell>
          <cell r="D440">
            <v>-1</v>
          </cell>
          <cell r="F440" t="str">
            <v>5610</v>
          </cell>
          <cell r="G440" t="str">
            <v>其他</v>
          </cell>
          <cell r="I440">
            <v>8709</v>
          </cell>
          <cell r="J440" t="str">
            <v>J</v>
          </cell>
        </row>
        <row r="441">
          <cell r="B441">
            <v>8710</v>
          </cell>
          <cell r="C441" t="str">
            <v>未分配利润_本年年初余额</v>
          </cell>
          <cell r="E441" t="str">
            <v>＝</v>
          </cell>
          <cell r="G441" t="str">
            <v>二、本年年初余额</v>
          </cell>
          <cell r="I441">
            <v>8710</v>
          </cell>
        </row>
        <row r="442">
          <cell r="B442">
            <v>8753</v>
          </cell>
          <cell r="C442" t="str">
            <v>未分配利润_其他权益工具持有者投入资本</v>
          </cell>
          <cell r="D442">
            <v>-1</v>
          </cell>
          <cell r="E442" t="str">
            <v>OEI</v>
          </cell>
          <cell r="F442" t="str">
            <v>5610</v>
          </cell>
          <cell r="G442" t="str">
            <v>其他权益工具持有者投入资本</v>
          </cell>
          <cell r="I442">
            <v>8753</v>
          </cell>
          <cell r="J442" t="str">
            <v>J</v>
          </cell>
        </row>
        <row r="443">
          <cell r="B443">
            <v>8790</v>
          </cell>
          <cell r="C443" t="str">
            <v>未分配利润_本期增减变动金额</v>
          </cell>
          <cell r="E443" t="str">
            <v>＝</v>
          </cell>
          <cell r="G443" t="str">
            <v>三、本期增减变动金额（减少以“-”号填列）</v>
          </cell>
          <cell r="I443">
            <v>8790</v>
          </cell>
        </row>
        <row r="444">
          <cell r="B444">
            <v>8721</v>
          </cell>
          <cell r="C444" t="str">
            <v>未分配利润_净利润增加权益</v>
          </cell>
          <cell r="D444">
            <v>-1</v>
          </cell>
          <cell r="G444" t="str">
            <v>（一）净利润</v>
          </cell>
          <cell r="I444">
            <v>8721</v>
          </cell>
        </row>
        <row r="445">
          <cell r="B445">
            <v>8740</v>
          </cell>
          <cell r="C445" t="str">
            <v>未分配利润_综合收益总额增加权益</v>
          </cell>
          <cell r="D445">
            <v>-1</v>
          </cell>
          <cell r="G445" t="str">
            <v>（一）综合收益总额</v>
          </cell>
          <cell r="I445">
            <v>8740</v>
          </cell>
        </row>
        <row r="446">
          <cell r="B446">
            <v>8750</v>
          </cell>
          <cell r="C446" t="str">
            <v>未分配利润_所有者投入和减少资本影响权益</v>
          </cell>
          <cell r="E446" t="str">
            <v>＝</v>
          </cell>
          <cell r="G446" t="str">
            <v>（二）所有者投入和减少资本</v>
          </cell>
          <cell r="I446">
            <v>8750</v>
          </cell>
        </row>
        <row r="447">
          <cell r="B447">
            <v>8756</v>
          </cell>
          <cell r="C447" t="str">
            <v>未分配利润_所有者其他投入和减少资本</v>
          </cell>
          <cell r="D447">
            <v>-1</v>
          </cell>
          <cell r="F447" t="str">
            <v>5610</v>
          </cell>
          <cell r="G447" t="str">
            <v>其他</v>
          </cell>
          <cell r="I447">
            <v>8756</v>
          </cell>
          <cell r="J447" t="str">
            <v>J</v>
          </cell>
        </row>
        <row r="448">
          <cell r="B448">
            <v>8760</v>
          </cell>
          <cell r="C448" t="str">
            <v>未分配利润_利润分配影响权益</v>
          </cell>
          <cell r="E448" t="str">
            <v>＝</v>
          </cell>
          <cell r="G448" t="str">
            <v>（三）利润分配</v>
          </cell>
          <cell r="I448">
            <v>8760</v>
          </cell>
        </row>
        <row r="449">
          <cell r="B449">
            <v>8761</v>
          </cell>
          <cell r="C449" t="str">
            <v>未分配利润_提取盈余公积</v>
          </cell>
          <cell r="D449">
            <v>-1</v>
          </cell>
          <cell r="F449" t="str">
            <v>5610</v>
          </cell>
          <cell r="G449" t="str">
            <v>提取盈余公积</v>
          </cell>
          <cell r="I449">
            <v>8761</v>
          </cell>
          <cell r="J449" t="str">
            <v>J</v>
          </cell>
        </row>
        <row r="450">
          <cell r="B450">
            <v>8762</v>
          </cell>
          <cell r="C450" t="str">
            <v>未分配利润_提取一般风险准备</v>
          </cell>
          <cell r="D450">
            <v>-1</v>
          </cell>
          <cell r="F450" t="str">
            <v>5610</v>
          </cell>
          <cell r="G450" t="str">
            <v>提取一般风险准备</v>
          </cell>
          <cell r="I450">
            <v>8762</v>
          </cell>
          <cell r="J450" t="str">
            <v>J</v>
          </cell>
        </row>
        <row r="451">
          <cell r="B451">
            <v>8763</v>
          </cell>
          <cell r="C451" t="str">
            <v>未分配利润_对所有者的分配</v>
          </cell>
          <cell r="D451">
            <v>-1</v>
          </cell>
          <cell r="F451" t="str">
            <v>5610</v>
          </cell>
          <cell r="G451" t="str">
            <v>对所有者（或股东）的分配</v>
          </cell>
          <cell r="I451">
            <v>8763</v>
          </cell>
          <cell r="J451" t="str">
            <v>J</v>
          </cell>
        </row>
        <row r="452">
          <cell r="B452">
            <v>8766</v>
          </cell>
          <cell r="C452" t="str">
            <v>未分配利润_其他利润分配</v>
          </cell>
          <cell r="D452">
            <v>-1</v>
          </cell>
          <cell r="F452" t="str">
            <v>5610</v>
          </cell>
          <cell r="G452" t="str">
            <v>其他</v>
          </cell>
          <cell r="I452">
            <v>8766</v>
          </cell>
          <cell r="J452" t="str">
            <v>J</v>
          </cell>
        </row>
        <row r="453">
          <cell r="B453">
            <v>8770</v>
          </cell>
          <cell r="C453" t="str">
            <v>未分配利润_所有者权益内部结转</v>
          </cell>
          <cell r="E453" t="str">
            <v>＝</v>
          </cell>
          <cell r="G453" t="str">
            <v>（四）所有者权益内部结转</v>
          </cell>
          <cell r="I453">
            <v>8770</v>
          </cell>
        </row>
        <row r="454">
          <cell r="B454">
            <v>8773</v>
          </cell>
          <cell r="C454" t="str">
            <v>未分配利润_盈余公积弥补亏损</v>
          </cell>
          <cell r="D454">
            <v>-1</v>
          </cell>
          <cell r="F454" t="str">
            <v>5610</v>
          </cell>
          <cell r="G454" t="str">
            <v>盈余公积弥补亏损</v>
          </cell>
          <cell r="I454">
            <v>8773</v>
          </cell>
          <cell r="J454" t="str">
            <v>J</v>
          </cell>
        </row>
        <row r="455">
          <cell r="B455">
            <v>8775</v>
          </cell>
          <cell r="C455" t="str">
            <v>未分配利润_结转重新计量设定受益计划净负债或净资产所产生的变动</v>
          </cell>
          <cell r="D455">
            <v>-1</v>
          </cell>
          <cell r="E455" t="str">
            <v>OEI</v>
          </cell>
          <cell r="F455" t="str">
            <v>5610</v>
          </cell>
          <cell r="G455" t="str">
            <v>结转重新计量设定受益计划净负债或净资产所产生的变动</v>
          </cell>
          <cell r="I455">
            <v>8775</v>
          </cell>
          <cell r="J455" t="str">
            <v>J</v>
          </cell>
        </row>
        <row r="456">
          <cell r="B456">
            <v>8776</v>
          </cell>
          <cell r="C456" t="str">
            <v>未分配利润_所有者权益其他内部结转</v>
          </cell>
          <cell r="D456">
            <v>-1</v>
          </cell>
          <cell r="F456" t="str">
            <v>5610</v>
          </cell>
          <cell r="G456" t="str">
            <v>其他</v>
          </cell>
          <cell r="I456">
            <v>8776</v>
          </cell>
          <cell r="J456" t="str">
            <v>J</v>
          </cell>
        </row>
        <row r="457">
          <cell r="B457">
            <v>8780</v>
          </cell>
          <cell r="C457" t="str">
            <v>未分配利润_专项储备影响权益</v>
          </cell>
          <cell r="E457" t="str">
            <v>＝</v>
          </cell>
          <cell r="G457" t="str">
            <v>（五）专项储备</v>
          </cell>
          <cell r="I457">
            <v>8780</v>
          </cell>
        </row>
        <row r="458">
          <cell r="B458">
            <v>8781</v>
          </cell>
          <cell r="C458" t="str">
            <v>未分配利润_专项储备本期提取</v>
          </cell>
          <cell r="D458">
            <v>-1</v>
          </cell>
          <cell r="E458" t="str">
            <v>LOW</v>
          </cell>
          <cell r="F458" t="str">
            <v>5610</v>
          </cell>
          <cell r="G458" t="str">
            <v>本期提取</v>
          </cell>
          <cell r="I458">
            <v>8781</v>
          </cell>
          <cell r="J458" t="str">
            <v>J</v>
          </cell>
        </row>
        <row r="459">
          <cell r="B459">
            <v>8782</v>
          </cell>
          <cell r="C459" t="str">
            <v>未分配利润_专项储备本期使用</v>
          </cell>
          <cell r="D459">
            <v>-1</v>
          </cell>
          <cell r="E459" t="str">
            <v>LOW</v>
          </cell>
          <cell r="F459" t="str">
            <v>5610</v>
          </cell>
          <cell r="G459" t="str">
            <v>本期使用</v>
          </cell>
          <cell r="I459">
            <v>8782</v>
          </cell>
          <cell r="J459" t="str">
            <v>J</v>
          </cell>
        </row>
        <row r="460">
          <cell r="B460">
            <v>8796</v>
          </cell>
          <cell r="C460" t="str">
            <v>未分配利润_本期其他增减变动</v>
          </cell>
          <cell r="D460">
            <v>-1</v>
          </cell>
          <cell r="E460" t="str">
            <v>LOW</v>
          </cell>
          <cell r="F460" t="str">
            <v>5610</v>
          </cell>
          <cell r="G460" t="str">
            <v>（七）其他</v>
          </cell>
          <cell r="I460">
            <v>8796</v>
          </cell>
          <cell r="J460" t="str">
            <v>J</v>
          </cell>
        </row>
        <row r="461">
          <cell r="B461">
            <v>8799</v>
          </cell>
          <cell r="C461" t="str">
            <v>未分配利润_本期期末余额</v>
          </cell>
          <cell r="E461" t="str">
            <v>＝</v>
          </cell>
          <cell r="G461" t="str">
            <v>四、本期期末余额</v>
          </cell>
          <cell r="I461">
            <v>8799</v>
          </cell>
        </row>
        <row r="462">
          <cell r="B462">
            <v>8800</v>
          </cell>
          <cell r="C462" t="str">
            <v>其他归属于母公司所有者权益增减变动</v>
          </cell>
          <cell r="E462" t="str">
            <v>※</v>
          </cell>
          <cell r="G462" t="str">
            <v>其他归属于母公司所有者权益增减变动</v>
          </cell>
          <cell r="I462">
            <v>8800</v>
          </cell>
        </row>
        <row r="463">
          <cell r="B463">
            <v>8801</v>
          </cell>
          <cell r="C463" t="str">
            <v>其他归属于母公司所有者权益_上年年末余额</v>
          </cell>
          <cell r="D463">
            <v>-1</v>
          </cell>
          <cell r="E463" t="str">
            <v>※</v>
          </cell>
          <cell r="G463" t="str">
            <v>一、上年年末余额</v>
          </cell>
          <cell r="I463">
            <v>8801</v>
          </cell>
        </row>
        <row r="464">
          <cell r="B464">
            <v>8802</v>
          </cell>
          <cell r="C464" t="str">
            <v>其他归属于母公司所有者权益_会计政策变更调整上年年末余额</v>
          </cell>
          <cell r="D464">
            <v>-1</v>
          </cell>
          <cell r="E464" t="str">
            <v>※LOW</v>
          </cell>
          <cell r="G464" t="str">
            <v>加：会计政策变更</v>
          </cell>
          <cell r="I464">
            <v>8802</v>
          </cell>
        </row>
        <row r="465">
          <cell r="B465">
            <v>8803</v>
          </cell>
          <cell r="C465" t="str">
            <v>其他归属于母公司所有者权益_前期差错更正调整上年年末余额</v>
          </cell>
          <cell r="D465">
            <v>-1</v>
          </cell>
          <cell r="E465" t="str">
            <v>※LOW</v>
          </cell>
          <cell r="G465" t="str">
            <v>前期差错更正</v>
          </cell>
          <cell r="I465">
            <v>8803</v>
          </cell>
        </row>
        <row r="466">
          <cell r="B466">
            <v>8804</v>
          </cell>
          <cell r="C466" t="str">
            <v>其他归属于母公司所有者权益_同一控制下企业合并调整上年年末余额</v>
          </cell>
          <cell r="D466">
            <v>-1</v>
          </cell>
          <cell r="E466" t="str">
            <v>※</v>
          </cell>
          <cell r="G466" t="str">
            <v>同一控制下企业合并</v>
          </cell>
          <cell r="I466">
            <v>8804</v>
          </cell>
        </row>
        <row r="467">
          <cell r="B467">
            <v>8809</v>
          </cell>
          <cell r="C467" t="str">
            <v>其他归属于母公司所有者权益_其他原因调整上年年末余额</v>
          </cell>
          <cell r="D467">
            <v>-1</v>
          </cell>
          <cell r="E467" t="str">
            <v>※LOW</v>
          </cell>
          <cell r="G467" t="str">
            <v>其他</v>
          </cell>
          <cell r="I467">
            <v>8809</v>
          </cell>
        </row>
        <row r="468">
          <cell r="B468">
            <v>8810</v>
          </cell>
          <cell r="C468" t="str">
            <v>其他归属于母公司所有者权益_本年年初余额</v>
          </cell>
          <cell r="E468" t="str">
            <v>※＝</v>
          </cell>
          <cell r="G468" t="str">
            <v>二、本年年初余额</v>
          </cell>
          <cell r="I468">
            <v>8810</v>
          </cell>
        </row>
        <row r="469">
          <cell r="B469">
            <v>8890</v>
          </cell>
          <cell r="C469" t="str">
            <v>其他归属于母公司所有者权益_本期增减变动金额</v>
          </cell>
          <cell r="E469" t="str">
            <v>※＝</v>
          </cell>
          <cell r="G469" t="str">
            <v>三、本期增减变动金额（减少以“-”号填列）</v>
          </cell>
          <cell r="I469">
            <v>8890</v>
          </cell>
        </row>
        <row r="470">
          <cell r="B470">
            <v>8821</v>
          </cell>
          <cell r="C470" t="str">
            <v>其他归属于母公司所有者权益_净利润增加权益</v>
          </cell>
          <cell r="D470">
            <v>-1</v>
          </cell>
          <cell r="E470" t="str">
            <v>※LOW</v>
          </cell>
          <cell r="G470" t="str">
            <v>（一）净利润</v>
          </cell>
          <cell r="I470">
            <v>8821</v>
          </cell>
        </row>
        <row r="471">
          <cell r="B471">
            <v>8830</v>
          </cell>
          <cell r="C471" t="str">
            <v>其他归属于母公司所有者权益_其他综合收益</v>
          </cell>
          <cell r="D471">
            <v>-1</v>
          </cell>
          <cell r="E471" t="str">
            <v>※LOW</v>
          </cell>
          <cell r="G471" t="str">
            <v>（二）其他综合收益</v>
          </cell>
          <cell r="I471">
            <v>8830</v>
          </cell>
        </row>
        <row r="472">
          <cell r="B472">
            <v>8840</v>
          </cell>
          <cell r="C472" t="str">
            <v>其他归属于母公司所有者权益_综合收益总额增加权益</v>
          </cell>
          <cell r="D472">
            <v>-1</v>
          </cell>
          <cell r="E472" t="str">
            <v>※</v>
          </cell>
          <cell r="G472" t="str">
            <v>（一）综合收益总额</v>
          </cell>
          <cell r="I472">
            <v>8840</v>
          </cell>
        </row>
        <row r="473">
          <cell r="B473">
            <v>8850</v>
          </cell>
          <cell r="C473" t="str">
            <v>其他归属于母公司所有者权益_所有者投入和减少资本影响权益</v>
          </cell>
          <cell r="E473" t="str">
            <v>※＝</v>
          </cell>
          <cell r="G473" t="str">
            <v>（二）所有者投入和减少资本</v>
          </cell>
          <cell r="I473">
            <v>8850</v>
          </cell>
        </row>
        <row r="474">
          <cell r="B474">
            <v>8851</v>
          </cell>
          <cell r="C474" t="str">
            <v>其他归属于母公司所有者权益_所有者投入资本</v>
          </cell>
          <cell r="D474">
            <v>-1</v>
          </cell>
          <cell r="E474" t="str">
            <v>※LOW</v>
          </cell>
          <cell r="G474" t="str">
            <v>所有者投入资本</v>
          </cell>
          <cell r="I474">
            <v>8851</v>
          </cell>
        </row>
        <row r="475">
          <cell r="B475">
            <v>8852</v>
          </cell>
          <cell r="C475" t="str">
            <v>其他归属于母公司所有者权益_股份支付</v>
          </cell>
          <cell r="D475">
            <v>-1</v>
          </cell>
          <cell r="E475" t="str">
            <v>※LOW</v>
          </cell>
          <cell r="G475" t="str">
            <v>股份支付计入所有者权益的金额</v>
          </cell>
          <cell r="I475">
            <v>8852</v>
          </cell>
        </row>
        <row r="476">
          <cell r="B476">
            <v>8853</v>
          </cell>
          <cell r="C476" t="str">
            <v>其他归属于母公司所有者权益_其他权益工具持有者投入资本</v>
          </cell>
          <cell r="D476">
            <v>-1</v>
          </cell>
          <cell r="E476" t="str">
            <v>※OEI</v>
          </cell>
          <cell r="G476" t="str">
            <v>其他权益工具持有者投入资本</v>
          </cell>
          <cell r="I476">
            <v>8853</v>
          </cell>
        </row>
        <row r="477">
          <cell r="B477">
            <v>8856</v>
          </cell>
          <cell r="C477" t="str">
            <v>其他归属于母公司所有者权益_所有者其他投入和减少资本</v>
          </cell>
          <cell r="D477">
            <v>-1</v>
          </cell>
          <cell r="E477" t="str">
            <v>※LOW</v>
          </cell>
          <cell r="G477" t="str">
            <v>其他</v>
          </cell>
          <cell r="I477">
            <v>8856</v>
          </cell>
        </row>
        <row r="478">
          <cell r="B478">
            <v>8860</v>
          </cell>
          <cell r="C478" t="str">
            <v>其他归属于母公司所有者权益_利润分配影响权益</v>
          </cell>
          <cell r="E478" t="str">
            <v>※＝</v>
          </cell>
          <cell r="G478" t="str">
            <v>（三）利润分配</v>
          </cell>
          <cell r="I478">
            <v>8860</v>
          </cell>
        </row>
        <row r="479">
          <cell r="B479">
            <v>8861</v>
          </cell>
          <cell r="C479" t="str">
            <v>其他归属于母公司所有者权益_提取盈余公积</v>
          </cell>
          <cell r="D479">
            <v>-1</v>
          </cell>
          <cell r="E479" t="str">
            <v>※LOW</v>
          </cell>
          <cell r="G479" t="str">
            <v>提取盈余公积</v>
          </cell>
          <cell r="I479">
            <v>8861</v>
          </cell>
        </row>
        <row r="480">
          <cell r="B480">
            <v>8862</v>
          </cell>
          <cell r="C480" t="str">
            <v>其他归属于母公司所有者权益_提取一般风险准备</v>
          </cell>
          <cell r="D480">
            <v>-1</v>
          </cell>
          <cell r="E480" t="str">
            <v>※LOW</v>
          </cell>
          <cell r="G480" t="str">
            <v>提取一般风险准备</v>
          </cell>
          <cell r="I480">
            <v>8862</v>
          </cell>
        </row>
        <row r="481">
          <cell r="B481">
            <v>8863</v>
          </cell>
          <cell r="C481" t="str">
            <v>其他归属于母公司所有者权益_对所有者的分配</v>
          </cell>
          <cell r="D481">
            <v>-1</v>
          </cell>
          <cell r="E481" t="str">
            <v>※LOW</v>
          </cell>
          <cell r="G481" t="str">
            <v>对所有者（或股东）的分配</v>
          </cell>
          <cell r="I481">
            <v>8863</v>
          </cell>
        </row>
        <row r="482">
          <cell r="B482">
            <v>8866</v>
          </cell>
          <cell r="C482" t="str">
            <v>其他归属于母公司所有者权益_其他利润分配</v>
          </cell>
          <cell r="D482">
            <v>-1</v>
          </cell>
          <cell r="E482" t="str">
            <v>※LOW</v>
          </cell>
          <cell r="G482" t="str">
            <v>其他</v>
          </cell>
          <cell r="I482">
            <v>8866</v>
          </cell>
        </row>
        <row r="483">
          <cell r="B483">
            <v>8870</v>
          </cell>
          <cell r="C483" t="str">
            <v>其他归属于母公司所有者权益_所有者权益内部结转</v>
          </cell>
          <cell r="E483" t="str">
            <v>※＝</v>
          </cell>
          <cell r="G483" t="str">
            <v>（四）所有者权益内部结转</v>
          </cell>
          <cell r="I483">
            <v>8870</v>
          </cell>
        </row>
        <row r="484">
          <cell r="B484">
            <v>8871</v>
          </cell>
          <cell r="C484" t="str">
            <v>其他归属于母公司所有者权益_资本公积转增资本</v>
          </cell>
          <cell r="D484">
            <v>-1</v>
          </cell>
          <cell r="E484" t="str">
            <v>※LOW</v>
          </cell>
          <cell r="G484" t="str">
            <v>资本公积转增资本（或股本）</v>
          </cell>
          <cell r="I484">
            <v>8871</v>
          </cell>
        </row>
        <row r="485">
          <cell r="B485">
            <v>8872</v>
          </cell>
          <cell r="C485" t="str">
            <v>其他归属于母公司所有者权益_盈余公积转增资本</v>
          </cell>
          <cell r="D485">
            <v>-1</v>
          </cell>
          <cell r="E485" t="str">
            <v>※LOW</v>
          </cell>
          <cell r="G485" t="str">
            <v>盈余公积转增资本（或股本）</v>
          </cell>
          <cell r="I485">
            <v>8872</v>
          </cell>
        </row>
        <row r="486">
          <cell r="B486">
            <v>8873</v>
          </cell>
          <cell r="C486" t="str">
            <v>其他归属于母公司所有者权益_盈余公积弥补亏损</v>
          </cell>
          <cell r="D486">
            <v>-1</v>
          </cell>
          <cell r="E486" t="str">
            <v>※LOW</v>
          </cell>
          <cell r="G486" t="str">
            <v>盈余公积弥补亏损</v>
          </cell>
          <cell r="I486">
            <v>8873</v>
          </cell>
        </row>
        <row r="487">
          <cell r="B487">
            <v>8875</v>
          </cell>
          <cell r="C487" t="str">
            <v>其他归属于母公司所有者权益_结转重新计量设定受益计划净负债或净资产所产生的变动</v>
          </cell>
          <cell r="D487">
            <v>-1</v>
          </cell>
          <cell r="E487" t="str">
            <v>※OEI</v>
          </cell>
          <cell r="G487" t="str">
            <v>结转重新计量设定受益计划净负债或净资产所产生的变动</v>
          </cell>
          <cell r="I487">
            <v>8875</v>
          </cell>
        </row>
        <row r="488">
          <cell r="B488">
            <v>8876</v>
          </cell>
          <cell r="C488" t="str">
            <v>其他归属于母公司所有者权益_所有者权益其他内部结转</v>
          </cell>
          <cell r="D488">
            <v>-1</v>
          </cell>
          <cell r="E488" t="str">
            <v>※LOW</v>
          </cell>
          <cell r="G488" t="str">
            <v>其他</v>
          </cell>
          <cell r="I488">
            <v>8876</v>
          </cell>
        </row>
        <row r="489">
          <cell r="B489">
            <v>8880</v>
          </cell>
          <cell r="C489" t="str">
            <v>其他归属于母公司所有者权益_专项储备影响权益</v>
          </cell>
          <cell r="E489" t="str">
            <v>※＝</v>
          </cell>
          <cell r="G489" t="str">
            <v>（五）专项储备</v>
          </cell>
          <cell r="I489">
            <v>8880</v>
          </cell>
        </row>
        <row r="490">
          <cell r="B490">
            <v>8881</v>
          </cell>
          <cell r="C490" t="str">
            <v>其他归属于母公司所有者权益_专项储备本期提取</v>
          </cell>
          <cell r="D490">
            <v>-1</v>
          </cell>
          <cell r="E490" t="str">
            <v>※LOW</v>
          </cell>
          <cell r="G490" t="str">
            <v>本期提取</v>
          </cell>
          <cell r="I490">
            <v>8881</v>
          </cell>
        </row>
        <row r="491">
          <cell r="B491">
            <v>8882</v>
          </cell>
          <cell r="C491" t="str">
            <v>其他归属于母公司所有者权益_专项储备本期使用</v>
          </cell>
          <cell r="D491">
            <v>-1</v>
          </cell>
          <cell r="E491" t="str">
            <v>※LOW</v>
          </cell>
          <cell r="G491" t="str">
            <v>本期使用</v>
          </cell>
          <cell r="I491">
            <v>8882</v>
          </cell>
        </row>
        <row r="492">
          <cell r="B492">
            <v>8896</v>
          </cell>
          <cell r="C492" t="str">
            <v>其他归属于母公司所有者权益_本期其他增减变动</v>
          </cell>
          <cell r="D492">
            <v>-1</v>
          </cell>
          <cell r="E492" t="str">
            <v>※LOW</v>
          </cell>
          <cell r="G492" t="str">
            <v>（七）其他</v>
          </cell>
          <cell r="I492">
            <v>8896</v>
          </cell>
        </row>
        <row r="493">
          <cell r="B493">
            <v>8899</v>
          </cell>
          <cell r="C493" t="str">
            <v>其他归属于母公司所有者权益_本期期末余额</v>
          </cell>
          <cell r="E493" t="str">
            <v>※＝</v>
          </cell>
          <cell r="G493" t="str">
            <v>四、本期期末余额</v>
          </cell>
          <cell r="I493">
            <v>8899</v>
          </cell>
        </row>
        <row r="494">
          <cell r="B494">
            <v>8900</v>
          </cell>
          <cell r="C494" t="str">
            <v>少数股东权益增减变动</v>
          </cell>
          <cell r="E494" t="str">
            <v>※</v>
          </cell>
          <cell r="G494" t="str">
            <v>少数股东权益增减变动</v>
          </cell>
          <cell r="I494">
            <v>8900</v>
          </cell>
        </row>
        <row r="495">
          <cell r="B495">
            <v>8901</v>
          </cell>
          <cell r="C495" t="str">
            <v>少数股东权益_上年年末余额</v>
          </cell>
          <cell r="D495">
            <v>-1</v>
          </cell>
          <cell r="E495" t="str">
            <v>※</v>
          </cell>
          <cell r="G495" t="str">
            <v>一、上年年末余额</v>
          </cell>
          <cell r="I495">
            <v>8901</v>
          </cell>
          <cell r="J495" t="str">
            <v>J</v>
          </cell>
        </row>
        <row r="496">
          <cell r="B496">
            <v>8902</v>
          </cell>
          <cell r="C496" t="str">
            <v>少数股东权益_会计政策变更调整上年年末余额</v>
          </cell>
          <cell r="D496">
            <v>-1</v>
          </cell>
          <cell r="E496" t="str">
            <v>※</v>
          </cell>
          <cell r="G496" t="str">
            <v>加：会计政策变更</v>
          </cell>
          <cell r="I496">
            <v>8902</v>
          </cell>
          <cell r="J496" t="str">
            <v>J</v>
          </cell>
        </row>
        <row r="497">
          <cell r="B497">
            <v>8903</v>
          </cell>
          <cell r="C497" t="str">
            <v>少数股东权益_前期差错更正调整上年年末余额</v>
          </cell>
          <cell r="D497">
            <v>-1</v>
          </cell>
          <cell r="E497" t="str">
            <v>※</v>
          </cell>
          <cell r="G497" t="str">
            <v>前期差错更正</v>
          </cell>
          <cell r="I497">
            <v>8903</v>
          </cell>
          <cell r="J497" t="str">
            <v>J</v>
          </cell>
        </row>
        <row r="498">
          <cell r="B498">
            <v>8904</v>
          </cell>
          <cell r="C498" t="str">
            <v>少数股东权益_同一控制下企业合并调整上年年末余额</v>
          </cell>
          <cell r="D498">
            <v>-1</v>
          </cell>
          <cell r="E498" t="str">
            <v>※</v>
          </cell>
          <cell r="G498" t="str">
            <v>同一控制下企业合并</v>
          </cell>
          <cell r="I498">
            <v>8904</v>
          </cell>
          <cell r="J498" t="str">
            <v>J</v>
          </cell>
        </row>
        <row r="499">
          <cell r="B499">
            <v>8909</v>
          </cell>
          <cell r="C499" t="str">
            <v>少数股东权益_其他原因调整上年年末余额</v>
          </cell>
          <cell r="D499">
            <v>-1</v>
          </cell>
          <cell r="E499" t="str">
            <v>※</v>
          </cell>
          <cell r="G499" t="str">
            <v>其他</v>
          </cell>
          <cell r="I499">
            <v>8909</v>
          </cell>
          <cell r="J499" t="str">
            <v>J</v>
          </cell>
        </row>
        <row r="500">
          <cell r="B500">
            <v>8910</v>
          </cell>
          <cell r="C500" t="str">
            <v>少数股东权益_本年年初余额</v>
          </cell>
          <cell r="E500" t="str">
            <v>※＝</v>
          </cell>
          <cell r="G500" t="str">
            <v>二、本年年初余额</v>
          </cell>
          <cell r="I500">
            <v>8910</v>
          </cell>
        </row>
        <row r="501">
          <cell r="B501">
            <v>8990</v>
          </cell>
          <cell r="C501" t="str">
            <v>少数股东权益_本期增减变动金额</v>
          </cell>
          <cell r="E501" t="str">
            <v>※＝</v>
          </cell>
          <cell r="G501" t="str">
            <v>三、本期增减变动金额（减少以“-”号填列）</v>
          </cell>
          <cell r="I501">
            <v>8990</v>
          </cell>
        </row>
        <row r="502">
          <cell r="B502">
            <v>8921</v>
          </cell>
          <cell r="C502" t="str">
            <v>少数股东权益_净利润</v>
          </cell>
          <cell r="D502">
            <v>-1</v>
          </cell>
          <cell r="E502" t="str">
            <v>※</v>
          </cell>
          <cell r="G502" t="str">
            <v>（一）净利润</v>
          </cell>
          <cell r="I502">
            <v>8921</v>
          </cell>
          <cell r="J502" t="str">
            <v>J</v>
          </cell>
        </row>
        <row r="503">
          <cell r="B503">
            <v>8930</v>
          </cell>
          <cell r="C503" t="str">
            <v>少数股东权益_其他综合收益</v>
          </cell>
          <cell r="D503">
            <v>-1</v>
          </cell>
          <cell r="E503" t="str">
            <v>※</v>
          </cell>
          <cell r="G503" t="str">
            <v>（二）其他综合收益</v>
          </cell>
          <cell r="I503">
            <v>8930</v>
          </cell>
          <cell r="J503" t="str">
            <v>J</v>
          </cell>
        </row>
        <row r="504">
          <cell r="B504">
            <v>8940</v>
          </cell>
          <cell r="C504" t="str">
            <v>少数股东权益_综合收益总额增加权益</v>
          </cell>
          <cell r="D504">
            <v>-1</v>
          </cell>
          <cell r="E504" t="str">
            <v>※</v>
          </cell>
          <cell r="G504" t="str">
            <v>（一）综合收益总额</v>
          </cell>
          <cell r="I504">
            <v>8940</v>
          </cell>
          <cell r="J504" t="str">
            <v>J</v>
          </cell>
        </row>
        <row r="505">
          <cell r="B505">
            <v>8950</v>
          </cell>
          <cell r="C505" t="str">
            <v>少数股东权益_所有者投入和减少资本影响权益</v>
          </cell>
          <cell r="E505" t="str">
            <v>※＝</v>
          </cell>
          <cell r="G505" t="str">
            <v>（二）所有者投入和减少资本</v>
          </cell>
          <cell r="I505">
            <v>8950</v>
          </cell>
        </row>
        <row r="506">
          <cell r="B506">
            <v>8951</v>
          </cell>
          <cell r="C506" t="str">
            <v>少数股东权益_所有者投入资本</v>
          </cell>
          <cell r="D506">
            <v>-1</v>
          </cell>
          <cell r="E506" t="str">
            <v>※</v>
          </cell>
          <cell r="G506" t="str">
            <v>所有者投入资本</v>
          </cell>
          <cell r="I506">
            <v>8951</v>
          </cell>
          <cell r="J506" t="str">
            <v>J</v>
          </cell>
        </row>
        <row r="507">
          <cell r="B507">
            <v>8952</v>
          </cell>
          <cell r="C507" t="str">
            <v>少数股东权益_股份支付</v>
          </cell>
          <cell r="D507">
            <v>-1</v>
          </cell>
          <cell r="E507" t="str">
            <v>※LOW</v>
          </cell>
          <cell r="G507" t="str">
            <v>股份支付计入所有者权益的金额</v>
          </cell>
          <cell r="I507">
            <v>8952</v>
          </cell>
          <cell r="J507" t="str">
            <v>J</v>
          </cell>
        </row>
        <row r="508">
          <cell r="B508">
            <v>8953</v>
          </cell>
          <cell r="C508" t="str">
            <v>少数股东权益_其他权益工具持有者投入资本</v>
          </cell>
          <cell r="D508">
            <v>-1</v>
          </cell>
          <cell r="E508" t="str">
            <v>※OEI</v>
          </cell>
          <cell r="G508" t="str">
            <v>其他权益工具持有者投入资本</v>
          </cell>
          <cell r="I508">
            <v>8953</v>
          </cell>
          <cell r="J508" t="str">
            <v>J</v>
          </cell>
        </row>
        <row r="509">
          <cell r="B509">
            <v>8956</v>
          </cell>
          <cell r="C509" t="str">
            <v>少数股东权益_所有者其他投入和减少资本</v>
          </cell>
          <cell r="D509">
            <v>-1</v>
          </cell>
          <cell r="E509" t="str">
            <v>※LOW</v>
          </cell>
          <cell r="G509" t="str">
            <v>其他</v>
          </cell>
          <cell r="I509">
            <v>8956</v>
          </cell>
          <cell r="J509" t="str">
            <v>J</v>
          </cell>
        </row>
        <row r="510">
          <cell r="B510">
            <v>8960</v>
          </cell>
          <cell r="C510" t="str">
            <v>少数股东权益_利润分配影响权益</v>
          </cell>
          <cell r="E510" t="str">
            <v>※＝</v>
          </cell>
          <cell r="G510" t="str">
            <v>（三）利润分配</v>
          </cell>
          <cell r="I510">
            <v>8960</v>
          </cell>
        </row>
        <row r="511">
          <cell r="B511">
            <v>8963</v>
          </cell>
          <cell r="C511" t="str">
            <v>少数股东权益_对所有者的分配</v>
          </cell>
          <cell r="D511">
            <v>-1</v>
          </cell>
          <cell r="E511" t="str">
            <v>※</v>
          </cell>
          <cell r="G511" t="str">
            <v>对所有者（或股东）的分配</v>
          </cell>
          <cell r="I511">
            <v>8963</v>
          </cell>
          <cell r="J511" t="str">
            <v>J</v>
          </cell>
        </row>
        <row r="512">
          <cell r="B512">
            <v>8966</v>
          </cell>
          <cell r="C512" t="str">
            <v>少数股东权益_其他利润分配</v>
          </cell>
          <cell r="D512">
            <v>-1</v>
          </cell>
          <cell r="E512" t="str">
            <v>※LOW</v>
          </cell>
          <cell r="G512" t="str">
            <v>其他</v>
          </cell>
          <cell r="I512">
            <v>8966</v>
          </cell>
          <cell r="J512" t="str">
            <v>J</v>
          </cell>
        </row>
        <row r="513">
          <cell r="B513">
            <v>8970</v>
          </cell>
          <cell r="C513" t="str">
            <v>少数股东权益_所有者权益内部结转</v>
          </cell>
          <cell r="E513" t="str">
            <v>※＝</v>
          </cell>
          <cell r="G513" t="str">
            <v>（四）所有者权益内部结转</v>
          </cell>
          <cell r="I513">
            <v>8970</v>
          </cell>
        </row>
        <row r="514">
          <cell r="B514">
            <v>8975</v>
          </cell>
          <cell r="C514" t="str">
            <v>少数股东权益_结转重新计量设定受益计划净负债或净资产所产生的变动</v>
          </cell>
          <cell r="D514">
            <v>-1</v>
          </cell>
          <cell r="E514" t="str">
            <v>※OEI</v>
          </cell>
          <cell r="G514" t="str">
            <v>结转重新计量设定受益计划净负债或净资产所产生的变动</v>
          </cell>
          <cell r="I514">
            <v>8975</v>
          </cell>
          <cell r="J514" t="str">
            <v>J</v>
          </cell>
        </row>
        <row r="515">
          <cell r="B515">
            <v>8976</v>
          </cell>
          <cell r="C515" t="str">
            <v>少数股东权益_所有者权益其他内部结转</v>
          </cell>
          <cell r="D515">
            <v>-1</v>
          </cell>
          <cell r="E515" t="str">
            <v>※LOW</v>
          </cell>
          <cell r="G515" t="str">
            <v>其他</v>
          </cell>
          <cell r="I515">
            <v>8976</v>
          </cell>
          <cell r="J515" t="str">
            <v>J</v>
          </cell>
        </row>
        <row r="516">
          <cell r="B516">
            <v>8980</v>
          </cell>
          <cell r="C516" t="str">
            <v>少数股东权益_专项储备影响权益</v>
          </cell>
          <cell r="E516" t="str">
            <v>※＝</v>
          </cell>
          <cell r="G516" t="str">
            <v>（五）专项储备</v>
          </cell>
          <cell r="I516">
            <v>8980</v>
          </cell>
        </row>
        <row r="517">
          <cell r="B517">
            <v>8981</v>
          </cell>
          <cell r="C517" t="str">
            <v>少数股东权益_专项储备本期提取</v>
          </cell>
          <cell r="D517">
            <v>-1</v>
          </cell>
          <cell r="E517" t="str">
            <v>※LOW</v>
          </cell>
          <cell r="G517" t="str">
            <v>本期提取</v>
          </cell>
          <cell r="I517">
            <v>8981</v>
          </cell>
          <cell r="J517" t="str">
            <v>J</v>
          </cell>
        </row>
        <row r="518">
          <cell r="B518">
            <v>8982</v>
          </cell>
          <cell r="C518" t="str">
            <v>少数股东权益_专项储备本期使用</v>
          </cell>
          <cell r="D518">
            <v>-1</v>
          </cell>
          <cell r="E518" t="str">
            <v>※LOW</v>
          </cell>
          <cell r="G518" t="str">
            <v>本期使用</v>
          </cell>
          <cell r="I518">
            <v>8982</v>
          </cell>
          <cell r="J518" t="str">
            <v>J</v>
          </cell>
        </row>
        <row r="519">
          <cell r="B519">
            <v>8996</v>
          </cell>
          <cell r="C519" t="str">
            <v>少数股东权益_本期其他增减变动</v>
          </cell>
          <cell r="D519">
            <v>-1</v>
          </cell>
          <cell r="E519" t="str">
            <v>※LOW</v>
          </cell>
          <cell r="G519" t="str">
            <v>（七）其他</v>
          </cell>
          <cell r="I519">
            <v>8996</v>
          </cell>
          <cell r="J519" t="str">
            <v>J</v>
          </cell>
        </row>
        <row r="520">
          <cell r="B520">
            <v>8999</v>
          </cell>
          <cell r="C520" t="str">
            <v>少数股东权益_本期期末余额</v>
          </cell>
          <cell r="E520" t="str">
            <v>※＝</v>
          </cell>
          <cell r="G520" t="str">
            <v>四、本期期末余额</v>
          </cell>
          <cell r="I520">
            <v>8999</v>
          </cell>
        </row>
        <row r="521">
          <cell r="B521">
            <v>7</v>
          </cell>
          <cell r="C521" t="str">
            <v>现金流量表</v>
          </cell>
          <cell r="E521" t="str">
            <v>：</v>
          </cell>
          <cell r="G521" t="str">
            <v>现金流量表</v>
          </cell>
          <cell r="I521">
            <v>7</v>
          </cell>
        </row>
        <row r="522">
          <cell r="B522">
            <v>7000</v>
          </cell>
          <cell r="C522" t="str">
            <v>经营活动现金流量项目</v>
          </cell>
          <cell r="E522" t="str">
            <v>：</v>
          </cell>
          <cell r="G522" t="str">
            <v>一、经营活动产生的现金流量：</v>
          </cell>
          <cell r="I522">
            <v>7000</v>
          </cell>
        </row>
        <row r="523">
          <cell r="B523">
            <v>7001</v>
          </cell>
          <cell r="C523" t="str">
            <v>销售商品提供劳务收到的现金</v>
          </cell>
          <cell r="D523">
            <v>1</v>
          </cell>
          <cell r="G523" t="str">
            <v>销售商品、提供劳务收到的现金</v>
          </cell>
          <cell r="I523">
            <v>7001</v>
          </cell>
          <cell r="J523" t="str">
            <v>J</v>
          </cell>
        </row>
        <row r="524">
          <cell r="B524">
            <v>7011</v>
          </cell>
          <cell r="C524" t="str">
            <v>客户存款和同业存放款项净增加额</v>
          </cell>
          <cell r="D524">
            <v>1</v>
          </cell>
          <cell r="E524" t="str">
            <v>△</v>
          </cell>
          <cell r="G524" t="str">
            <v>客户存款和同业存放款项净增加额</v>
          </cell>
          <cell r="I524">
            <v>7011</v>
          </cell>
          <cell r="J524" t="str">
            <v>J</v>
          </cell>
        </row>
        <row r="525">
          <cell r="B525">
            <v>7012</v>
          </cell>
          <cell r="C525" t="str">
            <v>向中央银行借款净增加额</v>
          </cell>
          <cell r="D525">
            <v>1</v>
          </cell>
          <cell r="E525" t="str">
            <v>△</v>
          </cell>
          <cell r="G525" t="str">
            <v>向中央银行借款净增加额</v>
          </cell>
          <cell r="I525">
            <v>7012</v>
          </cell>
          <cell r="J525" t="str">
            <v>J</v>
          </cell>
        </row>
        <row r="526">
          <cell r="B526">
            <v>7013</v>
          </cell>
          <cell r="C526" t="str">
            <v>向其他金融机构拆入资金净增加额</v>
          </cell>
          <cell r="D526">
            <v>1</v>
          </cell>
          <cell r="E526" t="str">
            <v>△</v>
          </cell>
          <cell r="G526" t="str">
            <v>向其他金融机构拆入资金净增加额</v>
          </cell>
          <cell r="I526">
            <v>7013</v>
          </cell>
          <cell r="J526" t="str">
            <v>J</v>
          </cell>
        </row>
        <row r="527">
          <cell r="B527">
            <v>7014</v>
          </cell>
          <cell r="C527" t="str">
            <v>收到原保险合同保费取得的现金</v>
          </cell>
          <cell r="D527">
            <v>1</v>
          </cell>
          <cell r="E527" t="str">
            <v>△</v>
          </cell>
          <cell r="G527" t="str">
            <v>收到原保险合同保费取得的现金</v>
          </cell>
          <cell r="I527">
            <v>7014</v>
          </cell>
          <cell r="J527" t="str">
            <v>J</v>
          </cell>
        </row>
        <row r="528">
          <cell r="B528">
            <v>7015</v>
          </cell>
          <cell r="C528" t="str">
            <v>收到再保险业务现金净额</v>
          </cell>
          <cell r="D528">
            <v>1</v>
          </cell>
          <cell r="E528" t="str">
            <v>△</v>
          </cell>
          <cell r="G528" t="str">
            <v>收到再保险业务现金净额</v>
          </cell>
          <cell r="I528">
            <v>7015</v>
          </cell>
          <cell r="J528" t="str">
            <v>J</v>
          </cell>
        </row>
        <row r="529">
          <cell r="B529">
            <v>7016</v>
          </cell>
          <cell r="C529" t="str">
            <v>保户储金及投资款净增加额</v>
          </cell>
          <cell r="D529">
            <v>1</v>
          </cell>
          <cell r="E529" t="str">
            <v>△</v>
          </cell>
          <cell r="G529" t="str">
            <v>保户储金及投资款净增加额</v>
          </cell>
          <cell r="I529">
            <v>7016</v>
          </cell>
          <cell r="J529" t="str">
            <v>J</v>
          </cell>
        </row>
        <row r="530">
          <cell r="B530">
            <v>7021</v>
          </cell>
          <cell r="C530" t="str">
            <v>处置交易性金融资产净增加额</v>
          </cell>
          <cell r="D530">
            <v>1</v>
          </cell>
          <cell r="E530" t="str">
            <v>△</v>
          </cell>
          <cell r="G530" t="str">
            <v>处置交易性金融资产净增加额</v>
          </cell>
          <cell r="I530">
            <v>7021</v>
          </cell>
          <cell r="J530" t="str">
            <v>J</v>
          </cell>
        </row>
        <row r="531">
          <cell r="B531">
            <v>7023</v>
          </cell>
          <cell r="C531" t="str">
            <v>收取利息手续费及佣金的现金</v>
          </cell>
          <cell r="D531">
            <v>1</v>
          </cell>
          <cell r="E531" t="str">
            <v>△</v>
          </cell>
          <cell r="G531" t="str">
            <v>收取利息、手续费及佣金的现金</v>
          </cell>
          <cell r="I531">
            <v>7023</v>
          </cell>
          <cell r="J531" t="str">
            <v>J</v>
          </cell>
        </row>
        <row r="532">
          <cell r="B532">
            <v>7025</v>
          </cell>
          <cell r="C532" t="str">
            <v>拆入资金净增加额</v>
          </cell>
          <cell r="D532">
            <v>1</v>
          </cell>
          <cell r="E532" t="str">
            <v>△</v>
          </cell>
          <cell r="G532" t="str">
            <v>拆入资金净增加额</v>
          </cell>
          <cell r="I532">
            <v>7025</v>
          </cell>
          <cell r="J532" t="str">
            <v>J</v>
          </cell>
        </row>
        <row r="533">
          <cell r="B533">
            <v>7026</v>
          </cell>
          <cell r="C533" t="str">
            <v>回购业务资金净增加额</v>
          </cell>
          <cell r="D533">
            <v>1</v>
          </cell>
          <cell r="E533" t="str">
            <v>△</v>
          </cell>
          <cell r="G533" t="str">
            <v>回购业务资金净增加额</v>
          </cell>
          <cell r="I533">
            <v>7026</v>
          </cell>
          <cell r="J533" t="str">
            <v>J</v>
          </cell>
        </row>
        <row r="534">
          <cell r="B534">
            <v>7031</v>
          </cell>
          <cell r="C534" t="str">
            <v>收到的税费返还</v>
          </cell>
          <cell r="D534">
            <v>1</v>
          </cell>
          <cell r="G534" t="str">
            <v>收到的税费返还</v>
          </cell>
          <cell r="I534">
            <v>7031</v>
          </cell>
          <cell r="J534" t="str">
            <v>J</v>
          </cell>
        </row>
        <row r="535">
          <cell r="B535">
            <v>7046</v>
          </cell>
          <cell r="C535" t="str">
            <v>收到其他与经营活动有关的现金</v>
          </cell>
          <cell r="D535">
            <v>1</v>
          </cell>
          <cell r="G535" t="str">
            <v>收到其他与经营活动有关的现金</v>
          </cell>
          <cell r="I535">
            <v>7046</v>
          </cell>
          <cell r="J535" t="str">
            <v>J</v>
          </cell>
        </row>
        <row r="536">
          <cell r="B536">
            <v>7048</v>
          </cell>
          <cell r="C536" t="str">
            <v>经营活动现金流入</v>
          </cell>
          <cell r="E536" t="str">
            <v>＝</v>
          </cell>
          <cell r="G536" t="str">
            <v>经营活动现金流入小计</v>
          </cell>
          <cell r="I536">
            <v>7048</v>
          </cell>
        </row>
        <row r="537">
          <cell r="B537">
            <v>7051</v>
          </cell>
          <cell r="C537" t="str">
            <v>购买商品接受劳务支付的现金</v>
          </cell>
          <cell r="D537">
            <v>-1</v>
          </cell>
          <cell r="G537" t="str">
            <v>购买商品、接受劳务支付的现金</v>
          </cell>
          <cell r="I537">
            <v>7051</v>
          </cell>
          <cell r="J537" t="str">
            <v>J</v>
          </cell>
        </row>
        <row r="538">
          <cell r="B538">
            <v>7053</v>
          </cell>
          <cell r="C538" t="str">
            <v>客户贷款及垫款净增加额</v>
          </cell>
          <cell r="D538">
            <v>-1</v>
          </cell>
          <cell r="E538" t="str">
            <v>△</v>
          </cell>
          <cell r="G538" t="str">
            <v>客户贷款及垫款净增加额</v>
          </cell>
          <cell r="I538">
            <v>7053</v>
          </cell>
          <cell r="J538" t="str">
            <v>J</v>
          </cell>
        </row>
        <row r="539">
          <cell r="B539">
            <v>7054</v>
          </cell>
          <cell r="C539" t="str">
            <v>存放中央银行和同业款项净增加额</v>
          </cell>
          <cell r="D539">
            <v>-1</v>
          </cell>
          <cell r="E539" t="str">
            <v>△</v>
          </cell>
          <cell r="G539" t="str">
            <v>存放中央银行和同业款项净增加额</v>
          </cell>
          <cell r="I539">
            <v>7054</v>
          </cell>
          <cell r="J539" t="str">
            <v>J</v>
          </cell>
        </row>
        <row r="540">
          <cell r="B540">
            <v>7055</v>
          </cell>
          <cell r="C540" t="str">
            <v>支付原保险合同赔付款项的现金</v>
          </cell>
          <cell r="D540">
            <v>-1</v>
          </cell>
          <cell r="E540" t="str">
            <v>△</v>
          </cell>
          <cell r="G540" t="str">
            <v>支付原保险合同赔付款项的现金</v>
          </cell>
          <cell r="I540">
            <v>7055</v>
          </cell>
          <cell r="J540" t="str">
            <v>J</v>
          </cell>
        </row>
        <row r="541">
          <cell r="B541">
            <v>7056</v>
          </cell>
          <cell r="C541" t="str">
            <v>支付利息手续费及佣金的现金</v>
          </cell>
          <cell r="D541">
            <v>-1</v>
          </cell>
          <cell r="E541" t="str">
            <v>△</v>
          </cell>
          <cell r="G541" t="str">
            <v>支付利息、手续费及佣金的现金</v>
          </cell>
          <cell r="I541">
            <v>7056</v>
          </cell>
          <cell r="J541" t="str">
            <v>J</v>
          </cell>
        </row>
        <row r="542">
          <cell r="B542">
            <v>7057</v>
          </cell>
          <cell r="C542" t="str">
            <v>支付保单红利的现金</v>
          </cell>
          <cell r="D542">
            <v>-1</v>
          </cell>
          <cell r="E542" t="str">
            <v>△</v>
          </cell>
          <cell r="G542" t="str">
            <v>支付保单红利的现金</v>
          </cell>
          <cell r="I542">
            <v>7057</v>
          </cell>
          <cell r="J542" t="str">
            <v>J</v>
          </cell>
        </row>
        <row r="543">
          <cell r="B543">
            <v>7061</v>
          </cell>
          <cell r="C543" t="str">
            <v>支付给职工以及为职工支付的现金</v>
          </cell>
          <cell r="D543">
            <v>-1</v>
          </cell>
          <cell r="G543" t="str">
            <v>支付给职工以及为职工支付的现金</v>
          </cell>
          <cell r="I543">
            <v>7061</v>
          </cell>
          <cell r="J543" t="str">
            <v>J</v>
          </cell>
        </row>
        <row r="544">
          <cell r="B544">
            <v>7071</v>
          </cell>
          <cell r="C544" t="str">
            <v>支付的各项税费</v>
          </cell>
          <cell r="D544">
            <v>-1</v>
          </cell>
          <cell r="G544" t="str">
            <v>支付的各项税费</v>
          </cell>
          <cell r="I544">
            <v>7071</v>
          </cell>
          <cell r="J544" t="str">
            <v>J</v>
          </cell>
        </row>
        <row r="545">
          <cell r="B545">
            <v>7096</v>
          </cell>
          <cell r="C545" t="str">
            <v>支付其他与经营活动有关的现金</v>
          </cell>
          <cell r="D545">
            <v>-1</v>
          </cell>
          <cell r="G545" t="str">
            <v>支付其他与经营活动有关的现金</v>
          </cell>
          <cell r="I545">
            <v>7096</v>
          </cell>
          <cell r="J545" t="str">
            <v>J</v>
          </cell>
        </row>
        <row r="546">
          <cell r="B546">
            <v>7098</v>
          </cell>
          <cell r="C546" t="str">
            <v>经营活动现金流出</v>
          </cell>
          <cell r="E546" t="str">
            <v>＝</v>
          </cell>
          <cell r="G546" t="str">
            <v>经营活动现金流出小计</v>
          </cell>
          <cell r="I546">
            <v>7098</v>
          </cell>
        </row>
        <row r="547">
          <cell r="B547">
            <v>7099</v>
          </cell>
          <cell r="C547" t="str">
            <v>经营活动产生的现金流量净额</v>
          </cell>
          <cell r="E547" t="str">
            <v>＝</v>
          </cell>
          <cell r="G547" t="str">
            <v>经营活动产生的现金流量净额</v>
          </cell>
          <cell r="I547">
            <v>7099</v>
          </cell>
        </row>
        <row r="548">
          <cell r="B548">
            <v>7100</v>
          </cell>
          <cell r="C548" t="str">
            <v>投资活动现金流量项目</v>
          </cell>
          <cell r="E548" t="str">
            <v>：</v>
          </cell>
          <cell r="G548" t="str">
            <v>二、投资活动产生的现金流量：</v>
          </cell>
          <cell r="I548">
            <v>7100</v>
          </cell>
        </row>
        <row r="549">
          <cell r="B549">
            <v>7101</v>
          </cell>
          <cell r="C549" t="str">
            <v>收回投资收到的现金</v>
          </cell>
          <cell r="D549">
            <v>1</v>
          </cell>
          <cell r="G549" t="str">
            <v>收回投资收到的现金</v>
          </cell>
          <cell r="I549">
            <v>7101</v>
          </cell>
          <cell r="J549" t="str">
            <v>J</v>
          </cell>
        </row>
        <row r="550">
          <cell r="B550">
            <v>7105</v>
          </cell>
          <cell r="C550" t="str">
            <v>取得投资收益收到的现金</v>
          </cell>
          <cell r="D550">
            <v>1</v>
          </cell>
          <cell r="G550" t="str">
            <v>取得投资收益收到的现金</v>
          </cell>
          <cell r="I550">
            <v>7105</v>
          </cell>
          <cell r="J550" t="str">
            <v>J</v>
          </cell>
        </row>
        <row r="551">
          <cell r="B551">
            <v>7111</v>
          </cell>
          <cell r="C551" t="str">
            <v>处置固定资产无形资产长期资产收回的现金</v>
          </cell>
          <cell r="D551">
            <v>1</v>
          </cell>
          <cell r="G551" t="str">
            <v>处置固定资产、无形资产和其他长期资产收回的现金净额</v>
          </cell>
          <cell r="I551">
            <v>7111</v>
          </cell>
          <cell r="J551" t="str">
            <v>J</v>
          </cell>
        </row>
        <row r="552">
          <cell r="B552">
            <v>7121</v>
          </cell>
          <cell r="C552" t="str">
            <v>处置子公司及其他营业单位收到的现金净额</v>
          </cell>
          <cell r="D552">
            <v>1</v>
          </cell>
          <cell r="G552" t="str">
            <v>处置子公司及其他营业单位收到的现金净额</v>
          </cell>
          <cell r="I552">
            <v>7121</v>
          </cell>
          <cell r="J552" t="str">
            <v>J</v>
          </cell>
        </row>
        <row r="553">
          <cell r="B553">
            <v>7146</v>
          </cell>
          <cell r="C553" t="str">
            <v>收到其他与投资活动有关的现金</v>
          </cell>
          <cell r="D553">
            <v>1</v>
          </cell>
          <cell r="G553" t="str">
            <v>收到其他与投资活动有关的现金</v>
          </cell>
          <cell r="I553">
            <v>7146</v>
          </cell>
          <cell r="J553" t="str">
            <v>J</v>
          </cell>
        </row>
        <row r="554">
          <cell r="B554">
            <v>7148</v>
          </cell>
          <cell r="C554" t="str">
            <v>投资活动现金流入</v>
          </cell>
          <cell r="E554" t="str">
            <v>＝</v>
          </cell>
          <cell r="G554" t="str">
            <v>投资活动现金流入小计</v>
          </cell>
          <cell r="I554">
            <v>7148</v>
          </cell>
        </row>
        <row r="555">
          <cell r="B555">
            <v>7151</v>
          </cell>
          <cell r="C555" t="str">
            <v>购置固定资产无形资产长期资产支付的现金</v>
          </cell>
          <cell r="D555">
            <v>-1</v>
          </cell>
          <cell r="G555" t="str">
            <v>购置固定资产、无形资产和其他长期资产支付的现金</v>
          </cell>
          <cell r="I555">
            <v>7151</v>
          </cell>
          <cell r="J555" t="str">
            <v>J</v>
          </cell>
        </row>
        <row r="556">
          <cell r="B556">
            <v>7161</v>
          </cell>
          <cell r="C556" t="str">
            <v>投资支付的现金</v>
          </cell>
          <cell r="D556">
            <v>-1</v>
          </cell>
          <cell r="G556" t="str">
            <v>投资支付的现金</v>
          </cell>
          <cell r="I556">
            <v>7161</v>
          </cell>
          <cell r="J556" t="str">
            <v>J</v>
          </cell>
        </row>
        <row r="557">
          <cell r="B557">
            <v>7165</v>
          </cell>
          <cell r="C557" t="str">
            <v>质押贷款净增加额</v>
          </cell>
          <cell r="D557">
            <v>-1</v>
          </cell>
          <cell r="E557" t="str">
            <v>△</v>
          </cell>
          <cell r="G557" t="str">
            <v>质押贷款净增加额</v>
          </cell>
          <cell r="I557">
            <v>7165</v>
          </cell>
          <cell r="J557" t="str">
            <v>J</v>
          </cell>
        </row>
        <row r="558">
          <cell r="B558">
            <v>7171</v>
          </cell>
          <cell r="C558" t="str">
            <v>取得子公司及其他营业单位支付的现金净额</v>
          </cell>
          <cell r="D558">
            <v>-1</v>
          </cell>
          <cell r="G558" t="str">
            <v>取得子公司及其他营业单位支付的现金净额</v>
          </cell>
          <cell r="I558">
            <v>7171</v>
          </cell>
          <cell r="J558" t="str">
            <v>J</v>
          </cell>
        </row>
        <row r="559">
          <cell r="B559">
            <v>7196</v>
          </cell>
          <cell r="C559" t="str">
            <v>支付其他与投资活动有关的现金</v>
          </cell>
          <cell r="D559">
            <v>-1</v>
          </cell>
          <cell r="G559" t="str">
            <v>支付其他与投资活动有关的现金</v>
          </cell>
          <cell r="I559">
            <v>7196</v>
          </cell>
          <cell r="J559" t="str">
            <v>J</v>
          </cell>
        </row>
        <row r="560">
          <cell r="B560">
            <v>7198</v>
          </cell>
          <cell r="C560" t="str">
            <v>投资活动现金流出</v>
          </cell>
          <cell r="E560" t="str">
            <v>＝</v>
          </cell>
          <cell r="G560" t="str">
            <v>投资活动现金流出小计</v>
          </cell>
          <cell r="I560">
            <v>7198</v>
          </cell>
        </row>
        <row r="561">
          <cell r="B561">
            <v>7199</v>
          </cell>
          <cell r="C561" t="str">
            <v>投资活动产生的现金流量净额</v>
          </cell>
          <cell r="E561" t="str">
            <v>＝</v>
          </cell>
          <cell r="G561" t="str">
            <v>投资活动产生的现金流量净额</v>
          </cell>
          <cell r="I561">
            <v>7199</v>
          </cell>
        </row>
        <row r="562">
          <cell r="B562">
            <v>7200</v>
          </cell>
          <cell r="C562" t="str">
            <v>筹资活动现金流量项目</v>
          </cell>
          <cell r="E562" t="str">
            <v>：</v>
          </cell>
          <cell r="G562" t="str">
            <v>三、筹资活动产生的现金流量：</v>
          </cell>
          <cell r="I562">
            <v>7200</v>
          </cell>
        </row>
        <row r="563">
          <cell r="B563">
            <v>7201</v>
          </cell>
          <cell r="C563" t="str">
            <v>吸收投资收到的现金</v>
          </cell>
          <cell r="D563">
            <v>1</v>
          </cell>
          <cell r="G563" t="str">
            <v>吸收投资收到的现金</v>
          </cell>
          <cell r="I563">
            <v>7201</v>
          </cell>
          <cell r="J563" t="str">
            <v>J</v>
          </cell>
        </row>
        <row r="564">
          <cell r="B564">
            <v>7201.01</v>
          </cell>
          <cell r="C564" t="str">
            <v>子公司吸收少数股东投资收到的现金</v>
          </cell>
          <cell r="D564">
            <v>1</v>
          </cell>
          <cell r="E564" t="str">
            <v>※</v>
          </cell>
          <cell r="G564" t="str">
            <v>其中：子公司吸收少数股东权益性投资收到的现金</v>
          </cell>
          <cell r="I564">
            <v>7201.01</v>
          </cell>
          <cell r="J564" t="str">
            <v>J</v>
          </cell>
        </row>
        <row r="565">
          <cell r="B565">
            <v>7211</v>
          </cell>
          <cell r="C565" t="str">
            <v>取得借款收到的现金</v>
          </cell>
          <cell r="D565">
            <v>1</v>
          </cell>
          <cell r="G565" t="str">
            <v>取得借款收到的现金</v>
          </cell>
          <cell r="I565">
            <v>7211</v>
          </cell>
          <cell r="J565" t="str">
            <v>J</v>
          </cell>
        </row>
        <row r="566">
          <cell r="B566">
            <v>7221</v>
          </cell>
          <cell r="C566" t="str">
            <v>发行债券收到的现金</v>
          </cell>
          <cell r="D566">
            <v>1</v>
          </cell>
          <cell r="G566" t="str">
            <v>发行债券收到的现金</v>
          </cell>
          <cell r="I566">
            <v>7221</v>
          </cell>
          <cell r="J566" t="str">
            <v>J</v>
          </cell>
        </row>
        <row r="567">
          <cell r="B567">
            <v>7246</v>
          </cell>
          <cell r="C567" t="str">
            <v>收到其他与筹资活动有关的现金</v>
          </cell>
          <cell r="D567">
            <v>1</v>
          </cell>
          <cell r="G567" t="str">
            <v>收到其他与筹资活动有关的现金</v>
          </cell>
          <cell r="I567">
            <v>7246</v>
          </cell>
          <cell r="J567" t="str">
            <v>J</v>
          </cell>
        </row>
        <row r="568">
          <cell r="B568">
            <v>7248</v>
          </cell>
          <cell r="C568" t="str">
            <v>筹资活动现金流入</v>
          </cell>
          <cell r="E568" t="str">
            <v>＝</v>
          </cell>
          <cell r="G568" t="str">
            <v>筹资活动现金流入小计</v>
          </cell>
          <cell r="I568">
            <v>7248</v>
          </cell>
        </row>
        <row r="569">
          <cell r="B569">
            <v>7251</v>
          </cell>
          <cell r="C569" t="str">
            <v>偿还债务支付的现金</v>
          </cell>
          <cell r="D569">
            <v>-1</v>
          </cell>
          <cell r="G569" t="str">
            <v>偿还债务支付的现金</v>
          </cell>
          <cell r="I569">
            <v>7251</v>
          </cell>
          <cell r="J569" t="str">
            <v>J</v>
          </cell>
        </row>
        <row r="570">
          <cell r="B570">
            <v>7261</v>
          </cell>
          <cell r="C570" t="str">
            <v>分配利润偿付利息支付的现金</v>
          </cell>
          <cell r="D570">
            <v>-1</v>
          </cell>
          <cell r="G570" t="str">
            <v>分配股利、利润或偿付利息支付的现金</v>
          </cell>
          <cell r="I570">
            <v>7261</v>
          </cell>
          <cell r="J570" t="str">
            <v>J</v>
          </cell>
        </row>
        <row r="571">
          <cell r="B571">
            <v>7261.01</v>
          </cell>
          <cell r="C571" t="str">
            <v>子公司支付少数股东的现金股利</v>
          </cell>
          <cell r="D571">
            <v>-1</v>
          </cell>
          <cell r="E571" t="str">
            <v>※</v>
          </cell>
          <cell r="G571" t="str">
            <v>其中：子公司支付少数股东的现金股利</v>
          </cell>
          <cell r="I571">
            <v>7261.01</v>
          </cell>
          <cell r="J571" t="str">
            <v>J</v>
          </cell>
        </row>
        <row r="572">
          <cell r="B572">
            <v>7296</v>
          </cell>
          <cell r="C572" t="str">
            <v>支付其他与筹资活动有关的现金</v>
          </cell>
          <cell r="D572">
            <v>-1</v>
          </cell>
          <cell r="G572" t="str">
            <v>支付其他与筹资活动有关的现金</v>
          </cell>
          <cell r="I572">
            <v>7296</v>
          </cell>
          <cell r="J572" t="str">
            <v>J</v>
          </cell>
        </row>
        <row r="573">
          <cell r="B573">
            <v>7296.11</v>
          </cell>
          <cell r="C573" t="str">
            <v>子公司减资支付给少数股东的现金</v>
          </cell>
          <cell r="D573">
            <v>-1</v>
          </cell>
          <cell r="E573" t="str">
            <v>※</v>
          </cell>
          <cell r="G573" t="str">
            <v>其中：子公司减资支付给少数股东的现金</v>
          </cell>
          <cell r="I573">
            <v>7296.11</v>
          </cell>
          <cell r="J573" t="str">
            <v>J</v>
          </cell>
        </row>
        <row r="574">
          <cell r="B574">
            <v>7298</v>
          </cell>
          <cell r="C574" t="str">
            <v>筹资活动现金流出</v>
          </cell>
          <cell r="E574" t="str">
            <v>＝</v>
          </cell>
          <cell r="G574" t="str">
            <v>筹资活动现金流出小计</v>
          </cell>
          <cell r="I574">
            <v>7298</v>
          </cell>
        </row>
        <row r="575">
          <cell r="B575">
            <v>7299</v>
          </cell>
          <cell r="C575" t="str">
            <v>筹资活动产生的现金流量净额</v>
          </cell>
          <cell r="E575" t="str">
            <v>＝</v>
          </cell>
          <cell r="G575" t="str">
            <v>筹资活动产生的现金流量净额</v>
          </cell>
          <cell r="I575">
            <v>7299</v>
          </cell>
        </row>
        <row r="576">
          <cell r="B576">
            <v>7309</v>
          </cell>
          <cell r="C576" t="str">
            <v>汇率变动对现金及现金等价物的影响</v>
          </cell>
          <cell r="D576">
            <v>1</v>
          </cell>
          <cell r="G576" t="str">
            <v>四、汇率变动对现金及现金等价物的影响</v>
          </cell>
          <cell r="I576">
            <v>7309</v>
          </cell>
          <cell r="J576" t="str">
            <v>J</v>
          </cell>
        </row>
        <row r="577">
          <cell r="B577">
            <v>7348</v>
          </cell>
          <cell r="C577" t="str">
            <v>现金及现金等价物净增加额</v>
          </cell>
          <cell r="E577" t="str">
            <v>＝</v>
          </cell>
          <cell r="G577" t="str">
            <v>五、现金及现金等价物净增加额</v>
          </cell>
          <cell r="I577">
            <v>7348</v>
          </cell>
        </row>
        <row r="578">
          <cell r="B578">
            <v>7349</v>
          </cell>
          <cell r="C578" t="str">
            <v>期初现金及现金等价物余额</v>
          </cell>
          <cell r="D578">
            <v>1</v>
          </cell>
          <cell r="G578" t="str">
            <v>加：期初现金及现金等价物余额</v>
          </cell>
          <cell r="I578">
            <v>7349</v>
          </cell>
          <cell r="J578" t="str">
            <v>J</v>
          </cell>
        </row>
        <row r="579">
          <cell r="B579">
            <v>7399</v>
          </cell>
          <cell r="C579" t="str">
            <v>期末现金及现金等价物余额</v>
          </cell>
          <cell r="E579" t="str">
            <v>＝</v>
          </cell>
          <cell r="G579" t="str">
            <v>六、期末现金及现金等价物余额</v>
          </cell>
          <cell r="I579">
            <v>7399</v>
          </cell>
        </row>
        <row r="580">
          <cell r="B580">
            <v>7500</v>
          </cell>
          <cell r="C580" t="str">
            <v>现金流量表补充资料</v>
          </cell>
          <cell r="E580" t="str">
            <v>：</v>
          </cell>
          <cell r="G580" t="str">
            <v>现金流量表补充资料</v>
          </cell>
          <cell r="I580">
            <v>7500</v>
          </cell>
        </row>
        <row r="581">
          <cell r="B581">
            <v>7501</v>
          </cell>
          <cell r="C581" t="str">
            <v>将净利润调节为经营活动现金流量</v>
          </cell>
          <cell r="E581" t="str">
            <v>：</v>
          </cell>
          <cell r="G581" t="str">
            <v>1.将净利润调节为经营活动现金流量：</v>
          </cell>
          <cell r="I581">
            <v>7501</v>
          </cell>
        </row>
        <row r="582">
          <cell r="B582">
            <v>7502</v>
          </cell>
          <cell r="C582" t="str">
            <v>净利润金额</v>
          </cell>
          <cell r="D582">
            <v>1</v>
          </cell>
          <cell r="G582" t="str">
            <v>净利润</v>
          </cell>
          <cell r="I582">
            <v>7502</v>
          </cell>
        </row>
        <row r="583">
          <cell r="B583">
            <v>7503</v>
          </cell>
          <cell r="C583" t="str">
            <v>资产减值准备金额</v>
          </cell>
          <cell r="D583">
            <v>1</v>
          </cell>
          <cell r="G583" t="str">
            <v>加：资产减值准备</v>
          </cell>
          <cell r="I583">
            <v>7503</v>
          </cell>
        </row>
        <row r="584">
          <cell r="B584">
            <v>7505</v>
          </cell>
          <cell r="C584" t="str">
            <v>固定资产折旧、油气资产折耗、生产性生物资产折旧</v>
          </cell>
          <cell r="D584">
            <v>1</v>
          </cell>
          <cell r="G584" t="str">
            <v>固定资产折旧、油气资产折耗、生产性生物资产折旧</v>
          </cell>
          <cell r="I584">
            <v>7505</v>
          </cell>
        </row>
        <row r="585">
          <cell r="B585">
            <v>7506</v>
          </cell>
          <cell r="C585" t="str">
            <v>无形资产摊销</v>
          </cell>
          <cell r="D585">
            <v>1</v>
          </cell>
          <cell r="G585" t="str">
            <v>无形资产摊销</v>
          </cell>
          <cell r="I585">
            <v>7506</v>
          </cell>
        </row>
        <row r="586">
          <cell r="B586">
            <v>7507</v>
          </cell>
          <cell r="C586" t="str">
            <v>长期待摊费用摊销</v>
          </cell>
          <cell r="D586">
            <v>1</v>
          </cell>
          <cell r="G586" t="str">
            <v>长期待摊费用摊销</v>
          </cell>
          <cell r="I586">
            <v>7507</v>
          </cell>
        </row>
        <row r="587">
          <cell r="B587">
            <v>7508</v>
          </cell>
          <cell r="C587" t="str">
            <v>处置固定资产、无形资产和其他长期资产的损失</v>
          </cell>
          <cell r="D587">
            <v>1</v>
          </cell>
          <cell r="G587" t="str">
            <v>处置固定资产、无形资产和其他长期资产的损失（收益以“－”号填列）</v>
          </cell>
          <cell r="I587">
            <v>7508</v>
          </cell>
        </row>
        <row r="588">
          <cell r="B588">
            <v>7509</v>
          </cell>
          <cell r="C588" t="str">
            <v>固定资产报废损失</v>
          </cell>
          <cell r="D588">
            <v>1</v>
          </cell>
          <cell r="G588" t="str">
            <v>固定资产报废损失（收益以“－”号填列）</v>
          </cell>
          <cell r="I588">
            <v>7509</v>
          </cell>
        </row>
        <row r="589">
          <cell r="B589">
            <v>7510</v>
          </cell>
          <cell r="C589" t="str">
            <v>公允价值变动损失</v>
          </cell>
          <cell r="D589">
            <v>1</v>
          </cell>
          <cell r="G589" t="str">
            <v>公允价值变动损失（收益以“－”号填列）</v>
          </cell>
          <cell r="I589">
            <v>7510</v>
          </cell>
        </row>
        <row r="590">
          <cell r="B590">
            <v>7511</v>
          </cell>
          <cell r="C590" t="str">
            <v>财务费用金额</v>
          </cell>
          <cell r="D590">
            <v>1</v>
          </cell>
          <cell r="G590" t="str">
            <v>财务费用（收益以“－”号填列）</v>
          </cell>
          <cell r="I590">
            <v>7511</v>
          </cell>
        </row>
        <row r="591">
          <cell r="B591">
            <v>7512</v>
          </cell>
          <cell r="C591" t="str">
            <v>投资损失</v>
          </cell>
          <cell r="D591">
            <v>1</v>
          </cell>
          <cell r="G591" t="str">
            <v>投资损失（收益以“－”号填列）</v>
          </cell>
          <cell r="I591">
            <v>7512</v>
          </cell>
        </row>
        <row r="592">
          <cell r="B592">
            <v>7515</v>
          </cell>
          <cell r="C592" t="str">
            <v>递延所得税资产减少</v>
          </cell>
          <cell r="D592">
            <v>1</v>
          </cell>
          <cell r="G592" t="str">
            <v>递延所得税资产减少（增加以“－”号填列）</v>
          </cell>
          <cell r="I592">
            <v>7515</v>
          </cell>
        </row>
        <row r="593">
          <cell r="B593">
            <v>7516</v>
          </cell>
          <cell r="C593" t="str">
            <v>递延所得税负债增加</v>
          </cell>
          <cell r="D593">
            <v>1</v>
          </cell>
          <cell r="G593" t="str">
            <v>递延所得税负债增加（减少以“－”号填列）</v>
          </cell>
          <cell r="I593">
            <v>7516</v>
          </cell>
        </row>
        <row r="594">
          <cell r="B594">
            <v>7517</v>
          </cell>
          <cell r="C594" t="str">
            <v>存货的减少</v>
          </cell>
          <cell r="D594">
            <v>1</v>
          </cell>
          <cell r="G594" t="str">
            <v>存货的减少（增加以“－”号填列）</v>
          </cell>
          <cell r="I594">
            <v>7517</v>
          </cell>
        </row>
        <row r="595">
          <cell r="B595">
            <v>7518</v>
          </cell>
          <cell r="C595" t="str">
            <v>经营性应收项目的减少</v>
          </cell>
          <cell r="D595">
            <v>1</v>
          </cell>
          <cell r="G595" t="str">
            <v>经营性应收项目的减少（增加以“－”号填列）</v>
          </cell>
          <cell r="I595">
            <v>7518</v>
          </cell>
        </row>
        <row r="596">
          <cell r="B596">
            <v>7519</v>
          </cell>
          <cell r="C596" t="str">
            <v>经营性应付项目的增加</v>
          </cell>
          <cell r="D596">
            <v>1</v>
          </cell>
          <cell r="G596" t="str">
            <v>经营性应付项目的增加（减少以“－”号填列）</v>
          </cell>
          <cell r="I596">
            <v>7519</v>
          </cell>
        </row>
        <row r="597">
          <cell r="B597">
            <v>7523</v>
          </cell>
          <cell r="C597" t="str">
            <v>其他将净利润调节为经营活动现金流量项目</v>
          </cell>
          <cell r="D597">
            <v>1</v>
          </cell>
          <cell r="G597" t="str">
            <v>其他</v>
          </cell>
          <cell r="I597">
            <v>7523</v>
          </cell>
        </row>
        <row r="598">
          <cell r="B598">
            <v>7525</v>
          </cell>
          <cell r="C598" t="str">
            <v>经营活动产生的现金流量净额</v>
          </cell>
          <cell r="E598" t="str">
            <v>＝</v>
          </cell>
          <cell r="G598" t="str">
            <v>经营活动产生的现金流量净额</v>
          </cell>
          <cell r="I598">
            <v>7525</v>
          </cell>
        </row>
        <row r="599">
          <cell r="B599">
            <v>7526</v>
          </cell>
          <cell r="C599" t="str">
            <v>不涉及现金收支的重大投资和筹资活动</v>
          </cell>
          <cell r="E599" t="str">
            <v>：</v>
          </cell>
          <cell r="G599" t="str">
            <v>2.不涉及现金收支的重大投资和筹资活动：</v>
          </cell>
          <cell r="I599">
            <v>7526</v>
          </cell>
        </row>
        <row r="600">
          <cell r="B600">
            <v>7527</v>
          </cell>
          <cell r="C600" t="str">
            <v>债务转为资本</v>
          </cell>
          <cell r="G600" t="str">
            <v>债务转为资本</v>
          </cell>
          <cell r="I600">
            <v>7527</v>
          </cell>
        </row>
        <row r="601">
          <cell r="B601">
            <v>7528</v>
          </cell>
          <cell r="C601" t="str">
            <v>一年内到期的可转换公司债券</v>
          </cell>
          <cell r="G601" t="str">
            <v>一年内到期的可转换公司债券</v>
          </cell>
          <cell r="I601">
            <v>7528</v>
          </cell>
        </row>
        <row r="602">
          <cell r="B602">
            <v>7529</v>
          </cell>
          <cell r="C602" t="str">
            <v>融资租入固定资产</v>
          </cell>
          <cell r="G602" t="str">
            <v>融资租入固定资产</v>
          </cell>
          <cell r="I602">
            <v>7529</v>
          </cell>
        </row>
        <row r="603">
          <cell r="B603">
            <v>7533</v>
          </cell>
          <cell r="C603" t="str">
            <v>现金及现金等价物净变动情况</v>
          </cell>
          <cell r="E603" t="str">
            <v>：</v>
          </cell>
          <cell r="G603" t="str">
            <v>3.现金及现金等价物净变动情况：</v>
          </cell>
          <cell r="I603">
            <v>7533</v>
          </cell>
        </row>
        <row r="604">
          <cell r="B604">
            <v>7535</v>
          </cell>
          <cell r="C604" t="str">
            <v>现金的期末余额</v>
          </cell>
          <cell r="D604">
            <v>1</v>
          </cell>
          <cell r="G604" t="str">
            <v>现金的期末余额</v>
          </cell>
          <cell r="I604">
            <v>7535</v>
          </cell>
        </row>
        <row r="605">
          <cell r="B605">
            <v>7536</v>
          </cell>
          <cell r="C605" t="str">
            <v>减：现金的年初余额</v>
          </cell>
          <cell r="D605">
            <v>1</v>
          </cell>
          <cell r="G605" t="str">
            <v>减：现金的年初余额</v>
          </cell>
          <cell r="I605">
            <v>7536</v>
          </cell>
        </row>
        <row r="606">
          <cell r="B606">
            <v>7537</v>
          </cell>
          <cell r="C606" t="str">
            <v>加：现金等价物的期末余额</v>
          </cell>
          <cell r="D606">
            <v>1</v>
          </cell>
          <cell r="G606" t="str">
            <v>加：现金等价物的期末余额</v>
          </cell>
          <cell r="I606">
            <v>7537</v>
          </cell>
        </row>
        <row r="607">
          <cell r="B607">
            <v>7538</v>
          </cell>
          <cell r="C607" t="str">
            <v>减：现金等价物的年初余额</v>
          </cell>
          <cell r="D607">
            <v>1</v>
          </cell>
          <cell r="G607" t="str">
            <v>减：现金等价物的年初余额</v>
          </cell>
          <cell r="I607">
            <v>7538</v>
          </cell>
        </row>
        <row r="608">
          <cell r="B608">
            <v>7539</v>
          </cell>
          <cell r="C608" t="str">
            <v>现金及现金等价物净增加额</v>
          </cell>
          <cell r="D608">
            <v>1</v>
          </cell>
          <cell r="E608" t="str">
            <v>＝</v>
          </cell>
          <cell r="G608" t="str">
            <v>现金及现金等价物净增加额</v>
          </cell>
          <cell r="I608">
            <v>7539</v>
          </cell>
        </row>
        <row r="609">
          <cell r="B609">
            <v>19</v>
          </cell>
          <cell r="C609" t="str">
            <v>资产负债表补充资料：资产减值准备</v>
          </cell>
          <cell r="E609" t="str">
            <v>：</v>
          </cell>
          <cell r="I609">
            <v>19</v>
          </cell>
        </row>
        <row r="610">
          <cell r="B610">
            <v>1122.1231</v>
          </cell>
          <cell r="C610" t="str">
            <v>应收账款坏账准备</v>
          </cell>
          <cell r="D610">
            <v>-1</v>
          </cell>
          <cell r="G610" t="str">
            <v>应收账款坏账准备</v>
          </cell>
          <cell r="I610">
            <v>1122.1231</v>
          </cell>
          <cell r="J610" t="str">
            <v>J</v>
          </cell>
        </row>
        <row r="611">
          <cell r="B611">
            <v>1125.1231</v>
          </cell>
          <cell r="C611" t="str">
            <v>预付款项坏账准备</v>
          </cell>
          <cell r="D611">
            <v>-1</v>
          </cell>
          <cell r="G611" t="str">
            <v>预付款项坏账准备</v>
          </cell>
          <cell r="I611">
            <v>1125.1231</v>
          </cell>
          <cell r="J611" t="str">
            <v>J</v>
          </cell>
        </row>
        <row r="612">
          <cell r="B612">
            <v>1221.1231</v>
          </cell>
          <cell r="C612" t="str">
            <v>其他应收款坏账准备</v>
          </cell>
          <cell r="D612">
            <v>-1</v>
          </cell>
          <cell r="G612" t="str">
            <v>其他应收款坏账准备</v>
          </cell>
          <cell r="I612">
            <v>1221.1231</v>
          </cell>
          <cell r="J612" t="str">
            <v>J</v>
          </cell>
        </row>
        <row r="613">
          <cell r="B613">
            <v>1400.1470999999999</v>
          </cell>
          <cell r="C613" t="str">
            <v>存货跌价准备</v>
          </cell>
          <cell r="D613">
            <v>-1</v>
          </cell>
          <cell r="G613" t="str">
            <v>存货跌价准备</v>
          </cell>
          <cell r="I613">
            <v>1400.1470999999999</v>
          </cell>
          <cell r="J613" t="str">
            <v>J</v>
          </cell>
        </row>
        <row r="614">
          <cell r="B614">
            <v>1503.1504</v>
          </cell>
          <cell r="C614" t="str">
            <v>可供出售金融资产减值准备</v>
          </cell>
          <cell r="D614">
            <v>-1</v>
          </cell>
          <cell r="G614" t="str">
            <v>可供出售金融资产减值准备</v>
          </cell>
          <cell r="I614">
            <v>1503.1504</v>
          </cell>
          <cell r="J614" t="str">
            <v>J</v>
          </cell>
        </row>
        <row r="615">
          <cell r="B615">
            <v>1501.1502</v>
          </cell>
          <cell r="C615" t="str">
            <v>持有至到期投资减值准备</v>
          </cell>
          <cell r="D615">
            <v>-1</v>
          </cell>
          <cell r="G615" t="str">
            <v>持有至到期投资减值准备</v>
          </cell>
          <cell r="I615">
            <v>1501.1502</v>
          </cell>
          <cell r="J615" t="str">
            <v>J</v>
          </cell>
        </row>
        <row r="616">
          <cell r="B616">
            <v>1511.1512</v>
          </cell>
          <cell r="C616" t="str">
            <v>长期股权投资减值准备</v>
          </cell>
          <cell r="D616">
            <v>-1</v>
          </cell>
          <cell r="G616" t="str">
            <v>长期股权投资减值准备</v>
          </cell>
          <cell r="I616">
            <v>1511.1512</v>
          </cell>
          <cell r="J616" t="str">
            <v>J</v>
          </cell>
        </row>
        <row r="617">
          <cell r="B617">
            <v>1521.1522</v>
          </cell>
          <cell r="C617" t="str">
            <v>投资性房地产减值准备</v>
          </cell>
          <cell r="D617">
            <v>-1</v>
          </cell>
          <cell r="G617" t="str">
            <v>投资性房地产减值准备</v>
          </cell>
          <cell r="I617">
            <v>1521.1522</v>
          </cell>
          <cell r="J617" t="str">
            <v>J</v>
          </cell>
        </row>
        <row r="618">
          <cell r="B618">
            <v>1601.1603</v>
          </cell>
          <cell r="C618" t="str">
            <v>固定资产减值准备</v>
          </cell>
          <cell r="D618">
            <v>-1</v>
          </cell>
          <cell r="G618" t="str">
            <v>固定资产减值准备</v>
          </cell>
          <cell r="I618">
            <v>1601.1603</v>
          </cell>
          <cell r="J618" t="str">
            <v>J</v>
          </cell>
        </row>
        <row r="619">
          <cell r="B619">
            <v>1605.1608000000001</v>
          </cell>
          <cell r="C619" t="str">
            <v>工程物资减值准备</v>
          </cell>
          <cell r="D619">
            <v>-1</v>
          </cell>
          <cell r="G619" t="str">
            <v>工程物资减值准备</v>
          </cell>
          <cell r="I619">
            <v>1605.1608000000001</v>
          </cell>
          <cell r="J619" t="str">
            <v>J</v>
          </cell>
        </row>
        <row r="620">
          <cell r="B620">
            <v>1604.1606999999999</v>
          </cell>
          <cell r="C620" t="str">
            <v>在建工程减值准备</v>
          </cell>
          <cell r="D620">
            <v>-1</v>
          </cell>
          <cell r="G620" t="str">
            <v>在建工程减值准备</v>
          </cell>
          <cell r="I620">
            <v>1604.1606999999999</v>
          </cell>
          <cell r="J620" t="str">
            <v>J</v>
          </cell>
        </row>
        <row r="621">
          <cell r="B621">
            <v>1621.1623999999999</v>
          </cell>
          <cell r="C621" t="str">
            <v>生产性生物资产减值准备</v>
          </cell>
          <cell r="D621">
            <v>-1</v>
          </cell>
          <cell r="G621" t="str">
            <v>生产性生物资产减值准备</v>
          </cell>
          <cell r="I621">
            <v>1621.1623999999999</v>
          </cell>
          <cell r="J621" t="str">
            <v>J</v>
          </cell>
        </row>
        <row r="622">
          <cell r="B622">
            <v>1631.1632999999999</v>
          </cell>
          <cell r="C622" t="str">
            <v>油气资产减值准备</v>
          </cell>
          <cell r="D622">
            <v>-1</v>
          </cell>
          <cell r="G622" t="str">
            <v>油气资产减值准备</v>
          </cell>
          <cell r="I622">
            <v>1631.1632999999999</v>
          </cell>
          <cell r="J622" t="str">
            <v>J</v>
          </cell>
        </row>
        <row r="623">
          <cell r="B623">
            <v>1701.1703</v>
          </cell>
          <cell r="C623" t="str">
            <v>无形资产减值准备</v>
          </cell>
          <cell r="D623">
            <v>-1</v>
          </cell>
          <cell r="G623" t="str">
            <v>无形资产减值准备</v>
          </cell>
          <cell r="I623">
            <v>1701.1703</v>
          </cell>
          <cell r="J623" t="str">
            <v>J</v>
          </cell>
        </row>
        <row r="624">
          <cell r="B624">
            <v>1711.1712</v>
          </cell>
          <cell r="C624" t="str">
            <v>商誉减值准备</v>
          </cell>
          <cell r="D624">
            <v>-1</v>
          </cell>
          <cell r="G624" t="str">
            <v>商誉减值准备</v>
          </cell>
          <cell r="I624">
            <v>1711.1712</v>
          </cell>
          <cell r="J624" t="str">
            <v>J</v>
          </cell>
        </row>
        <row r="625">
          <cell r="B625">
            <v>1991.1992</v>
          </cell>
          <cell r="C625" t="str">
            <v>其他减值准备</v>
          </cell>
          <cell r="D625">
            <v>-1</v>
          </cell>
          <cell r="G625" t="str">
            <v>其他</v>
          </cell>
          <cell r="I625">
            <v>1991.1992</v>
          </cell>
        </row>
        <row r="626">
          <cell r="B626">
            <v>1015.1001</v>
          </cell>
          <cell r="C626" t="str">
            <v>库存现金</v>
          </cell>
          <cell r="D626">
            <v>1</v>
          </cell>
          <cell r="I626">
            <v>1015.1001</v>
          </cell>
          <cell r="J626" t="str">
            <v>J</v>
          </cell>
        </row>
        <row r="627">
          <cell r="B627">
            <v>1015.1002</v>
          </cell>
          <cell r="C627" t="str">
            <v>银行存款</v>
          </cell>
          <cell r="D627">
            <v>1</v>
          </cell>
          <cell r="I627">
            <v>1015.1002</v>
          </cell>
          <cell r="J627" t="str">
            <v>J</v>
          </cell>
        </row>
        <row r="628">
          <cell r="B628">
            <v>1015.1011999999999</v>
          </cell>
          <cell r="C628" t="str">
            <v>其他货币资金</v>
          </cell>
          <cell r="D628">
            <v>1</v>
          </cell>
          <cell r="I628">
            <v>1015.1011999999999</v>
          </cell>
          <cell r="J628" t="str">
            <v>J</v>
          </cell>
        </row>
        <row r="629">
          <cell r="B629">
            <v>1400.1401000000001</v>
          </cell>
          <cell r="C629" t="str">
            <v>材料采购</v>
          </cell>
          <cell r="D629">
            <v>1</v>
          </cell>
          <cell r="I629">
            <v>1400.1401000000001</v>
          </cell>
          <cell r="J629" t="str">
            <v>J</v>
          </cell>
        </row>
        <row r="630">
          <cell r="B630">
            <v>1400.1402</v>
          </cell>
          <cell r="C630" t="str">
            <v>在途物资</v>
          </cell>
          <cell r="D630">
            <v>1</v>
          </cell>
          <cell r="I630">
            <v>1400.1402</v>
          </cell>
          <cell r="J630" t="str">
            <v>J</v>
          </cell>
        </row>
        <row r="631">
          <cell r="B631">
            <v>1400.1403</v>
          </cell>
          <cell r="C631" t="str">
            <v>原材料</v>
          </cell>
          <cell r="D631">
            <v>1</v>
          </cell>
          <cell r="I631">
            <v>1400.1403</v>
          </cell>
          <cell r="J631" t="str">
            <v>J</v>
          </cell>
        </row>
        <row r="632">
          <cell r="B632">
            <v>1400.1404</v>
          </cell>
          <cell r="C632" t="str">
            <v>材料成本差异</v>
          </cell>
          <cell r="D632">
            <v>-1</v>
          </cell>
          <cell r="I632">
            <v>1400.1404</v>
          </cell>
          <cell r="J632" t="str">
            <v>J</v>
          </cell>
        </row>
        <row r="633">
          <cell r="B633">
            <v>1400.1405</v>
          </cell>
          <cell r="C633" t="str">
            <v>库存商品</v>
          </cell>
          <cell r="D633">
            <v>1</v>
          </cell>
          <cell r="I633">
            <v>1400.1405</v>
          </cell>
          <cell r="J633" t="str">
            <v>J</v>
          </cell>
        </row>
        <row r="634">
          <cell r="B634">
            <v>1400.1405999999999</v>
          </cell>
          <cell r="C634" t="str">
            <v>发出商品</v>
          </cell>
          <cell r="D634">
            <v>1</v>
          </cell>
          <cell r="I634">
            <v>1400.1405999999999</v>
          </cell>
          <cell r="J634" t="str">
            <v>J</v>
          </cell>
        </row>
        <row r="635">
          <cell r="B635">
            <v>1400.1406999999999</v>
          </cell>
          <cell r="C635" t="str">
            <v>商品进销差价</v>
          </cell>
          <cell r="D635">
            <v>-1</v>
          </cell>
          <cell r="I635">
            <v>1400.1406999999999</v>
          </cell>
          <cell r="J635" t="str">
            <v>J</v>
          </cell>
        </row>
        <row r="636">
          <cell r="B636">
            <v>1400.1407999999999</v>
          </cell>
          <cell r="C636" t="str">
            <v>委托加工物资</v>
          </cell>
          <cell r="D636">
            <v>1</v>
          </cell>
          <cell r="I636">
            <v>1400.1407999999999</v>
          </cell>
          <cell r="J636" t="str">
            <v>J</v>
          </cell>
        </row>
        <row r="637">
          <cell r="B637">
            <v>1400.1411000000001</v>
          </cell>
          <cell r="C637" t="str">
            <v>周转材料</v>
          </cell>
          <cell r="D637">
            <v>1</v>
          </cell>
          <cell r="I637">
            <v>1400.1411000000001</v>
          </cell>
          <cell r="J637" t="str">
            <v>J</v>
          </cell>
        </row>
        <row r="638">
          <cell r="B638">
            <v>1400.5001</v>
          </cell>
          <cell r="C638" t="str">
            <v>生产成本</v>
          </cell>
          <cell r="D638">
            <v>1</v>
          </cell>
          <cell r="I638">
            <v>1400.5001</v>
          </cell>
          <cell r="J638" t="str">
            <v>J</v>
          </cell>
        </row>
        <row r="639">
          <cell r="B639">
            <v>1400.5101</v>
          </cell>
          <cell r="C639" t="str">
            <v>制造费用</v>
          </cell>
          <cell r="D639">
            <v>1</v>
          </cell>
          <cell r="I639">
            <v>1400.5101</v>
          </cell>
          <cell r="J639" t="str">
            <v>J</v>
          </cell>
        </row>
        <row r="640">
          <cell r="B640">
            <v>1400.5400999999999</v>
          </cell>
          <cell r="C640" t="str">
            <v>工程施工</v>
          </cell>
          <cell r="D640">
            <v>1</v>
          </cell>
          <cell r="I640">
            <v>1400.5400999999999</v>
          </cell>
          <cell r="J640" t="str">
            <v>J</v>
          </cell>
        </row>
        <row r="641">
          <cell r="B641">
            <v>1400.1421</v>
          </cell>
          <cell r="C641" t="str">
            <v>消耗性生物资产</v>
          </cell>
          <cell r="D641">
            <v>1</v>
          </cell>
          <cell r="I641">
            <v>1400.1421</v>
          </cell>
          <cell r="J641" t="str">
            <v>J</v>
          </cell>
        </row>
        <row r="642">
          <cell r="B642">
            <v>1621.1622</v>
          </cell>
          <cell r="C642" t="str">
            <v>生产性生物资产累计折旧</v>
          </cell>
          <cell r="D642">
            <v>-1</v>
          </cell>
          <cell r="I642">
            <v>1621.1622</v>
          </cell>
          <cell r="J642" t="str">
            <v>J</v>
          </cell>
        </row>
        <row r="643">
          <cell r="B643">
            <v>1601.1602</v>
          </cell>
          <cell r="C643" t="str">
            <v>累计折旧</v>
          </cell>
          <cell r="D643">
            <v>-1</v>
          </cell>
          <cell r="I643">
            <v>1601.1602</v>
          </cell>
          <cell r="J643" t="str">
            <v>J</v>
          </cell>
        </row>
        <row r="644">
          <cell r="B644">
            <v>1701.1702</v>
          </cell>
          <cell r="C644" t="str">
            <v>累计摊销</v>
          </cell>
          <cell r="D644">
            <v>-1</v>
          </cell>
          <cell r="I644">
            <v>1701.1702</v>
          </cell>
          <cell r="J644" t="str">
            <v>J</v>
          </cell>
        </row>
        <row r="645">
          <cell r="B645">
            <v>1996.1623</v>
          </cell>
          <cell r="C645" t="str">
            <v>公益性生物资产</v>
          </cell>
          <cell r="D645">
            <v>1</v>
          </cell>
          <cell r="I645">
            <v>1996.1623</v>
          </cell>
          <cell r="J645" t="str">
            <v>J</v>
          </cell>
        </row>
        <row r="646">
          <cell r="B646">
            <v>1631.1632</v>
          </cell>
          <cell r="C646" t="str">
            <v>累计折耗</v>
          </cell>
          <cell r="D646">
            <v>-1</v>
          </cell>
          <cell r="I646">
            <v>1631.1632</v>
          </cell>
          <cell r="J646" t="str">
            <v>J</v>
          </cell>
        </row>
        <row r="647">
          <cell r="B647">
            <v>1535</v>
          </cell>
          <cell r="C647" t="str">
            <v>对合营企业投资和对联营企业投资</v>
          </cell>
          <cell r="I647">
            <v>1535</v>
          </cell>
        </row>
        <row r="648">
          <cell r="B648">
            <v>1705</v>
          </cell>
          <cell r="C648" t="str">
            <v>无形资产与开发支出</v>
          </cell>
          <cell r="I648">
            <v>1705</v>
          </cell>
        </row>
        <row r="649">
          <cell r="B649">
            <v>1829</v>
          </cell>
          <cell r="C649" t="str">
            <v>递延所得税资产与递延所得税负债</v>
          </cell>
          <cell r="I649">
            <v>1829</v>
          </cell>
        </row>
        <row r="650">
          <cell r="B650">
            <v>1991</v>
          </cell>
          <cell r="C650" t="str">
            <v>资产减值准备</v>
          </cell>
          <cell r="G650" t="str">
            <v>资产减值准备小计</v>
          </cell>
          <cell r="I650">
            <v>1991</v>
          </cell>
        </row>
        <row r="651">
          <cell r="B651">
            <v>1997</v>
          </cell>
          <cell r="C651" t="str">
            <v xml:space="preserve">所有权或使用权受到限制的资产 </v>
          </cell>
          <cell r="I651">
            <v>1997</v>
          </cell>
        </row>
        <row r="652">
          <cell r="B652">
            <v>1314</v>
          </cell>
          <cell r="C652" t="str">
            <v>划分为持有待售的资产和负债</v>
          </cell>
          <cell r="I652">
            <v>1314</v>
          </cell>
        </row>
        <row r="653">
          <cell r="B653">
            <v>1704</v>
          </cell>
          <cell r="C653" t="str">
            <v>外币货币性项目</v>
          </cell>
          <cell r="I653">
            <v>1704</v>
          </cell>
        </row>
        <row r="654">
          <cell r="B654">
            <v>9314</v>
          </cell>
          <cell r="C654" t="str">
            <v>所有者权益变动表项目注释</v>
          </cell>
          <cell r="I654">
            <v>9314</v>
          </cell>
        </row>
        <row r="655">
          <cell r="B655">
            <v>6064</v>
          </cell>
          <cell r="C655" t="str">
            <v>营业收入、营业成本</v>
          </cell>
          <cell r="I655">
            <v>6064</v>
          </cell>
        </row>
        <row r="656">
          <cell r="B656">
            <v>6095</v>
          </cell>
          <cell r="C656" t="str">
            <v>合同项目收入</v>
          </cell>
          <cell r="I656">
            <v>6095</v>
          </cell>
        </row>
        <row r="657">
          <cell r="B657">
            <v>6820</v>
          </cell>
          <cell r="C657" t="str">
            <v>基本每股收益和稀释每股收益</v>
          </cell>
          <cell r="E657" t="str">
            <v>：</v>
          </cell>
          <cell r="I657">
            <v>6820</v>
          </cell>
        </row>
        <row r="658">
          <cell r="B658">
            <v>7400</v>
          </cell>
          <cell r="C658" t="str">
            <v>现金流量表项目注释</v>
          </cell>
          <cell r="I658">
            <v>7400</v>
          </cell>
        </row>
        <row r="659">
          <cell r="B659">
            <v>7500</v>
          </cell>
          <cell r="C659" t="str">
            <v>现金流量表补充资料</v>
          </cell>
          <cell r="E659" t="str">
            <v>：</v>
          </cell>
          <cell r="I659">
            <v>7500</v>
          </cell>
        </row>
        <row r="660">
          <cell r="B660">
            <v>9010</v>
          </cell>
          <cell r="C660" t="str">
            <v>分部报告</v>
          </cell>
          <cell r="I660">
            <v>9010</v>
          </cell>
        </row>
        <row r="661">
          <cell r="B661">
            <v>9020</v>
          </cell>
          <cell r="C661" t="str">
            <v>资产证券化业务的会计处理</v>
          </cell>
          <cell r="I661">
            <v>9020</v>
          </cell>
        </row>
        <row r="662">
          <cell r="B662">
            <v>9100</v>
          </cell>
          <cell r="C662" t="str">
            <v>关联方关系及其交易</v>
          </cell>
          <cell r="I662">
            <v>9100</v>
          </cell>
        </row>
        <row r="663">
          <cell r="B663">
            <v>9101</v>
          </cell>
          <cell r="C663" t="str">
            <v>关联方关系</v>
          </cell>
          <cell r="I663">
            <v>9101</v>
          </cell>
        </row>
        <row r="664">
          <cell r="B664">
            <v>9120</v>
          </cell>
          <cell r="C664" t="str">
            <v>关联方交易</v>
          </cell>
          <cell r="I664">
            <v>9120</v>
          </cell>
        </row>
        <row r="665">
          <cell r="B665">
            <v>9130</v>
          </cell>
          <cell r="C665" t="str">
            <v>关联方往来款项余额</v>
          </cell>
          <cell r="I665">
            <v>9130</v>
          </cell>
        </row>
        <row r="666">
          <cell r="B666">
            <v>9210</v>
          </cell>
          <cell r="C666" t="str">
            <v>股份支付</v>
          </cell>
          <cell r="I666">
            <v>9210</v>
          </cell>
        </row>
        <row r="667">
          <cell r="B667">
            <v>9220</v>
          </cell>
          <cell r="C667" t="str">
            <v>或有事项</v>
          </cell>
          <cell r="I667">
            <v>9220</v>
          </cell>
        </row>
        <row r="668">
          <cell r="B668">
            <v>9250</v>
          </cell>
          <cell r="C668" t="str">
            <v>重大承诺事项</v>
          </cell>
          <cell r="I668">
            <v>9250</v>
          </cell>
        </row>
        <row r="669">
          <cell r="B669">
            <v>9260</v>
          </cell>
          <cell r="C669" t="str">
            <v>资产负债表日后事项</v>
          </cell>
          <cell r="I669">
            <v>9260</v>
          </cell>
        </row>
        <row r="670">
          <cell r="B670">
            <v>9300</v>
          </cell>
          <cell r="C670" t="str">
            <v>其他重要事项</v>
          </cell>
          <cell r="I670">
            <v>9300</v>
          </cell>
        </row>
        <row r="671">
          <cell r="B671">
            <v>9301</v>
          </cell>
          <cell r="C671" t="str">
            <v>非货币性资产交换</v>
          </cell>
          <cell r="I671">
            <v>9301</v>
          </cell>
        </row>
        <row r="672">
          <cell r="B672">
            <v>9302</v>
          </cell>
          <cell r="C672" t="str">
            <v>债务重组</v>
          </cell>
          <cell r="I672">
            <v>9302</v>
          </cell>
        </row>
        <row r="673">
          <cell r="B673">
            <v>9303</v>
          </cell>
          <cell r="C673" t="str">
            <v>企业合并</v>
          </cell>
          <cell r="I673">
            <v>9303</v>
          </cell>
        </row>
        <row r="674">
          <cell r="B674">
            <v>9305</v>
          </cell>
          <cell r="C674" t="str">
            <v>其他资产置换、转让及出售</v>
          </cell>
          <cell r="I674">
            <v>9305</v>
          </cell>
        </row>
        <row r="675">
          <cell r="B675">
            <v>9310</v>
          </cell>
          <cell r="C675" t="str">
            <v>租赁</v>
          </cell>
          <cell r="I675">
            <v>9310</v>
          </cell>
        </row>
        <row r="676">
          <cell r="B676">
            <v>9321</v>
          </cell>
          <cell r="C676" t="str">
            <v>期末发行在外的、可转换为股份的金融工具</v>
          </cell>
          <cell r="I676">
            <v>9321</v>
          </cell>
        </row>
        <row r="677">
          <cell r="B677">
            <v>9331</v>
          </cell>
          <cell r="C677" t="str">
            <v>以公允价值计量的资产和负债</v>
          </cell>
          <cell r="I677">
            <v>9331</v>
          </cell>
        </row>
        <row r="678">
          <cell r="B678">
            <v>9336</v>
          </cell>
          <cell r="C678" t="str">
            <v>外币金融资产和外币金融负债</v>
          </cell>
          <cell r="I678">
            <v>9336</v>
          </cell>
        </row>
        <row r="679">
          <cell r="B679">
            <v>9351</v>
          </cell>
          <cell r="C679" t="str">
            <v>年金计划的主要内容及重大变化</v>
          </cell>
          <cell r="I679">
            <v>9351</v>
          </cell>
        </row>
        <row r="680">
          <cell r="B680">
            <v>9361</v>
          </cell>
          <cell r="C680" t="str">
            <v>借款费用</v>
          </cell>
          <cell r="I680">
            <v>9361</v>
          </cell>
        </row>
        <row r="681">
          <cell r="B681">
            <v>9363</v>
          </cell>
          <cell r="C681" t="str">
            <v>外币折算</v>
          </cell>
          <cell r="I681">
            <v>9363</v>
          </cell>
        </row>
        <row r="682">
          <cell r="B682">
            <v>9367</v>
          </cell>
          <cell r="C682" t="str">
            <v>终止经营</v>
          </cell>
          <cell r="I682">
            <v>9367</v>
          </cell>
        </row>
        <row r="683">
          <cell r="B683">
            <v>9390</v>
          </cell>
          <cell r="C683" t="str">
            <v>其他重要事项_其他</v>
          </cell>
          <cell r="I683">
            <v>9390</v>
          </cell>
        </row>
        <row r="684">
          <cell r="B684">
            <v>9509</v>
          </cell>
          <cell r="C684" t="str">
            <v>母公司反向购买下以公允价值入账的资产、负债情况</v>
          </cell>
          <cell r="I684">
            <v>9509</v>
          </cell>
        </row>
        <row r="685">
          <cell r="B685">
            <v>9601</v>
          </cell>
          <cell r="C685" t="str">
            <v>当期非经常性损益明细表</v>
          </cell>
          <cell r="I685">
            <v>9601</v>
          </cell>
        </row>
        <row r="686">
          <cell r="B686">
            <v>9611</v>
          </cell>
          <cell r="C686" t="str">
            <v>境内外会计准则下会计数据差异</v>
          </cell>
          <cell r="I686">
            <v>9611</v>
          </cell>
        </row>
        <row r="687">
          <cell r="B687">
            <v>9621</v>
          </cell>
          <cell r="C687" t="str">
            <v>净资产收益率和每股收益</v>
          </cell>
          <cell r="I687">
            <v>9621</v>
          </cell>
        </row>
        <row r="688">
          <cell r="B688">
            <v>8121</v>
          </cell>
          <cell r="C688" t="str">
            <v>实收资本_净利润增加权益</v>
          </cell>
          <cell r="D688">
            <v>-1</v>
          </cell>
          <cell r="E688" t="str">
            <v>N</v>
          </cell>
          <cell r="G688" t="str">
            <v>（一）净利润</v>
          </cell>
          <cell r="I688">
            <v>8121</v>
          </cell>
          <cell r="J688" t="str">
            <v>J</v>
          </cell>
        </row>
        <row r="689">
          <cell r="B689">
            <v>8130</v>
          </cell>
          <cell r="C689" t="str">
            <v>实收资本_其他综合收益增加权益</v>
          </cell>
          <cell r="D689">
            <v>-1</v>
          </cell>
          <cell r="E689" t="str">
            <v>N</v>
          </cell>
          <cell r="G689" t="str">
            <v>（二）其他综合收益</v>
          </cell>
          <cell r="I689">
            <v>8130</v>
          </cell>
          <cell r="J689" t="str">
            <v>J</v>
          </cell>
        </row>
        <row r="690">
          <cell r="B690">
            <v>8152</v>
          </cell>
          <cell r="C690" t="str">
            <v>实收资本_股份支付计入所有者权益的金额</v>
          </cell>
          <cell r="D690">
            <v>-1</v>
          </cell>
          <cell r="E690" t="str">
            <v>N</v>
          </cell>
          <cell r="G690" t="str">
            <v>股份支付计入所有者权益的金额</v>
          </cell>
          <cell r="I690">
            <v>8152</v>
          </cell>
          <cell r="J690" t="str">
            <v>J</v>
          </cell>
        </row>
        <row r="691">
          <cell r="B691">
            <v>8161</v>
          </cell>
          <cell r="C691" t="str">
            <v>实收资本_提取盈余公积影响权益</v>
          </cell>
          <cell r="D691">
            <v>-1</v>
          </cell>
          <cell r="E691" t="str">
            <v>N</v>
          </cell>
          <cell r="G691" t="str">
            <v>提取盈余公积</v>
          </cell>
          <cell r="I691">
            <v>8161</v>
          </cell>
          <cell r="J691" t="str">
            <v>J</v>
          </cell>
        </row>
        <row r="692">
          <cell r="B692">
            <v>8162</v>
          </cell>
          <cell r="C692" t="str">
            <v>实收资本_提取一般风险准备影响权益</v>
          </cell>
          <cell r="D692">
            <v>-1</v>
          </cell>
          <cell r="E692" t="str">
            <v>N</v>
          </cell>
          <cell r="G692" t="str">
            <v>提取一般风险准备</v>
          </cell>
          <cell r="I692">
            <v>8162</v>
          </cell>
          <cell r="J692" t="str">
            <v>J</v>
          </cell>
        </row>
        <row r="693">
          <cell r="B693">
            <v>8163</v>
          </cell>
          <cell r="C693" t="str">
            <v>实收资本_对所有者的分配影响权益</v>
          </cell>
          <cell r="D693">
            <v>-1</v>
          </cell>
          <cell r="E693" t="str">
            <v>N</v>
          </cell>
          <cell r="G693" t="str">
            <v>对所有者（或股东）的分配</v>
          </cell>
          <cell r="I693">
            <v>8163</v>
          </cell>
          <cell r="J693" t="str">
            <v>J</v>
          </cell>
        </row>
        <row r="694">
          <cell r="B694">
            <v>8166</v>
          </cell>
          <cell r="C694" t="str">
            <v>实收资本_其他利润分配影响权益</v>
          </cell>
          <cell r="D694">
            <v>-1</v>
          </cell>
          <cell r="E694" t="str">
            <v>N</v>
          </cell>
          <cell r="G694" t="str">
            <v>其他</v>
          </cell>
          <cell r="I694">
            <v>8166</v>
          </cell>
          <cell r="J694" t="str">
            <v>J</v>
          </cell>
        </row>
        <row r="695">
          <cell r="B695">
            <v>8173</v>
          </cell>
          <cell r="C695" t="str">
            <v>实收资本_盈余公积弥补亏损影响权益</v>
          </cell>
          <cell r="D695">
            <v>-1</v>
          </cell>
          <cell r="E695" t="str">
            <v>N</v>
          </cell>
          <cell r="G695" t="str">
            <v>盈余公积弥补亏损</v>
          </cell>
          <cell r="I695">
            <v>8173</v>
          </cell>
          <cell r="J695" t="str">
            <v>J</v>
          </cell>
        </row>
        <row r="696">
          <cell r="B696">
            <v>8181</v>
          </cell>
          <cell r="C696" t="str">
            <v>实收资本_专项储备本期提取</v>
          </cell>
          <cell r="D696">
            <v>-1</v>
          </cell>
          <cell r="E696" t="str">
            <v>N</v>
          </cell>
          <cell r="G696" t="str">
            <v>本期提取</v>
          </cell>
          <cell r="I696">
            <v>8181</v>
          </cell>
          <cell r="J696" t="str">
            <v>J</v>
          </cell>
        </row>
        <row r="697">
          <cell r="B697">
            <v>8182</v>
          </cell>
          <cell r="C697" t="str">
            <v>实收资本_专项储备本期使用</v>
          </cell>
          <cell r="D697">
            <v>-1</v>
          </cell>
          <cell r="E697" t="str">
            <v>N</v>
          </cell>
          <cell r="G697" t="str">
            <v>本期使用</v>
          </cell>
          <cell r="I697">
            <v>8182</v>
          </cell>
          <cell r="J697" t="str">
            <v>J</v>
          </cell>
        </row>
        <row r="698">
          <cell r="B698">
            <v>8221</v>
          </cell>
          <cell r="C698" t="str">
            <v>资本公积_净利润增加权益</v>
          </cell>
          <cell r="D698">
            <v>-1</v>
          </cell>
          <cell r="E698" t="str">
            <v>N</v>
          </cell>
          <cell r="G698" t="str">
            <v>（一）净利润</v>
          </cell>
          <cell r="I698">
            <v>8221</v>
          </cell>
          <cell r="J698" t="str">
            <v>J</v>
          </cell>
        </row>
        <row r="699">
          <cell r="B699">
            <v>8261</v>
          </cell>
          <cell r="C699" t="str">
            <v>资本公积_提取盈余公积影响权益</v>
          </cell>
          <cell r="D699">
            <v>-1</v>
          </cell>
          <cell r="E699" t="str">
            <v>N</v>
          </cell>
          <cell r="G699" t="str">
            <v>提取盈余公积</v>
          </cell>
          <cell r="I699">
            <v>8261</v>
          </cell>
          <cell r="J699" t="str">
            <v>J</v>
          </cell>
        </row>
        <row r="700">
          <cell r="B700">
            <v>8262</v>
          </cell>
          <cell r="C700" t="str">
            <v>资本公积_提取一般风险准备影响权益</v>
          </cell>
          <cell r="D700">
            <v>-1</v>
          </cell>
          <cell r="E700" t="str">
            <v>N</v>
          </cell>
          <cell r="G700" t="str">
            <v>提取一般风险准备</v>
          </cell>
          <cell r="I700">
            <v>8262</v>
          </cell>
          <cell r="J700" t="str">
            <v>J</v>
          </cell>
        </row>
        <row r="701">
          <cell r="B701">
            <v>8263</v>
          </cell>
          <cell r="C701" t="str">
            <v>资本公积_对所有者的分配影响权益</v>
          </cell>
          <cell r="D701">
            <v>-1</v>
          </cell>
          <cell r="E701" t="str">
            <v>N</v>
          </cell>
          <cell r="G701" t="str">
            <v>对所有者（或股东）的分配</v>
          </cell>
          <cell r="I701">
            <v>8263</v>
          </cell>
          <cell r="J701" t="str">
            <v>J</v>
          </cell>
        </row>
        <row r="702">
          <cell r="B702">
            <v>8272</v>
          </cell>
          <cell r="C702" t="str">
            <v>资本公积_盈余公积转增资本影响权益</v>
          </cell>
          <cell r="D702">
            <v>-1</v>
          </cell>
          <cell r="E702" t="str">
            <v>N</v>
          </cell>
          <cell r="G702" t="str">
            <v>盈余公积转增资本（或股本）</v>
          </cell>
          <cell r="I702">
            <v>8272</v>
          </cell>
          <cell r="J702" t="str">
            <v>J</v>
          </cell>
        </row>
        <row r="703">
          <cell r="B703">
            <v>8273</v>
          </cell>
          <cell r="C703" t="str">
            <v>资本公积_盈余公积弥补亏损影响权益</v>
          </cell>
          <cell r="D703">
            <v>-1</v>
          </cell>
          <cell r="E703" t="str">
            <v>N</v>
          </cell>
          <cell r="G703" t="str">
            <v>盈余公积弥补亏损</v>
          </cell>
          <cell r="I703">
            <v>8273</v>
          </cell>
          <cell r="J703" t="str">
            <v>J</v>
          </cell>
        </row>
        <row r="704">
          <cell r="B704">
            <v>8281</v>
          </cell>
          <cell r="C704" t="str">
            <v>资本公积_专项储备本期提取</v>
          </cell>
          <cell r="D704">
            <v>-1</v>
          </cell>
          <cell r="E704" t="str">
            <v>N</v>
          </cell>
          <cell r="G704" t="str">
            <v>本期提取</v>
          </cell>
          <cell r="I704">
            <v>8281</v>
          </cell>
          <cell r="J704" t="str">
            <v>J</v>
          </cell>
        </row>
        <row r="705">
          <cell r="B705">
            <v>8282</v>
          </cell>
          <cell r="C705" t="str">
            <v>资本公积_专项储备本期使用</v>
          </cell>
          <cell r="D705">
            <v>-1</v>
          </cell>
          <cell r="E705" t="str">
            <v>N</v>
          </cell>
          <cell r="G705" t="str">
            <v>本期使用</v>
          </cell>
          <cell r="I705">
            <v>8282</v>
          </cell>
          <cell r="J705" t="str">
            <v>J</v>
          </cell>
        </row>
        <row r="706">
          <cell r="B706">
            <v>8321</v>
          </cell>
          <cell r="C706" t="str">
            <v>库存股_净利润增加权益</v>
          </cell>
          <cell r="D706">
            <v>1</v>
          </cell>
          <cell r="E706" t="str">
            <v>N</v>
          </cell>
          <cell r="G706" t="str">
            <v>（一）净利润</v>
          </cell>
          <cell r="I706">
            <v>8321</v>
          </cell>
          <cell r="J706" t="str">
            <v>J</v>
          </cell>
        </row>
        <row r="707">
          <cell r="B707">
            <v>8330</v>
          </cell>
          <cell r="C707" t="str">
            <v>库存股_其他综合收益增加权益</v>
          </cell>
          <cell r="D707">
            <v>1</v>
          </cell>
          <cell r="E707" t="str">
            <v>N</v>
          </cell>
          <cell r="G707" t="str">
            <v>（二）其他综合收益</v>
          </cell>
          <cell r="I707">
            <v>8330</v>
          </cell>
          <cell r="J707" t="str">
            <v>J</v>
          </cell>
        </row>
        <row r="708">
          <cell r="B708">
            <v>8361</v>
          </cell>
          <cell r="C708" t="str">
            <v>库存股_提取盈余公积影响权益</v>
          </cell>
          <cell r="D708">
            <v>1</v>
          </cell>
          <cell r="E708" t="str">
            <v>N</v>
          </cell>
          <cell r="G708" t="str">
            <v>提取盈余公积</v>
          </cell>
          <cell r="I708">
            <v>8361</v>
          </cell>
          <cell r="J708" t="str">
            <v>J</v>
          </cell>
        </row>
        <row r="709">
          <cell r="B709">
            <v>8362</v>
          </cell>
          <cell r="C709" t="str">
            <v>库存股_提取一般风险准备影响权益</v>
          </cell>
          <cell r="D709">
            <v>1</v>
          </cell>
          <cell r="E709" t="str">
            <v>N</v>
          </cell>
          <cell r="G709" t="str">
            <v>提取一般风险准备</v>
          </cell>
          <cell r="I709">
            <v>8362</v>
          </cell>
          <cell r="J709" t="str">
            <v>J</v>
          </cell>
        </row>
        <row r="710">
          <cell r="B710">
            <v>8371</v>
          </cell>
          <cell r="C710" t="str">
            <v>库存股_资本公积转增资本影响权益</v>
          </cell>
          <cell r="D710">
            <v>1</v>
          </cell>
          <cell r="E710" t="str">
            <v>N</v>
          </cell>
          <cell r="G710" t="str">
            <v>资本公积转增资本（或股本）</v>
          </cell>
          <cell r="I710">
            <v>8371</v>
          </cell>
          <cell r="J710" t="str">
            <v>J</v>
          </cell>
        </row>
        <row r="711">
          <cell r="B711">
            <v>8372</v>
          </cell>
          <cell r="C711" t="str">
            <v>库存股_盈余公积转增资本影响权益</v>
          </cell>
          <cell r="D711">
            <v>1</v>
          </cell>
          <cell r="E711" t="str">
            <v>N</v>
          </cell>
          <cell r="G711" t="str">
            <v>盈余公积转增资本（或股本）</v>
          </cell>
          <cell r="I711">
            <v>8372</v>
          </cell>
          <cell r="J711" t="str">
            <v>J</v>
          </cell>
        </row>
        <row r="712">
          <cell r="B712">
            <v>8373</v>
          </cell>
          <cell r="C712" t="str">
            <v>库存股_盈余公积弥补亏损影响权益</v>
          </cell>
          <cell r="D712">
            <v>1</v>
          </cell>
          <cell r="E712" t="str">
            <v>N</v>
          </cell>
          <cell r="G712" t="str">
            <v>盈余公积弥补亏损</v>
          </cell>
          <cell r="I712">
            <v>8373</v>
          </cell>
          <cell r="J712" t="str">
            <v>J</v>
          </cell>
        </row>
        <row r="713">
          <cell r="B713">
            <v>8381</v>
          </cell>
          <cell r="C713" t="str">
            <v>库存股_专项储备本期提取</v>
          </cell>
          <cell r="D713">
            <v>1</v>
          </cell>
          <cell r="E713" t="str">
            <v>N</v>
          </cell>
          <cell r="G713" t="str">
            <v>本期提取</v>
          </cell>
          <cell r="I713">
            <v>8381</v>
          </cell>
          <cell r="J713" t="str">
            <v>J</v>
          </cell>
        </row>
        <row r="714">
          <cell r="B714">
            <v>8382</v>
          </cell>
          <cell r="C714" t="str">
            <v>库存股_专项储备本期使用</v>
          </cell>
          <cell r="D714">
            <v>1</v>
          </cell>
          <cell r="E714" t="str">
            <v>N</v>
          </cell>
          <cell r="G714" t="str">
            <v>本期使用</v>
          </cell>
          <cell r="I714">
            <v>8382</v>
          </cell>
          <cell r="J714" t="str">
            <v>J</v>
          </cell>
        </row>
        <row r="715">
          <cell r="B715">
            <v>8421</v>
          </cell>
          <cell r="C715" t="str">
            <v>专项储备_净利润增加权益</v>
          </cell>
          <cell r="D715">
            <v>-1</v>
          </cell>
          <cell r="E715" t="str">
            <v>N</v>
          </cell>
          <cell r="G715" t="str">
            <v>（一）净利润</v>
          </cell>
          <cell r="I715">
            <v>8421</v>
          </cell>
          <cell r="J715" t="str">
            <v>J</v>
          </cell>
        </row>
        <row r="716">
          <cell r="B716">
            <v>8430</v>
          </cell>
          <cell r="C716" t="str">
            <v>专项储备_其他综合收益增加权益</v>
          </cell>
          <cell r="D716">
            <v>-1</v>
          </cell>
          <cell r="E716" t="str">
            <v>N</v>
          </cell>
          <cell r="G716" t="str">
            <v>（二）其他综合收益</v>
          </cell>
          <cell r="I716">
            <v>8430</v>
          </cell>
          <cell r="J716" t="str">
            <v>J</v>
          </cell>
        </row>
        <row r="717">
          <cell r="B717">
            <v>8451</v>
          </cell>
          <cell r="C717" t="str">
            <v>专项储备_所有者投入资本增加权益</v>
          </cell>
          <cell r="D717">
            <v>-1</v>
          </cell>
          <cell r="E717" t="str">
            <v>N</v>
          </cell>
          <cell r="G717" t="str">
            <v>所有者投入资本</v>
          </cell>
          <cell r="I717">
            <v>8451</v>
          </cell>
          <cell r="J717" t="str">
            <v>J</v>
          </cell>
        </row>
        <row r="718">
          <cell r="B718">
            <v>8452</v>
          </cell>
          <cell r="C718" t="str">
            <v>专项储备_股份支付计入所有者权益的金额</v>
          </cell>
          <cell r="D718">
            <v>-1</v>
          </cell>
          <cell r="E718" t="str">
            <v>N</v>
          </cell>
          <cell r="G718" t="str">
            <v>股份支付计入所有者权益的金额</v>
          </cell>
          <cell r="I718">
            <v>8452</v>
          </cell>
          <cell r="J718" t="str">
            <v>J</v>
          </cell>
        </row>
        <row r="719">
          <cell r="B719">
            <v>8456</v>
          </cell>
          <cell r="C719" t="str">
            <v>专项储备_所有者其他投入和减少资本</v>
          </cell>
          <cell r="D719">
            <v>-1</v>
          </cell>
          <cell r="E719" t="str">
            <v>N</v>
          </cell>
          <cell r="G719" t="str">
            <v>其他</v>
          </cell>
          <cell r="I719">
            <v>8456</v>
          </cell>
          <cell r="J719" t="str">
            <v>J</v>
          </cell>
        </row>
        <row r="720">
          <cell r="B720">
            <v>8461</v>
          </cell>
          <cell r="C720" t="str">
            <v>专项储备_提取盈余公积影响权益</v>
          </cell>
          <cell r="D720">
            <v>-1</v>
          </cell>
          <cell r="E720" t="str">
            <v>N</v>
          </cell>
          <cell r="G720" t="str">
            <v>提取盈余公积</v>
          </cell>
          <cell r="I720">
            <v>8461</v>
          </cell>
          <cell r="J720" t="str">
            <v>J</v>
          </cell>
        </row>
        <row r="721">
          <cell r="B721">
            <v>8462</v>
          </cell>
          <cell r="C721" t="str">
            <v>专项储备_提取一般风险准备影响权益</v>
          </cell>
          <cell r="D721">
            <v>-1</v>
          </cell>
          <cell r="E721" t="str">
            <v>N</v>
          </cell>
          <cell r="G721" t="str">
            <v>提取一般风险准备</v>
          </cell>
          <cell r="I721">
            <v>8462</v>
          </cell>
          <cell r="J721" t="str">
            <v>J</v>
          </cell>
        </row>
        <row r="722">
          <cell r="B722">
            <v>8463</v>
          </cell>
          <cell r="C722" t="str">
            <v>专项储备_对所有者的分配影响权益</v>
          </cell>
          <cell r="D722">
            <v>-1</v>
          </cell>
          <cell r="E722" t="str">
            <v>N</v>
          </cell>
          <cell r="G722" t="str">
            <v>对所有者（或股东）的分配</v>
          </cell>
          <cell r="I722">
            <v>8463</v>
          </cell>
          <cell r="J722" t="str">
            <v>J</v>
          </cell>
        </row>
        <row r="723">
          <cell r="B723">
            <v>8466</v>
          </cell>
          <cell r="C723" t="str">
            <v>专项储备_其他利润分配影响权益</v>
          </cell>
          <cell r="D723">
            <v>-1</v>
          </cell>
          <cell r="E723" t="str">
            <v>N</v>
          </cell>
          <cell r="G723" t="str">
            <v>其他</v>
          </cell>
          <cell r="I723">
            <v>8466</v>
          </cell>
          <cell r="J723" t="str">
            <v>J</v>
          </cell>
        </row>
        <row r="724">
          <cell r="B724">
            <v>8471</v>
          </cell>
          <cell r="C724" t="str">
            <v>专项储备_资本公积转增资本影响权益</v>
          </cell>
          <cell r="D724">
            <v>-1</v>
          </cell>
          <cell r="E724" t="str">
            <v>N</v>
          </cell>
          <cell r="G724" t="str">
            <v>资本公积转增资本（或股本）</v>
          </cell>
          <cell r="I724">
            <v>8471</v>
          </cell>
          <cell r="J724" t="str">
            <v>J</v>
          </cell>
        </row>
        <row r="725">
          <cell r="B725">
            <v>8472</v>
          </cell>
          <cell r="C725" t="str">
            <v>专项储备_盈余公积转增资本影响权益</v>
          </cell>
          <cell r="D725">
            <v>-1</v>
          </cell>
          <cell r="E725" t="str">
            <v>N</v>
          </cell>
          <cell r="G725" t="str">
            <v>盈余公积转增资本（或股本）</v>
          </cell>
          <cell r="I725">
            <v>8472</v>
          </cell>
          <cell r="J725" t="str">
            <v>J</v>
          </cell>
        </row>
        <row r="726">
          <cell r="B726">
            <v>8473</v>
          </cell>
          <cell r="C726" t="str">
            <v>专项储备_盈余公积弥补亏损影响权益</v>
          </cell>
          <cell r="D726">
            <v>-1</v>
          </cell>
          <cell r="E726" t="str">
            <v>N</v>
          </cell>
          <cell r="G726" t="str">
            <v>盈余公积弥补亏损</v>
          </cell>
          <cell r="I726">
            <v>8473</v>
          </cell>
          <cell r="J726" t="str">
            <v>J</v>
          </cell>
        </row>
        <row r="727">
          <cell r="B727">
            <v>8521</v>
          </cell>
          <cell r="C727" t="str">
            <v>盈余公积_净利润增加权益</v>
          </cell>
          <cell r="D727">
            <v>-1</v>
          </cell>
          <cell r="E727" t="str">
            <v>N</v>
          </cell>
          <cell r="G727" t="str">
            <v>（一）净利润</v>
          </cell>
          <cell r="I727">
            <v>8521</v>
          </cell>
          <cell r="J727" t="str">
            <v>J</v>
          </cell>
        </row>
        <row r="728">
          <cell r="B728">
            <v>8530</v>
          </cell>
          <cell r="C728" t="str">
            <v>盈余公积_其他综合收益增加权益</v>
          </cell>
          <cell r="D728">
            <v>-1</v>
          </cell>
          <cell r="E728" t="str">
            <v>N</v>
          </cell>
          <cell r="G728" t="str">
            <v>（二）其他综合收益</v>
          </cell>
          <cell r="I728">
            <v>8530</v>
          </cell>
          <cell r="J728" t="str">
            <v>J</v>
          </cell>
        </row>
        <row r="729">
          <cell r="B729">
            <v>8551</v>
          </cell>
          <cell r="C729" t="str">
            <v>盈余公积_所有者投入资本增加权益</v>
          </cell>
          <cell r="D729">
            <v>-1</v>
          </cell>
          <cell r="E729" t="str">
            <v>N</v>
          </cell>
          <cell r="G729" t="str">
            <v>所有者投入资本</v>
          </cell>
          <cell r="I729">
            <v>8551</v>
          </cell>
          <cell r="J729" t="str">
            <v>J</v>
          </cell>
        </row>
        <row r="730">
          <cell r="B730">
            <v>8552</v>
          </cell>
          <cell r="C730" t="str">
            <v>盈余公积_股份支付计入所有者权益的金额</v>
          </cell>
          <cell r="D730">
            <v>-1</v>
          </cell>
          <cell r="E730" t="str">
            <v>N</v>
          </cell>
          <cell r="G730" t="str">
            <v>股份支付计入所有者权益的金额</v>
          </cell>
          <cell r="I730">
            <v>8552</v>
          </cell>
          <cell r="J730" t="str">
            <v>J</v>
          </cell>
        </row>
        <row r="731">
          <cell r="B731">
            <v>8562</v>
          </cell>
          <cell r="C731" t="str">
            <v>盈余公积_提取一般风险准备影响权益</v>
          </cell>
          <cell r="D731">
            <v>-1</v>
          </cell>
          <cell r="E731" t="str">
            <v>N</v>
          </cell>
          <cell r="G731" t="str">
            <v>提取一般风险准备</v>
          </cell>
          <cell r="I731">
            <v>8562</v>
          </cell>
          <cell r="J731" t="str">
            <v>J</v>
          </cell>
        </row>
        <row r="732">
          <cell r="B732">
            <v>8571</v>
          </cell>
          <cell r="C732" t="str">
            <v>盈余公积_资本公积转增资本影响权益</v>
          </cell>
          <cell r="D732">
            <v>-1</v>
          </cell>
          <cell r="E732" t="str">
            <v>N</v>
          </cell>
          <cell r="G732" t="str">
            <v>资本公积转增资本（或股本）</v>
          </cell>
          <cell r="I732">
            <v>8571</v>
          </cell>
          <cell r="J732" t="str">
            <v>J</v>
          </cell>
        </row>
        <row r="733">
          <cell r="B733">
            <v>8581</v>
          </cell>
          <cell r="C733" t="str">
            <v>盈余公积_专项储备本期提取</v>
          </cell>
          <cell r="D733">
            <v>-1</v>
          </cell>
          <cell r="E733" t="str">
            <v>N</v>
          </cell>
          <cell r="G733" t="str">
            <v>本期提取</v>
          </cell>
          <cell r="I733">
            <v>8581</v>
          </cell>
          <cell r="J733" t="str">
            <v>J</v>
          </cell>
        </row>
        <row r="734">
          <cell r="B734">
            <v>8582</v>
          </cell>
          <cell r="C734" t="str">
            <v>盈余公积_专项储备本期使用</v>
          </cell>
          <cell r="D734">
            <v>-1</v>
          </cell>
          <cell r="E734" t="str">
            <v>N</v>
          </cell>
          <cell r="G734" t="str">
            <v>本期使用</v>
          </cell>
          <cell r="I734">
            <v>8582</v>
          </cell>
          <cell r="J734" t="str">
            <v>J</v>
          </cell>
        </row>
        <row r="735">
          <cell r="B735">
            <v>8621</v>
          </cell>
          <cell r="C735" t="str">
            <v>一般风险准备_净利润增加权益</v>
          </cell>
          <cell r="D735">
            <v>-1</v>
          </cell>
          <cell r="E735" t="str">
            <v>N</v>
          </cell>
          <cell r="G735" t="str">
            <v>（一）净利润</v>
          </cell>
          <cell r="I735">
            <v>8621</v>
          </cell>
          <cell r="J735" t="str">
            <v>J</v>
          </cell>
        </row>
        <row r="736">
          <cell r="B736">
            <v>8630</v>
          </cell>
          <cell r="C736" t="str">
            <v>一般风险准备_其他综合收益增加权益</v>
          </cell>
          <cell r="D736">
            <v>-1</v>
          </cell>
          <cell r="E736" t="str">
            <v>N</v>
          </cell>
          <cell r="G736" t="str">
            <v>（二）其他综合收益</v>
          </cell>
          <cell r="I736">
            <v>8630</v>
          </cell>
          <cell r="J736" t="str">
            <v>J</v>
          </cell>
        </row>
        <row r="737">
          <cell r="B737">
            <v>8651</v>
          </cell>
          <cell r="C737" t="str">
            <v>一般风险准备_所有者投入资本增加权益</v>
          </cell>
          <cell r="D737">
            <v>-1</v>
          </cell>
          <cell r="E737" t="str">
            <v>N</v>
          </cell>
          <cell r="G737" t="str">
            <v>所有者投入资本</v>
          </cell>
          <cell r="I737">
            <v>8651</v>
          </cell>
          <cell r="J737" t="str">
            <v>J</v>
          </cell>
        </row>
        <row r="738">
          <cell r="B738">
            <v>8652</v>
          </cell>
          <cell r="C738" t="str">
            <v>一般风险准备_股份支付计入所有者权益的金额</v>
          </cell>
          <cell r="D738">
            <v>-1</v>
          </cell>
          <cell r="E738" t="str">
            <v>N</v>
          </cell>
          <cell r="G738" t="str">
            <v>股份支付计入所有者权益的金额</v>
          </cell>
          <cell r="I738">
            <v>8652</v>
          </cell>
          <cell r="J738" t="str">
            <v>J</v>
          </cell>
        </row>
        <row r="739">
          <cell r="B739">
            <v>8661</v>
          </cell>
          <cell r="C739" t="str">
            <v>一般风险准备_提取盈余公积影响权益</v>
          </cell>
          <cell r="D739">
            <v>-1</v>
          </cell>
          <cell r="E739" t="str">
            <v>N</v>
          </cell>
          <cell r="G739" t="str">
            <v>提取盈余公积</v>
          </cell>
          <cell r="I739">
            <v>8661</v>
          </cell>
          <cell r="J739" t="str">
            <v>J</v>
          </cell>
        </row>
        <row r="740">
          <cell r="B740">
            <v>8663</v>
          </cell>
          <cell r="C740" t="str">
            <v>一般风险准备_对所有者的分配影响权益</v>
          </cell>
          <cell r="D740">
            <v>-1</v>
          </cell>
          <cell r="E740" t="str">
            <v>N</v>
          </cell>
          <cell r="G740" t="str">
            <v>对所有者（或股东）的分配</v>
          </cell>
          <cell r="I740">
            <v>8663</v>
          </cell>
          <cell r="J740" t="str">
            <v>J</v>
          </cell>
        </row>
        <row r="741">
          <cell r="B741">
            <v>8671</v>
          </cell>
          <cell r="C741" t="str">
            <v>一般风险准备_资本公积转增资本影响权益</v>
          </cell>
          <cell r="D741">
            <v>-1</v>
          </cell>
          <cell r="E741" t="str">
            <v>N</v>
          </cell>
          <cell r="G741" t="str">
            <v>资本公积转增资本（或股本）</v>
          </cell>
          <cell r="I741">
            <v>8671</v>
          </cell>
          <cell r="J741" t="str">
            <v>J</v>
          </cell>
        </row>
        <row r="742">
          <cell r="B742">
            <v>8672</v>
          </cell>
          <cell r="C742" t="str">
            <v>一般风险准备_盈余公积转增资本影响权益</v>
          </cell>
          <cell r="D742">
            <v>-1</v>
          </cell>
          <cell r="E742" t="str">
            <v>N</v>
          </cell>
          <cell r="G742" t="str">
            <v>盈余公积转增资本（或股本）</v>
          </cell>
          <cell r="I742">
            <v>8672</v>
          </cell>
          <cell r="J742" t="str">
            <v>J</v>
          </cell>
        </row>
        <row r="743">
          <cell r="B743">
            <v>8673</v>
          </cell>
          <cell r="C743" t="str">
            <v>一般风险准备_盈余公积弥补亏损影响权益</v>
          </cell>
          <cell r="D743">
            <v>-1</v>
          </cell>
          <cell r="E743" t="str">
            <v>N</v>
          </cell>
          <cell r="G743" t="str">
            <v>盈余公积弥补亏损</v>
          </cell>
          <cell r="I743">
            <v>8673</v>
          </cell>
          <cell r="J743" t="str">
            <v>J</v>
          </cell>
        </row>
        <row r="744">
          <cell r="B744">
            <v>8681</v>
          </cell>
          <cell r="C744" t="str">
            <v>一般风险准备_专项储备本期提取</v>
          </cell>
          <cell r="D744">
            <v>-1</v>
          </cell>
          <cell r="E744" t="str">
            <v>N</v>
          </cell>
          <cell r="G744" t="str">
            <v>本期提取</v>
          </cell>
          <cell r="I744">
            <v>8681</v>
          </cell>
          <cell r="J744" t="str">
            <v>J</v>
          </cell>
        </row>
        <row r="745">
          <cell r="B745">
            <v>8682</v>
          </cell>
          <cell r="C745" t="str">
            <v>一般风险准备_专项储备本期使用</v>
          </cell>
          <cell r="D745">
            <v>-1</v>
          </cell>
          <cell r="E745" t="str">
            <v>N</v>
          </cell>
          <cell r="G745" t="str">
            <v>本期使用</v>
          </cell>
          <cell r="I745">
            <v>8682</v>
          </cell>
          <cell r="J745" t="str">
            <v>J</v>
          </cell>
        </row>
        <row r="746">
          <cell r="B746">
            <v>8730</v>
          </cell>
          <cell r="C746" t="str">
            <v>未分配利润_其他综合收益增加权益</v>
          </cell>
          <cell r="D746">
            <v>-1</v>
          </cell>
          <cell r="E746" t="str">
            <v>N</v>
          </cell>
          <cell r="G746" t="str">
            <v>（二）其他综合收益</v>
          </cell>
          <cell r="I746">
            <v>8730</v>
          </cell>
          <cell r="J746" t="str">
            <v>J</v>
          </cell>
        </row>
        <row r="747">
          <cell r="B747">
            <v>8751</v>
          </cell>
          <cell r="C747" t="str">
            <v>未分配利润_所有者投入资本增加权益</v>
          </cell>
          <cell r="D747">
            <v>-1</v>
          </cell>
          <cell r="E747" t="str">
            <v>N</v>
          </cell>
          <cell r="G747" t="str">
            <v>所有者投入资本</v>
          </cell>
          <cell r="I747">
            <v>8751</v>
          </cell>
          <cell r="J747" t="str">
            <v>J</v>
          </cell>
        </row>
        <row r="748">
          <cell r="B748">
            <v>8752</v>
          </cell>
          <cell r="C748" t="str">
            <v>未分配利润_股份支付计入所有者权益的金额</v>
          </cell>
          <cell r="D748">
            <v>-1</v>
          </cell>
          <cell r="E748" t="str">
            <v>N</v>
          </cell>
          <cell r="G748" t="str">
            <v>股份支付计入所有者权益的金额</v>
          </cell>
          <cell r="I748">
            <v>8752</v>
          </cell>
          <cell r="J748" t="str">
            <v>J</v>
          </cell>
        </row>
        <row r="749">
          <cell r="B749">
            <v>8771</v>
          </cell>
          <cell r="C749" t="str">
            <v>未分配利润_资本公积转增资本影响权益</v>
          </cell>
          <cell r="D749">
            <v>-1</v>
          </cell>
          <cell r="E749" t="str">
            <v>N</v>
          </cell>
          <cell r="G749" t="str">
            <v>资本公积转增资本（或股本）</v>
          </cell>
          <cell r="I749">
            <v>8771</v>
          </cell>
          <cell r="J749" t="str">
            <v>J</v>
          </cell>
        </row>
        <row r="750">
          <cell r="B750">
            <v>8772</v>
          </cell>
          <cell r="C750" t="str">
            <v>未分配利润_盈余公积转增资本影响权益</v>
          </cell>
          <cell r="D750">
            <v>-1</v>
          </cell>
          <cell r="E750" t="str">
            <v>N</v>
          </cell>
          <cell r="G750" t="str">
            <v>盈余公积转增资本（或股本）</v>
          </cell>
          <cell r="I750">
            <v>8772</v>
          </cell>
          <cell r="J750" t="str">
            <v>J</v>
          </cell>
        </row>
        <row r="751">
          <cell r="B751">
            <v>8961</v>
          </cell>
          <cell r="C751" t="str">
            <v>少数股东权益_提取盈余公积影响权益</v>
          </cell>
          <cell r="D751">
            <v>-1</v>
          </cell>
          <cell r="E751" t="str">
            <v>※N</v>
          </cell>
          <cell r="G751" t="str">
            <v>提取盈余公积</v>
          </cell>
          <cell r="I751">
            <v>8961</v>
          </cell>
          <cell r="J751" t="str">
            <v>J</v>
          </cell>
        </row>
        <row r="752">
          <cell r="B752">
            <v>8962</v>
          </cell>
          <cell r="C752" t="str">
            <v>少数股东权益_提取一般风险准备影响权益</v>
          </cell>
          <cell r="D752">
            <v>-1</v>
          </cell>
          <cell r="E752" t="str">
            <v>※N</v>
          </cell>
          <cell r="G752" t="str">
            <v>提取一般风险准备</v>
          </cell>
          <cell r="I752">
            <v>8962</v>
          </cell>
          <cell r="J752" t="str">
            <v>J</v>
          </cell>
        </row>
        <row r="753">
          <cell r="B753">
            <v>8971</v>
          </cell>
          <cell r="C753" t="str">
            <v>少数股东权益_资本公积转增资本影响权益</v>
          </cell>
          <cell r="D753">
            <v>-1</v>
          </cell>
          <cell r="E753" t="str">
            <v>※N</v>
          </cell>
          <cell r="G753" t="str">
            <v>资本公积转增资本（或股本）</v>
          </cell>
          <cell r="I753">
            <v>8971</v>
          </cell>
          <cell r="J753" t="str">
            <v>J</v>
          </cell>
        </row>
        <row r="754">
          <cell r="B754">
            <v>8972</v>
          </cell>
          <cell r="C754" t="str">
            <v>少数股东权益_盈余公积转增资本影响权益</v>
          </cell>
          <cell r="D754">
            <v>-1</v>
          </cell>
          <cell r="E754" t="str">
            <v>※N</v>
          </cell>
          <cell r="G754" t="str">
            <v>盈余公积转增资本（或股本）</v>
          </cell>
          <cell r="I754">
            <v>8972</v>
          </cell>
          <cell r="J754" t="str">
            <v>J</v>
          </cell>
        </row>
        <row r="755">
          <cell r="B755">
            <v>8973</v>
          </cell>
          <cell r="C755" t="str">
            <v>少数股东权益_盈余公积弥补亏损影响权益</v>
          </cell>
          <cell r="D755">
            <v>-1</v>
          </cell>
          <cell r="E755" t="str">
            <v>※N</v>
          </cell>
          <cell r="G755" t="str">
            <v>盈余公积弥补亏损</v>
          </cell>
          <cell r="I755">
            <v>8973</v>
          </cell>
          <cell r="J755" t="str">
            <v>J</v>
          </cell>
        </row>
        <row r="756">
          <cell r="B756">
            <v>8140</v>
          </cell>
          <cell r="C756" t="str">
            <v>实收资本_综合收益总额增加权益</v>
          </cell>
          <cell r="D756">
            <v>-1</v>
          </cell>
          <cell r="G756" t="str">
            <v>（一）综合收益总额</v>
          </cell>
          <cell r="I756">
            <v>8140</v>
          </cell>
          <cell r="J756" t="str">
            <v>J</v>
          </cell>
        </row>
        <row r="757">
          <cell r="B757">
            <v>8160</v>
          </cell>
          <cell r="C757" t="str">
            <v>实收资本_利润分配影响权益</v>
          </cell>
          <cell r="E757" t="str">
            <v>＝</v>
          </cell>
          <cell r="G757" t="str">
            <v>（三）利润分配</v>
          </cell>
          <cell r="I757">
            <v>8160</v>
          </cell>
        </row>
        <row r="758">
          <cell r="B758">
            <v>8180</v>
          </cell>
          <cell r="C758" t="str">
            <v>实收资本_专项储备影响权益</v>
          </cell>
          <cell r="E758" t="str">
            <v>＝</v>
          </cell>
          <cell r="G758" t="str">
            <v>（五）专项储备</v>
          </cell>
          <cell r="I758">
            <v>8180</v>
          </cell>
        </row>
        <row r="759">
          <cell r="B759">
            <v>8280</v>
          </cell>
          <cell r="C759" t="str">
            <v>资本公积_专项储备影响权益</v>
          </cell>
          <cell r="E759" t="str">
            <v>＝</v>
          </cell>
          <cell r="G759" t="str">
            <v>（五）专项储备</v>
          </cell>
          <cell r="I759">
            <v>8280</v>
          </cell>
        </row>
        <row r="760">
          <cell r="B760">
            <v>8340</v>
          </cell>
          <cell r="C760" t="str">
            <v>库存股_综合收益总额增加权益</v>
          </cell>
          <cell r="D760">
            <v>1</v>
          </cell>
          <cell r="G760" t="str">
            <v>（一）综合收益总额</v>
          </cell>
          <cell r="I760">
            <v>8340</v>
          </cell>
          <cell r="J760" t="str">
            <v>J</v>
          </cell>
        </row>
        <row r="761">
          <cell r="B761">
            <v>8380</v>
          </cell>
          <cell r="C761" t="str">
            <v>库存股_专项储备影响权益</v>
          </cell>
          <cell r="E761" t="str">
            <v>＝</v>
          </cell>
          <cell r="G761" t="str">
            <v>（五）专项储备</v>
          </cell>
          <cell r="I761">
            <v>8380</v>
          </cell>
        </row>
        <row r="762">
          <cell r="B762">
            <v>8440</v>
          </cell>
          <cell r="C762" t="str">
            <v>专项储备_综合收益总额增加权益</v>
          </cell>
          <cell r="D762">
            <v>-1</v>
          </cell>
          <cell r="G762" t="str">
            <v>（一）综合收益总额</v>
          </cell>
          <cell r="I762">
            <v>8440</v>
          </cell>
          <cell r="J762" t="str">
            <v>J</v>
          </cell>
        </row>
        <row r="763">
          <cell r="B763">
            <v>8450</v>
          </cell>
          <cell r="C763" t="str">
            <v>专项储备_所有者投入和减少资本影响权益</v>
          </cell>
          <cell r="E763" t="str">
            <v>＝</v>
          </cell>
          <cell r="G763" t="str">
            <v>（二）所有者投入和减少资本</v>
          </cell>
          <cell r="I763">
            <v>8450</v>
          </cell>
        </row>
        <row r="764">
          <cell r="B764">
            <v>8460</v>
          </cell>
          <cell r="C764" t="str">
            <v>专项储备_利润分配影响权益</v>
          </cell>
          <cell r="E764" t="str">
            <v>＝</v>
          </cell>
          <cell r="G764" t="str">
            <v>（三）利润分配</v>
          </cell>
          <cell r="I764">
            <v>8460</v>
          </cell>
        </row>
        <row r="765">
          <cell r="B765">
            <v>8540</v>
          </cell>
          <cell r="C765" t="str">
            <v>盈余公积_综合收益总额增加权益</v>
          </cell>
          <cell r="D765">
            <v>-1</v>
          </cell>
          <cell r="G765" t="str">
            <v>（一）综合收益总额</v>
          </cell>
          <cell r="I765">
            <v>8540</v>
          </cell>
          <cell r="J765" t="str">
            <v>J</v>
          </cell>
        </row>
        <row r="766">
          <cell r="B766">
            <v>8580</v>
          </cell>
          <cell r="C766" t="str">
            <v>盈余公积_专项储备影响权益</v>
          </cell>
          <cell r="E766" t="str">
            <v>＝</v>
          </cell>
          <cell r="G766" t="str">
            <v>（五）专项储备</v>
          </cell>
          <cell r="I766">
            <v>8580</v>
          </cell>
        </row>
        <row r="767">
          <cell r="B767">
            <v>8640</v>
          </cell>
          <cell r="C767" t="str">
            <v>一般风险准备_综合收益总额增加权益</v>
          </cell>
          <cell r="D767">
            <v>-1</v>
          </cell>
          <cell r="G767" t="str">
            <v>（一）综合收益总额</v>
          </cell>
          <cell r="I767">
            <v>8640</v>
          </cell>
          <cell r="J767" t="str">
            <v>J</v>
          </cell>
        </row>
        <row r="768">
          <cell r="B768">
            <v>8680</v>
          </cell>
          <cell r="C768" t="str">
            <v>一般风险准备_专项储备影响权益</v>
          </cell>
          <cell r="E768" t="str">
            <v>＝</v>
          </cell>
          <cell r="G768" t="str">
            <v>（五）专项储备</v>
          </cell>
          <cell r="I768">
            <v>8680</v>
          </cell>
        </row>
        <row r="769">
          <cell r="B769" t="str">
            <v>8a00</v>
          </cell>
          <cell r="C769" t="str">
            <v>其他权益工具增减变动</v>
          </cell>
          <cell r="E769" t="str">
            <v>：OEI</v>
          </cell>
          <cell r="G769" t="str">
            <v>其他权益工具增减变动</v>
          </cell>
          <cell r="I769" t="str">
            <v>8a00</v>
          </cell>
        </row>
        <row r="770">
          <cell r="B770" t="str">
            <v>8a01</v>
          </cell>
          <cell r="C770" t="str">
            <v>其他权益工具_上年年末余额</v>
          </cell>
          <cell r="D770">
            <v>-1</v>
          </cell>
          <cell r="E770" t="str">
            <v>OEI</v>
          </cell>
          <cell r="G770" t="str">
            <v>一、上年年末余额</v>
          </cell>
          <cell r="I770" t="str">
            <v>8a01</v>
          </cell>
        </row>
        <row r="771">
          <cell r="B771" t="str">
            <v>8a02</v>
          </cell>
          <cell r="C771" t="str">
            <v>其他权益工具_会计政策变更调整上年年末余额</v>
          </cell>
          <cell r="D771">
            <v>-1</v>
          </cell>
          <cell r="E771" t="str">
            <v>OEI</v>
          </cell>
          <cell r="G771" t="str">
            <v>加：会计政策变更</v>
          </cell>
          <cell r="I771" t="str">
            <v>8a02</v>
          </cell>
        </row>
        <row r="772">
          <cell r="B772" t="str">
            <v>8a03</v>
          </cell>
          <cell r="C772" t="str">
            <v>其他权益工具_前期差错更正调整上年年末余额</v>
          </cell>
          <cell r="D772">
            <v>-1</v>
          </cell>
          <cell r="E772" t="str">
            <v>OEI</v>
          </cell>
          <cell r="G772" t="str">
            <v>前期差错更正</v>
          </cell>
          <cell r="I772" t="str">
            <v>8a03</v>
          </cell>
        </row>
        <row r="773">
          <cell r="B773" t="str">
            <v>8a04</v>
          </cell>
          <cell r="C773" t="str">
            <v>其他权益工具_同一控制下企业合并调整上年年末余额</v>
          </cell>
          <cell r="D773">
            <v>-1</v>
          </cell>
          <cell r="E773" t="str">
            <v>※OEI</v>
          </cell>
          <cell r="G773" t="str">
            <v>同一控制下企业合并</v>
          </cell>
          <cell r="I773" t="str">
            <v>8a04</v>
          </cell>
        </row>
        <row r="774">
          <cell r="B774" t="str">
            <v>8a09</v>
          </cell>
          <cell r="C774" t="str">
            <v>其他权益工具_其他原因调整上年年末余额</v>
          </cell>
          <cell r="D774">
            <v>-1</v>
          </cell>
          <cell r="E774" t="str">
            <v>OEI</v>
          </cell>
          <cell r="G774" t="str">
            <v>其他</v>
          </cell>
          <cell r="I774" t="str">
            <v>8a09</v>
          </cell>
        </row>
        <row r="775">
          <cell r="B775" t="str">
            <v>8a10</v>
          </cell>
          <cell r="C775" t="str">
            <v>其他权益工具_本年年初余额</v>
          </cell>
          <cell r="E775" t="str">
            <v>OEI＝</v>
          </cell>
          <cell r="G775" t="str">
            <v>二、本年年初余额</v>
          </cell>
          <cell r="I775" t="str">
            <v>8a10</v>
          </cell>
        </row>
        <row r="776">
          <cell r="B776" t="str">
            <v>8a90</v>
          </cell>
          <cell r="C776" t="str">
            <v>其他权益工具_本期增减变动金额</v>
          </cell>
          <cell r="E776" t="str">
            <v>OEI＝</v>
          </cell>
          <cell r="G776" t="str">
            <v>三、本期增减变动金额（减少以“-”号填列）</v>
          </cell>
          <cell r="I776" t="str">
            <v>8a90</v>
          </cell>
        </row>
        <row r="777">
          <cell r="B777" t="str">
            <v>8a40</v>
          </cell>
          <cell r="C777" t="str">
            <v>其他权益工具_综合收益总额增加权益</v>
          </cell>
          <cell r="E777" t="str">
            <v>OEI</v>
          </cell>
          <cell r="G777" t="str">
            <v>（一）综合收益总额</v>
          </cell>
          <cell r="I777" t="str">
            <v>8a40</v>
          </cell>
        </row>
        <row r="778">
          <cell r="B778" t="str">
            <v>8a50</v>
          </cell>
          <cell r="C778" t="str">
            <v>其他权益工具_所有者投入和减少资本影响权益</v>
          </cell>
          <cell r="E778" t="str">
            <v>OEI＝</v>
          </cell>
          <cell r="G778" t="str">
            <v>（二）所有者投入和减少资本</v>
          </cell>
          <cell r="I778" t="str">
            <v>8a50</v>
          </cell>
        </row>
        <row r="779">
          <cell r="B779" t="str">
            <v>8a51</v>
          </cell>
          <cell r="C779" t="str">
            <v>其他权益工具_所有者投入资本</v>
          </cell>
          <cell r="D779">
            <v>-1</v>
          </cell>
          <cell r="E779" t="str">
            <v>OEI</v>
          </cell>
          <cell r="G779" t="str">
            <v>所有者投入资本</v>
          </cell>
          <cell r="I779" t="str">
            <v>8a51</v>
          </cell>
        </row>
        <row r="780">
          <cell r="B780" t="str">
            <v>8a52</v>
          </cell>
          <cell r="C780" t="str">
            <v>其他权益工具_股份支付</v>
          </cell>
          <cell r="D780">
            <v>-1</v>
          </cell>
          <cell r="E780" t="str">
            <v>OEI</v>
          </cell>
          <cell r="G780" t="str">
            <v>股份支付计入所有者权益的金额</v>
          </cell>
          <cell r="I780" t="str">
            <v>8a52</v>
          </cell>
        </row>
        <row r="781">
          <cell r="B781" t="str">
            <v>8a53</v>
          </cell>
          <cell r="C781" t="str">
            <v>其他权益工具_其他权益工具持有者投入资本</v>
          </cell>
          <cell r="D781">
            <v>-1</v>
          </cell>
          <cell r="E781" t="str">
            <v>OEI</v>
          </cell>
          <cell r="G781" t="str">
            <v>其他权益工具持有者投入资本</v>
          </cell>
          <cell r="I781" t="str">
            <v>8a53</v>
          </cell>
        </row>
        <row r="782">
          <cell r="B782" t="str">
            <v>8a56</v>
          </cell>
          <cell r="C782" t="str">
            <v>其他权益工具_所有者其他投入和减少资本</v>
          </cell>
          <cell r="D782">
            <v>-1</v>
          </cell>
          <cell r="E782" t="str">
            <v>OEI</v>
          </cell>
          <cell r="G782" t="str">
            <v>其他</v>
          </cell>
          <cell r="I782" t="str">
            <v>8a56</v>
          </cell>
        </row>
        <row r="783">
          <cell r="B783" t="str">
            <v>8a60</v>
          </cell>
          <cell r="C783" t="str">
            <v>其他权益工具_利润分配影响权益</v>
          </cell>
          <cell r="E783" t="str">
            <v>OEI＝</v>
          </cell>
          <cell r="G783" t="str">
            <v>（三）利润分配</v>
          </cell>
          <cell r="I783" t="str">
            <v>8a60</v>
          </cell>
        </row>
        <row r="784">
          <cell r="B784" t="str">
            <v>8a61</v>
          </cell>
          <cell r="C784" t="str">
            <v>其他权益工具_提取盈余公积</v>
          </cell>
          <cell r="D784">
            <v>-1</v>
          </cell>
          <cell r="E784" t="str">
            <v>OEI</v>
          </cell>
          <cell r="G784" t="str">
            <v>提取盈余公积</v>
          </cell>
          <cell r="I784" t="str">
            <v>8a61</v>
          </cell>
        </row>
        <row r="785">
          <cell r="B785" t="str">
            <v>8a62</v>
          </cell>
          <cell r="C785" t="str">
            <v>其他权益工具_提取一般风险准备</v>
          </cell>
          <cell r="D785">
            <v>-1</v>
          </cell>
          <cell r="E785" t="str">
            <v>OEI</v>
          </cell>
          <cell r="G785" t="str">
            <v>提取一般风险准备</v>
          </cell>
          <cell r="I785" t="str">
            <v>8a62</v>
          </cell>
        </row>
        <row r="786">
          <cell r="B786" t="str">
            <v>8a63</v>
          </cell>
          <cell r="C786" t="str">
            <v>其他权益工具_对所有者的分配</v>
          </cell>
          <cell r="D786">
            <v>-1</v>
          </cell>
          <cell r="E786" t="str">
            <v>OEI</v>
          </cell>
          <cell r="G786" t="str">
            <v>对所有者（或股东）的分配</v>
          </cell>
          <cell r="I786" t="str">
            <v>8a63</v>
          </cell>
        </row>
        <row r="787">
          <cell r="B787" t="str">
            <v>8a66</v>
          </cell>
          <cell r="C787" t="str">
            <v>其他权益工具_其他利润分配</v>
          </cell>
          <cell r="D787">
            <v>-1</v>
          </cell>
          <cell r="E787" t="str">
            <v>OEI</v>
          </cell>
          <cell r="G787" t="str">
            <v>其他</v>
          </cell>
          <cell r="I787" t="str">
            <v>8a66</v>
          </cell>
        </row>
        <row r="788">
          <cell r="B788" t="str">
            <v>8a70</v>
          </cell>
          <cell r="C788" t="str">
            <v>其他权益工具_所有者权益内部结转</v>
          </cell>
          <cell r="E788" t="str">
            <v>OEI＝</v>
          </cell>
          <cell r="G788" t="str">
            <v>（四）所有者权益内部结转</v>
          </cell>
          <cell r="I788" t="str">
            <v>8a70</v>
          </cell>
        </row>
        <row r="789">
          <cell r="B789" t="str">
            <v>8a71</v>
          </cell>
          <cell r="C789" t="str">
            <v>其他权益工具_资本公积转增资本</v>
          </cell>
          <cell r="D789">
            <v>-1</v>
          </cell>
          <cell r="E789" t="str">
            <v>OEI</v>
          </cell>
          <cell r="G789" t="str">
            <v>资本公积转增资本（或股本）</v>
          </cell>
          <cell r="I789" t="str">
            <v>8a71</v>
          </cell>
        </row>
        <row r="790">
          <cell r="B790" t="str">
            <v>8a72</v>
          </cell>
          <cell r="C790" t="str">
            <v>其他权益工具_盈余公积转增资本</v>
          </cell>
          <cell r="D790">
            <v>-1</v>
          </cell>
          <cell r="E790" t="str">
            <v>OEI</v>
          </cell>
          <cell r="G790" t="str">
            <v>盈余公积转增资本（或股本）</v>
          </cell>
          <cell r="I790" t="str">
            <v>8a72</v>
          </cell>
        </row>
        <row r="791">
          <cell r="B791" t="str">
            <v>8a73</v>
          </cell>
          <cell r="C791" t="str">
            <v>其他权益工具_盈余公积弥补亏损</v>
          </cell>
          <cell r="D791">
            <v>-1</v>
          </cell>
          <cell r="E791" t="str">
            <v>OEI</v>
          </cell>
          <cell r="G791" t="str">
            <v>盈余公积弥补亏损</v>
          </cell>
          <cell r="I791" t="str">
            <v>8a73</v>
          </cell>
        </row>
        <row r="792">
          <cell r="B792" t="str">
            <v>8a75</v>
          </cell>
          <cell r="C792" t="str">
            <v>其他权益工具_结转重新计量设定受益计划净负债或净资产所产生的变动</v>
          </cell>
          <cell r="D792">
            <v>-1</v>
          </cell>
          <cell r="E792" t="str">
            <v>OEI</v>
          </cell>
          <cell r="G792" t="str">
            <v>结转重新计量设定受益计划净负债或净资产所产生的变动</v>
          </cell>
          <cell r="I792" t="str">
            <v>8a75</v>
          </cell>
        </row>
        <row r="793">
          <cell r="B793" t="str">
            <v>8a76</v>
          </cell>
          <cell r="C793" t="str">
            <v>其他权益工具_所有者权益其他内部结转</v>
          </cell>
          <cell r="D793">
            <v>-1</v>
          </cell>
          <cell r="E793" t="str">
            <v>OEI</v>
          </cell>
          <cell r="G793" t="str">
            <v>其他</v>
          </cell>
          <cell r="I793" t="str">
            <v>8a76</v>
          </cell>
        </row>
        <row r="794">
          <cell r="B794" t="str">
            <v>8a80</v>
          </cell>
          <cell r="C794" t="str">
            <v>其他权益工具_专项储备影响权益</v>
          </cell>
          <cell r="E794" t="str">
            <v>OEI＝</v>
          </cell>
          <cell r="G794" t="str">
            <v>（五）专项储备</v>
          </cell>
          <cell r="I794" t="str">
            <v>8a80</v>
          </cell>
        </row>
        <row r="795">
          <cell r="B795" t="str">
            <v>8a81</v>
          </cell>
          <cell r="C795" t="str">
            <v>其他权益工具_专项储备本期提取</v>
          </cell>
          <cell r="D795">
            <v>-1</v>
          </cell>
          <cell r="E795" t="str">
            <v>OEI</v>
          </cell>
          <cell r="G795" t="str">
            <v>本期提取</v>
          </cell>
          <cell r="I795" t="str">
            <v>8a81</v>
          </cell>
        </row>
        <row r="796">
          <cell r="B796" t="str">
            <v>8a82</v>
          </cell>
          <cell r="C796" t="str">
            <v>其他权益工具_专项储备本期使用</v>
          </cell>
          <cell r="D796">
            <v>-1</v>
          </cell>
          <cell r="E796" t="str">
            <v>OEI</v>
          </cell>
          <cell r="G796" t="str">
            <v>本期使用</v>
          </cell>
          <cell r="I796" t="str">
            <v>8a82</v>
          </cell>
        </row>
        <row r="797">
          <cell r="B797" t="str">
            <v>8a96</v>
          </cell>
          <cell r="C797" t="str">
            <v>其他权益工具_本期其他增减变动</v>
          </cell>
          <cell r="D797">
            <v>-1</v>
          </cell>
          <cell r="E797" t="str">
            <v>OEI</v>
          </cell>
          <cell r="G797" t="str">
            <v>（七）其他</v>
          </cell>
          <cell r="I797" t="str">
            <v>8a96</v>
          </cell>
        </row>
        <row r="798">
          <cell r="B798" t="str">
            <v>8a99</v>
          </cell>
          <cell r="C798" t="str">
            <v>其他权益工具_本期期末余额</v>
          </cell>
          <cell r="E798" t="str">
            <v>OEI＝</v>
          </cell>
          <cell r="G798" t="str">
            <v>四、本期期末余额</v>
          </cell>
          <cell r="I798" t="str">
            <v>8a99</v>
          </cell>
        </row>
      </sheetData>
      <sheetData sheetId="1">
        <row r="5">
          <cell r="F5">
            <v>42735</v>
          </cell>
        </row>
        <row r="6">
          <cell r="F6">
            <v>42369</v>
          </cell>
        </row>
        <row r="7">
          <cell r="F7" t="str">
            <v xml:space="preserve">2016年度 </v>
          </cell>
        </row>
        <row r="8">
          <cell r="F8" t="str">
            <v xml:space="preserve">2015年度 </v>
          </cell>
        </row>
      </sheetData>
      <sheetData sheetId="2"/>
      <sheetData sheetId="3">
        <row r="8">
          <cell r="C8" t="str">
            <v>ItemId1</v>
          </cell>
          <cell r="D8" t="str">
            <v>项       目</v>
          </cell>
          <cell r="E8" t="str">
            <v>附注</v>
          </cell>
          <cell r="F8" t="str">
            <v>期末余额</v>
          </cell>
          <cell r="G8" t="str">
            <v>年初余额</v>
          </cell>
          <cell r="H8" t="str">
            <v>ItemId2</v>
          </cell>
          <cell r="I8" t="str">
            <v>项       目</v>
          </cell>
          <cell r="J8" t="str">
            <v>附注</v>
          </cell>
          <cell r="K8" t="str">
            <v>期末余额</v>
          </cell>
          <cell r="L8" t="str">
            <v>年初余额</v>
          </cell>
        </row>
        <row r="9">
          <cell r="C9">
            <v>1000</v>
          </cell>
          <cell r="D9" t="str">
            <v>流动资产：</v>
          </cell>
          <cell r="H9">
            <v>2000</v>
          </cell>
          <cell r="I9" t="str">
            <v>流动负债：</v>
          </cell>
        </row>
        <row r="10">
          <cell r="C10">
            <v>1015</v>
          </cell>
          <cell r="D10" t="str">
            <v>货币资金</v>
          </cell>
          <cell r="F10">
            <v>4669493.0199999996</v>
          </cell>
          <cell r="G10">
            <v>2858030.04</v>
          </cell>
          <cell r="H10">
            <v>2001</v>
          </cell>
          <cell r="I10" t="str">
            <v>短期借款</v>
          </cell>
        </row>
        <row r="11">
          <cell r="C11">
            <v>1021</v>
          </cell>
          <cell r="D11" t="str">
            <v>结算备付金</v>
          </cell>
          <cell r="H11">
            <v>2004</v>
          </cell>
          <cell r="I11" t="str">
            <v>向中央银行借款</v>
          </cell>
        </row>
        <row r="12">
          <cell r="C12">
            <v>1302</v>
          </cell>
          <cell r="D12" t="str">
            <v>拆出资金</v>
          </cell>
          <cell r="H12">
            <v>2010</v>
          </cell>
          <cell r="I12" t="str">
            <v>吸收存款及同业存放</v>
          </cell>
        </row>
        <row r="13">
          <cell r="D13" t="str">
            <v/>
          </cell>
          <cell r="H13">
            <v>2003</v>
          </cell>
          <cell r="I13" t="str">
            <v>拆入资金</v>
          </cell>
        </row>
        <row r="14">
          <cell r="C14">
            <v>1101</v>
          </cell>
          <cell r="D14" t="str">
            <v>以公允价值计量且其变动计入当期损益的金融资产</v>
          </cell>
          <cell r="H14">
            <v>2101</v>
          </cell>
          <cell r="I14" t="str">
            <v>以公允价值计量且其变动计入当期损益的金融负债</v>
          </cell>
        </row>
        <row r="15">
          <cell r="C15">
            <v>1115</v>
          </cell>
          <cell r="D15" t="str">
            <v>衍生金融资产</v>
          </cell>
          <cell r="H15">
            <v>2115</v>
          </cell>
          <cell r="I15" t="str">
            <v>衍生金融负债</v>
          </cell>
        </row>
        <row r="16">
          <cell r="C16">
            <v>1121</v>
          </cell>
          <cell r="D16" t="str">
            <v>应收票据</v>
          </cell>
          <cell r="H16">
            <v>2201</v>
          </cell>
          <cell r="I16" t="str">
            <v>应付票据</v>
          </cell>
        </row>
        <row r="17">
          <cell r="C17">
            <v>1122</v>
          </cell>
          <cell r="D17" t="str">
            <v>应收账款</v>
          </cell>
          <cell r="F17">
            <v>1297227.33</v>
          </cell>
          <cell r="G17">
            <v>4025750.83</v>
          </cell>
          <cell r="H17">
            <v>2202</v>
          </cell>
          <cell r="I17" t="str">
            <v>应付账款</v>
          </cell>
          <cell r="K17">
            <v>4113641</v>
          </cell>
          <cell r="L17">
            <v>5279801.18</v>
          </cell>
        </row>
        <row r="18">
          <cell r="C18">
            <v>1125</v>
          </cell>
          <cell r="D18" t="str">
            <v>预付款项</v>
          </cell>
          <cell r="F18">
            <v>2502731.27</v>
          </cell>
          <cell r="G18">
            <v>918790.85</v>
          </cell>
          <cell r="H18">
            <v>2205</v>
          </cell>
          <cell r="I18" t="str">
            <v>预收款项</v>
          </cell>
          <cell r="K18">
            <v>3162105.2</v>
          </cell>
          <cell r="L18">
            <v>1545749.53</v>
          </cell>
        </row>
        <row r="19">
          <cell r="C19">
            <v>1127</v>
          </cell>
          <cell r="D19" t="str">
            <v>应收保费</v>
          </cell>
          <cell r="H19">
            <v>2111</v>
          </cell>
          <cell r="I19" t="str">
            <v>卖出回购金融资产款</v>
          </cell>
        </row>
        <row r="20">
          <cell r="C20">
            <v>1211</v>
          </cell>
          <cell r="D20" t="str">
            <v>应收分保账款</v>
          </cell>
          <cell r="H20">
            <v>2240</v>
          </cell>
          <cell r="I20" t="str">
            <v>应付手续费及佣金</v>
          </cell>
        </row>
        <row r="21">
          <cell r="C21">
            <v>1212</v>
          </cell>
          <cell r="D21" t="str">
            <v>应收分保合同准备金</v>
          </cell>
          <cell r="I21" t="str">
            <v/>
          </cell>
        </row>
        <row r="22">
          <cell r="C22">
            <v>1132</v>
          </cell>
          <cell r="D22" t="str">
            <v>应收利息</v>
          </cell>
          <cell r="H22">
            <v>2211</v>
          </cell>
          <cell r="I22" t="str">
            <v>应付职工薪酬</v>
          </cell>
        </row>
        <row r="23">
          <cell r="C23">
            <v>1131</v>
          </cell>
          <cell r="D23" t="str">
            <v>应收股利</v>
          </cell>
          <cell r="H23">
            <v>2221</v>
          </cell>
          <cell r="I23" t="str">
            <v>应交税费</v>
          </cell>
          <cell r="K23">
            <v>80895.48</v>
          </cell>
          <cell r="L23">
            <v>235538.1</v>
          </cell>
        </row>
        <row r="24">
          <cell r="C24">
            <v>1221</v>
          </cell>
          <cell r="D24" t="str">
            <v>其他应收款</v>
          </cell>
          <cell r="F24">
            <v>197917500</v>
          </cell>
          <cell r="H24">
            <v>2231</v>
          </cell>
          <cell r="I24" t="str">
            <v>应付利息</v>
          </cell>
        </row>
        <row r="25">
          <cell r="C25">
            <v>1111</v>
          </cell>
          <cell r="D25" t="str">
            <v>买入返售金融资产</v>
          </cell>
          <cell r="I25" t="str">
            <v/>
          </cell>
        </row>
        <row r="26">
          <cell r="C26">
            <v>1400</v>
          </cell>
          <cell r="D26" t="str">
            <v>存货</v>
          </cell>
          <cell r="H26">
            <v>2232</v>
          </cell>
          <cell r="I26" t="str">
            <v>应付股利</v>
          </cell>
        </row>
        <row r="27">
          <cell r="D27" t="str">
            <v/>
          </cell>
          <cell r="H27">
            <v>2241</v>
          </cell>
          <cell r="I27" t="str">
            <v>其他应付款</v>
          </cell>
        </row>
        <row r="28">
          <cell r="D28" t="str">
            <v/>
          </cell>
          <cell r="H28">
            <v>2261</v>
          </cell>
          <cell r="I28" t="str">
            <v>应付分保账款</v>
          </cell>
        </row>
        <row r="29">
          <cell r="D29" t="str">
            <v/>
          </cell>
          <cell r="H29">
            <v>2310</v>
          </cell>
          <cell r="I29" t="str">
            <v>保险合同准备金</v>
          </cell>
        </row>
        <row r="30">
          <cell r="D30" t="str">
            <v/>
          </cell>
          <cell r="H30">
            <v>2311</v>
          </cell>
          <cell r="I30" t="str">
            <v>代理买卖证券款</v>
          </cell>
        </row>
        <row r="31">
          <cell r="D31" t="str">
            <v/>
          </cell>
          <cell r="H31">
            <v>2312</v>
          </cell>
          <cell r="I31" t="str">
            <v>代理承销证券款</v>
          </cell>
        </row>
        <row r="32">
          <cell r="C32">
            <v>1315</v>
          </cell>
          <cell r="D32" t="str">
            <v>划分为持有待售的资产</v>
          </cell>
          <cell r="H32">
            <v>2315</v>
          </cell>
          <cell r="I32" t="str">
            <v>划分为持有待售的负债</v>
          </cell>
        </row>
        <row r="33">
          <cell r="C33">
            <v>1495</v>
          </cell>
          <cell r="D33" t="str">
            <v>一年内到期的非流动资产</v>
          </cell>
          <cell r="H33">
            <v>2395</v>
          </cell>
          <cell r="I33" t="str">
            <v>一年内到期的非流动负债</v>
          </cell>
        </row>
        <row r="34">
          <cell r="C34">
            <v>1496</v>
          </cell>
          <cell r="D34" t="str">
            <v>其他流动资产</v>
          </cell>
          <cell r="H34">
            <v>2396</v>
          </cell>
          <cell r="I34" t="str">
            <v>其他流动负债</v>
          </cell>
        </row>
        <row r="35">
          <cell r="C35">
            <v>1498</v>
          </cell>
          <cell r="D35" t="str">
            <v>流动资产合计</v>
          </cell>
          <cell r="F35">
            <v>206386951.62</v>
          </cell>
          <cell r="G35">
            <v>7802571.7199999997</v>
          </cell>
          <cell r="H35">
            <v>2498</v>
          </cell>
          <cell r="I35" t="str">
            <v>流动负债合计</v>
          </cell>
          <cell r="K35">
            <v>7356641.6799999997</v>
          </cell>
          <cell r="L35">
            <v>7061088.8099999996</v>
          </cell>
        </row>
        <row r="36">
          <cell r="C36">
            <v>1500</v>
          </cell>
          <cell r="D36" t="str">
            <v>非流动资产：</v>
          </cell>
          <cell r="H36">
            <v>2500</v>
          </cell>
          <cell r="I36" t="str">
            <v>非流动负债：</v>
          </cell>
        </row>
        <row r="37">
          <cell r="C37">
            <v>1600</v>
          </cell>
          <cell r="D37" t="str">
            <v>发放委托贷款及垫款</v>
          </cell>
          <cell r="I37" t="str">
            <v/>
          </cell>
        </row>
        <row r="38">
          <cell r="C38">
            <v>1503</v>
          </cell>
          <cell r="D38" t="str">
            <v>可供出售金融资产</v>
          </cell>
          <cell r="H38">
            <v>2501</v>
          </cell>
          <cell r="I38" t="str">
            <v>长期借款</v>
          </cell>
        </row>
        <row r="39">
          <cell r="C39">
            <v>1501</v>
          </cell>
          <cell r="D39" t="str">
            <v>持有至到期投资</v>
          </cell>
          <cell r="I39" t="str">
            <v/>
          </cell>
        </row>
        <row r="40">
          <cell r="C40">
            <v>1531</v>
          </cell>
          <cell r="D40" t="str">
            <v>长期应收款</v>
          </cell>
          <cell r="H40">
            <v>2502</v>
          </cell>
          <cell r="I40" t="str">
            <v>应付债券</v>
          </cell>
        </row>
        <row r="41">
          <cell r="C41">
            <v>1515</v>
          </cell>
          <cell r="D41" t="str">
            <v>设定受益计划净资产</v>
          </cell>
          <cell r="H41">
            <v>2502.11</v>
          </cell>
          <cell r="I41" t="str">
            <v>其中：优先股</v>
          </cell>
        </row>
        <row r="42">
          <cell r="D42" t="str">
            <v/>
          </cell>
          <cell r="H42">
            <v>2502.31</v>
          </cell>
          <cell r="I42" t="str">
            <v xml:space="preserve">      永续债</v>
          </cell>
        </row>
        <row r="43">
          <cell r="C43">
            <v>1511</v>
          </cell>
          <cell r="D43" t="str">
            <v>长期股权投资</v>
          </cell>
          <cell r="F43">
            <v>120.2</v>
          </cell>
          <cell r="H43">
            <v>2701</v>
          </cell>
          <cell r="I43" t="str">
            <v>长期应付款</v>
          </cell>
        </row>
        <row r="44">
          <cell r="C44">
            <v>1521</v>
          </cell>
          <cell r="D44" t="str">
            <v>投资性房地产</v>
          </cell>
          <cell r="H44">
            <v>2715</v>
          </cell>
          <cell r="I44" t="str">
            <v>长期应付职工薪酬</v>
          </cell>
        </row>
        <row r="45">
          <cell r="C45">
            <v>1601</v>
          </cell>
          <cell r="D45" t="str">
            <v>固定资产</v>
          </cell>
          <cell r="H45">
            <v>2711</v>
          </cell>
          <cell r="I45" t="str">
            <v>专项应付款</v>
          </cell>
        </row>
        <row r="46">
          <cell r="C46">
            <v>1604</v>
          </cell>
          <cell r="D46" t="str">
            <v>在建工程</v>
          </cell>
          <cell r="H46">
            <v>2801</v>
          </cell>
          <cell r="I46" t="str">
            <v>预计负债</v>
          </cell>
        </row>
        <row r="47">
          <cell r="C47">
            <v>1605</v>
          </cell>
          <cell r="D47" t="str">
            <v>工程物资</v>
          </cell>
          <cell r="H47">
            <v>2401</v>
          </cell>
          <cell r="I47" t="str">
            <v>递延收益</v>
          </cell>
        </row>
        <row r="48">
          <cell r="C48">
            <v>1606</v>
          </cell>
          <cell r="D48" t="str">
            <v>固定资产清理</v>
          </cell>
          <cell r="H48">
            <v>2901</v>
          </cell>
          <cell r="I48" t="str">
            <v>递延所得税负债</v>
          </cell>
        </row>
        <row r="49">
          <cell r="C49">
            <v>1621</v>
          </cell>
          <cell r="D49" t="str">
            <v>生产性生物资产</v>
          </cell>
          <cell r="H49">
            <v>2996</v>
          </cell>
          <cell r="I49" t="str">
            <v>其他非流动负债</v>
          </cell>
        </row>
        <row r="50">
          <cell r="C50">
            <v>1631</v>
          </cell>
          <cell r="D50" t="str">
            <v>油气资产</v>
          </cell>
          <cell r="H50">
            <v>2998</v>
          </cell>
          <cell r="I50" t="str">
            <v>非流动负债合计</v>
          </cell>
          <cell r="K50">
            <v>0</v>
          </cell>
          <cell r="L50">
            <v>0</v>
          </cell>
        </row>
        <row r="51">
          <cell r="C51">
            <v>1701</v>
          </cell>
          <cell r="D51" t="str">
            <v>无形资产</v>
          </cell>
          <cell r="H51">
            <v>2999</v>
          </cell>
          <cell r="I51" t="str">
            <v>负债合计</v>
          </cell>
          <cell r="K51">
            <v>7356641.6799999997</v>
          </cell>
          <cell r="L51">
            <v>7061088.8099999996</v>
          </cell>
        </row>
        <row r="52">
          <cell r="C52">
            <v>1700</v>
          </cell>
          <cell r="D52" t="str">
            <v>开发支出</v>
          </cell>
          <cell r="H52">
            <v>4000</v>
          </cell>
          <cell r="I52" t="str">
            <v>所有者权益(或股东权益)：</v>
          </cell>
        </row>
        <row r="53">
          <cell r="C53">
            <v>1711</v>
          </cell>
          <cell r="D53" t="str">
            <v>商誉</v>
          </cell>
          <cell r="H53">
            <v>4001</v>
          </cell>
          <cell r="I53" t="str">
            <v>实收资本（或股本）</v>
          </cell>
          <cell r="K53">
            <v>197917500</v>
          </cell>
        </row>
        <row r="54">
          <cell r="D54" t="str">
            <v/>
          </cell>
          <cell r="H54">
            <v>4015</v>
          </cell>
          <cell r="I54" t="str">
            <v>其他权益工具</v>
          </cell>
        </row>
        <row r="55">
          <cell r="D55" t="str">
            <v/>
          </cell>
          <cell r="H55">
            <v>4015.11</v>
          </cell>
          <cell r="I55" t="str">
            <v>其中：优先股</v>
          </cell>
        </row>
        <row r="56">
          <cell r="D56" t="str">
            <v/>
          </cell>
          <cell r="H56">
            <v>4015.31</v>
          </cell>
          <cell r="I56" t="str">
            <v xml:space="preserve">      永续债</v>
          </cell>
        </row>
        <row r="57">
          <cell r="C57">
            <v>1801</v>
          </cell>
          <cell r="D57" t="str">
            <v>长期待摊费用</v>
          </cell>
          <cell r="H57">
            <v>4002</v>
          </cell>
          <cell r="I57" t="str">
            <v>资本公积</v>
          </cell>
        </row>
        <row r="58">
          <cell r="C58">
            <v>1811</v>
          </cell>
          <cell r="D58" t="str">
            <v>递延所得税资产</v>
          </cell>
          <cell r="H58">
            <v>4201</v>
          </cell>
          <cell r="I58" t="str">
            <v>减：库存股</v>
          </cell>
        </row>
        <row r="59">
          <cell r="C59">
            <v>1996</v>
          </cell>
          <cell r="D59" t="str">
            <v>其他非流动资产</v>
          </cell>
          <cell r="H59">
            <v>4215</v>
          </cell>
          <cell r="I59" t="str">
            <v>其他综合收益</v>
          </cell>
        </row>
        <row r="60">
          <cell r="D60" t="str">
            <v/>
          </cell>
          <cell r="H60">
            <v>4301</v>
          </cell>
          <cell r="I60" t="str">
            <v>专项储备</v>
          </cell>
        </row>
        <row r="61">
          <cell r="D61" t="str">
            <v/>
          </cell>
          <cell r="H61">
            <v>4101</v>
          </cell>
          <cell r="I61" t="str">
            <v>盈余公积</v>
          </cell>
        </row>
        <row r="62">
          <cell r="D62" t="str">
            <v/>
          </cell>
          <cell r="H62">
            <v>4102</v>
          </cell>
          <cell r="I62" t="str">
            <v>一般风险准备</v>
          </cell>
        </row>
        <row r="63">
          <cell r="D63" t="str">
            <v/>
          </cell>
          <cell r="H63">
            <v>4200</v>
          </cell>
          <cell r="I63" t="str">
            <v>未分配利润</v>
          </cell>
          <cell r="K63">
            <v>1112930.1399999999</v>
          </cell>
          <cell r="L63">
            <v>741482.91</v>
          </cell>
        </row>
        <row r="64">
          <cell r="D64" t="str">
            <v/>
          </cell>
          <cell r="H64">
            <v>4298</v>
          </cell>
          <cell r="I64" t="str">
            <v>归属于母公司所有者权益合计</v>
          </cell>
          <cell r="K64">
            <v>199030430.13999999</v>
          </cell>
          <cell r="L64">
            <v>741482.91</v>
          </cell>
        </row>
        <row r="65">
          <cell r="D65" t="str">
            <v/>
          </cell>
          <cell r="H65">
            <v>4398</v>
          </cell>
          <cell r="I65" t="str">
            <v>少数股东权益</v>
          </cell>
        </row>
        <row r="66">
          <cell r="C66">
            <v>1998</v>
          </cell>
          <cell r="D66" t="str">
            <v>非流动资产合计</v>
          </cell>
          <cell r="F66">
            <v>120.2</v>
          </cell>
          <cell r="G66">
            <v>0</v>
          </cell>
          <cell r="H66">
            <v>4999</v>
          </cell>
          <cell r="I66" t="str">
            <v>所有者权益合计</v>
          </cell>
          <cell r="K66">
            <v>199030430.13999999</v>
          </cell>
          <cell r="L66">
            <v>741482.91</v>
          </cell>
        </row>
        <row r="67">
          <cell r="C67">
            <v>1999</v>
          </cell>
          <cell r="D67" t="str">
            <v>资产总计</v>
          </cell>
          <cell r="F67">
            <v>206387071.81999999</v>
          </cell>
          <cell r="G67">
            <v>7802571.7199999997</v>
          </cell>
          <cell r="H67">
            <v>5000</v>
          </cell>
          <cell r="I67" t="str">
            <v>负债和所有者权益总计</v>
          </cell>
          <cell r="K67">
            <v>206387071.81999999</v>
          </cell>
          <cell r="L67">
            <v>7802571.7199999997</v>
          </cell>
        </row>
        <row r="70">
          <cell r="C70" t="str">
            <v>ItemId3</v>
          </cell>
          <cell r="D70" t="str">
            <v>补充资料：资产减值准备</v>
          </cell>
          <cell r="F70" t="str">
            <v>期末余额</v>
          </cell>
          <cell r="G70" t="str">
            <v>年初余额</v>
          </cell>
        </row>
        <row r="71">
          <cell r="C71">
            <v>1122.1231</v>
          </cell>
          <cell r="D71" t="str">
            <v>应收账款坏账准备</v>
          </cell>
        </row>
        <row r="72">
          <cell r="C72">
            <v>1125.1231</v>
          </cell>
          <cell r="D72" t="str">
            <v>预付款项坏账准备</v>
          </cell>
        </row>
        <row r="73">
          <cell r="C73">
            <v>1221.1231</v>
          </cell>
          <cell r="D73" t="str">
            <v>其他应收款坏账准备</v>
          </cell>
        </row>
        <row r="74">
          <cell r="C74">
            <v>1400.1470999999999</v>
          </cell>
          <cell r="D74" t="str">
            <v>存货跌价准备</v>
          </cell>
        </row>
        <row r="75">
          <cell r="C75">
            <v>1503.1504</v>
          </cell>
          <cell r="D75" t="str">
            <v>可供出售金融资产减值准备</v>
          </cell>
        </row>
        <row r="76">
          <cell r="C76">
            <v>1501.1502</v>
          </cell>
          <cell r="D76" t="str">
            <v>持有至到期投资减值准备</v>
          </cell>
        </row>
        <row r="77">
          <cell r="C77">
            <v>1511.1512</v>
          </cell>
          <cell r="D77" t="str">
            <v>长期股权投资减值准备</v>
          </cell>
        </row>
        <row r="78">
          <cell r="C78">
            <v>1521.1522</v>
          </cell>
          <cell r="D78" t="str">
            <v>投资性房地产减值准备</v>
          </cell>
        </row>
        <row r="79">
          <cell r="C79">
            <v>1601.1603</v>
          </cell>
          <cell r="D79" t="str">
            <v>固定资产减值准备</v>
          </cell>
        </row>
        <row r="80">
          <cell r="C80">
            <v>1605.1608000000001</v>
          </cell>
          <cell r="D80" t="str">
            <v>工程物资减值准备</v>
          </cell>
        </row>
        <row r="81">
          <cell r="C81">
            <v>1604.1606999999999</v>
          </cell>
          <cell r="D81" t="str">
            <v>在建工程减值准备</v>
          </cell>
        </row>
        <row r="82">
          <cell r="C82">
            <v>1621.1623999999999</v>
          </cell>
          <cell r="D82" t="str">
            <v>生产性生物资产减值准备</v>
          </cell>
        </row>
        <row r="83">
          <cell r="C83">
            <v>1631.1632999999999</v>
          </cell>
          <cell r="D83" t="str">
            <v>油气资产减值准备</v>
          </cell>
        </row>
        <row r="84">
          <cell r="C84">
            <v>1701.1703</v>
          </cell>
          <cell r="D84" t="str">
            <v>无形资产减值准备</v>
          </cell>
        </row>
        <row r="85">
          <cell r="C85">
            <v>1711.1712</v>
          </cell>
          <cell r="D85" t="str">
            <v>商誉减值准备</v>
          </cell>
        </row>
        <row r="86">
          <cell r="C86">
            <v>1991.1992</v>
          </cell>
          <cell r="D86" t="str">
            <v>其他</v>
          </cell>
        </row>
        <row r="87">
          <cell r="C87">
            <v>1991</v>
          </cell>
          <cell r="D87" t="str">
            <v>资产减值准备小计</v>
          </cell>
          <cell r="F87">
            <v>0</v>
          </cell>
          <cell r="G87">
            <v>0</v>
          </cell>
        </row>
      </sheetData>
      <sheetData sheetId="4">
        <row r="8">
          <cell r="B8" t="str">
            <v>项目编号</v>
          </cell>
          <cell r="C8" t="str">
            <v>项       目</v>
          </cell>
          <cell r="D8" t="str">
            <v>附注</v>
          </cell>
          <cell r="E8" t="str">
            <v>本期金额</v>
          </cell>
          <cell r="F8" t="str">
            <v>上期金额</v>
          </cell>
        </row>
        <row r="9">
          <cell r="B9">
            <v>6098</v>
          </cell>
          <cell r="C9" t="str">
            <v>一、营业总收入</v>
          </cell>
          <cell r="E9">
            <v>40325836.280000001</v>
          </cell>
          <cell r="F9">
            <v>0</v>
          </cell>
        </row>
        <row r="10">
          <cell r="B10">
            <v>6001</v>
          </cell>
          <cell r="C10" t="str">
            <v>一、营业收入</v>
          </cell>
          <cell r="E10">
            <v>40325836.280000001</v>
          </cell>
        </row>
        <row r="11">
          <cell r="B11">
            <v>6011</v>
          </cell>
          <cell r="C11" t="str">
            <v>利息收入</v>
          </cell>
        </row>
        <row r="12">
          <cell r="B12">
            <v>6030</v>
          </cell>
          <cell r="C12" t="str">
            <v>已赚保费</v>
          </cell>
        </row>
        <row r="13">
          <cell r="B13">
            <v>6021</v>
          </cell>
          <cell r="C13" t="str">
            <v>手续费及佣金收入</v>
          </cell>
        </row>
        <row r="14">
          <cell r="B14">
            <v>6598</v>
          </cell>
          <cell r="C14" t="str">
            <v>二、营业总成本</v>
          </cell>
        </row>
        <row r="15">
          <cell r="B15">
            <v>6401</v>
          </cell>
          <cell r="C15" t="str">
            <v>减：营业成本</v>
          </cell>
          <cell r="E15">
            <v>40063609.289999999</v>
          </cell>
        </row>
        <row r="16">
          <cell r="B16">
            <v>6411</v>
          </cell>
          <cell r="C16" t="str">
            <v>利息支出</v>
          </cell>
        </row>
        <row r="17">
          <cell r="B17">
            <v>6421</v>
          </cell>
          <cell r="C17" t="str">
            <v>手续费及佣金支出</v>
          </cell>
        </row>
        <row r="18">
          <cell r="B18">
            <v>6531</v>
          </cell>
          <cell r="C18" t="str">
            <v>退保金</v>
          </cell>
        </row>
        <row r="19">
          <cell r="B19">
            <v>6510</v>
          </cell>
          <cell r="C19" t="str">
            <v>赔付支出净额</v>
          </cell>
        </row>
        <row r="20">
          <cell r="B20">
            <v>6505</v>
          </cell>
          <cell r="C20" t="str">
            <v>提取保险合同准备金净额</v>
          </cell>
        </row>
        <row r="21">
          <cell r="B21">
            <v>6521</v>
          </cell>
          <cell r="C21" t="str">
            <v>保单红利支出</v>
          </cell>
        </row>
        <row r="22">
          <cell r="B22">
            <v>6542</v>
          </cell>
          <cell r="C22" t="str">
            <v>分保费用</v>
          </cell>
        </row>
        <row r="23">
          <cell r="B23">
            <v>6600</v>
          </cell>
          <cell r="C23" t="str">
            <v>营业税金及附加</v>
          </cell>
        </row>
        <row r="24">
          <cell r="B24">
            <v>6601</v>
          </cell>
          <cell r="C24" t="str">
            <v>销售费用</v>
          </cell>
          <cell r="E24">
            <v>47795.86</v>
          </cell>
        </row>
        <row r="25">
          <cell r="B25">
            <v>6602</v>
          </cell>
          <cell r="C25" t="str">
            <v>管理费用</v>
          </cell>
          <cell r="E25">
            <v>4539.1000000000004</v>
          </cell>
        </row>
        <row r="26">
          <cell r="B26">
            <v>6603</v>
          </cell>
          <cell r="C26" t="str">
            <v>财务费用</v>
          </cell>
          <cell r="E26">
            <v>-63407.49</v>
          </cell>
        </row>
        <row r="27">
          <cell r="B27">
            <v>6671</v>
          </cell>
          <cell r="C27" t="str">
            <v>资产减值损失</v>
          </cell>
          <cell r="E27">
            <v>-104753.53</v>
          </cell>
        </row>
        <row r="28">
          <cell r="B28">
            <v>6101</v>
          </cell>
          <cell r="C28" t="str">
            <v>加：公允价值变动收益（损失以“-”号填列）</v>
          </cell>
        </row>
        <row r="29">
          <cell r="B29">
            <v>6111</v>
          </cell>
          <cell r="C29" t="str">
            <v>投资收益（损失以“-”号填列）</v>
          </cell>
        </row>
        <row r="30">
          <cell r="B30">
            <v>6111.01</v>
          </cell>
          <cell r="C30" t="str">
            <v>其中：对联营企业和合营企业的投资收益</v>
          </cell>
        </row>
        <row r="31">
          <cell r="B31">
            <v>6161</v>
          </cell>
          <cell r="C31" t="str">
            <v>汇兑收益（损失以“-”号填列）</v>
          </cell>
        </row>
        <row r="32">
          <cell r="B32">
            <v>6689</v>
          </cell>
          <cell r="C32" t="str">
            <v>二、营业利润（亏损以“-”号填列）</v>
          </cell>
          <cell r="E32">
            <v>378053.05</v>
          </cell>
          <cell r="F32">
            <v>0</v>
          </cell>
        </row>
        <row r="33">
          <cell r="B33">
            <v>6710</v>
          </cell>
          <cell r="C33" t="str">
            <v>加：营业外收入</v>
          </cell>
        </row>
        <row r="34">
          <cell r="B34">
            <v>6710.11</v>
          </cell>
          <cell r="C34" t="str">
            <v>其中：非流动资产处置利得</v>
          </cell>
        </row>
        <row r="35">
          <cell r="B35">
            <v>6711</v>
          </cell>
          <cell r="C35" t="str">
            <v>减：营业外支出</v>
          </cell>
          <cell r="E35">
            <v>6605.82</v>
          </cell>
        </row>
        <row r="36">
          <cell r="B36">
            <v>6711.01</v>
          </cell>
          <cell r="C36" t="str">
            <v>其中：非流动资产处置损失</v>
          </cell>
        </row>
        <row r="37">
          <cell r="B37">
            <v>6788</v>
          </cell>
          <cell r="C37" t="str">
            <v>三、利润总额（亏损总额以“-”号填列）</v>
          </cell>
          <cell r="E37">
            <v>371447.23</v>
          </cell>
          <cell r="F37">
            <v>0</v>
          </cell>
        </row>
        <row r="38">
          <cell r="B38">
            <v>6791</v>
          </cell>
          <cell r="C38" t="str">
            <v>减：所得税费用</v>
          </cell>
        </row>
        <row r="39">
          <cell r="B39">
            <v>6799</v>
          </cell>
          <cell r="C39" t="str">
            <v>四、净利润（净亏损以“-”号填列）</v>
          </cell>
          <cell r="E39">
            <v>371447.23</v>
          </cell>
          <cell r="F39">
            <v>0</v>
          </cell>
        </row>
        <row r="40">
          <cell r="B40">
            <v>6805</v>
          </cell>
          <cell r="C40" t="str">
            <v>其中：同一控制下企业合并的被合并方在合并前实现的净利润</v>
          </cell>
        </row>
        <row r="41">
          <cell r="B41">
            <v>6811</v>
          </cell>
          <cell r="C41" t="str">
            <v>归属于母公司股东的净利润</v>
          </cell>
          <cell r="E41">
            <v>371447.23</v>
          </cell>
          <cell r="F41">
            <v>0</v>
          </cell>
        </row>
        <row r="42">
          <cell r="B42">
            <v>6812</v>
          </cell>
          <cell r="C42" t="str">
            <v>少数股东损益</v>
          </cell>
        </row>
        <row r="43">
          <cell r="B43">
            <v>6829</v>
          </cell>
          <cell r="C43" t="str">
            <v>五、其他综合收益的税后净额</v>
          </cell>
          <cell r="E43">
            <v>0</v>
          </cell>
          <cell r="F43">
            <v>0</v>
          </cell>
        </row>
        <row r="44">
          <cell r="B44">
            <v>6829.2</v>
          </cell>
          <cell r="C44" t="str">
            <v>归属于母公司股东的其他综合收益的税后净额</v>
          </cell>
          <cell r="E44">
            <v>0</v>
          </cell>
          <cell r="F44">
            <v>0</v>
          </cell>
        </row>
        <row r="45">
          <cell r="B45">
            <v>6829.21</v>
          </cell>
          <cell r="C45" t="str">
            <v>（一）以后不能重分类进损益的其他综合收益</v>
          </cell>
          <cell r="E45">
            <v>0</v>
          </cell>
          <cell r="F45">
            <v>0</v>
          </cell>
        </row>
        <row r="46">
          <cell r="B46">
            <v>6829.2110000000002</v>
          </cell>
          <cell r="C46" t="str">
            <v>1、重新计量设定受益计划净负债或净资产的变动</v>
          </cell>
        </row>
        <row r="47">
          <cell r="B47">
            <v>6829.2120000000004</v>
          </cell>
          <cell r="C47" t="str">
            <v>2、权益法下在被投资单位不能重分类进损益的其他综合收益中享有的份额</v>
          </cell>
        </row>
        <row r="48">
          <cell r="B48">
            <v>6829.2190000000001</v>
          </cell>
          <cell r="C48" t="str">
            <v>3、其他</v>
          </cell>
        </row>
        <row r="49">
          <cell r="B49">
            <v>6829.23</v>
          </cell>
          <cell r="C49" t="str">
            <v>（二）以后将重分类进损益的其他综合收益</v>
          </cell>
          <cell r="E49">
            <v>0</v>
          </cell>
          <cell r="F49">
            <v>0</v>
          </cell>
        </row>
        <row r="50">
          <cell r="B50">
            <v>6829.2309999999998</v>
          </cell>
          <cell r="C50" t="str">
            <v>1、权益法下在被投资单位以后将重分类进损益的其他综合收益中享有的份额</v>
          </cell>
        </row>
        <row r="51">
          <cell r="B51">
            <v>6829.232</v>
          </cell>
          <cell r="C51" t="str">
            <v>2、可供出售金融资产公允价值变动损益</v>
          </cell>
        </row>
        <row r="52">
          <cell r="B52">
            <v>6829.2330000000002</v>
          </cell>
          <cell r="C52" t="str">
            <v>3、持有至到期投资重分类为可供出售金融资产损益</v>
          </cell>
        </row>
        <row r="53">
          <cell r="B53">
            <v>6829.2340000000004</v>
          </cell>
          <cell r="C53" t="str">
            <v>4、现金流量套期损益的有效部分</v>
          </cell>
        </row>
        <row r="54">
          <cell r="B54">
            <v>6829.2349999999997</v>
          </cell>
          <cell r="C54" t="str">
            <v>5、外币财务报表折算差额</v>
          </cell>
        </row>
        <row r="55">
          <cell r="B55">
            <v>6829.2359999999999</v>
          </cell>
          <cell r="C55" t="str">
            <v>6、自用房地产或作为存货的房地产转换为以公允价值计量的投资性房地产在转换日公允价值大于账面价值部分</v>
          </cell>
        </row>
        <row r="56">
          <cell r="B56">
            <v>6829.2370000000001</v>
          </cell>
          <cell r="C56" t="str">
            <v>7、多次交易分步处置子公司股权构成一揽子交易的，丧失控制权之前各次交易处置价款与对应净资产账面价值份额的差额</v>
          </cell>
        </row>
        <row r="57">
          <cell r="B57">
            <v>6829.2389999999996</v>
          </cell>
          <cell r="C57" t="str">
            <v>8、其他</v>
          </cell>
        </row>
        <row r="58">
          <cell r="B58">
            <v>6829.5</v>
          </cell>
          <cell r="C58" t="str">
            <v>归属于少数股东的其他综合收益的税后净额</v>
          </cell>
        </row>
        <row r="59">
          <cell r="B59">
            <v>6839</v>
          </cell>
          <cell r="C59" t="str">
            <v>六、综合收益总额</v>
          </cell>
          <cell r="E59">
            <v>371447.23</v>
          </cell>
          <cell r="F59">
            <v>0</v>
          </cell>
        </row>
        <row r="60">
          <cell r="B60">
            <v>6841</v>
          </cell>
          <cell r="C60" t="str">
            <v>归属于母公司股东的综合收益总额</v>
          </cell>
          <cell r="E60">
            <v>371447.23</v>
          </cell>
          <cell r="F60">
            <v>0</v>
          </cell>
        </row>
        <row r="61">
          <cell r="B61">
            <v>6842</v>
          </cell>
          <cell r="C61" t="str">
            <v>归属于少数股东的综合收益总额</v>
          </cell>
          <cell r="E61">
            <v>0</v>
          </cell>
          <cell r="F61">
            <v>0</v>
          </cell>
        </row>
        <row r="62">
          <cell r="B62">
            <v>6820</v>
          </cell>
          <cell r="C62" t="str">
            <v>七、每股收益：</v>
          </cell>
        </row>
        <row r="63">
          <cell r="B63">
            <v>6821</v>
          </cell>
          <cell r="C63" t="str">
            <v>（一）基本每股收益</v>
          </cell>
        </row>
        <row r="64">
          <cell r="B64">
            <v>6822</v>
          </cell>
          <cell r="C64" t="str">
            <v>（二）稀释每股收益</v>
          </cell>
        </row>
      </sheetData>
      <sheetData sheetId="5"/>
      <sheetData sheetId="6"/>
      <sheetData sheetId="7">
        <row r="30">
          <cell r="C30">
            <v>10582608.09</v>
          </cell>
        </row>
      </sheetData>
      <sheetData sheetId="8"/>
      <sheetData sheetId="9"/>
      <sheetData sheetId="10">
        <row r="8">
          <cell r="B8" t="str">
            <v>项目编号</v>
          </cell>
          <cell r="C8" t="str">
            <v>项       目</v>
          </cell>
          <cell r="D8" t="str">
            <v>附注</v>
          </cell>
          <cell r="E8" t="str">
            <v>本期金额</v>
          </cell>
          <cell r="F8" t="str">
            <v>上期金额</v>
          </cell>
        </row>
        <row r="9">
          <cell r="B9">
            <v>7000</v>
          </cell>
          <cell r="C9" t="str">
            <v>一、经营活动产生的现金流量：</v>
          </cell>
        </row>
        <row r="10">
          <cell r="B10">
            <v>7001</v>
          </cell>
          <cell r="C10" t="str">
            <v>销售商品、提供劳务收到的现金</v>
          </cell>
          <cell r="E10">
            <v>46033914.159999996</v>
          </cell>
        </row>
        <row r="11">
          <cell r="B11">
            <v>7011</v>
          </cell>
          <cell r="C11" t="str">
            <v>客户存款和同业存放款项净增加额</v>
          </cell>
        </row>
        <row r="12">
          <cell r="B12">
            <v>7012</v>
          </cell>
          <cell r="C12" t="str">
            <v>向中央银行借款净增加额</v>
          </cell>
        </row>
        <row r="13">
          <cell r="B13">
            <v>7013</v>
          </cell>
          <cell r="C13" t="str">
            <v>向其他金融机构拆入资金净增加额</v>
          </cell>
        </row>
        <row r="14">
          <cell r="B14">
            <v>7014</v>
          </cell>
          <cell r="C14" t="str">
            <v>收到原保险合同保费取得的现金</v>
          </cell>
        </row>
        <row r="15">
          <cell r="B15">
            <v>7015</v>
          </cell>
          <cell r="C15" t="str">
            <v>收到再保险业务现金净额</v>
          </cell>
        </row>
        <row r="16">
          <cell r="B16">
            <v>7016</v>
          </cell>
          <cell r="C16" t="str">
            <v>保户储金及投资款净增加额</v>
          </cell>
        </row>
        <row r="17">
          <cell r="B17">
            <v>7021</v>
          </cell>
          <cell r="C17" t="str">
            <v>处置交易性金融资产净增加额</v>
          </cell>
        </row>
        <row r="18">
          <cell r="B18">
            <v>7023</v>
          </cell>
          <cell r="C18" t="str">
            <v>收取利息、手续费及佣金的现金</v>
          </cell>
        </row>
        <row r="19">
          <cell r="B19">
            <v>7025</v>
          </cell>
          <cell r="C19" t="str">
            <v>拆入资金净增加额</v>
          </cell>
        </row>
        <row r="20">
          <cell r="B20">
            <v>7026</v>
          </cell>
          <cell r="C20" t="str">
            <v>回购业务资金净增加额</v>
          </cell>
        </row>
        <row r="21">
          <cell r="B21">
            <v>7031</v>
          </cell>
          <cell r="C21" t="str">
            <v>收到的税费返还</v>
          </cell>
        </row>
        <row r="22">
          <cell r="B22">
            <v>7046</v>
          </cell>
          <cell r="C22" t="str">
            <v>收到其他与经营活动有关的现金</v>
          </cell>
          <cell r="E22">
            <v>3522.22</v>
          </cell>
        </row>
        <row r="23">
          <cell r="B23">
            <v>7048</v>
          </cell>
          <cell r="C23" t="str">
            <v>经营活动现金流入小计</v>
          </cell>
          <cell r="E23">
            <v>46037436.380000003</v>
          </cell>
          <cell r="F23">
            <v>0</v>
          </cell>
        </row>
        <row r="24">
          <cell r="B24">
            <v>7051</v>
          </cell>
          <cell r="C24" t="str">
            <v>购买商品、接受劳务支付的现金</v>
          </cell>
          <cell r="E24">
            <v>45538783.979999997</v>
          </cell>
        </row>
        <row r="25">
          <cell r="B25">
            <v>7053</v>
          </cell>
          <cell r="C25" t="str">
            <v>客户贷款及垫款净增加额</v>
          </cell>
        </row>
        <row r="26">
          <cell r="B26">
            <v>7054</v>
          </cell>
          <cell r="C26" t="str">
            <v>存放中央银行和同业款项净增加额</v>
          </cell>
        </row>
        <row r="27">
          <cell r="B27">
            <v>7055</v>
          </cell>
          <cell r="C27" t="str">
            <v>支付原保险合同赔付款项的现金</v>
          </cell>
        </row>
        <row r="28">
          <cell r="B28">
            <v>7056</v>
          </cell>
          <cell r="C28" t="str">
            <v>支付利息、手续费及佣金的现金</v>
          </cell>
        </row>
        <row r="29">
          <cell r="B29">
            <v>7057</v>
          </cell>
          <cell r="C29" t="str">
            <v>支付保单红利的现金</v>
          </cell>
        </row>
        <row r="30">
          <cell r="B30">
            <v>7061</v>
          </cell>
          <cell r="C30" t="str">
            <v>支付给职工以及为职工支付的现金</v>
          </cell>
        </row>
        <row r="31">
          <cell r="B31">
            <v>7071</v>
          </cell>
          <cell r="C31" t="str">
            <v>支付的各项税费</v>
          </cell>
          <cell r="E31">
            <v>161248.44</v>
          </cell>
        </row>
        <row r="32">
          <cell r="B32">
            <v>7096</v>
          </cell>
          <cell r="C32" t="str">
            <v>支付其他与经营活动有关的现金</v>
          </cell>
          <cell r="E32">
            <v>196708317.97999999</v>
          </cell>
        </row>
        <row r="33">
          <cell r="B33">
            <v>7098</v>
          </cell>
          <cell r="C33" t="str">
            <v>经营活动现金流出小计</v>
          </cell>
          <cell r="E33">
            <v>242408350.40000001</v>
          </cell>
          <cell r="F33">
            <v>0</v>
          </cell>
        </row>
        <row r="34">
          <cell r="B34">
            <v>7099</v>
          </cell>
          <cell r="C34" t="str">
            <v>经营活动产生的现金流量净额</v>
          </cell>
          <cell r="E34">
            <v>-196370914.02000001</v>
          </cell>
          <cell r="F34">
            <v>0</v>
          </cell>
        </row>
        <row r="35">
          <cell r="B35">
            <v>7100</v>
          </cell>
          <cell r="C35" t="str">
            <v>二、投资活动产生的现金流量：</v>
          </cell>
        </row>
        <row r="36">
          <cell r="B36">
            <v>7101</v>
          </cell>
          <cell r="C36" t="str">
            <v>收回投资收到的现金</v>
          </cell>
        </row>
        <row r="37">
          <cell r="B37">
            <v>7105</v>
          </cell>
          <cell r="C37" t="str">
            <v>取得投资收益收到的现金</v>
          </cell>
        </row>
        <row r="38">
          <cell r="B38">
            <v>7111</v>
          </cell>
          <cell r="C38" t="str">
            <v>处置固定资产、无形资产和其他长期资产收回的现金净额</v>
          </cell>
        </row>
        <row r="39">
          <cell r="B39">
            <v>7121</v>
          </cell>
          <cell r="C39" t="str">
            <v>处置子公司及其他营业单位收到的现金净额</v>
          </cell>
        </row>
        <row r="40">
          <cell r="B40">
            <v>7146</v>
          </cell>
          <cell r="C40" t="str">
            <v>收到其他与投资活动有关的现金</v>
          </cell>
        </row>
        <row r="41">
          <cell r="B41">
            <v>7148</v>
          </cell>
          <cell r="C41" t="str">
            <v>投资活动现金流入小计</v>
          </cell>
          <cell r="E41">
            <v>0</v>
          </cell>
          <cell r="F41">
            <v>0</v>
          </cell>
        </row>
        <row r="42">
          <cell r="B42">
            <v>7151</v>
          </cell>
          <cell r="C42" t="str">
            <v>购置固定资产、无形资产和其他长期资产支付的现金</v>
          </cell>
        </row>
        <row r="43">
          <cell r="B43">
            <v>7161</v>
          </cell>
          <cell r="C43" t="str">
            <v>投资支付的现金</v>
          </cell>
        </row>
        <row r="44">
          <cell r="B44">
            <v>7165</v>
          </cell>
          <cell r="C44" t="str">
            <v>质押贷款净增加额</v>
          </cell>
        </row>
        <row r="45">
          <cell r="B45">
            <v>7171</v>
          </cell>
          <cell r="C45" t="str">
            <v>取得子公司及其他营业单位支付的现金净额</v>
          </cell>
          <cell r="E45">
            <v>120.2</v>
          </cell>
        </row>
        <row r="46">
          <cell r="B46">
            <v>7196</v>
          </cell>
          <cell r="C46" t="str">
            <v>支付其他与投资活动有关的现金</v>
          </cell>
        </row>
        <row r="47">
          <cell r="B47">
            <v>7198</v>
          </cell>
          <cell r="C47" t="str">
            <v>投资活动现金流出小计</v>
          </cell>
          <cell r="E47">
            <v>120.2</v>
          </cell>
          <cell r="F47">
            <v>0</v>
          </cell>
        </row>
        <row r="48">
          <cell r="B48">
            <v>7199</v>
          </cell>
          <cell r="C48" t="str">
            <v>投资活动产生的现金流量净额</v>
          </cell>
          <cell r="E48">
            <v>-120.2</v>
          </cell>
          <cell r="F48">
            <v>0</v>
          </cell>
        </row>
        <row r="49">
          <cell r="B49">
            <v>7200</v>
          </cell>
          <cell r="C49" t="str">
            <v>三、筹资活动产生的现金流量：</v>
          </cell>
        </row>
        <row r="50">
          <cell r="B50">
            <v>7201</v>
          </cell>
          <cell r="C50" t="str">
            <v>吸收投资收到的现金</v>
          </cell>
          <cell r="E50">
            <v>197917500</v>
          </cell>
        </row>
        <row r="51">
          <cell r="B51">
            <v>7201.01</v>
          </cell>
          <cell r="C51" t="str">
            <v>其中：子公司吸收少数股东权益性投资收到的现金</v>
          </cell>
        </row>
        <row r="52">
          <cell r="B52">
            <v>7211</v>
          </cell>
          <cell r="C52" t="str">
            <v>取得借款收到的现金</v>
          </cell>
        </row>
        <row r="53">
          <cell r="B53">
            <v>7221</v>
          </cell>
          <cell r="C53" t="str">
            <v>发行债券收到的现金</v>
          </cell>
        </row>
        <row r="54">
          <cell r="B54">
            <v>7246</v>
          </cell>
          <cell r="C54" t="str">
            <v>收到其他与筹资活动有关的现金</v>
          </cell>
        </row>
        <row r="55">
          <cell r="B55">
            <v>7248</v>
          </cell>
          <cell r="C55" t="str">
            <v>筹资活动现金流入小计</v>
          </cell>
          <cell r="E55">
            <v>197917500</v>
          </cell>
          <cell r="F55">
            <v>0</v>
          </cell>
        </row>
        <row r="56">
          <cell r="B56">
            <v>7251</v>
          </cell>
          <cell r="C56" t="str">
            <v>偿还债务支付的现金</v>
          </cell>
        </row>
        <row r="57">
          <cell r="B57">
            <v>7261</v>
          </cell>
          <cell r="C57" t="str">
            <v>分配股利、利润或偿付利息支付的现金</v>
          </cell>
        </row>
        <row r="58">
          <cell r="B58">
            <v>7261.01</v>
          </cell>
          <cell r="C58" t="str">
            <v>其中：子公司支付少数股东的现金股利</v>
          </cell>
        </row>
        <row r="59">
          <cell r="B59">
            <v>7296</v>
          </cell>
          <cell r="C59" t="str">
            <v>支付其他与筹资活动有关的现金</v>
          </cell>
        </row>
        <row r="60">
          <cell r="B60">
            <v>7296.11</v>
          </cell>
          <cell r="C60" t="str">
            <v>其中：子公司减资支付给少数股东的现金</v>
          </cell>
        </row>
        <row r="61">
          <cell r="B61">
            <v>7298</v>
          </cell>
          <cell r="C61" t="str">
            <v>筹资活动现金流出小计</v>
          </cell>
          <cell r="E61">
            <v>0</v>
          </cell>
          <cell r="F61">
            <v>0</v>
          </cell>
        </row>
        <row r="62">
          <cell r="B62">
            <v>7299</v>
          </cell>
          <cell r="C62" t="str">
            <v>筹资活动产生的现金流量净额</v>
          </cell>
          <cell r="E62">
            <v>197917500</v>
          </cell>
          <cell r="F62">
            <v>0</v>
          </cell>
        </row>
        <row r="63">
          <cell r="B63">
            <v>7309</v>
          </cell>
          <cell r="C63" t="str">
            <v>四、汇率变动对现金及现金等价物的影响</v>
          </cell>
          <cell r="E63">
            <v>264997.2</v>
          </cell>
        </row>
        <row r="64">
          <cell r="B64">
            <v>7348</v>
          </cell>
          <cell r="C64" t="str">
            <v>五、现金及现金等价物净增加额</v>
          </cell>
          <cell r="E64">
            <v>1811462.98</v>
          </cell>
          <cell r="F64">
            <v>0</v>
          </cell>
        </row>
        <row r="65">
          <cell r="B65">
            <v>7349</v>
          </cell>
          <cell r="C65" t="str">
            <v>加：期初现金及现金等价物余额</v>
          </cell>
          <cell r="E65">
            <v>2858030.04</v>
          </cell>
        </row>
        <row r="66">
          <cell r="B66">
            <v>7399</v>
          </cell>
          <cell r="C66" t="str">
            <v>六、期末现金及现金等价物余额</v>
          </cell>
          <cell r="E66">
            <v>4669493.0199999996</v>
          </cell>
        </row>
        <row r="70">
          <cell r="C70" t="str">
            <v>补充资料</v>
          </cell>
          <cell r="E70" t="str">
            <v>本年金额</v>
          </cell>
          <cell r="F70" t="str">
            <v>上年金额</v>
          </cell>
        </row>
        <row r="71">
          <cell r="B71">
            <v>7501</v>
          </cell>
          <cell r="C71" t="str">
            <v>1.将净利润调节为经营活动现金流量：</v>
          </cell>
        </row>
        <row r="72">
          <cell r="B72">
            <v>7502</v>
          </cell>
          <cell r="C72" t="str">
            <v>净利润</v>
          </cell>
          <cell r="E72">
            <v>371447.23</v>
          </cell>
          <cell r="F72">
            <v>0</v>
          </cell>
        </row>
        <row r="73">
          <cell r="B73">
            <v>7503</v>
          </cell>
          <cell r="C73" t="str">
            <v>加：资产减值准备</v>
          </cell>
        </row>
        <row r="74">
          <cell r="B74">
            <v>7505</v>
          </cell>
          <cell r="C74" t="str">
            <v>固定资产折旧、油气资产折耗、生产性生物资产折旧</v>
          </cell>
        </row>
        <row r="75">
          <cell r="B75">
            <v>7506</v>
          </cell>
          <cell r="C75" t="str">
            <v>无形资产摊销</v>
          </cell>
        </row>
        <row r="76">
          <cell r="B76">
            <v>7507</v>
          </cell>
          <cell r="C76" t="str">
            <v>长期待摊费用摊销</v>
          </cell>
        </row>
        <row r="77">
          <cell r="B77">
            <v>7508</v>
          </cell>
          <cell r="C77" t="str">
            <v>处置固定资产、无形资产和其他长期资产的损失（收益以“－”号填列）</v>
          </cell>
        </row>
        <row r="78">
          <cell r="B78">
            <v>7509</v>
          </cell>
          <cell r="C78" t="str">
            <v>固定资产报废损失（收益以“－”号填列）</v>
          </cell>
          <cell r="F78">
            <v>0</v>
          </cell>
        </row>
        <row r="79">
          <cell r="B79">
            <v>7510</v>
          </cell>
          <cell r="C79" t="str">
            <v>公允价值变动损失（收益以“－”号填列）</v>
          </cell>
        </row>
        <row r="80">
          <cell r="B80">
            <v>7511</v>
          </cell>
          <cell r="C80" t="str">
            <v>财务费用（收益以“－”号填列）</v>
          </cell>
        </row>
        <row r="81">
          <cell r="B81">
            <v>7512</v>
          </cell>
          <cell r="C81" t="str">
            <v>投资损失（收益以“－”号填列）</v>
          </cell>
        </row>
        <row r="82">
          <cell r="B82">
            <v>7515</v>
          </cell>
          <cell r="C82" t="str">
            <v>递延所得税资产减少（增加以“－”号填列）</v>
          </cell>
        </row>
        <row r="83">
          <cell r="B83">
            <v>7516</v>
          </cell>
          <cell r="C83" t="str">
            <v>递延所得税负债增加（减少以“－”号填列）</v>
          </cell>
          <cell r="F83">
            <v>0</v>
          </cell>
        </row>
        <row r="84">
          <cell r="B84">
            <v>7517</v>
          </cell>
          <cell r="C84" t="str">
            <v>存货的减少（增加以“－”号填列）</v>
          </cell>
        </row>
        <row r="85">
          <cell r="B85">
            <v>7518</v>
          </cell>
          <cell r="C85" t="str">
            <v>经营性应收项目的减少（增加以“－”号填列）</v>
          </cell>
        </row>
        <row r="86">
          <cell r="B86">
            <v>7519</v>
          </cell>
          <cell r="C86" t="str">
            <v>经营性应付项目的增加（减少以“－”号填列）</v>
          </cell>
        </row>
        <row r="87">
          <cell r="B87">
            <v>7523</v>
          </cell>
          <cell r="C87" t="str">
            <v>其他</v>
          </cell>
        </row>
        <row r="88">
          <cell r="B88">
            <v>7525</v>
          </cell>
          <cell r="C88" t="str">
            <v>经营活动产生的现金流量净额</v>
          </cell>
          <cell r="E88">
            <v>371447.23</v>
          </cell>
          <cell r="F88">
            <v>0</v>
          </cell>
        </row>
        <row r="89">
          <cell r="B89">
            <v>7526</v>
          </cell>
          <cell r="C89" t="str">
            <v>2.不涉及现金收支的重大投资和筹资活动：</v>
          </cell>
        </row>
        <row r="90">
          <cell r="B90">
            <v>7527</v>
          </cell>
          <cell r="C90" t="str">
            <v>债务转为资本</v>
          </cell>
        </row>
        <row r="91">
          <cell r="B91">
            <v>7528</v>
          </cell>
          <cell r="C91" t="str">
            <v>一年内到期的可转换公司债券</v>
          </cell>
        </row>
        <row r="92">
          <cell r="B92">
            <v>7529</v>
          </cell>
          <cell r="C92" t="str">
            <v>融资租入固定资产</v>
          </cell>
        </row>
        <row r="93">
          <cell r="B93">
            <v>7533</v>
          </cell>
          <cell r="C93" t="str">
            <v>3.现金及现金等价物净变动情况：</v>
          </cell>
        </row>
        <row r="94">
          <cell r="B94">
            <v>7535</v>
          </cell>
          <cell r="C94" t="str">
            <v>现金的期末余额</v>
          </cell>
          <cell r="F94">
            <v>2858030.04</v>
          </cell>
        </row>
        <row r="95">
          <cell r="B95">
            <v>7536</v>
          </cell>
          <cell r="C95" t="str">
            <v>减：现金的年初余额</v>
          </cell>
        </row>
        <row r="96">
          <cell r="B96">
            <v>7537</v>
          </cell>
          <cell r="C96" t="str">
            <v>加：现金等价物的期末余额</v>
          </cell>
        </row>
        <row r="97">
          <cell r="B97">
            <v>7538</v>
          </cell>
          <cell r="C97" t="str">
            <v>减：现金等价物的年初余额</v>
          </cell>
        </row>
        <row r="98">
          <cell r="B98">
            <v>7539</v>
          </cell>
          <cell r="C98" t="str">
            <v>现金及现金等价物净增加额</v>
          </cell>
          <cell r="E98">
            <v>0</v>
          </cell>
          <cell r="F98">
            <v>2858030.04</v>
          </cell>
        </row>
      </sheetData>
      <sheetData sheetId="11">
        <row r="2">
          <cell r="D2" t="str">
            <v>81</v>
          </cell>
          <cell r="E2" t="str">
            <v>8b</v>
          </cell>
          <cell r="F2" t="str">
            <v>8c</v>
          </cell>
          <cell r="G2" t="str">
            <v>8d</v>
          </cell>
          <cell r="H2" t="str">
            <v>82</v>
          </cell>
          <cell r="I2" t="str">
            <v>83</v>
          </cell>
          <cell r="J2" t="str">
            <v>8g</v>
          </cell>
          <cell r="K2" t="str">
            <v>84</v>
          </cell>
          <cell r="L2" t="str">
            <v>85</v>
          </cell>
          <cell r="M2" t="str">
            <v>86</v>
          </cell>
          <cell r="N2" t="str">
            <v>87</v>
          </cell>
          <cell r="O2" t="str">
            <v>88</v>
          </cell>
          <cell r="P2" t="str">
            <v>89</v>
          </cell>
          <cell r="Q2" t="str">
            <v>80</v>
          </cell>
          <cell r="R2">
            <v>81</v>
          </cell>
          <cell r="S2" t="str">
            <v>8b</v>
          </cell>
          <cell r="T2" t="str">
            <v>8c</v>
          </cell>
          <cell r="U2" t="str">
            <v>8d</v>
          </cell>
          <cell r="V2">
            <v>82</v>
          </cell>
          <cell r="W2">
            <v>83</v>
          </cell>
          <cell r="X2" t="str">
            <v>8g</v>
          </cell>
          <cell r="Y2">
            <v>84</v>
          </cell>
          <cell r="Z2">
            <v>85</v>
          </cell>
          <cell r="AA2">
            <v>86</v>
          </cell>
          <cell r="AB2">
            <v>87</v>
          </cell>
          <cell r="AC2">
            <v>88</v>
          </cell>
          <cell r="AD2">
            <v>89</v>
          </cell>
          <cell r="AE2">
            <v>80</v>
          </cell>
        </row>
        <row r="3">
          <cell r="B3" t="str">
            <v>00</v>
          </cell>
          <cell r="C3" t="str">
            <v>所有者权益变动表</v>
          </cell>
        </row>
        <row r="4">
          <cell r="C4" t="str">
            <v xml:space="preserve">2016年度 </v>
          </cell>
          <cell r="AE4" t="str">
            <v>会企04表</v>
          </cell>
        </row>
        <row r="5">
          <cell r="C5" t="str">
            <v>编制单位：天合（香港）投资有限公司</v>
          </cell>
          <cell r="AA5" t="str">
            <v>单位：元   币种：人民币</v>
          </cell>
        </row>
        <row r="6">
          <cell r="D6" t="str">
            <v>本期金额</v>
          </cell>
          <cell r="G6" t="str">
            <v>本期金额</v>
          </cell>
          <cell r="R6" t="str">
            <v>上年同期金额</v>
          </cell>
          <cell r="U6" t="str">
            <v>上年同期金额</v>
          </cell>
        </row>
        <row r="7">
          <cell r="D7" t="str">
            <v>归属于母公司所有者权益</v>
          </cell>
          <cell r="R7" t="str">
            <v>归属于母公司所有者权益</v>
          </cell>
        </row>
        <row r="8">
          <cell r="B8" t="str">
            <v>ItemId1</v>
          </cell>
          <cell r="C8" t="str">
            <v>项       目</v>
          </cell>
          <cell r="D8" t="str">
            <v>实收资本</v>
          </cell>
          <cell r="E8" t="str">
            <v>其他权益工具（优先股）</v>
          </cell>
          <cell r="F8" t="str">
            <v>其他权益工具（永续债）</v>
          </cell>
          <cell r="G8" t="str">
            <v>其他权益工具（其他）</v>
          </cell>
          <cell r="H8" t="str">
            <v>资本公积</v>
          </cell>
          <cell r="I8" t="str">
            <v>减：库存股</v>
          </cell>
          <cell r="J8" t="str">
            <v>其他综合收益</v>
          </cell>
          <cell r="K8" t="str">
            <v>专项储备</v>
          </cell>
          <cell r="L8" t="str">
            <v>盈余公积</v>
          </cell>
          <cell r="M8" t="str">
            <v xml:space="preserve">一般风险准备 </v>
          </cell>
          <cell r="N8" t="str">
            <v>未分配利润</v>
          </cell>
          <cell r="O8" t="str">
            <v>其他</v>
          </cell>
          <cell r="P8" t="str">
            <v>少数股东权益</v>
          </cell>
          <cell r="Q8" t="str">
            <v>所有者权益合计</v>
          </cell>
          <cell r="R8" t="str">
            <v>实收资本</v>
          </cell>
          <cell r="S8" t="str">
            <v>其他权益工具（优先股）</v>
          </cell>
          <cell r="T8" t="str">
            <v>其他权益工具（永续债）</v>
          </cell>
          <cell r="U8" t="str">
            <v>其他权益工具（其他）</v>
          </cell>
          <cell r="V8" t="str">
            <v>资本公积</v>
          </cell>
          <cell r="W8" t="str">
            <v>减：库存股</v>
          </cell>
          <cell r="X8" t="str">
            <v>其他综合收益</v>
          </cell>
          <cell r="Y8" t="str">
            <v>专项储备</v>
          </cell>
          <cell r="Z8" t="str">
            <v>盈余公积</v>
          </cell>
          <cell r="AA8" t="str">
            <v xml:space="preserve">一般风险准备 </v>
          </cell>
          <cell r="AB8" t="str">
            <v>未分配利润</v>
          </cell>
          <cell r="AC8" t="str">
            <v>其他</v>
          </cell>
          <cell r="AD8" t="str">
            <v>少数股东权益</v>
          </cell>
          <cell r="AE8" t="str">
            <v>所有者权益合计</v>
          </cell>
        </row>
        <row r="9">
          <cell r="B9" t="str">
            <v>01</v>
          </cell>
          <cell r="C9" t="str">
            <v>一、上年年末余额</v>
          </cell>
          <cell r="H9">
            <v>0</v>
          </cell>
          <cell r="L9">
            <v>0</v>
          </cell>
          <cell r="N9">
            <v>741482.91</v>
          </cell>
          <cell r="Q9">
            <v>741482.91</v>
          </cell>
          <cell r="T9">
            <v>0</v>
          </cell>
          <cell r="U9">
            <v>0</v>
          </cell>
          <cell r="AE9">
            <v>0</v>
          </cell>
        </row>
        <row r="10">
          <cell r="B10" t="str">
            <v>02</v>
          </cell>
          <cell r="C10" t="str">
            <v>加：会计政策变更</v>
          </cell>
          <cell r="Q10">
            <v>0</v>
          </cell>
          <cell r="AE10">
            <v>0</v>
          </cell>
        </row>
        <row r="11">
          <cell r="B11" t="str">
            <v>03</v>
          </cell>
          <cell r="C11" t="str">
            <v>前期差错更正</v>
          </cell>
          <cell r="Q11">
            <v>0</v>
          </cell>
          <cell r="AE11">
            <v>0</v>
          </cell>
        </row>
        <row r="12">
          <cell r="B12" t="str">
            <v>04</v>
          </cell>
          <cell r="C12" t="str">
            <v>同一控制下企业合并</v>
          </cell>
          <cell r="Q12">
            <v>0</v>
          </cell>
          <cell r="AE12">
            <v>0</v>
          </cell>
        </row>
        <row r="13">
          <cell r="B13" t="str">
            <v>09</v>
          </cell>
          <cell r="C13" t="str">
            <v>其他</v>
          </cell>
          <cell r="Q13">
            <v>0</v>
          </cell>
          <cell r="AE13">
            <v>0</v>
          </cell>
        </row>
        <row r="14">
          <cell r="B14" t="str">
            <v>10</v>
          </cell>
          <cell r="C14" t="str">
            <v>二、本年年初余额</v>
          </cell>
          <cell r="D14">
            <v>0</v>
          </cell>
          <cell r="E14">
            <v>0</v>
          </cell>
          <cell r="F14">
            <v>0</v>
          </cell>
          <cell r="G14">
            <v>0</v>
          </cell>
          <cell r="H14">
            <v>0</v>
          </cell>
          <cell r="I14">
            <v>0</v>
          </cell>
          <cell r="J14">
            <v>0</v>
          </cell>
          <cell r="K14">
            <v>0</v>
          </cell>
          <cell r="L14">
            <v>0</v>
          </cell>
          <cell r="M14">
            <v>0</v>
          </cell>
          <cell r="N14">
            <v>741482.91</v>
          </cell>
          <cell r="O14">
            <v>0</v>
          </cell>
          <cell r="P14">
            <v>0</v>
          </cell>
          <cell r="Q14">
            <v>741482.91</v>
          </cell>
          <cell r="R14">
            <v>0</v>
          </cell>
          <cell r="S14">
            <v>0</v>
          </cell>
          <cell r="T14">
            <v>0</v>
          </cell>
          <cell r="U14">
            <v>0</v>
          </cell>
          <cell r="V14">
            <v>0</v>
          </cell>
          <cell r="W14">
            <v>0</v>
          </cell>
          <cell r="X14">
            <v>0</v>
          </cell>
          <cell r="Y14">
            <v>0</v>
          </cell>
          <cell r="Z14">
            <v>0</v>
          </cell>
          <cell r="AA14">
            <v>0</v>
          </cell>
          <cell r="AB14">
            <v>0</v>
          </cell>
          <cell r="AC14">
            <v>0</v>
          </cell>
          <cell r="AD14">
            <v>0</v>
          </cell>
          <cell r="AE14">
            <v>0</v>
          </cell>
        </row>
        <row r="15">
          <cell r="B15" t="str">
            <v>90</v>
          </cell>
          <cell r="C15" t="str">
            <v>三、本期增减变动金额（减少以“－”号填列）</v>
          </cell>
          <cell r="D15">
            <v>197917500</v>
          </cell>
          <cell r="E15">
            <v>0</v>
          </cell>
          <cell r="F15">
            <v>0</v>
          </cell>
          <cell r="G15">
            <v>0</v>
          </cell>
          <cell r="H15">
            <v>0</v>
          </cell>
          <cell r="I15">
            <v>0</v>
          </cell>
          <cell r="J15">
            <v>0</v>
          </cell>
          <cell r="K15">
            <v>0</v>
          </cell>
          <cell r="L15">
            <v>0</v>
          </cell>
          <cell r="M15">
            <v>0</v>
          </cell>
          <cell r="N15">
            <v>371447.23</v>
          </cell>
          <cell r="O15">
            <v>0</v>
          </cell>
          <cell r="P15">
            <v>0</v>
          </cell>
          <cell r="Q15">
            <v>198288947.22999999</v>
          </cell>
          <cell r="R15">
            <v>0</v>
          </cell>
          <cell r="S15">
            <v>0</v>
          </cell>
          <cell r="T15">
            <v>0</v>
          </cell>
          <cell r="U15">
            <v>0</v>
          </cell>
          <cell r="V15">
            <v>0</v>
          </cell>
          <cell r="W15">
            <v>0</v>
          </cell>
          <cell r="X15">
            <v>0</v>
          </cell>
          <cell r="Y15">
            <v>0</v>
          </cell>
          <cell r="Z15">
            <v>0</v>
          </cell>
          <cell r="AA15">
            <v>0</v>
          </cell>
          <cell r="AB15">
            <v>0</v>
          </cell>
          <cell r="AC15">
            <v>0</v>
          </cell>
          <cell r="AD15">
            <v>0</v>
          </cell>
          <cell r="AE15">
            <v>0</v>
          </cell>
        </row>
        <row r="16">
          <cell r="B16" t="str">
            <v>21</v>
          </cell>
          <cell r="C16" t="str">
            <v>（一）净利润</v>
          </cell>
          <cell r="N16">
            <v>371447.23</v>
          </cell>
          <cell r="Q16">
            <v>371447.23</v>
          </cell>
          <cell r="AB16">
            <v>0</v>
          </cell>
          <cell r="AE16">
            <v>0</v>
          </cell>
        </row>
        <row r="17">
          <cell r="B17" t="str">
            <v>30</v>
          </cell>
          <cell r="C17" t="str">
            <v>（二）其他综合收益</v>
          </cell>
          <cell r="Q17">
            <v>0</v>
          </cell>
          <cell r="AE17">
            <v>0</v>
          </cell>
        </row>
        <row r="18">
          <cell r="B18" t="str">
            <v>40</v>
          </cell>
          <cell r="C18" t="str">
            <v>（一）综合收益总额</v>
          </cell>
          <cell r="J18">
            <v>0</v>
          </cell>
          <cell r="N18">
            <v>371447.23</v>
          </cell>
          <cell r="Q18">
            <v>371447.23</v>
          </cell>
          <cell r="X18">
            <v>0</v>
          </cell>
          <cell r="AB18">
            <v>0</v>
          </cell>
          <cell r="AE18">
            <v>0</v>
          </cell>
        </row>
        <row r="19">
          <cell r="B19" t="str">
            <v>50</v>
          </cell>
          <cell r="C19" t="str">
            <v>（二）股东（或所有者）投入和减少资本</v>
          </cell>
          <cell r="D19">
            <v>197917500</v>
          </cell>
          <cell r="E19">
            <v>0</v>
          </cell>
          <cell r="F19">
            <v>0</v>
          </cell>
          <cell r="G19">
            <v>0</v>
          </cell>
          <cell r="H19">
            <v>0</v>
          </cell>
          <cell r="I19">
            <v>0</v>
          </cell>
          <cell r="J19">
            <v>0</v>
          </cell>
          <cell r="K19">
            <v>0</v>
          </cell>
          <cell r="L19">
            <v>0</v>
          </cell>
          <cell r="M19">
            <v>0</v>
          </cell>
          <cell r="N19">
            <v>0</v>
          </cell>
          <cell r="O19">
            <v>0</v>
          </cell>
          <cell r="P19">
            <v>0</v>
          </cell>
          <cell r="Q19">
            <v>197917500</v>
          </cell>
          <cell r="R19">
            <v>0</v>
          </cell>
          <cell r="S19">
            <v>0</v>
          </cell>
          <cell r="T19">
            <v>0</v>
          </cell>
          <cell r="U19">
            <v>0</v>
          </cell>
          <cell r="V19">
            <v>0</v>
          </cell>
          <cell r="W19">
            <v>0</v>
          </cell>
          <cell r="X19">
            <v>0</v>
          </cell>
          <cell r="Y19">
            <v>0</v>
          </cell>
          <cell r="Z19">
            <v>0</v>
          </cell>
          <cell r="AA19">
            <v>0</v>
          </cell>
          <cell r="AB19">
            <v>0</v>
          </cell>
          <cell r="AC19">
            <v>0</v>
          </cell>
          <cell r="AD19">
            <v>0</v>
          </cell>
          <cell r="AE19">
            <v>0</v>
          </cell>
        </row>
        <row r="20">
          <cell r="B20" t="str">
            <v>51</v>
          </cell>
          <cell r="C20" t="str">
            <v>1．股东投入的普通股</v>
          </cell>
          <cell r="D20">
            <v>197917500</v>
          </cell>
          <cell r="Q20">
            <v>197917500</v>
          </cell>
          <cell r="AE20">
            <v>0</v>
          </cell>
        </row>
        <row r="21">
          <cell r="B21" t="str">
            <v>53</v>
          </cell>
          <cell r="C21" t="str">
            <v>2．其他权益工具持有者投入资本</v>
          </cell>
          <cell r="Q21">
            <v>0</v>
          </cell>
          <cell r="AE21">
            <v>0</v>
          </cell>
        </row>
        <row r="22">
          <cell r="B22" t="str">
            <v>52</v>
          </cell>
          <cell r="C22" t="str">
            <v>3．股份支付计入股东权益的金额</v>
          </cell>
          <cell r="Q22">
            <v>0</v>
          </cell>
          <cell r="AE22">
            <v>0</v>
          </cell>
        </row>
        <row r="23">
          <cell r="B23" t="str">
            <v>56</v>
          </cell>
          <cell r="C23" t="str">
            <v>4．其他</v>
          </cell>
          <cell r="Q23">
            <v>0</v>
          </cell>
          <cell r="AE23">
            <v>0</v>
          </cell>
        </row>
        <row r="24">
          <cell r="B24" t="str">
            <v>60</v>
          </cell>
          <cell r="C24" t="str">
            <v>（三）利润分配</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row>
        <row r="25">
          <cell r="B25" t="str">
            <v>61</v>
          </cell>
          <cell r="C25" t="str">
            <v>1．提取盈余公积</v>
          </cell>
          <cell r="Q25">
            <v>0</v>
          </cell>
          <cell r="AE25">
            <v>0</v>
          </cell>
        </row>
        <row r="26">
          <cell r="B26" t="str">
            <v>62</v>
          </cell>
          <cell r="C26" t="str">
            <v>2．提取一般风险准备</v>
          </cell>
          <cell r="Q26">
            <v>0</v>
          </cell>
          <cell r="AE26">
            <v>0</v>
          </cell>
        </row>
        <row r="27">
          <cell r="B27" t="str">
            <v>63</v>
          </cell>
          <cell r="C27" t="str">
            <v>2．对股东（或所有者）的分配</v>
          </cell>
          <cell r="Q27">
            <v>0</v>
          </cell>
          <cell r="AE27">
            <v>0</v>
          </cell>
        </row>
        <row r="28">
          <cell r="B28" t="str">
            <v>66</v>
          </cell>
          <cell r="C28" t="str">
            <v>3．其他</v>
          </cell>
          <cell r="Q28">
            <v>0</v>
          </cell>
          <cell r="AE28">
            <v>0</v>
          </cell>
        </row>
        <row r="29">
          <cell r="B29" t="str">
            <v>70</v>
          </cell>
          <cell r="C29" t="str">
            <v>（四）股东权益内部结转</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row>
        <row r="30">
          <cell r="B30" t="str">
            <v>71</v>
          </cell>
          <cell r="C30" t="str">
            <v>1．资本公积转增股本（或资本）</v>
          </cell>
          <cell r="Q30">
            <v>0</v>
          </cell>
          <cell r="AE30">
            <v>0</v>
          </cell>
        </row>
        <row r="31">
          <cell r="B31" t="str">
            <v>72</v>
          </cell>
          <cell r="C31" t="str">
            <v>2．盈余公积转增股本（或资本）</v>
          </cell>
          <cell r="Q31">
            <v>0</v>
          </cell>
          <cell r="AE31">
            <v>0</v>
          </cell>
        </row>
        <row r="32">
          <cell r="B32" t="str">
            <v>73</v>
          </cell>
          <cell r="C32" t="str">
            <v>3．盈余公积弥补亏损</v>
          </cell>
          <cell r="Q32">
            <v>0</v>
          </cell>
          <cell r="AE32">
            <v>0</v>
          </cell>
        </row>
        <row r="33">
          <cell r="B33" t="str">
            <v>75</v>
          </cell>
          <cell r="C33" t="str">
            <v>4．结转重新计量设定受益计划净负债或净资产所产生的变动</v>
          </cell>
          <cell r="Q33">
            <v>0</v>
          </cell>
          <cell r="AE33">
            <v>0</v>
          </cell>
        </row>
        <row r="34">
          <cell r="B34" t="str">
            <v>76</v>
          </cell>
          <cell r="C34" t="str">
            <v>5．其他</v>
          </cell>
          <cell r="Q34">
            <v>0</v>
          </cell>
          <cell r="AE34">
            <v>0</v>
          </cell>
        </row>
        <row r="35">
          <cell r="B35" t="str">
            <v>80</v>
          </cell>
          <cell r="C35" t="str">
            <v>（五）专项储备</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row>
        <row r="36">
          <cell r="B36" t="str">
            <v>81</v>
          </cell>
          <cell r="C36" t="str">
            <v>1．本期提取</v>
          </cell>
          <cell r="Q36">
            <v>0</v>
          </cell>
          <cell r="AE36">
            <v>0</v>
          </cell>
        </row>
        <row r="37">
          <cell r="B37" t="str">
            <v>82</v>
          </cell>
          <cell r="C37" t="str">
            <v>2．本期使用（以负号填列）</v>
          </cell>
          <cell r="Q37">
            <v>0</v>
          </cell>
          <cell r="AE37">
            <v>0</v>
          </cell>
        </row>
        <row r="38">
          <cell r="B38" t="str">
            <v>96</v>
          </cell>
          <cell r="C38" t="str">
            <v>（六）其他</v>
          </cell>
          <cell r="Q38">
            <v>0</v>
          </cell>
          <cell r="AE38">
            <v>0</v>
          </cell>
        </row>
        <row r="39">
          <cell r="B39" t="str">
            <v>99</v>
          </cell>
          <cell r="C39" t="str">
            <v>四、本期期末余额</v>
          </cell>
          <cell r="D39">
            <v>197917500</v>
          </cell>
          <cell r="E39">
            <v>0</v>
          </cell>
          <cell r="F39">
            <v>0</v>
          </cell>
          <cell r="G39">
            <v>0</v>
          </cell>
          <cell r="H39">
            <v>0</v>
          </cell>
          <cell r="I39">
            <v>0</v>
          </cell>
          <cell r="J39">
            <v>0</v>
          </cell>
          <cell r="K39">
            <v>0</v>
          </cell>
          <cell r="L39">
            <v>0</v>
          </cell>
          <cell r="M39">
            <v>0</v>
          </cell>
          <cell r="N39">
            <v>1112930.1399999999</v>
          </cell>
          <cell r="O39">
            <v>0</v>
          </cell>
          <cell r="P39">
            <v>0</v>
          </cell>
          <cell r="Q39">
            <v>199030430.13999999</v>
          </cell>
          <cell r="R39">
            <v>0</v>
          </cell>
          <cell r="S39">
            <v>0</v>
          </cell>
          <cell r="T39">
            <v>0</v>
          </cell>
          <cell r="U39">
            <v>0</v>
          </cell>
          <cell r="V39">
            <v>0</v>
          </cell>
          <cell r="W39">
            <v>0</v>
          </cell>
          <cell r="X39">
            <v>0</v>
          </cell>
          <cell r="Y39">
            <v>0</v>
          </cell>
          <cell r="Z39">
            <v>0</v>
          </cell>
          <cell r="AA39">
            <v>0</v>
          </cell>
          <cell r="AB39">
            <v>0</v>
          </cell>
          <cell r="AC39">
            <v>0</v>
          </cell>
          <cell r="AD39">
            <v>0</v>
          </cell>
          <cell r="AE39">
            <v>0</v>
          </cell>
        </row>
      </sheetData>
      <sheetData sheetId="12">
        <row r="6">
          <cell r="F6" t="str">
            <v>本期</v>
          </cell>
          <cell r="G6" t="str">
            <v>本期</v>
          </cell>
          <cell r="H6" t="str">
            <v>本期</v>
          </cell>
          <cell r="I6" t="str">
            <v>本期</v>
          </cell>
          <cell r="J6" t="str">
            <v>上期</v>
          </cell>
          <cell r="K6" t="str">
            <v>上期</v>
          </cell>
          <cell r="L6" t="str">
            <v>上期</v>
          </cell>
          <cell r="M6" t="str">
            <v>上期</v>
          </cell>
        </row>
        <row r="7">
          <cell r="F7" t="str">
            <v>本期</v>
          </cell>
          <cell r="J7" t="str">
            <v>上期</v>
          </cell>
        </row>
        <row r="8">
          <cell r="D8" t="str">
            <v>itemID</v>
          </cell>
          <cell r="E8" t="str">
            <v>项目名称</v>
          </cell>
          <cell r="F8" t="str">
            <v>调整前金额</v>
          </cell>
          <cell r="G8" t="str">
            <v>借方</v>
          </cell>
          <cell r="H8" t="str">
            <v xml:space="preserve">贷方 </v>
          </cell>
          <cell r="I8" t="str">
            <v>调整后金额</v>
          </cell>
          <cell r="J8" t="str">
            <v>调整前金额</v>
          </cell>
          <cell r="K8" t="str">
            <v>借方</v>
          </cell>
          <cell r="L8" t="str">
            <v xml:space="preserve">贷方 </v>
          </cell>
          <cell r="M8" t="str">
            <v>调整后金额</v>
          </cell>
        </row>
        <row r="9">
          <cell r="D9">
            <v>1</v>
          </cell>
          <cell r="E9" t="str">
            <v>资产负债表</v>
          </cell>
        </row>
        <row r="10">
          <cell r="D10">
            <v>1000</v>
          </cell>
          <cell r="E10" t="str">
            <v>流动资产项目</v>
          </cell>
        </row>
        <row r="11">
          <cell r="D11">
            <v>1015</v>
          </cell>
          <cell r="E11" t="str">
            <v>货币资金</v>
          </cell>
          <cell r="F11">
            <v>4669493.0199999996</v>
          </cell>
          <cell r="G11">
            <v>0</v>
          </cell>
          <cell r="H11">
            <v>0</v>
          </cell>
          <cell r="I11">
            <v>4669493.0199999996</v>
          </cell>
          <cell r="J11">
            <v>2858030.04</v>
          </cell>
          <cell r="K11">
            <v>0</v>
          </cell>
          <cell r="L11">
            <v>0</v>
          </cell>
          <cell r="M11">
            <v>2858030.04</v>
          </cell>
        </row>
        <row r="12">
          <cell r="D12">
            <v>1021</v>
          </cell>
          <cell r="E12" t="str">
            <v>结算备付金</v>
          </cell>
          <cell r="F12">
            <v>0</v>
          </cell>
          <cell r="G12">
            <v>0</v>
          </cell>
          <cell r="H12">
            <v>0</v>
          </cell>
          <cell r="I12">
            <v>0</v>
          </cell>
          <cell r="J12">
            <v>0</v>
          </cell>
          <cell r="K12">
            <v>0</v>
          </cell>
          <cell r="L12">
            <v>0</v>
          </cell>
          <cell r="M12">
            <v>0</v>
          </cell>
        </row>
        <row r="13">
          <cell r="D13">
            <v>1302</v>
          </cell>
          <cell r="E13" t="str">
            <v>拆出资金</v>
          </cell>
          <cell r="F13">
            <v>0</v>
          </cell>
          <cell r="G13">
            <v>0</v>
          </cell>
          <cell r="H13">
            <v>0</v>
          </cell>
          <cell r="I13">
            <v>0</v>
          </cell>
          <cell r="J13">
            <v>0</v>
          </cell>
          <cell r="K13">
            <v>0</v>
          </cell>
          <cell r="L13">
            <v>0</v>
          </cell>
          <cell r="M13">
            <v>0</v>
          </cell>
        </row>
        <row r="14">
          <cell r="D14">
            <v>1101</v>
          </cell>
          <cell r="E14" t="str">
            <v>以公允价值计量且其变动计入当期损益的金融资产</v>
          </cell>
          <cell r="F14">
            <v>0</v>
          </cell>
          <cell r="G14">
            <v>0</v>
          </cell>
          <cell r="H14">
            <v>0</v>
          </cell>
          <cell r="I14">
            <v>0</v>
          </cell>
          <cell r="J14">
            <v>0</v>
          </cell>
          <cell r="K14">
            <v>0</v>
          </cell>
          <cell r="L14">
            <v>0</v>
          </cell>
          <cell r="M14">
            <v>0</v>
          </cell>
        </row>
        <row r="15">
          <cell r="D15">
            <v>1115</v>
          </cell>
          <cell r="E15" t="str">
            <v>衍生金融资产</v>
          </cell>
          <cell r="F15">
            <v>0</v>
          </cell>
          <cell r="G15">
            <v>0</v>
          </cell>
          <cell r="H15">
            <v>0</v>
          </cell>
          <cell r="I15">
            <v>0</v>
          </cell>
          <cell r="J15">
            <v>0</v>
          </cell>
          <cell r="K15">
            <v>0</v>
          </cell>
          <cell r="L15">
            <v>0</v>
          </cell>
          <cell r="M15">
            <v>0</v>
          </cell>
        </row>
        <row r="16">
          <cell r="D16">
            <v>1121</v>
          </cell>
          <cell r="E16" t="str">
            <v>应收票据</v>
          </cell>
          <cell r="F16">
            <v>0</v>
          </cell>
          <cell r="G16">
            <v>0</v>
          </cell>
          <cell r="H16">
            <v>0</v>
          </cell>
          <cell r="I16">
            <v>0</v>
          </cell>
          <cell r="J16">
            <v>0</v>
          </cell>
          <cell r="K16">
            <v>0</v>
          </cell>
          <cell r="L16">
            <v>0</v>
          </cell>
          <cell r="M16">
            <v>0</v>
          </cell>
        </row>
        <row r="17">
          <cell r="D17">
            <v>1122</v>
          </cell>
          <cell r="E17" t="str">
            <v>应收账款</v>
          </cell>
          <cell r="F17">
            <v>1297227.33</v>
          </cell>
          <cell r="G17">
            <v>850444.29</v>
          </cell>
          <cell r="H17">
            <v>0</v>
          </cell>
          <cell r="I17">
            <v>2147671.62</v>
          </cell>
          <cell r="J17">
            <v>4025750.83</v>
          </cell>
          <cell r="K17">
            <v>0</v>
          </cell>
          <cell r="L17">
            <v>0</v>
          </cell>
          <cell r="M17">
            <v>4025750.83</v>
          </cell>
        </row>
        <row r="18">
          <cell r="D18">
            <v>1125</v>
          </cell>
          <cell r="E18" t="str">
            <v>预付款项</v>
          </cell>
          <cell r="F18">
            <v>2502731.27</v>
          </cell>
          <cell r="G18">
            <v>0</v>
          </cell>
          <cell r="H18">
            <v>0</v>
          </cell>
          <cell r="I18">
            <v>2502731.27</v>
          </cell>
          <cell r="J18">
            <v>918790.85</v>
          </cell>
          <cell r="K18">
            <v>0</v>
          </cell>
          <cell r="L18">
            <v>0</v>
          </cell>
          <cell r="M18">
            <v>918790.85</v>
          </cell>
        </row>
        <row r="19">
          <cell r="D19">
            <v>1127</v>
          </cell>
          <cell r="E19" t="str">
            <v>应收保费</v>
          </cell>
          <cell r="F19">
            <v>0</v>
          </cell>
          <cell r="G19">
            <v>0</v>
          </cell>
          <cell r="H19">
            <v>0</v>
          </cell>
          <cell r="I19">
            <v>0</v>
          </cell>
          <cell r="J19">
            <v>0</v>
          </cell>
          <cell r="K19">
            <v>0</v>
          </cell>
          <cell r="L19">
            <v>0</v>
          </cell>
          <cell r="M19">
            <v>0</v>
          </cell>
        </row>
        <row r="20">
          <cell r="D20">
            <v>1211</v>
          </cell>
          <cell r="E20" t="str">
            <v>应收分保账款</v>
          </cell>
          <cell r="F20">
            <v>0</v>
          </cell>
          <cell r="G20">
            <v>0</v>
          </cell>
          <cell r="H20">
            <v>0</v>
          </cell>
          <cell r="I20">
            <v>0</v>
          </cell>
          <cell r="J20">
            <v>0</v>
          </cell>
          <cell r="K20">
            <v>0</v>
          </cell>
          <cell r="L20">
            <v>0</v>
          </cell>
          <cell r="M20">
            <v>0</v>
          </cell>
        </row>
        <row r="21">
          <cell r="D21">
            <v>1212</v>
          </cell>
          <cell r="E21" t="str">
            <v>应收分保合同准备金</v>
          </cell>
          <cell r="F21">
            <v>0</v>
          </cell>
          <cell r="G21">
            <v>0</v>
          </cell>
          <cell r="H21">
            <v>0</v>
          </cell>
          <cell r="I21">
            <v>0</v>
          </cell>
          <cell r="J21">
            <v>0</v>
          </cell>
          <cell r="K21">
            <v>0</v>
          </cell>
          <cell r="L21">
            <v>0</v>
          </cell>
          <cell r="M21">
            <v>0</v>
          </cell>
        </row>
        <row r="22">
          <cell r="D22">
            <v>1132</v>
          </cell>
          <cell r="E22" t="str">
            <v>应收利息</v>
          </cell>
          <cell r="F22">
            <v>0</v>
          </cell>
          <cell r="G22">
            <v>0</v>
          </cell>
          <cell r="H22">
            <v>0</v>
          </cell>
          <cell r="I22">
            <v>0</v>
          </cell>
          <cell r="J22">
            <v>0</v>
          </cell>
          <cell r="K22">
            <v>0</v>
          </cell>
          <cell r="L22">
            <v>0</v>
          </cell>
          <cell r="M22">
            <v>0</v>
          </cell>
        </row>
        <row r="23">
          <cell r="D23">
            <v>1131</v>
          </cell>
          <cell r="E23" t="str">
            <v>应收股利</v>
          </cell>
          <cell r="F23">
            <v>0</v>
          </cell>
          <cell r="G23">
            <v>0</v>
          </cell>
          <cell r="H23">
            <v>0</v>
          </cell>
          <cell r="I23">
            <v>0</v>
          </cell>
          <cell r="J23">
            <v>0</v>
          </cell>
          <cell r="K23">
            <v>0</v>
          </cell>
          <cell r="L23">
            <v>0</v>
          </cell>
          <cell r="M23">
            <v>0</v>
          </cell>
        </row>
        <row r="24">
          <cell r="D24">
            <v>1221</v>
          </cell>
          <cell r="E24" t="str">
            <v>其他应收款</v>
          </cell>
          <cell r="F24">
            <v>197917500</v>
          </cell>
          <cell r="G24">
            <v>10192500</v>
          </cell>
          <cell r="H24">
            <v>0</v>
          </cell>
          <cell r="I24">
            <v>208110000</v>
          </cell>
          <cell r="J24">
            <v>0</v>
          </cell>
          <cell r="K24">
            <v>0</v>
          </cell>
          <cell r="L24">
            <v>0</v>
          </cell>
          <cell r="M24">
            <v>0</v>
          </cell>
        </row>
        <row r="25">
          <cell r="D25">
            <v>1111</v>
          </cell>
          <cell r="E25" t="str">
            <v>买入返售金融资产</v>
          </cell>
          <cell r="F25">
            <v>0</v>
          </cell>
          <cell r="G25">
            <v>0</v>
          </cell>
          <cell r="H25">
            <v>0</v>
          </cell>
          <cell r="I25">
            <v>0</v>
          </cell>
          <cell r="J25">
            <v>0</v>
          </cell>
          <cell r="K25">
            <v>0</v>
          </cell>
          <cell r="L25">
            <v>0</v>
          </cell>
          <cell r="M25">
            <v>0</v>
          </cell>
        </row>
        <row r="26">
          <cell r="D26">
            <v>1400</v>
          </cell>
          <cell r="E26" t="str">
            <v>存货</v>
          </cell>
          <cell r="F26">
            <v>0</v>
          </cell>
          <cell r="G26">
            <v>0</v>
          </cell>
          <cell r="H26">
            <v>0</v>
          </cell>
          <cell r="I26">
            <v>0</v>
          </cell>
          <cell r="J26">
            <v>0</v>
          </cell>
          <cell r="K26">
            <v>0</v>
          </cell>
          <cell r="L26">
            <v>0</v>
          </cell>
          <cell r="M26">
            <v>0</v>
          </cell>
        </row>
        <row r="27">
          <cell r="D27">
            <v>1315</v>
          </cell>
          <cell r="E27" t="str">
            <v>划分为持有待售的资产</v>
          </cell>
          <cell r="F27">
            <v>0</v>
          </cell>
          <cell r="G27">
            <v>0</v>
          </cell>
          <cell r="H27">
            <v>0</v>
          </cell>
          <cell r="I27">
            <v>0</v>
          </cell>
          <cell r="J27">
            <v>0</v>
          </cell>
          <cell r="K27">
            <v>0</v>
          </cell>
          <cell r="L27">
            <v>0</v>
          </cell>
          <cell r="M27">
            <v>0</v>
          </cell>
        </row>
        <row r="28">
          <cell r="D28">
            <v>1495</v>
          </cell>
          <cell r="E28" t="str">
            <v>一年内到期的非流动资产</v>
          </cell>
          <cell r="F28">
            <v>0</v>
          </cell>
          <cell r="G28">
            <v>0</v>
          </cell>
          <cell r="H28">
            <v>0</v>
          </cell>
          <cell r="I28">
            <v>0</v>
          </cell>
          <cell r="J28">
            <v>0</v>
          </cell>
          <cell r="K28">
            <v>0</v>
          </cell>
          <cell r="L28">
            <v>0</v>
          </cell>
          <cell r="M28">
            <v>0</v>
          </cell>
        </row>
        <row r="29">
          <cell r="D29">
            <v>1496</v>
          </cell>
          <cell r="E29" t="str">
            <v>其他流动资产</v>
          </cell>
          <cell r="F29">
            <v>0</v>
          </cell>
          <cell r="G29">
            <v>0</v>
          </cell>
          <cell r="H29">
            <v>0</v>
          </cell>
          <cell r="I29">
            <v>0</v>
          </cell>
          <cell r="J29">
            <v>0</v>
          </cell>
          <cell r="K29">
            <v>0</v>
          </cell>
          <cell r="L29">
            <v>0</v>
          </cell>
          <cell r="M29">
            <v>0</v>
          </cell>
        </row>
        <row r="30">
          <cell r="D30">
            <v>1498</v>
          </cell>
          <cell r="E30" t="str">
            <v>流动资产</v>
          </cell>
          <cell r="F30">
            <v>206386951.62</v>
          </cell>
          <cell r="G30">
            <v>11042944.289999999</v>
          </cell>
          <cell r="H30">
            <v>0</v>
          </cell>
          <cell r="I30">
            <v>217429895.91</v>
          </cell>
          <cell r="J30">
            <v>7802571.7199999997</v>
          </cell>
          <cell r="K30">
            <v>0</v>
          </cell>
          <cell r="L30">
            <v>0</v>
          </cell>
          <cell r="M30">
            <v>7802571.7199999997</v>
          </cell>
        </row>
        <row r="31">
          <cell r="D31">
            <v>1500</v>
          </cell>
          <cell r="E31" t="str">
            <v>非流动资产项目</v>
          </cell>
          <cell r="F31">
            <v>0</v>
          </cell>
          <cell r="G31">
            <v>0</v>
          </cell>
          <cell r="H31">
            <v>0</v>
          </cell>
          <cell r="J31">
            <v>0</v>
          </cell>
          <cell r="K31">
            <v>0</v>
          </cell>
          <cell r="L31">
            <v>0</v>
          </cell>
          <cell r="M31">
            <v>0</v>
          </cell>
        </row>
        <row r="32">
          <cell r="D32">
            <v>1600</v>
          </cell>
          <cell r="E32" t="str">
            <v>发放委托贷款及垫款</v>
          </cell>
          <cell r="F32">
            <v>0</v>
          </cell>
          <cell r="G32">
            <v>0</v>
          </cell>
          <cell r="H32">
            <v>0</v>
          </cell>
          <cell r="I32">
            <v>0</v>
          </cell>
          <cell r="J32">
            <v>0</v>
          </cell>
          <cell r="K32">
            <v>0</v>
          </cell>
          <cell r="L32">
            <v>0</v>
          </cell>
          <cell r="M32">
            <v>0</v>
          </cell>
        </row>
        <row r="33">
          <cell r="D33">
            <v>1503</v>
          </cell>
          <cell r="E33" t="str">
            <v>可供出售金融资产</v>
          </cell>
          <cell r="F33">
            <v>0</v>
          </cell>
          <cell r="G33">
            <v>0</v>
          </cell>
          <cell r="H33">
            <v>0</v>
          </cell>
          <cell r="I33">
            <v>0</v>
          </cell>
          <cell r="J33">
            <v>0</v>
          </cell>
          <cell r="K33">
            <v>0</v>
          </cell>
          <cell r="L33">
            <v>0</v>
          </cell>
          <cell r="M33">
            <v>0</v>
          </cell>
        </row>
        <row r="34">
          <cell r="D34">
            <v>1501</v>
          </cell>
          <cell r="E34" t="str">
            <v>持有至到期投资</v>
          </cell>
          <cell r="F34">
            <v>0</v>
          </cell>
          <cell r="G34">
            <v>0</v>
          </cell>
          <cell r="H34">
            <v>0</v>
          </cell>
          <cell r="I34">
            <v>0</v>
          </cell>
          <cell r="J34">
            <v>0</v>
          </cell>
          <cell r="K34">
            <v>0</v>
          </cell>
          <cell r="L34">
            <v>0</v>
          </cell>
          <cell r="M34">
            <v>0</v>
          </cell>
        </row>
        <row r="35">
          <cell r="D35">
            <v>1531</v>
          </cell>
          <cell r="E35" t="str">
            <v>长期应收款</v>
          </cell>
          <cell r="F35">
            <v>0</v>
          </cell>
          <cell r="G35">
            <v>0</v>
          </cell>
          <cell r="H35">
            <v>0</v>
          </cell>
          <cell r="I35">
            <v>0</v>
          </cell>
          <cell r="J35">
            <v>0</v>
          </cell>
          <cell r="K35">
            <v>0</v>
          </cell>
          <cell r="L35">
            <v>0</v>
          </cell>
          <cell r="M35">
            <v>0</v>
          </cell>
        </row>
        <row r="36">
          <cell r="D36">
            <v>1515</v>
          </cell>
          <cell r="E36" t="str">
            <v>设定受益计划净资产</v>
          </cell>
          <cell r="F36">
            <v>0</v>
          </cell>
          <cell r="G36">
            <v>0</v>
          </cell>
          <cell r="H36">
            <v>0</v>
          </cell>
          <cell r="I36">
            <v>0</v>
          </cell>
          <cell r="J36">
            <v>0</v>
          </cell>
          <cell r="K36">
            <v>0</v>
          </cell>
          <cell r="L36">
            <v>0</v>
          </cell>
          <cell r="M36">
            <v>0</v>
          </cell>
        </row>
        <row r="37">
          <cell r="D37">
            <v>1511</v>
          </cell>
          <cell r="E37" t="str">
            <v>长期股权投资</v>
          </cell>
          <cell r="F37">
            <v>120.2</v>
          </cell>
          <cell r="G37">
            <v>-119.41</v>
          </cell>
          <cell r="H37">
            <v>0</v>
          </cell>
          <cell r="I37">
            <v>0.79</v>
          </cell>
          <cell r="J37">
            <v>0</v>
          </cell>
          <cell r="K37">
            <v>0</v>
          </cell>
          <cell r="L37">
            <v>0</v>
          </cell>
          <cell r="M37">
            <v>0</v>
          </cell>
        </row>
        <row r="38">
          <cell r="D38">
            <v>1521</v>
          </cell>
          <cell r="E38" t="str">
            <v>投资性房地产</v>
          </cell>
          <cell r="F38">
            <v>0</v>
          </cell>
          <cell r="G38">
            <v>0</v>
          </cell>
          <cell r="H38">
            <v>0</v>
          </cell>
          <cell r="I38">
            <v>0</v>
          </cell>
          <cell r="J38">
            <v>0</v>
          </cell>
          <cell r="K38">
            <v>0</v>
          </cell>
          <cell r="L38">
            <v>0</v>
          </cell>
          <cell r="M38">
            <v>0</v>
          </cell>
        </row>
        <row r="39">
          <cell r="D39">
            <v>1601</v>
          </cell>
          <cell r="E39" t="str">
            <v>固定资产</v>
          </cell>
          <cell r="F39">
            <v>0</v>
          </cell>
          <cell r="G39">
            <v>0</v>
          </cell>
          <cell r="H39">
            <v>0</v>
          </cell>
          <cell r="I39">
            <v>0</v>
          </cell>
          <cell r="J39">
            <v>0</v>
          </cell>
          <cell r="K39">
            <v>0</v>
          </cell>
          <cell r="L39">
            <v>0</v>
          </cell>
          <cell r="M39">
            <v>0</v>
          </cell>
        </row>
        <row r="40">
          <cell r="D40">
            <v>1604</v>
          </cell>
          <cell r="E40" t="str">
            <v>在建工程</v>
          </cell>
          <cell r="F40">
            <v>0</v>
          </cell>
          <cell r="G40">
            <v>0</v>
          </cell>
          <cell r="H40">
            <v>0</v>
          </cell>
          <cell r="I40">
            <v>0</v>
          </cell>
          <cell r="J40">
            <v>0</v>
          </cell>
          <cell r="K40">
            <v>0</v>
          </cell>
          <cell r="L40">
            <v>0</v>
          </cell>
          <cell r="M40">
            <v>0</v>
          </cell>
        </row>
        <row r="41">
          <cell r="D41">
            <v>1605</v>
          </cell>
          <cell r="E41" t="str">
            <v>工程物资</v>
          </cell>
          <cell r="F41">
            <v>0</v>
          </cell>
          <cell r="G41">
            <v>0</v>
          </cell>
          <cell r="H41">
            <v>0</v>
          </cell>
          <cell r="I41">
            <v>0</v>
          </cell>
          <cell r="J41">
            <v>0</v>
          </cell>
          <cell r="K41">
            <v>0</v>
          </cell>
          <cell r="L41">
            <v>0</v>
          </cell>
          <cell r="M41">
            <v>0</v>
          </cell>
        </row>
        <row r="42">
          <cell r="D42">
            <v>1606</v>
          </cell>
          <cell r="E42" t="str">
            <v>固定资产清理</v>
          </cell>
          <cell r="F42">
            <v>0</v>
          </cell>
          <cell r="G42">
            <v>0</v>
          </cell>
          <cell r="H42">
            <v>0</v>
          </cell>
          <cell r="I42">
            <v>0</v>
          </cell>
          <cell r="J42">
            <v>0</v>
          </cell>
          <cell r="K42">
            <v>0</v>
          </cell>
          <cell r="L42">
            <v>0</v>
          </cell>
          <cell r="M42">
            <v>0</v>
          </cell>
        </row>
        <row r="43">
          <cell r="D43">
            <v>1621</v>
          </cell>
          <cell r="E43" t="str">
            <v>生产性生物资产</v>
          </cell>
          <cell r="F43">
            <v>0</v>
          </cell>
          <cell r="G43">
            <v>0</v>
          </cell>
          <cell r="H43">
            <v>0</v>
          </cell>
          <cell r="I43">
            <v>0</v>
          </cell>
          <cell r="J43">
            <v>0</v>
          </cell>
          <cell r="K43">
            <v>0</v>
          </cell>
          <cell r="L43">
            <v>0</v>
          </cell>
          <cell r="M43">
            <v>0</v>
          </cell>
        </row>
        <row r="44">
          <cell r="D44">
            <v>1631</v>
          </cell>
          <cell r="E44" t="str">
            <v>油气资产</v>
          </cell>
          <cell r="F44">
            <v>0</v>
          </cell>
          <cell r="G44">
            <v>0</v>
          </cell>
          <cell r="H44">
            <v>0</v>
          </cell>
          <cell r="I44">
            <v>0</v>
          </cell>
          <cell r="J44">
            <v>0</v>
          </cell>
          <cell r="K44">
            <v>0</v>
          </cell>
          <cell r="L44">
            <v>0</v>
          </cell>
          <cell r="M44">
            <v>0</v>
          </cell>
        </row>
        <row r="45">
          <cell r="D45">
            <v>1701</v>
          </cell>
          <cell r="E45" t="str">
            <v>无形资产</v>
          </cell>
          <cell r="F45">
            <v>0</v>
          </cell>
          <cell r="G45">
            <v>0</v>
          </cell>
          <cell r="H45">
            <v>0</v>
          </cell>
          <cell r="I45">
            <v>0</v>
          </cell>
          <cell r="J45">
            <v>0</v>
          </cell>
          <cell r="K45">
            <v>0</v>
          </cell>
          <cell r="L45">
            <v>0</v>
          </cell>
          <cell r="M45">
            <v>0</v>
          </cell>
        </row>
        <row r="46">
          <cell r="D46">
            <v>1700</v>
          </cell>
          <cell r="E46" t="str">
            <v>开发支出</v>
          </cell>
          <cell r="F46">
            <v>0</v>
          </cell>
          <cell r="G46">
            <v>0</v>
          </cell>
          <cell r="H46">
            <v>0</v>
          </cell>
          <cell r="I46">
            <v>0</v>
          </cell>
          <cell r="J46">
            <v>0</v>
          </cell>
          <cell r="K46">
            <v>0</v>
          </cell>
          <cell r="L46">
            <v>0</v>
          </cell>
          <cell r="M46">
            <v>0</v>
          </cell>
        </row>
        <row r="47">
          <cell r="D47">
            <v>1711</v>
          </cell>
          <cell r="E47" t="str">
            <v>商誉</v>
          </cell>
          <cell r="F47">
            <v>0</v>
          </cell>
          <cell r="G47">
            <v>0</v>
          </cell>
          <cell r="H47">
            <v>0</v>
          </cell>
          <cell r="I47">
            <v>0</v>
          </cell>
          <cell r="J47">
            <v>0</v>
          </cell>
          <cell r="K47">
            <v>0</v>
          </cell>
          <cell r="L47">
            <v>0</v>
          </cell>
          <cell r="M47">
            <v>0</v>
          </cell>
        </row>
        <row r="48">
          <cell r="D48">
            <v>1801</v>
          </cell>
          <cell r="E48" t="str">
            <v>长期待摊费用</v>
          </cell>
          <cell r="F48">
            <v>0</v>
          </cell>
          <cell r="G48">
            <v>0</v>
          </cell>
          <cell r="H48">
            <v>0</v>
          </cell>
          <cell r="I48">
            <v>0</v>
          </cell>
          <cell r="J48">
            <v>0</v>
          </cell>
          <cell r="K48">
            <v>0</v>
          </cell>
          <cell r="L48">
            <v>0</v>
          </cell>
          <cell r="M48">
            <v>0</v>
          </cell>
        </row>
        <row r="49">
          <cell r="D49">
            <v>1811</v>
          </cell>
          <cell r="E49" t="str">
            <v>递延所得税资产</v>
          </cell>
          <cell r="F49">
            <v>0</v>
          </cell>
          <cell r="G49">
            <v>0</v>
          </cell>
          <cell r="H49">
            <v>0</v>
          </cell>
          <cell r="I49">
            <v>0</v>
          </cell>
          <cell r="J49">
            <v>0</v>
          </cell>
          <cell r="K49">
            <v>0</v>
          </cell>
          <cell r="L49">
            <v>0</v>
          </cell>
          <cell r="M49">
            <v>0</v>
          </cell>
        </row>
        <row r="50">
          <cell r="D50">
            <v>1996</v>
          </cell>
          <cell r="E50" t="str">
            <v>其他非流动资产</v>
          </cell>
          <cell r="F50">
            <v>0</v>
          </cell>
          <cell r="G50">
            <v>0</v>
          </cell>
          <cell r="H50">
            <v>0</v>
          </cell>
          <cell r="I50">
            <v>0</v>
          </cell>
          <cell r="J50">
            <v>0</v>
          </cell>
          <cell r="K50">
            <v>0</v>
          </cell>
          <cell r="L50">
            <v>0</v>
          </cell>
          <cell r="M50">
            <v>0</v>
          </cell>
        </row>
        <row r="51">
          <cell r="D51">
            <v>1998</v>
          </cell>
          <cell r="E51" t="str">
            <v>非流动资产</v>
          </cell>
          <cell r="F51">
            <v>120.2</v>
          </cell>
          <cell r="G51">
            <v>-119.41</v>
          </cell>
          <cell r="H51">
            <v>0</v>
          </cell>
          <cell r="I51">
            <v>0.79</v>
          </cell>
          <cell r="J51">
            <v>0</v>
          </cell>
          <cell r="K51">
            <v>0</v>
          </cell>
          <cell r="L51">
            <v>0</v>
          </cell>
          <cell r="M51">
            <v>0</v>
          </cell>
        </row>
        <row r="52">
          <cell r="D52">
            <v>1999</v>
          </cell>
          <cell r="E52" t="str">
            <v>资产</v>
          </cell>
          <cell r="F52">
            <v>206387071.81999999</v>
          </cell>
          <cell r="G52">
            <v>11042824.880000001</v>
          </cell>
          <cell r="H52">
            <v>0</v>
          </cell>
          <cell r="I52">
            <v>217429896.69999999</v>
          </cell>
          <cell r="J52">
            <v>7802571.7199999997</v>
          </cell>
          <cell r="K52">
            <v>0</v>
          </cell>
          <cell r="L52">
            <v>0</v>
          </cell>
          <cell r="M52">
            <v>7802571.7199999997</v>
          </cell>
        </row>
        <row r="53">
          <cell r="D53">
            <v>2000</v>
          </cell>
          <cell r="E53" t="str">
            <v>流动负债项目</v>
          </cell>
          <cell r="G53">
            <v>0</v>
          </cell>
          <cell r="H53">
            <v>0</v>
          </cell>
          <cell r="I53">
            <v>0</v>
          </cell>
          <cell r="K53">
            <v>0</v>
          </cell>
          <cell r="L53">
            <v>0</v>
          </cell>
        </row>
        <row r="54">
          <cell r="D54">
            <v>2001</v>
          </cell>
          <cell r="E54" t="str">
            <v>短期借款</v>
          </cell>
          <cell r="F54">
            <v>0</v>
          </cell>
          <cell r="G54">
            <v>0</v>
          </cell>
          <cell r="H54">
            <v>0</v>
          </cell>
          <cell r="I54">
            <v>0</v>
          </cell>
          <cell r="J54">
            <v>0</v>
          </cell>
          <cell r="K54">
            <v>0</v>
          </cell>
          <cell r="L54">
            <v>0</v>
          </cell>
          <cell r="M54">
            <v>0</v>
          </cell>
        </row>
        <row r="55">
          <cell r="D55">
            <v>2004</v>
          </cell>
          <cell r="E55" t="str">
            <v>向中央银行借款</v>
          </cell>
          <cell r="F55">
            <v>0</v>
          </cell>
          <cell r="G55">
            <v>0</v>
          </cell>
          <cell r="H55">
            <v>0</v>
          </cell>
          <cell r="I55">
            <v>0</v>
          </cell>
          <cell r="J55">
            <v>0</v>
          </cell>
          <cell r="K55">
            <v>0</v>
          </cell>
          <cell r="L55">
            <v>0</v>
          </cell>
          <cell r="M55">
            <v>0</v>
          </cell>
        </row>
        <row r="56">
          <cell r="D56">
            <v>2010</v>
          </cell>
          <cell r="E56" t="str">
            <v>吸收存款及同业存放</v>
          </cell>
          <cell r="F56">
            <v>0</v>
          </cell>
          <cell r="G56">
            <v>0</v>
          </cell>
          <cell r="H56">
            <v>0</v>
          </cell>
          <cell r="I56">
            <v>0</v>
          </cell>
          <cell r="J56">
            <v>0</v>
          </cell>
          <cell r="K56">
            <v>0</v>
          </cell>
          <cell r="L56">
            <v>0</v>
          </cell>
          <cell r="M56">
            <v>0</v>
          </cell>
        </row>
        <row r="57">
          <cell r="D57">
            <v>2003</v>
          </cell>
          <cell r="E57" t="str">
            <v>拆入资金</v>
          </cell>
          <cell r="F57">
            <v>0</v>
          </cell>
          <cell r="G57">
            <v>0</v>
          </cell>
          <cell r="H57">
            <v>0</v>
          </cell>
          <cell r="I57">
            <v>0</v>
          </cell>
          <cell r="J57">
            <v>0</v>
          </cell>
          <cell r="K57">
            <v>0</v>
          </cell>
          <cell r="L57">
            <v>0</v>
          </cell>
          <cell r="M57">
            <v>0</v>
          </cell>
        </row>
        <row r="58">
          <cell r="D58">
            <v>2101</v>
          </cell>
          <cell r="E58" t="str">
            <v>以公允价值计量且其变动计入当期损益的金融负债</v>
          </cell>
          <cell r="F58">
            <v>0</v>
          </cell>
          <cell r="G58">
            <v>0</v>
          </cell>
          <cell r="H58">
            <v>0</v>
          </cell>
          <cell r="I58">
            <v>0</v>
          </cell>
          <cell r="J58">
            <v>0</v>
          </cell>
          <cell r="K58">
            <v>0</v>
          </cell>
          <cell r="L58">
            <v>0</v>
          </cell>
          <cell r="M58">
            <v>0</v>
          </cell>
        </row>
        <row r="59">
          <cell r="D59">
            <v>2115</v>
          </cell>
          <cell r="E59" t="str">
            <v>衍生金融负债</v>
          </cell>
          <cell r="F59">
            <v>0</v>
          </cell>
          <cell r="G59">
            <v>0</v>
          </cell>
          <cell r="H59">
            <v>0</v>
          </cell>
          <cell r="I59">
            <v>0</v>
          </cell>
          <cell r="J59">
            <v>0</v>
          </cell>
          <cell r="K59">
            <v>0</v>
          </cell>
          <cell r="L59">
            <v>0</v>
          </cell>
          <cell r="M59">
            <v>0</v>
          </cell>
        </row>
        <row r="60">
          <cell r="D60">
            <v>2201</v>
          </cell>
          <cell r="E60" t="str">
            <v>应付票据</v>
          </cell>
          <cell r="F60">
            <v>0</v>
          </cell>
          <cell r="G60">
            <v>0</v>
          </cell>
          <cell r="H60">
            <v>0</v>
          </cell>
          <cell r="I60">
            <v>0</v>
          </cell>
          <cell r="J60">
            <v>0</v>
          </cell>
          <cell r="K60">
            <v>0</v>
          </cell>
          <cell r="L60">
            <v>0</v>
          </cell>
          <cell r="M60">
            <v>0</v>
          </cell>
        </row>
        <row r="61">
          <cell r="D61">
            <v>2202</v>
          </cell>
          <cell r="E61" t="str">
            <v>应付账款</v>
          </cell>
          <cell r="F61">
            <v>4113641</v>
          </cell>
          <cell r="G61">
            <v>0</v>
          </cell>
          <cell r="H61">
            <v>850444.29</v>
          </cell>
          <cell r="I61">
            <v>4964085.29</v>
          </cell>
          <cell r="J61">
            <v>5279801.18</v>
          </cell>
          <cell r="K61">
            <v>0</v>
          </cell>
          <cell r="L61">
            <v>0</v>
          </cell>
          <cell r="M61">
            <v>5279801.18</v>
          </cell>
        </row>
        <row r="62">
          <cell r="D62">
            <v>2205</v>
          </cell>
          <cell r="E62" t="str">
            <v>预收款项</v>
          </cell>
          <cell r="F62">
            <v>3162105.2</v>
          </cell>
          <cell r="G62">
            <v>18780.27</v>
          </cell>
          <cell r="H62">
            <v>0</v>
          </cell>
          <cell r="I62">
            <v>3143324.93</v>
          </cell>
          <cell r="J62">
            <v>1545749.53</v>
          </cell>
          <cell r="K62">
            <v>0</v>
          </cell>
          <cell r="L62">
            <v>0</v>
          </cell>
          <cell r="M62">
            <v>1545749.53</v>
          </cell>
        </row>
        <row r="63">
          <cell r="D63">
            <v>2111</v>
          </cell>
          <cell r="E63" t="str">
            <v>卖出回购金融资产款</v>
          </cell>
          <cell r="F63">
            <v>0</v>
          </cell>
          <cell r="G63">
            <v>0</v>
          </cell>
          <cell r="H63">
            <v>0</v>
          </cell>
          <cell r="I63">
            <v>0</v>
          </cell>
          <cell r="J63">
            <v>0</v>
          </cell>
          <cell r="K63">
            <v>0</v>
          </cell>
          <cell r="L63">
            <v>0</v>
          </cell>
          <cell r="M63">
            <v>0</v>
          </cell>
        </row>
        <row r="64">
          <cell r="D64">
            <v>2240</v>
          </cell>
          <cell r="E64" t="str">
            <v>应付手续费及佣金</v>
          </cell>
          <cell r="F64">
            <v>0</v>
          </cell>
          <cell r="G64">
            <v>0</v>
          </cell>
          <cell r="H64">
            <v>0</v>
          </cell>
          <cell r="I64">
            <v>0</v>
          </cell>
          <cell r="J64">
            <v>0</v>
          </cell>
          <cell r="K64">
            <v>0</v>
          </cell>
          <cell r="L64">
            <v>0</v>
          </cell>
          <cell r="M64">
            <v>0</v>
          </cell>
        </row>
        <row r="65">
          <cell r="D65">
            <v>2211</v>
          </cell>
          <cell r="E65" t="str">
            <v>应付职工薪酬</v>
          </cell>
          <cell r="F65">
            <v>0</v>
          </cell>
          <cell r="G65">
            <v>0</v>
          </cell>
          <cell r="H65">
            <v>0</v>
          </cell>
          <cell r="I65">
            <v>0</v>
          </cell>
          <cell r="J65">
            <v>0</v>
          </cell>
          <cell r="K65">
            <v>0</v>
          </cell>
          <cell r="L65">
            <v>0</v>
          </cell>
          <cell r="M65">
            <v>0</v>
          </cell>
        </row>
        <row r="66">
          <cell r="D66">
            <v>2221</v>
          </cell>
          <cell r="E66" t="str">
            <v>应交税费</v>
          </cell>
          <cell r="F66">
            <v>80895.48</v>
          </cell>
          <cell r="G66">
            <v>0</v>
          </cell>
          <cell r="H66">
            <v>0</v>
          </cell>
          <cell r="I66">
            <v>80895.48</v>
          </cell>
          <cell r="J66">
            <v>235538.1</v>
          </cell>
          <cell r="K66">
            <v>0</v>
          </cell>
          <cell r="L66">
            <v>0</v>
          </cell>
          <cell r="M66">
            <v>235538.1</v>
          </cell>
        </row>
        <row r="67">
          <cell r="D67">
            <v>2231</v>
          </cell>
          <cell r="E67" t="str">
            <v>应付利息</v>
          </cell>
          <cell r="F67">
            <v>0</v>
          </cell>
          <cell r="G67">
            <v>0</v>
          </cell>
          <cell r="H67">
            <v>0</v>
          </cell>
          <cell r="I67">
            <v>0</v>
          </cell>
          <cell r="J67">
            <v>0</v>
          </cell>
          <cell r="K67">
            <v>0</v>
          </cell>
          <cell r="L67">
            <v>0</v>
          </cell>
          <cell r="M67">
            <v>0</v>
          </cell>
        </row>
        <row r="68">
          <cell r="D68">
            <v>2232</v>
          </cell>
          <cell r="E68" t="str">
            <v>应付股利</v>
          </cell>
          <cell r="F68">
            <v>0</v>
          </cell>
          <cell r="G68">
            <v>0</v>
          </cell>
          <cell r="H68">
            <v>0</v>
          </cell>
          <cell r="I68">
            <v>0</v>
          </cell>
          <cell r="J68">
            <v>0</v>
          </cell>
          <cell r="K68">
            <v>0</v>
          </cell>
          <cell r="L68">
            <v>0</v>
          </cell>
          <cell r="M68">
            <v>0</v>
          </cell>
        </row>
        <row r="69">
          <cell r="D69">
            <v>2241</v>
          </cell>
          <cell r="E69" t="str">
            <v>其他应付款</v>
          </cell>
          <cell r="F69">
            <v>0</v>
          </cell>
          <cell r="G69">
            <v>0</v>
          </cell>
          <cell r="H69">
            <v>0</v>
          </cell>
          <cell r="I69">
            <v>0</v>
          </cell>
          <cell r="J69">
            <v>0</v>
          </cell>
          <cell r="K69">
            <v>0</v>
          </cell>
          <cell r="L69">
            <v>0</v>
          </cell>
          <cell r="M69">
            <v>0</v>
          </cell>
        </row>
        <row r="70">
          <cell r="D70">
            <v>2261</v>
          </cell>
          <cell r="E70" t="str">
            <v>应付分保账款</v>
          </cell>
          <cell r="F70">
            <v>0</v>
          </cell>
          <cell r="G70">
            <v>0</v>
          </cell>
          <cell r="H70">
            <v>0</v>
          </cell>
          <cell r="I70">
            <v>0</v>
          </cell>
          <cell r="J70">
            <v>0</v>
          </cell>
          <cell r="K70">
            <v>0</v>
          </cell>
          <cell r="L70">
            <v>0</v>
          </cell>
          <cell r="M70">
            <v>0</v>
          </cell>
        </row>
        <row r="71">
          <cell r="D71">
            <v>2310</v>
          </cell>
          <cell r="E71" t="str">
            <v>保险合同准备金</v>
          </cell>
          <cell r="F71">
            <v>0</v>
          </cell>
          <cell r="G71">
            <v>0</v>
          </cell>
          <cell r="H71">
            <v>0</v>
          </cell>
          <cell r="I71">
            <v>0</v>
          </cell>
          <cell r="J71">
            <v>0</v>
          </cell>
          <cell r="K71">
            <v>0</v>
          </cell>
          <cell r="L71">
            <v>0</v>
          </cell>
          <cell r="M71">
            <v>0</v>
          </cell>
        </row>
        <row r="72">
          <cell r="D72">
            <v>2311</v>
          </cell>
          <cell r="E72" t="str">
            <v>代理买卖证券款</v>
          </cell>
          <cell r="F72">
            <v>0</v>
          </cell>
          <cell r="G72">
            <v>0</v>
          </cell>
          <cell r="H72">
            <v>0</v>
          </cell>
          <cell r="I72">
            <v>0</v>
          </cell>
          <cell r="J72">
            <v>0</v>
          </cell>
          <cell r="K72">
            <v>0</v>
          </cell>
          <cell r="L72">
            <v>0</v>
          </cell>
          <cell r="M72">
            <v>0</v>
          </cell>
        </row>
        <row r="73">
          <cell r="D73">
            <v>2312</v>
          </cell>
          <cell r="E73" t="str">
            <v>代理承销证券款</v>
          </cell>
          <cell r="F73">
            <v>0</v>
          </cell>
          <cell r="G73">
            <v>0</v>
          </cell>
          <cell r="H73">
            <v>0</v>
          </cell>
          <cell r="I73">
            <v>0</v>
          </cell>
          <cell r="J73">
            <v>0</v>
          </cell>
          <cell r="K73">
            <v>0</v>
          </cell>
          <cell r="L73">
            <v>0</v>
          </cell>
          <cell r="M73">
            <v>0</v>
          </cell>
        </row>
        <row r="74">
          <cell r="D74">
            <v>2315</v>
          </cell>
          <cell r="E74" t="str">
            <v>划分为持有待售的负债</v>
          </cell>
          <cell r="F74">
            <v>0</v>
          </cell>
          <cell r="G74">
            <v>0</v>
          </cell>
          <cell r="H74">
            <v>0</v>
          </cell>
          <cell r="I74">
            <v>0</v>
          </cell>
          <cell r="J74">
            <v>0</v>
          </cell>
          <cell r="K74">
            <v>0</v>
          </cell>
          <cell r="L74">
            <v>0</v>
          </cell>
          <cell r="M74">
            <v>0</v>
          </cell>
        </row>
        <row r="75">
          <cell r="D75">
            <v>2395</v>
          </cell>
          <cell r="E75" t="str">
            <v>一年内到期的非流动负债</v>
          </cell>
          <cell r="F75">
            <v>0</v>
          </cell>
          <cell r="G75">
            <v>0</v>
          </cell>
          <cell r="H75">
            <v>0</v>
          </cell>
          <cell r="I75">
            <v>0</v>
          </cell>
          <cell r="J75">
            <v>0</v>
          </cell>
          <cell r="K75">
            <v>0</v>
          </cell>
          <cell r="L75">
            <v>0</v>
          </cell>
          <cell r="M75">
            <v>0</v>
          </cell>
        </row>
        <row r="76">
          <cell r="D76">
            <v>2396</v>
          </cell>
          <cell r="E76" t="str">
            <v>其他流动负债</v>
          </cell>
          <cell r="F76">
            <v>0</v>
          </cell>
          <cell r="G76">
            <v>0</v>
          </cell>
          <cell r="H76">
            <v>0</v>
          </cell>
          <cell r="I76">
            <v>0</v>
          </cell>
          <cell r="J76">
            <v>0</v>
          </cell>
          <cell r="K76">
            <v>0</v>
          </cell>
          <cell r="L76">
            <v>0</v>
          </cell>
          <cell r="M76">
            <v>0</v>
          </cell>
        </row>
        <row r="77">
          <cell r="D77">
            <v>2498</v>
          </cell>
          <cell r="E77" t="str">
            <v>流动负债</v>
          </cell>
          <cell r="F77">
            <v>7356641.6799999997</v>
          </cell>
          <cell r="G77">
            <v>18780.27</v>
          </cell>
          <cell r="H77">
            <v>850444.29</v>
          </cell>
          <cell r="I77">
            <v>8188305.7000000002</v>
          </cell>
          <cell r="J77">
            <v>7061088.8099999996</v>
          </cell>
          <cell r="K77">
            <v>0</v>
          </cell>
          <cell r="L77">
            <v>0</v>
          </cell>
          <cell r="M77">
            <v>7061088.8099999996</v>
          </cell>
        </row>
        <row r="78">
          <cell r="D78">
            <v>2500</v>
          </cell>
          <cell r="E78" t="str">
            <v>非流动负债项目</v>
          </cell>
          <cell r="F78">
            <v>0</v>
          </cell>
          <cell r="G78">
            <v>0</v>
          </cell>
          <cell r="H78">
            <v>0</v>
          </cell>
          <cell r="J78">
            <v>0</v>
          </cell>
          <cell r="K78">
            <v>0</v>
          </cell>
          <cell r="L78">
            <v>0</v>
          </cell>
          <cell r="M78">
            <v>0</v>
          </cell>
        </row>
        <row r="79">
          <cell r="D79">
            <v>2501</v>
          </cell>
          <cell r="E79" t="str">
            <v>长期借款</v>
          </cell>
          <cell r="F79">
            <v>0</v>
          </cell>
          <cell r="G79">
            <v>0</v>
          </cell>
          <cell r="H79">
            <v>0</v>
          </cell>
          <cell r="I79">
            <v>0</v>
          </cell>
          <cell r="J79">
            <v>0</v>
          </cell>
          <cell r="K79">
            <v>0</v>
          </cell>
          <cell r="L79">
            <v>0</v>
          </cell>
          <cell r="M79">
            <v>0</v>
          </cell>
        </row>
        <row r="80">
          <cell r="D80">
            <v>2502</v>
          </cell>
          <cell r="E80" t="str">
            <v>应付债券</v>
          </cell>
          <cell r="F80">
            <v>0</v>
          </cell>
          <cell r="G80">
            <v>0</v>
          </cell>
          <cell r="H80">
            <v>0</v>
          </cell>
          <cell r="I80">
            <v>0</v>
          </cell>
          <cell r="J80">
            <v>0</v>
          </cell>
          <cell r="K80">
            <v>0</v>
          </cell>
          <cell r="L80">
            <v>0</v>
          </cell>
          <cell r="M80">
            <v>0</v>
          </cell>
        </row>
        <row r="81">
          <cell r="D81">
            <v>2502.11</v>
          </cell>
          <cell r="E81" t="str">
            <v>应付债券_优先股</v>
          </cell>
          <cell r="F81">
            <v>0</v>
          </cell>
          <cell r="G81">
            <v>0</v>
          </cell>
          <cell r="H81">
            <v>0</v>
          </cell>
          <cell r="I81">
            <v>0</v>
          </cell>
          <cell r="J81">
            <v>0</v>
          </cell>
          <cell r="K81">
            <v>0</v>
          </cell>
          <cell r="L81">
            <v>0</v>
          </cell>
          <cell r="M81">
            <v>0</v>
          </cell>
        </row>
        <row r="82">
          <cell r="D82">
            <v>2502.31</v>
          </cell>
          <cell r="E82" t="str">
            <v>应付债券_永续债</v>
          </cell>
          <cell r="F82">
            <v>0</v>
          </cell>
          <cell r="G82">
            <v>0</v>
          </cell>
          <cell r="H82">
            <v>0</v>
          </cell>
          <cell r="I82">
            <v>0</v>
          </cell>
          <cell r="J82">
            <v>0</v>
          </cell>
          <cell r="K82">
            <v>0</v>
          </cell>
          <cell r="L82">
            <v>0</v>
          </cell>
          <cell r="M82">
            <v>0</v>
          </cell>
        </row>
        <row r="83">
          <cell r="D83">
            <v>2701</v>
          </cell>
          <cell r="E83" t="str">
            <v>长期应付款</v>
          </cell>
          <cell r="F83">
            <v>0</v>
          </cell>
          <cell r="G83">
            <v>0</v>
          </cell>
          <cell r="H83">
            <v>0</v>
          </cell>
          <cell r="I83">
            <v>0</v>
          </cell>
          <cell r="J83">
            <v>0</v>
          </cell>
          <cell r="K83">
            <v>0</v>
          </cell>
          <cell r="L83">
            <v>0</v>
          </cell>
          <cell r="M83">
            <v>0</v>
          </cell>
        </row>
        <row r="84">
          <cell r="D84">
            <v>2715</v>
          </cell>
          <cell r="E84" t="str">
            <v>长期应付职工薪酬</v>
          </cell>
          <cell r="F84">
            <v>0</v>
          </cell>
          <cell r="G84">
            <v>0</v>
          </cell>
          <cell r="H84">
            <v>0</v>
          </cell>
          <cell r="I84">
            <v>0</v>
          </cell>
          <cell r="J84">
            <v>0</v>
          </cell>
          <cell r="K84">
            <v>0</v>
          </cell>
          <cell r="L84">
            <v>0</v>
          </cell>
          <cell r="M84">
            <v>0</v>
          </cell>
        </row>
        <row r="85">
          <cell r="D85">
            <v>2711</v>
          </cell>
          <cell r="E85" t="str">
            <v>专项应付款</v>
          </cell>
          <cell r="F85">
            <v>0</v>
          </cell>
          <cell r="G85">
            <v>0</v>
          </cell>
          <cell r="H85">
            <v>0</v>
          </cell>
          <cell r="I85">
            <v>0</v>
          </cell>
          <cell r="J85">
            <v>0</v>
          </cell>
          <cell r="K85">
            <v>0</v>
          </cell>
          <cell r="L85">
            <v>0</v>
          </cell>
          <cell r="M85">
            <v>0</v>
          </cell>
        </row>
        <row r="86">
          <cell r="D86">
            <v>2801</v>
          </cell>
          <cell r="E86" t="str">
            <v>预计负债</v>
          </cell>
          <cell r="F86">
            <v>0</v>
          </cell>
          <cell r="G86">
            <v>0</v>
          </cell>
          <cell r="H86">
            <v>0</v>
          </cell>
          <cell r="I86">
            <v>0</v>
          </cell>
          <cell r="J86">
            <v>0</v>
          </cell>
          <cell r="K86">
            <v>0</v>
          </cell>
          <cell r="L86">
            <v>0</v>
          </cell>
          <cell r="M86">
            <v>0</v>
          </cell>
        </row>
        <row r="87">
          <cell r="D87">
            <v>2401</v>
          </cell>
          <cell r="E87" t="str">
            <v>递延收益</v>
          </cell>
          <cell r="F87">
            <v>0</v>
          </cell>
          <cell r="G87">
            <v>0</v>
          </cell>
          <cell r="H87">
            <v>0</v>
          </cell>
          <cell r="I87">
            <v>0</v>
          </cell>
          <cell r="J87">
            <v>0</v>
          </cell>
          <cell r="K87">
            <v>0</v>
          </cell>
          <cell r="L87">
            <v>0</v>
          </cell>
          <cell r="M87">
            <v>0</v>
          </cell>
        </row>
        <row r="88">
          <cell r="D88">
            <v>2901</v>
          </cell>
          <cell r="E88" t="str">
            <v>递延所得税负债</v>
          </cell>
          <cell r="F88">
            <v>0</v>
          </cell>
          <cell r="G88">
            <v>0</v>
          </cell>
          <cell r="H88">
            <v>0</v>
          </cell>
          <cell r="I88">
            <v>0</v>
          </cell>
          <cell r="J88">
            <v>0</v>
          </cell>
          <cell r="K88">
            <v>0</v>
          </cell>
          <cell r="L88">
            <v>0</v>
          </cell>
          <cell r="M88">
            <v>0</v>
          </cell>
        </row>
        <row r="89">
          <cell r="D89">
            <v>2996</v>
          </cell>
          <cell r="E89" t="str">
            <v>其他非流动负债</v>
          </cell>
          <cell r="F89">
            <v>0</v>
          </cell>
          <cell r="G89">
            <v>0</v>
          </cell>
          <cell r="H89">
            <v>0</v>
          </cell>
          <cell r="I89">
            <v>0</v>
          </cell>
          <cell r="J89">
            <v>0</v>
          </cell>
          <cell r="K89">
            <v>0</v>
          </cell>
          <cell r="L89">
            <v>0</v>
          </cell>
          <cell r="M89">
            <v>0</v>
          </cell>
        </row>
        <row r="90">
          <cell r="D90">
            <v>2998</v>
          </cell>
          <cell r="E90" t="str">
            <v>非流动负债</v>
          </cell>
          <cell r="F90">
            <v>0</v>
          </cell>
          <cell r="G90">
            <v>0</v>
          </cell>
          <cell r="H90">
            <v>0</v>
          </cell>
          <cell r="I90">
            <v>0</v>
          </cell>
          <cell r="J90">
            <v>0</v>
          </cell>
          <cell r="K90">
            <v>0</v>
          </cell>
          <cell r="L90">
            <v>0</v>
          </cell>
          <cell r="M90">
            <v>0</v>
          </cell>
        </row>
        <row r="91">
          <cell r="D91">
            <v>2999</v>
          </cell>
          <cell r="E91" t="str">
            <v>负债</v>
          </cell>
          <cell r="F91">
            <v>7356641.6799999997</v>
          </cell>
          <cell r="G91">
            <v>18780.27</v>
          </cell>
          <cell r="H91">
            <v>850444.29</v>
          </cell>
          <cell r="I91">
            <v>8188305.7000000002</v>
          </cell>
          <cell r="J91">
            <v>7061088.8099999996</v>
          </cell>
          <cell r="K91">
            <v>0</v>
          </cell>
          <cell r="L91">
            <v>0</v>
          </cell>
          <cell r="M91">
            <v>7061088.8099999996</v>
          </cell>
        </row>
        <row r="92">
          <cell r="D92">
            <v>4000</v>
          </cell>
          <cell r="E92" t="str">
            <v>所有者权益项目</v>
          </cell>
          <cell r="F92">
            <v>0</v>
          </cell>
          <cell r="G92">
            <v>0</v>
          </cell>
          <cell r="H92">
            <v>0</v>
          </cell>
          <cell r="J92">
            <v>0</v>
          </cell>
          <cell r="K92">
            <v>0</v>
          </cell>
          <cell r="L92">
            <v>0</v>
          </cell>
          <cell r="M92">
            <v>0</v>
          </cell>
        </row>
        <row r="93">
          <cell r="D93">
            <v>4001</v>
          </cell>
          <cell r="E93" t="str">
            <v>实收资本</v>
          </cell>
          <cell r="F93">
            <v>197917500</v>
          </cell>
          <cell r="G93">
            <v>0</v>
          </cell>
          <cell r="H93">
            <v>0</v>
          </cell>
          <cell r="I93">
            <v>197917500</v>
          </cell>
          <cell r="J93">
            <v>0</v>
          </cell>
          <cell r="K93">
            <v>0</v>
          </cell>
          <cell r="L93">
            <v>0</v>
          </cell>
          <cell r="M93">
            <v>0</v>
          </cell>
        </row>
        <row r="94">
          <cell r="D94">
            <v>4015</v>
          </cell>
          <cell r="E94" t="str">
            <v>其他权益工具</v>
          </cell>
          <cell r="F94">
            <v>0</v>
          </cell>
          <cell r="G94">
            <v>0</v>
          </cell>
          <cell r="H94">
            <v>0</v>
          </cell>
          <cell r="I94">
            <v>0</v>
          </cell>
          <cell r="J94">
            <v>0</v>
          </cell>
          <cell r="K94">
            <v>0</v>
          </cell>
          <cell r="L94">
            <v>0</v>
          </cell>
          <cell r="M94">
            <v>0</v>
          </cell>
        </row>
        <row r="95">
          <cell r="D95">
            <v>4015.11</v>
          </cell>
          <cell r="E95" t="str">
            <v>其他权益工具_优先股</v>
          </cell>
          <cell r="F95">
            <v>0</v>
          </cell>
          <cell r="G95">
            <v>0</v>
          </cell>
          <cell r="H95">
            <v>0</v>
          </cell>
          <cell r="I95">
            <v>0</v>
          </cell>
          <cell r="J95">
            <v>0</v>
          </cell>
          <cell r="K95">
            <v>0</v>
          </cell>
          <cell r="L95">
            <v>0</v>
          </cell>
          <cell r="M95">
            <v>0</v>
          </cell>
        </row>
        <row r="96">
          <cell r="D96">
            <v>4015.31</v>
          </cell>
          <cell r="E96" t="str">
            <v>其他权益工具_永续债</v>
          </cell>
          <cell r="F96">
            <v>0</v>
          </cell>
          <cell r="G96">
            <v>0</v>
          </cell>
          <cell r="H96">
            <v>0</v>
          </cell>
          <cell r="I96">
            <v>0</v>
          </cell>
          <cell r="J96">
            <v>0</v>
          </cell>
          <cell r="K96">
            <v>0</v>
          </cell>
          <cell r="L96">
            <v>0</v>
          </cell>
          <cell r="M96">
            <v>0</v>
          </cell>
        </row>
        <row r="97">
          <cell r="D97">
            <v>4002</v>
          </cell>
          <cell r="E97" t="str">
            <v>资本公积</v>
          </cell>
          <cell r="F97">
            <v>0</v>
          </cell>
          <cell r="G97">
            <v>0</v>
          </cell>
          <cell r="H97">
            <v>0</v>
          </cell>
          <cell r="I97">
            <v>0</v>
          </cell>
          <cell r="J97">
            <v>0</v>
          </cell>
          <cell r="K97">
            <v>0</v>
          </cell>
          <cell r="L97">
            <v>0</v>
          </cell>
          <cell r="M97">
            <v>0</v>
          </cell>
        </row>
        <row r="98">
          <cell r="D98">
            <v>4201</v>
          </cell>
          <cell r="E98" t="str">
            <v>库存股</v>
          </cell>
          <cell r="F98">
            <v>0</v>
          </cell>
          <cell r="G98">
            <v>0</v>
          </cell>
          <cell r="H98">
            <v>0</v>
          </cell>
          <cell r="I98">
            <v>0</v>
          </cell>
          <cell r="J98">
            <v>0</v>
          </cell>
          <cell r="K98">
            <v>0</v>
          </cell>
          <cell r="L98">
            <v>0</v>
          </cell>
          <cell r="M98">
            <v>0</v>
          </cell>
        </row>
        <row r="99">
          <cell r="D99">
            <v>4215</v>
          </cell>
          <cell r="E99" t="str">
            <v>其他综合收益</v>
          </cell>
          <cell r="F99">
            <v>0</v>
          </cell>
          <cell r="G99">
            <v>0</v>
          </cell>
          <cell r="H99">
            <v>0</v>
          </cell>
          <cell r="I99">
            <v>0</v>
          </cell>
          <cell r="J99">
            <v>0</v>
          </cell>
          <cell r="K99">
            <v>0</v>
          </cell>
          <cell r="L99">
            <v>0</v>
          </cell>
          <cell r="M99">
            <v>0</v>
          </cell>
        </row>
        <row r="100">
          <cell r="D100">
            <v>4301</v>
          </cell>
          <cell r="E100" t="str">
            <v>专项储备</v>
          </cell>
          <cell r="F100">
            <v>0</v>
          </cell>
          <cell r="G100">
            <v>0</v>
          </cell>
          <cell r="H100">
            <v>0</v>
          </cell>
          <cell r="I100">
            <v>0</v>
          </cell>
          <cell r="J100">
            <v>0</v>
          </cell>
          <cell r="K100">
            <v>0</v>
          </cell>
          <cell r="L100">
            <v>0</v>
          </cell>
          <cell r="M100">
            <v>0</v>
          </cell>
        </row>
        <row r="101">
          <cell r="D101">
            <v>4101</v>
          </cell>
          <cell r="E101" t="str">
            <v>盈余公积</v>
          </cell>
          <cell r="F101">
            <v>0</v>
          </cell>
          <cell r="G101">
            <v>0</v>
          </cell>
          <cell r="H101">
            <v>0</v>
          </cell>
          <cell r="I101">
            <v>0</v>
          </cell>
          <cell r="J101">
            <v>0</v>
          </cell>
          <cell r="K101">
            <v>0</v>
          </cell>
          <cell r="L101">
            <v>0</v>
          </cell>
          <cell r="M101">
            <v>0</v>
          </cell>
        </row>
        <row r="102">
          <cell r="D102">
            <v>4102</v>
          </cell>
          <cell r="E102" t="str">
            <v>一般风险准备</v>
          </cell>
          <cell r="F102">
            <v>0</v>
          </cell>
          <cell r="G102">
            <v>0</v>
          </cell>
          <cell r="H102">
            <v>0</v>
          </cell>
          <cell r="I102">
            <v>0</v>
          </cell>
          <cell r="J102">
            <v>0</v>
          </cell>
          <cell r="K102">
            <v>0</v>
          </cell>
          <cell r="L102">
            <v>0</v>
          </cell>
          <cell r="M102">
            <v>0</v>
          </cell>
        </row>
        <row r="103">
          <cell r="D103">
            <v>4200</v>
          </cell>
          <cell r="E103" t="str">
            <v>未分配利润</v>
          </cell>
          <cell r="F103">
            <v>1112930.1399999999</v>
          </cell>
          <cell r="G103">
            <v>850563.7</v>
          </cell>
          <cell r="H103">
            <v>11061724.560000001</v>
          </cell>
          <cell r="I103">
            <v>11324091</v>
          </cell>
          <cell r="J103">
            <v>741482.91</v>
          </cell>
          <cell r="K103">
            <v>0</v>
          </cell>
          <cell r="L103">
            <v>0</v>
          </cell>
          <cell r="M103">
            <v>741482.91</v>
          </cell>
        </row>
        <row r="104">
          <cell r="D104">
            <v>4210</v>
          </cell>
          <cell r="E104" t="str">
            <v>外币报表折算差额</v>
          </cell>
          <cell r="I104">
            <v>0</v>
          </cell>
          <cell r="M104">
            <v>0</v>
          </cell>
        </row>
        <row r="105">
          <cell r="D105">
            <v>4298</v>
          </cell>
          <cell r="E105" t="str">
            <v>归属于母公司所有者权益</v>
          </cell>
          <cell r="F105">
            <v>199030430.13999999</v>
          </cell>
          <cell r="G105">
            <v>850563.7</v>
          </cell>
          <cell r="H105">
            <v>11061724.560000001</v>
          </cell>
          <cell r="I105">
            <v>209241591</v>
          </cell>
          <cell r="J105">
            <v>741482.91</v>
          </cell>
          <cell r="K105">
            <v>0</v>
          </cell>
          <cell r="L105">
            <v>0</v>
          </cell>
          <cell r="M105">
            <v>741482.91</v>
          </cell>
        </row>
        <row r="106">
          <cell r="D106">
            <v>4398</v>
          </cell>
          <cell r="E106" t="str">
            <v>少数股东权益</v>
          </cell>
          <cell r="F106">
            <v>0</v>
          </cell>
          <cell r="G106">
            <v>0</v>
          </cell>
          <cell r="H106">
            <v>0</v>
          </cell>
          <cell r="I106">
            <v>0</v>
          </cell>
          <cell r="J106">
            <v>0</v>
          </cell>
          <cell r="K106">
            <v>0</v>
          </cell>
          <cell r="L106">
            <v>0</v>
          </cell>
          <cell r="M106">
            <v>0</v>
          </cell>
        </row>
        <row r="107">
          <cell r="D107">
            <v>4999</v>
          </cell>
          <cell r="E107" t="str">
            <v>所有者权益</v>
          </cell>
          <cell r="F107">
            <v>199030430.13999999</v>
          </cell>
          <cell r="G107">
            <v>850563.7</v>
          </cell>
          <cell r="H107">
            <v>11061724.560000001</v>
          </cell>
          <cell r="I107">
            <v>209241591</v>
          </cell>
          <cell r="J107">
            <v>741482.91</v>
          </cell>
          <cell r="K107">
            <v>0</v>
          </cell>
          <cell r="L107">
            <v>0</v>
          </cell>
          <cell r="M107">
            <v>741482.91</v>
          </cell>
        </row>
        <row r="108">
          <cell r="D108">
            <v>5000</v>
          </cell>
          <cell r="E108" t="str">
            <v>负债和所有者权益</v>
          </cell>
          <cell r="F108">
            <v>206387071.81999999</v>
          </cell>
          <cell r="G108">
            <v>869343.97</v>
          </cell>
          <cell r="H108">
            <v>11912168.85</v>
          </cell>
          <cell r="I108">
            <v>217429896.69999999</v>
          </cell>
          <cell r="J108">
            <v>7802571.7199999997</v>
          </cell>
          <cell r="K108">
            <v>0</v>
          </cell>
          <cell r="L108">
            <v>0</v>
          </cell>
          <cell r="M108">
            <v>7802571.7199999997</v>
          </cell>
        </row>
        <row r="109">
          <cell r="D109">
            <v>6</v>
          </cell>
          <cell r="E109" t="str">
            <v>利润表</v>
          </cell>
          <cell r="G109">
            <v>0</v>
          </cell>
          <cell r="H109">
            <v>0</v>
          </cell>
          <cell r="K109">
            <v>0</v>
          </cell>
          <cell r="L109">
            <v>0</v>
          </cell>
        </row>
        <row r="110">
          <cell r="D110">
            <v>6098</v>
          </cell>
          <cell r="E110" t="str">
            <v>营业总收入</v>
          </cell>
          <cell r="F110">
            <v>40325836.280000001</v>
          </cell>
          <cell r="G110">
            <v>0</v>
          </cell>
          <cell r="H110">
            <v>850444.29</v>
          </cell>
          <cell r="I110">
            <v>41176280.57</v>
          </cell>
          <cell r="J110">
            <v>0</v>
          </cell>
          <cell r="K110">
            <v>0</v>
          </cell>
          <cell r="L110">
            <v>0</v>
          </cell>
          <cell r="M110">
            <v>0</v>
          </cell>
        </row>
        <row r="111">
          <cell r="D111">
            <v>6001</v>
          </cell>
          <cell r="E111" t="str">
            <v>营业收入</v>
          </cell>
          <cell r="F111">
            <v>40325836.280000001</v>
          </cell>
          <cell r="G111">
            <v>0</v>
          </cell>
          <cell r="H111">
            <v>850444.29</v>
          </cell>
          <cell r="I111">
            <v>41176280.57</v>
          </cell>
          <cell r="J111">
            <v>0</v>
          </cell>
          <cell r="K111">
            <v>0</v>
          </cell>
          <cell r="L111">
            <v>0</v>
          </cell>
          <cell r="M111">
            <v>0</v>
          </cell>
        </row>
        <row r="112">
          <cell r="D112">
            <v>6011</v>
          </cell>
          <cell r="E112" t="str">
            <v>利息收入</v>
          </cell>
          <cell r="F112">
            <v>0</v>
          </cell>
          <cell r="G112">
            <v>0</v>
          </cell>
          <cell r="H112">
            <v>0</v>
          </cell>
          <cell r="I112">
            <v>0</v>
          </cell>
          <cell r="J112">
            <v>0</v>
          </cell>
          <cell r="K112">
            <v>0</v>
          </cell>
          <cell r="L112">
            <v>0</v>
          </cell>
          <cell r="M112">
            <v>0</v>
          </cell>
        </row>
        <row r="113">
          <cell r="D113">
            <v>6030</v>
          </cell>
          <cell r="E113" t="str">
            <v>已赚保费</v>
          </cell>
          <cell r="F113">
            <v>0</v>
          </cell>
          <cell r="G113">
            <v>0</v>
          </cell>
          <cell r="H113">
            <v>0</v>
          </cell>
          <cell r="I113">
            <v>0</v>
          </cell>
          <cell r="J113">
            <v>0</v>
          </cell>
          <cell r="K113">
            <v>0</v>
          </cell>
          <cell r="L113">
            <v>0</v>
          </cell>
          <cell r="M113">
            <v>0</v>
          </cell>
        </row>
        <row r="114">
          <cell r="D114">
            <v>6021</v>
          </cell>
          <cell r="E114" t="str">
            <v>手续费及佣金收入</v>
          </cell>
          <cell r="F114">
            <v>0</v>
          </cell>
          <cell r="G114">
            <v>0</v>
          </cell>
          <cell r="H114">
            <v>0</v>
          </cell>
          <cell r="I114">
            <v>0</v>
          </cell>
          <cell r="J114">
            <v>0</v>
          </cell>
          <cell r="K114">
            <v>0</v>
          </cell>
          <cell r="L114">
            <v>0</v>
          </cell>
          <cell r="M114">
            <v>0</v>
          </cell>
        </row>
        <row r="115">
          <cell r="D115">
            <v>6598</v>
          </cell>
          <cell r="E115" t="str">
            <v>营业总成本</v>
          </cell>
          <cell r="F115">
            <v>39947783.229999997</v>
          </cell>
          <cell r="G115">
            <v>850563.7</v>
          </cell>
          <cell r="H115">
            <v>10211280.27</v>
          </cell>
          <cell r="I115">
            <v>30587066.66</v>
          </cell>
          <cell r="J115">
            <v>0</v>
          </cell>
          <cell r="K115">
            <v>0</v>
          </cell>
          <cell r="L115">
            <v>0</v>
          </cell>
          <cell r="M115">
            <v>0</v>
          </cell>
        </row>
        <row r="116">
          <cell r="D116">
            <v>6401</v>
          </cell>
          <cell r="E116" t="str">
            <v>营业成本</v>
          </cell>
          <cell r="F116">
            <v>40063609.289999999</v>
          </cell>
          <cell r="G116">
            <v>850444.29</v>
          </cell>
          <cell r="H116">
            <v>0</v>
          </cell>
          <cell r="I116">
            <v>40914053.579999998</v>
          </cell>
          <cell r="J116">
            <v>0</v>
          </cell>
          <cell r="K116">
            <v>0</v>
          </cell>
          <cell r="L116">
            <v>0</v>
          </cell>
          <cell r="M116">
            <v>0</v>
          </cell>
        </row>
        <row r="117">
          <cell r="D117">
            <v>6411</v>
          </cell>
          <cell r="E117" t="str">
            <v>利息支出</v>
          </cell>
          <cell r="F117">
            <v>0</v>
          </cell>
          <cell r="G117">
            <v>0</v>
          </cell>
          <cell r="H117">
            <v>0</v>
          </cell>
          <cell r="I117">
            <v>0</v>
          </cell>
          <cell r="J117">
            <v>0</v>
          </cell>
          <cell r="K117">
            <v>0</v>
          </cell>
          <cell r="L117">
            <v>0</v>
          </cell>
          <cell r="M117">
            <v>0</v>
          </cell>
        </row>
        <row r="118">
          <cell r="D118">
            <v>6421</v>
          </cell>
          <cell r="E118" t="str">
            <v>手续费及佣金支出</v>
          </cell>
          <cell r="F118">
            <v>0</v>
          </cell>
          <cell r="G118">
            <v>0</v>
          </cell>
          <cell r="H118">
            <v>0</v>
          </cell>
          <cell r="I118">
            <v>0</v>
          </cell>
          <cell r="J118">
            <v>0</v>
          </cell>
          <cell r="K118">
            <v>0</v>
          </cell>
          <cell r="L118">
            <v>0</v>
          </cell>
          <cell r="M118">
            <v>0</v>
          </cell>
        </row>
        <row r="119">
          <cell r="D119">
            <v>6531</v>
          </cell>
          <cell r="E119" t="str">
            <v>退保金</v>
          </cell>
          <cell r="F119">
            <v>0</v>
          </cell>
          <cell r="G119">
            <v>0</v>
          </cell>
          <cell r="H119">
            <v>0</v>
          </cell>
          <cell r="I119">
            <v>0</v>
          </cell>
          <cell r="J119">
            <v>0</v>
          </cell>
          <cell r="K119">
            <v>0</v>
          </cell>
          <cell r="L119">
            <v>0</v>
          </cell>
          <cell r="M119">
            <v>0</v>
          </cell>
        </row>
        <row r="120">
          <cell r="D120">
            <v>6510</v>
          </cell>
          <cell r="E120" t="str">
            <v>赔付支出净额</v>
          </cell>
          <cell r="F120">
            <v>0</v>
          </cell>
          <cell r="G120">
            <v>0</v>
          </cell>
          <cell r="H120">
            <v>0</v>
          </cell>
          <cell r="I120">
            <v>0</v>
          </cell>
          <cell r="J120">
            <v>0</v>
          </cell>
          <cell r="K120">
            <v>0</v>
          </cell>
          <cell r="L120">
            <v>0</v>
          </cell>
          <cell r="M120">
            <v>0</v>
          </cell>
        </row>
        <row r="121">
          <cell r="D121">
            <v>6505</v>
          </cell>
          <cell r="E121" t="str">
            <v>提取保险合同准备金净额</v>
          </cell>
          <cell r="F121">
            <v>0</v>
          </cell>
          <cell r="G121">
            <v>0</v>
          </cell>
          <cell r="H121">
            <v>0</v>
          </cell>
          <cell r="I121">
            <v>0</v>
          </cell>
          <cell r="J121">
            <v>0</v>
          </cell>
          <cell r="K121">
            <v>0</v>
          </cell>
          <cell r="L121">
            <v>0</v>
          </cell>
          <cell r="M121">
            <v>0</v>
          </cell>
        </row>
        <row r="122">
          <cell r="D122">
            <v>6521</v>
          </cell>
          <cell r="E122" t="str">
            <v>保单红利支出</v>
          </cell>
          <cell r="F122">
            <v>0</v>
          </cell>
          <cell r="G122">
            <v>0</v>
          </cell>
          <cell r="H122">
            <v>0</v>
          </cell>
          <cell r="I122">
            <v>0</v>
          </cell>
          <cell r="J122">
            <v>0</v>
          </cell>
          <cell r="K122">
            <v>0</v>
          </cell>
          <cell r="L122">
            <v>0</v>
          </cell>
          <cell r="M122">
            <v>0</v>
          </cell>
        </row>
        <row r="123">
          <cell r="D123">
            <v>6542</v>
          </cell>
          <cell r="E123" t="str">
            <v>分保费用</v>
          </cell>
          <cell r="F123">
            <v>0</v>
          </cell>
          <cell r="G123">
            <v>0</v>
          </cell>
          <cell r="H123">
            <v>0</v>
          </cell>
          <cell r="I123">
            <v>0</v>
          </cell>
          <cell r="J123">
            <v>0</v>
          </cell>
          <cell r="K123">
            <v>0</v>
          </cell>
          <cell r="L123">
            <v>0</v>
          </cell>
          <cell r="M123">
            <v>0</v>
          </cell>
        </row>
        <row r="124">
          <cell r="D124">
            <v>6600</v>
          </cell>
          <cell r="E124" t="str">
            <v>营业税金及附加</v>
          </cell>
          <cell r="F124">
            <v>0</v>
          </cell>
          <cell r="G124">
            <v>0</v>
          </cell>
          <cell r="H124">
            <v>0</v>
          </cell>
          <cell r="I124">
            <v>0</v>
          </cell>
          <cell r="J124">
            <v>0</v>
          </cell>
          <cell r="K124">
            <v>0</v>
          </cell>
          <cell r="L124">
            <v>0</v>
          </cell>
          <cell r="M124">
            <v>0</v>
          </cell>
        </row>
        <row r="125">
          <cell r="D125">
            <v>6601</v>
          </cell>
          <cell r="E125" t="str">
            <v>销售费用</v>
          </cell>
          <cell r="F125">
            <v>47795.86</v>
          </cell>
          <cell r="G125">
            <v>0</v>
          </cell>
          <cell r="H125">
            <v>0</v>
          </cell>
          <cell r="I125">
            <v>47795.86</v>
          </cell>
          <cell r="J125">
            <v>0</v>
          </cell>
          <cell r="K125">
            <v>0</v>
          </cell>
          <cell r="L125">
            <v>0</v>
          </cell>
          <cell r="M125">
            <v>0</v>
          </cell>
        </row>
        <row r="126">
          <cell r="D126">
            <v>6602</v>
          </cell>
          <cell r="E126" t="str">
            <v>管理费用</v>
          </cell>
          <cell r="F126">
            <v>4539.1000000000004</v>
          </cell>
          <cell r="G126">
            <v>0</v>
          </cell>
          <cell r="H126">
            <v>0</v>
          </cell>
          <cell r="I126">
            <v>4539.1000000000004</v>
          </cell>
          <cell r="J126">
            <v>0</v>
          </cell>
          <cell r="K126">
            <v>0</v>
          </cell>
          <cell r="L126">
            <v>0</v>
          </cell>
          <cell r="M126">
            <v>0</v>
          </cell>
        </row>
        <row r="127">
          <cell r="D127">
            <v>6603</v>
          </cell>
          <cell r="E127" t="str">
            <v>财务费用</v>
          </cell>
          <cell r="F127">
            <v>-63407.49</v>
          </cell>
          <cell r="G127">
            <v>119.41</v>
          </cell>
          <cell r="H127">
            <v>10211280.27</v>
          </cell>
          <cell r="I127">
            <v>-10274568.35</v>
          </cell>
          <cell r="J127">
            <v>0</v>
          </cell>
          <cell r="K127">
            <v>0</v>
          </cell>
          <cell r="L127">
            <v>0</v>
          </cell>
          <cell r="M127">
            <v>0</v>
          </cell>
        </row>
        <row r="128">
          <cell r="D128">
            <v>6671</v>
          </cell>
          <cell r="E128" t="str">
            <v>资产减值损失</v>
          </cell>
          <cell r="F128">
            <v>-104753.53</v>
          </cell>
          <cell r="G128">
            <v>0</v>
          </cell>
          <cell r="H128">
            <v>0</v>
          </cell>
          <cell r="I128">
            <v>-104753.53</v>
          </cell>
          <cell r="J128">
            <v>0</v>
          </cell>
          <cell r="K128">
            <v>0</v>
          </cell>
          <cell r="L128">
            <v>0</v>
          </cell>
          <cell r="M128">
            <v>0</v>
          </cell>
        </row>
        <row r="129">
          <cell r="D129">
            <v>6101</v>
          </cell>
          <cell r="E129" t="str">
            <v>公允价值变动收益</v>
          </cell>
          <cell r="F129">
            <v>0</v>
          </cell>
          <cell r="G129">
            <v>0</v>
          </cell>
          <cell r="H129">
            <v>0</v>
          </cell>
          <cell r="I129">
            <v>0</v>
          </cell>
          <cell r="J129">
            <v>0</v>
          </cell>
          <cell r="K129">
            <v>0</v>
          </cell>
          <cell r="L129">
            <v>0</v>
          </cell>
          <cell r="M129">
            <v>0</v>
          </cell>
        </row>
        <row r="130">
          <cell r="D130">
            <v>6111</v>
          </cell>
          <cell r="E130" t="str">
            <v>投资收益</v>
          </cell>
          <cell r="F130">
            <v>0</v>
          </cell>
          <cell r="G130">
            <v>0</v>
          </cell>
          <cell r="H130">
            <v>0</v>
          </cell>
          <cell r="I130">
            <v>0</v>
          </cell>
          <cell r="J130">
            <v>0</v>
          </cell>
          <cell r="K130">
            <v>0</v>
          </cell>
          <cell r="L130">
            <v>0</v>
          </cell>
          <cell r="M130">
            <v>0</v>
          </cell>
        </row>
        <row r="131">
          <cell r="D131">
            <v>6111.01</v>
          </cell>
          <cell r="E131" t="str">
            <v>对联营企业和合营企业的投资收益</v>
          </cell>
          <cell r="F131">
            <v>0</v>
          </cell>
          <cell r="G131">
            <v>0</v>
          </cell>
          <cell r="H131">
            <v>0</v>
          </cell>
          <cell r="I131">
            <v>0</v>
          </cell>
          <cell r="J131">
            <v>0</v>
          </cell>
          <cell r="K131">
            <v>0</v>
          </cell>
          <cell r="L131">
            <v>0</v>
          </cell>
          <cell r="M131">
            <v>0</v>
          </cell>
        </row>
        <row r="132">
          <cell r="D132">
            <v>6161</v>
          </cell>
          <cell r="E132" t="str">
            <v>汇兑收益</v>
          </cell>
          <cell r="F132">
            <v>0</v>
          </cell>
          <cell r="G132">
            <v>0</v>
          </cell>
          <cell r="H132">
            <v>0</v>
          </cell>
          <cell r="I132">
            <v>0</v>
          </cell>
          <cell r="J132">
            <v>0</v>
          </cell>
          <cell r="K132">
            <v>0</v>
          </cell>
          <cell r="L132">
            <v>0</v>
          </cell>
          <cell r="M132">
            <v>0</v>
          </cell>
        </row>
        <row r="133">
          <cell r="D133">
            <v>6689</v>
          </cell>
          <cell r="E133" t="str">
            <v>营业利润</v>
          </cell>
          <cell r="F133">
            <v>378053.05</v>
          </cell>
          <cell r="G133">
            <v>850563.7</v>
          </cell>
          <cell r="H133">
            <v>11061724.560000001</v>
          </cell>
          <cell r="I133">
            <v>10589213.91</v>
          </cell>
          <cell r="J133">
            <v>0</v>
          </cell>
          <cell r="K133">
            <v>0</v>
          </cell>
          <cell r="L133">
            <v>0</v>
          </cell>
          <cell r="M133">
            <v>0</v>
          </cell>
        </row>
        <row r="134">
          <cell r="D134">
            <v>6710</v>
          </cell>
          <cell r="E134" t="str">
            <v>营业外收入</v>
          </cell>
          <cell r="F134">
            <v>0</v>
          </cell>
          <cell r="G134">
            <v>0</v>
          </cell>
          <cell r="H134">
            <v>0</v>
          </cell>
          <cell r="I134">
            <v>0</v>
          </cell>
          <cell r="J134">
            <v>0</v>
          </cell>
          <cell r="K134">
            <v>0</v>
          </cell>
          <cell r="L134">
            <v>0</v>
          </cell>
          <cell r="M134">
            <v>0</v>
          </cell>
        </row>
        <row r="135">
          <cell r="D135">
            <v>6710.11</v>
          </cell>
          <cell r="E135" t="str">
            <v>营业外收入_非流动资产处置利得</v>
          </cell>
          <cell r="F135">
            <v>0</v>
          </cell>
          <cell r="G135">
            <v>0</v>
          </cell>
          <cell r="H135">
            <v>0</v>
          </cell>
          <cell r="I135">
            <v>0</v>
          </cell>
          <cell r="J135">
            <v>0</v>
          </cell>
          <cell r="K135">
            <v>0</v>
          </cell>
          <cell r="L135">
            <v>0</v>
          </cell>
          <cell r="M135">
            <v>0</v>
          </cell>
        </row>
        <row r="136">
          <cell r="D136">
            <v>6711</v>
          </cell>
          <cell r="E136" t="str">
            <v>营业外支出</v>
          </cell>
          <cell r="F136">
            <v>6605.82</v>
          </cell>
          <cell r="G136">
            <v>0</v>
          </cell>
          <cell r="H136">
            <v>0</v>
          </cell>
          <cell r="I136">
            <v>6605.82</v>
          </cell>
          <cell r="J136">
            <v>0</v>
          </cell>
          <cell r="K136">
            <v>0</v>
          </cell>
          <cell r="L136">
            <v>0</v>
          </cell>
          <cell r="M136">
            <v>0</v>
          </cell>
        </row>
        <row r="137">
          <cell r="D137">
            <v>6711.01</v>
          </cell>
          <cell r="E137" t="str">
            <v>非流动资产处置损失</v>
          </cell>
          <cell r="F137">
            <v>0</v>
          </cell>
          <cell r="G137">
            <v>0</v>
          </cell>
          <cell r="H137">
            <v>0</v>
          </cell>
          <cell r="I137">
            <v>0</v>
          </cell>
          <cell r="J137">
            <v>0</v>
          </cell>
          <cell r="K137">
            <v>0</v>
          </cell>
          <cell r="L137">
            <v>0</v>
          </cell>
          <cell r="M137">
            <v>0</v>
          </cell>
        </row>
        <row r="138">
          <cell r="D138">
            <v>6788</v>
          </cell>
          <cell r="E138" t="str">
            <v>利润总额</v>
          </cell>
          <cell r="F138">
            <v>371447.23</v>
          </cell>
          <cell r="G138">
            <v>850563.7</v>
          </cell>
          <cell r="H138">
            <v>11061724.560000001</v>
          </cell>
          <cell r="I138">
            <v>10582608.09</v>
          </cell>
          <cell r="J138">
            <v>0</v>
          </cell>
          <cell r="K138">
            <v>0</v>
          </cell>
          <cell r="L138">
            <v>0</v>
          </cell>
          <cell r="M138">
            <v>0</v>
          </cell>
        </row>
        <row r="139">
          <cell r="D139">
            <v>6791</v>
          </cell>
          <cell r="E139" t="str">
            <v>所得税费用</v>
          </cell>
          <cell r="F139">
            <v>0</v>
          </cell>
          <cell r="G139">
            <v>0</v>
          </cell>
          <cell r="H139">
            <v>0</v>
          </cell>
          <cell r="I139">
            <v>0</v>
          </cell>
          <cell r="J139">
            <v>0</v>
          </cell>
          <cell r="K139">
            <v>0</v>
          </cell>
          <cell r="L139">
            <v>0</v>
          </cell>
          <cell r="M139">
            <v>0</v>
          </cell>
        </row>
        <row r="140">
          <cell r="D140">
            <v>6799</v>
          </cell>
          <cell r="E140" t="str">
            <v>净利润</v>
          </cell>
          <cell r="F140">
            <v>371447.23</v>
          </cell>
          <cell r="G140">
            <v>850563.7</v>
          </cell>
          <cell r="H140">
            <v>11061724.560000001</v>
          </cell>
          <cell r="I140">
            <v>10582608.09</v>
          </cell>
          <cell r="J140">
            <v>0</v>
          </cell>
          <cell r="K140">
            <v>0</v>
          </cell>
          <cell r="L140">
            <v>0</v>
          </cell>
          <cell r="M140">
            <v>0</v>
          </cell>
        </row>
        <row r="141">
          <cell r="D141">
            <v>6805</v>
          </cell>
          <cell r="E141" t="str">
            <v>同一控制下企业合并的被合并方在合并前实现的净利润</v>
          </cell>
          <cell r="F141">
            <v>0</v>
          </cell>
          <cell r="G141">
            <v>0</v>
          </cell>
          <cell r="H141">
            <v>0</v>
          </cell>
          <cell r="I141">
            <v>0</v>
          </cell>
          <cell r="J141">
            <v>0</v>
          </cell>
          <cell r="K141">
            <v>0</v>
          </cell>
          <cell r="L141">
            <v>0</v>
          </cell>
          <cell r="M141">
            <v>0</v>
          </cell>
        </row>
        <row r="142">
          <cell r="D142">
            <v>6811</v>
          </cell>
          <cell r="E142" t="str">
            <v>归属于母公司所有者的净利润</v>
          </cell>
          <cell r="F142">
            <v>371447.23</v>
          </cell>
          <cell r="G142">
            <v>850563.7</v>
          </cell>
          <cell r="H142">
            <v>11061724.560000001</v>
          </cell>
          <cell r="I142">
            <v>10582608.09</v>
          </cell>
          <cell r="J142">
            <v>0</v>
          </cell>
          <cell r="K142">
            <v>0</v>
          </cell>
          <cell r="L142">
            <v>0</v>
          </cell>
          <cell r="M142">
            <v>0</v>
          </cell>
        </row>
        <row r="143">
          <cell r="D143">
            <v>6812</v>
          </cell>
          <cell r="E143" t="str">
            <v>少数股东损益</v>
          </cell>
          <cell r="F143">
            <v>0</v>
          </cell>
          <cell r="G143">
            <v>0</v>
          </cell>
          <cell r="H143">
            <v>0</v>
          </cell>
          <cell r="I143">
            <v>0</v>
          </cell>
          <cell r="J143">
            <v>0</v>
          </cell>
          <cell r="K143">
            <v>0</v>
          </cell>
          <cell r="L143">
            <v>0</v>
          </cell>
          <cell r="M143">
            <v>0</v>
          </cell>
        </row>
        <row r="144">
          <cell r="D144">
            <v>6829</v>
          </cell>
          <cell r="E144" t="str">
            <v>其他综合收益的税后净额</v>
          </cell>
          <cell r="F144">
            <v>0</v>
          </cell>
          <cell r="G144">
            <v>0</v>
          </cell>
          <cell r="H144">
            <v>0</v>
          </cell>
          <cell r="I144">
            <v>0</v>
          </cell>
          <cell r="J144">
            <v>0</v>
          </cell>
          <cell r="K144">
            <v>0</v>
          </cell>
          <cell r="L144">
            <v>0</v>
          </cell>
          <cell r="M144">
            <v>0</v>
          </cell>
        </row>
        <row r="145">
          <cell r="D145">
            <v>6829.2</v>
          </cell>
          <cell r="E145" t="str">
            <v>归属于母公司所有者的其他综合收益的税后净额</v>
          </cell>
          <cell r="F145">
            <v>0</v>
          </cell>
          <cell r="G145">
            <v>0</v>
          </cell>
          <cell r="H145">
            <v>0</v>
          </cell>
          <cell r="I145">
            <v>0</v>
          </cell>
          <cell r="J145">
            <v>0</v>
          </cell>
          <cell r="K145">
            <v>0</v>
          </cell>
          <cell r="L145">
            <v>0</v>
          </cell>
          <cell r="M145">
            <v>0</v>
          </cell>
        </row>
        <row r="146">
          <cell r="D146">
            <v>6829.21</v>
          </cell>
          <cell r="E146" t="str">
            <v>以后不能重分类进损益的其他综合收益</v>
          </cell>
          <cell r="F146">
            <v>0</v>
          </cell>
          <cell r="G146">
            <v>0</v>
          </cell>
          <cell r="H146">
            <v>0</v>
          </cell>
          <cell r="I146">
            <v>0</v>
          </cell>
          <cell r="J146">
            <v>0</v>
          </cell>
          <cell r="K146">
            <v>0</v>
          </cell>
          <cell r="L146">
            <v>0</v>
          </cell>
          <cell r="M146">
            <v>0</v>
          </cell>
        </row>
        <row r="147">
          <cell r="D147">
            <v>6829.2110000000002</v>
          </cell>
          <cell r="E147" t="str">
            <v>重新计量设定受益计划净负债或净资产的变动</v>
          </cell>
          <cell r="F147">
            <v>0</v>
          </cell>
          <cell r="G147">
            <v>0</v>
          </cell>
          <cell r="H147">
            <v>0</v>
          </cell>
          <cell r="I147">
            <v>0</v>
          </cell>
          <cell r="J147">
            <v>0</v>
          </cell>
          <cell r="K147">
            <v>0</v>
          </cell>
          <cell r="L147">
            <v>0</v>
          </cell>
          <cell r="M147">
            <v>0</v>
          </cell>
        </row>
        <row r="148">
          <cell r="D148">
            <v>6829.2120000000004</v>
          </cell>
          <cell r="E148" t="str">
            <v>权益法下在被投资单位不能重分类进损益的其他综合收益中享有的份额</v>
          </cell>
          <cell r="F148">
            <v>0</v>
          </cell>
          <cell r="G148">
            <v>0</v>
          </cell>
          <cell r="H148">
            <v>0</v>
          </cell>
          <cell r="I148">
            <v>0</v>
          </cell>
          <cell r="J148">
            <v>0</v>
          </cell>
          <cell r="K148">
            <v>0</v>
          </cell>
          <cell r="L148">
            <v>0</v>
          </cell>
          <cell r="M148">
            <v>0</v>
          </cell>
        </row>
        <row r="149">
          <cell r="D149">
            <v>6829.2190000000001</v>
          </cell>
          <cell r="E149" t="str">
            <v>其他以后不能重分类进损益的其他综合收益</v>
          </cell>
          <cell r="F149">
            <v>0</v>
          </cell>
          <cell r="G149">
            <v>0</v>
          </cell>
          <cell r="H149">
            <v>0</v>
          </cell>
          <cell r="I149">
            <v>0</v>
          </cell>
          <cell r="J149">
            <v>0</v>
          </cell>
          <cell r="K149">
            <v>0</v>
          </cell>
          <cell r="L149">
            <v>0</v>
          </cell>
          <cell r="M149">
            <v>0</v>
          </cell>
        </row>
        <row r="150">
          <cell r="D150">
            <v>6829.23</v>
          </cell>
          <cell r="E150" t="str">
            <v>以后将重分类进损益的其他综合收益</v>
          </cell>
          <cell r="F150">
            <v>0</v>
          </cell>
          <cell r="G150">
            <v>0</v>
          </cell>
          <cell r="H150">
            <v>0</v>
          </cell>
          <cell r="I150">
            <v>0</v>
          </cell>
          <cell r="J150">
            <v>0</v>
          </cell>
          <cell r="K150">
            <v>0</v>
          </cell>
          <cell r="L150">
            <v>0</v>
          </cell>
          <cell r="M150">
            <v>0</v>
          </cell>
        </row>
        <row r="151">
          <cell r="D151">
            <v>6829.2309999999998</v>
          </cell>
          <cell r="E151" t="str">
            <v>权益法下在被投资单位以后将重分类进损益的其他综合收益中享有的份额</v>
          </cell>
          <cell r="F151">
            <v>0</v>
          </cell>
          <cell r="G151">
            <v>0</v>
          </cell>
          <cell r="H151">
            <v>0</v>
          </cell>
          <cell r="I151">
            <v>0</v>
          </cell>
          <cell r="J151">
            <v>0</v>
          </cell>
          <cell r="K151">
            <v>0</v>
          </cell>
          <cell r="L151">
            <v>0</v>
          </cell>
          <cell r="M151">
            <v>0</v>
          </cell>
        </row>
        <row r="152">
          <cell r="D152">
            <v>6829.232</v>
          </cell>
          <cell r="E152" t="str">
            <v>可供出售金融资产公允价值变动损益</v>
          </cell>
          <cell r="F152">
            <v>0</v>
          </cell>
          <cell r="G152">
            <v>0</v>
          </cell>
          <cell r="H152">
            <v>0</v>
          </cell>
          <cell r="I152">
            <v>0</v>
          </cell>
          <cell r="J152">
            <v>0</v>
          </cell>
          <cell r="K152">
            <v>0</v>
          </cell>
          <cell r="L152">
            <v>0</v>
          </cell>
          <cell r="M152">
            <v>0</v>
          </cell>
        </row>
        <row r="153">
          <cell r="D153">
            <v>6829.2330000000002</v>
          </cell>
          <cell r="E153" t="str">
            <v>持有至到期投资重分类为可供出售金融资产损益</v>
          </cell>
          <cell r="F153">
            <v>0</v>
          </cell>
          <cell r="G153">
            <v>0</v>
          </cell>
          <cell r="H153">
            <v>0</v>
          </cell>
          <cell r="I153">
            <v>0</v>
          </cell>
          <cell r="J153">
            <v>0</v>
          </cell>
          <cell r="K153">
            <v>0</v>
          </cell>
          <cell r="L153">
            <v>0</v>
          </cell>
          <cell r="M153">
            <v>0</v>
          </cell>
        </row>
        <row r="154">
          <cell r="D154">
            <v>6829.2340000000004</v>
          </cell>
          <cell r="E154" t="str">
            <v>现金流量套期损益的有效部分</v>
          </cell>
          <cell r="F154">
            <v>0</v>
          </cell>
          <cell r="G154">
            <v>0</v>
          </cell>
          <cell r="H154">
            <v>0</v>
          </cell>
          <cell r="I154">
            <v>0</v>
          </cell>
          <cell r="J154">
            <v>0</v>
          </cell>
          <cell r="K154">
            <v>0</v>
          </cell>
          <cell r="L154">
            <v>0</v>
          </cell>
          <cell r="M154">
            <v>0</v>
          </cell>
        </row>
        <row r="155">
          <cell r="D155">
            <v>6829.2349999999997</v>
          </cell>
          <cell r="E155" t="str">
            <v>外币财务报表折算差额</v>
          </cell>
          <cell r="F155">
            <v>0</v>
          </cell>
          <cell r="G155">
            <v>0</v>
          </cell>
          <cell r="H155">
            <v>0</v>
          </cell>
          <cell r="I155">
            <v>0</v>
          </cell>
          <cell r="J155">
            <v>0</v>
          </cell>
          <cell r="K155">
            <v>0</v>
          </cell>
          <cell r="L155">
            <v>0</v>
          </cell>
          <cell r="M155">
            <v>0</v>
          </cell>
        </row>
        <row r="156">
          <cell r="D156">
            <v>6829.2359999999999</v>
          </cell>
          <cell r="E156" t="str">
            <v>自用房地产或作为存货的房地产转换为以公允价值计量的投资性房地产在转换日公允价值大于账面价值部分</v>
          </cell>
          <cell r="F156">
            <v>0</v>
          </cell>
          <cell r="G156">
            <v>0</v>
          </cell>
          <cell r="H156">
            <v>0</v>
          </cell>
          <cell r="I156">
            <v>0</v>
          </cell>
          <cell r="J156">
            <v>0</v>
          </cell>
          <cell r="K156">
            <v>0</v>
          </cell>
          <cell r="L156">
            <v>0</v>
          </cell>
          <cell r="M156">
            <v>0</v>
          </cell>
        </row>
        <row r="157">
          <cell r="D157">
            <v>6829.2370000000001</v>
          </cell>
          <cell r="E157" t="str">
            <v>多次交易分步处置子公司股权构成一揽子交易的丧失控制权之前各次交易处置价款与对应净资产账面价值份额的差额</v>
          </cell>
          <cell r="F157">
            <v>0</v>
          </cell>
          <cell r="G157">
            <v>0</v>
          </cell>
          <cell r="H157">
            <v>0</v>
          </cell>
          <cell r="I157">
            <v>0</v>
          </cell>
          <cell r="J157">
            <v>0</v>
          </cell>
          <cell r="K157">
            <v>0</v>
          </cell>
          <cell r="L157">
            <v>0</v>
          </cell>
          <cell r="M157">
            <v>0</v>
          </cell>
        </row>
        <row r="158">
          <cell r="D158">
            <v>6829.2389999999996</v>
          </cell>
          <cell r="E158" t="str">
            <v>其他以后将重分类进损益的其他综合收益</v>
          </cell>
          <cell r="F158">
            <v>0</v>
          </cell>
          <cell r="G158">
            <v>0</v>
          </cell>
          <cell r="H158">
            <v>0</v>
          </cell>
          <cell r="I158">
            <v>0</v>
          </cell>
          <cell r="J158">
            <v>0</v>
          </cell>
          <cell r="K158">
            <v>0</v>
          </cell>
          <cell r="L158">
            <v>0</v>
          </cell>
          <cell r="M158">
            <v>0</v>
          </cell>
        </row>
        <row r="159">
          <cell r="D159">
            <v>6829.5</v>
          </cell>
          <cell r="E159" t="str">
            <v>归属于少数股东的其他综合收益的税后净额</v>
          </cell>
          <cell r="F159">
            <v>0</v>
          </cell>
          <cell r="G159">
            <v>0</v>
          </cell>
          <cell r="H159">
            <v>0</v>
          </cell>
          <cell r="I159">
            <v>0</v>
          </cell>
          <cell r="J159">
            <v>0</v>
          </cell>
          <cell r="K159">
            <v>0</v>
          </cell>
          <cell r="L159">
            <v>0</v>
          </cell>
          <cell r="M159">
            <v>0</v>
          </cell>
        </row>
        <row r="160">
          <cell r="D160">
            <v>6839</v>
          </cell>
          <cell r="E160" t="str">
            <v>综合收益总额</v>
          </cell>
          <cell r="F160">
            <v>371447.23</v>
          </cell>
          <cell r="G160">
            <v>850563.7</v>
          </cell>
          <cell r="H160">
            <v>11061724.560000001</v>
          </cell>
          <cell r="I160">
            <v>10582608.09</v>
          </cell>
          <cell r="J160">
            <v>0</v>
          </cell>
          <cell r="K160">
            <v>0</v>
          </cell>
          <cell r="L160">
            <v>0</v>
          </cell>
          <cell r="M160">
            <v>0</v>
          </cell>
        </row>
        <row r="161">
          <cell r="D161">
            <v>6841</v>
          </cell>
          <cell r="E161" t="str">
            <v>归属于母公司所有者的综合收益总额</v>
          </cell>
          <cell r="F161">
            <v>371447.23</v>
          </cell>
          <cell r="G161">
            <v>850563.7</v>
          </cell>
          <cell r="H161">
            <v>11061724.560000001</v>
          </cell>
          <cell r="I161">
            <v>10582608.09</v>
          </cell>
          <cell r="J161">
            <v>0</v>
          </cell>
          <cell r="K161">
            <v>0</v>
          </cell>
          <cell r="L161">
            <v>0</v>
          </cell>
          <cell r="M161">
            <v>0</v>
          </cell>
        </row>
        <row r="162">
          <cell r="D162">
            <v>6842</v>
          </cell>
          <cell r="E162" t="str">
            <v>归属于少数股东的综合收益总额</v>
          </cell>
          <cell r="F162">
            <v>0</v>
          </cell>
          <cell r="G162">
            <v>0</v>
          </cell>
          <cell r="H162">
            <v>0</v>
          </cell>
          <cell r="I162">
            <v>0</v>
          </cell>
          <cell r="J162">
            <v>0</v>
          </cell>
          <cell r="K162">
            <v>0</v>
          </cell>
          <cell r="L162">
            <v>0</v>
          </cell>
          <cell r="M162">
            <v>0</v>
          </cell>
        </row>
        <row r="163">
          <cell r="D163">
            <v>6820</v>
          </cell>
          <cell r="E163" t="str">
            <v>每股收益</v>
          </cell>
        </row>
        <row r="164">
          <cell r="D164">
            <v>6821</v>
          </cell>
          <cell r="E164" t="str">
            <v>基本每股收益</v>
          </cell>
        </row>
        <row r="165">
          <cell r="D165">
            <v>6822</v>
          </cell>
          <cell r="E165" t="str">
            <v>稀释每股收益</v>
          </cell>
        </row>
        <row r="166">
          <cell r="D166">
            <v>8</v>
          </cell>
          <cell r="E166" t="str">
            <v>所有者权益变动表</v>
          </cell>
          <cell r="G166">
            <v>0</v>
          </cell>
          <cell r="H166">
            <v>0</v>
          </cell>
          <cell r="K166">
            <v>0</v>
          </cell>
          <cell r="L166">
            <v>0</v>
          </cell>
        </row>
        <row r="167">
          <cell r="D167">
            <v>8000</v>
          </cell>
          <cell r="E167" t="str">
            <v>所有者权益增减变动</v>
          </cell>
        </row>
        <row r="168">
          <cell r="D168">
            <v>8001</v>
          </cell>
          <cell r="E168" t="str">
            <v>所有者权益_上年年末余额</v>
          </cell>
          <cell r="F168">
            <v>741482.91</v>
          </cell>
          <cell r="G168">
            <v>0</v>
          </cell>
          <cell r="H168">
            <v>0</v>
          </cell>
          <cell r="I168">
            <v>741482.91</v>
          </cell>
          <cell r="J168">
            <v>0</v>
          </cell>
          <cell r="K168">
            <v>0</v>
          </cell>
          <cell r="L168">
            <v>0</v>
          </cell>
          <cell r="M168">
            <v>0</v>
          </cell>
        </row>
        <row r="169">
          <cell r="D169">
            <v>8002</v>
          </cell>
          <cell r="E169" t="str">
            <v>所有者权益_会计政策变更调整上年年末余额</v>
          </cell>
          <cell r="F169">
            <v>0</v>
          </cell>
          <cell r="G169">
            <v>0</v>
          </cell>
          <cell r="H169">
            <v>0</v>
          </cell>
          <cell r="I169">
            <v>0</v>
          </cell>
          <cell r="J169">
            <v>0</v>
          </cell>
          <cell r="K169">
            <v>0</v>
          </cell>
          <cell r="L169">
            <v>0</v>
          </cell>
          <cell r="M169">
            <v>0</v>
          </cell>
        </row>
        <row r="170">
          <cell r="D170">
            <v>8003</v>
          </cell>
          <cell r="E170" t="str">
            <v>所有者权益_前期差错更正调整上年年末余额</v>
          </cell>
          <cell r="F170">
            <v>0</v>
          </cell>
          <cell r="G170">
            <v>0</v>
          </cell>
          <cell r="H170">
            <v>0</v>
          </cell>
          <cell r="I170">
            <v>0</v>
          </cell>
          <cell r="J170">
            <v>0</v>
          </cell>
          <cell r="K170">
            <v>0</v>
          </cell>
          <cell r="L170">
            <v>0</v>
          </cell>
          <cell r="M170">
            <v>0</v>
          </cell>
        </row>
        <row r="171">
          <cell r="D171">
            <v>8004</v>
          </cell>
          <cell r="E171" t="str">
            <v>所有者权益_同一控制下企业合并调整上年年末余额</v>
          </cell>
          <cell r="F171">
            <v>0</v>
          </cell>
          <cell r="G171">
            <v>0</v>
          </cell>
          <cell r="H171">
            <v>0</v>
          </cell>
          <cell r="I171">
            <v>0</v>
          </cell>
          <cell r="J171">
            <v>0</v>
          </cell>
          <cell r="K171">
            <v>0</v>
          </cell>
          <cell r="L171">
            <v>0</v>
          </cell>
          <cell r="M171">
            <v>0</v>
          </cell>
        </row>
        <row r="172">
          <cell r="D172">
            <v>8009</v>
          </cell>
          <cell r="E172" t="str">
            <v>所有者权益_其他原因调整上年年末余额</v>
          </cell>
          <cell r="F172">
            <v>0</v>
          </cell>
          <cell r="G172">
            <v>0</v>
          </cell>
          <cell r="H172">
            <v>0</v>
          </cell>
          <cell r="I172">
            <v>0</v>
          </cell>
          <cell r="J172">
            <v>0</v>
          </cell>
          <cell r="K172">
            <v>0</v>
          </cell>
          <cell r="L172">
            <v>0</v>
          </cell>
          <cell r="M172">
            <v>0</v>
          </cell>
        </row>
        <row r="173">
          <cell r="D173">
            <v>8010</v>
          </cell>
          <cell r="E173" t="str">
            <v>所有者权益_本年年初余额</v>
          </cell>
          <cell r="F173">
            <v>741482.91</v>
          </cell>
          <cell r="G173">
            <v>0</v>
          </cell>
          <cell r="H173">
            <v>0</v>
          </cell>
          <cell r="I173">
            <v>741482.91</v>
          </cell>
          <cell r="J173">
            <v>0</v>
          </cell>
          <cell r="K173">
            <v>0</v>
          </cell>
          <cell r="L173">
            <v>0</v>
          </cell>
          <cell r="M173">
            <v>0</v>
          </cell>
        </row>
        <row r="174">
          <cell r="D174">
            <v>8090</v>
          </cell>
          <cell r="E174" t="str">
            <v>所有者权益_本期增减变动金额</v>
          </cell>
          <cell r="F174">
            <v>198288947.22999999</v>
          </cell>
          <cell r="G174">
            <v>850563.7</v>
          </cell>
          <cell r="H174">
            <v>11061724.560000001</v>
          </cell>
          <cell r="I174">
            <v>208500108.09</v>
          </cell>
          <cell r="J174">
            <v>0</v>
          </cell>
          <cell r="K174">
            <v>0</v>
          </cell>
          <cell r="L174">
            <v>0</v>
          </cell>
          <cell r="M174">
            <v>0</v>
          </cell>
        </row>
        <row r="175">
          <cell r="D175">
            <v>8021</v>
          </cell>
          <cell r="E175" t="str">
            <v>所有者权益_净利润增加权益</v>
          </cell>
          <cell r="F175">
            <v>371447.23</v>
          </cell>
          <cell r="G175">
            <v>850563.7</v>
          </cell>
          <cell r="H175">
            <v>11061724.560000001</v>
          </cell>
          <cell r="I175">
            <v>10582608.09</v>
          </cell>
          <cell r="J175">
            <v>0</v>
          </cell>
          <cell r="K175">
            <v>0</v>
          </cell>
          <cell r="L175">
            <v>0</v>
          </cell>
          <cell r="M175">
            <v>0</v>
          </cell>
        </row>
        <row r="176">
          <cell r="D176">
            <v>8030</v>
          </cell>
          <cell r="E176" t="str">
            <v>所有者权益_其他综合收益增加权益</v>
          </cell>
          <cell r="F176">
            <v>0</v>
          </cell>
          <cell r="G176">
            <v>0</v>
          </cell>
          <cell r="H176">
            <v>0</v>
          </cell>
          <cell r="I176">
            <v>0</v>
          </cell>
          <cell r="J176">
            <v>0</v>
          </cell>
          <cell r="K176">
            <v>0</v>
          </cell>
          <cell r="L176">
            <v>0</v>
          </cell>
          <cell r="M176">
            <v>0</v>
          </cell>
        </row>
        <row r="177">
          <cell r="D177">
            <v>8040</v>
          </cell>
          <cell r="E177" t="str">
            <v>所有者权益_综合收益总额增加权益</v>
          </cell>
          <cell r="F177">
            <v>371447.23</v>
          </cell>
          <cell r="G177">
            <v>850563.7</v>
          </cell>
          <cell r="H177">
            <v>11061724.560000001</v>
          </cell>
          <cell r="I177">
            <v>10582608.09</v>
          </cell>
          <cell r="J177">
            <v>0</v>
          </cell>
          <cell r="K177">
            <v>0</v>
          </cell>
          <cell r="L177">
            <v>0</v>
          </cell>
          <cell r="M177">
            <v>0</v>
          </cell>
        </row>
        <row r="178">
          <cell r="D178">
            <v>8050</v>
          </cell>
          <cell r="E178" t="str">
            <v>所有者权益_所有者投入和减少资本影响权益</v>
          </cell>
          <cell r="F178">
            <v>197917500</v>
          </cell>
          <cell r="G178">
            <v>0</v>
          </cell>
          <cell r="H178">
            <v>0</v>
          </cell>
          <cell r="I178">
            <v>197917500</v>
          </cell>
          <cell r="J178">
            <v>0</v>
          </cell>
          <cell r="K178">
            <v>0</v>
          </cell>
          <cell r="L178">
            <v>0</v>
          </cell>
          <cell r="M178">
            <v>0</v>
          </cell>
        </row>
        <row r="179">
          <cell r="D179">
            <v>8051</v>
          </cell>
          <cell r="E179" t="str">
            <v>所有者权益_所有者投入资本增加权益</v>
          </cell>
          <cell r="F179">
            <v>197917500</v>
          </cell>
          <cell r="G179">
            <v>0</v>
          </cell>
          <cell r="H179">
            <v>0</v>
          </cell>
          <cell r="I179">
            <v>197917500</v>
          </cell>
          <cell r="J179">
            <v>0</v>
          </cell>
          <cell r="K179">
            <v>0</v>
          </cell>
          <cell r="L179">
            <v>0</v>
          </cell>
          <cell r="M179">
            <v>0</v>
          </cell>
        </row>
        <row r="180">
          <cell r="D180">
            <v>8053</v>
          </cell>
          <cell r="E180" t="str">
            <v>所有者权益_其他权益工具持有者投入资本</v>
          </cell>
          <cell r="F180">
            <v>0</v>
          </cell>
          <cell r="G180">
            <v>0</v>
          </cell>
          <cell r="H180">
            <v>0</v>
          </cell>
          <cell r="I180">
            <v>0</v>
          </cell>
          <cell r="J180">
            <v>0</v>
          </cell>
          <cell r="K180">
            <v>0</v>
          </cell>
          <cell r="L180">
            <v>0</v>
          </cell>
          <cell r="M180">
            <v>0</v>
          </cell>
        </row>
        <row r="181">
          <cell r="D181">
            <v>8052</v>
          </cell>
          <cell r="E181" t="str">
            <v>所有者权益_股份支付计入所有者权益的金额</v>
          </cell>
          <cell r="F181">
            <v>0</v>
          </cell>
          <cell r="G181">
            <v>0</v>
          </cell>
          <cell r="H181">
            <v>0</v>
          </cell>
          <cell r="I181">
            <v>0</v>
          </cell>
          <cell r="J181">
            <v>0</v>
          </cell>
          <cell r="K181">
            <v>0</v>
          </cell>
          <cell r="L181">
            <v>0</v>
          </cell>
          <cell r="M181">
            <v>0</v>
          </cell>
        </row>
        <row r="182">
          <cell r="D182">
            <v>8056</v>
          </cell>
          <cell r="E182" t="str">
            <v>所有者权益_所有者其他投入和减少资本</v>
          </cell>
          <cell r="F182">
            <v>0</v>
          </cell>
          <cell r="G182">
            <v>0</v>
          </cell>
          <cell r="H182">
            <v>0</v>
          </cell>
          <cell r="I182">
            <v>0</v>
          </cell>
          <cell r="J182">
            <v>0</v>
          </cell>
          <cell r="K182">
            <v>0</v>
          </cell>
          <cell r="L182">
            <v>0</v>
          </cell>
          <cell r="M182">
            <v>0</v>
          </cell>
        </row>
        <row r="183">
          <cell r="D183">
            <v>8060</v>
          </cell>
          <cell r="E183" t="str">
            <v>所有者权益_利润分配影响权益</v>
          </cell>
          <cell r="F183">
            <v>0</v>
          </cell>
          <cell r="G183">
            <v>0</v>
          </cell>
          <cell r="H183">
            <v>0</v>
          </cell>
          <cell r="I183">
            <v>0</v>
          </cell>
          <cell r="J183">
            <v>0</v>
          </cell>
          <cell r="K183">
            <v>0</v>
          </cell>
          <cell r="L183">
            <v>0</v>
          </cell>
          <cell r="M183">
            <v>0</v>
          </cell>
        </row>
        <row r="184">
          <cell r="D184">
            <v>8061</v>
          </cell>
          <cell r="E184" t="str">
            <v>所有者权益_提取盈余公积影响权益</v>
          </cell>
          <cell r="F184">
            <v>0</v>
          </cell>
          <cell r="G184">
            <v>0</v>
          </cell>
          <cell r="H184">
            <v>0</v>
          </cell>
          <cell r="I184">
            <v>0</v>
          </cell>
          <cell r="J184">
            <v>0</v>
          </cell>
          <cell r="K184">
            <v>0</v>
          </cell>
          <cell r="L184">
            <v>0</v>
          </cell>
          <cell r="M184">
            <v>0</v>
          </cell>
        </row>
        <row r="185">
          <cell r="D185">
            <v>8062</v>
          </cell>
          <cell r="E185" t="str">
            <v>所有者权益_提取一般风险准备影响权益</v>
          </cell>
          <cell r="F185">
            <v>0</v>
          </cell>
          <cell r="G185">
            <v>0</v>
          </cell>
          <cell r="H185">
            <v>0</v>
          </cell>
          <cell r="I185">
            <v>0</v>
          </cell>
          <cell r="J185">
            <v>0</v>
          </cell>
          <cell r="K185">
            <v>0</v>
          </cell>
          <cell r="L185">
            <v>0</v>
          </cell>
          <cell r="M185">
            <v>0</v>
          </cell>
        </row>
        <row r="186">
          <cell r="D186">
            <v>8063</v>
          </cell>
          <cell r="E186" t="str">
            <v>所有者权益_对所有者的分配影响权益</v>
          </cell>
          <cell r="F186">
            <v>0</v>
          </cell>
          <cell r="G186">
            <v>0</v>
          </cell>
          <cell r="H186">
            <v>0</v>
          </cell>
          <cell r="I186">
            <v>0</v>
          </cell>
          <cell r="J186">
            <v>0</v>
          </cell>
          <cell r="K186">
            <v>0</v>
          </cell>
          <cell r="L186">
            <v>0</v>
          </cell>
          <cell r="M186">
            <v>0</v>
          </cell>
        </row>
        <row r="187">
          <cell r="D187">
            <v>8066</v>
          </cell>
          <cell r="E187" t="str">
            <v>所有者权益_其他利润分配影响权益</v>
          </cell>
          <cell r="F187">
            <v>0</v>
          </cell>
          <cell r="G187">
            <v>0</v>
          </cell>
          <cell r="H187">
            <v>0</v>
          </cell>
          <cell r="I187">
            <v>0</v>
          </cell>
          <cell r="J187">
            <v>0</v>
          </cell>
          <cell r="K187">
            <v>0</v>
          </cell>
          <cell r="L187">
            <v>0</v>
          </cell>
          <cell r="M187">
            <v>0</v>
          </cell>
        </row>
        <row r="188">
          <cell r="D188">
            <v>8070</v>
          </cell>
          <cell r="E188" t="str">
            <v>所有者权益_所有者权益内部结转</v>
          </cell>
          <cell r="F188">
            <v>0</v>
          </cell>
          <cell r="G188">
            <v>0</v>
          </cell>
          <cell r="H188">
            <v>0</v>
          </cell>
          <cell r="I188">
            <v>0</v>
          </cell>
          <cell r="J188">
            <v>0</v>
          </cell>
          <cell r="K188">
            <v>0</v>
          </cell>
          <cell r="L188">
            <v>0</v>
          </cell>
          <cell r="M188">
            <v>0</v>
          </cell>
        </row>
        <row r="189">
          <cell r="D189">
            <v>8071</v>
          </cell>
          <cell r="E189" t="str">
            <v>所有者权益_资本公积转增资本影响权益</v>
          </cell>
          <cell r="F189">
            <v>0</v>
          </cell>
          <cell r="G189">
            <v>0</v>
          </cell>
          <cell r="H189">
            <v>0</v>
          </cell>
          <cell r="I189">
            <v>0</v>
          </cell>
          <cell r="J189">
            <v>0</v>
          </cell>
          <cell r="K189">
            <v>0</v>
          </cell>
          <cell r="L189">
            <v>0</v>
          </cell>
          <cell r="M189">
            <v>0</v>
          </cell>
        </row>
        <row r="190">
          <cell r="D190">
            <v>8072</v>
          </cell>
          <cell r="E190" t="str">
            <v>所有者权益_盈余公积转增资本影响权益</v>
          </cell>
          <cell r="F190">
            <v>0</v>
          </cell>
          <cell r="G190">
            <v>0</v>
          </cell>
          <cell r="H190">
            <v>0</v>
          </cell>
          <cell r="I190">
            <v>0</v>
          </cell>
          <cell r="J190">
            <v>0</v>
          </cell>
          <cell r="K190">
            <v>0</v>
          </cell>
          <cell r="L190">
            <v>0</v>
          </cell>
          <cell r="M190">
            <v>0</v>
          </cell>
        </row>
        <row r="191">
          <cell r="D191">
            <v>8073</v>
          </cell>
          <cell r="E191" t="str">
            <v>所有者权益_盈余公积弥补亏损影响权益</v>
          </cell>
          <cell r="F191">
            <v>0</v>
          </cell>
          <cell r="G191">
            <v>0</v>
          </cell>
          <cell r="H191">
            <v>0</v>
          </cell>
          <cell r="I191">
            <v>0</v>
          </cell>
          <cell r="J191">
            <v>0</v>
          </cell>
          <cell r="K191">
            <v>0</v>
          </cell>
          <cell r="L191">
            <v>0</v>
          </cell>
          <cell r="M191">
            <v>0</v>
          </cell>
        </row>
        <row r="192">
          <cell r="D192">
            <v>8075</v>
          </cell>
          <cell r="E192" t="str">
            <v>所有者权益_结转重新计量设定受益计划净负债或净资产所产生的变动</v>
          </cell>
          <cell r="F192">
            <v>0</v>
          </cell>
          <cell r="G192">
            <v>0</v>
          </cell>
          <cell r="H192">
            <v>0</v>
          </cell>
          <cell r="I192">
            <v>0</v>
          </cell>
          <cell r="J192">
            <v>0</v>
          </cell>
          <cell r="K192">
            <v>0</v>
          </cell>
          <cell r="L192">
            <v>0</v>
          </cell>
          <cell r="M192">
            <v>0</v>
          </cell>
        </row>
        <row r="193">
          <cell r="D193">
            <v>8076</v>
          </cell>
          <cell r="E193" t="str">
            <v>所有者权益_所有者权益其他内部结转</v>
          </cell>
          <cell r="F193">
            <v>0</v>
          </cell>
          <cell r="G193">
            <v>0</v>
          </cell>
          <cell r="H193">
            <v>0</v>
          </cell>
          <cell r="I193">
            <v>0</v>
          </cell>
          <cell r="J193">
            <v>0</v>
          </cell>
          <cell r="K193">
            <v>0</v>
          </cell>
          <cell r="L193">
            <v>0</v>
          </cell>
          <cell r="M193">
            <v>0</v>
          </cell>
        </row>
        <row r="194">
          <cell r="D194">
            <v>8080</v>
          </cell>
          <cell r="E194" t="str">
            <v>所有者权益_专项储备影响权益</v>
          </cell>
          <cell r="F194">
            <v>0</v>
          </cell>
          <cell r="G194">
            <v>0</v>
          </cell>
          <cell r="H194">
            <v>0</v>
          </cell>
          <cell r="I194">
            <v>0</v>
          </cell>
          <cell r="J194">
            <v>0</v>
          </cell>
          <cell r="K194">
            <v>0</v>
          </cell>
          <cell r="L194">
            <v>0</v>
          </cell>
          <cell r="M194">
            <v>0</v>
          </cell>
        </row>
        <row r="195">
          <cell r="D195">
            <v>8081</v>
          </cell>
          <cell r="E195" t="str">
            <v>所有者权益_专项储备本期提取</v>
          </cell>
          <cell r="F195">
            <v>0</v>
          </cell>
          <cell r="G195">
            <v>0</v>
          </cell>
          <cell r="H195">
            <v>0</v>
          </cell>
          <cell r="I195">
            <v>0</v>
          </cell>
          <cell r="J195">
            <v>0</v>
          </cell>
          <cell r="K195">
            <v>0</v>
          </cell>
          <cell r="L195">
            <v>0</v>
          </cell>
          <cell r="M195">
            <v>0</v>
          </cell>
        </row>
        <row r="196">
          <cell r="D196">
            <v>8082</v>
          </cell>
          <cell r="E196" t="str">
            <v>所有者权益_专项储备本期使用</v>
          </cell>
          <cell r="F196">
            <v>0</v>
          </cell>
          <cell r="G196">
            <v>0</v>
          </cell>
          <cell r="H196">
            <v>0</v>
          </cell>
          <cell r="I196">
            <v>0</v>
          </cell>
          <cell r="J196">
            <v>0</v>
          </cell>
          <cell r="K196">
            <v>0</v>
          </cell>
          <cell r="L196">
            <v>0</v>
          </cell>
          <cell r="M196">
            <v>0</v>
          </cell>
        </row>
        <row r="197">
          <cell r="D197">
            <v>8096</v>
          </cell>
          <cell r="E197" t="str">
            <v>所有者权益_本期其他增减变动</v>
          </cell>
          <cell r="F197">
            <v>0</v>
          </cell>
          <cell r="G197">
            <v>0</v>
          </cell>
          <cell r="H197">
            <v>0</v>
          </cell>
          <cell r="I197">
            <v>0</v>
          </cell>
          <cell r="J197">
            <v>0</v>
          </cell>
          <cell r="K197">
            <v>0</v>
          </cell>
          <cell r="L197">
            <v>0</v>
          </cell>
          <cell r="M197">
            <v>0</v>
          </cell>
        </row>
        <row r="198">
          <cell r="D198">
            <v>8099</v>
          </cell>
          <cell r="E198" t="str">
            <v>所有者权益_本期期末余额</v>
          </cell>
          <cell r="F198">
            <v>199030430.13999999</v>
          </cell>
          <cell r="G198">
            <v>850563.7</v>
          </cell>
          <cell r="H198">
            <v>11061724.560000001</v>
          </cell>
          <cell r="I198">
            <v>209241591</v>
          </cell>
          <cell r="J198">
            <v>0</v>
          </cell>
          <cell r="K198">
            <v>0</v>
          </cell>
          <cell r="L198">
            <v>0</v>
          </cell>
          <cell r="M198">
            <v>0</v>
          </cell>
        </row>
        <row r="199">
          <cell r="D199">
            <v>8100</v>
          </cell>
          <cell r="E199" t="str">
            <v>实收资本增减变动</v>
          </cell>
        </row>
        <row r="200">
          <cell r="D200">
            <v>8101</v>
          </cell>
          <cell r="E200" t="str">
            <v>实收资本_上年年末余额</v>
          </cell>
          <cell r="F200">
            <v>0</v>
          </cell>
          <cell r="G200">
            <v>0</v>
          </cell>
          <cell r="H200">
            <v>0</v>
          </cell>
          <cell r="I200">
            <v>0</v>
          </cell>
          <cell r="J200">
            <v>0</v>
          </cell>
          <cell r="K200">
            <v>0</v>
          </cell>
          <cell r="L200">
            <v>0</v>
          </cell>
          <cell r="M200">
            <v>0</v>
          </cell>
        </row>
        <row r="201">
          <cell r="D201">
            <v>8102</v>
          </cell>
          <cell r="E201" t="str">
            <v>实收资本_会计政策变更调整上年年末余额</v>
          </cell>
          <cell r="F201">
            <v>0</v>
          </cell>
          <cell r="G201">
            <v>0</v>
          </cell>
          <cell r="H201">
            <v>0</v>
          </cell>
          <cell r="I201">
            <v>0</v>
          </cell>
          <cell r="J201">
            <v>0</v>
          </cell>
          <cell r="K201">
            <v>0</v>
          </cell>
          <cell r="L201">
            <v>0</v>
          </cell>
          <cell r="M201">
            <v>0</v>
          </cell>
        </row>
        <row r="202">
          <cell r="D202">
            <v>8103</v>
          </cell>
          <cell r="E202" t="str">
            <v>实收资本_前期差错更正调整上年年末余额</v>
          </cell>
          <cell r="F202">
            <v>0</v>
          </cell>
          <cell r="G202">
            <v>0</v>
          </cell>
          <cell r="H202">
            <v>0</v>
          </cell>
          <cell r="I202">
            <v>0</v>
          </cell>
          <cell r="J202">
            <v>0</v>
          </cell>
          <cell r="K202">
            <v>0</v>
          </cell>
          <cell r="L202">
            <v>0</v>
          </cell>
          <cell r="M202">
            <v>0</v>
          </cell>
        </row>
        <row r="203">
          <cell r="D203">
            <v>8104</v>
          </cell>
          <cell r="E203" t="str">
            <v>实收资本_同一控制下企业合并调整上年年末余额</v>
          </cell>
          <cell r="F203">
            <v>0</v>
          </cell>
          <cell r="G203">
            <v>0</v>
          </cell>
          <cell r="H203">
            <v>0</v>
          </cell>
          <cell r="I203">
            <v>0</v>
          </cell>
          <cell r="J203">
            <v>0</v>
          </cell>
          <cell r="K203">
            <v>0</v>
          </cell>
          <cell r="L203">
            <v>0</v>
          </cell>
          <cell r="M203">
            <v>0</v>
          </cell>
        </row>
        <row r="204">
          <cell r="D204">
            <v>8109</v>
          </cell>
          <cell r="E204" t="str">
            <v>实收资本_其他原因调整上年年末余额</v>
          </cell>
          <cell r="F204">
            <v>0</v>
          </cell>
          <cell r="G204">
            <v>0</v>
          </cell>
          <cell r="H204">
            <v>0</v>
          </cell>
          <cell r="I204">
            <v>0</v>
          </cell>
          <cell r="J204">
            <v>0</v>
          </cell>
          <cell r="K204">
            <v>0</v>
          </cell>
          <cell r="L204">
            <v>0</v>
          </cell>
          <cell r="M204">
            <v>0</v>
          </cell>
        </row>
        <row r="205">
          <cell r="D205">
            <v>8110</v>
          </cell>
          <cell r="E205" t="str">
            <v>实收资本_本年年初余额</v>
          </cell>
          <cell r="F205">
            <v>0</v>
          </cell>
          <cell r="G205">
            <v>0</v>
          </cell>
          <cell r="H205">
            <v>0</v>
          </cell>
          <cell r="I205">
            <v>0</v>
          </cell>
          <cell r="J205">
            <v>0</v>
          </cell>
          <cell r="K205">
            <v>0</v>
          </cell>
          <cell r="L205">
            <v>0</v>
          </cell>
          <cell r="M205">
            <v>0</v>
          </cell>
        </row>
        <row r="206">
          <cell r="D206">
            <v>8190</v>
          </cell>
          <cell r="E206" t="str">
            <v>实收资本_本期增减变动金额</v>
          </cell>
          <cell r="F206">
            <v>197917500</v>
          </cell>
          <cell r="G206">
            <v>0</v>
          </cell>
          <cell r="H206">
            <v>0</v>
          </cell>
          <cell r="I206">
            <v>197917500</v>
          </cell>
          <cell r="J206">
            <v>0</v>
          </cell>
          <cell r="K206">
            <v>0</v>
          </cell>
          <cell r="L206">
            <v>0</v>
          </cell>
          <cell r="M206">
            <v>0</v>
          </cell>
        </row>
        <row r="207">
          <cell r="D207">
            <v>8121</v>
          </cell>
          <cell r="E207" t="str">
            <v>实收资本_净利润增加权益</v>
          </cell>
          <cell r="F207">
            <v>0</v>
          </cell>
          <cell r="G207">
            <v>0</v>
          </cell>
          <cell r="H207">
            <v>0</v>
          </cell>
          <cell r="I207">
            <v>0</v>
          </cell>
          <cell r="J207">
            <v>0</v>
          </cell>
          <cell r="K207">
            <v>0</v>
          </cell>
          <cell r="L207">
            <v>0</v>
          </cell>
          <cell r="M207">
            <v>0</v>
          </cell>
        </row>
        <row r="208">
          <cell r="D208">
            <v>8130</v>
          </cell>
          <cell r="E208" t="str">
            <v>实收资本_其他综合收益增加权益</v>
          </cell>
          <cell r="F208">
            <v>0</v>
          </cell>
          <cell r="G208">
            <v>0</v>
          </cell>
          <cell r="H208">
            <v>0</v>
          </cell>
          <cell r="I208">
            <v>0</v>
          </cell>
          <cell r="J208">
            <v>0</v>
          </cell>
          <cell r="K208">
            <v>0</v>
          </cell>
          <cell r="L208">
            <v>0</v>
          </cell>
          <cell r="M208">
            <v>0</v>
          </cell>
        </row>
        <row r="209">
          <cell r="D209">
            <v>8140</v>
          </cell>
          <cell r="E209" t="str">
            <v>实收资本_综合收益总额增加权益</v>
          </cell>
          <cell r="F209">
            <v>0</v>
          </cell>
          <cell r="G209">
            <v>0</v>
          </cell>
          <cell r="H209">
            <v>0</v>
          </cell>
          <cell r="I209">
            <v>0</v>
          </cell>
          <cell r="J209">
            <v>0</v>
          </cell>
          <cell r="K209">
            <v>0</v>
          </cell>
          <cell r="L209">
            <v>0</v>
          </cell>
          <cell r="M209">
            <v>0</v>
          </cell>
        </row>
        <row r="210">
          <cell r="D210">
            <v>8150</v>
          </cell>
          <cell r="E210" t="str">
            <v>实收资本_所有者投入和减少资本影响权益</v>
          </cell>
          <cell r="F210">
            <v>197917500</v>
          </cell>
          <cell r="G210">
            <v>0</v>
          </cell>
          <cell r="H210">
            <v>0</v>
          </cell>
          <cell r="I210">
            <v>197917500</v>
          </cell>
          <cell r="J210">
            <v>0</v>
          </cell>
          <cell r="K210">
            <v>0</v>
          </cell>
          <cell r="L210">
            <v>0</v>
          </cell>
          <cell r="M210">
            <v>0</v>
          </cell>
        </row>
        <row r="211">
          <cell r="D211">
            <v>8151</v>
          </cell>
          <cell r="E211" t="str">
            <v>实收资本_所有者投入资本</v>
          </cell>
          <cell r="F211">
            <v>197917500</v>
          </cell>
          <cell r="G211">
            <v>0</v>
          </cell>
          <cell r="H211">
            <v>0</v>
          </cell>
          <cell r="I211">
            <v>197917500</v>
          </cell>
          <cell r="J211">
            <v>0</v>
          </cell>
          <cell r="K211">
            <v>0</v>
          </cell>
          <cell r="L211">
            <v>0</v>
          </cell>
          <cell r="M211">
            <v>0</v>
          </cell>
        </row>
        <row r="212">
          <cell r="D212">
            <v>8153</v>
          </cell>
          <cell r="E212" t="str">
            <v>实收资本_其他权益工具持有者投入资本</v>
          </cell>
          <cell r="F212">
            <v>0</v>
          </cell>
          <cell r="G212">
            <v>0</v>
          </cell>
          <cell r="H212">
            <v>0</v>
          </cell>
          <cell r="I212">
            <v>0</v>
          </cell>
          <cell r="J212">
            <v>0</v>
          </cell>
          <cell r="K212">
            <v>0</v>
          </cell>
          <cell r="L212">
            <v>0</v>
          </cell>
          <cell r="M212">
            <v>0</v>
          </cell>
        </row>
        <row r="213">
          <cell r="D213">
            <v>8152</v>
          </cell>
          <cell r="E213" t="str">
            <v>实收资本_股份支付计入所有者权益的金额</v>
          </cell>
          <cell r="F213">
            <v>0</v>
          </cell>
          <cell r="G213">
            <v>0</v>
          </cell>
          <cell r="H213">
            <v>0</v>
          </cell>
          <cell r="I213">
            <v>0</v>
          </cell>
          <cell r="J213">
            <v>0</v>
          </cell>
          <cell r="K213">
            <v>0</v>
          </cell>
          <cell r="L213">
            <v>0</v>
          </cell>
          <cell r="M213">
            <v>0</v>
          </cell>
        </row>
        <row r="214">
          <cell r="D214">
            <v>8156</v>
          </cell>
          <cell r="E214" t="str">
            <v>实收资本_所有者其他投入和减少资本</v>
          </cell>
          <cell r="F214">
            <v>0</v>
          </cell>
          <cell r="G214">
            <v>0</v>
          </cell>
          <cell r="H214">
            <v>0</v>
          </cell>
          <cell r="I214">
            <v>0</v>
          </cell>
          <cell r="J214">
            <v>0</v>
          </cell>
          <cell r="K214">
            <v>0</v>
          </cell>
          <cell r="L214">
            <v>0</v>
          </cell>
          <cell r="M214">
            <v>0</v>
          </cell>
        </row>
        <row r="215">
          <cell r="D215">
            <v>8160</v>
          </cell>
          <cell r="E215" t="str">
            <v>实收资本_利润分配影响权益</v>
          </cell>
          <cell r="F215">
            <v>0</v>
          </cell>
          <cell r="G215">
            <v>0</v>
          </cell>
          <cell r="H215">
            <v>0</v>
          </cell>
          <cell r="I215">
            <v>0</v>
          </cell>
          <cell r="J215">
            <v>0</v>
          </cell>
          <cell r="K215">
            <v>0</v>
          </cell>
          <cell r="L215">
            <v>0</v>
          </cell>
          <cell r="M215">
            <v>0</v>
          </cell>
        </row>
        <row r="216">
          <cell r="D216">
            <v>8161</v>
          </cell>
          <cell r="E216" t="str">
            <v>实收资本_提取盈余公积影响权益</v>
          </cell>
          <cell r="F216">
            <v>0</v>
          </cell>
          <cell r="G216">
            <v>0</v>
          </cell>
          <cell r="H216">
            <v>0</v>
          </cell>
          <cell r="I216">
            <v>0</v>
          </cell>
          <cell r="J216">
            <v>0</v>
          </cell>
          <cell r="K216">
            <v>0</v>
          </cell>
          <cell r="L216">
            <v>0</v>
          </cell>
          <cell r="M216">
            <v>0</v>
          </cell>
        </row>
        <row r="217">
          <cell r="D217">
            <v>8162</v>
          </cell>
          <cell r="E217" t="str">
            <v>实收资本_提取一般风险准备影响权益</v>
          </cell>
          <cell r="F217">
            <v>0</v>
          </cell>
          <cell r="G217">
            <v>0</v>
          </cell>
          <cell r="H217">
            <v>0</v>
          </cell>
          <cell r="I217">
            <v>0</v>
          </cell>
          <cell r="J217">
            <v>0</v>
          </cell>
          <cell r="K217">
            <v>0</v>
          </cell>
          <cell r="L217">
            <v>0</v>
          </cell>
          <cell r="M217">
            <v>0</v>
          </cell>
        </row>
        <row r="218">
          <cell r="D218">
            <v>8163</v>
          </cell>
          <cell r="E218" t="str">
            <v>实收资本_对所有者的分配影响权益</v>
          </cell>
          <cell r="F218">
            <v>0</v>
          </cell>
          <cell r="G218">
            <v>0</v>
          </cell>
          <cell r="H218">
            <v>0</v>
          </cell>
          <cell r="I218">
            <v>0</v>
          </cell>
          <cell r="J218">
            <v>0</v>
          </cell>
          <cell r="K218">
            <v>0</v>
          </cell>
          <cell r="L218">
            <v>0</v>
          </cell>
          <cell r="M218">
            <v>0</v>
          </cell>
        </row>
        <row r="219">
          <cell r="D219">
            <v>8166</v>
          </cell>
          <cell r="E219" t="str">
            <v>实收资本_其他利润分配影响权益</v>
          </cell>
          <cell r="F219">
            <v>0</v>
          </cell>
          <cell r="G219">
            <v>0</v>
          </cell>
          <cell r="H219">
            <v>0</v>
          </cell>
          <cell r="I219">
            <v>0</v>
          </cell>
          <cell r="J219">
            <v>0</v>
          </cell>
          <cell r="K219">
            <v>0</v>
          </cell>
          <cell r="L219">
            <v>0</v>
          </cell>
          <cell r="M219">
            <v>0</v>
          </cell>
        </row>
        <row r="220">
          <cell r="D220">
            <v>8170</v>
          </cell>
          <cell r="E220" t="str">
            <v>实收资本_所有者权益内部结转</v>
          </cell>
          <cell r="F220">
            <v>0</v>
          </cell>
          <cell r="G220">
            <v>0</v>
          </cell>
          <cell r="H220">
            <v>0</v>
          </cell>
          <cell r="I220">
            <v>0</v>
          </cell>
          <cell r="J220">
            <v>0</v>
          </cell>
          <cell r="K220">
            <v>0</v>
          </cell>
          <cell r="L220">
            <v>0</v>
          </cell>
          <cell r="M220">
            <v>0</v>
          </cell>
        </row>
        <row r="221">
          <cell r="D221">
            <v>8171</v>
          </cell>
          <cell r="E221" t="str">
            <v>实收资本_资本公积转增</v>
          </cell>
          <cell r="F221">
            <v>0</v>
          </cell>
          <cell r="G221">
            <v>0</v>
          </cell>
          <cell r="H221">
            <v>0</v>
          </cell>
          <cell r="I221">
            <v>0</v>
          </cell>
          <cell r="J221">
            <v>0</v>
          </cell>
          <cell r="K221">
            <v>0</v>
          </cell>
          <cell r="L221">
            <v>0</v>
          </cell>
          <cell r="M221">
            <v>0</v>
          </cell>
        </row>
        <row r="222">
          <cell r="D222">
            <v>8172</v>
          </cell>
          <cell r="E222" t="str">
            <v>实收资本_盈余公积转增</v>
          </cell>
          <cell r="F222">
            <v>0</v>
          </cell>
          <cell r="G222">
            <v>0</v>
          </cell>
          <cell r="H222">
            <v>0</v>
          </cell>
          <cell r="I222">
            <v>0</v>
          </cell>
          <cell r="J222">
            <v>0</v>
          </cell>
          <cell r="K222">
            <v>0</v>
          </cell>
          <cell r="L222">
            <v>0</v>
          </cell>
          <cell r="M222">
            <v>0</v>
          </cell>
        </row>
        <row r="223">
          <cell r="D223">
            <v>8173</v>
          </cell>
          <cell r="E223" t="str">
            <v>实收资本_盈余公积弥补亏损影响权益</v>
          </cell>
          <cell r="F223">
            <v>0</v>
          </cell>
          <cell r="G223">
            <v>0</v>
          </cell>
          <cell r="H223">
            <v>0</v>
          </cell>
          <cell r="I223">
            <v>0</v>
          </cell>
          <cell r="J223">
            <v>0</v>
          </cell>
          <cell r="K223">
            <v>0</v>
          </cell>
          <cell r="L223">
            <v>0</v>
          </cell>
          <cell r="M223">
            <v>0</v>
          </cell>
        </row>
        <row r="224">
          <cell r="D224">
            <v>8175</v>
          </cell>
          <cell r="E224" t="str">
            <v>实收资本_结转重新计量设定受益计划净负债或净资产所产生的变动</v>
          </cell>
          <cell r="F224">
            <v>0</v>
          </cell>
          <cell r="G224">
            <v>0</v>
          </cell>
          <cell r="H224">
            <v>0</v>
          </cell>
          <cell r="I224">
            <v>0</v>
          </cell>
          <cell r="J224">
            <v>0</v>
          </cell>
          <cell r="K224">
            <v>0</v>
          </cell>
          <cell r="L224">
            <v>0</v>
          </cell>
          <cell r="M224">
            <v>0</v>
          </cell>
        </row>
        <row r="225">
          <cell r="D225">
            <v>8176</v>
          </cell>
          <cell r="E225" t="str">
            <v>实收资本_所有者权益其他内部结转</v>
          </cell>
          <cell r="F225">
            <v>0</v>
          </cell>
          <cell r="G225">
            <v>0</v>
          </cell>
          <cell r="H225">
            <v>0</v>
          </cell>
          <cell r="I225">
            <v>0</v>
          </cell>
          <cell r="J225">
            <v>0</v>
          </cell>
          <cell r="K225">
            <v>0</v>
          </cell>
          <cell r="L225">
            <v>0</v>
          </cell>
          <cell r="M225">
            <v>0</v>
          </cell>
        </row>
        <row r="226">
          <cell r="D226">
            <v>8180</v>
          </cell>
          <cell r="E226" t="str">
            <v>实收资本_专项储备影响权益</v>
          </cell>
          <cell r="F226">
            <v>0</v>
          </cell>
          <cell r="G226">
            <v>0</v>
          </cell>
          <cell r="H226">
            <v>0</v>
          </cell>
          <cell r="I226">
            <v>0</v>
          </cell>
          <cell r="J226">
            <v>0</v>
          </cell>
          <cell r="K226">
            <v>0</v>
          </cell>
          <cell r="L226">
            <v>0</v>
          </cell>
          <cell r="M226">
            <v>0</v>
          </cell>
        </row>
        <row r="227">
          <cell r="D227">
            <v>8181</v>
          </cell>
          <cell r="E227" t="str">
            <v>实收资本_专项储备本期提取</v>
          </cell>
          <cell r="F227">
            <v>0</v>
          </cell>
          <cell r="G227">
            <v>0</v>
          </cell>
          <cell r="H227">
            <v>0</v>
          </cell>
          <cell r="I227">
            <v>0</v>
          </cell>
          <cell r="J227">
            <v>0</v>
          </cell>
          <cell r="K227">
            <v>0</v>
          </cell>
          <cell r="L227">
            <v>0</v>
          </cell>
          <cell r="M227">
            <v>0</v>
          </cell>
        </row>
        <row r="228">
          <cell r="D228">
            <v>8182</v>
          </cell>
          <cell r="E228" t="str">
            <v>实收资本_专项储备本期使用</v>
          </cell>
          <cell r="F228">
            <v>0</v>
          </cell>
          <cell r="G228">
            <v>0</v>
          </cell>
          <cell r="H228">
            <v>0</v>
          </cell>
          <cell r="I228">
            <v>0</v>
          </cell>
          <cell r="J228">
            <v>0</v>
          </cell>
          <cell r="K228">
            <v>0</v>
          </cell>
          <cell r="L228">
            <v>0</v>
          </cell>
          <cell r="M228">
            <v>0</v>
          </cell>
        </row>
        <row r="229">
          <cell r="D229">
            <v>8196</v>
          </cell>
          <cell r="E229" t="str">
            <v>实收资本_本期其他增减变动</v>
          </cell>
          <cell r="F229">
            <v>0</v>
          </cell>
          <cell r="G229">
            <v>0</v>
          </cell>
          <cell r="H229">
            <v>0</v>
          </cell>
          <cell r="I229">
            <v>0</v>
          </cell>
          <cell r="J229">
            <v>0</v>
          </cell>
          <cell r="K229">
            <v>0</v>
          </cell>
          <cell r="L229">
            <v>0</v>
          </cell>
          <cell r="M229">
            <v>0</v>
          </cell>
        </row>
        <row r="230">
          <cell r="D230">
            <v>8199</v>
          </cell>
          <cell r="E230" t="str">
            <v>实收资本_本期期末余额</v>
          </cell>
          <cell r="F230">
            <v>197917500</v>
          </cell>
          <cell r="G230">
            <v>0</v>
          </cell>
          <cell r="H230">
            <v>0</v>
          </cell>
          <cell r="I230">
            <v>197917500</v>
          </cell>
          <cell r="J230">
            <v>0</v>
          </cell>
          <cell r="K230">
            <v>0</v>
          </cell>
          <cell r="L230">
            <v>0</v>
          </cell>
          <cell r="M230">
            <v>0</v>
          </cell>
        </row>
        <row r="231">
          <cell r="D231" t="str">
            <v>8b00</v>
          </cell>
          <cell r="E231" t="str">
            <v>其他权益工具（优先股）增减变动</v>
          </cell>
        </row>
        <row r="232">
          <cell r="D232" t="str">
            <v>8b01</v>
          </cell>
          <cell r="E232" t="str">
            <v>其他权益工具（优先股）_上年年末余额</v>
          </cell>
          <cell r="F232">
            <v>0</v>
          </cell>
          <cell r="G232">
            <v>0</v>
          </cell>
          <cell r="H232">
            <v>0</v>
          </cell>
          <cell r="I232">
            <v>0</v>
          </cell>
          <cell r="J232">
            <v>0</v>
          </cell>
          <cell r="K232">
            <v>0</v>
          </cell>
          <cell r="L232">
            <v>0</v>
          </cell>
          <cell r="M232">
            <v>0</v>
          </cell>
        </row>
        <row r="233">
          <cell r="D233" t="str">
            <v>8b02</v>
          </cell>
          <cell r="E233" t="str">
            <v>其他权益工具（优先股）_会计政策变更调整上年年末余额</v>
          </cell>
          <cell r="F233">
            <v>0</v>
          </cell>
          <cell r="G233">
            <v>0</v>
          </cell>
          <cell r="H233">
            <v>0</v>
          </cell>
          <cell r="I233">
            <v>0</v>
          </cell>
          <cell r="J233">
            <v>0</v>
          </cell>
          <cell r="K233">
            <v>0</v>
          </cell>
          <cell r="L233">
            <v>0</v>
          </cell>
          <cell r="M233">
            <v>0</v>
          </cell>
        </row>
        <row r="234">
          <cell r="D234" t="str">
            <v>8b03</v>
          </cell>
          <cell r="E234" t="str">
            <v>其他权益工具（优先股）_前期差错更正调整上年年末余额</v>
          </cell>
          <cell r="F234">
            <v>0</v>
          </cell>
          <cell r="G234">
            <v>0</v>
          </cell>
          <cell r="H234">
            <v>0</v>
          </cell>
          <cell r="I234">
            <v>0</v>
          </cell>
          <cell r="J234">
            <v>0</v>
          </cell>
          <cell r="K234">
            <v>0</v>
          </cell>
          <cell r="L234">
            <v>0</v>
          </cell>
          <cell r="M234">
            <v>0</v>
          </cell>
        </row>
        <row r="235">
          <cell r="D235" t="str">
            <v>8b04</v>
          </cell>
          <cell r="E235" t="str">
            <v>其他权益工具（优先股）_同一控制下企业合并调整上年年末余额</v>
          </cell>
          <cell r="F235">
            <v>0</v>
          </cell>
          <cell r="G235">
            <v>0</v>
          </cell>
          <cell r="H235">
            <v>0</v>
          </cell>
          <cell r="I235">
            <v>0</v>
          </cell>
          <cell r="J235">
            <v>0</v>
          </cell>
          <cell r="K235">
            <v>0</v>
          </cell>
          <cell r="L235">
            <v>0</v>
          </cell>
          <cell r="M235">
            <v>0</v>
          </cell>
        </row>
        <row r="236">
          <cell r="D236" t="str">
            <v>8b09</v>
          </cell>
          <cell r="E236" t="str">
            <v>其他权益工具（优先股）_其他原因调整上年年末余额</v>
          </cell>
          <cell r="F236">
            <v>0</v>
          </cell>
          <cell r="G236">
            <v>0</v>
          </cell>
          <cell r="H236">
            <v>0</v>
          </cell>
          <cell r="I236">
            <v>0</v>
          </cell>
          <cell r="J236">
            <v>0</v>
          </cell>
          <cell r="K236">
            <v>0</v>
          </cell>
          <cell r="L236">
            <v>0</v>
          </cell>
          <cell r="M236">
            <v>0</v>
          </cell>
        </row>
        <row r="237">
          <cell r="D237" t="str">
            <v>8b10</v>
          </cell>
          <cell r="E237" t="str">
            <v>其他权益工具（优先股）_本年年初余额</v>
          </cell>
          <cell r="F237">
            <v>0</v>
          </cell>
          <cell r="G237">
            <v>0</v>
          </cell>
          <cell r="H237">
            <v>0</v>
          </cell>
          <cell r="I237">
            <v>0</v>
          </cell>
          <cell r="J237">
            <v>0</v>
          </cell>
          <cell r="K237">
            <v>0</v>
          </cell>
          <cell r="L237">
            <v>0</v>
          </cell>
          <cell r="M237">
            <v>0</v>
          </cell>
        </row>
        <row r="238">
          <cell r="D238" t="str">
            <v>8b90</v>
          </cell>
          <cell r="E238" t="str">
            <v>其他权益工具（优先股）_本期增减变动金额</v>
          </cell>
          <cell r="F238">
            <v>0</v>
          </cell>
          <cell r="G238">
            <v>0</v>
          </cell>
          <cell r="H238">
            <v>0</v>
          </cell>
          <cell r="I238">
            <v>0</v>
          </cell>
          <cell r="J238">
            <v>0</v>
          </cell>
          <cell r="K238">
            <v>0</v>
          </cell>
          <cell r="L238">
            <v>0</v>
          </cell>
          <cell r="M238">
            <v>0</v>
          </cell>
        </row>
        <row r="239">
          <cell r="D239" t="str">
            <v>8b40</v>
          </cell>
          <cell r="E239" t="str">
            <v>其他权益工具（优先股）_综合收益总额增加权益</v>
          </cell>
          <cell r="F239">
            <v>0</v>
          </cell>
          <cell r="G239">
            <v>0</v>
          </cell>
          <cell r="H239">
            <v>0</v>
          </cell>
          <cell r="I239">
            <v>0</v>
          </cell>
          <cell r="J239">
            <v>0</v>
          </cell>
          <cell r="K239">
            <v>0</v>
          </cell>
          <cell r="L239">
            <v>0</v>
          </cell>
          <cell r="M239">
            <v>0</v>
          </cell>
        </row>
        <row r="240">
          <cell r="D240" t="str">
            <v>8b50</v>
          </cell>
          <cell r="E240" t="str">
            <v>其他权益工具（优先股）_所有者投入和减少资本影响权益</v>
          </cell>
          <cell r="F240">
            <v>0</v>
          </cell>
          <cell r="G240">
            <v>0</v>
          </cell>
          <cell r="H240">
            <v>0</v>
          </cell>
          <cell r="I240">
            <v>0</v>
          </cell>
          <cell r="J240">
            <v>0</v>
          </cell>
          <cell r="K240">
            <v>0</v>
          </cell>
          <cell r="L240">
            <v>0</v>
          </cell>
          <cell r="M240">
            <v>0</v>
          </cell>
        </row>
        <row r="241">
          <cell r="D241" t="str">
            <v>8b51</v>
          </cell>
          <cell r="E241" t="str">
            <v>其他权益工具（优先股）_所有者投入资本</v>
          </cell>
          <cell r="F241">
            <v>0</v>
          </cell>
          <cell r="G241">
            <v>0</v>
          </cell>
          <cell r="H241">
            <v>0</v>
          </cell>
          <cell r="I241">
            <v>0</v>
          </cell>
          <cell r="J241">
            <v>0</v>
          </cell>
          <cell r="K241">
            <v>0</v>
          </cell>
          <cell r="L241">
            <v>0</v>
          </cell>
          <cell r="M241">
            <v>0</v>
          </cell>
        </row>
        <row r="242">
          <cell r="D242" t="str">
            <v>8b53</v>
          </cell>
          <cell r="E242" t="str">
            <v>其他权益工具（优先股）_其他权益工具持有者投入资本</v>
          </cell>
          <cell r="F242">
            <v>0</v>
          </cell>
          <cell r="G242">
            <v>0</v>
          </cell>
          <cell r="H242">
            <v>0</v>
          </cell>
          <cell r="I242">
            <v>0</v>
          </cell>
          <cell r="J242">
            <v>0</v>
          </cell>
          <cell r="K242">
            <v>0</v>
          </cell>
          <cell r="L242">
            <v>0</v>
          </cell>
          <cell r="M242">
            <v>0</v>
          </cell>
        </row>
        <row r="243">
          <cell r="D243" t="str">
            <v>8b52</v>
          </cell>
          <cell r="E243" t="str">
            <v>其他权益工具（优先股）_股份支付</v>
          </cell>
          <cell r="F243">
            <v>0</v>
          </cell>
          <cell r="G243">
            <v>0</v>
          </cell>
          <cell r="H243">
            <v>0</v>
          </cell>
          <cell r="I243">
            <v>0</v>
          </cell>
          <cell r="J243">
            <v>0</v>
          </cell>
          <cell r="K243">
            <v>0</v>
          </cell>
          <cell r="L243">
            <v>0</v>
          </cell>
          <cell r="M243">
            <v>0</v>
          </cell>
        </row>
        <row r="244">
          <cell r="D244" t="str">
            <v>8b56</v>
          </cell>
          <cell r="E244" t="str">
            <v>其他权益工具（优先股）_所有者其他投入和减少资本</v>
          </cell>
          <cell r="F244">
            <v>0</v>
          </cell>
          <cell r="G244">
            <v>0</v>
          </cell>
          <cell r="H244">
            <v>0</v>
          </cell>
          <cell r="I244">
            <v>0</v>
          </cell>
          <cell r="J244">
            <v>0</v>
          </cell>
          <cell r="K244">
            <v>0</v>
          </cell>
          <cell r="L244">
            <v>0</v>
          </cell>
          <cell r="M244">
            <v>0</v>
          </cell>
        </row>
        <row r="245">
          <cell r="D245" t="str">
            <v>8b60</v>
          </cell>
          <cell r="E245" t="str">
            <v>其他权益工具（优先股）_利润分配影响权益</v>
          </cell>
          <cell r="F245">
            <v>0</v>
          </cell>
          <cell r="G245">
            <v>0</v>
          </cell>
          <cell r="H245">
            <v>0</v>
          </cell>
          <cell r="I245">
            <v>0</v>
          </cell>
          <cell r="J245">
            <v>0</v>
          </cell>
          <cell r="K245">
            <v>0</v>
          </cell>
          <cell r="L245">
            <v>0</v>
          </cell>
          <cell r="M245">
            <v>0</v>
          </cell>
        </row>
        <row r="246">
          <cell r="D246" t="str">
            <v>8b61</v>
          </cell>
          <cell r="E246" t="str">
            <v>其他权益工具（优先股）_提取盈余公积</v>
          </cell>
          <cell r="F246">
            <v>0</v>
          </cell>
          <cell r="G246">
            <v>0</v>
          </cell>
          <cell r="H246">
            <v>0</v>
          </cell>
          <cell r="I246">
            <v>0</v>
          </cell>
          <cell r="J246">
            <v>0</v>
          </cell>
          <cell r="K246">
            <v>0</v>
          </cell>
          <cell r="L246">
            <v>0</v>
          </cell>
          <cell r="M246">
            <v>0</v>
          </cell>
        </row>
        <row r="247">
          <cell r="D247" t="str">
            <v>8b62</v>
          </cell>
          <cell r="E247" t="str">
            <v>其他权益工具（优先股）_提取一般风险准备</v>
          </cell>
          <cell r="F247">
            <v>0</v>
          </cell>
          <cell r="G247">
            <v>0</v>
          </cell>
          <cell r="H247">
            <v>0</v>
          </cell>
          <cell r="I247">
            <v>0</v>
          </cell>
          <cell r="J247">
            <v>0</v>
          </cell>
          <cell r="K247">
            <v>0</v>
          </cell>
          <cell r="L247">
            <v>0</v>
          </cell>
          <cell r="M247">
            <v>0</v>
          </cell>
        </row>
        <row r="248">
          <cell r="D248" t="str">
            <v>8b63</v>
          </cell>
          <cell r="E248" t="str">
            <v>其他权益工具（优先股）_对所有者的分配</v>
          </cell>
          <cell r="F248">
            <v>0</v>
          </cell>
          <cell r="G248">
            <v>0</v>
          </cell>
          <cell r="H248">
            <v>0</v>
          </cell>
          <cell r="I248">
            <v>0</v>
          </cell>
          <cell r="J248">
            <v>0</v>
          </cell>
          <cell r="K248">
            <v>0</v>
          </cell>
          <cell r="L248">
            <v>0</v>
          </cell>
          <cell r="M248">
            <v>0</v>
          </cell>
        </row>
        <row r="249">
          <cell r="D249" t="str">
            <v>8b66</v>
          </cell>
          <cell r="E249" t="str">
            <v>其他权益工具（优先股）_其他利润分配</v>
          </cell>
          <cell r="F249">
            <v>0</v>
          </cell>
          <cell r="G249">
            <v>0</v>
          </cell>
          <cell r="H249">
            <v>0</v>
          </cell>
          <cell r="I249">
            <v>0</v>
          </cell>
          <cell r="J249">
            <v>0</v>
          </cell>
          <cell r="K249">
            <v>0</v>
          </cell>
          <cell r="L249">
            <v>0</v>
          </cell>
          <cell r="M249">
            <v>0</v>
          </cell>
        </row>
        <row r="250">
          <cell r="D250" t="str">
            <v>8b70</v>
          </cell>
          <cell r="E250" t="str">
            <v>其他权益工具（优先股）_所有者权益内部结转</v>
          </cell>
          <cell r="F250">
            <v>0</v>
          </cell>
          <cell r="G250">
            <v>0</v>
          </cell>
          <cell r="H250">
            <v>0</v>
          </cell>
          <cell r="I250">
            <v>0</v>
          </cell>
          <cell r="J250">
            <v>0</v>
          </cell>
          <cell r="K250">
            <v>0</v>
          </cell>
          <cell r="L250">
            <v>0</v>
          </cell>
          <cell r="M250">
            <v>0</v>
          </cell>
        </row>
        <row r="251">
          <cell r="D251" t="str">
            <v>8b71</v>
          </cell>
          <cell r="E251" t="str">
            <v>其他权益工具（优先股）_资本公积转增资本</v>
          </cell>
          <cell r="F251">
            <v>0</v>
          </cell>
          <cell r="G251">
            <v>0</v>
          </cell>
          <cell r="H251">
            <v>0</v>
          </cell>
          <cell r="I251">
            <v>0</v>
          </cell>
          <cell r="J251">
            <v>0</v>
          </cell>
          <cell r="K251">
            <v>0</v>
          </cell>
          <cell r="L251">
            <v>0</v>
          </cell>
          <cell r="M251">
            <v>0</v>
          </cell>
        </row>
        <row r="252">
          <cell r="D252" t="str">
            <v>8b72</v>
          </cell>
          <cell r="E252" t="str">
            <v>其他权益工具（优先股）_盈余公积转增资本</v>
          </cell>
          <cell r="F252">
            <v>0</v>
          </cell>
          <cell r="G252">
            <v>0</v>
          </cell>
          <cell r="H252">
            <v>0</v>
          </cell>
          <cell r="I252">
            <v>0</v>
          </cell>
          <cell r="J252">
            <v>0</v>
          </cell>
          <cell r="K252">
            <v>0</v>
          </cell>
          <cell r="L252">
            <v>0</v>
          </cell>
          <cell r="M252">
            <v>0</v>
          </cell>
        </row>
        <row r="253">
          <cell r="D253" t="str">
            <v>8b73</v>
          </cell>
          <cell r="E253" t="str">
            <v>其他权益工具（优先股）_盈余公积弥补亏损</v>
          </cell>
          <cell r="F253">
            <v>0</v>
          </cell>
          <cell r="G253">
            <v>0</v>
          </cell>
          <cell r="H253">
            <v>0</v>
          </cell>
          <cell r="I253">
            <v>0</v>
          </cell>
          <cell r="J253">
            <v>0</v>
          </cell>
          <cell r="K253">
            <v>0</v>
          </cell>
          <cell r="L253">
            <v>0</v>
          </cell>
          <cell r="M253">
            <v>0</v>
          </cell>
        </row>
        <row r="254">
          <cell r="D254" t="str">
            <v>8b75</v>
          </cell>
          <cell r="E254" t="str">
            <v>其他权益工具（优先股）_结转重新计量设定受益计划净负债或净资产所产生的变动</v>
          </cell>
          <cell r="F254">
            <v>0</v>
          </cell>
          <cell r="G254">
            <v>0</v>
          </cell>
          <cell r="H254">
            <v>0</v>
          </cell>
          <cell r="I254">
            <v>0</v>
          </cell>
          <cell r="J254">
            <v>0</v>
          </cell>
          <cell r="K254">
            <v>0</v>
          </cell>
          <cell r="L254">
            <v>0</v>
          </cell>
          <cell r="M254">
            <v>0</v>
          </cell>
        </row>
        <row r="255">
          <cell r="D255" t="str">
            <v>8b76</v>
          </cell>
          <cell r="E255" t="str">
            <v>其他权益工具（优先股）_所有者权益其他内部结转</v>
          </cell>
          <cell r="F255">
            <v>0</v>
          </cell>
          <cell r="G255">
            <v>0</v>
          </cell>
          <cell r="H255">
            <v>0</v>
          </cell>
          <cell r="I255">
            <v>0</v>
          </cell>
          <cell r="J255">
            <v>0</v>
          </cell>
          <cell r="K255">
            <v>0</v>
          </cell>
          <cell r="L255">
            <v>0</v>
          </cell>
          <cell r="M255">
            <v>0</v>
          </cell>
        </row>
        <row r="256">
          <cell r="D256" t="str">
            <v>8b80</v>
          </cell>
          <cell r="E256" t="str">
            <v>其他权益工具（优先股）_专项储备影响权益</v>
          </cell>
          <cell r="F256">
            <v>0</v>
          </cell>
          <cell r="G256">
            <v>0</v>
          </cell>
          <cell r="H256">
            <v>0</v>
          </cell>
          <cell r="I256">
            <v>0</v>
          </cell>
          <cell r="J256">
            <v>0</v>
          </cell>
          <cell r="K256">
            <v>0</v>
          </cell>
          <cell r="L256">
            <v>0</v>
          </cell>
          <cell r="M256">
            <v>0</v>
          </cell>
        </row>
        <row r="257">
          <cell r="D257" t="str">
            <v>8b81</v>
          </cell>
          <cell r="E257" t="str">
            <v>其他权益工具（优先股）_专项储备本期提取</v>
          </cell>
          <cell r="F257">
            <v>0</v>
          </cell>
          <cell r="G257">
            <v>0</v>
          </cell>
          <cell r="H257">
            <v>0</v>
          </cell>
          <cell r="I257">
            <v>0</v>
          </cell>
          <cell r="J257">
            <v>0</v>
          </cell>
          <cell r="K257">
            <v>0</v>
          </cell>
          <cell r="L257">
            <v>0</v>
          </cell>
          <cell r="M257">
            <v>0</v>
          </cell>
        </row>
        <row r="258">
          <cell r="D258" t="str">
            <v>8b82</v>
          </cell>
          <cell r="E258" t="str">
            <v>其他权益工具（优先股）_专项储备本期使用</v>
          </cell>
          <cell r="F258">
            <v>0</v>
          </cell>
          <cell r="G258">
            <v>0</v>
          </cell>
          <cell r="H258">
            <v>0</v>
          </cell>
          <cell r="I258">
            <v>0</v>
          </cell>
          <cell r="J258">
            <v>0</v>
          </cell>
          <cell r="K258">
            <v>0</v>
          </cell>
          <cell r="L258">
            <v>0</v>
          </cell>
          <cell r="M258">
            <v>0</v>
          </cell>
        </row>
        <row r="259">
          <cell r="D259" t="str">
            <v>8b96</v>
          </cell>
          <cell r="E259" t="str">
            <v>其他权益工具（优先股）_本期其他增减变动</v>
          </cell>
          <cell r="F259">
            <v>0</v>
          </cell>
          <cell r="G259">
            <v>0</v>
          </cell>
          <cell r="H259">
            <v>0</v>
          </cell>
          <cell r="I259">
            <v>0</v>
          </cell>
          <cell r="J259">
            <v>0</v>
          </cell>
          <cell r="K259">
            <v>0</v>
          </cell>
          <cell r="L259">
            <v>0</v>
          </cell>
          <cell r="M259">
            <v>0</v>
          </cell>
        </row>
        <row r="260">
          <cell r="D260" t="str">
            <v>8b99</v>
          </cell>
          <cell r="E260" t="str">
            <v>其他权益工具（优先股）_本期期末余额</v>
          </cell>
          <cell r="F260">
            <v>0</v>
          </cell>
          <cell r="G260">
            <v>0</v>
          </cell>
          <cell r="H260">
            <v>0</v>
          </cell>
          <cell r="I260">
            <v>0</v>
          </cell>
          <cell r="J260">
            <v>0</v>
          </cell>
          <cell r="K260">
            <v>0</v>
          </cell>
          <cell r="L260">
            <v>0</v>
          </cell>
          <cell r="M260">
            <v>0</v>
          </cell>
        </row>
        <row r="261">
          <cell r="D261" t="str">
            <v>8c00</v>
          </cell>
          <cell r="E261" t="str">
            <v>其他权益工具（永续债）增减变动</v>
          </cell>
        </row>
        <row r="262">
          <cell r="D262" t="str">
            <v>8c01</v>
          </cell>
          <cell r="E262" t="str">
            <v>其他权益工具（永续债）_上年年末余额</v>
          </cell>
          <cell r="F262">
            <v>0</v>
          </cell>
          <cell r="G262">
            <v>0</v>
          </cell>
          <cell r="H262">
            <v>0</v>
          </cell>
          <cell r="I262">
            <v>0</v>
          </cell>
          <cell r="J262">
            <v>0</v>
          </cell>
          <cell r="K262">
            <v>0</v>
          </cell>
          <cell r="L262">
            <v>0</v>
          </cell>
          <cell r="M262">
            <v>0</v>
          </cell>
        </row>
        <row r="263">
          <cell r="D263" t="str">
            <v>8c02</v>
          </cell>
          <cell r="E263" t="str">
            <v>其他权益工具（永续债）_会计政策变更调整上年年末余额</v>
          </cell>
          <cell r="F263">
            <v>0</v>
          </cell>
          <cell r="G263">
            <v>0</v>
          </cell>
          <cell r="H263">
            <v>0</v>
          </cell>
          <cell r="I263">
            <v>0</v>
          </cell>
          <cell r="J263">
            <v>0</v>
          </cell>
          <cell r="K263">
            <v>0</v>
          </cell>
          <cell r="L263">
            <v>0</v>
          </cell>
          <cell r="M263">
            <v>0</v>
          </cell>
        </row>
        <row r="264">
          <cell r="D264" t="str">
            <v>8c03</v>
          </cell>
          <cell r="E264" t="str">
            <v>其他权益工具（永续债）_前期差错更正调整上年年末余额</v>
          </cell>
          <cell r="F264">
            <v>0</v>
          </cell>
          <cell r="G264">
            <v>0</v>
          </cell>
          <cell r="H264">
            <v>0</v>
          </cell>
          <cell r="I264">
            <v>0</v>
          </cell>
          <cell r="J264">
            <v>0</v>
          </cell>
          <cell r="K264">
            <v>0</v>
          </cell>
          <cell r="L264">
            <v>0</v>
          </cell>
          <cell r="M264">
            <v>0</v>
          </cell>
        </row>
        <row r="265">
          <cell r="D265" t="str">
            <v>8c04</v>
          </cell>
          <cell r="E265" t="str">
            <v>其他权益工具（永续债）_同一控制下企业合并调整上年年末余额</v>
          </cell>
          <cell r="F265">
            <v>0</v>
          </cell>
          <cell r="G265">
            <v>0</v>
          </cell>
          <cell r="H265">
            <v>0</v>
          </cell>
          <cell r="I265">
            <v>0</v>
          </cell>
          <cell r="J265">
            <v>0</v>
          </cell>
          <cell r="K265">
            <v>0</v>
          </cell>
          <cell r="L265">
            <v>0</v>
          </cell>
          <cell r="M265">
            <v>0</v>
          </cell>
        </row>
        <row r="266">
          <cell r="D266" t="str">
            <v>8c09</v>
          </cell>
          <cell r="E266" t="str">
            <v>其他权益工具（永续债）_其他原因调整上年年末余额</v>
          </cell>
          <cell r="F266">
            <v>0</v>
          </cell>
          <cell r="G266">
            <v>0</v>
          </cell>
          <cell r="H266">
            <v>0</v>
          </cell>
          <cell r="I266">
            <v>0</v>
          </cell>
          <cell r="J266">
            <v>0</v>
          </cell>
          <cell r="K266">
            <v>0</v>
          </cell>
          <cell r="L266">
            <v>0</v>
          </cell>
          <cell r="M266">
            <v>0</v>
          </cell>
        </row>
        <row r="267">
          <cell r="D267" t="str">
            <v>8c10</v>
          </cell>
          <cell r="E267" t="str">
            <v>其他权益工具（永续债）_本年年初余额</v>
          </cell>
          <cell r="F267">
            <v>0</v>
          </cell>
          <cell r="G267">
            <v>0</v>
          </cell>
          <cell r="H267">
            <v>0</v>
          </cell>
          <cell r="I267">
            <v>0</v>
          </cell>
          <cell r="J267">
            <v>0</v>
          </cell>
          <cell r="K267">
            <v>0</v>
          </cell>
          <cell r="L267">
            <v>0</v>
          </cell>
          <cell r="M267">
            <v>0</v>
          </cell>
        </row>
        <row r="268">
          <cell r="D268" t="str">
            <v>8c90</v>
          </cell>
          <cell r="E268" t="str">
            <v>其他权益工具（永续债）_本期增减变动金额</v>
          </cell>
          <cell r="F268">
            <v>0</v>
          </cell>
          <cell r="G268">
            <v>0</v>
          </cell>
          <cell r="H268">
            <v>0</v>
          </cell>
          <cell r="I268">
            <v>0</v>
          </cell>
          <cell r="J268">
            <v>0</v>
          </cell>
          <cell r="K268">
            <v>0</v>
          </cell>
          <cell r="L268">
            <v>0</v>
          </cell>
          <cell r="M268">
            <v>0</v>
          </cell>
        </row>
        <row r="269">
          <cell r="D269" t="str">
            <v>8c40</v>
          </cell>
          <cell r="E269" t="str">
            <v>其他权益工具（永续债）_综合收益总额增加权益</v>
          </cell>
          <cell r="F269">
            <v>0</v>
          </cell>
          <cell r="G269">
            <v>0</v>
          </cell>
          <cell r="H269">
            <v>0</v>
          </cell>
          <cell r="I269">
            <v>0</v>
          </cell>
          <cell r="J269">
            <v>0</v>
          </cell>
          <cell r="K269">
            <v>0</v>
          </cell>
          <cell r="L269">
            <v>0</v>
          </cell>
          <cell r="M269">
            <v>0</v>
          </cell>
        </row>
        <row r="270">
          <cell r="D270" t="str">
            <v>8c50</v>
          </cell>
          <cell r="E270" t="str">
            <v>其他权益工具（永续债）_所有者投入和减少资本影响权益</v>
          </cell>
          <cell r="F270">
            <v>0</v>
          </cell>
          <cell r="G270">
            <v>0</v>
          </cell>
          <cell r="H270">
            <v>0</v>
          </cell>
          <cell r="I270">
            <v>0</v>
          </cell>
          <cell r="J270">
            <v>0</v>
          </cell>
          <cell r="K270">
            <v>0</v>
          </cell>
          <cell r="L270">
            <v>0</v>
          </cell>
          <cell r="M270">
            <v>0</v>
          </cell>
        </row>
        <row r="271">
          <cell r="D271" t="str">
            <v>8c51</v>
          </cell>
          <cell r="E271" t="str">
            <v>其他权益工具（永续债）_所有者投入资本</v>
          </cell>
          <cell r="F271">
            <v>0</v>
          </cell>
          <cell r="G271">
            <v>0</v>
          </cell>
          <cell r="H271">
            <v>0</v>
          </cell>
          <cell r="I271">
            <v>0</v>
          </cell>
          <cell r="J271">
            <v>0</v>
          </cell>
          <cell r="K271">
            <v>0</v>
          </cell>
          <cell r="L271">
            <v>0</v>
          </cell>
          <cell r="M271">
            <v>0</v>
          </cell>
        </row>
        <row r="272">
          <cell r="D272" t="str">
            <v>8c53</v>
          </cell>
          <cell r="E272" t="str">
            <v>其他权益工具（永续债）_其他权益工具持有者投入资本</v>
          </cell>
          <cell r="F272">
            <v>0</v>
          </cell>
          <cell r="G272">
            <v>0</v>
          </cell>
          <cell r="H272">
            <v>0</v>
          </cell>
          <cell r="I272">
            <v>0</v>
          </cell>
          <cell r="J272">
            <v>0</v>
          </cell>
          <cell r="K272">
            <v>0</v>
          </cell>
          <cell r="L272">
            <v>0</v>
          </cell>
          <cell r="M272">
            <v>0</v>
          </cell>
        </row>
        <row r="273">
          <cell r="D273" t="str">
            <v>8c52</v>
          </cell>
          <cell r="E273" t="str">
            <v>其他权益工具（永续债）_股份支付</v>
          </cell>
          <cell r="F273">
            <v>0</v>
          </cell>
          <cell r="G273">
            <v>0</v>
          </cell>
          <cell r="H273">
            <v>0</v>
          </cell>
          <cell r="I273">
            <v>0</v>
          </cell>
          <cell r="J273">
            <v>0</v>
          </cell>
          <cell r="K273">
            <v>0</v>
          </cell>
          <cell r="L273">
            <v>0</v>
          </cell>
          <cell r="M273">
            <v>0</v>
          </cell>
        </row>
        <row r="274">
          <cell r="D274" t="str">
            <v>8c56</v>
          </cell>
          <cell r="E274" t="str">
            <v>其他权益工具（永续债）_所有者其他投入和减少资本</v>
          </cell>
          <cell r="F274">
            <v>0</v>
          </cell>
          <cell r="G274">
            <v>0</v>
          </cell>
          <cell r="H274">
            <v>0</v>
          </cell>
          <cell r="I274">
            <v>0</v>
          </cell>
          <cell r="J274">
            <v>0</v>
          </cell>
          <cell r="K274">
            <v>0</v>
          </cell>
          <cell r="L274">
            <v>0</v>
          </cell>
          <cell r="M274">
            <v>0</v>
          </cell>
        </row>
        <row r="275">
          <cell r="D275" t="str">
            <v>8c60</v>
          </cell>
          <cell r="E275" t="str">
            <v>其他权益工具（永续债）_利润分配影响权益</v>
          </cell>
          <cell r="F275">
            <v>0</v>
          </cell>
          <cell r="G275">
            <v>0</v>
          </cell>
          <cell r="H275">
            <v>0</v>
          </cell>
          <cell r="I275">
            <v>0</v>
          </cell>
          <cell r="J275">
            <v>0</v>
          </cell>
          <cell r="K275">
            <v>0</v>
          </cell>
          <cell r="L275">
            <v>0</v>
          </cell>
          <cell r="M275">
            <v>0</v>
          </cell>
        </row>
        <row r="276">
          <cell r="D276" t="str">
            <v>8c61</v>
          </cell>
          <cell r="E276" t="str">
            <v>其他权益工具（永续债）_提取盈余公积</v>
          </cell>
          <cell r="F276">
            <v>0</v>
          </cell>
          <cell r="G276">
            <v>0</v>
          </cell>
          <cell r="H276">
            <v>0</v>
          </cell>
          <cell r="I276">
            <v>0</v>
          </cell>
          <cell r="J276">
            <v>0</v>
          </cell>
          <cell r="K276">
            <v>0</v>
          </cell>
          <cell r="L276">
            <v>0</v>
          </cell>
          <cell r="M276">
            <v>0</v>
          </cell>
        </row>
        <row r="277">
          <cell r="D277" t="str">
            <v>8c62</v>
          </cell>
          <cell r="E277" t="str">
            <v>其他权益工具（永续债）_提取一般风险准备</v>
          </cell>
          <cell r="F277">
            <v>0</v>
          </cell>
          <cell r="G277">
            <v>0</v>
          </cell>
          <cell r="H277">
            <v>0</v>
          </cell>
          <cell r="I277">
            <v>0</v>
          </cell>
          <cell r="J277">
            <v>0</v>
          </cell>
          <cell r="K277">
            <v>0</v>
          </cell>
          <cell r="L277">
            <v>0</v>
          </cell>
          <cell r="M277">
            <v>0</v>
          </cell>
        </row>
        <row r="278">
          <cell r="D278" t="str">
            <v>8c63</v>
          </cell>
          <cell r="E278" t="str">
            <v>其他权益工具（永续债）_对所有者的分配</v>
          </cell>
          <cell r="F278">
            <v>0</v>
          </cell>
          <cell r="G278">
            <v>0</v>
          </cell>
          <cell r="H278">
            <v>0</v>
          </cell>
          <cell r="I278">
            <v>0</v>
          </cell>
          <cell r="J278">
            <v>0</v>
          </cell>
          <cell r="K278">
            <v>0</v>
          </cell>
          <cell r="L278">
            <v>0</v>
          </cell>
          <cell r="M278">
            <v>0</v>
          </cell>
        </row>
        <row r="279">
          <cell r="D279" t="str">
            <v>8c66</v>
          </cell>
          <cell r="E279" t="str">
            <v>其他权益工具（永续债）_其他利润分配</v>
          </cell>
          <cell r="F279">
            <v>0</v>
          </cell>
          <cell r="G279">
            <v>0</v>
          </cell>
          <cell r="H279">
            <v>0</v>
          </cell>
          <cell r="I279">
            <v>0</v>
          </cell>
          <cell r="J279">
            <v>0</v>
          </cell>
          <cell r="K279">
            <v>0</v>
          </cell>
          <cell r="L279">
            <v>0</v>
          </cell>
          <cell r="M279">
            <v>0</v>
          </cell>
        </row>
        <row r="280">
          <cell r="D280" t="str">
            <v>8c70</v>
          </cell>
          <cell r="E280" t="str">
            <v>其他权益工具（永续债）_所有者权益内部结转</v>
          </cell>
          <cell r="F280">
            <v>0</v>
          </cell>
          <cell r="G280">
            <v>0</v>
          </cell>
          <cell r="H280">
            <v>0</v>
          </cell>
          <cell r="I280">
            <v>0</v>
          </cell>
          <cell r="J280">
            <v>0</v>
          </cell>
          <cell r="K280">
            <v>0</v>
          </cell>
          <cell r="L280">
            <v>0</v>
          </cell>
          <cell r="M280">
            <v>0</v>
          </cell>
        </row>
        <row r="281">
          <cell r="D281" t="str">
            <v>8c71</v>
          </cell>
          <cell r="E281" t="str">
            <v>其他权益工具（永续债）_资本公积转增资本</v>
          </cell>
          <cell r="F281">
            <v>0</v>
          </cell>
          <cell r="G281">
            <v>0</v>
          </cell>
          <cell r="H281">
            <v>0</v>
          </cell>
          <cell r="I281">
            <v>0</v>
          </cell>
          <cell r="J281">
            <v>0</v>
          </cell>
          <cell r="K281">
            <v>0</v>
          </cell>
          <cell r="L281">
            <v>0</v>
          </cell>
          <cell r="M281">
            <v>0</v>
          </cell>
        </row>
        <row r="282">
          <cell r="D282" t="str">
            <v>8c72</v>
          </cell>
          <cell r="E282" t="str">
            <v>其他权益工具（永续债）_盈余公积转增资本</v>
          </cell>
          <cell r="F282">
            <v>0</v>
          </cell>
          <cell r="G282">
            <v>0</v>
          </cell>
          <cell r="H282">
            <v>0</v>
          </cell>
          <cell r="I282">
            <v>0</v>
          </cell>
          <cell r="J282">
            <v>0</v>
          </cell>
          <cell r="K282">
            <v>0</v>
          </cell>
          <cell r="L282">
            <v>0</v>
          </cell>
          <cell r="M282">
            <v>0</v>
          </cell>
        </row>
        <row r="283">
          <cell r="D283" t="str">
            <v>8c73</v>
          </cell>
          <cell r="E283" t="str">
            <v>其他权益工具（永续债）_盈余公积弥补亏损</v>
          </cell>
          <cell r="F283">
            <v>0</v>
          </cell>
          <cell r="G283">
            <v>0</v>
          </cell>
          <cell r="H283">
            <v>0</v>
          </cell>
          <cell r="I283">
            <v>0</v>
          </cell>
          <cell r="J283">
            <v>0</v>
          </cell>
          <cell r="K283">
            <v>0</v>
          </cell>
          <cell r="L283">
            <v>0</v>
          </cell>
          <cell r="M283">
            <v>0</v>
          </cell>
        </row>
        <row r="284">
          <cell r="D284" t="str">
            <v>8c75</v>
          </cell>
          <cell r="E284" t="str">
            <v>其他权益工具（永续债）_结转重新计量设定受益计划净负债或净资产所产生的变动</v>
          </cell>
          <cell r="F284">
            <v>0</v>
          </cell>
          <cell r="G284">
            <v>0</v>
          </cell>
          <cell r="H284">
            <v>0</v>
          </cell>
          <cell r="I284">
            <v>0</v>
          </cell>
          <cell r="J284">
            <v>0</v>
          </cell>
          <cell r="K284">
            <v>0</v>
          </cell>
          <cell r="L284">
            <v>0</v>
          </cell>
          <cell r="M284">
            <v>0</v>
          </cell>
        </row>
        <row r="285">
          <cell r="D285" t="str">
            <v>8c76</v>
          </cell>
          <cell r="E285" t="str">
            <v>其他权益工具（永续债）_所有者权益其他内部结转</v>
          </cell>
          <cell r="F285">
            <v>0</v>
          </cell>
          <cell r="G285">
            <v>0</v>
          </cell>
          <cell r="H285">
            <v>0</v>
          </cell>
          <cell r="I285">
            <v>0</v>
          </cell>
          <cell r="J285">
            <v>0</v>
          </cell>
          <cell r="K285">
            <v>0</v>
          </cell>
          <cell r="L285">
            <v>0</v>
          </cell>
          <cell r="M285">
            <v>0</v>
          </cell>
        </row>
        <row r="286">
          <cell r="D286" t="str">
            <v>8c80</v>
          </cell>
          <cell r="E286" t="str">
            <v>其他权益工具（永续债）_专项储备影响权益</v>
          </cell>
          <cell r="F286">
            <v>0</v>
          </cell>
          <cell r="G286">
            <v>0</v>
          </cell>
          <cell r="H286">
            <v>0</v>
          </cell>
          <cell r="I286">
            <v>0</v>
          </cell>
          <cell r="J286">
            <v>0</v>
          </cell>
          <cell r="K286">
            <v>0</v>
          </cell>
          <cell r="L286">
            <v>0</v>
          </cell>
          <cell r="M286">
            <v>0</v>
          </cell>
        </row>
        <row r="287">
          <cell r="D287" t="str">
            <v>8c81</v>
          </cell>
          <cell r="E287" t="str">
            <v>其他权益工具（永续债）_专项储备本期提取</v>
          </cell>
          <cell r="F287">
            <v>0</v>
          </cell>
          <cell r="G287">
            <v>0</v>
          </cell>
          <cell r="H287">
            <v>0</v>
          </cell>
          <cell r="I287">
            <v>0</v>
          </cell>
          <cell r="J287">
            <v>0</v>
          </cell>
          <cell r="K287">
            <v>0</v>
          </cell>
          <cell r="L287">
            <v>0</v>
          </cell>
          <cell r="M287">
            <v>0</v>
          </cell>
        </row>
        <row r="288">
          <cell r="D288" t="str">
            <v>8c82</v>
          </cell>
          <cell r="E288" t="str">
            <v>其他权益工具（永续债）_专项储备本期使用</v>
          </cell>
          <cell r="F288">
            <v>0</v>
          </cell>
          <cell r="G288">
            <v>0</v>
          </cell>
          <cell r="H288">
            <v>0</v>
          </cell>
          <cell r="I288">
            <v>0</v>
          </cell>
          <cell r="J288">
            <v>0</v>
          </cell>
          <cell r="K288">
            <v>0</v>
          </cell>
          <cell r="L288">
            <v>0</v>
          </cell>
          <cell r="M288">
            <v>0</v>
          </cell>
        </row>
        <row r="289">
          <cell r="D289" t="str">
            <v>8c96</v>
          </cell>
          <cell r="E289" t="str">
            <v>其他权益工具（永续债）_本期其他增减变动</v>
          </cell>
          <cell r="F289">
            <v>0</v>
          </cell>
          <cell r="G289">
            <v>0</v>
          </cell>
          <cell r="H289">
            <v>0</v>
          </cell>
          <cell r="I289">
            <v>0</v>
          </cell>
          <cell r="J289">
            <v>0</v>
          </cell>
          <cell r="K289">
            <v>0</v>
          </cell>
          <cell r="L289">
            <v>0</v>
          </cell>
          <cell r="M289">
            <v>0</v>
          </cell>
        </row>
        <row r="290">
          <cell r="D290" t="str">
            <v>8c99</v>
          </cell>
          <cell r="E290" t="str">
            <v>其他权益工具（永续债）_本期期末余额</v>
          </cell>
          <cell r="F290">
            <v>0</v>
          </cell>
          <cell r="G290">
            <v>0</v>
          </cell>
          <cell r="H290">
            <v>0</v>
          </cell>
          <cell r="I290">
            <v>0</v>
          </cell>
          <cell r="J290">
            <v>0</v>
          </cell>
          <cell r="K290">
            <v>0</v>
          </cell>
          <cell r="L290">
            <v>0</v>
          </cell>
          <cell r="M290">
            <v>0</v>
          </cell>
        </row>
        <row r="291">
          <cell r="D291" t="str">
            <v>8d00</v>
          </cell>
          <cell r="E291" t="str">
            <v>其他权益工具（其他）增减变动</v>
          </cell>
        </row>
        <row r="292">
          <cell r="D292" t="str">
            <v>8d01</v>
          </cell>
          <cell r="E292" t="str">
            <v>其他权益工具（其他）_上年年末余额</v>
          </cell>
          <cell r="F292">
            <v>0</v>
          </cell>
          <cell r="G292">
            <v>0</v>
          </cell>
          <cell r="H292">
            <v>0</v>
          </cell>
          <cell r="I292">
            <v>0</v>
          </cell>
          <cell r="J292">
            <v>0</v>
          </cell>
          <cell r="K292">
            <v>0</v>
          </cell>
          <cell r="L292">
            <v>0</v>
          </cell>
          <cell r="M292">
            <v>0</v>
          </cell>
        </row>
        <row r="293">
          <cell r="D293" t="str">
            <v>8d02</v>
          </cell>
          <cell r="E293" t="str">
            <v>其他权益工具（其他）_会计政策变更调整上年年末余额</v>
          </cell>
          <cell r="F293">
            <v>0</v>
          </cell>
          <cell r="G293">
            <v>0</v>
          </cell>
          <cell r="H293">
            <v>0</v>
          </cell>
          <cell r="I293">
            <v>0</v>
          </cell>
          <cell r="J293">
            <v>0</v>
          </cell>
          <cell r="K293">
            <v>0</v>
          </cell>
          <cell r="L293">
            <v>0</v>
          </cell>
          <cell r="M293">
            <v>0</v>
          </cell>
        </row>
        <row r="294">
          <cell r="D294" t="str">
            <v>8d03</v>
          </cell>
          <cell r="E294" t="str">
            <v>其他权益工具（其他）_前期差错更正调整上年年末余额</v>
          </cell>
          <cell r="F294">
            <v>0</v>
          </cell>
          <cell r="G294">
            <v>0</v>
          </cell>
          <cell r="H294">
            <v>0</v>
          </cell>
          <cell r="I294">
            <v>0</v>
          </cell>
          <cell r="J294">
            <v>0</v>
          </cell>
          <cell r="K294">
            <v>0</v>
          </cell>
          <cell r="L294">
            <v>0</v>
          </cell>
          <cell r="M294">
            <v>0</v>
          </cell>
        </row>
        <row r="295">
          <cell r="D295" t="str">
            <v>8d04</v>
          </cell>
          <cell r="E295" t="str">
            <v>其他权益工具（其他）_同一控制下企业合并调整上年年末余额</v>
          </cell>
          <cell r="F295">
            <v>0</v>
          </cell>
          <cell r="G295">
            <v>0</v>
          </cell>
          <cell r="H295">
            <v>0</v>
          </cell>
          <cell r="I295">
            <v>0</v>
          </cell>
          <cell r="J295">
            <v>0</v>
          </cell>
          <cell r="K295">
            <v>0</v>
          </cell>
          <cell r="L295">
            <v>0</v>
          </cell>
          <cell r="M295">
            <v>0</v>
          </cell>
        </row>
        <row r="296">
          <cell r="D296" t="str">
            <v>8d09</v>
          </cell>
          <cell r="E296" t="str">
            <v>其他权益工具（其他）_其他原因调整上年年末余额</v>
          </cell>
          <cell r="F296">
            <v>0</v>
          </cell>
          <cell r="G296">
            <v>0</v>
          </cell>
          <cell r="H296">
            <v>0</v>
          </cell>
          <cell r="I296">
            <v>0</v>
          </cell>
          <cell r="J296">
            <v>0</v>
          </cell>
          <cell r="K296">
            <v>0</v>
          </cell>
          <cell r="L296">
            <v>0</v>
          </cell>
          <cell r="M296">
            <v>0</v>
          </cell>
        </row>
        <row r="297">
          <cell r="D297" t="str">
            <v>8d10</v>
          </cell>
          <cell r="E297" t="str">
            <v>其他权益工具（其他）_本年年初余额</v>
          </cell>
          <cell r="F297">
            <v>0</v>
          </cell>
          <cell r="G297">
            <v>0</v>
          </cell>
          <cell r="H297">
            <v>0</v>
          </cell>
          <cell r="I297">
            <v>0</v>
          </cell>
          <cell r="J297">
            <v>0</v>
          </cell>
          <cell r="K297">
            <v>0</v>
          </cell>
          <cell r="L297">
            <v>0</v>
          </cell>
          <cell r="M297">
            <v>0</v>
          </cell>
        </row>
        <row r="298">
          <cell r="D298" t="str">
            <v>8d90</v>
          </cell>
          <cell r="E298" t="str">
            <v>其他权益工具（其他）_本期增减变动金额</v>
          </cell>
          <cell r="F298">
            <v>0</v>
          </cell>
          <cell r="G298">
            <v>0</v>
          </cell>
          <cell r="H298">
            <v>0</v>
          </cell>
          <cell r="I298">
            <v>0</v>
          </cell>
          <cell r="J298">
            <v>0</v>
          </cell>
          <cell r="K298">
            <v>0</v>
          </cell>
          <cell r="L298">
            <v>0</v>
          </cell>
          <cell r="M298">
            <v>0</v>
          </cell>
        </row>
        <row r="299">
          <cell r="D299" t="str">
            <v>8d40</v>
          </cell>
          <cell r="E299" t="str">
            <v>其他权益工具（其他）_综合收益总额增加权益</v>
          </cell>
          <cell r="F299">
            <v>0</v>
          </cell>
          <cell r="G299">
            <v>0</v>
          </cell>
          <cell r="H299">
            <v>0</v>
          </cell>
          <cell r="I299">
            <v>0</v>
          </cell>
          <cell r="J299">
            <v>0</v>
          </cell>
          <cell r="K299">
            <v>0</v>
          </cell>
          <cell r="L299">
            <v>0</v>
          </cell>
          <cell r="M299">
            <v>0</v>
          </cell>
        </row>
        <row r="300">
          <cell r="D300" t="str">
            <v>8d50</v>
          </cell>
          <cell r="E300" t="str">
            <v>其他权益工具（其他）_所有者投入和减少资本影响权益</v>
          </cell>
          <cell r="F300">
            <v>0</v>
          </cell>
          <cell r="G300">
            <v>0</v>
          </cell>
          <cell r="H300">
            <v>0</v>
          </cell>
          <cell r="I300">
            <v>0</v>
          </cell>
          <cell r="J300">
            <v>0</v>
          </cell>
          <cell r="K300">
            <v>0</v>
          </cell>
          <cell r="L300">
            <v>0</v>
          </cell>
          <cell r="M300">
            <v>0</v>
          </cell>
        </row>
        <row r="301">
          <cell r="D301" t="str">
            <v>8d51</v>
          </cell>
          <cell r="E301" t="str">
            <v>其他权益工具（其他）_所有者投入资本</v>
          </cell>
          <cell r="F301">
            <v>0</v>
          </cell>
          <cell r="G301">
            <v>0</v>
          </cell>
          <cell r="H301">
            <v>0</v>
          </cell>
          <cell r="I301">
            <v>0</v>
          </cell>
          <cell r="J301">
            <v>0</v>
          </cell>
          <cell r="K301">
            <v>0</v>
          </cell>
          <cell r="L301">
            <v>0</v>
          </cell>
          <cell r="M301">
            <v>0</v>
          </cell>
        </row>
        <row r="302">
          <cell r="D302" t="str">
            <v>8d53</v>
          </cell>
          <cell r="E302" t="str">
            <v>其他权益工具（其他）_其他权益工具持有者投入资本</v>
          </cell>
          <cell r="F302">
            <v>0</v>
          </cell>
          <cell r="G302">
            <v>0</v>
          </cell>
          <cell r="H302">
            <v>0</v>
          </cell>
          <cell r="I302">
            <v>0</v>
          </cell>
          <cell r="J302">
            <v>0</v>
          </cell>
          <cell r="K302">
            <v>0</v>
          </cell>
          <cell r="L302">
            <v>0</v>
          </cell>
          <cell r="M302">
            <v>0</v>
          </cell>
        </row>
        <row r="303">
          <cell r="D303" t="str">
            <v>8d52</v>
          </cell>
          <cell r="E303" t="str">
            <v>其他权益工具（其他）_股份支付</v>
          </cell>
          <cell r="F303">
            <v>0</v>
          </cell>
          <cell r="G303">
            <v>0</v>
          </cell>
          <cell r="H303">
            <v>0</v>
          </cell>
          <cell r="I303">
            <v>0</v>
          </cell>
          <cell r="J303">
            <v>0</v>
          </cell>
          <cell r="K303">
            <v>0</v>
          </cell>
          <cell r="L303">
            <v>0</v>
          </cell>
          <cell r="M303">
            <v>0</v>
          </cell>
        </row>
        <row r="304">
          <cell r="D304" t="str">
            <v>8d56</v>
          </cell>
          <cell r="E304" t="str">
            <v>其他权益工具（其他）_所有者其他投入和减少资本</v>
          </cell>
          <cell r="F304">
            <v>0</v>
          </cell>
          <cell r="G304">
            <v>0</v>
          </cell>
          <cell r="H304">
            <v>0</v>
          </cell>
          <cell r="I304">
            <v>0</v>
          </cell>
          <cell r="J304">
            <v>0</v>
          </cell>
          <cell r="K304">
            <v>0</v>
          </cell>
          <cell r="L304">
            <v>0</v>
          </cell>
          <cell r="M304">
            <v>0</v>
          </cell>
        </row>
        <row r="305">
          <cell r="D305" t="str">
            <v>8d60</v>
          </cell>
          <cell r="E305" t="str">
            <v>其他权益工具（其他）_利润分配影响权益</v>
          </cell>
          <cell r="F305">
            <v>0</v>
          </cell>
          <cell r="G305">
            <v>0</v>
          </cell>
          <cell r="H305">
            <v>0</v>
          </cell>
          <cell r="I305">
            <v>0</v>
          </cell>
          <cell r="J305">
            <v>0</v>
          </cell>
          <cell r="K305">
            <v>0</v>
          </cell>
          <cell r="L305">
            <v>0</v>
          </cell>
          <cell r="M305">
            <v>0</v>
          </cell>
        </row>
        <row r="306">
          <cell r="D306" t="str">
            <v>8d61</v>
          </cell>
          <cell r="E306" t="str">
            <v>其他权益工具（其他）_提取盈余公积</v>
          </cell>
          <cell r="F306">
            <v>0</v>
          </cell>
          <cell r="G306">
            <v>0</v>
          </cell>
          <cell r="H306">
            <v>0</v>
          </cell>
          <cell r="I306">
            <v>0</v>
          </cell>
          <cell r="J306">
            <v>0</v>
          </cell>
          <cell r="K306">
            <v>0</v>
          </cell>
          <cell r="L306">
            <v>0</v>
          </cell>
          <cell r="M306">
            <v>0</v>
          </cell>
        </row>
        <row r="307">
          <cell r="D307" t="str">
            <v>8d62</v>
          </cell>
          <cell r="E307" t="str">
            <v>其他权益工具（其他）_提取一般风险准备</v>
          </cell>
          <cell r="F307">
            <v>0</v>
          </cell>
          <cell r="G307">
            <v>0</v>
          </cell>
          <cell r="H307">
            <v>0</v>
          </cell>
          <cell r="I307">
            <v>0</v>
          </cell>
          <cell r="J307">
            <v>0</v>
          </cell>
          <cell r="K307">
            <v>0</v>
          </cell>
          <cell r="L307">
            <v>0</v>
          </cell>
          <cell r="M307">
            <v>0</v>
          </cell>
        </row>
        <row r="308">
          <cell r="D308" t="str">
            <v>8d63</v>
          </cell>
          <cell r="E308" t="str">
            <v>其他权益工具（其他）_对所有者的分配</v>
          </cell>
          <cell r="F308">
            <v>0</v>
          </cell>
          <cell r="G308">
            <v>0</v>
          </cell>
          <cell r="H308">
            <v>0</v>
          </cell>
          <cell r="I308">
            <v>0</v>
          </cell>
          <cell r="J308">
            <v>0</v>
          </cell>
          <cell r="K308">
            <v>0</v>
          </cell>
          <cell r="L308">
            <v>0</v>
          </cell>
          <cell r="M308">
            <v>0</v>
          </cell>
        </row>
        <row r="309">
          <cell r="D309" t="str">
            <v>8d66</v>
          </cell>
          <cell r="E309" t="str">
            <v>其他权益工具（其他）_其他利润分配</v>
          </cell>
          <cell r="F309">
            <v>0</v>
          </cell>
          <cell r="G309">
            <v>0</v>
          </cell>
          <cell r="H309">
            <v>0</v>
          </cell>
          <cell r="I309">
            <v>0</v>
          </cell>
          <cell r="J309">
            <v>0</v>
          </cell>
          <cell r="K309">
            <v>0</v>
          </cell>
          <cell r="L309">
            <v>0</v>
          </cell>
          <cell r="M309">
            <v>0</v>
          </cell>
        </row>
        <row r="310">
          <cell r="D310" t="str">
            <v>8d70</v>
          </cell>
          <cell r="E310" t="str">
            <v>其他权益工具（其他）_所有者权益内部结转</v>
          </cell>
          <cell r="F310">
            <v>0</v>
          </cell>
          <cell r="G310">
            <v>0</v>
          </cell>
          <cell r="H310">
            <v>0</v>
          </cell>
          <cell r="I310">
            <v>0</v>
          </cell>
          <cell r="J310">
            <v>0</v>
          </cell>
          <cell r="K310">
            <v>0</v>
          </cell>
          <cell r="L310">
            <v>0</v>
          </cell>
          <cell r="M310">
            <v>0</v>
          </cell>
        </row>
        <row r="311">
          <cell r="D311" t="str">
            <v>8d71</v>
          </cell>
          <cell r="E311" t="str">
            <v>其他权益工具（其他）_资本公积转增资本</v>
          </cell>
          <cell r="F311">
            <v>0</v>
          </cell>
          <cell r="G311">
            <v>0</v>
          </cell>
          <cell r="H311">
            <v>0</v>
          </cell>
          <cell r="I311">
            <v>0</v>
          </cell>
          <cell r="J311">
            <v>0</v>
          </cell>
          <cell r="K311">
            <v>0</v>
          </cell>
          <cell r="L311">
            <v>0</v>
          </cell>
          <cell r="M311">
            <v>0</v>
          </cell>
        </row>
        <row r="312">
          <cell r="D312" t="str">
            <v>8d72</v>
          </cell>
          <cell r="E312" t="str">
            <v>其他权益工具（其他）_盈余公积转增资本</v>
          </cell>
          <cell r="F312">
            <v>0</v>
          </cell>
          <cell r="G312">
            <v>0</v>
          </cell>
          <cell r="H312">
            <v>0</v>
          </cell>
          <cell r="I312">
            <v>0</v>
          </cell>
          <cell r="J312">
            <v>0</v>
          </cell>
          <cell r="K312">
            <v>0</v>
          </cell>
          <cell r="L312">
            <v>0</v>
          </cell>
          <cell r="M312">
            <v>0</v>
          </cell>
        </row>
        <row r="313">
          <cell r="D313" t="str">
            <v>8d73</v>
          </cell>
          <cell r="E313" t="str">
            <v>其他权益工具（其他）_盈余公积弥补亏损</v>
          </cell>
          <cell r="F313">
            <v>0</v>
          </cell>
          <cell r="G313">
            <v>0</v>
          </cell>
          <cell r="H313">
            <v>0</v>
          </cell>
          <cell r="I313">
            <v>0</v>
          </cell>
          <cell r="J313">
            <v>0</v>
          </cell>
          <cell r="K313">
            <v>0</v>
          </cell>
          <cell r="L313">
            <v>0</v>
          </cell>
          <cell r="M313">
            <v>0</v>
          </cell>
        </row>
        <row r="314">
          <cell r="D314" t="str">
            <v>8d75</v>
          </cell>
          <cell r="E314" t="str">
            <v>其他权益工具（其他）_结转重新计量设定受益计划净负债或净资产所产生的变动</v>
          </cell>
          <cell r="F314">
            <v>0</v>
          </cell>
          <cell r="G314">
            <v>0</v>
          </cell>
          <cell r="H314">
            <v>0</v>
          </cell>
          <cell r="I314">
            <v>0</v>
          </cell>
          <cell r="J314">
            <v>0</v>
          </cell>
          <cell r="K314">
            <v>0</v>
          </cell>
          <cell r="L314">
            <v>0</v>
          </cell>
          <cell r="M314">
            <v>0</v>
          </cell>
        </row>
        <row r="315">
          <cell r="D315" t="str">
            <v>8d76</v>
          </cell>
          <cell r="E315" t="str">
            <v>其他权益工具（其他）_所有者权益其他内部结转</v>
          </cell>
          <cell r="F315">
            <v>0</v>
          </cell>
          <cell r="G315">
            <v>0</v>
          </cell>
          <cell r="H315">
            <v>0</v>
          </cell>
          <cell r="I315">
            <v>0</v>
          </cell>
          <cell r="J315">
            <v>0</v>
          </cell>
          <cell r="K315">
            <v>0</v>
          </cell>
          <cell r="L315">
            <v>0</v>
          </cell>
          <cell r="M315">
            <v>0</v>
          </cell>
        </row>
        <row r="316">
          <cell r="D316" t="str">
            <v>8d80</v>
          </cell>
          <cell r="E316" t="str">
            <v>其他权益工具（其他）_专项储备影响权益</v>
          </cell>
          <cell r="F316">
            <v>0</v>
          </cell>
          <cell r="G316">
            <v>0</v>
          </cell>
          <cell r="H316">
            <v>0</v>
          </cell>
          <cell r="I316">
            <v>0</v>
          </cell>
          <cell r="J316">
            <v>0</v>
          </cell>
          <cell r="K316">
            <v>0</v>
          </cell>
          <cell r="L316">
            <v>0</v>
          </cell>
          <cell r="M316">
            <v>0</v>
          </cell>
        </row>
        <row r="317">
          <cell r="D317" t="str">
            <v>8d81</v>
          </cell>
          <cell r="E317" t="str">
            <v>其他权益工具（其他）_专项储备本期提取</v>
          </cell>
          <cell r="F317">
            <v>0</v>
          </cell>
          <cell r="G317">
            <v>0</v>
          </cell>
          <cell r="H317">
            <v>0</v>
          </cell>
          <cell r="I317">
            <v>0</v>
          </cell>
          <cell r="J317">
            <v>0</v>
          </cell>
          <cell r="K317">
            <v>0</v>
          </cell>
          <cell r="L317">
            <v>0</v>
          </cell>
          <cell r="M317">
            <v>0</v>
          </cell>
        </row>
        <row r="318">
          <cell r="D318" t="str">
            <v>8d82</v>
          </cell>
          <cell r="E318" t="str">
            <v>其他权益工具（其他）_专项储备本期使用</v>
          </cell>
          <cell r="F318">
            <v>0</v>
          </cell>
          <cell r="G318">
            <v>0</v>
          </cell>
          <cell r="H318">
            <v>0</v>
          </cell>
          <cell r="I318">
            <v>0</v>
          </cell>
          <cell r="J318">
            <v>0</v>
          </cell>
          <cell r="K318">
            <v>0</v>
          </cell>
          <cell r="L318">
            <v>0</v>
          </cell>
          <cell r="M318">
            <v>0</v>
          </cell>
        </row>
        <row r="319">
          <cell r="D319" t="str">
            <v>8d96</v>
          </cell>
          <cell r="E319" t="str">
            <v>其他权益工具（其他）_本期其他增减变动</v>
          </cell>
          <cell r="F319">
            <v>0</v>
          </cell>
          <cell r="G319">
            <v>0</v>
          </cell>
          <cell r="H319">
            <v>0</v>
          </cell>
          <cell r="I319">
            <v>0</v>
          </cell>
          <cell r="J319">
            <v>0</v>
          </cell>
          <cell r="K319">
            <v>0</v>
          </cell>
          <cell r="L319">
            <v>0</v>
          </cell>
          <cell r="M319">
            <v>0</v>
          </cell>
        </row>
        <row r="320">
          <cell r="D320" t="str">
            <v>8d99</v>
          </cell>
          <cell r="E320" t="str">
            <v>其他权益工具（其他）_本期期末余额</v>
          </cell>
          <cell r="F320">
            <v>0</v>
          </cell>
          <cell r="G320">
            <v>0</v>
          </cell>
          <cell r="H320">
            <v>0</v>
          </cell>
          <cell r="I320">
            <v>0</v>
          </cell>
          <cell r="J320">
            <v>0</v>
          </cell>
          <cell r="K320">
            <v>0</v>
          </cell>
          <cell r="L320">
            <v>0</v>
          </cell>
          <cell r="M320">
            <v>0</v>
          </cell>
        </row>
        <row r="321">
          <cell r="D321">
            <v>8200</v>
          </cell>
          <cell r="E321" t="str">
            <v>资本公积增减变动</v>
          </cell>
          <cell r="F321">
            <v>0</v>
          </cell>
          <cell r="G321">
            <v>0</v>
          </cell>
          <cell r="H321">
            <v>0</v>
          </cell>
          <cell r="I321">
            <v>0</v>
          </cell>
          <cell r="J321">
            <v>0</v>
          </cell>
          <cell r="K321">
            <v>0</v>
          </cell>
          <cell r="L321">
            <v>0</v>
          </cell>
          <cell r="M321">
            <v>0</v>
          </cell>
        </row>
        <row r="322">
          <cell r="D322">
            <v>8201</v>
          </cell>
          <cell r="E322" t="str">
            <v>资本公积_上年年末余额</v>
          </cell>
          <cell r="F322">
            <v>0</v>
          </cell>
          <cell r="G322">
            <v>0</v>
          </cell>
          <cell r="H322">
            <v>0</v>
          </cell>
          <cell r="I322">
            <v>0</v>
          </cell>
          <cell r="J322">
            <v>0</v>
          </cell>
          <cell r="K322">
            <v>0</v>
          </cell>
          <cell r="L322">
            <v>0</v>
          </cell>
          <cell r="M322">
            <v>0</v>
          </cell>
        </row>
        <row r="323">
          <cell r="D323">
            <v>8202</v>
          </cell>
          <cell r="E323" t="str">
            <v>资本公积_会计政策变更调整上年年末余额</v>
          </cell>
          <cell r="F323">
            <v>0</v>
          </cell>
          <cell r="G323">
            <v>0</v>
          </cell>
          <cell r="H323">
            <v>0</v>
          </cell>
          <cell r="I323">
            <v>0</v>
          </cell>
          <cell r="J323">
            <v>0</v>
          </cell>
          <cell r="K323">
            <v>0</v>
          </cell>
          <cell r="L323">
            <v>0</v>
          </cell>
          <cell r="M323">
            <v>0</v>
          </cell>
        </row>
        <row r="324">
          <cell r="D324">
            <v>8203</v>
          </cell>
          <cell r="E324" t="str">
            <v>资本公积_前期差错更正调整上年年末余额</v>
          </cell>
          <cell r="F324">
            <v>0</v>
          </cell>
          <cell r="G324">
            <v>0</v>
          </cell>
          <cell r="H324">
            <v>0</v>
          </cell>
          <cell r="I324">
            <v>0</v>
          </cell>
          <cell r="J324">
            <v>0</v>
          </cell>
          <cell r="K324">
            <v>0</v>
          </cell>
          <cell r="L324">
            <v>0</v>
          </cell>
          <cell r="M324">
            <v>0</v>
          </cell>
        </row>
        <row r="325">
          <cell r="D325">
            <v>8204</v>
          </cell>
          <cell r="E325" t="str">
            <v>资本公积_同一控制下企业合并调整上年年末余额</v>
          </cell>
          <cell r="F325">
            <v>0</v>
          </cell>
          <cell r="G325">
            <v>0</v>
          </cell>
          <cell r="H325">
            <v>0</v>
          </cell>
          <cell r="I325">
            <v>0</v>
          </cell>
          <cell r="J325">
            <v>0</v>
          </cell>
          <cell r="K325">
            <v>0</v>
          </cell>
          <cell r="L325">
            <v>0</v>
          </cell>
          <cell r="M325">
            <v>0</v>
          </cell>
        </row>
        <row r="326">
          <cell r="D326">
            <v>8209</v>
          </cell>
          <cell r="E326" t="str">
            <v>资本公积_其他原因调整上年年末余额</v>
          </cell>
          <cell r="F326">
            <v>0</v>
          </cell>
          <cell r="G326">
            <v>0</v>
          </cell>
          <cell r="H326">
            <v>0</v>
          </cell>
          <cell r="I326">
            <v>0</v>
          </cell>
          <cell r="J326">
            <v>0</v>
          </cell>
          <cell r="K326">
            <v>0</v>
          </cell>
          <cell r="L326">
            <v>0</v>
          </cell>
          <cell r="M326">
            <v>0</v>
          </cell>
        </row>
        <row r="327">
          <cell r="D327">
            <v>8210</v>
          </cell>
          <cell r="E327" t="str">
            <v>资本公积_本年年初余额</v>
          </cell>
          <cell r="F327">
            <v>0</v>
          </cell>
          <cell r="G327">
            <v>0</v>
          </cell>
          <cell r="H327">
            <v>0</v>
          </cell>
          <cell r="I327">
            <v>0</v>
          </cell>
          <cell r="J327">
            <v>0</v>
          </cell>
          <cell r="K327">
            <v>0</v>
          </cell>
          <cell r="L327">
            <v>0</v>
          </cell>
          <cell r="M327">
            <v>0</v>
          </cell>
        </row>
        <row r="328">
          <cell r="D328">
            <v>8290</v>
          </cell>
          <cell r="E328" t="str">
            <v>资本公积_本期增减变动金额</v>
          </cell>
          <cell r="F328">
            <v>0</v>
          </cell>
          <cell r="G328">
            <v>0</v>
          </cell>
          <cell r="H328">
            <v>0</v>
          </cell>
          <cell r="I328">
            <v>0</v>
          </cell>
          <cell r="J328">
            <v>0</v>
          </cell>
          <cell r="K328">
            <v>0</v>
          </cell>
          <cell r="L328">
            <v>0</v>
          </cell>
          <cell r="M328">
            <v>0</v>
          </cell>
        </row>
        <row r="329">
          <cell r="D329">
            <v>8221</v>
          </cell>
          <cell r="E329" t="str">
            <v>资本公积_净利润增加权益</v>
          </cell>
          <cell r="F329">
            <v>0</v>
          </cell>
          <cell r="G329">
            <v>0</v>
          </cell>
          <cell r="H329">
            <v>0</v>
          </cell>
          <cell r="I329">
            <v>0</v>
          </cell>
          <cell r="J329">
            <v>0</v>
          </cell>
          <cell r="K329">
            <v>0</v>
          </cell>
          <cell r="L329">
            <v>0</v>
          </cell>
          <cell r="M329">
            <v>0</v>
          </cell>
        </row>
        <row r="330">
          <cell r="D330">
            <v>8230</v>
          </cell>
          <cell r="E330" t="str">
            <v>资本公积_其他综合收益</v>
          </cell>
          <cell r="F330">
            <v>0</v>
          </cell>
          <cell r="G330">
            <v>0</v>
          </cell>
          <cell r="H330">
            <v>0</v>
          </cell>
          <cell r="I330">
            <v>0</v>
          </cell>
          <cell r="J330">
            <v>0</v>
          </cell>
          <cell r="K330">
            <v>0</v>
          </cell>
          <cell r="L330">
            <v>0</v>
          </cell>
          <cell r="M330">
            <v>0</v>
          </cell>
        </row>
        <row r="331">
          <cell r="D331">
            <v>8240</v>
          </cell>
          <cell r="E331" t="str">
            <v>资本公积_综合收益总额增加权益</v>
          </cell>
          <cell r="F331">
            <v>0</v>
          </cell>
          <cell r="G331">
            <v>0</v>
          </cell>
          <cell r="H331">
            <v>0</v>
          </cell>
          <cell r="I331">
            <v>0</v>
          </cell>
          <cell r="J331">
            <v>0</v>
          </cell>
          <cell r="K331">
            <v>0</v>
          </cell>
          <cell r="L331">
            <v>0</v>
          </cell>
          <cell r="M331">
            <v>0</v>
          </cell>
        </row>
        <row r="332">
          <cell r="D332">
            <v>8250</v>
          </cell>
          <cell r="E332" t="str">
            <v>资本公积_所有者投入和减少资本影响权益</v>
          </cell>
          <cell r="F332">
            <v>0</v>
          </cell>
          <cell r="G332">
            <v>0</v>
          </cell>
          <cell r="H332">
            <v>0</v>
          </cell>
          <cell r="I332">
            <v>0</v>
          </cell>
          <cell r="J332">
            <v>0</v>
          </cell>
          <cell r="K332">
            <v>0</v>
          </cell>
          <cell r="L332">
            <v>0</v>
          </cell>
          <cell r="M332">
            <v>0</v>
          </cell>
        </row>
        <row r="333">
          <cell r="D333">
            <v>8251</v>
          </cell>
          <cell r="E333" t="str">
            <v>资本公积_所有者投入资本</v>
          </cell>
          <cell r="F333">
            <v>0</v>
          </cell>
          <cell r="G333">
            <v>0</v>
          </cell>
          <cell r="H333">
            <v>0</v>
          </cell>
          <cell r="I333">
            <v>0</v>
          </cell>
          <cell r="J333">
            <v>0</v>
          </cell>
          <cell r="K333">
            <v>0</v>
          </cell>
          <cell r="L333">
            <v>0</v>
          </cell>
          <cell r="M333">
            <v>0</v>
          </cell>
        </row>
        <row r="334">
          <cell r="D334">
            <v>8253</v>
          </cell>
          <cell r="E334" t="str">
            <v>资本公积_其他权益工具持有者投入资本</v>
          </cell>
          <cell r="F334">
            <v>0</v>
          </cell>
          <cell r="G334">
            <v>0</v>
          </cell>
          <cell r="H334">
            <v>0</v>
          </cell>
          <cell r="I334">
            <v>0</v>
          </cell>
          <cell r="J334">
            <v>0</v>
          </cell>
          <cell r="K334">
            <v>0</v>
          </cell>
          <cell r="L334">
            <v>0</v>
          </cell>
          <cell r="M334">
            <v>0</v>
          </cell>
        </row>
        <row r="335">
          <cell r="D335">
            <v>8252</v>
          </cell>
          <cell r="E335" t="str">
            <v>资本公积_股份支付</v>
          </cell>
          <cell r="F335">
            <v>0</v>
          </cell>
          <cell r="G335">
            <v>0</v>
          </cell>
          <cell r="H335">
            <v>0</v>
          </cell>
          <cell r="I335">
            <v>0</v>
          </cell>
          <cell r="J335">
            <v>0</v>
          </cell>
          <cell r="K335">
            <v>0</v>
          </cell>
          <cell r="L335">
            <v>0</v>
          </cell>
          <cell r="M335">
            <v>0</v>
          </cell>
        </row>
        <row r="336">
          <cell r="D336">
            <v>8256</v>
          </cell>
          <cell r="E336" t="str">
            <v>资本公积_所有者其他投入和减少资本</v>
          </cell>
          <cell r="F336">
            <v>0</v>
          </cell>
          <cell r="G336">
            <v>0</v>
          </cell>
          <cell r="H336">
            <v>0</v>
          </cell>
          <cell r="I336">
            <v>0</v>
          </cell>
          <cell r="J336">
            <v>0</v>
          </cell>
          <cell r="K336">
            <v>0</v>
          </cell>
          <cell r="L336">
            <v>0</v>
          </cell>
          <cell r="M336">
            <v>0</v>
          </cell>
        </row>
        <row r="337">
          <cell r="D337">
            <v>8260</v>
          </cell>
          <cell r="E337" t="str">
            <v>资本公积_利润分配影响权益</v>
          </cell>
          <cell r="F337">
            <v>0</v>
          </cell>
          <cell r="G337">
            <v>0</v>
          </cell>
          <cell r="H337">
            <v>0</v>
          </cell>
          <cell r="I337">
            <v>0</v>
          </cell>
          <cell r="J337">
            <v>0</v>
          </cell>
          <cell r="K337">
            <v>0</v>
          </cell>
          <cell r="L337">
            <v>0</v>
          </cell>
          <cell r="M337">
            <v>0</v>
          </cell>
        </row>
        <row r="338">
          <cell r="D338">
            <v>8261</v>
          </cell>
          <cell r="E338" t="str">
            <v>资本公积_提取盈余公积影响权益</v>
          </cell>
          <cell r="F338">
            <v>0</v>
          </cell>
          <cell r="G338">
            <v>0</v>
          </cell>
          <cell r="H338">
            <v>0</v>
          </cell>
          <cell r="I338">
            <v>0</v>
          </cell>
          <cell r="J338">
            <v>0</v>
          </cell>
          <cell r="K338">
            <v>0</v>
          </cell>
          <cell r="L338">
            <v>0</v>
          </cell>
          <cell r="M338">
            <v>0</v>
          </cell>
        </row>
        <row r="339">
          <cell r="D339">
            <v>8262</v>
          </cell>
          <cell r="E339" t="str">
            <v>资本公积_提取一般风险准备影响权益</v>
          </cell>
          <cell r="F339">
            <v>0</v>
          </cell>
          <cell r="G339">
            <v>0</v>
          </cell>
          <cell r="H339">
            <v>0</v>
          </cell>
          <cell r="I339">
            <v>0</v>
          </cell>
          <cell r="J339">
            <v>0</v>
          </cell>
          <cell r="K339">
            <v>0</v>
          </cell>
          <cell r="L339">
            <v>0</v>
          </cell>
          <cell r="M339">
            <v>0</v>
          </cell>
        </row>
        <row r="340">
          <cell r="D340">
            <v>8263</v>
          </cell>
          <cell r="E340" t="str">
            <v>资本公积_对所有者的分配影响权益</v>
          </cell>
          <cell r="F340">
            <v>0</v>
          </cell>
          <cell r="G340">
            <v>0</v>
          </cell>
          <cell r="H340">
            <v>0</v>
          </cell>
          <cell r="I340">
            <v>0</v>
          </cell>
          <cell r="J340">
            <v>0</v>
          </cell>
          <cell r="K340">
            <v>0</v>
          </cell>
          <cell r="L340">
            <v>0</v>
          </cell>
          <cell r="M340">
            <v>0</v>
          </cell>
        </row>
        <row r="341">
          <cell r="D341">
            <v>8266</v>
          </cell>
          <cell r="E341" t="str">
            <v>资本公积_其他利润分配</v>
          </cell>
          <cell r="F341">
            <v>0</v>
          </cell>
          <cell r="G341">
            <v>0</v>
          </cell>
          <cell r="H341">
            <v>0</v>
          </cell>
          <cell r="I341">
            <v>0</v>
          </cell>
          <cell r="J341">
            <v>0</v>
          </cell>
          <cell r="K341">
            <v>0</v>
          </cell>
          <cell r="L341">
            <v>0</v>
          </cell>
          <cell r="M341">
            <v>0</v>
          </cell>
        </row>
        <row r="342">
          <cell r="D342">
            <v>8270</v>
          </cell>
          <cell r="E342" t="str">
            <v>资本公积_所有者权益内部结转</v>
          </cell>
          <cell r="F342">
            <v>0</v>
          </cell>
          <cell r="G342">
            <v>0</v>
          </cell>
          <cell r="H342">
            <v>0</v>
          </cell>
          <cell r="I342">
            <v>0</v>
          </cell>
          <cell r="J342">
            <v>0</v>
          </cell>
          <cell r="K342">
            <v>0</v>
          </cell>
          <cell r="L342">
            <v>0</v>
          </cell>
          <cell r="M342">
            <v>0</v>
          </cell>
        </row>
        <row r="343">
          <cell r="D343">
            <v>8271</v>
          </cell>
          <cell r="E343" t="str">
            <v>资本公积_转增资本</v>
          </cell>
          <cell r="F343">
            <v>0</v>
          </cell>
          <cell r="G343">
            <v>0</v>
          </cell>
          <cell r="H343">
            <v>0</v>
          </cell>
          <cell r="I343">
            <v>0</v>
          </cell>
          <cell r="J343">
            <v>0</v>
          </cell>
          <cell r="K343">
            <v>0</v>
          </cell>
          <cell r="L343">
            <v>0</v>
          </cell>
          <cell r="M343">
            <v>0</v>
          </cell>
        </row>
        <row r="344">
          <cell r="D344">
            <v>8272</v>
          </cell>
          <cell r="E344" t="str">
            <v>资本公积_盈余公积转增资本影响权益</v>
          </cell>
          <cell r="F344">
            <v>0</v>
          </cell>
          <cell r="G344">
            <v>0</v>
          </cell>
          <cell r="H344">
            <v>0</v>
          </cell>
          <cell r="I344">
            <v>0</v>
          </cell>
          <cell r="J344">
            <v>0</v>
          </cell>
          <cell r="K344">
            <v>0</v>
          </cell>
          <cell r="L344">
            <v>0</v>
          </cell>
          <cell r="M344">
            <v>0</v>
          </cell>
        </row>
        <row r="345">
          <cell r="D345">
            <v>8273</v>
          </cell>
          <cell r="E345" t="str">
            <v>资本公积_盈余公积弥补亏损影响权益</v>
          </cell>
          <cell r="F345">
            <v>0</v>
          </cell>
          <cell r="G345">
            <v>0</v>
          </cell>
          <cell r="H345">
            <v>0</v>
          </cell>
          <cell r="I345">
            <v>0</v>
          </cell>
          <cell r="J345">
            <v>0</v>
          </cell>
          <cell r="K345">
            <v>0</v>
          </cell>
          <cell r="L345">
            <v>0</v>
          </cell>
          <cell r="M345">
            <v>0</v>
          </cell>
        </row>
        <row r="346">
          <cell r="D346">
            <v>8275</v>
          </cell>
          <cell r="E346" t="str">
            <v>资本公积_结转重新计量设定受益计划净负债或净资产所产生的变动</v>
          </cell>
          <cell r="F346">
            <v>0</v>
          </cell>
          <cell r="G346">
            <v>0</v>
          </cell>
          <cell r="H346">
            <v>0</v>
          </cell>
          <cell r="I346">
            <v>0</v>
          </cell>
          <cell r="J346">
            <v>0</v>
          </cell>
          <cell r="K346">
            <v>0</v>
          </cell>
          <cell r="L346">
            <v>0</v>
          </cell>
          <cell r="M346">
            <v>0</v>
          </cell>
        </row>
        <row r="347">
          <cell r="D347">
            <v>8276</v>
          </cell>
          <cell r="E347" t="str">
            <v>资本公积_所有者权益其他内部结转</v>
          </cell>
          <cell r="F347">
            <v>0</v>
          </cell>
          <cell r="G347">
            <v>0</v>
          </cell>
          <cell r="H347">
            <v>0</v>
          </cell>
          <cell r="I347">
            <v>0</v>
          </cell>
          <cell r="J347">
            <v>0</v>
          </cell>
          <cell r="K347">
            <v>0</v>
          </cell>
          <cell r="L347">
            <v>0</v>
          </cell>
          <cell r="M347">
            <v>0</v>
          </cell>
        </row>
        <row r="348">
          <cell r="D348">
            <v>8280</v>
          </cell>
          <cell r="E348" t="str">
            <v>资本公积_专项储备影响权益</v>
          </cell>
          <cell r="F348">
            <v>0</v>
          </cell>
          <cell r="G348">
            <v>0</v>
          </cell>
          <cell r="H348">
            <v>0</v>
          </cell>
          <cell r="I348">
            <v>0</v>
          </cell>
          <cell r="J348">
            <v>0</v>
          </cell>
          <cell r="K348">
            <v>0</v>
          </cell>
          <cell r="L348">
            <v>0</v>
          </cell>
          <cell r="M348">
            <v>0</v>
          </cell>
        </row>
        <row r="349">
          <cell r="D349">
            <v>8281</v>
          </cell>
          <cell r="E349" t="str">
            <v>资本公积_专项储备本期提取</v>
          </cell>
          <cell r="F349">
            <v>0</v>
          </cell>
          <cell r="G349">
            <v>0</v>
          </cell>
          <cell r="H349">
            <v>0</v>
          </cell>
          <cell r="I349">
            <v>0</v>
          </cell>
          <cell r="J349">
            <v>0</v>
          </cell>
          <cell r="K349">
            <v>0</v>
          </cell>
          <cell r="L349">
            <v>0</v>
          </cell>
          <cell r="M349">
            <v>0</v>
          </cell>
        </row>
        <row r="350">
          <cell r="D350">
            <v>8282</v>
          </cell>
          <cell r="E350" t="str">
            <v>资本公积_专项储备本期使用</v>
          </cell>
          <cell r="F350">
            <v>0</v>
          </cell>
          <cell r="G350">
            <v>0</v>
          </cell>
          <cell r="H350">
            <v>0</v>
          </cell>
          <cell r="I350">
            <v>0</v>
          </cell>
          <cell r="J350">
            <v>0</v>
          </cell>
          <cell r="K350">
            <v>0</v>
          </cell>
          <cell r="L350">
            <v>0</v>
          </cell>
          <cell r="M350">
            <v>0</v>
          </cell>
        </row>
        <row r="351">
          <cell r="D351">
            <v>8296</v>
          </cell>
          <cell r="E351" t="str">
            <v>资本公积_本期其他增减变动</v>
          </cell>
          <cell r="F351">
            <v>0</v>
          </cell>
          <cell r="G351">
            <v>0</v>
          </cell>
          <cell r="H351">
            <v>0</v>
          </cell>
          <cell r="I351">
            <v>0</v>
          </cell>
          <cell r="J351">
            <v>0</v>
          </cell>
          <cell r="K351">
            <v>0</v>
          </cell>
          <cell r="L351">
            <v>0</v>
          </cell>
          <cell r="M351">
            <v>0</v>
          </cell>
        </row>
        <row r="352">
          <cell r="D352">
            <v>8299</v>
          </cell>
          <cell r="E352" t="str">
            <v>资本公积_本期期末余额</v>
          </cell>
          <cell r="F352">
            <v>0</v>
          </cell>
          <cell r="G352">
            <v>0</v>
          </cell>
          <cell r="H352">
            <v>0</v>
          </cell>
          <cell r="I352">
            <v>0</v>
          </cell>
          <cell r="J352">
            <v>0</v>
          </cell>
          <cell r="K352">
            <v>0</v>
          </cell>
          <cell r="L352">
            <v>0</v>
          </cell>
          <cell r="M352">
            <v>0</v>
          </cell>
        </row>
        <row r="353">
          <cell r="D353">
            <v>8300</v>
          </cell>
          <cell r="E353" t="str">
            <v>库存股增减变动</v>
          </cell>
          <cell r="F353">
            <v>0</v>
          </cell>
          <cell r="G353">
            <v>0</v>
          </cell>
          <cell r="H353">
            <v>0</v>
          </cell>
          <cell r="I353">
            <v>0</v>
          </cell>
          <cell r="J353">
            <v>0</v>
          </cell>
          <cell r="K353">
            <v>0</v>
          </cell>
          <cell r="L353">
            <v>0</v>
          </cell>
          <cell r="M353">
            <v>0</v>
          </cell>
        </row>
        <row r="354">
          <cell r="D354">
            <v>8301</v>
          </cell>
          <cell r="E354" t="str">
            <v>库存股_上年年末余额</v>
          </cell>
          <cell r="F354">
            <v>0</v>
          </cell>
          <cell r="G354">
            <v>0</v>
          </cell>
          <cell r="H354">
            <v>0</v>
          </cell>
          <cell r="I354">
            <v>0</v>
          </cell>
          <cell r="J354">
            <v>0</v>
          </cell>
          <cell r="K354">
            <v>0</v>
          </cell>
          <cell r="L354">
            <v>0</v>
          </cell>
          <cell r="M354">
            <v>0</v>
          </cell>
        </row>
        <row r="355">
          <cell r="D355">
            <v>8302</v>
          </cell>
          <cell r="E355" t="str">
            <v>库存股_会计政策变更调整上年年末余额</v>
          </cell>
          <cell r="F355">
            <v>0</v>
          </cell>
          <cell r="G355">
            <v>0</v>
          </cell>
          <cell r="H355">
            <v>0</v>
          </cell>
          <cell r="I355">
            <v>0</v>
          </cell>
          <cell r="J355">
            <v>0</v>
          </cell>
          <cell r="K355">
            <v>0</v>
          </cell>
          <cell r="L355">
            <v>0</v>
          </cell>
          <cell r="M355">
            <v>0</v>
          </cell>
        </row>
        <row r="356">
          <cell r="D356">
            <v>8303</v>
          </cell>
          <cell r="E356" t="str">
            <v>库存股_前期差错更正调整上年年末余额</v>
          </cell>
          <cell r="F356">
            <v>0</v>
          </cell>
          <cell r="G356">
            <v>0</v>
          </cell>
          <cell r="H356">
            <v>0</v>
          </cell>
          <cell r="I356">
            <v>0</v>
          </cell>
          <cell r="J356">
            <v>0</v>
          </cell>
          <cell r="K356">
            <v>0</v>
          </cell>
          <cell r="L356">
            <v>0</v>
          </cell>
          <cell r="M356">
            <v>0</v>
          </cell>
        </row>
        <row r="357">
          <cell r="D357">
            <v>8304</v>
          </cell>
          <cell r="E357" t="str">
            <v>库存股_同一控制下企业合并调整上年年末余额</v>
          </cell>
          <cell r="F357">
            <v>0</v>
          </cell>
          <cell r="G357">
            <v>0</v>
          </cell>
          <cell r="H357">
            <v>0</v>
          </cell>
          <cell r="I357">
            <v>0</v>
          </cell>
          <cell r="J357">
            <v>0</v>
          </cell>
          <cell r="K357">
            <v>0</v>
          </cell>
          <cell r="L357">
            <v>0</v>
          </cell>
          <cell r="M357">
            <v>0</v>
          </cell>
        </row>
        <row r="358">
          <cell r="D358">
            <v>8309</v>
          </cell>
          <cell r="E358" t="str">
            <v>库存股_其他原因调整上年年末余额</v>
          </cell>
          <cell r="F358">
            <v>0</v>
          </cell>
          <cell r="G358">
            <v>0</v>
          </cell>
          <cell r="H358">
            <v>0</v>
          </cell>
          <cell r="I358">
            <v>0</v>
          </cell>
          <cell r="J358">
            <v>0</v>
          </cell>
          <cell r="K358">
            <v>0</v>
          </cell>
          <cell r="L358">
            <v>0</v>
          </cell>
          <cell r="M358">
            <v>0</v>
          </cell>
        </row>
        <row r="359">
          <cell r="D359">
            <v>8310</v>
          </cell>
          <cell r="E359" t="str">
            <v>库存股_本年年初余额</v>
          </cell>
          <cell r="F359">
            <v>0</v>
          </cell>
          <cell r="G359">
            <v>0</v>
          </cell>
          <cell r="H359">
            <v>0</v>
          </cell>
          <cell r="I359">
            <v>0</v>
          </cell>
          <cell r="J359">
            <v>0</v>
          </cell>
          <cell r="K359">
            <v>0</v>
          </cell>
          <cell r="L359">
            <v>0</v>
          </cell>
          <cell r="M359">
            <v>0</v>
          </cell>
        </row>
        <row r="360">
          <cell r="D360">
            <v>8390</v>
          </cell>
          <cell r="E360" t="str">
            <v>库存股_本期增减变动金额</v>
          </cell>
          <cell r="F360">
            <v>0</v>
          </cell>
          <cell r="G360">
            <v>0</v>
          </cell>
          <cell r="H360">
            <v>0</v>
          </cell>
          <cell r="I360">
            <v>0</v>
          </cell>
          <cell r="J360">
            <v>0</v>
          </cell>
          <cell r="K360">
            <v>0</v>
          </cell>
          <cell r="L360">
            <v>0</v>
          </cell>
          <cell r="M360">
            <v>0</v>
          </cell>
        </row>
        <row r="361">
          <cell r="D361">
            <v>8321</v>
          </cell>
          <cell r="E361" t="str">
            <v>库存股_净利润增加权益</v>
          </cell>
          <cell r="F361">
            <v>0</v>
          </cell>
          <cell r="G361">
            <v>0</v>
          </cell>
          <cell r="H361">
            <v>0</v>
          </cell>
          <cell r="I361">
            <v>0</v>
          </cell>
          <cell r="J361">
            <v>0</v>
          </cell>
          <cell r="K361">
            <v>0</v>
          </cell>
          <cell r="L361">
            <v>0</v>
          </cell>
          <cell r="M361">
            <v>0</v>
          </cell>
        </row>
        <row r="362">
          <cell r="D362">
            <v>8330</v>
          </cell>
          <cell r="E362" t="str">
            <v>库存股_其他综合收益增加权益</v>
          </cell>
          <cell r="F362">
            <v>0</v>
          </cell>
          <cell r="G362">
            <v>0</v>
          </cell>
          <cell r="H362">
            <v>0</v>
          </cell>
          <cell r="I362">
            <v>0</v>
          </cell>
          <cell r="J362">
            <v>0</v>
          </cell>
          <cell r="K362">
            <v>0</v>
          </cell>
          <cell r="L362">
            <v>0</v>
          </cell>
          <cell r="M362">
            <v>0</v>
          </cell>
        </row>
        <row r="363">
          <cell r="D363">
            <v>8340</v>
          </cell>
          <cell r="E363" t="str">
            <v>库存股_综合收益总额增加权益</v>
          </cell>
          <cell r="F363">
            <v>0</v>
          </cell>
          <cell r="G363">
            <v>0</v>
          </cell>
          <cell r="H363">
            <v>0</v>
          </cell>
          <cell r="I363">
            <v>0</v>
          </cell>
          <cell r="J363">
            <v>0</v>
          </cell>
          <cell r="K363">
            <v>0</v>
          </cell>
          <cell r="L363">
            <v>0</v>
          </cell>
          <cell r="M363">
            <v>0</v>
          </cell>
        </row>
        <row r="364">
          <cell r="D364">
            <v>8350</v>
          </cell>
          <cell r="E364" t="str">
            <v>库存股_所有者投入和减少资本影响权益</v>
          </cell>
          <cell r="F364">
            <v>0</v>
          </cell>
          <cell r="G364">
            <v>0</v>
          </cell>
          <cell r="H364">
            <v>0</v>
          </cell>
          <cell r="I364">
            <v>0</v>
          </cell>
          <cell r="J364">
            <v>0</v>
          </cell>
          <cell r="K364">
            <v>0</v>
          </cell>
          <cell r="L364">
            <v>0</v>
          </cell>
          <cell r="M364">
            <v>0</v>
          </cell>
        </row>
        <row r="365">
          <cell r="D365">
            <v>8351</v>
          </cell>
          <cell r="E365" t="str">
            <v>库存股_所有者投入资本</v>
          </cell>
          <cell r="F365">
            <v>0</v>
          </cell>
          <cell r="G365">
            <v>0</v>
          </cell>
          <cell r="H365">
            <v>0</v>
          </cell>
          <cell r="I365">
            <v>0</v>
          </cell>
          <cell r="J365">
            <v>0</v>
          </cell>
          <cell r="K365">
            <v>0</v>
          </cell>
          <cell r="L365">
            <v>0</v>
          </cell>
          <cell r="M365">
            <v>0</v>
          </cell>
        </row>
        <row r="366">
          <cell r="D366">
            <v>8353</v>
          </cell>
          <cell r="E366" t="str">
            <v>库存股_其他权益工具持有者投入资本</v>
          </cell>
          <cell r="F366">
            <v>0</v>
          </cell>
          <cell r="G366">
            <v>0</v>
          </cell>
          <cell r="H366">
            <v>0</v>
          </cell>
          <cell r="I366">
            <v>0</v>
          </cell>
          <cell r="J366">
            <v>0</v>
          </cell>
          <cell r="K366">
            <v>0</v>
          </cell>
          <cell r="L366">
            <v>0</v>
          </cell>
          <cell r="M366">
            <v>0</v>
          </cell>
        </row>
        <row r="367">
          <cell r="D367">
            <v>8352</v>
          </cell>
          <cell r="E367" t="str">
            <v>库存股_股份支付</v>
          </cell>
          <cell r="F367">
            <v>0</v>
          </cell>
          <cell r="G367">
            <v>0</v>
          </cell>
          <cell r="H367">
            <v>0</v>
          </cell>
          <cell r="I367">
            <v>0</v>
          </cell>
          <cell r="J367">
            <v>0</v>
          </cell>
          <cell r="K367">
            <v>0</v>
          </cell>
          <cell r="L367">
            <v>0</v>
          </cell>
          <cell r="M367">
            <v>0</v>
          </cell>
        </row>
        <row r="368">
          <cell r="D368">
            <v>8356</v>
          </cell>
          <cell r="E368" t="str">
            <v>库存股_所有者其他投入和减少资本</v>
          </cell>
          <cell r="F368">
            <v>0</v>
          </cell>
          <cell r="G368">
            <v>0</v>
          </cell>
          <cell r="H368">
            <v>0</v>
          </cell>
          <cell r="I368">
            <v>0</v>
          </cell>
          <cell r="J368">
            <v>0</v>
          </cell>
          <cell r="K368">
            <v>0</v>
          </cell>
          <cell r="L368">
            <v>0</v>
          </cell>
          <cell r="M368">
            <v>0</v>
          </cell>
        </row>
        <row r="369">
          <cell r="D369">
            <v>8360</v>
          </cell>
          <cell r="E369" t="str">
            <v>库存股_利润分配影响权益</v>
          </cell>
          <cell r="F369">
            <v>0</v>
          </cell>
          <cell r="G369">
            <v>0</v>
          </cell>
          <cell r="H369">
            <v>0</v>
          </cell>
          <cell r="I369">
            <v>0</v>
          </cell>
          <cell r="J369">
            <v>0</v>
          </cell>
          <cell r="K369">
            <v>0</v>
          </cell>
          <cell r="L369">
            <v>0</v>
          </cell>
          <cell r="M369">
            <v>0</v>
          </cell>
        </row>
        <row r="370">
          <cell r="D370">
            <v>8361</v>
          </cell>
          <cell r="E370" t="str">
            <v>库存股_提取盈余公积影响权益</v>
          </cell>
          <cell r="F370">
            <v>0</v>
          </cell>
          <cell r="G370">
            <v>0</v>
          </cell>
          <cell r="H370">
            <v>0</v>
          </cell>
          <cell r="I370">
            <v>0</v>
          </cell>
          <cell r="J370">
            <v>0</v>
          </cell>
          <cell r="K370">
            <v>0</v>
          </cell>
          <cell r="L370">
            <v>0</v>
          </cell>
          <cell r="M370">
            <v>0</v>
          </cell>
        </row>
        <row r="371">
          <cell r="D371">
            <v>8362</v>
          </cell>
          <cell r="E371" t="str">
            <v>库存股_提取一般风险准备影响权益</v>
          </cell>
          <cell r="F371">
            <v>0</v>
          </cell>
          <cell r="G371">
            <v>0</v>
          </cell>
          <cell r="H371">
            <v>0</v>
          </cell>
          <cell r="I371">
            <v>0</v>
          </cell>
          <cell r="J371">
            <v>0</v>
          </cell>
          <cell r="K371">
            <v>0</v>
          </cell>
          <cell r="L371">
            <v>0</v>
          </cell>
          <cell r="M371">
            <v>0</v>
          </cell>
        </row>
        <row r="372">
          <cell r="D372">
            <v>8363</v>
          </cell>
          <cell r="E372" t="str">
            <v>库存股_对所有者的分配</v>
          </cell>
          <cell r="F372">
            <v>0</v>
          </cell>
          <cell r="G372">
            <v>0</v>
          </cell>
          <cell r="H372">
            <v>0</v>
          </cell>
          <cell r="I372">
            <v>0</v>
          </cell>
          <cell r="J372">
            <v>0</v>
          </cell>
          <cell r="K372">
            <v>0</v>
          </cell>
          <cell r="L372">
            <v>0</v>
          </cell>
          <cell r="M372">
            <v>0</v>
          </cell>
        </row>
        <row r="373">
          <cell r="D373">
            <v>8366</v>
          </cell>
          <cell r="E373" t="str">
            <v>库存股_其他利润分配</v>
          </cell>
          <cell r="F373">
            <v>0</v>
          </cell>
          <cell r="G373">
            <v>0</v>
          </cell>
          <cell r="H373">
            <v>0</v>
          </cell>
          <cell r="I373">
            <v>0</v>
          </cell>
          <cell r="J373">
            <v>0</v>
          </cell>
          <cell r="K373">
            <v>0</v>
          </cell>
          <cell r="L373">
            <v>0</v>
          </cell>
          <cell r="M373">
            <v>0</v>
          </cell>
        </row>
        <row r="374">
          <cell r="D374">
            <v>8370</v>
          </cell>
          <cell r="E374" t="str">
            <v>库存股_所有者权益内部结转</v>
          </cell>
          <cell r="F374">
            <v>0</v>
          </cell>
          <cell r="G374">
            <v>0</v>
          </cell>
          <cell r="H374">
            <v>0</v>
          </cell>
          <cell r="I374">
            <v>0</v>
          </cell>
          <cell r="J374">
            <v>0</v>
          </cell>
          <cell r="K374">
            <v>0</v>
          </cell>
          <cell r="L374">
            <v>0</v>
          </cell>
          <cell r="M374">
            <v>0</v>
          </cell>
        </row>
        <row r="375">
          <cell r="D375">
            <v>8371</v>
          </cell>
          <cell r="E375" t="str">
            <v>库存股_资本公积转增资本影响权益</v>
          </cell>
          <cell r="F375">
            <v>0</v>
          </cell>
          <cell r="G375">
            <v>0</v>
          </cell>
          <cell r="H375">
            <v>0</v>
          </cell>
          <cell r="I375">
            <v>0</v>
          </cell>
          <cell r="J375">
            <v>0</v>
          </cell>
          <cell r="K375">
            <v>0</v>
          </cell>
          <cell r="L375">
            <v>0</v>
          </cell>
          <cell r="M375">
            <v>0</v>
          </cell>
        </row>
        <row r="376">
          <cell r="D376">
            <v>8372</v>
          </cell>
          <cell r="E376" t="str">
            <v>库存股_盈余公积转增资本影响权益</v>
          </cell>
          <cell r="F376">
            <v>0</v>
          </cell>
          <cell r="G376">
            <v>0</v>
          </cell>
          <cell r="H376">
            <v>0</v>
          </cell>
          <cell r="I376">
            <v>0</v>
          </cell>
          <cell r="J376">
            <v>0</v>
          </cell>
          <cell r="K376">
            <v>0</v>
          </cell>
          <cell r="L376">
            <v>0</v>
          </cell>
          <cell r="M376">
            <v>0</v>
          </cell>
        </row>
        <row r="377">
          <cell r="D377">
            <v>8373</v>
          </cell>
          <cell r="E377" t="str">
            <v>库存股_盈余公积弥补亏损影响权益</v>
          </cell>
          <cell r="F377">
            <v>0</v>
          </cell>
          <cell r="G377">
            <v>0</v>
          </cell>
          <cell r="H377">
            <v>0</v>
          </cell>
          <cell r="I377">
            <v>0</v>
          </cell>
          <cell r="J377">
            <v>0</v>
          </cell>
          <cell r="K377">
            <v>0</v>
          </cell>
          <cell r="L377">
            <v>0</v>
          </cell>
          <cell r="M377">
            <v>0</v>
          </cell>
        </row>
        <row r="378">
          <cell r="D378">
            <v>8375</v>
          </cell>
          <cell r="E378" t="str">
            <v>库存股_结转重新计量设定受益计划净负债或净资产所产生的变动</v>
          </cell>
          <cell r="F378">
            <v>0</v>
          </cell>
          <cell r="G378">
            <v>0</v>
          </cell>
          <cell r="H378">
            <v>0</v>
          </cell>
          <cell r="I378">
            <v>0</v>
          </cell>
          <cell r="J378">
            <v>0</v>
          </cell>
          <cell r="K378">
            <v>0</v>
          </cell>
          <cell r="L378">
            <v>0</v>
          </cell>
          <cell r="M378">
            <v>0</v>
          </cell>
        </row>
        <row r="379">
          <cell r="D379">
            <v>8376</v>
          </cell>
          <cell r="E379" t="str">
            <v>库存股_所有者权益其他内部结转</v>
          </cell>
          <cell r="F379">
            <v>0</v>
          </cell>
          <cell r="G379">
            <v>0</v>
          </cell>
          <cell r="H379">
            <v>0</v>
          </cell>
          <cell r="I379">
            <v>0</v>
          </cell>
          <cell r="J379">
            <v>0</v>
          </cell>
          <cell r="K379">
            <v>0</v>
          </cell>
          <cell r="L379">
            <v>0</v>
          </cell>
          <cell r="M379">
            <v>0</v>
          </cell>
        </row>
        <row r="380">
          <cell r="D380">
            <v>8380</v>
          </cell>
          <cell r="E380" t="str">
            <v>库存股_专项储备影响权益</v>
          </cell>
          <cell r="F380">
            <v>0</v>
          </cell>
          <cell r="G380">
            <v>0</v>
          </cell>
          <cell r="H380">
            <v>0</v>
          </cell>
          <cell r="I380">
            <v>0</v>
          </cell>
          <cell r="J380">
            <v>0</v>
          </cell>
          <cell r="K380">
            <v>0</v>
          </cell>
          <cell r="L380">
            <v>0</v>
          </cell>
          <cell r="M380">
            <v>0</v>
          </cell>
        </row>
        <row r="381">
          <cell r="D381">
            <v>8381</v>
          </cell>
          <cell r="E381" t="str">
            <v>库存股_专项储备本期提取</v>
          </cell>
          <cell r="F381">
            <v>0</v>
          </cell>
          <cell r="G381">
            <v>0</v>
          </cell>
          <cell r="H381">
            <v>0</v>
          </cell>
          <cell r="I381">
            <v>0</v>
          </cell>
          <cell r="J381">
            <v>0</v>
          </cell>
          <cell r="K381">
            <v>0</v>
          </cell>
          <cell r="L381">
            <v>0</v>
          </cell>
          <cell r="M381">
            <v>0</v>
          </cell>
        </row>
        <row r="382">
          <cell r="D382">
            <v>8382</v>
          </cell>
          <cell r="E382" t="str">
            <v>库存股_专项储备本期使用</v>
          </cell>
          <cell r="F382">
            <v>0</v>
          </cell>
          <cell r="G382">
            <v>0</v>
          </cell>
          <cell r="H382">
            <v>0</v>
          </cell>
          <cell r="I382">
            <v>0</v>
          </cell>
          <cell r="J382">
            <v>0</v>
          </cell>
          <cell r="K382">
            <v>0</v>
          </cell>
          <cell r="L382">
            <v>0</v>
          </cell>
          <cell r="M382">
            <v>0</v>
          </cell>
        </row>
        <row r="383">
          <cell r="D383">
            <v>8396</v>
          </cell>
          <cell r="E383" t="str">
            <v>库存股_本期其他增减变动</v>
          </cell>
          <cell r="F383">
            <v>0</v>
          </cell>
          <cell r="G383">
            <v>0</v>
          </cell>
          <cell r="H383">
            <v>0</v>
          </cell>
          <cell r="I383">
            <v>0</v>
          </cell>
          <cell r="J383">
            <v>0</v>
          </cell>
          <cell r="K383">
            <v>0</v>
          </cell>
          <cell r="L383">
            <v>0</v>
          </cell>
          <cell r="M383">
            <v>0</v>
          </cell>
        </row>
        <row r="384">
          <cell r="D384">
            <v>8399</v>
          </cell>
          <cell r="E384" t="str">
            <v>库存股_本期期末余额</v>
          </cell>
          <cell r="F384">
            <v>0</v>
          </cell>
          <cell r="G384">
            <v>0</v>
          </cell>
          <cell r="H384">
            <v>0</v>
          </cell>
          <cell r="I384">
            <v>0</v>
          </cell>
          <cell r="J384">
            <v>0</v>
          </cell>
          <cell r="K384">
            <v>0</v>
          </cell>
          <cell r="L384">
            <v>0</v>
          </cell>
          <cell r="M384">
            <v>0</v>
          </cell>
        </row>
        <row r="385">
          <cell r="D385" t="str">
            <v>8g00</v>
          </cell>
          <cell r="E385" t="str">
            <v>其他综合收益增减变动</v>
          </cell>
        </row>
        <row r="386">
          <cell r="D386" t="str">
            <v>8g01</v>
          </cell>
          <cell r="E386" t="str">
            <v>其他综合收益_上年年末余额</v>
          </cell>
          <cell r="F386">
            <v>0</v>
          </cell>
          <cell r="G386">
            <v>0</v>
          </cell>
          <cell r="H386">
            <v>0</v>
          </cell>
          <cell r="I386">
            <v>0</v>
          </cell>
          <cell r="J386">
            <v>0</v>
          </cell>
          <cell r="K386">
            <v>0</v>
          </cell>
          <cell r="L386">
            <v>0</v>
          </cell>
          <cell r="M386">
            <v>0</v>
          </cell>
        </row>
        <row r="387">
          <cell r="D387" t="str">
            <v>8g02</v>
          </cell>
          <cell r="E387" t="str">
            <v>其他综合收益_会计政策变更调整上年年末余额</v>
          </cell>
          <cell r="F387">
            <v>0</v>
          </cell>
          <cell r="G387">
            <v>0</v>
          </cell>
          <cell r="H387">
            <v>0</v>
          </cell>
          <cell r="I387">
            <v>0</v>
          </cell>
          <cell r="J387">
            <v>0</v>
          </cell>
          <cell r="K387">
            <v>0</v>
          </cell>
          <cell r="L387">
            <v>0</v>
          </cell>
          <cell r="M387">
            <v>0</v>
          </cell>
        </row>
        <row r="388">
          <cell r="D388" t="str">
            <v>8g03</v>
          </cell>
          <cell r="E388" t="str">
            <v>其他综合收益_前期差错更正调整上年年末余额</v>
          </cell>
          <cell r="F388">
            <v>0</v>
          </cell>
          <cell r="G388">
            <v>0</v>
          </cell>
          <cell r="H388">
            <v>0</v>
          </cell>
          <cell r="I388">
            <v>0</v>
          </cell>
          <cell r="J388">
            <v>0</v>
          </cell>
          <cell r="K388">
            <v>0</v>
          </cell>
          <cell r="L388">
            <v>0</v>
          </cell>
          <cell r="M388">
            <v>0</v>
          </cell>
        </row>
        <row r="389">
          <cell r="D389" t="str">
            <v>8g04</v>
          </cell>
          <cell r="E389" t="str">
            <v>其他综合收益_同一控制下企业合并调整上年年末余额</v>
          </cell>
          <cell r="F389">
            <v>0</v>
          </cell>
          <cell r="G389">
            <v>0</v>
          </cell>
          <cell r="H389">
            <v>0</v>
          </cell>
          <cell r="I389">
            <v>0</v>
          </cell>
          <cell r="J389">
            <v>0</v>
          </cell>
          <cell r="K389">
            <v>0</v>
          </cell>
          <cell r="L389">
            <v>0</v>
          </cell>
          <cell r="M389">
            <v>0</v>
          </cell>
        </row>
        <row r="390">
          <cell r="D390" t="str">
            <v>8g09</v>
          </cell>
          <cell r="E390" t="str">
            <v>其他综合收益_其他原因调整上年年末余额</v>
          </cell>
          <cell r="F390">
            <v>0</v>
          </cell>
          <cell r="G390">
            <v>0</v>
          </cell>
          <cell r="H390">
            <v>0</v>
          </cell>
          <cell r="I390">
            <v>0</v>
          </cell>
          <cell r="J390">
            <v>0</v>
          </cell>
          <cell r="K390">
            <v>0</v>
          </cell>
          <cell r="L390">
            <v>0</v>
          </cell>
          <cell r="M390">
            <v>0</v>
          </cell>
        </row>
        <row r="391">
          <cell r="D391" t="str">
            <v>8g10</v>
          </cell>
          <cell r="E391" t="str">
            <v>其他综合收益_本年年初余额</v>
          </cell>
          <cell r="F391">
            <v>0</v>
          </cell>
          <cell r="G391">
            <v>0</v>
          </cell>
          <cell r="H391">
            <v>0</v>
          </cell>
          <cell r="I391">
            <v>0</v>
          </cell>
          <cell r="J391">
            <v>0</v>
          </cell>
          <cell r="K391">
            <v>0</v>
          </cell>
          <cell r="L391">
            <v>0</v>
          </cell>
          <cell r="M391">
            <v>0</v>
          </cell>
        </row>
        <row r="392">
          <cell r="D392" t="str">
            <v>8g90</v>
          </cell>
          <cell r="E392" t="str">
            <v>其他综合收益_本期增减变动金额</v>
          </cell>
          <cell r="F392">
            <v>0</v>
          </cell>
          <cell r="G392">
            <v>0</v>
          </cell>
          <cell r="H392">
            <v>0</v>
          </cell>
          <cell r="I392">
            <v>0</v>
          </cell>
          <cell r="J392">
            <v>0</v>
          </cell>
          <cell r="K392">
            <v>0</v>
          </cell>
          <cell r="L392">
            <v>0</v>
          </cell>
          <cell r="M392">
            <v>0</v>
          </cell>
        </row>
        <row r="393">
          <cell r="D393" t="str">
            <v>8g40</v>
          </cell>
          <cell r="E393" t="str">
            <v>其他综合收益_综合收益总额增加权益</v>
          </cell>
          <cell r="F393">
            <v>0</v>
          </cell>
          <cell r="G393">
            <v>0</v>
          </cell>
          <cell r="H393">
            <v>0</v>
          </cell>
          <cell r="I393">
            <v>0</v>
          </cell>
          <cell r="J393">
            <v>0</v>
          </cell>
          <cell r="K393">
            <v>0</v>
          </cell>
          <cell r="L393">
            <v>0</v>
          </cell>
          <cell r="M393">
            <v>0</v>
          </cell>
        </row>
        <row r="394">
          <cell r="D394" t="str">
            <v>8g50</v>
          </cell>
          <cell r="E394" t="str">
            <v>其他综合收益_所有者投入和减少资本影响权益</v>
          </cell>
          <cell r="F394">
            <v>0</v>
          </cell>
          <cell r="G394">
            <v>0</v>
          </cell>
          <cell r="H394">
            <v>0</v>
          </cell>
          <cell r="I394">
            <v>0</v>
          </cell>
          <cell r="J394">
            <v>0</v>
          </cell>
          <cell r="K394">
            <v>0</v>
          </cell>
          <cell r="L394">
            <v>0</v>
          </cell>
          <cell r="M394">
            <v>0</v>
          </cell>
        </row>
        <row r="395">
          <cell r="D395" t="str">
            <v>8g51</v>
          </cell>
          <cell r="E395" t="str">
            <v>其他综合收益_所有者投入资本</v>
          </cell>
          <cell r="F395">
            <v>0</v>
          </cell>
          <cell r="G395">
            <v>0</v>
          </cell>
          <cell r="H395">
            <v>0</v>
          </cell>
          <cell r="I395">
            <v>0</v>
          </cell>
          <cell r="J395">
            <v>0</v>
          </cell>
          <cell r="K395">
            <v>0</v>
          </cell>
          <cell r="L395">
            <v>0</v>
          </cell>
          <cell r="M395">
            <v>0</v>
          </cell>
        </row>
        <row r="396">
          <cell r="D396" t="str">
            <v>8g53</v>
          </cell>
          <cell r="E396" t="str">
            <v>其他综合收益_其他权益工具持有者投入资本</v>
          </cell>
          <cell r="F396">
            <v>0</v>
          </cell>
          <cell r="G396">
            <v>0</v>
          </cell>
          <cell r="H396">
            <v>0</v>
          </cell>
          <cell r="I396">
            <v>0</v>
          </cell>
          <cell r="J396">
            <v>0</v>
          </cell>
          <cell r="K396">
            <v>0</v>
          </cell>
          <cell r="L396">
            <v>0</v>
          </cell>
          <cell r="M396">
            <v>0</v>
          </cell>
        </row>
        <row r="397">
          <cell r="D397" t="str">
            <v>8g52</v>
          </cell>
          <cell r="E397" t="str">
            <v>其他综合收益_股份支付</v>
          </cell>
          <cell r="F397">
            <v>0</v>
          </cell>
          <cell r="G397">
            <v>0</v>
          </cell>
          <cell r="H397">
            <v>0</v>
          </cell>
          <cell r="I397">
            <v>0</v>
          </cell>
          <cell r="J397">
            <v>0</v>
          </cell>
          <cell r="K397">
            <v>0</v>
          </cell>
          <cell r="L397">
            <v>0</v>
          </cell>
          <cell r="M397">
            <v>0</v>
          </cell>
        </row>
        <row r="398">
          <cell r="D398" t="str">
            <v>8g56</v>
          </cell>
          <cell r="E398" t="str">
            <v>其他综合收益_所有者其他投入和减少资本</v>
          </cell>
          <cell r="F398">
            <v>0</v>
          </cell>
          <cell r="G398">
            <v>0</v>
          </cell>
          <cell r="H398">
            <v>0</v>
          </cell>
          <cell r="I398">
            <v>0</v>
          </cell>
          <cell r="J398">
            <v>0</v>
          </cell>
          <cell r="K398">
            <v>0</v>
          </cell>
          <cell r="L398">
            <v>0</v>
          </cell>
          <cell r="M398">
            <v>0</v>
          </cell>
        </row>
        <row r="399">
          <cell r="D399" t="str">
            <v>8g60</v>
          </cell>
          <cell r="E399" t="str">
            <v>其他综合收益_利润分配影响权益</v>
          </cell>
          <cell r="F399">
            <v>0</v>
          </cell>
          <cell r="G399">
            <v>0</v>
          </cell>
          <cell r="H399">
            <v>0</v>
          </cell>
          <cell r="I399">
            <v>0</v>
          </cell>
          <cell r="J399">
            <v>0</v>
          </cell>
          <cell r="K399">
            <v>0</v>
          </cell>
          <cell r="L399">
            <v>0</v>
          </cell>
          <cell r="M399">
            <v>0</v>
          </cell>
        </row>
        <row r="400">
          <cell r="D400" t="str">
            <v>8g61</v>
          </cell>
          <cell r="E400" t="str">
            <v>其他综合收益_提取盈余公积</v>
          </cell>
          <cell r="F400">
            <v>0</v>
          </cell>
          <cell r="G400">
            <v>0</v>
          </cell>
          <cell r="H400">
            <v>0</v>
          </cell>
          <cell r="I400">
            <v>0</v>
          </cell>
          <cell r="J400">
            <v>0</v>
          </cell>
          <cell r="K400">
            <v>0</v>
          </cell>
          <cell r="L400">
            <v>0</v>
          </cell>
          <cell r="M400">
            <v>0</v>
          </cell>
        </row>
        <row r="401">
          <cell r="D401" t="str">
            <v>8g62</v>
          </cell>
          <cell r="E401" t="str">
            <v>其他综合收益_提取一般风险准备</v>
          </cell>
          <cell r="F401">
            <v>0</v>
          </cell>
          <cell r="G401">
            <v>0</v>
          </cell>
          <cell r="H401">
            <v>0</v>
          </cell>
          <cell r="I401">
            <v>0</v>
          </cell>
          <cell r="J401">
            <v>0</v>
          </cell>
          <cell r="K401">
            <v>0</v>
          </cell>
          <cell r="L401">
            <v>0</v>
          </cell>
          <cell r="M401">
            <v>0</v>
          </cell>
        </row>
        <row r="402">
          <cell r="D402" t="str">
            <v>8g63</v>
          </cell>
          <cell r="E402" t="str">
            <v>其他综合收益_对所有者的分配</v>
          </cell>
          <cell r="F402">
            <v>0</v>
          </cell>
          <cell r="G402">
            <v>0</v>
          </cell>
          <cell r="H402">
            <v>0</v>
          </cell>
          <cell r="I402">
            <v>0</v>
          </cell>
          <cell r="J402">
            <v>0</v>
          </cell>
          <cell r="K402">
            <v>0</v>
          </cell>
          <cell r="L402">
            <v>0</v>
          </cell>
          <cell r="M402">
            <v>0</v>
          </cell>
        </row>
        <row r="403">
          <cell r="D403" t="str">
            <v>8g66</v>
          </cell>
          <cell r="E403" t="str">
            <v>其他综合收益_其他利润分配</v>
          </cell>
          <cell r="F403">
            <v>0</v>
          </cell>
          <cell r="G403">
            <v>0</v>
          </cell>
          <cell r="H403">
            <v>0</v>
          </cell>
          <cell r="I403">
            <v>0</v>
          </cell>
          <cell r="J403">
            <v>0</v>
          </cell>
          <cell r="K403">
            <v>0</v>
          </cell>
          <cell r="L403">
            <v>0</v>
          </cell>
          <cell r="M403">
            <v>0</v>
          </cell>
        </row>
        <row r="404">
          <cell r="D404" t="str">
            <v>8g70</v>
          </cell>
          <cell r="E404" t="str">
            <v>其他综合收益_所有者权益内部结转</v>
          </cell>
          <cell r="F404">
            <v>0</v>
          </cell>
          <cell r="G404">
            <v>0</v>
          </cell>
          <cell r="H404">
            <v>0</v>
          </cell>
          <cell r="I404">
            <v>0</v>
          </cell>
          <cell r="J404">
            <v>0</v>
          </cell>
          <cell r="K404">
            <v>0</v>
          </cell>
          <cell r="L404">
            <v>0</v>
          </cell>
          <cell r="M404">
            <v>0</v>
          </cell>
        </row>
        <row r="405">
          <cell r="D405" t="str">
            <v>8g71</v>
          </cell>
          <cell r="E405" t="str">
            <v>其他综合收益_资本公积转增资本</v>
          </cell>
          <cell r="F405">
            <v>0</v>
          </cell>
          <cell r="G405">
            <v>0</v>
          </cell>
          <cell r="H405">
            <v>0</v>
          </cell>
          <cell r="I405">
            <v>0</v>
          </cell>
          <cell r="J405">
            <v>0</v>
          </cell>
          <cell r="K405">
            <v>0</v>
          </cell>
          <cell r="L405">
            <v>0</v>
          </cell>
          <cell r="M405">
            <v>0</v>
          </cell>
        </row>
        <row r="406">
          <cell r="D406" t="str">
            <v>8g72</v>
          </cell>
          <cell r="E406" t="str">
            <v>其他综合收益_盈余公积转增资本</v>
          </cell>
          <cell r="F406">
            <v>0</v>
          </cell>
          <cell r="G406">
            <v>0</v>
          </cell>
          <cell r="H406">
            <v>0</v>
          </cell>
          <cell r="I406">
            <v>0</v>
          </cell>
          <cell r="J406">
            <v>0</v>
          </cell>
          <cell r="K406">
            <v>0</v>
          </cell>
          <cell r="L406">
            <v>0</v>
          </cell>
          <cell r="M406">
            <v>0</v>
          </cell>
        </row>
        <row r="407">
          <cell r="D407" t="str">
            <v>8g73</v>
          </cell>
          <cell r="E407" t="str">
            <v>其他综合收益_盈余公积弥补亏损</v>
          </cell>
          <cell r="F407">
            <v>0</v>
          </cell>
          <cell r="G407">
            <v>0</v>
          </cell>
          <cell r="H407">
            <v>0</v>
          </cell>
          <cell r="I407">
            <v>0</v>
          </cell>
          <cell r="J407">
            <v>0</v>
          </cell>
          <cell r="K407">
            <v>0</v>
          </cell>
          <cell r="L407">
            <v>0</v>
          </cell>
          <cell r="M407">
            <v>0</v>
          </cell>
        </row>
        <row r="408">
          <cell r="D408" t="str">
            <v>8g75</v>
          </cell>
          <cell r="E408" t="str">
            <v>其他综合收益_结转重新计量设定受益计划净负债或净资产所产生的变动</v>
          </cell>
          <cell r="F408">
            <v>0</v>
          </cell>
          <cell r="G408">
            <v>0</v>
          </cell>
          <cell r="H408">
            <v>0</v>
          </cell>
          <cell r="I408">
            <v>0</v>
          </cell>
          <cell r="J408">
            <v>0</v>
          </cell>
          <cell r="K408">
            <v>0</v>
          </cell>
          <cell r="L408">
            <v>0</v>
          </cell>
          <cell r="M408">
            <v>0</v>
          </cell>
        </row>
        <row r="409">
          <cell r="D409" t="str">
            <v>8g76</v>
          </cell>
          <cell r="E409" t="str">
            <v>其他综合收益_所有者权益其他内部结转</v>
          </cell>
          <cell r="F409">
            <v>0</v>
          </cell>
          <cell r="G409">
            <v>0</v>
          </cell>
          <cell r="H409">
            <v>0</v>
          </cell>
          <cell r="I409">
            <v>0</v>
          </cell>
          <cell r="J409">
            <v>0</v>
          </cell>
          <cell r="K409">
            <v>0</v>
          </cell>
          <cell r="L409">
            <v>0</v>
          </cell>
          <cell r="M409">
            <v>0</v>
          </cell>
        </row>
        <row r="410">
          <cell r="D410" t="str">
            <v>8g80</v>
          </cell>
          <cell r="E410" t="str">
            <v>其他综合收益_专项储备影响权益</v>
          </cell>
          <cell r="F410">
            <v>0</v>
          </cell>
          <cell r="G410">
            <v>0</v>
          </cell>
          <cell r="H410">
            <v>0</v>
          </cell>
          <cell r="I410">
            <v>0</v>
          </cell>
          <cell r="J410">
            <v>0</v>
          </cell>
          <cell r="K410">
            <v>0</v>
          </cell>
          <cell r="L410">
            <v>0</v>
          </cell>
          <cell r="M410">
            <v>0</v>
          </cell>
        </row>
        <row r="411">
          <cell r="D411" t="str">
            <v>8g81</v>
          </cell>
          <cell r="E411" t="str">
            <v>其他综合收益_专项储备本期提取</v>
          </cell>
          <cell r="F411">
            <v>0</v>
          </cell>
          <cell r="G411">
            <v>0</v>
          </cell>
          <cell r="H411">
            <v>0</v>
          </cell>
          <cell r="I411">
            <v>0</v>
          </cell>
          <cell r="J411">
            <v>0</v>
          </cell>
          <cell r="K411">
            <v>0</v>
          </cell>
          <cell r="L411">
            <v>0</v>
          </cell>
          <cell r="M411">
            <v>0</v>
          </cell>
        </row>
        <row r="412">
          <cell r="D412" t="str">
            <v>8g82</v>
          </cell>
          <cell r="E412" t="str">
            <v>其他综合收益_专项储备本期使用</v>
          </cell>
          <cell r="F412">
            <v>0</v>
          </cell>
          <cell r="G412">
            <v>0</v>
          </cell>
          <cell r="H412">
            <v>0</v>
          </cell>
          <cell r="I412">
            <v>0</v>
          </cell>
          <cell r="J412">
            <v>0</v>
          </cell>
          <cell r="K412">
            <v>0</v>
          </cell>
          <cell r="L412">
            <v>0</v>
          </cell>
          <cell r="M412">
            <v>0</v>
          </cell>
        </row>
        <row r="413">
          <cell r="D413" t="str">
            <v>8g96</v>
          </cell>
          <cell r="E413" t="str">
            <v>其他综合收益_本期其他增减变动</v>
          </cell>
          <cell r="F413">
            <v>0</v>
          </cell>
          <cell r="G413">
            <v>0</v>
          </cell>
          <cell r="H413">
            <v>0</v>
          </cell>
          <cell r="I413">
            <v>0</v>
          </cell>
          <cell r="J413">
            <v>0</v>
          </cell>
          <cell r="K413">
            <v>0</v>
          </cell>
          <cell r="L413">
            <v>0</v>
          </cell>
          <cell r="M413">
            <v>0</v>
          </cell>
        </row>
        <row r="414">
          <cell r="D414" t="str">
            <v>8g99</v>
          </cell>
          <cell r="E414" t="str">
            <v>其他综合收益_本期期末余额</v>
          </cell>
          <cell r="F414">
            <v>0</v>
          </cell>
          <cell r="G414">
            <v>0</v>
          </cell>
          <cell r="H414">
            <v>0</v>
          </cell>
          <cell r="I414">
            <v>0</v>
          </cell>
          <cell r="J414">
            <v>0</v>
          </cell>
          <cell r="K414">
            <v>0</v>
          </cell>
          <cell r="L414">
            <v>0</v>
          </cell>
          <cell r="M414">
            <v>0</v>
          </cell>
        </row>
        <row r="415">
          <cell r="D415">
            <v>8400</v>
          </cell>
          <cell r="E415" t="str">
            <v>专项储备增减变动</v>
          </cell>
          <cell r="F415">
            <v>0</v>
          </cell>
          <cell r="G415">
            <v>0</v>
          </cell>
          <cell r="H415">
            <v>0</v>
          </cell>
          <cell r="I415">
            <v>0</v>
          </cell>
          <cell r="J415">
            <v>0</v>
          </cell>
          <cell r="K415">
            <v>0</v>
          </cell>
          <cell r="L415">
            <v>0</v>
          </cell>
          <cell r="M415">
            <v>0</v>
          </cell>
        </row>
        <row r="416">
          <cell r="D416">
            <v>8401</v>
          </cell>
          <cell r="E416" t="str">
            <v>专项储备_上年年末余额</v>
          </cell>
          <cell r="F416">
            <v>0</v>
          </cell>
          <cell r="G416">
            <v>0</v>
          </cell>
          <cell r="H416">
            <v>0</v>
          </cell>
          <cell r="I416">
            <v>0</v>
          </cell>
          <cell r="J416">
            <v>0</v>
          </cell>
          <cell r="K416">
            <v>0</v>
          </cell>
          <cell r="L416">
            <v>0</v>
          </cell>
          <cell r="M416">
            <v>0</v>
          </cell>
        </row>
        <row r="417">
          <cell r="D417">
            <v>8402</v>
          </cell>
          <cell r="E417" t="str">
            <v>专项储备_会计政策变更调整上年年末余额</v>
          </cell>
          <cell r="F417">
            <v>0</v>
          </cell>
          <cell r="G417">
            <v>0</v>
          </cell>
          <cell r="H417">
            <v>0</v>
          </cell>
          <cell r="I417">
            <v>0</v>
          </cell>
          <cell r="J417">
            <v>0</v>
          </cell>
          <cell r="K417">
            <v>0</v>
          </cell>
          <cell r="L417">
            <v>0</v>
          </cell>
          <cell r="M417">
            <v>0</v>
          </cell>
        </row>
        <row r="418">
          <cell r="D418">
            <v>8403</v>
          </cell>
          <cell r="E418" t="str">
            <v>专项储备_前期差错更正调整上年年末余额</v>
          </cell>
          <cell r="F418">
            <v>0</v>
          </cell>
          <cell r="G418">
            <v>0</v>
          </cell>
          <cell r="H418">
            <v>0</v>
          </cell>
          <cell r="I418">
            <v>0</v>
          </cell>
          <cell r="J418">
            <v>0</v>
          </cell>
          <cell r="K418">
            <v>0</v>
          </cell>
          <cell r="L418">
            <v>0</v>
          </cell>
          <cell r="M418">
            <v>0</v>
          </cell>
        </row>
        <row r="419">
          <cell r="D419">
            <v>8404</v>
          </cell>
          <cell r="E419" t="str">
            <v>专项储备_同一控制下企业合并调整上年年末余额</v>
          </cell>
          <cell r="F419">
            <v>0</v>
          </cell>
          <cell r="G419">
            <v>0</v>
          </cell>
          <cell r="H419">
            <v>0</v>
          </cell>
          <cell r="I419">
            <v>0</v>
          </cell>
          <cell r="J419">
            <v>0</v>
          </cell>
          <cell r="K419">
            <v>0</v>
          </cell>
          <cell r="L419">
            <v>0</v>
          </cell>
          <cell r="M419">
            <v>0</v>
          </cell>
        </row>
        <row r="420">
          <cell r="D420">
            <v>8409</v>
          </cell>
          <cell r="E420" t="str">
            <v>专项储备_其他原因调整上年年末余额</v>
          </cell>
          <cell r="F420">
            <v>0</v>
          </cell>
          <cell r="G420">
            <v>0</v>
          </cell>
          <cell r="H420">
            <v>0</v>
          </cell>
          <cell r="I420">
            <v>0</v>
          </cell>
          <cell r="J420">
            <v>0</v>
          </cell>
          <cell r="K420">
            <v>0</v>
          </cell>
          <cell r="L420">
            <v>0</v>
          </cell>
          <cell r="M420">
            <v>0</v>
          </cell>
        </row>
        <row r="421">
          <cell r="D421">
            <v>8410</v>
          </cell>
          <cell r="E421" t="str">
            <v>专项储备_本年年初余额</v>
          </cell>
          <cell r="F421">
            <v>0</v>
          </cell>
          <cell r="G421">
            <v>0</v>
          </cell>
          <cell r="H421">
            <v>0</v>
          </cell>
          <cell r="I421">
            <v>0</v>
          </cell>
          <cell r="J421">
            <v>0</v>
          </cell>
          <cell r="K421">
            <v>0</v>
          </cell>
          <cell r="L421">
            <v>0</v>
          </cell>
          <cell r="M421">
            <v>0</v>
          </cell>
        </row>
        <row r="422">
          <cell r="D422">
            <v>8490</v>
          </cell>
          <cell r="E422" t="str">
            <v>专项储备_本期增减变动金额</v>
          </cell>
          <cell r="F422">
            <v>0</v>
          </cell>
          <cell r="G422">
            <v>0</v>
          </cell>
          <cell r="H422">
            <v>0</v>
          </cell>
          <cell r="I422">
            <v>0</v>
          </cell>
          <cell r="J422">
            <v>0</v>
          </cell>
          <cell r="K422">
            <v>0</v>
          </cell>
          <cell r="L422">
            <v>0</v>
          </cell>
          <cell r="M422">
            <v>0</v>
          </cell>
        </row>
        <row r="423">
          <cell r="D423">
            <v>8421</v>
          </cell>
          <cell r="E423" t="str">
            <v>专项储备_净利润增加权益</v>
          </cell>
          <cell r="F423">
            <v>0</v>
          </cell>
          <cell r="G423">
            <v>0</v>
          </cell>
          <cell r="H423">
            <v>0</v>
          </cell>
          <cell r="I423">
            <v>0</v>
          </cell>
          <cell r="J423">
            <v>0</v>
          </cell>
          <cell r="K423">
            <v>0</v>
          </cell>
          <cell r="L423">
            <v>0</v>
          </cell>
          <cell r="M423">
            <v>0</v>
          </cell>
        </row>
        <row r="424">
          <cell r="D424">
            <v>8430</v>
          </cell>
          <cell r="E424" t="str">
            <v>专项储备_其他综合收益增加权益</v>
          </cell>
          <cell r="F424">
            <v>0</v>
          </cell>
          <cell r="G424">
            <v>0</v>
          </cell>
          <cell r="H424">
            <v>0</v>
          </cell>
          <cell r="I424">
            <v>0</v>
          </cell>
          <cell r="J424">
            <v>0</v>
          </cell>
          <cell r="K424">
            <v>0</v>
          </cell>
          <cell r="L424">
            <v>0</v>
          </cell>
          <cell r="M424">
            <v>0</v>
          </cell>
        </row>
        <row r="425">
          <cell r="D425">
            <v>8440</v>
          </cell>
          <cell r="E425" t="str">
            <v>专项储备_综合收益总额增加权益</v>
          </cell>
          <cell r="F425">
            <v>0</v>
          </cell>
          <cell r="G425">
            <v>0</v>
          </cell>
          <cell r="H425">
            <v>0</v>
          </cell>
          <cell r="I425">
            <v>0</v>
          </cell>
          <cell r="J425">
            <v>0</v>
          </cell>
          <cell r="K425">
            <v>0</v>
          </cell>
          <cell r="L425">
            <v>0</v>
          </cell>
          <cell r="M425">
            <v>0</v>
          </cell>
        </row>
        <row r="426">
          <cell r="D426">
            <v>8450</v>
          </cell>
          <cell r="E426" t="str">
            <v>专项储备_所有者投入和减少资本影响权益</v>
          </cell>
          <cell r="F426">
            <v>0</v>
          </cell>
          <cell r="G426">
            <v>0</v>
          </cell>
          <cell r="H426">
            <v>0</v>
          </cell>
          <cell r="I426">
            <v>0</v>
          </cell>
          <cell r="J426">
            <v>0</v>
          </cell>
          <cell r="K426">
            <v>0</v>
          </cell>
          <cell r="L426">
            <v>0</v>
          </cell>
          <cell r="M426">
            <v>0</v>
          </cell>
        </row>
        <row r="427">
          <cell r="D427">
            <v>8451</v>
          </cell>
          <cell r="E427" t="str">
            <v>专项储备_所有者投入资本增加权益</v>
          </cell>
          <cell r="F427">
            <v>0</v>
          </cell>
          <cell r="G427">
            <v>0</v>
          </cell>
          <cell r="H427">
            <v>0</v>
          </cell>
          <cell r="I427">
            <v>0</v>
          </cell>
          <cell r="J427">
            <v>0</v>
          </cell>
          <cell r="K427">
            <v>0</v>
          </cell>
          <cell r="L427">
            <v>0</v>
          </cell>
          <cell r="M427">
            <v>0</v>
          </cell>
        </row>
        <row r="428">
          <cell r="D428">
            <v>8453</v>
          </cell>
          <cell r="E428" t="str">
            <v>专项储备_其他权益工具持有者投入资本</v>
          </cell>
          <cell r="F428">
            <v>0</v>
          </cell>
          <cell r="G428">
            <v>0</v>
          </cell>
          <cell r="H428">
            <v>0</v>
          </cell>
          <cell r="I428">
            <v>0</v>
          </cell>
          <cell r="J428">
            <v>0</v>
          </cell>
          <cell r="K428">
            <v>0</v>
          </cell>
          <cell r="L428">
            <v>0</v>
          </cell>
          <cell r="M428">
            <v>0</v>
          </cell>
        </row>
        <row r="429">
          <cell r="D429">
            <v>8452</v>
          </cell>
          <cell r="E429" t="str">
            <v>专项储备_股份支付计入所有者权益的金额</v>
          </cell>
          <cell r="F429">
            <v>0</v>
          </cell>
          <cell r="G429">
            <v>0</v>
          </cell>
          <cell r="H429">
            <v>0</v>
          </cell>
          <cell r="I429">
            <v>0</v>
          </cell>
          <cell r="J429">
            <v>0</v>
          </cell>
          <cell r="K429">
            <v>0</v>
          </cell>
          <cell r="L429">
            <v>0</v>
          </cell>
          <cell r="M429">
            <v>0</v>
          </cell>
        </row>
        <row r="430">
          <cell r="D430">
            <v>8456</v>
          </cell>
          <cell r="E430" t="str">
            <v>专项储备_所有者其他投入和减少资本</v>
          </cell>
          <cell r="F430">
            <v>0</v>
          </cell>
          <cell r="G430">
            <v>0</v>
          </cell>
          <cell r="H430">
            <v>0</v>
          </cell>
          <cell r="I430">
            <v>0</v>
          </cell>
          <cell r="J430">
            <v>0</v>
          </cell>
          <cell r="K430">
            <v>0</v>
          </cell>
          <cell r="L430">
            <v>0</v>
          </cell>
          <cell r="M430">
            <v>0</v>
          </cell>
        </row>
        <row r="431">
          <cell r="D431">
            <v>8460</v>
          </cell>
          <cell r="E431" t="str">
            <v>专项储备_利润分配影响权益</v>
          </cell>
          <cell r="F431">
            <v>0</v>
          </cell>
          <cell r="G431">
            <v>0</v>
          </cell>
          <cell r="H431">
            <v>0</v>
          </cell>
          <cell r="I431">
            <v>0</v>
          </cell>
          <cell r="J431">
            <v>0</v>
          </cell>
          <cell r="K431">
            <v>0</v>
          </cell>
          <cell r="L431">
            <v>0</v>
          </cell>
          <cell r="M431">
            <v>0</v>
          </cell>
        </row>
        <row r="432">
          <cell r="D432">
            <v>8461</v>
          </cell>
          <cell r="E432" t="str">
            <v>专项储备_提取盈余公积影响权益</v>
          </cell>
          <cell r="F432">
            <v>0</v>
          </cell>
          <cell r="G432">
            <v>0</v>
          </cell>
          <cell r="H432">
            <v>0</v>
          </cell>
          <cell r="I432">
            <v>0</v>
          </cell>
          <cell r="J432">
            <v>0</v>
          </cell>
          <cell r="K432">
            <v>0</v>
          </cell>
          <cell r="L432">
            <v>0</v>
          </cell>
          <cell r="M432">
            <v>0</v>
          </cell>
        </row>
        <row r="433">
          <cell r="D433">
            <v>8462</v>
          </cell>
          <cell r="E433" t="str">
            <v>专项储备_提取一般风险准备影响权益</v>
          </cell>
          <cell r="F433">
            <v>0</v>
          </cell>
          <cell r="G433">
            <v>0</v>
          </cell>
          <cell r="H433">
            <v>0</v>
          </cell>
          <cell r="I433">
            <v>0</v>
          </cell>
          <cell r="J433">
            <v>0</v>
          </cell>
          <cell r="K433">
            <v>0</v>
          </cell>
          <cell r="L433">
            <v>0</v>
          </cell>
          <cell r="M433">
            <v>0</v>
          </cell>
        </row>
        <row r="434">
          <cell r="D434">
            <v>8463</v>
          </cell>
          <cell r="E434" t="str">
            <v>专项储备_对所有者的分配影响权益</v>
          </cell>
          <cell r="F434">
            <v>0</v>
          </cell>
          <cell r="G434">
            <v>0</v>
          </cell>
          <cell r="H434">
            <v>0</v>
          </cell>
          <cell r="I434">
            <v>0</v>
          </cell>
          <cell r="J434">
            <v>0</v>
          </cell>
          <cell r="K434">
            <v>0</v>
          </cell>
          <cell r="L434">
            <v>0</v>
          </cell>
          <cell r="M434">
            <v>0</v>
          </cell>
        </row>
        <row r="435">
          <cell r="D435">
            <v>8466</v>
          </cell>
          <cell r="E435" t="str">
            <v>专项储备_其他利润分配影响权益</v>
          </cell>
          <cell r="F435">
            <v>0</v>
          </cell>
          <cell r="G435">
            <v>0</v>
          </cell>
          <cell r="H435">
            <v>0</v>
          </cell>
          <cell r="I435">
            <v>0</v>
          </cell>
          <cell r="J435">
            <v>0</v>
          </cell>
          <cell r="K435">
            <v>0</v>
          </cell>
          <cell r="L435">
            <v>0</v>
          </cell>
          <cell r="M435">
            <v>0</v>
          </cell>
        </row>
        <row r="436">
          <cell r="D436">
            <v>8470</v>
          </cell>
          <cell r="E436" t="str">
            <v>专项储备_所有者权益内部结转</v>
          </cell>
          <cell r="F436">
            <v>0</v>
          </cell>
          <cell r="G436">
            <v>0</v>
          </cell>
          <cell r="H436">
            <v>0</v>
          </cell>
          <cell r="I436">
            <v>0</v>
          </cell>
          <cell r="J436">
            <v>0</v>
          </cell>
          <cell r="K436">
            <v>0</v>
          </cell>
          <cell r="L436">
            <v>0</v>
          </cell>
          <cell r="M436">
            <v>0</v>
          </cell>
        </row>
        <row r="437">
          <cell r="D437">
            <v>8471</v>
          </cell>
          <cell r="E437" t="str">
            <v>专项储备_资本公积转增资本影响权益</v>
          </cell>
          <cell r="F437">
            <v>0</v>
          </cell>
          <cell r="G437">
            <v>0</v>
          </cell>
          <cell r="H437">
            <v>0</v>
          </cell>
          <cell r="I437">
            <v>0</v>
          </cell>
          <cell r="J437">
            <v>0</v>
          </cell>
          <cell r="K437">
            <v>0</v>
          </cell>
          <cell r="L437">
            <v>0</v>
          </cell>
          <cell r="M437">
            <v>0</v>
          </cell>
        </row>
        <row r="438">
          <cell r="D438">
            <v>8472</v>
          </cell>
          <cell r="E438" t="str">
            <v>专项储备_盈余公积转增资本影响权益</v>
          </cell>
          <cell r="F438">
            <v>0</v>
          </cell>
          <cell r="G438">
            <v>0</v>
          </cell>
          <cell r="H438">
            <v>0</v>
          </cell>
          <cell r="I438">
            <v>0</v>
          </cell>
          <cell r="J438">
            <v>0</v>
          </cell>
          <cell r="K438">
            <v>0</v>
          </cell>
          <cell r="L438">
            <v>0</v>
          </cell>
          <cell r="M438">
            <v>0</v>
          </cell>
        </row>
        <row r="439">
          <cell r="D439">
            <v>8473</v>
          </cell>
          <cell r="E439" t="str">
            <v>专项储备_盈余公积弥补亏损影响权益</v>
          </cell>
          <cell r="F439">
            <v>0</v>
          </cell>
          <cell r="G439">
            <v>0</v>
          </cell>
          <cell r="H439">
            <v>0</v>
          </cell>
          <cell r="I439">
            <v>0</v>
          </cell>
          <cell r="J439">
            <v>0</v>
          </cell>
          <cell r="K439">
            <v>0</v>
          </cell>
          <cell r="L439">
            <v>0</v>
          </cell>
          <cell r="M439">
            <v>0</v>
          </cell>
        </row>
        <row r="440">
          <cell r="D440">
            <v>8475</v>
          </cell>
          <cell r="E440" t="str">
            <v>专项储备_结转重新计量设定受益计划净负债或净资产所产生的变动</v>
          </cell>
          <cell r="F440">
            <v>0</v>
          </cell>
          <cell r="G440">
            <v>0</v>
          </cell>
          <cell r="H440">
            <v>0</v>
          </cell>
          <cell r="I440">
            <v>0</v>
          </cell>
          <cell r="J440">
            <v>0</v>
          </cell>
          <cell r="K440">
            <v>0</v>
          </cell>
          <cell r="L440">
            <v>0</v>
          </cell>
          <cell r="M440">
            <v>0</v>
          </cell>
        </row>
        <row r="441">
          <cell r="D441">
            <v>8476</v>
          </cell>
          <cell r="E441" t="str">
            <v>专项储备_所有者权益其他内部结转</v>
          </cell>
          <cell r="F441">
            <v>0</v>
          </cell>
          <cell r="G441">
            <v>0</v>
          </cell>
          <cell r="H441">
            <v>0</v>
          </cell>
          <cell r="I441">
            <v>0</v>
          </cell>
          <cell r="J441">
            <v>0</v>
          </cell>
          <cell r="K441">
            <v>0</v>
          </cell>
          <cell r="L441">
            <v>0</v>
          </cell>
          <cell r="M441">
            <v>0</v>
          </cell>
        </row>
        <row r="442">
          <cell r="D442">
            <v>8480</v>
          </cell>
          <cell r="E442" t="str">
            <v>专项储备_专项储备影响权益</v>
          </cell>
          <cell r="F442">
            <v>0</v>
          </cell>
          <cell r="G442">
            <v>0</v>
          </cell>
          <cell r="H442">
            <v>0</v>
          </cell>
          <cell r="I442">
            <v>0</v>
          </cell>
          <cell r="J442">
            <v>0</v>
          </cell>
          <cell r="K442">
            <v>0</v>
          </cell>
          <cell r="L442">
            <v>0</v>
          </cell>
          <cell r="M442">
            <v>0</v>
          </cell>
        </row>
        <row r="443">
          <cell r="D443">
            <v>8481</v>
          </cell>
          <cell r="E443" t="str">
            <v>专项储备_本期提取</v>
          </cell>
          <cell r="F443">
            <v>0</v>
          </cell>
          <cell r="G443">
            <v>0</v>
          </cell>
          <cell r="H443">
            <v>0</v>
          </cell>
          <cell r="I443">
            <v>0</v>
          </cell>
          <cell r="J443">
            <v>0</v>
          </cell>
          <cell r="K443">
            <v>0</v>
          </cell>
          <cell r="L443">
            <v>0</v>
          </cell>
          <cell r="M443">
            <v>0</v>
          </cell>
        </row>
        <row r="444">
          <cell r="D444">
            <v>8482</v>
          </cell>
          <cell r="E444" t="str">
            <v>专项储备_本期使用</v>
          </cell>
          <cell r="F444">
            <v>0</v>
          </cell>
          <cell r="G444">
            <v>0</v>
          </cell>
          <cell r="H444">
            <v>0</v>
          </cell>
          <cell r="I444">
            <v>0</v>
          </cell>
          <cell r="J444">
            <v>0</v>
          </cell>
          <cell r="K444">
            <v>0</v>
          </cell>
          <cell r="L444">
            <v>0</v>
          </cell>
          <cell r="M444">
            <v>0</v>
          </cell>
        </row>
        <row r="445">
          <cell r="D445">
            <v>8496</v>
          </cell>
          <cell r="E445" t="str">
            <v>专项储备_本期其他增减变动</v>
          </cell>
          <cell r="F445">
            <v>0</v>
          </cell>
          <cell r="G445">
            <v>0</v>
          </cell>
          <cell r="H445">
            <v>0</v>
          </cell>
          <cell r="I445">
            <v>0</v>
          </cell>
          <cell r="J445">
            <v>0</v>
          </cell>
          <cell r="K445">
            <v>0</v>
          </cell>
          <cell r="L445">
            <v>0</v>
          </cell>
          <cell r="M445">
            <v>0</v>
          </cell>
        </row>
        <row r="446">
          <cell r="D446">
            <v>8499</v>
          </cell>
          <cell r="E446" t="str">
            <v>专项储备_本期期末余额</v>
          </cell>
          <cell r="F446">
            <v>0</v>
          </cell>
          <cell r="G446">
            <v>0</v>
          </cell>
          <cell r="H446">
            <v>0</v>
          </cell>
          <cell r="I446">
            <v>0</v>
          </cell>
          <cell r="J446">
            <v>0</v>
          </cell>
          <cell r="K446">
            <v>0</v>
          </cell>
          <cell r="L446">
            <v>0</v>
          </cell>
          <cell r="M446">
            <v>0</v>
          </cell>
        </row>
        <row r="447">
          <cell r="D447">
            <v>8500</v>
          </cell>
          <cell r="E447" t="str">
            <v>盈余公积增减变动</v>
          </cell>
          <cell r="F447">
            <v>0</v>
          </cell>
          <cell r="G447">
            <v>0</v>
          </cell>
          <cell r="H447">
            <v>0</v>
          </cell>
          <cell r="I447">
            <v>0</v>
          </cell>
          <cell r="J447">
            <v>0</v>
          </cell>
          <cell r="K447">
            <v>0</v>
          </cell>
          <cell r="L447">
            <v>0</v>
          </cell>
          <cell r="M447">
            <v>0</v>
          </cell>
        </row>
        <row r="448">
          <cell r="D448">
            <v>8501</v>
          </cell>
          <cell r="E448" t="str">
            <v>盈余公积_上年年末余额</v>
          </cell>
          <cell r="F448">
            <v>0</v>
          </cell>
          <cell r="G448">
            <v>0</v>
          </cell>
          <cell r="H448">
            <v>0</v>
          </cell>
          <cell r="I448">
            <v>0</v>
          </cell>
          <cell r="J448">
            <v>0</v>
          </cell>
          <cell r="K448">
            <v>0</v>
          </cell>
          <cell r="L448">
            <v>0</v>
          </cell>
          <cell r="M448">
            <v>0</v>
          </cell>
        </row>
        <row r="449">
          <cell r="D449">
            <v>8502</v>
          </cell>
          <cell r="E449" t="str">
            <v>盈余公积_会计政策变更调整上年年末余额</v>
          </cell>
          <cell r="F449">
            <v>0</v>
          </cell>
          <cell r="G449">
            <v>0</v>
          </cell>
          <cell r="H449">
            <v>0</v>
          </cell>
          <cell r="I449">
            <v>0</v>
          </cell>
          <cell r="J449">
            <v>0</v>
          </cell>
          <cell r="K449">
            <v>0</v>
          </cell>
          <cell r="L449">
            <v>0</v>
          </cell>
          <cell r="M449">
            <v>0</v>
          </cell>
        </row>
        <row r="450">
          <cell r="D450">
            <v>8503</v>
          </cell>
          <cell r="E450" t="str">
            <v>盈余公积_前期差错更正调整上年年末余额</v>
          </cell>
          <cell r="F450">
            <v>0</v>
          </cell>
          <cell r="G450">
            <v>0</v>
          </cell>
          <cell r="H450">
            <v>0</v>
          </cell>
          <cell r="I450">
            <v>0</v>
          </cell>
          <cell r="J450">
            <v>0</v>
          </cell>
          <cell r="K450">
            <v>0</v>
          </cell>
          <cell r="L450">
            <v>0</v>
          </cell>
          <cell r="M450">
            <v>0</v>
          </cell>
        </row>
        <row r="451">
          <cell r="D451">
            <v>8504</v>
          </cell>
          <cell r="E451" t="str">
            <v>盈余公积_同一控制下企业合并调整上年年末余额</v>
          </cell>
          <cell r="F451">
            <v>0</v>
          </cell>
          <cell r="G451">
            <v>0</v>
          </cell>
          <cell r="H451">
            <v>0</v>
          </cell>
          <cell r="I451">
            <v>0</v>
          </cell>
          <cell r="J451">
            <v>0</v>
          </cell>
          <cell r="K451">
            <v>0</v>
          </cell>
          <cell r="L451">
            <v>0</v>
          </cell>
          <cell r="M451">
            <v>0</v>
          </cell>
        </row>
        <row r="452">
          <cell r="D452">
            <v>8509</v>
          </cell>
          <cell r="E452" t="str">
            <v>盈余公积_其他原因调整上年年末余额</v>
          </cell>
          <cell r="F452">
            <v>0</v>
          </cell>
          <cell r="G452">
            <v>0</v>
          </cell>
          <cell r="H452">
            <v>0</v>
          </cell>
          <cell r="I452">
            <v>0</v>
          </cell>
          <cell r="J452">
            <v>0</v>
          </cell>
          <cell r="K452">
            <v>0</v>
          </cell>
          <cell r="L452">
            <v>0</v>
          </cell>
          <cell r="M452">
            <v>0</v>
          </cell>
        </row>
        <row r="453">
          <cell r="D453">
            <v>8510</v>
          </cell>
          <cell r="E453" t="str">
            <v>盈余公积_本年年初余额</v>
          </cell>
          <cell r="F453">
            <v>0</v>
          </cell>
          <cell r="G453">
            <v>0</v>
          </cell>
          <cell r="H453">
            <v>0</v>
          </cell>
          <cell r="I453">
            <v>0</v>
          </cell>
          <cell r="J453">
            <v>0</v>
          </cell>
          <cell r="K453">
            <v>0</v>
          </cell>
          <cell r="L453">
            <v>0</v>
          </cell>
          <cell r="M453">
            <v>0</v>
          </cell>
        </row>
        <row r="454">
          <cell r="D454">
            <v>8590</v>
          </cell>
          <cell r="E454" t="str">
            <v>盈余公积_本期增减变动金额</v>
          </cell>
          <cell r="F454">
            <v>0</v>
          </cell>
          <cell r="G454">
            <v>0</v>
          </cell>
          <cell r="H454">
            <v>0</v>
          </cell>
          <cell r="I454">
            <v>0</v>
          </cell>
          <cell r="J454">
            <v>0</v>
          </cell>
          <cell r="K454">
            <v>0</v>
          </cell>
          <cell r="L454">
            <v>0</v>
          </cell>
          <cell r="M454">
            <v>0</v>
          </cell>
        </row>
        <row r="455">
          <cell r="D455">
            <v>8521</v>
          </cell>
          <cell r="E455" t="str">
            <v>盈余公积_净利润增加权益</v>
          </cell>
          <cell r="F455">
            <v>0</v>
          </cell>
          <cell r="G455">
            <v>0</v>
          </cell>
          <cell r="H455">
            <v>0</v>
          </cell>
          <cell r="I455">
            <v>0</v>
          </cell>
          <cell r="J455">
            <v>0</v>
          </cell>
          <cell r="K455">
            <v>0</v>
          </cell>
          <cell r="L455">
            <v>0</v>
          </cell>
          <cell r="M455">
            <v>0</v>
          </cell>
        </row>
        <row r="456">
          <cell r="D456">
            <v>8530</v>
          </cell>
          <cell r="E456" t="str">
            <v>盈余公积_其他综合收益增加权益</v>
          </cell>
          <cell r="F456">
            <v>0</v>
          </cell>
          <cell r="G456">
            <v>0</v>
          </cell>
          <cell r="H456">
            <v>0</v>
          </cell>
          <cell r="I456">
            <v>0</v>
          </cell>
          <cell r="J456">
            <v>0</v>
          </cell>
          <cell r="K456">
            <v>0</v>
          </cell>
          <cell r="L456">
            <v>0</v>
          </cell>
          <cell r="M456">
            <v>0</v>
          </cell>
        </row>
        <row r="457">
          <cell r="D457">
            <v>8540</v>
          </cell>
          <cell r="E457" t="str">
            <v>盈余公积_综合收益总额增加权益</v>
          </cell>
          <cell r="F457">
            <v>0</v>
          </cell>
          <cell r="G457">
            <v>0</v>
          </cell>
          <cell r="H457">
            <v>0</v>
          </cell>
          <cell r="I457">
            <v>0</v>
          </cell>
          <cell r="J457">
            <v>0</v>
          </cell>
          <cell r="K457">
            <v>0</v>
          </cell>
          <cell r="L457">
            <v>0</v>
          </cell>
          <cell r="M457">
            <v>0</v>
          </cell>
        </row>
        <row r="458">
          <cell r="D458">
            <v>8550</v>
          </cell>
          <cell r="E458" t="str">
            <v>盈余公积_所有者投入和减少资本影响权益</v>
          </cell>
          <cell r="F458">
            <v>0</v>
          </cell>
          <cell r="G458">
            <v>0</v>
          </cell>
          <cell r="H458">
            <v>0</v>
          </cell>
          <cell r="I458">
            <v>0</v>
          </cell>
          <cell r="J458">
            <v>0</v>
          </cell>
          <cell r="K458">
            <v>0</v>
          </cell>
          <cell r="L458">
            <v>0</v>
          </cell>
          <cell r="M458">
            <v>0</v>
          </cell>
        </row>
        <row r="459">
          <cell r="D459">
            <v>8551</v>
          </cell>
          <cell r="E459" t="str">
            <v>盈余公积_所有者投入资本增加权益</v>
          </cell>
          <cell r="F459">
            <v>0</v>
          </cell>
          <cell r="G459">
            <v>0</v>
          </cell>
          <cell r="H459">
            <v>0</v>
          </cell>
          <cell r="I459">
            <v>0</v>
          </cell>
          <cell r="J459">
            <v>0</v>
          </cell>
          <cell r="K459">
            <v>0</v>
          </cell>
          <cell r="L459">
            <v>0</v>
          </cell>
          <cell r="M459">
            <v>0</v>
          </cell>
        </row>
        <row r="460">
          <cell r="D460">
            <v>8553</v>
          </cell>
          <cell r="E460" t="str">
            <v>盈余公积_其他权益工具持有者投入资本</v>
          </cell>
          <cell r="F460">
            <v>0</v>
          </cell>
          <cell r="G460">
            <v>0</v>
          </cell>
          <cell r="H460">
            <v>0</v>
          </cell>
          <cell r="I460">
            <v>0</v>
          </cell>
          <cell r="J460">
            <v>0</v>
          </cell>
          <cell r="K460">
            <v>0</v>
          </cell>
          <cell r="L460">
            <v>0</v>
          </cell>
          <cell r="M460">
            <v>0</v>
          </cell>
        </row>
        <row r="461">
          <cell r="D461">
            <v>8552</v>
          </cell>
          <cell r="E461" t="str">
            <v>盈余公积_股份支付计入所有者权益的金额</v>
          </cell>
          <cell r="F461">
            <v>0</v>
          </cell>
          <cell r="G461">
            <v>0</v>
          </cell>
          <cell r="H461">
            <v>0</v>
          </cell>
          <cell r="I461">
            <v>0</v>
          </cell>
          <cell r="J461">
            <v>0</v>
          </cell>
          <cell r="K461">
            <v>0</v>
          </cell>
          <cell r="L461">
            <v>0</v>
          </cell>
          <cell r="M461">
            <v>0</v>
          </cell>
        </row>
        <row r="462">
          <cell r="D462">
            <v>8556</v>
          </cell>
          <cell r="E462" t="str">
            <v>盈余公积_所有者其他投入和减少资本</v>
          </cell>
          <cell r="F462">
            <v>0</v>
          </cell>
          <cell r="G462">
            <v>0</v>
          </cell>
          <cell r="H462">
            <v>0</v>
          </cell>
          <cell r="I462">
            <v>0</v>
          </cell>
          <cell r="J462">
            <v>0</v>
          </cell>
          <cell r="K462">
            <v>0</v>
          </cell>
          <cell r="L462">
            <v>0</v>
          </cell>
          <cell r="M462">
            <v>0</v>
          </cell>
        </row>
        <row r="463">
          <cell r="D463">
            <v>8560</v>
          </cell>
          <cell r="E463" t="str">
            <v>盈余公积_利润分配影响权益</v>
          </cell>
          <cell r="F463">
            <v>0</v>
          </cell>
          <cell r="G463">
            <v>0</v>
          </cell>
          <cell r="H463">
            <v>0</v>
          </cell>
          <cell r="I463">
            <v>0</v>
          </cell>
          <cell r="J463">
            <v>0</v>
          </cell>
          <cell r="K463">
            <v>0</v>
          </cell>
          <cell r="L463">
            <v>0</v>
          </cell>
          <cell r="M463">
            <v>0</v>
          </cell>
        </row>
        <row r="464">
          <cell r="D464">
            <v>8561</v>
          </cell>
          <cell r="E464" t="str">
            <v>盈余公积_提取</v>
          </cell>
          <cell r="F464">
            <v>0</v>
          </cell>
          <cell r="G464">
            <v>0</v>
          </cell>
          <cell r="H464">
            <v>0</v>
          </cell>
          <cell r="I464">
            <v>0</v>
          </cell>
          <cell r="J464">
            <v>0</v>
          </cell>
          <cell r="K464">
            <v>0</v>
          </cell>
          <cell r="L464">
            <v>0</v>
          </cell>
          <cell r="M464">
            <v>0</v>
          </cell>
        </row>
        <row r="465">
          <cell r="D465">
            <v>8562</v>
          </cell>
          <cell r="E465" t="str">
            <v>盈余公积_提取一般风险准备影响权益</v>
          </cell>
          <cell r="F465">
            <v>0</v>
          </cell>
          <cell r="G465">
            <v>0</v>
          </cell>
          <cell r="H465">
            <v>0</v>
          </cell>
          <cell r="I465">
            <v>0</v>
          </cell>
          <cell r="J465">
            <v>0</v>
          </cell>
          <cell r="K465">
            <v>0</v>
          </cell>
          <cell r="L465">
            <v>0</v>
          </cell>
          <cell r="M465">
            <v>0</v>
          </cell>
        </row>
        <row r="466">
          <cell r="D466">
            <v>8563</v>
          </cell>
          <cell r="E466" t="str">
            <v>盈余公积_对所有者的分配</v>
          </cell>
          <cell r="F466">
            <v>0</v>
          </cell>
          <cell r="G466">
            <v>0</v>
          </cell>
          <cell r="H466">
            <v>0</v>
          </cell>
          <cell r="I466">
            <v>0</v>
          </cell>
          <cell r="J466">
            <v>0</v>
          </cell>
          <cell r="K466">
            <v>0</v>
          </cell>
          <cell r="L466">
            <v>0</v>
          </cell>
          <cell r="M466">
            <v>0</v>
          </cell>
        </row>
        <row r="467">
          <cell r="D467">
            <v>8566</v>
          </cell>
          <cell r="E467" t="str">
            <v>盈余公积_其他利润分配</v>
          </cell>
          <cell r="F467">
            <v>0</v>
          </cell>
          <cell r="G467">
            <v>0</v>
          </cell>
          <cell r="H467">
            <v>0</v>
          </cell>
          <cell r="I467">
            <v>0</v>
          </cell>
          <cell r="J467">
            <v>0</v>
          </cell>
          <cell r="K467">
            <v>0</v>
          </cell>
          <cell r="L467">
            <v>0</v>
          </cell>
          <cell r="M467">
            <v>0</v>
          </cell>
        </row>
        <row r="468">
          <cell r="D468">
            <v>8570</v>
          </cell>
          <cell r="E468" t="str">
            <v>盈余公积_所有者权益内部结转</v>
          </cell>
          <cell r="F468">
            <v>0</v>
          </cell>
          <cell r="G468">
            <v>0</v>
          </cell>
          <cell r="H468">
            <v>0</v>
          </cell>
          <cell r="I468">
            <v>0</v>
          </cell>
          <cell r="J468">
            <v>0</v>
          </cell>
          <cell r="K468">
            <v>0</v>
          </cell>
          <cell r="L468">
            <v>0</v>
          </cell>
          <cell r="M468">
            <v>0</v>
          </cell>
        </row>
        <row r="469">
          <cell r="D469">
            <v>8571</v>
          </cell>
          <cell r="E469" t="str">
            <v>盈余公积_资本公积转增资本影响权益</v>
          </cell>
          <cell r="F469">
            <v>0</v>
          </cell>
          <cell r="G469">
            <v>0</v>
          </cell>
          <cell r="H469">
            <v>0</v>
          </cell>
          <cell r="I469">
            <v>0</v>
          </cell>
          <cell r="J469">
            <v>0</v>
          </cell>
          <cell r="K469">
            <v>0</v>
          </cell>
          <cell r="L469">
            <v>0</v>
          </cell>
          <cell r="M469">
            <v>0</v>
          </cell>
        </row>
        <row r="470">
          <cell r="D470">
            <v>8572</v>
          </cell>
          <cell r="E470" t="str">
            <v>盈余公积_转增资本</v>
          </cell>
          <cell r="F470">
            <v>0</v>
          </cell>
          <cell r="G470">
            <v>0</v>
          </cell>
          <cell r="H470">
            <v>0</v>
          </cell>
          <cell r="I470">
            <v>0</v>
          </cell>
          <cell r="J470">
            <v>0</v>
          </cell>
          <cell r="K470">
            <v>0</v>
          </cell>
          <cell r="L470">
            <v>0</v>
          </cell>
          <cell r="M470">
            <v>0</v>
          </cell>
        </row>
        <row r="471">
          <cell r="D471">
            <v>8573</v>
          </cell>
          <cell r="E471" t="str">
            <v>盈余公积_弥补亏损</v>
          </cell>
          <cell r="F471">
            <v>0</v>
          </cell>
          <cell r="G471">
            <v>0</v>
          </cell>
          <cell r="H471">
            <v>0</v>
          </cell>
          <cell r="I471">
            <v>0</v>
          </cell>
          <cell r="J471">
            <v>0</v>
          </cell>
          <cell r="K471">
            <v>0</v>
          </cell>
          <cell r="L471">
            <v>0</v>
          </cell>
          <cell r="M471">
            <v>0</v>
          </cell>
        </row>
        <row r="472">
          <cell r="D472">
            <v>8575</v>
          </cell>
          <cell r="E472" t="str">
            <v>盈余公积_结转重新计量设定受益计划净负债或净资产所产生的变动</v>
          </cell>
          <cell r="F472">
            <v>0</v>
          </cell>
          <cell r="G472">
            <v>0</v>
          </cell>
          <cell r="H472">
            <v>0</v>
          </cell>
          <cell r="I472">
            <v>0</v>
          </cell>
          <cell r="J472">
            <v>0</v>
          </cell>
          <cell r="K472">
            <v>0</v>
          </cell>
          <cell r="L472">
            <v>0</v>
          </cell>
          <cell r="M472">
            <v>0</v>
          </cell>
        </row>
        <row r="473">
          <cell r="D473">
            <v>8576</v>
          </cell>
          <cell r="E473" t="str">
            <v>盈余公积_所有者权益其他内部结转</v>
          </cell>
          <cell r="F473">
            <v>0</v>
          </cell>
          <cell r="G473">
            <v>0</v>
          </cell>
          <cell r="H473">
            <v>0</v>
          </cell>
          <cell r="I473">
            <v>0</v>
          </cell>
          <cell r="J473">
            <v>0</v>
          </cell>
          <cell r="K473">
            <v>0</v>
          </cell>
          <cell r="L473">
            <v>0</v>
          </cell>
          <cell r="M473">
            <v>0</v>
          </cell>
        </row>
        <row r="474">
          <cell r="D474">
            <v>8580</v>
          </cell>
          <cell r="E474" t="str">
            <v>盈余公积_专项储备影响权益</v>
          </cell>
          <cell r="F474">
            <v>0</v>
          </cell>
          <cell r="G474">
            <v>0</v>
          </cell>
          <cell r="H474">
            <v>0</v>
          </cell>
          <cell r="I474">
            <v>0</v>
          </cell>
          <cell r="J474">
            <v>0</v>
          </cell>
          <cell r="K474">
            <v>0</v>
          </cell>
          <cell r="L474">
            <v>0</v>
          </cell>
          <cell r="M474">
            <v>0</v>
          </cell>
        </row>
        <row r="475">
          <cell r="D475">
            <v>8581</v>
          </cell>
          <cell r="E475" t="str">
            <v>盈余公积_专项储备本期提取</v>
          </cell>
          <cell r="F475">
            <v>0</v>
          </cell>
          <cell r="G475">
            <v>0</v>
          </cell>
          <cell r="H475">
            <v>0</v>
          </cell>
          <cell r="I475">
            <v>0</v>
          </cell>
          <cell r="J475">
            <v>0</v>
          </cell>
          <cell r="K475">
            <v>0</v>
          </cell>
          <cell r="L475">
            <v>0</v>
          </cell>
          <cell r="M475">
            <v>0</v>
          </cell>
        </row>
        <row r="476">
          <cell r="D476">
            <v>8582</v>
          </cell>
          <cell r="E476" t="str">
            <v>盈余公积_专项储备本期使用</v>
          </cell>
          <cell r="F476">
            <v>0</v>
          </cell>
          <cell r="G476">
            <v>0</v>
          </cell>
          <cell r="H476">
            <v>0</v>
          </cell>
          <cell r="I476">
            <v>0</v>
          </cell>
          <cell r="J476">
            <v>0</v>
          </cell>
          <cell r="K476">
            <v>0</v>
          </cell>
          <cell r="L476">
            <v>0</v>
          </cell>
          <cell r="M476">
            <v>0</v>
          </cell>
        </row>
        <row r="477">
          <cell r="D477">
            <v>8596</v>
          </cell>
          <cell r="E477" t="str">
            <v>盈余公积_本期其他增减变动</v>
          </cell>
          <cell r="F477">
            <v>0</v>
          </cell>
          <cell r="G477">
            <v>0</v>
          </cell>
          <cell r="H477">
            <v>0</v>
          </cell>
          <cell r="I477">
            <v>0</v>
          </cell>
          <cell r="J477">
            <v>0</v>
          </cell>
          <cell r="K477">
            <v>0</v>
          </cell>
          <cell r="L477">
            <v>0</v>
          </cell>
          <cell r="M477">
            <v>0</v>
          </cell>
        </row>
        <row r="478">
          <cell r="D478">
            <v>8599</v>
          </cell>
          <cell r="E478" t="str">
            <v>盈余公积_本期期末余额</v>
          </cell>
          <cell r="F478">
            <v>0</v>
          </cell>
          <cell r="G478">
            <v>0</v>
          </cell>
          <cell r="H478">
            <v>0</v>
          </cell>
          <cell r="I478">
            <v>0</v>
          </cell>
          <cell r="J478">
            <v>0</v>
          </cell>
          <cell r="K478">
            <v>0</v>
          </cell>
          <cell r="L478">
            <v>0</v>
          </cell>
          <cell r="M478">
            <v>0</v>
          </cell>
        </row>
        <row r="479">
          <cell r="D479">
            <v>8600</v>
          </cell>
          <cell r="E479" t="str">
            <v>一般风险准备增减变动</v>
          </cell>
          <cell r="F479">
            <v>0</v>
          </cell>
          <cell r="G479">
            <v>0</v>
          </cell>
          <cell r="H479">
            <v>0</v>
          </cell>
          <cell r="I479">
            <v>0</v>
          </cell>
          <cell r="J479">
            <v>0</v>
          </cell>
          <cell r="K479">
            <v>0</v>
          </cell>
          <cell r="L479">
            <v>0</v>
          </cell>
          <cell r="M479">
            <v>0</v>
          </cell>
        </row>
        <row r="480">
          <cell r="D480">
            <v>8601</v>
          </cell>
          <cell r="E480" t="str">
            <v>一般风险准备_上年年末余额</v>
          </cell>
          <cell r="F480">
            <v>0</v>
          </cell>
          <cell r="G480">
            <v>0</v>
          </cell>
          <cell r="H480">
            <v>0</v>
          </cell>
          <cell r="I480">
            <v>0</v>
          </cell>
          <cell r="J480">
            <v>0</v>
          </cell>
          <cell r="K480">
            <v>0</v>
          </cell>
          <cell r="L480">
            <v>0</v>
          </cell>
          <cell r="M480">
            <v>0</v>
          </cell>
        </row>
        <row r="481">
          <cell r="D481">
            <v>8602</v>
          </cell>
          <cell r="E481" t="str">
            <v>一般风险准备_会计政策变更调整上年年末余额</v>
          </cell>
          <cell r="F481">
            <v>0</v>
          </cell>
          <cell r="G481">
            <v>0</v>
          </cell>
          <cell r="H481">
            <v>0</v>
          </cell>
          <cell r="I481">
            <v>0</v>
          </cell>
          <cell r="J481">
            <v>0</v>
          </cell>
          <cell r="K481">
            <v>0</v>
          </cell>
          <cell r="L481">
            <v>0</v>
          </cell>
          <cell r="M481">
            <v>0</v>
          </cell>
        </row>
        <row r="482">
          <cell r="D482">
            <v>8603</v>
          </cell>
          <cell r="E482" t="str">
            <v>一般风险准备_前期差错更正调整上年年末余额</v>
          </cell>
          <cell r="F482">
            <v>0</v>
          </cell>
          <cell r="G482">
            <v>0</v>
          </cell>
          <cell r="H482">
            <v>0</v>
          </cell>
          <cell r="I482">
            <v>0</v>
          </cell>
          <cell r="J482">
            <v>0</v>
          </cell>
          <cell r="K482">
            <v>0</v>
          </cell>
          <cell r="L482">
            <v>0</v>
          </cell>
          <cell r="M482">
            <v>0</v>
          </cell>
        </row>
        <row r="483">
          <cell r="D483">
            <v>8604</v>
          </cell>
          <cell r="E483" t="str">
            <v>一般风险准备_同一控制下企业合并调整上年年末余额</v>
          </cell>
          <cell r="F483">
            <v>0</v>
          </cell>
          <cell r="G483">
            <v>0</v>
          </cell>
          <cell r="H483">
            <v>0</v>
          </cell>
          <cell r="I483">
            <v>0</v>
          </cell>
          <cell r="J483">
            <v>0</v>
          </cell>
          <cell r="K483">
            <v>0</v>
          </cell>
          <cell r="L483">
            <v>0</v>
          </cell>
          <cell r="M483">
            <v>0</v>
          </cell>
        </row>
        <row r="484">
          <cell r="D484">
            <v>8609</v>
          </cell>
          <cell r="E484" t="str">
            <v>一般风险准备_其他原因调整上年年末余额</v>
          </cell>
          <cell r="F484">
            <v>0</v>
          </cell>
          <cell r="G484">
            <v>0</v>
          </cell>
          <cell r="H484">
            <v>0</v>
          </cell>
          <cell r="I484">
            <v>0</v>
          </cell>
          <cell r="J484">
            <v>0</v>
          </cell>
          <cell r="K484">
            <v>0</v>
          </cell>
          <cell r="L484">
            <v>0</v>
          </cell>
          <cell r="M484">
            <v>0</v>
          </cell>
        </row>
        <row r="485">
          <cell r="D485">
            <v>8610</v>
          </cell>
          <cell r="E485" t="str">
            <v>一般风险准备_本年年初余额</v>
          </cell>
          <cell r="F485">
            <v>0</v>
          </cell>
          <cell r="G485">
            <v>0</v>
          </cell>
          <cell r="H485">
            <v>0</v>
          </cell>
          <cell r="I485">
            <v>0</v>
          </cell>
          <cell r="J485">
            <v>0</v>
          </cell>
          <cell r="K485">
            <v>0</v>
          </cell>
          <cell r="L485">
            <v>0</v>
          </cell>
          <cell r="M485">
            <v>0</v>
          </cell>
        </row>
        <row r="486">
          <cell r="D486">
            <v>8690</v>
          </cell>
          <cell r="E486" t="str">
            <v>一般风险准备_本期增减变动金额</v>
          </cell>
          <cell r="F486">
            <v>0</v>
          </cell>
          <cell r="G486">
            <v>0</v>
          </cell>
          <cell r="H486">
            <v>0</v>
          </cell>
          <cell r="I486">
            <v>0</v>
          </cell>
          <cell r="J486">
            <v>0</v>
          </cell>
          <cell r="K486">
            <v>0</v>
          </cell>
          <cell r="L486">
            <v>0</v>
          </cell>
          <cell r="M486">
            <v>0</v>
          </cell>
        </row>
        <row r="487">
          <cell r="D487">
            <v>8621</v>
          </cell>
          <cell r="E487" t="str">
            <v>一般风险准备_净利润增加权益</v>
          </cell>
          <cell r="F487">
            <v>0</v>
          </cell>
          <cell r="G487">
            <v>0</v>
          </cell>
          <cell r="H487">
            <v>0</v>
          </cell>
          <cell r="I487">
            <v>0</v>
          </cell>
          <cell r="J487">
            <v>0</v>
          </cell>
          <cell r="K487">
            <v>0</v>
          </cell>
          <cell r="L487">
            <v>0</v>
          </cell>
          <cell r="M487">
            <v>0</v>
          </cell>
        </row>
        <row r="488">
          <cell r="D488">
            <v>8630</v>
          </cell>
          <cell r="E488" t="str">
            <v>一般风险准备_其他综合收益增加权益</v>
          </cell>
          <cell r="F488">
            <v>0</v>
          </cell>
          <cell r="G488">
            <v>0</v>
          </cell>
          <cell r="H488">
            <v>0</v>
          </cell>
          <cell r="I488">
            <v>0</v>
          </cell>
          <cell r="J488">
            <v>0</v>
          </cell>
          <cell r="K488">
            <v>0</v>
          </cell>
          <cell r="L488">
            <v>0</v>
          </cell>
          <cell r="M488">
            <v>0</v>
          </cell>
        </row>
        <row r="489">
          <cell r="D489">
            <v>8640</v>
          </cell>
          <cell r="E489" t="str">
            <v>一般风险准备_综合收益总额增加权益</v>
          </cell>
          <cell r="F489">
            <v>0</v>
          </cell>
          <cell r="G489">
            <v>0</v>
          </cell>
          <cell r="H489">
            <v>0</v>
          </cell>
          <cell r="I489">
            <v>0</v>
          </cell>
          <cell r="J489">
            <v>0</v>
          </cell>
          <cell r="K489">
            <v>0</v>
          </cell>
          <cell r="L489">
            <v>0</v>
          </cell>
          <cell r="M489">
            <v>0</v>
          </cell>
        </row>
        <row r="490">
          <cell r="D490">
            <v>8650</v>
          </cell>
          <cell r="E490" t="str">
            <v>一般风险准备_所有者投入和减少资本影响权益</v>
          </cell>
          <cell r="F490">
            <v>0</v>
          </cell>
          <cell r="G490">
            <v>0</v>
          </cell>
          <cell r="H490">
            <v>0</v>
          </cell>
          <cell r="I490">
            <v>0</v>
          </cell>
          <cell r="J490">
            <v>0</v>
          </cell>
          <cell r="K490">
            <v>0</v>
          </cell>
          <cell r="L490">
            <v>0</v>
          </cell>
          <cell r="M490">
            <v>0</v>
          </cell>
        </row>
        <row r="491">
          <cell r="D491">
            <v>8651</v>
          </cell>
          <cell r="E491" t="str">
            <v>一般风险准备_所有者投入资本增加权益</v>
          </cell>
          <cell r="F491">
            <v>0</v>
          </cell>
          <cell r="G491">
            <v>0</v>
          </cell>
          <cell r="H491">
            <v>0</v>
          </cell>
          <cell r="I491">
            <v>0</v>
          </cell>
          <cell r="J491">
            <v>0</v>
          </cell>
          <cell r="K491">
            <v>0</v>
          </cell>
          <cell r="L491">
            <v>0</v>
          </cell>
          <cell r="M491">
            <v>0</v>
          </cell>
        </row>
        <row r="492">
          <cell r="D492">
            <v>8653</v>
          </cell>
          <cell r="E492" t="str">
            <v>一般风险准备_其他权益工具持有者投入资本</v>
          </cell>
          <cell r="F492">
            <v>0</v>
          </cell>
          <cell r="G492">
            <v>0</v>
          </cell>
          <cell r="H492">
            <v>0</v>
          </cell>
          <cell r="I492">
            <v>0</v>
          </cell>
          <cell r="J492">
            <v>0</v>
          </cell>
          <cell r="K492">
            <v>0</v>
          </cell>
          <cell r="L492">
            <v>0</v>
          </cell>
          <cell r="M492">
            <v>0</v>
          </cell>
        </row>
        <row r="493">
          <cell r="D493">
            <v>8652</v>
          </cell>
          <cell r="E493" t="str">
            <v>一般风险准备_股份支付计入所有者权益的金额</v>
          </cell>
          <cell r="F493">
            <v>0</v>
          </cell>
          <cell r="G493">
            <v>0</v>
          </cell>
          <cell r="H493">
            <v>0</v>
          </cell>
          <cell r="I493">
            <v>0</v>
          </cell>
          <cell r="J493">
            <v>0</v>
          </cell>
          <cell r="K493">
            <v>0</v>
          </cell>
          <cell r="L493">
            <v>0</v>
          </cell>
          <cell r="M493">
            <v>0</v>
          </cell>
        </row>
        <row r="494">
          <cell r="D494">
            <v>8656</v>
          </cell>
          <cell r="E494" t="str">
            <v>一般风险准备_所有者其他投入和减少资本</v>
          </cell>
          <cell r="F494">
            <v>0</v>
          </cell>
          <cell r="G494">
            <v>0</v>
          </cell>
          <cell r="H494">
            <v>0</v>
          </cell>
          <cell r="I494">
            <v>0</v>
          </cell>
          <cell r="J494">
            <v>0</v>
          </cell>
          <cell r="K494">
            <v>0</v>
          </cell>
          <cell r="L494">
            <v>0</v>
          </cell>
          <cell r="M494">
            <v>0</v>
          </cell>
        </row>
        <row r="495">
          <cell r="D495">
            <v>8660</v>
          </cell>
          <cell r="E495" t="str">
            <v>一般风险准备_利润分配影响权益</v>
          </cell>
          <cell r="F495">
            <v>0</v>
          </cell>
          <cell r="G495">
            <v>0</v>
          </cell>
          <cell r="H495">
            <v>0</v>
          </cell>
          <cell r="I495">
            <v>0</v>
          </cell>
          <cell r="J495">
            <v>0</v>
          </cell>
          <cell r="K495">
            <v>0</v>
          </cell>
          <cell r="L495">
            <v>0</v>
          </cell>
          <cell r="M495">
            <v>0</v>
          </cell>
        </row>
        <row r="496">
          <cell r="D496">
            <v>8661</v>
          </cell>
          <cell r="E496" t="str">
            <v>一般风险准备_提取盈余公积影响权益</v>
          </cell>
          <cell r="F496">
            <v>0</v>
          </cell>
          <cell r="G496">
            <v>0</v>
          </cell>
          <cell r="H496">
            <v>0</v>
          </cell>
          <cell r="I496">
            <v>0</v>
          </cell>
          <cell r="J496">
            <v>0</v>
          </cell>
          <cell r="K496">
            <v>0</v>
          </cell>
          <cell r="L496">
            <v>0</v>
          </cell>
          <cell r="M496">
            <v>0</v>
          </cell>
        </row>
        <row r="497">
          <cell r="D497">
            <v>8662</v>
          </cell>
          <cell r="E497" t="str">
            <v>一般风险准备_提取</v>
          </cell>
          <cell r="F497">
            <v>0</v>
          </cell>
          <cell r="G497">
            <v>0</v>
          </cell>
          <cell r="H497">
            <v>0</v>
          </cell>
          <cell r="I497">
            <v>0</v>
          </cell>
          <cell r="J497">
            <v>0</v>
          </cell>
          <cell r="K497">
            <v>0</v>
          </cell>
          <cell r="L497">
            <v>0</v>
          </cell>
          <cell r="M497">
            <v>0</v>
          </cell>
        </row>
        <row r="498">
          <cell r="D498">
            <v>8663</v>
          </cell>
          <cell r="E498" t="str">
            <v>一般风险准备_对所有者的分配影响权益</v>
          </cell>
          <cell r="F498">
            <v>0</v>
          </cell>
          <cell r="G498">
            <v>0</v>
          </cell>
          <cell r="H498">
            <v>0</v>
          </cell>
          <cell r="I498">
            <v>0</v>
          </cell>
          <cell r="J498">
            <v>0</v>
          </cell>
          <cell r="K498">
            <v>0</v>
          </cell>
          <cell r="L498">
            <v>0</v>
          </cell>
          <cell r="M498">
            <v>0</v>
          </cell>
        </row>
        <row r="499">
          <cell r="D499">
            <v>8666</v>
          </cell>
          <cell r="E499" t="str">
            <v>一般风险准备_其他利润分配</v>
          </cell>
          <cell r="F499">
            <v>0</v>
          </cell>
          <cell r="G499">
            <v>0</v>
          </cell>
          <cell r="H499">
            <v>0</v>
          </cell>
          <cell r="I499">
            <v>0</v>
          </cell>
          <cell r="J499">
            <v>0</v>
          </cell>
          <cell r="K499">
            <v>0</v>
          </cell>
          <cell r="L499">
            <v>0</v>
          </cell>
          <cell r="M499">
            <v>0</v>
          </cell>
        </row>
        <row r="500">
          <cell r="D500">
            <v>8670</v>
          </cell>
          <cell r="E500" t="str">
            <v>一般风险准备_所有者权益内部结转</v>
          </cell>
          <cell r="F500">
            <v>0</v>
          </cell>
          <cell r="G500">
            <v>0</v>
          </cell>
          <cell r="H500">
            <v>0</v>
          </cell>
          <cell r="I500">
            <v>0</v>
          </cell>
          <cell r="J500">
            <v>0</v>
          </cell>
          <cell r="K500">
            <v>0</v>
          </cell>
          <cell r="L500">
            <v>0</v>
          </cell>
          <cell r="M500">
            <v>0</v>
          </cell>
        </row>
        <row r="501">
          <cell r="D501">
            <v>8671</v>
          </cell>
          <cell r="E501" t="str">
            <v>一般风险准备_资本公积转增资本影响权益</v>
          </cell>
          <cell r="F501">
            <v>0</v>
          </cell>
          <cell r="G501">
            <v>0</v>
          </cell>
          <cell r="H501">
            <v>0</v>
          </cell>
          <cell r="I501">
            <v>0</v>
          </cell>
          <cell r="J501">
            <v>0</v>
          </cell>
          <cell r="K501">
            <v>0</v>
          </cell>
          <cell r="L501">
            <v>0</v>
          </cell>
          <cell r="M501">
            <v>0</v>
          </cell>
        </row>
        <row r="502">
          <cell r="D502">
            <v>8672</v>
          </cell>
          <cell r="E502" t="str">
            <v>一般风险准备_盈余公积转增资本影响权益</v>
          </cell>
          <cell r="F502">
            <v>0</v>
          </cell>
          <cell r="G502">
            <v>0</v>
          </cell>
          <cell r="H502">
            <v>0</v>
          </cell>
          <cell r="I502">
            <v>0</v>
          </cell>
          <cell r="J502">
            <v>0</v>
          </cell>
          <cell r="K502">
            <v>0</v>
          </cell>
          <cell r="L502">
            <v>0</v>
          </cell>
          <cell r="M502">
            <v>0</v>
          </cell>
        </row>
        <row r="503">
          <cell r="D503">
            <v>8673</v>
          </cell>
          <cell r="E503" t="str">
            <v>一般风险准备_盈余公积弥补亏损影响权益</v>
          </cell>
          <cell r="F503">
            <v>0</v>
          </cell>
          <cell r="G503">
            <v>0</v>
          </cell>
          <cell r="H503">
            <v>0</v>
          </cell>
          <cell r="I503">
            <v>0</v>
          </cell>
          <cell r="J503">
            <v>0</v>
          </cell>
          <cell r="K503">
            <v>0</v>
          </cell>
          <cell r="L503">
            <v>0</v>
          </cell>
          <cell r="M503">
            <v>0</v>
          </cell>
        </row>
        <row r="504">
          <cell r="D504">
            <v>8675</v>
          </cell>
          <cell r="E504" t="str">
            <v>一般风险准备_结转重新计量设定受益计划净负债或净资产所产生的变动</v>
          </cell>
          <cell r="F504">
            <v>0</v>
          </cell>
          <cell r="G504">
            <v>0</v>
          </cell>
          <cell r="H504">
            <v>0</v>
          </cell>
          <cell r="I504">
            <v>0</v>
          </cell>
          <cell r="J504">
            <v>0</v>
          </cell>
          <cell r="K504">
            <v>0</v>
          </cell>
          <cell r="L504">
            <v>0</v>
          </cell>
          <cell r="M504">
            <v>0</v>
          </cell>
        </row>
        <row r="505">
          <cell r="D505">
            <v>8676</v>
          </cell>
          <cell r="E505" t="str">
            <v>一般风险准备_所有者权益其他内部结转</v>
          </cell>
          <cell r="F505">
            <v>0</v>
          </cell>
          <cell r="G505">
            <v>0</v>
          </cell>
          <cell r="H505">
            <v>0</v>
          </cell>
          <cell r="I505">
            <v>0</v>
          </cell>
          <cell r="J505">
            <v>0</v>
          </cell>
          <cell r="K505">
            <v>0</v>
          </cell>
          <cell r="L505">
            <v>0</v>
          </cell>
          <cell r="M505">
            <v>0</v>
          </cell>
        </row>
        <row r="506">
          <cell r="D506">
            <v>8680</v>
          </cell>
          <cell r="E506" t="str">
            <v>一般风险准备_专项储备影响权益</v>
          </cell>
          <cell r="F506">
            <v>0</v>
          </cell>
          <cell r="G506">
            <v>0</v>
          </cell>
          <cell r="H506">
            <v>0</v>
          </cell>
          <cell r="I506">
            <v>0</v>
          </cell>
          <cell r="J506">
            <v>0</v>
          </cell>
          <cell r="K506">
            <v>0</v>
          </cell>
          <cell r="L506">
            <v>0</v>
          </cell>
          <cell r="M506">
            <v>0</v>
          </cell>
        </row>
        <row r="507">
          <cell r="D507">
            <v>8681</v>
          </cell>
          <cell r="E507" t="str">
            <v>一般风险准备_专项储备本期提取</v>
          </cell>
          <cell r="F507">
            <v>0</v>
          </cell>
          <cell r="G507">
            <v>0</v>
          </cell>
          <cell r="H507">
            <v>0</v>
          </cell>
          <cell r="I507">
            <v>0</v>
          </cell>
          <cell r="J507">
            <v>0</v>
          </cell>
          <cell r="K507">
            <v>0</v>
          </cell>
          <cell r="L507">
            <v>0</v>
          </cell>
          <cell r="M507">
            <v>0</v>
          </cell>
        </row>
        <row r="508">
          <cell r="D508">
            <v>8682</v>
          </cell>
          <cell r="E508" t="str">
            <v>一般风险准备_专项储备本期使用</v>
          </cell>
          <cell r="F508">
            <v>0</v>
          </cell>
          <cell r="G508">
            <v>0</v>
          </cell>
          <cell r="H508">
            <v>0</v>
          </cell>
          <cell r="I508">
            <v>0</v>
          </cell>
          <cell r="J508">
            <v>0</v>
          </cell>
          <cell r="K508">
            <v>0</v>
          </cell>
          <cell r="L508">
            <v>0</v>
          </cell>
          <cell r="M508">
            <v>0</v>
          </cell>
        </row>
        <row r="509">
          <cell r="D509">
            <v>8696</v>
          </cell>
          <cell r="E509" t="str">
            <v>一般风险准备_本期其他增减变动</v>
          </cell>
          <cell r="F509">
            <v>0</v>
          </cell>
          <cell r="G509">
            <v>0</v>
          </cell>
          <cell r="H509">
            <v>0</v>
          </cell>
          <cell r="I509">
            <v>0</v>
          </cell>
          <cell r="J509">
            <v>0</v>
          </cell>
          <cell r="K509">
            <v>0</v>
          </cell>
          <cell r="L509">
            <v>0</v>
          </cell>
          <cell r="M509">
            <v>0</v>
          </cell>
        </row>
        <row r="510">
          <cell r="D510">
            <v>8699</v>
          </cell>
          <cell r="E510" t="str">
            <v>一般风险准备_本期期末余额</v>
          </cell>
          <cell r="F510">
            <v>0</v>
          </cell>
          <cell r="G510">
            <v>0</v>
          </cell>
          <cell r="H510">
            <v>0</v>
          </cell>
          <cell r="I510">
            <v>0</v>
          </cell>
          <cell r="J510">
            <v>0</v>
          </cell>
          <cell r="K510">
            <v>0</v>
          </cell>
          <cell r="L510">
            <v>0</v>
          </cell>
          <cell r="M510">
            <v>0</v>
          </cell>
        </row>
        <row r="511">
          <cell r="D511">
            <v>8700</v>
          </cell>
          <cell r="E511" t="str">
            <v>未分配利润增减变动</v>
          </cell>
          <cell r="F511">
            <v>0</v>
          </cell>
          <cell r="G511">
            <v>0</v>
          </cell>
          <cell r="H511">
            <v>0</v>
          </cell>
          <cell r="I511">
            <v>0</v>
          </cell>
          <cell r="J511">
            <v>0</v>
          </cell>
          <cell r="K511">
            <v>0</v>
          </cell>
          <cell r="L511">
            <v>0</v>
          </cell>
          <cell r="M511">
            <v>0</v>
          </cell>
        </row>
        <row r="512">
          <cell r="D512">
            <v>8701</v>
          </cell>
          <cell r="E512" t="str">
            <v>未分配利润_上年年末余额</v>
          </cell>
          <cell r="F512">
            <v>741482.91</v>
          </cell>
          <cell r="G512">
            <v>0</v>
          </cell>
          <cell r="H512">
            <v>0</v>
          </cell>
          <cell r="I512">
            <v>741482.91</v>
          </cell>
          <cell r="J512">
            <v>0</v>
          </cell>
          <cell r="K512">
            <v>0</v>
          </cell>
          <cell r="L512">
            <v>0</v>
          </cell>
          <cell r="M512">
            <v>0</v>
          </cell>
        </row>
        <row r="513">
          <cell r="D513">
            <v>8702</v>
          </cell>
          <cell r="E513" t="str">
            <v>未分配利润_会计政策变更调整上年年末余额</v>
          </cell>
          <cell r="F513">
            <v>0</v>
          </cell>
          <cell r="G513">
            <v>0</v>
          </cell>
          <cell r="H513">
            <v>0</v>
          </cell>
          <cell r="I513">
            <v>0</v>
          </cell>
          <cell r="J513">
            <v>0</v>
          </cell>
          <cell r="K513">
            <v>0</v>
          </cell>
          <cell r="L513">
            <v>0</v>
          </cell>
          <cell r="M513">
            <v>0</v>
          </cell>
        </row>
        <row r="514">
          <cell r="D514">
            <v>8703</v>
          </cell>
          <cell r="E514" t="str">
            <v>未分配利润_前期差错更正调整上年年末余额</v>
          </cell>
          <cell r="F514">
            <v>0</v>
          </cell>
          <cell r="G514">
            <v>0</v>
          </cell>
          <cell r="H514">
            <v>0</v>
          </cell>
          <cell r="I514">
            <v>0</v>
          </cell>
          <cell r="J514">
            <v>0</v>
          </cell>
          <cell r="K514">
            <v>0</v>
          </cell>
          <cell r="L514">
            <v>0</v>
          </cell>
          <cell r="M514">
            <v>0</v>
          </cell>
        </row>
        <row r="515">
          <cell r="D515">
            <v>8704</v>
          </cell>
          <cell r="E515" t="str">
            <v>未分配利润_同一控制下企业合并调整上年年末余额</v>
          </cell>
          <cell r="F515">
            <v>0</v>
          </cell>
          <cell r="G515">
            <v>0</v>
          </cell>
          <cell r="H515">
            <v>0</v>
          </cell>
          <cell r="I515">
            <v>0</v>
          </cell>
          <cell r="J515">
            <v>0</v>
          </cell>
          <cell r="K515">
            <v>0</v>
          </cell>
          <cell r="L515">
            <v>0</v>
          </cell>
          <cell r="M515">
            <v>0</v>
          </cell>
        </row>
        <row r="516">
          <cell r="D516">
            <v>8709</v>
          </cell>
          <cell r="E516" t="str">
            <v>未分配利润_其他原因调整上年年末余额</v>
          </cell>
          <cell r="F516">
            <v>0</v>
          </cell>
          <cell r="G516">
            <v>0</v>
          </cell>
          <cell r="H516">
            <v>0</v>
          </cell>
          <cell r="I516">
            <v>0</v>
          </cell>
          <cell r="J516">
            <v>0</v>
          </cell>
          <cell r="K516">
            <v>0</v>
          </cell>
          <cell r="L516">
            <v>0</v>
          </cell>
          <cell r="M516">
            <v>0</v>
          </cell>
        </row>
        <row r="517">
          <cell r="D517">
            <v>8710</v>
          </cell>
          <cell r="E517" t="str">
            <v>未分配利润_本年年初余额</v>
          </cell>
          <cell r="F517">
            <v>741482.91</v>
          </cell>
          <cell r="G517">
            <v>0</v>
          </cell>
          <cell r="H517">
            <v>0</v>
          </cell>
          <cell r="I517">
            <v>741482.91</v>
          </cell>
          <cell r="J517">
            <v>0</v>
          </cell>
          <cell r="K517">
            <v>0</v>
          </cell>
          <cell r="L517">
            <v>0</v>
          </cell>
          <cell r="M517">
            <v>0</v>
          </cell>
        </row>
        <row r="518">
          <cell r="D518">
            <v>8790</v>
          </cell>
          <cell r="E518" t="str">
            <v>未分配利润_本期增减变动金额</v>
          </cell>
          <cell r="F518">
            <v>371447.23</v>
          </cell>
          <cell r="G518">
            <v>850563.7</v>
          </cell>
          <cell r="H518">
            <v>11061724.560000001</v>
          </cell>
          <cell r="I518">
            <v>10582608.09</v>
          </cell>
          <cell r="J518">
            <v>0</v>
          </cell>
          <cell r="K518">
            <v>0</v>
          </cell>
          <cell r="L518">
            <v>0</v>
          </cell>
          <cell r="M518">
            <v>0</v>
          </cell>
        </row>
        <row r="519">
          <cell r="D519">
            <v>8721</v>
          </cell>
          <cell r="E519" t="str">
            <v>未分配利润_净利润增加权益</v>
          </cell>
          <cell r="F519">
            <v>371447.23</v>
          </cell>
          <cell r="G519">
            <v>850563.7</v>
          </cell>
          <cell r="H519">
            <v>11061724.560000001</v>
          </cell>
          <cell r="I519">
            <v>10582608.09</v>
          </cell>
          <cell r="J519">
            <v>0</v>
          </cell>
          <cell r="K519">
            <v>0</v>
          </cell>
          <cell r="L519">
            <v>0</v>
          </cell>
          <cell r="M519">
            <v>0</v>
          </cell>
        </row>
        <row r="520">
          <cell r="D520">
            <v>8730</v>
          </cell>
          <cell r="E520" t="str">
            <v>未分配利润_其他综合收益增加权益</v>
          </cell>
          <cell r="F520">
            <v>0</v>
          </cell>
          <cell r="G520">
            <v>0</v>
          </cell>
          <cell r="H520">
            <v>0</v>
          </cell>
          <cell r="I520">
            <v>0</v>
          </cell>
          <cell r="J520">
            <v>0</v>
          </cell>
          <cell r="K520">
            <v>0</v>
          </cell>
          <cell r="L520">
            <v>0</v>
          </cell>
          <cell r="M520">
            <v>0</v>
          </cell>
        </row>
        <row r="521">
          <cell r="D521">
            <v>8740</v>
          </cell>
          <cell r="E521" t="str">
            <v>未分配利润_综合收益总额增加权益</v>
          </cell>
          <cell r="F521">
            <v>371447.23</v>
          </cell>
          <cell r="G521">
            <v>850563.7</v>
          </cell>
          <cell r="H521">
            <v>11061724.560000001</v>
          </cell>
          <cell r="I521">
            <v>10582608.09</v>
          </cell>
          <cell r="J521">
            <v>0</v>
          </cell>
          <cell r="K521">
            <v>0</v>
          </cell>
          <cell r="L521">
            <v>0</v>
          </cell>
          <cell r="M521">
            <v>0</v>
          </cell>
        </row>
        <row r="522">
          <cell r="D522">
            <v>8750</v>
          </cell>
          <cell r="E522" t="str">
            <v>未分配利润_所有者投入和减少资本影响权益</v>
          </cell>
          <cell r="F522">
            <v>0</v>
          </cell>
          <cell r="G522">
            <v>0</v>
          </cell>
          <cell r="H522">
            <v>0</v>
          </cell>
          <cell r="I522">
            <v>0</v>
          </cell>
          <cell r="J522">
            <v>0</v>
          </cell>
          <cell r="K522">
            <v>0</v>
          </cell>
          <cell r="L522">
            <v>0</v>
          </cell>
          <cell r="M522">
            <v>0</v>
          </cell>
        </row>
        <row r="523">
          <cell r="D523">
            <v>8751</v>
          </cell>
          <cell r="E523" t="str">
            <v>未分配利润_所有者投入资本增加权益</v>
          </cell>
          <cell r="F523">
            <v>0</v>
          </cell>
          <cell r="G523">
            <v>0</v>
          </cell>
          <cell r="H523">
            <v>0</v>
          </cell>
          <cell r="I523">
            <v>0</v>
          </cell>
          <cell r="J523">
            <v>0</v>
          </cell>
          <cell r="K523">
            <v>0</v>
          </cell>
          <cell r="L523">
            <v>0</v>
          </cell>
          <cell r="M523">
            <v>0</v>
          </cell>
        </row>
        <row r="524">
          <cell r="D524">
            <v>8753</v>
          </cell>
          <cell r="E524" t="str">
            <v>未分配利润_其他权益工具持有者投入资本</v>
          </cell>
          <cell r="F524">
            <v>0</v>
          </cell>
          <cell r="G524">
            <v>0</v>
          </cell>
          <cell r="H524">
            <v>0</v>
          </cell>
          <cell r="I524">
            <v>0</v>
          </cell>
          <cell r="J524">
            <v>0</v>
          </cell>
          <cell r="K524">
            <v>0</v>
          </cell>
          <cell r="L524">
            <v>0</v>
          </cell>
          <cell r="M524">
            <v>0</v>
          </cell>
        </row>
        <row r="525">
          <cell r="D525">
            <v>8752</v>
          </cell>
          <cell r="E525" t="str">
            <v>未分配利润_股份支付计入所有者权益的金额</v>
          </cell>
          <cell r="F525">
            <v>0</v>
          </cell>
          <cell r="G525">
            <v>0</v>
          </cell>
          <cell r="H525">
            <v>0</v>
          </cell>
          <cell r="I525">
            <v>0</v>
          </cell>
          <cell r="J525">
            <v>0</v>
          </cell>
          <cell r="K525">
            <v>0</v>
          </cell>
          <cell r="L525">
            <v>0</v>
          </cell>
          <cell r="M525">
            <v>0</v>
          </cell>
        </row>
        <row r="526">
          <cell r="D526">
            <v>8756</v>
          </cell>
          <cell r="E526" t="str">
            <v>未分配利润_所有者其他投入和减少资本</v>
          </cell>
          <cell r="F526">
            <v>0</v>
          </cell>
          <cell r="G526">
            <v>0</v>
          </cell>
          <cell r="H526">
            <v>0</v>
          </cell>
          <cell r="I526">
            <v>0</v>
          </cell>
          <cell r="J526">
            <v>0</v>
          </cell>
          <cell r="K526">
            <v>0</v>
          </cell>
          <cell r="L526">
            <v>0</v>
          </cell>
          <cell r="M526">
            <v>0</v>
          </cell>
        </row>
        <row r="527">
          <cell r="D527">
            <v>8760</v>
          </cell>
          <cell r="E527" t="str">
            <v>未分配利润_利润分配影响权益</v>
          </cell>
          <cell r="F527">
            <v>0</v>
          </cell>
          <cell r="G527">
            <v>0</v>
          </cell>
          <cell r="H527">
            <v>0</v>
          </cell>
          <cell r="I527">
            <v>0</v>
          </cell>
          <cell r="J527">
            <v>0</v>
          </cell>
          <cell r="K527">
            <v>0</v>
          </cell>
          <cell r="L527">
            <v>0</v>
          </cell>
          <cell r="M527">
            <v>0</v>
          </cell>
        </row>
        <row r="528">
          <cell r="D528">
            <v>8761</v>
          </cell>
          <cell r="E528" t="str">
            <v>未分配利润_提取盈余公积</v>
          </cell>
          <cell r="F528">
            <v>0</v>
          </cell>
          <cell r="G528">
            <v>0</v>
          </cell>
          <cell r="H528">
            <v>0</v>
          </cell>
          <cell r="I528">
            <v>0</v>
          </cell>
          <cell r="J528">
            <v>0</v>
          </cell>
          <cell r="K528">
            <v>0</v>
          </cell>
          <cell r="L528">
            <v>0</v>
          </cell>
          <cell r="M528">
            <v>0</v>
          </cell>
        </row>
        <row r="529">
          <cell r="D529">
            <v>8762</v>
          </cell>
          <cell r="E529" t="str">
            <v>未分配利润_提取一般风险准备</v>
          </cell>
          <cell r="F529">
            <v>0</v>
          </cell>
          <cell r="G529">
            <v>0</v>
          </cell>
          <cell r="H529">
            <v>0</v>
          </cell>
          <cell r="I529">
            <v>0</v>
          </cell>
          <cell r="J529">
            <v>0</v>
          </cell>
          <cell r="K529">
            <v>0</v>
          </cell>
          <cell r="L529">
            <v>0</v>
          </cell>
          <cell r="M529">
            <v>0</v>
          </cell>
        </row>
        <row r="530">
          <cell r="D530">
            <v>8763</v>
          </cell>
          <cell r="E530" t="str">
            <v>未分配利润_对所有者的分配</v>
          </cell>
          <cell r="F530">
            <v>0</v>
          </cell>
          <cell r="G530">
            <v>0</v>
          </cell>
          <cell r="H530">
            <v>0</v>
          </cell>
          <cell r="I530">
            <v>0</v>
          </cell>
          <cell r="J530">
            <v>0</v>
          </cell>
          <cell r="K530">
            <v>0</v>
          </cell>
          <cell r="L530">
            <v>0</v>
          </cell>
          <cell r="M530">
            <v>0</v>
          </cell>
        </row>
        <row r="531">
          <cell r="D531">
            <v>8766</v>
          </cell>
          <cell r="E531" t="str">
            <v>未分配利润_其他利润分配</v>
          </cell>
          <cell r="F531">
            <v>0</v>
          </cell>
          <cell r="G531">
            <v>0</v>
          </cell>
          <cell r="H531">
            <v>0</v>
          </cell>
          <cell r="I531">
            <v>0</v>
          </cell>
          <cell r="J531">
            <v>0</v>
          </cell>
          <cell r="K531">
            <v>0</v>
          </cell>
          <cell r="L531">
            <v>0</v>
          </cell>
          <cell r="M531">
            <v>0</v>
          </cell>
        </row>
        <row r="532">
          <cell r="D532">
            <v>8770</v>
          </cell>
          <cell r="E532" t="str">
            <v>未分配利润_所有者权益内部结转</v>
          </cell>
          <cell r="F532">
            <v>0</v>
          </cell>
          <cell r="G532">
            <v>0</v>
          </cell>
          <cell r="H532">
            <v>0</v>
          </cell>
          <cell r="I532">
            <v>0</v>
          </cell>
          <cell r="J532">
            <v>0</v>
          </cell>
          <cell r="K532">
            <v>0</v>
          </cell>
          <cell r="L532">
            <v>0</v>
          </cell>
          <cell r="M532">
            <v>0</v>
          </cell>
        </row>
        <row r="533">
          <cell r="D533">
            <v>8771</v>
          </cell>
          <cell r="E533" t="str">
            <v>未分配利润_资本公积转增资本影响权益</v>
          </cell>
          <cell r="F533">
            <v>0</v>
          </cell>
          <cell r="G533">
            <v>0</v>
          </cell>
          <cell r="H533">
            <v>0</v>
          </cell>
          <cell r="I533">
            <v>0</v>
          </cell>
          <cell r="J533">
            <v>0</v>
          </cell>
          <cell r="K533">
            <v>0</v>
          </cell>
          <cell r="L533">
            <v>0</v>
          </cell>
          <cell r="M533">
            <v>0</v>
          </cell>
        </row>
        <row r="534">
          <cell r="D534">
            <v>8772</v>
          </cell>
          <cell r="E534" t="str">
            <v>未分配利润_盈余公积转增资本影响权益</v>
          </cell>
          <cell r="F534">
            <v>0</v>
          </cell>
          <cell r="G534">
            <v>0</v>
          </cell>
          <cell r="H534">
            <v>0</v>
          </cell>
          <cell r="I534">
            <v>0</v>
          </cell>
          <cell r="J534">
            <v>0</v>
          </cell>
          <cell r="K534">
            <v>0</v>
          </cell>
          <cell r="L534">
            <v>0</v>
          </cell>
          <cell r="M534">
            <v>0</v>
          </cell>
        </row>
        <row r="535">
          <cell r="D535">
            <v>8773</v>
          </cell>
          <cell r="E535" t="str">
            <v>未分配利润_盈余公积弥补亏损</v>
          </cell>
          <cell r="F535">
            <v>0</v>
          </cell>
          <cell r="G535">
            <v>0</v>
          </cell>
          <cell r="H535">
            <v>0</v>
          </cell>
          <cell r="I535">
            <v>0</v>
          </cell>
          <cell r="J535">
            <v>0</v>
          </cell>
          <cell r="K535">
            <v>0</v>
          </cell>
          <cell r="L535">
            <v>0</v>
          </cell>
          <cell r="M535">
            <v>0</v>
          </cell>
        </row>
        <row r="536">
          <cell r="D536">
            <v>8775</v>
          </cell>
          <cell r="E536" t="str">
            <v>未分配利润_结转重新计量设定受益计划净负债或净资产所产生的变动</v>
          </cell>
          <cell r="F536">
            <v>0</v>
          </cell>
          <cell r="G536">
            <v>0</v>
          </cell>
          <cell r="H536">
            <v>0</v>
          </cell>
          <cell r="I536">
            <v>0</v>
          </cell>
          <cell r="J536">
            <v>0</v>
          </cell>
          <cell r="K536">
            <v>0</v>
          </cell>
          <cell r="L536">
            <v>0</v>
          </cell>
          <cell r="M536">
            <v>0</v>
          </cell>
        </row>
        <row r="537">
          <cell r="D537">
            <v>8776</v>
          </cell>
          <cell r="E537" t="str">
            <v>未分配利润_所有者权益其他内部结转</v>
          </cell>
          <cell r="F537">
            <v>0</v>
          </cell>
          <cell r="G537">
            <v>0</v>
          </cell>
          <cell r="H537">
            <v>0</v>
          </cell>
          <cell r="I537">
            <v>0</v>
          </cell>
          <cell r="J537">
            <v>0</v>
          </cell>
          <cell r="K537">
            <v>0</v>
          </cell>
          <cell r="L537">
            <v>0</v>
          </cell>
          <cell r="M537">
            <v>0</v>
          </cell>
        </row>
        <row r="538">
          <cell r="D538">
            <v>8780</v>
          </cell>
          <cell r="E538" t="str">
            <v>未分配利润_专项储备影响权益</v>
          </cell>
          <cell r="F538">
            <v>0</v>
          </cell>
          <cell r="G538">
            <v>0</v>
          </cell>
          <cell r="H538">
            <v>0</v>
          </cell>
          <cell r="I538">
            <v>0</v>
          </cell>
          <cell r="J538">
            <v>0</v>
          </cell>
          <cell r="K538">
            <v>0</v>
          </cell>
          <cell r="L538">
            <v>0</v>
          </cell>
          <cell r="M538">
            <v>0</v>
          </cell>
        </row>
        <row r="539">
          <cell r="D539">
            <v>8781</v>
          </cell>
          <cell r="E539" t="str">
            <v>未分配利润_专项储备本期提取</v>
          </cell>
          <cell r="F539">
            <v>0</v>
          </cell>
          <cell r="G539">
            <v>0</v>
          </cell>
          <cell r="H539">
            <v>0</v>
          </cell>
          <cell r="I539">
            <v>0</v>
          </cell>
          <cell r="J539">
            <v>0</v>
          </cell>
          <cell r="K539">
            <v>0</v>
          </cell>
          <cell r="L539">
            <v>0</v>
          </cell>
          <cell r="M539">
            <v>0</v>
          </cell>
        </row>
        <row r="540">
          <cell r="D540">
            <v>8782</v>
          </cell>
          <cell r="E540" t="str">
            <v>未分配利润_专项储备本期使用</v>
          </cell>
          <cell r="F540">
            <v>0</v>
          </cell>
          <cell r="G540">
            <v>0</v>
          </cell>
          <cell r="H540">
            <v>0</v>
          </cell>
          <cell r="I540">
            <v>0</v>
          </cell>
          <cell r="J540">
            <v>0</v>
          </cell>
          <cell r="K540">
            <v>0</v>
          </cell>
          <cell r="L540">
            <v>0</v>
          </cell>
          <cell r="M540">
            <v>0</v>
          </cell>
        </row>
        <row r="541">
          <cell r="D541">
            <v>8796</v>
          </cell>
          <cell r="E541" t="str">
            <v>未分配利润_本期其他增减变动</v>
          </cell>
          <cell r="F541">
            <v>0</v>
          </cell>
          <cell r="G541">
            <v>0</v>
          </cell>
          <cell r="H541">
            <v>0</v>
          </cell>
          <cell r="I541">
            <v>0</v>
          </cell>
          <cell r="J541">
            <v>0</v>
          </cell>
          <cell r="K541">
            <v>0</v>
          </cell>
          <cell r="L541">
            <v>0</v>
          </cell>
          <cell r="M541">
            <v>0</v>
          </cell>
        </row>
        <row r="542">
          <cell r="D542">
            <v>8799</v>
          </cell>
          <cell r="E542" t="str">
            <v>未分配利润_本期期末余额</v>
          </cell>
          <cell r="F542">
            <v>1112930.1399999999</v>
          </cell>
          <cell r="G542">
            <v>850563.7</v>
          </cell>
          <cell r="H542">
            <v>11061724.560000001</v>
          </cell>
          <cell r="I542">
            <v>11324091</v>
          </cell>
          <cell r="J542">
            <v>0</v>
          </cell>
          <cell r="K542">
            <v>0</v>
          </cell>
          <cell r="L542">
            <v>0</v>
          </cell>
          <cell r="M542">
            <v>0</v>
          </cell>
        </row>
        <row r="543">
          <cell r="D543">
            <v>8800</v>
          </cell>
          <cell r="E543" t="str">
            <v>其他归属于母公司所有者权益增减变动</v>
          </cell>
          <cell r="F543">
            <v>0</v>
          </cell>
          <cell r="G543">
            <v>0</v>
          </cell>
          <cell r="H543">
            <v>0</v>
          </cell>
          <cell r="I543">
            <v>0</v>
          </cell>
          <cell r="J543">
            <v>0</v>
          </cell>
          <cell r="K543">
            <v>0</v>
          </cell>
          <cell r="L543">
            <v>0</v>
          </cell>
          <cell r="M543">
            <v>0</v>
          </cell>
        </row>
        <row r="544">
          <cell r="D544">
            <v>8801</v>
          </cell>
          <cell r="E544" t="str">
            <v>其他归属于母公司所有者权益_上年年末余额</v>
          </cell>
          <cell r="F544">
            <v>0</v>
          </cell>
          <cell r="G544">
            <v>0</v>
          </cell>
          <cell r="H544">
            <v>0</v>
          </cell>
          <cell r="I544">
            <v>0</v>
          </cell>
          <cell r="J544">
            <v>0</v>
          </cell>
          <cell r="K544">
            <v>0</v>
          </cell>
          <cell r="L544">
            <v>0</v>
          </cell>
          <cell r="M544">
            <v>0</v>
          </cell>
        </row>
        <row r="545">
          <cell r="D545">
            <v>8802</v>
          </cell>
          <cell r="E545" t="str">
            <v>其他归属于母公司所有者权益_会计政策变更调整上年年末余额</v>
          </cell>
          <cell r="F545">
            <v>0</v>
          </cell>
          <cell r="G545">
            <v>0</v>
          </cell>
          <cell r="H545">
            <v>0</v>
          </cell>
          <cell r="I545">
            <v>0</v>
          </cell>
          <cell r="J545">
            <v>0</v>
          </cell>
          <cell r="K545">
            <v>0</v>
          </cell>
          <cell r="L545">
            <v>0</v>
          </cell>
          <cell r="M545">
            <v>0</v>
          </cell>
        </row>
        <row r="546">
          <cell r="D546">
            <v>8803</v>
          </cell>
          <cell r="E546" t="str">
            <v>其他归属于母公司所有者权益_前期差错更正调整上年年末余额</v>
          </cell>
          <cell r="F546">
            <v>0</v>
          </cell>
          <cell r="G546">
            <v>0</v>
          </cell>
          <cell r="H546">
            <v>0</v>
          </cell>
          <cell r="I546">
            <v>0</v>
          </cell>
          <cell r="J546">
            <v>0</v>
          </cell>
          <cell r="K546">
            <v>0</v>
          </cell>
          <cell r="L546">
            <v>0</v>
          </cell>
          <cell r="M546">
            <v>0</v>
          </cell>
        </row>
        <row r="547">
          <cell r="D547">
            <v>8804</v>
          </cell>
          <cell r="E547" t="str">
            <v>其他归属于母公司所有者权益_同一控制下企业合并调整上年年末余额</v>
          </cell>
          <cell r="F547">
            <v>0</v>
          </cell>
          <cell r="G547">
            <v>0</v>
          </cell>
          <cell r="H547">
            <v>0</v>
          </cell>
          <cell r="I547">
            <v>0</v>
          </cell>
          <cell r="J547">
            <v>0</v>
          </cell>
          <cell r="K547">
            <v>0</v>
          </cell>
          <cell r="L547">
            <v>0</v>
          </cell>
          <cell r="M547">
            <v>0</v>
          </cell>
        </row>
        <row r="548">
          <cell r="D548">
            <v>8809</v>
          </cell>
          <cell r="E548" t="str">
            <v>其他归属于母公司所有者权益_其他原因调整上年年末余额</v>
          </cell>
          <cell r="F548">
            <v>0</v>
          </cell>
          <cell r="G548">
            <v>0</v>
          </cell>
          <cell r="H548">
            <v>0</v>
          </cell>
          <cell r="I548">
            <v>0</v>
          </cell>
          <cell r="J548">
            <v>0</v>
          </cell>
          <cell r="K548">
            <v>0</v>
          </cell>
          <cell r="L548">
            <v>0</v>
          </cell>
          <cell r="M548">
            <v>0</v>
          </cell>
        </row>
        <row r="549">
          <cell r="D549">
            <v>8810</v>
          </cell>
          <cell r="E549" t="str">
            <v>其他归属于母公司所有者权益_本年年初余额</v>
          </cell>
          <cell r="F549">
            <v>0</v>
          </cell>
          <cell r="G549">
            <v>0</v>
          </cell>
          <cell r="H549">
            <v>0</v>
          </cell>
          <cell r="I549">
            <v>0</v>
          </cell>
          <cell r="J549">
            <v>0</v>
          </cell>
          <cell r="K549">
            <v>0</v>
          </cell>
          <cell r="L549">
            <v>0</v>
          </cell>
          <cell r="M549">
            <v>0</v>
          </cell>
        </row>
        <row r="550">
          <cell r="D550">
            <v>8890</v>
          </cell>
          <cell r="E550" t="str">
            <v>其他归属于母公司所有者权益_本期增减变动金额</v>
          </cell>
          <cell r="F550">
            <v>0</v>
          </cell>
          <cell r="G550">
            <v>0</v>
          </cell>
          <cell r="H550">
            <v>0</v>
          </cell>
          <cell r="I550">
            <v>0</v>
          </cell>
          <cell r="J550">
            <v>0</v>
          </cell>
          <cell r="K550">
            <v>0</v>
          </cell>
          <cell r="L550">
            <v>0</v>
          </cell>
          <cell r="M550">
            <v>0</v>
          </cell>
        </row>
        <row r="551">
          <cell r="D551">
            <v>8821</v>
          </cell>
          <cell r="E551" t="str">
            <v>其他归属于母公司所有者权益_净利润增加权益</v>
          </cell>
          <cell r="F551">
            <v>0</v>
          </cell>
          <cell r="G551">
            <v>0</v>
          </cell>
          <cell r="H551">
            <v>0</v>
          </cell>
          <cell r="I551">
            <v>0</v>
          </cell>
          <cell r="J551">
            <v>0</v>
          </cell>
          <cell r="K551">
            <v>0</v>
          </cell>
          <cell r="L551">
            <v>0</v>
          </cell>
          <cell r="M551">
            <v>0</v>
          </cell>
        </row>
        <row r="552">
          <cell r="D552">
            <v>8830</v>
          </cell>
          <cell r="E552" t="str">
            <v>其他归属于母公司所有者权益_其他综合收益</v>
          </cell>
          <cell r="F552">
            <v>0</v>
          </cell>
          <cell r="G552">
            <v>0</v>
          </cell>
          <cell r="H552">
            <v>0</v>
          </cell>
          <cell r="I552">
            <v>0</v>
          </cell>
          <cell r="J552">
            <v>0</v>
          </cell>
          <cell r="K552">
            <v>0</v>
          </cell>
          <cell r="L552">
            <v>0</v>
          </cell>
          <cell r="M552">
            <v>0</v>
          </cell>
        </row>
        <row r="553">
          <cell r="D553">
            <v>8840</v>
          </cell>
          <cell r="E553" t="str">
            <v>其他归属于母公司所有者权益_综合收益总额增加权益</v>
          </cell>
          <cell r="F553">
            <v>0</v>
          </cell>
          <cell r="G553">
            <v>0</v>
          </cell>
          <cell r="H553">
            <v>0</v>
          </cell>
          <cell r="I553">
            <v>0</v>
          </cell>
          <cell r="J553">
            <v>0</v>
          </cell>
          <cell r="K553">
            <v>0</v>
          </cell>
          <cell r="L553">
            <v>0</v>
          </cell>
          <cell r="M553">
            <v>0</v>
          </cell>
        </row>
        <row r="554">
          <cell r="D554">
            <v>8850</v>
          </cell>
          <cell r="E554" t="str">
            <v>其他归属于母公司所有者权益_所有者投入和减少资本影响权益</v>
          </cell>
          <cell r="F554">
            <v>0</v>
          </cell>
          <cell r="G554">
            <v>0</v>
          </cell>
          <cell r="H554">
            <v>0</v>
          </cell>
          <cell r="I554">
            <v>0</v>
          </cell>
          <cell r="J554">
            <v>0</v>
          </cell>
          <cell r="K554">
            <v>0</v>
          </cell>
          <cell r="L554">
            <v>0</v>
          </cell>
          <cell r="M554">
            <v>0</v>
          </cell>
        </row>
        <row r="555">
          <cell r="D555">
            <v>8851</v>
          </cell>
          <cell r="E555" t="str">
            <v>其他归属于母公司所有者权益_所有者投入资本</v>
          </cell>
          <cell r="F555">
            <v>0</v>
          </cell>
          <cell r="G555">
            <v>0</v>
          </cell>
          <cell r="H555">
            <v>0</v>
          </cell>
          <cell r="I555">
            <v>0</v>
          </cell>
          <cell r="J555">
            <v>0</v>
          </cell>
          <cell r="K555">
            <v>0</v>
          </cell>
          <cell r="L555">
            <v>0</v>
          </cell>
          <cell r="M555">
            <v>0</v>
          </cell>
        </row>
        <row r="556">
          <cell r="D556">
            <v>8853</v>
          </cell>
          <cell r="E556" t="str">
            <v>其他归属于母公司所有者权益_其他权益工具持有者投入资本</v>
          </cell>
          <cell r="F556">
            <v>0</v>
          </cell>
          <cell r="G556">
            <v>0</v>
          </cell>
          <cell r="H556">
            <v>0</v>
          </cell>
          <cell r="I556">
            <v>0</v>
          </cell>
          <cell r="J556">
            <v>0</v>
          </cell>
          <cell r="K556">
            <v>0</v>
          </cell>
          <cell r="L556">
            <v>0</v>
          </cell>
          <cell r="M556">
            <v>0</v>
          </cell>
        </row>
        <row r="557">
          <cell r="D557">
            <v>8852</v>
          </cell>
          <cell r="E557" t="str">
            <v>其他归属于母公司所有者权益_股份支付</v>
          </cell>
          <cell r="F557">
            <v>0</v>
          </cell>
          <cell r="G557">
            <v>0</v>
          </cell>
          <cell r="H557">
            <v>0</v>
          </cell>
          <cell r="I557">
            <v>0</v>
          </cell>
          <cell r="J557">
            <v>0</v>
          </cell>
          <cell r="K557">
            <v>0</v>
          </cell>
          <cell r="L557">
            <v>0</v>
          </cell>
          <cell r="M557">
            <v>0</v>
          </cell>
        </row>
        <row r="558">
          <cell r="D558">
            <v>8856</v>
          </cell>
          <cell r="E558" t="str">
            <v>其他归属于母公司所有者权益_所有者其他投入和减少资本</v>
          </cell>
          <cell r="F558">
            <v>0</v>
          </cell>
          <cell r="G558">
            <v>0</v>
          </cell>
          <cell r="H558">
            <v>0</v>
          </cell>
          <cell r="I558">
            <v>0</v>
          </cell>
          <cell r="J558">
            <v>0</v>
          </cell>
          <cell r="K558">
            <v>0</v>
          </cell>
          <cell r="L558">
            <v>0</v>
          </cell>
          <cell r="M558">
            <v>0</v>
          </cell>
        </row>
        <row r="559">
          <cell r="D559">
            <v>8860</v>
          </cell>
          <cell r="E559" t="str">
            <v>其他归属于母公司所有者权益_利润分配影响权益</v>
          </cell>
          <cell r="F559">
            <v>0</v>
          </cell>
          <cell r="G559">
            <v>0</v>
          </cell>
          <cell r="H559">
            <v>0</v>
          </cell>
          <cell r="I559">
            <v>0</v>
          </cell>
          <cell r="J559">
            <v>0</v>
          </cell>
          <cell r="K559">
            <v>0</v>
          </cell>
          <cell r="L559">
            <v>0</v>
          </cell>
          <cell r="M559">
            <v>0</v>
          </cell>
        </row>
        <row r="560">
          <cell r="D560">
            <v>8861</v>
          </cell>
          <cell r="E560" t="str">
            <v>其他归属于母公司所有者权益_提取盈余公积</v>
          </cell>
          <cell r="F560">
            <v>0</v>
          </cell>
          <cell r="G560">
            <v>0</v>
          </cell>
          <cell r="H560">
            <v>0</v>
          </cell>
          <cell r="I560">
            <v>0</v>
          </cell>
          <cell r="J560">
            <v>0</v>
          </cell>
          <cell r="K560">
            <v>0</v>
          </cell>
          <cell r="L560">
            <v>0</v>
          </cell>
          <cell r="M560">
            <v>0</v>
          </cell>
        </row>
        <row r="561">
          <cell r="D561">
            <v>8862</v>
          </cell>
          <cell r="E561" t="str">
            <v>其他归属于母公司所有者权益_提取一般风险准备</v>
          </cell>
          <cell r="F561">
            <v>0</v>
          </cell>
          <cell r="G561">
            <v>0</v>
          </cell>
          <cell r="H561">
            <v>0</v>
          </cell>
          <cell r="I561">
            <v>0</v>
          </cell>
          <cell r="J561">
            <v>0</v>
          </cell>
          <cell r="K561">
            <v>0</v>
          </cell>
          <cell r="L561">
            <v>0</v>
          </cell>
          <cell r="M561">
            <v>0</v>
          </cell>
        </row>
        <row r="562">
          <cell r="D562">
            <v>8863</v>
          </cell>
          <cell r="E562" t="str">
            <v>其他归属于母公司所有者权益_对所有者的分配</v>
          </cell>
          <cell r="F562">
            <v>0</v>
          </cell>
          <cell r="G562">
            <v>0</v>
          </cell>
          <cell r="H562">
            <v>0</v>
          </cell>
          <cell r="I562">
            <v>0</v>
          </cell>
          <cell r="J562">
            <v>0</v>
          </cell>
          <cell r="K562">
            <v>0</v>
          </cell>
          <cell r="L562">
            <v>0</v>
          </cell>
          <cell r="M562">
            <v>0</v>
          </cell>
        </row>
        <row r="563">
          <cell r="D563">
            <v>8866</v>
          </cell>
          <cell r="E563" t="str">
            <v>其他归属于母公司所有者权益_其他利润分配</v>
          </cell>
          <cell r="F563">
            <v>0</v>
          </cell>
          <cell r="G563">
            <v>0</v>
          </cell>
          <cell r="H563">
            <v>0</v>
          </cell>
          <cell r="I563">
            <v>0</v>
          </cell>
          <cell r="J563">
            <v>0</v>
          </cell>
          <cell r="K563">
            <v>0</v>
          </cell>
          <cell r="L563">
            <v>0</v>
          </cell>
          <cell r="M563">
            <v>0</v>
          </cell>
        </row>
        <row r="564">
          <cell r="D564">
            <v>8870</v>
          </cell>
          <cell r="E564" t="str">
            <v>其他归属于母公司所有者权益_所有者权益内部结转</v>
          </cell>
          <cell r="F564">
            <v>0</v>
          </cell>
          <cell r="G564">
            <v>0</v>
          </cell>
          <cell r="H564">
            <v>0</v>
          </cell>
          <cell r="I564">
            <v>0</v>
          </cell>
          <cell r="J564">
            <v>0</v>
          </cell>
          <cell r="K564">
            <v>0</v>
          </cell>
          <cell r="L564">
            <v>0</v>
          </cell>
          <cell r="M564">
            <v>0</v>
          </cell>
        </row>
        <row r="565">
          <cell r="D565">
            <v>8871</v>
          </cell>
          <cell r="E565" t="str">
            <v>其他归属于母公司所有者权益_资本公积转增资本</v>
          </cell>
          <cell r="F565">
            <v>0</v>
          </cell>
          <cell r="G565">
            <v>0</v>
          </cell>
          <cell r="H565">
            <v>0</v>
          </cell>
          <cell r="I565">
            <v>0</v>
          </cell>
          <cell r="J565">
            <v>0</v>
          </cell>
          <cell r="K565">
            <v>0</v>
          </cell>
          <cell r="L565">
            <v>0</v>
          </cell>
          <cell r="M565">
            <v>0</v>
          </cell>
        </row>
        <row r="566">
          <cell r="D566">
            <v>8872</v>
          </cell>
          <cell r="E566" t="str">
            <v>其他归属于母公司所有者权益_盈余公积转增资本</v>
          </cell>
          <cell r="F566">
            <v>0</v>
          </cell>
          <cell r="G566">
            <v>0</v>
          </cell>
          <cell r="H566">
            <v>0</v>
          </cell>
          <cell r="I566">
            <v>0</v>
          </cell>
          <cell r="J566">
            <v>0</v>
          </cell>
          <cell r="K566">
            <v>0</v>
          </cell>
          <cell r="L566">
            <v>0</v>
          </cell>
          <cell r="M566">
            <v>0</v>
          </cell>
        </row>
        <row r="567">
          <cell r="D567">
            <v>8873</v>
          </cell>
          <cell r="E567" t="str">
            <v>其他归属于母公司所有者权益_盈余公积弥补亏损</v>
          </cell>
          <cell r="F567">
            <v>0</v>
          </cell>
          <cell r="G567">
            <v>0</v>
          </cell>
          <cell r="H567">
            <v>0</v>
          </cell>
          <cell r="I567">
            <v>0</v>
          </cell>
          <cell r="J567">
            <v>0</v>
          </cell>
          <cell r="K567">
            <v>0</v>
          </cell>
          <cell r="L567">
            <v>0</v>
          </cell>
          <cell r="M567">
            <v>0</v>
          </cell>
        </row>
        <row r="568">
          <cell r="D568">
            <v>8875</v>
          </cell>
          <cell r="E568" t="str">
            <v>其他归属于母公司所有者权益_结转重新计量设定受益计划净负债或净资产所产生的变动</v>
          </cell>
          <cell r="F568">
            <v>0</v>
          </cell>
          <cell r="G568">
            <v>0</v>
          </cell>
          <cell r="H568">
            <v>0</v>
          </cell>
          <cell r="I568">
            <v>0</v>
          </cell>
          <cell r="J568">
            <v>0</v>
          </cell>
          <cell r="K568">
            <v>0</v>
          </cell>
          <cell r="L568">
            <v>0</v>
          </cell>
          <cell r="M568">
            <v>0</v>
          </cell>
        </row>
        <row r="569">
          <cell r="D569">
            <v>8876</v>
          </cell>
          <cell r="E569" t="str">
            <v>其他归属于母公司所有者权益_所有者权益其他内部结转</v>
          </cell>
          <cell r="F569">
            <v>0</v>
          </cell>
          <cell r="G569">
            <v>0</v>
          </cell>
          <cell r="H569">
            <v>0</v>
          </cell>
          <cell r="I569">
            <v>0</v>
          </cell>
          <cell r="J569">
            <v>0</v>
          </cell>
          <cell r="K569">
            <v>0</v>
          </cell>
          <cell r="L569">
            <v>0</v>
          </cell>
          <cell r="M569">
            <v>0</v>
          </cell>
        </row>
        <row r="570">
          <cell r="D570">
            <v>8880</v>
          </cell>
          <cell r="E570" t="str">
            <v>其他归属于母公司所有者权益_专项储备影响权益</v>
          </cell>
          <cell r="F570">
            <v>0</v>
          </cell>
          <cell r="G570">
            <v>0</v>
          </cell>
          <cell r="H570">
            <v>0</v>
          </cell>
          <cell r="I570">
            <v>0</v>
          </cell>
          <cell r="J570">
            <v>0</v>
          </cell>
          <cell r="K570">
            <v>0</v>
          </cell>
          <cell r="L570">
            <v>0</v>
          </cell>
          <cell r="M570">
            <v>0</v>
          </cell>
        </row>
        <row r="571">
          <cell r="D571">
            <v>8881</v>
          </cell>
          <cell r="E571" t="str">
            <v>其他归属于母公司所有者权益_专项储备本期提取</v>
          </cell>
          <cell r="F571">
            <v>0</v>
          </cell>
          <cell r="G571">
            <v>0</v>
          </cell>
          <cell r="H571">
            <v>0</v>
          </cell>
          <cell r="I571">
            <v>0</v>
          </cell>
          <cell r="J571">
            <v>0</v>
          </cell>
          <cell r="K571">
            <v>0</v>
          </cell>
          <cell r="L571">
            <v>0</v>
          </cell>
          <cell r="M571">
            <v>0</v>
          </cell>
        </row>
        <row r="572">
          <cell r="D572">
            <v>8882</v>
          </cell>
          <cell r="E572" t="str">
            <v>其他归属于母公司所有者权益_专项储备本期使用</v>
          </cell>
          <cell r="F572">
            <v>0</v>
          </cell>
          <cell r="G572">
            <v>0</v>
          </cell>
          <cell r="H572">
            <v>0</v>
          </cell>
          <cell r="I572">
            <v>0</v>
          </cell>
          <cell r="J572">
            <v>0</v>
          </cell>
          <cell r="K572">
            <v>0</v>
          </cell>
          <cell r="L572">
            <v>0</v>
          </cell>
          <cell r="M572">
            <v>0</v>
          </cell>
        </row>
        <row r="573">
          <cell r="D573">
            <v>8896</v>
          </cell>
          <cell r="E573" t="str">
            <v>其他归属于母公司所有者权益_本期其他增减变动</v>
          </cell>
          <cell r="F573">
            <v>0</v>
          </cell>
          <cell r="G573">
            <v>0</v>
          </cell>
          <cell r="H573">
            <v>0</v>
          </cell>
          <cell r="I573">
            <v>0</v>
          </cell>
          <cell r="J573">
            <v>0</v>
          </cell>
          <cell r="K573">
            <v>0</v>
          </cell>
          <cell r="L573">
            <v>0</v>
          </cell>
          <cell r="M573">
            <v>0</v>
          </cell>
        </row>
        <row r="574">
          <cell r="D574">
            <v>8899</v>
          </cell>
          <cell r="E574" t="str">
            <v>其他归属于母公司所有者权益_本期期末余额</v>
          </cell>
          <cell r="F574">
            <v>0</v>
          </cell>
          <cell r="G574">
            <v>0</v>
          </cell>
          <cell r="H574">
            <v>0</v>
          </cell>
          <cell r="I574">
            <v>0</v>
          </cell>
          <cell r="J574">
            <v>0</v>
          </cell>
          <cell r="K574">
            <v>0</v>
          </cell>
          <cell r="L574">
            <v>0</v>
          </cell>
          <cell r="M574">
            <v>0</v>
          </cell>
        </row>
        <row r="575">
          <cell r="D575">
            <v>8900</v>
          </cell>
          <cell r="E575" t="str">
            <v>少数股东权益增减变动</v>
          </cell>
          <cell r="F575">
            <v>0</v>
          </cell>
          <cell r="G575">
            <v>0</v>
          </cell>
          <cell r="H575">
            <v>0</v>
          </cell>
          <cell r="I575">
            <v>0</v>
          </cell>
          <cell r="J575">
            <v>0</v>
          </cell>
          <cell r="K575">
            <v>0</v>
          </cell>
          <cell r="L575">
            <v>0</v>
          </cell>
          <cell r="M575">
            <v>0</v>
          </cell>
        </row>
        <row r="576">
          <cell r="D576">
            <v>8901</v>
          </cell>
          <cell r="E576" t="str">
            <v>少数股东权益_上年年末余额</v>
          </cell>
          <cell r="F576">
            <v>0</v>
          </cell>
          <cell r="G576">
            <v>0</v>
          </cell>
          <cell r="H576">
            <v>0</v>
          </cell>
          <cell r="I576">
            <v>0</v>
          </cell>
          <cell r="J576">
            <v>0</v>
          </cell>
          <cell r="K576">
            <v>0</v>
          </cell>
          <cell r="L576">
            <v>0</v>
          </cell>
          <cell r="M576">
            <v>0</v>
          </cell>
        </row>
        <row r="577">
          <cell r="D577">
            <v>8902</v>
          </cell>
          <cell r="E577" t="str">
            <v>少数股东权益_会计政策变更调整上年年末余额</v>
          </cell>
          <cell r="F577">
            <v>0</v>
          </cell>
          <cell r="G577">
            <v>0</v>
          </cell>
          <cell r="H577">
            <v>0</v>
          </cell>
          <cell r="I577">
            <v>0</v>
          </cell>
          <cell r="J577">
            <v>0</v>
          </cell>
          <cell r="K577">
            <v>0</v>
          </cell>
          <cell r="L577">
            <v>0</v>
          </cell>
          <cell r="M577">
            <v>0</v>
          </cell>
        </row>
        <row r="578">
          <cell r="D578">
            <v>8903</v>
          </cell>
          <cell r="E578" t="str">
            <v>少数股东权益_前期差错更正调整上年年末余额</v>
          </cell>
          <cell r="F578">
            <v>0</v>
          </cell>
          <cell r="G578">
            <v>0</v>
          </cell>
          <cell r="H578">
            <v>0</v>
          </cell>
          <cell r="I578">
            <v>0</v>
          </cell>
          <cell r="J578">
            <v>0</v>
          </cell>
          <cell r="K578">
            <v>0</v>
          </cell>
          <cell r="L578">
            <v>0</v>
          </cell>
          <cell r="M578">
            <v>0</v>
          </cell>
        </row>
        <row r="579">
          <cell r="D579">
            <v>8904</v>
          </cell>
          <cell r="E579" t="str">
            <v>少数股东权益_同一控制下企业合并调整上年年末余额</v>
          </cell>
          <cell r="F579">
            <v>0</v>
          </cell>
          <cell r="G579">
            <v>0</v>
          </cell>
          <cell r="H579">
            <v>0</v>
          </cell>
          <cell r="I579">
            <v>0</v>
          </cell>
          <cell r="J579">
            <v>0</v>
          </cell>
          <cell r="K579">
            <v>0</v>
          </cell>
          <cell r="L579">
            <v>0</v>
          </cell>
          <cell r="M579">
            <v>0</v>
          </cell>
        </row>
        <row r="580">
          <cell r="D580">
            <v>8909</v>
          </cell>
          <cell r="E580" t="str">
            <v>少数股东权益_其他原因调整上年年末余额</v>
          </cell>
          <cell r="F580">
            <v>0</v>
          </cell>
          <cell r="G580">
            <v>0</v>
          </cell>
          <cell r="H580">
            <v>0</v>
          </cell>
          <cell r="I580">
            <v>0</v>
          </cell>
          <cell r="J580">
            <v>0</v>
          </cell>
          <cell r="K580">
            <v>0</v>
          </cell>
          <cell r="L580">
            <v>0</v>
          </cell>
          <cell r="M580">
            <v>0</v>
          </cell>
        </row>
        <row r="581">
          <cell r="D581">
            <v>8910</v>
          </cell>
          <cell r="E581" t="str">
            <v>少数股东权益_本年年初余额</v>
          </cell>
          <cell r="F581">
            <v>0</v>
          </cell>
          <cell r="G581">
            <v>0</v>
          </cell>
          <cell r="H581">
            <v>0</v>
          </cell>
          <cell r="I581">
            <v>0</v>
          </cell>
          <cell r="J581">
            <v>0</v>
          </cell>
          <cell r="K581">
            <v>0</v>
          </cell>
          <cell r="L581">
            <v>0</v>
          </cell>
          <cell r="M581">
            <v>0</v>
          </cell>
        </row>
        <row r="582">
          <cell r="D582">
            <v>8990</v>
          </cell>
          <cell r="E582" t="str">
            <v>少数股东权益_本期增减变动金额</v>
          </cell>
          <cell r="F582">
            <v>0</v>
          </cell>
          <cell r="G582">
            <v>0</v>
          </cell>
          <cell r="H582">
            <v>0</v>
          </cell>
          <cell r="I582">
            <v>0</v>
          </cell>
          <cell r="J582">
            <v>0</v>
          </cell>
          <cell r="K582">
            <v>0</v>
          </cell>
          <cell r="L582">
            <v>0</v>
          </cell>
          <cell r="M582">
            <v>0</v>
          </cell>
        </row>
        <row r="583">
          <cell r="D583">
            <v>8921</v>
          </cell>
          <cell r="E583" t="str">
            <v>少数股东权益_净利润</v>
          </cell>
          <cell r="F583">
            <v>0</v>
          </cell>
          <cell r="G583">
            <v>0</v>
          </cell>
          <cell r="H583">
            <v>0</v>
          </cell>
          <cell r="I583">
            <v>0</v>
          </cell>
          <cell r="J583">
            <v>0</v>
          </cell>
          <cell r="K583">
            <v>0</v>
          </cell>
          <cell r="L583">
            <v>0</v>
          </cell>
          <cell r="M583">
            <v>0</v>
          </cell>
        </row>
        <row r="584">
          <cell r="D584">
            <v>8930</v>
          </cell>
          <cell r="E584" t="str">
            <v>少数股东权益_其他综合收益</v>
          </cell>
          <cell r="F584">
            <v>0</v>
          </cell>
          <cell r="G584">
            <v>0</v>
          </cell>
          <cell r="H584">
            <v>0</v>
          </cell>
          <cell r="I584">
            <v>0</v>
          </cell>
          <cell r="J584">
            <v>0</v>
          </cell>
          <cell r="K584">
            <v>0</v>
          </cell>
          <cell r="L584">
            <v>0</v>
          </cell>
          <cell r="M584">
            <v>0</v>
          </cell>
        </row>
        <row r="585">
          <cell r="D585">
            <v>8940</v>
          </cell>
          <cell r="E585" t="str">
            <v>少数股东权益_综合收益总额增加权益</v>
          </cell>
          <cell r="F585">
            <v>0</v>
          </cell>
          <cell r="G585">
            <v>0</v>
          </cell>
          <cell r="H585">
            <v>0</v>
          </cell>
          <cell r="I585">
            <v>0</v>
          </cell>
          <cell r="J585">
            <v>0</v>
          </cell>
          <cell r="K585">
            <v>0</v>
          </cell>
          <cell r="L585">
            <v>0</v>
          </cell>
          <cell r="M585">
            <v>0</v>
          </cell>
        </row>
        <row r="586">
          <cell r="D586">
            <v>8950</v>
          </cell>
          <cell r="E586" t="str">
            <v>少数股东权益_所有者投入和减少资本影响权益</v>
          </cell>
          <cell r="F586">
            <v>0</v>
          </cell>
          <cell r="G586">
            <v>0</v>
          </cell>
          <cell r="H586">
            <v>0</v>
          </cell>
          <cell r="I586">
            <v>0</v>
          </cell>
          <cell r="J586">
            <v>0</v>
          </cell>
          <cell r="K586">
            <v>0</v>
          </cell>
          <cell r="L586">
            <v>0</v>
          </cell>
          <cell r="M586">
            <v>0</v>
          </cell>
        </row>
        <row r="587">
          <cell r="D587">
            <v>8951</v>
          </cell>
          <cell r="E587" t="str">
            <v>少数股东权益_所有者投入资本</v>
          </cell>
          <cell r="F587">
            <v>0</v>
          </cell>
          <cell r="G587">
            <v>0</v>
          </cell>
          <cell r="H587">
            <v>0</v>
          </cell>
          <cell r="I587">
            <v>0</v>
          </cell>
          <cell r="J587">
            <v>0</v>
          </cell>
          <cell r="K587">
            <v>0</v>
          </cell>
          <cell r="L587">
            <v>0</v>
          </cell>
          <cell r="M587">
            <v>0</v>
          </cell>
        </row>
        <row r="588">
          <cell r="D588">
            <v>8953</v>
          </cell>
          <cell r="E588" t="str">
            <v>少数股东权益_其他权益工具持有者投入资本</v>
          </cell>
          <cell r="F588">
            <v>0</v>
          </cell>
          <cell r="G588">
            <v>0</v>
          </cell>
          <cell r="H588">
            <v>0</v>
          </cell>
          <cell r="I588">
            <v>0</v>
          </cell>
          <cell r="J588">
            <v>0</v>
          </cell>
          <cell r="K588">
            <v>0</v>
          </cell>
          <cell r="L588">
            <v>0</v>
          </cell>
          <cell r="M588">
            <v>0</v>
          </cell>
        </row>
        <row r="589">
          <cell r="D589">
            <v>8952</v>
          </cell>
          <cell r="E589" t="str">
            <v>少数股东权益_股份支付</v>
          </cell>
          <cell r="F589">
            <v>0</v>
          </cell>
          <cell r="G589">
            <v>0</v>
          </cell>
          <cell r="H589">
            <v>0</v>
          </cell>
          <cell r="I589">
            <v>0</v>
          </cell>
          <cell r="J589">
            <v>0</v>
          </cell>
          <cell r="K589">
            <v>0</v>
          </cell>
          <cell r="L589">
            <v>0</v>
          </cell>
          <cell r="M589">
            <v>0</v>
          </cell>
        </row>
        <row r="590">
          <cell r="D590">
            <v>8956</v>
          </cell>
          <cell r="E590" t="str">
            <v>少数股东权益_所有者其他投入和减少资本</v>
          </cell>
          <cell r="F590">
            <v>0</v>
          </cell>
          <cell r="G590">
            <v>0</v>
          </cell>
          <cell r="H590">
            <v>0</v>
          </cell>
          <cell r="I590">
            <v>0</v>
          </cell>
          <cell r="J590">
            <v>0</v>
          </cell>
          <cell r="K590">
            <v>0</v>
          </cell>
          <cell r="L590">
            <v>0</v>
          </cell>
          <cell r="M590">
            <v>0</v>
          </cell>
        </row>
        <row r="591">
          <cell r="D591">
            <v>8960</v>
          </cell>
          <cell r="E591" t="str">
            <v>少数股东权益_利润分配影响权益</v>
          </cell>
          <cell r="F591">
            <v>0</v>
          </cell>
          <cell r="G591">
            <v>0</v>
          </cell>
          <cell r="H591">
            <v>0</v>
          </cell>
          <cell r="I591">
            <v>0</v>
          </cell>
          <cell r="J591">
            <v>0</v>
          </cell>
          <cell r="K591">
            <v>0</v>
          </cell>
          <cell r="L591">
            <v>0</v>
          </cell>
          <cell r="M591">
            <v>0</v>
          </cell>
        </row>
        <row r="592">
          <cell r="D592">
            <v>8961</v>
          </cell>
          <cell r="E592" t="str">
            <v>少数股东权益_提取盈余公积影响权益</v>
          </cell>
          <cell r="F592">
            <v>0</v>
          </cell>
          <cell r="G592">
            <v>0</v>
          </cell>
          <cell r="H592">
            <v>0</v>
          </cell>
          <cell r="I592">
            <v>0</v>
          </cell>
          <cell r="J592">
            <v>0</v>
          </cell>
          <cell r="K592">
            <v>0</v>
          </cell>
          <cell r="L592">
            <v>0</v>
          </cell>
          <cell r="M592">
            <v>0</v>
          </cell>
        </row>
        <row r="593">
          <cell r="D593">
            <v>8962</v>
          </cell>
          <cell r="E593" t="str">
            <v>少数股东权益_提取一般风险准备影响权益</v>
          </cell>
          <cell r="F593">
            <v>0</v>
          </cell>
          <cell r="G593">
            <v>0</v>
          </cell>
          <cell r="H593">
            <v>0</v>
          </cell>
          <cell r="I593">
            <v>0</v>
          </cell>
          <cell r="J593">
            <v>0</v>
          </cell>
          <cell r="K593">
            <v>0</v>
          </cell>
          <cell r="L593">
            <v>0</v>
          </cell>
          <cell r="M593">
            <v>0</v>
          </cell>
        </row>
        <row r="594">
          <cell r="D594">
            <v>8963</v>
          </cell>
          <cell r="E594" t="str">
            <v>少数股东权益_对所有者的分配</v>
          </cell>
          <cell r="F594">
            <v>0</v>
          </cell>
          <cell r="G594">
            <v>0</v>
          </cell>
          <cell r="H594">
            <v>0</v>
          </cell>
          <cell r="I594">
            <v>0</v>
          </cell>
          <cell r="J594">
            <v>0</v>
          </cell>
          <cell r="K594">
            <v>0</v>
          </cell>
          <cell r="L594">
            <v>0</v>
          </cell>
          <cell r="M594">
            <v>0</v>
          </cell>
        </row>
        <row r="595">
          <cell r="D595">
            <v>8966</v>
          </cell>
          <cell r="E595" t="str">
            <v>少数股东权益_其他利润分配</v>
          </cell>
          <cell r="F595">
            <v>0</v>
          </cell>
          <cell r="G595">
            <v>0</v>
          </cell>
          <cell r="H595">
            <v>0</v>
          </cell>
          <cell r="I595">
            <v>0</v>
          </cell>
          <cell r="J595">
            <v>0</v>
          </cell>
          <cell r="K595">
            <v>0</v>
          </cell>
          <cell r="L595">
            <v>0</v>
          </cell>
          <cell r="M595">
            <v>0</v>
          </cell>
        </row>
        <row r="596">
          <cell r="D596">
            <v>8970</v>
          </cell>
          <cell r="E596" t="str">
            <v>少数股东权益_所有者权益内部结转</v>
          </cell>
          <cell r="F596">
            <v>0</v>
          </cell>
          <cell r="G596">
            <v>0</v>
          </cell>
          <cell r="H596">
            <v>0</v>
          </cell>
          <cell r="I596">
            <v>0</v>
          </cell>
          <cell r="J596">
            <v>0</v>
          </cell>
          <cell r="K596">
            <v>0</v>
          </cell>
          <cell r="L596">
            <v>0</v>
          </cell>
          <cell r="M596">
            <v>0</v>
          </cell>
        </row>
        <row r="597">
          <cell r="D597">
            <v>8971</v>
          </cell>
          <cell r="E597" t="str">
            <v>少数股东权益_资本公积转增资本影响权益</v>
          </cell>
          <cell r="F597">
            <v>0</v>
          </cell>
          <cell r="G597">
            <v>0</v>
          </cell>
          <cell r="H597">
            <v>0</v>
          </cell>
          <cell r="I597">
            <v>0</v>
          </cell>
          <cell r="J597">
            <v>0</v>
          </cell>
          <cell r="K597">
            <v>0</v>
          </cell>
          <cell r="L597">
            <v>0</v>
          </cell>
          <cell r="M597">
            <v>0</v>
          </cell>
        </row>
        <row r="598">
          <cell r="D598">
            <v>8972</v>
          </cell>
          <cell r="E598" t="str">
            <v>少数股东权益_盈余公积转增资本影响权益</v>
          </cell>
          <cell r="F598">
            <v>0</v>
          </cell>
          <cell r="G598">
            <v>0</v>
          </cell>
          <cell r="H598">
            <v>0</v>
          </cell>
          <cell r="I598">
            <v>0</v>
          </cell>
          <cell r="J598">
            <v>0</v>
          </cell>
          <cell r="K598">
            <v>0</v>
          </cell>
          <cell r="L598">
            <v>0</v>
          </cell>
          <cell r="M598">
            <v>0</v>
          </cell>
        </row>
        <row r="599">
          <cell r="D599">
            <v>8973</v>
          </cell>
          <cell r="E599" t="str">
            <v>少数股东权益_盈余公积弥补亏损影响权益</v>
          </cell>
          <cell r="F599">
            <v>0</v>
          </cell>
          <cell r="G599">
            <v>0</v>
          </cell>
          <cell r="H599">
            <v>0</v>
          </cell>
          <cell r="I599">
            <v>0</v>
          </cell>
          <cell r="J599">
            <v>0</v>
          </cell>
          <cell r="K599">
            <v>0</v>
          </cell>
          <cell r="L599">
            <v>0</v>
          </cell>
          <cell r="M599">
            <v>0</v>
          </cell>
        </row>
        <row r="600">
          <cell r="D600">
            <v>8975</v>
          </cell>
          <cell r="E600" t="str">
            <v>少数股东权益_结转重新计量设定受益计划净负债或净资产所产生的变动</v>
          </cell>
          <cell r="F600">
            <v>0</v>
          </cell>
          <cell r="G600">
            <v>0</v>
          </cell>
          <cell r="H600">
            <v>0</v>
          </cell>
          <cell r="I600">
            <v>0</v>
          </cell>
          <cell r="J600">
            <v>0</v>
          </cell>
          <cell r="K600">
            <v>0</v>
          </cell>
          <cell r="L600">
            <v>0</v>
          </cell>
          <cell r="M600">
            <v>0</v>
          </cell>
        </row>
        <row r="601">
          <cell r="D601">
            <v>8976</v>
          </cell>
          <cell r="E601" t="str">
            <v>少数股东权益_所有者权益其他内部结转</v>
          </cell>
          <cell r="F601">
            <v>0</v>
          </cell>
          <cell r="G601">
            <v>0</v>
          </cell>
          <cell r="H601">
            <v>0</v>
          </cell>
          <cell r="I601">
            <v>0</v>
          </cell>
          <cell r="J601">
            <v>0</v>
          </cell>
          <cell r="K601">
            <v>0</v>
          </cell>
          <cell r="L601">
            <v>0</v>
          </cell>
          <cell r="M601">
            <v>0</v>
          </cell>
        </row>
        <row r="602">
          <cell r="D602">
            <v>8980</v>
          </cell>
          <cell r="E602" t="str">
            <v>少数股东权益_专项储备影响权益</v>
          </cell>
          <cell r="F602">
            <v>0</v>
          </cell>
          <cell r="G602">
            <v>0</v>
          </cell>
          <cell r="H602">
            <v>0</v>
          </cell>
          <cell r="I602">
            <v>0</v>
          </cell>
          <cell r="J602">
            <v>0</v>
          </cell>
          <cell r="K602">
            <v>0</v>
          </cell>
          <cell r="L602">
            <v>0</v>
          </cell>
          <cell r="M602">
            <v>0</v>
          </cell>
        </row>
        <row r="603">
          <cell r="D603">
            <v>8981</v>
          </cell>
          <cell r="E603" t="str">
            <v>少数股东权益_专项储备本期提取</v>
          </cell>
          <cell r="F603">
            <v>0</v>
          </cell>
          <cell r="G603">
            <v>0</v>
          </cell>
          <cell r="H603">
            <v>0</v>
          </cell>
          <cell r="I603">
            <v>0</v>
          </cell>
          <cell r="J603">
            <v>0</v>
          </cell>
          <cell r="K603">
            <v>0</v>
          </cell>
          <cell r="L603">
            <v>0</v>
          </cell>
          <cell r="M603">
            <v>0</v>
          </cell>
        </row>
        <row r="604">
          <cell r="D604">
            <v>8982</v>
          </cell>
          <cell r="E604" t="str">
            <v>少数股东权益_专项储备本期使用</v>
          </cell>
          <cell r="F604">
            <v>0</v>
          </cell>
          <cell r="G604">
            <v>0</v>
          </cell>
          <cell r="H604">
            <v>0</v>
          </cell>
          <cell r="I604">
            <v>0</v>
          </cell>
          <cell r="J604">
            <v>0</v>
          </cell>
          <cell r="K604">
            <v>0</v>
          </cell>
          <cell r="L604">
            <v>0</v>
          </cell>
          <cell r="M604">
            <v>0</v>
          </cell>
        </row>
        <row r="605">
          <cell r="D605">
            <v>8996</v>
          </cell>
          <cell r="E605" t="str">
            <v>少数股东权益_本期其他增减变动</v>
          </cell>
          <cell r="F605">
            <v>0</v>
          </cell>
          <cell r="G605">
            <v>0</v>
          </cell>
          <cell r="H605">
            <v>0</v>
          </cell>
          <cell r="I605">
            <v>0</v>
          </cell>
          <cell r="J605">
            <v>0</v>
          </cell>
          <cell r="K605">
            <v>0</v>
          </cell>
          <cell r="L605">
            <v>0</v>
          </cell>
          <cell r="M605">
            <v>0</v>
          </cell>
        </row>
        <row r="606">
          <cell r="D606">
            <v>8999</v>
          </cell>
          <cell r="E606" t="str">
            <v>少数股东权益_本期期末余额</v>
          </cell>
          <cell r="F606">
            <v>0</v>
          </cell>
          <cell r="G606">
            <v>0</v>
          </cell>
          <cell r="H606">
            <v>0</v>
          </cell>
          <cell r="I606">
            <v>0</v>
          </cell>
          <cell r="J606">
            <v>0</v>
          </cell>
          <cell r="K606">
            <v>0</v>
          </cell>
          <cell r="L606">
            <v>0</v>
          </cell>
          <cell r="M606">
            <v>0</v>
          </cell>
        </row>
        <row r="607">
          <cell r="D607">
            <v>7</v>
          </cell>
          <cell r="E607" t="str">
            <v>现金流量表</v>
          </cell>
        </row>
        <row r="608">
          <cell r="D608">
            <v>7000</v>
          </cell>
          <cell r="E608" t="str">
            <v>经营活动现金流量项目</v>
          </cell>
        </row>
        <row r="609">
          <cell r="D609">
            <v>7001</v>
          </cell>
          <cell r="E609" t="str">
            <v>销售商品提供劳务收到的现金</v>
          </cell>
          <cell r="F609">
            <v>46033914.159999996</v>
          </cell>
          <cell r="G609">
            <v>0</v>
          </cell>
          <cell r="H609">
            <v>0</v>
          </cell>
          <cell r="I609">
            <v>46033914.159999996</v>
          </cell>
          <cell r="J609">
            <v>0</v>
          </cell>
          <cell r="M609">
            <v>0</v>
          </cell>
        </row>
        <row r="610">
          <cell r="D610">
            <v>7011</v>
          </cell>
          <cell r="E610" t="str">
            <v>客户存款和同业存放款项净增加额</v>
          </cell>
          <cell r="F610">
            <v>0</v>
          </cell>
          <cell r="G610">
            <v>0</v>
          </cell>
          <cell r="H610">
            <v>0</v>
          </cell>
          <cell r="I610">
            <v>0</v>
          </cell>
          <cell r="J610">
            <v>0</v>
          </cell>
          <cell r="M610">
            <v>0</v>
          </cell>
        </row>
        <row r="611">
          <cell r="D611">
            <v>7012</v>
          </cell>
          <cell r="E611" t="str">
            <v>向中央银行借款净增加额</v>
          </cell>
          <cell r="F611">
            <v>0</v>
          </cell>
          <cell r="G611">
            <v>0</v>
          </cell>
          <cell r="H611">
            <v>0</v>
          </cell>
          <cell r="I611">
            <v>0</v>
          </cell>
          <cell r="J611">
            <v>0</v>
          </cell>
          <cell r="M611">
            <v>0</v>
          </cell>
        </row>
        <row r="612">
          <cell r="D612">
            <v>7013</v>
          </cell>
          <cell r="E612" t="str">
            <v>向其他金融机构拆入资金净增加额</v>
          </cell>
          <cell r="F612">
            <v>0</v>
          </cell>
          <cell r="G612">
            <v>0</v>
          </cell>
          <cell r="H612">
            <v>0</v>
          </cell>
          <cell r="I612">
            <v>0</v>
          </cell>
          <cell r="J612">
            <v>0</v>
          </cell>
          <cell r="M612">
            <v>0</v>
          </cell>
        </row>
        <row r="613">
          <cell r="D613">
            <v>7014</v>
          </cell>
          <cell r="E613" t="str">
            <v>收到原保险合同保费取得的现金</v>
          </cell>
          <cell r="F613">
            <v>0</v>
          </cell>
          <cell r="G613">
            <v>0</v>
          </cell>
          <cell r="H613">
            <v>0</v>
          </cell>
          <cell r="I613">
            <v>0</v>
          </cell>
          <cell r="J613">
            <v>0</v>
          </cell>
          <cell r="M613">
            <v>0</v>
          </cell>
        </row>
        <row r="614">
          <cell r="D614">
            <v>7015</v>
          </cell>
          <cell r="E614" t="str">
            <v>收到再保险业务现金净额</v>
          </cell>
          <cell r="F614">
            <v>0</v>
          </cell>
          <cell r="G614">
            <v>0</v>
          </cell>
          <cell r="H614">
            <v>0</v>
          </cell>
          <cell r="I614">
            <v>0</v>
          </cell>
          <cell r="J614">
            <v>0</v>
          </cell>
          <cell r="M614">
            <v>0</v>
          </cell>
        </row>
        <row r="615">
          <cell r="D615">
            <v>7016</v>
          </cell>
          <cell r="E615" t="str">
            <v>保户储金及投资款净增加额</v>
          </cell>
          <cell r="F615">
            <v>0</v>
          </cell>
          <cell r="G615">
            <v>0</v>
          </cell>
          <cell r="H615">
            <v>0</v>
          </cell>
          <cell r="I615">
            <v>0</v>
          </cell>
          <cell r="J615">
            <v>0</v>
          </cell>
          <cell r="M615">
            <v>0</v>
          </cell>
        </row>
        <row r="616">
          <cell r="D616">
            <v>7021</v>
          </cell>
          <cell r="E616" t="str">
            <v>处置交易性金融资产净增加额</v>
          </cell>
          <cell r="F616">
            <v>0</v>
          </cell>
          <cell r="G616">
            <v>0</v>
          </cell>
          <cell r="H616">
            <v>0</v>
          </cell>
          <cell r="I616">
            <v>0</v>
          </cell>
          <cell r="J616">
            <v>0</v>
          </cell>
          <cell r="M616">
            <v>0</v>
          </cell>
        </row>
        <row r="617">
          <cell r="D617">
            <v>7023</v>
          </cell>
          <cell r="E617" t="str">
            <v>收取利息手续费及佣金的现金</v>
          </cell>
          <cell r="F617">
            <v>0</v>
          </cell>
          <cell r="G617">
            <v>0</v>
          </cell>
          <cell r="H617">
            <v>0</v>
          </cell>
          <cell r="I617">
            <v>0</v>
          </cell>
          <cell r="J617">
            <v>0</v>
          </cell>
          <cell r="M617">
            <v>0</v>
          </cell>
        </row>
        <row r="618">
          <cell r="D618">
            <v>7025</v>
          </cell>
          <cell r="E618" t="str">
            <v>拆入资金净增加额</v>
          </cell>
          <cell r="F618">
            <v>0</v>
          </cell>
          <cell r="G618">
            <v>0</v>
          </cell>
          <cell r="H618">
            <v>0</v>
          </cell>
          <cell r="I618">
            <v>0</v>
          </cell>
          <cell r="J618">
            <v>0</v>
          </cell>
          <cell r="M618">
            <v>0</v>
          </cell>
        </row>
        <row r="619">
          <cell r="D619">
            <v>7026</v>
          </cell>
          <cell r="E619" t="str">
            <v>回购业务资金净增加额</v>
          </cell>
          <cell r="F619">
            <v>0</v>
          </cell>
          <cell r="G619">
            <v>0</v>
          </cell>
          <cell r="H619">
            <v>0</v>
          </cell>
          <cell r="I619">
            <v>0</v>
          </cell>
          <cell r="J619">
            <v>0</v>
          </cell>
          <cell r="M619">
            <v>0</v>
          </cell>
        </row>
        <row r="620">
          <cell r="D620">
            <v>7031</v>
          </cell>
          <cell r="E620" t="str">
            <v>收到的税费返还</v>
          </cell>
          <cell r="F620">
            <v>0</v>
          </cell>
          <cell r="G620">
            <v>0</v>
          </cell>
          <cell r="H620">
            <v>0</v>
          </cell>
          <cell r="I620">
            <v>0</v>
          </cell>
          <cell r="J620">
            <v>0</v>
          </cell>
          <cell r="M620">
            <v>0</v>
          </cell>
        </row>
        <row r="621">
          <cell r="D621">
            <v>7046</v>
          </cell>
          <cell r="E621" t="str">
            <v>收到其他与经营活动有关的现金</v>
          </cell>
          <cell r="F621">
            <v>3522.22</v>
          </cell>
          <cell r="G621">
            <v>0</v>
          </cell>
          <cell r="H621">
            <v>0</v>
          </cell>
          <cell r="I621">
            <v>3522.22</v>
          </cell>
          <cell r="J621">
            <v>0</v>
          </cell>
          <cell r="M621">
            <v>0</v>
          </cell>
        </row>
        <row r="622">
          <cell r="D622">
            <v>7048</v>
          </cell>
          <cell r="E622" t="str">
            <v>经营活动现金流入</v>
          </cell>
          <cell r="F622">
            <v>46037436.380000003</v>
          </cell>
          <cell r="G622">
            <v>0</v>
          </cell>
          <cell r="H622">
            <v>0</v>
          </cell>
          <cell r="I622">
            <v>46037436.380000003</v>
          </cell>
          <cell r="J622">
            <v>0</v>
          </cell>
          <cell r="K622">
            <v>0</v>
          </cell>
          <cell r="L622">
            <v>0</v>
          </cell>
          <cell r="M622">
            <v>0</v>
          </cell>
        </row>
        <row r="623">
          <cell r="D623">
            <v>7051</v>
          </cell>
          <cell r="E623" t="str">
            <v>购买商品接受劳务支付的现金</v>
          </cell>
          <cell r="F623">
            <v>45538783.979999997</v>
          </cell>
          <cell r="G623">
            <v>0</v>
          </cell>
          <cell r="H623">
            <v>0</v>
          </cell>
          <cell r="I623">
            <v>45538783.979999997</v>
          </cell>
          <cell r="J623">
            <v>0</v>
          </cell>
          <cell r="M623">
            <v>0</v>
          </cell>
        </row>
        <row r="624">
          <cell r="D624">
            <v>7053</v>
          </cell>
          <cell r="E624" t="str">
            <v>客户贷款及垫款净增加额</v>
          </cell>
          <cell r="F624">
            <v>0</v>
          </cell>
          <cell r="G624">
            <v>0</v>
          </cell>
          <cell r="H624">
            <v>0</v>
          </cell>
          <cell r="I624">
            <v>0</v>
          </cell>
          <cell r="J624">
            <v>0</v>
          </cell>
          <cell r="M624">
            <v>0</v>
          </cell>
        </row>
        <row r="625">
          <cell r="D625">
            <v>7054</v>
          </cell>
          <cell r="E625" t="str">
            <v>存放中央银行和同业款项净增加额</v>
          </cell>
          <cell r="F625">
            <v>0</v>
          </cell>
          <cell r="G625">
            <v>0</v>
          </cell>
          <cell r="H625">
            <v>0</v>
          </cell>
          <cell r="I625">
            <v>0</v>
          </cell>
          <cell r="J625">
            <v>0</v>
          </cell>
          <cell r="M625">
            <v>0</v>
          </cell>
        </row>
        <row r="626">
          <cell r="D626">
            <v>7055</v>
          </cell>
          <cell r="E626" t="str">
            <v>支付原保险合同赔付款项的现金</v>
          </cell>
          <cell r="F626">
            <v>0</v>
          </cell>
          <cell r="G626">
            <v>0</v>
          </cell>
          <cell r="H626">
            <v>0</v>
          </cell>
          <cell r="I626">
            <v>0</v>
          </cell>
          <cell r="J626">
            <v>0</v>
          </cell>
          <cell r="M626">
            <v>0</v>
          </cell>
        </row>
        <row r="627">
          <cell r="D627">
            <v>7056</v>
          </cell>
          <cell r="E627" t="str">
            <v>支付利息手续费及佣金的现金</v>
          </cell>
          <cell r="F627">
            <v>0</v>
          </cell>
          <cell r="G627">
            <v>0</v>
          </cell>
          <cell r="H627">
            <v>0</v>
          </cell>
          <cell r="I627">
            <v>0</v>
          </cell>
          <cell r="J627">
            <v>0</v>
          </cell>
          <cell r="M627">
            <v>0</v>
          </cell>
        </row>
        <row r="628">
          <cell r="D628">
            <v>7057</v>
          </cell>
          <cell r="E628" t="str">
            <v>支付保单红利的现金</v>
          </cell>
          <cell r="F628">
            <v>0</v>
          </cell>
          <cell r="G628">
            <v>0</v>
          </cell>
          <cell r="H628">
            <v>0</v>
          </cell>
          <cell r="I628">
            <v>0</v>
          </cell>
          <cell r="J628">
            <v>0</v>
          </cell>
          <cell r="M628">
            <v>0</v>
          </cell>
        </row>
        <row r="629">
          <cell r="D629">
            <v>7061</v>
          </cell>
          <cell r="E629" t="str">
            <v>支付给职工以及为职工支付的现金</v>
          </cell>
          <cell r="F629">
            <v>0</v>
          </cell>
          <cell r="G629">
            <v>0</v>
          </cell>
          <cell r="H629">
            <v>0</v>
          </cell>
          <cell r="I629">
            <v>0</v>
          </cell>
          <cell r="J629">
            <v>0</v>
          </cell>
          <cell r="M629">
            <v>0</v>
          </cell>
        </row>
        <row r="630">
          <cell r="D630">
            <v>7071</v>
          </cell>
          <cell r="E630" t="str">
            <v>支付的各项税费</v>
          </cell>
          <cell r="F630">
            <v>161248.44</v>
          </cell>
          <cell r="G630">
            <v>0</v>
          </cell>
          <cell r="H630">
            <v>0</v>
          </cell>
          <cell r="I630">
            <v>161248.44</v>
          </cell>
          <cell r="J630">
            <v>0</v>
          </cell>
          <cell r="M630">
            <v>0</v>
          </cell>
        </row>
        <row r="631">
          <cell r="D631">
            <v>7096</v>
          </cell>
          <cell r="E631" t="str">
            <v>支付其他与经营活动有关的现金</v>
          </cell>
          <cell r="F631">
            <v>196708317.97999999</v>
          </cell>
          <cell r="G631">
            <v>0</v>
          </cell>
          <cell r="H631">
            <v>0</v>
          </cell>
          <cell r="I631">
            <v>196708317.97999999</v>
          </cell>
          <cell r="J631">
            <v>0</v>
          </cell>
          <cell r="M631">
            <v>0</v>
          </cell>
        </row>
        <row r="632">
          <cell r="D632">
            <v>7098</v>
          </cell>
          <cell r="E632" t="str">
            <v>经营活动现金流出</v>
          </cell>
          <cell r="F632">
            <v>242408350.40000001</v>
          </cell>
          <cell r="G632">
            <v>0</v>
          </cell>
          <cell r="H632">
            <v>0</v>
          </cell>
          <cell r="I632">
            <v>242408350.40000001</v>
          </cell>
          <cell r="J632">
            <v>0</v>
          </cell>
          <cell r="K632">
            <v>0</v>
          </cell>
          <cell r="L632">
            <v>0</v>
          </cell>
          <cell r="M632">
            <v>0</v>
          </cell>
        </row>
        <row r="633">
          <cell r="D633">
            <v>7099</v>
          </cell>
          <cell r="E633" t="str">
            <v>经营活动产生的现金流量净额</v>
          </cell>
          <cell r="F633">
            <v>-196370914.02000001</v>
          </cell>
          <cell r="G633">
            <v>0</v>
          </cell>
          <cell r="H633">
            <v>0</v>
          </cell>
          <cell r="I633">
            <v>-196370914.02000001</v>
          </cell>
          <cell r="J633">
            <v>0</v>
          </cell>
          <cell r="K633">
            <v>0</v>
          </cell>
          <cell r="L633">
            <v>0</v>
          </cell>
          <cell r="M633">
            <v>0</v>
          </cell>
        </row>
        <row r="634">
          <cell r="D634">
            <v>7100</v>
          </cell>
          <cell r="E634" t="str">
            <v>投资活动现金流量项目</v>
          </cell>
          <cell r="F634">
            <v>0</v>
          </cell>
          <cell r="G634">
            <v>0</v>
          </cell>
          <cell r="H634">
            <v>0</v>
          </cell>
          <cell r="I634">
            <v>0</v>
          </cell>
          <cell r="J634">
            <v>0</v>
          </cell>
          <cell r="M634">
            <v>0</v>
          </cell>
        </row>
        <row r="635">
          <cell r="D635">
            <v>7101</v>
          </cell>
          <cell r="E635" t="str">
            <v>收回投资收到的现金</v>
          </cell>
          <cell r="F635">
            <v>0</v>
          </cell>
          <cell r="G635">
            <v>0</v>
          </cell>
          <cell r="H635">
            <v>0</v>
          </cell>
          <cell r="I635">
            <v>0</v>
          </cell>
          <cell r="J635">
            <v>0</v>
          </cell>
          <cell r="M635">
            <v>0</v>
          </cell>
        </row>
        <row r="636">
          <cell r="D636">
            <v>7105</v>
          </cell>
          <cell r="E636" t="str">
            <v>取得投资收益收到的现金</v>
          </cell>
          <cell r="F636">
            <v>0</v>
          </cell>
          <cell r="G636">
            <v>0</v>
          </cell>
          <cell r="H636">
            <v>0</v>
          </cell>
          <cell r="I636">
            <v>0</v>
          </cell>
          <cell r="J636">
            <v>0</v>
          </cell>
          <cell r="M636">
            <v>0</v>
          </cell>
        </row>
        <row r="637">
          <cell r="D637">
            <v>7111</v>
          </cell>
          <cell r="E637" t="str">
            <v>处置固定资产无形资产长期资产收回的现金</v>
          </cell>
          <cell r="F637">
            <v>0</v>
          </cell>
          <cell r="G637">
            <v>0</v>
          </cell>
          <cell r="H637">
            <v>0</v>
          </cell>
          <cell r="I637">
            <v>0</v>
          </cell>
          <cell r="J637">
            <v>0</v>
          </cell>
          <cell r="M637">
            <v>0</v>
          </cell>
        </row>
        <row r="638">
          <cell r="D638">
            <v>7121</v>
          </cell>
          <cell r="E638" t="str">
            <v>处置子公司及其他营业单位收到的现金净额</v>
          </cell>
          <cell r="F638">
            <v>0</v>
          </cell>
          <cell r="G638">
            <v>0</v>
          </cell>
          <cell r="H638">
            <v>0</v>
          </cell>
          <cell r="I638">
            <v>0</v>
          </cell>
          <cell r="J638">
            <v>0</v>
          </cell>
          <cell r="M638">
            <v>0</v>
          </cell>
        </row>
        <row r="639">
          <cell r="D639">
            <v>7146</v>
          </cell>
          <cell r="E639" t="str">
            <v>收到其他与投资活动有关的现金</v>
          </cell>
          <cell r="F639">
            <v>0</v>
          </cell>
          <cell r="G639">
            <v>0</v>
          </cell>
          <cell r="H639">
            <v>0</v>
          </cell>
          <cell r="I639">
            <v>0</v>
          </cell>
          <cell r="J639">
            <v>0</v>
          </cell>
          <cell r="M639">
            <v>0</v>
          </cell>
        </row>
        <row r="640">
          <cell r="D640">
            <v>7148</v>
          </cell>
          <cell r="E640" t="str">
            <v>投资活动现金流入</v>
          </cell>
          <cell r="F640">
            <v>0</v>
          </cell>
          <cell r="G640">
            <v>0</v>
          </cell>
          <cell r="H640">
            <v>0</v>
          </cell>
          <cell r="I640">
            <v>0</v>
          </cell>
          <cell r="J640">
            <v>0</v>
          </cell>
          <cell r="K640">
            <v>0</v>
          </cell>
          <cell r="L640">
            <v>0</v>
          </cell>
          <cell r="M640">
            <v>0</v>
          </cell>
        </row>
        <row r="641">
          <cell r="D641">
            <v>7151</v>
          </cell>
          <cell r="E641" t="str">
            <v>购置固定资产无形资产长期资产支付的现金</v>
          </cell>
          <cell r="F641">
            <v>0</v>
          </cell>
          <cell r="G641">
            <v>0</v>
          </cell>
          <cell r="H641">
            <v>0</v>
          </cell>
          <cell r="I641">
            <v>0</v>
          </cell>
          <cell r="J641">
            <v>0</v>
          </cell>
          <cell r="M641">
            <v>0</v>
          </cell>
        </row>
        <row r="642">
          <cell r="D642">
            <v>7161</v>
          </cell>
          <cell r="E642" t="str">
            <v>投资支付的现金</v>
          </cell>
          <cell r="F642">
            <v>0</v>
          </cell>
          <cell r="G642">
            <v>0</v>
          </cell>
          <cell r="H642">
            <v>0</v>
          </cell>
          <cell r="I642">
            <v>0</v>
          </cell>
          <cell r="J642">
            <v>0</v>
          </cell>
          <cell r="M642">
            <v>0</v>
          </cell>
        </row>
        <row r="643">
          <cell r="D643">
            <v>7165</v>
          </cell>
          <cell r="E643" t="str">
            <v>质押贷款净增加额</v>
          </cell>
          <cell r="F643">
            <v>0</v>
          </cell>
          <cell r="G643">
            <v>0</v>
          </cell>
          <cell r="H643">
            <v>0</v>
          </cell>
          <cell r="I643">
            <v>0</v>
          </cell>
          <cell r="J643">
            <v>0</v>
          </cell>
          <cell r="M643">
            <v>0</v>
          </cell>
        </row>
        <row r="644">
          <cell r="D644">
            <v>7171</v>
          </cell>
          <cell r="E644" t="str">
            <v>取得子公司及其他营业单位支付的现金净额</v>
          </cell>
          <cell r="F644">
            <v>120.2</v>
          </cell>
          <cell r="G644">
            <v>0</v>
          </cell>
          <cell r="H644">
            <v>0</v>
          </cell>
          <cell r="I644">
            <v>120.2</v>
          </cell>
          <cell r="J644">
            <v>0</v>
          </cell>
          <cell r="M644">
            <v>0</v>
          </cell>
        </row>
        <row r="645">
          <cell r="D645">
            <v>7196</v>
          </cell>
          <cell r="E645" t="str">
            <v>支付其他与投资活动有关的现金</v>
          </cell>
          <cell r="F645">
            <v>0</v>
          </cell>
          <cell r="G645">
            <v>0</v>
          </cell>
          <cell r="H645">
            <v>0</v>
          </cell>
          <cell r="I645">
            <v>0</v>
          </cell>
          <cell r="J645">
            <v>0</v>
          </cell>
          <cell r="M645">
            <v>0</v>
          </cell>
        </row>
        <row r="646">
          <cell r="D646">
            <v>7198</v>
          </cell>
          <cell r="E646" t="str">
            <v>投资活动现金流出</v>
          </cell>
          <cell r="F646">
            <v>120.2</v>
          </cell>
          <cell r="G646">
            <v>0</v>
          </cell>
          <cell r="H646">
            <v>0</v>
          </cell>
          <cell r="I646">
            <v>120.2</v>
          </cell>
          <cell r="J646">
            <v>0</v>
          </cell>
          <cell r="K646">
            <v>0</v>
          </cell>
          <cell r="L646">
            <v>0</v>
          </cell>
          <cell r="M646">
            <v>0</v>
          </cell>
        </row>
        <row r="647">
          <cell r="D647">
            <v>7199</v>
          </cell>
          <cell r="E647" t="str">
            <v>投资活动产生的现金流量净额</v>
          </cell>
          <cell r="F647">
            <v>-120.2</v>
          </cell>
          <cell r="G647">
            <v>0</v>
          </cell>
          <cell r="H647">
            <v>0</v>
          </cell>
          <cell r="I647">
            <v>-120.2</v>
          </cell>
          <cell r="J647">
            <v>0</v>
          </cell>
          <cell r="K647">
            <v>0</v>
          </cell>
          <cell r="L647">
            <v>0</v>
          </cell>
          <cell r="M647">
            <v>0</v>
          </cell>
        </row>
        <row r="648">
          <cell r="D648">
            <v>7200</v>
          </cell>
          <cell r="E648" t="str">
            <v>筹资活动现金流量项目</v>
          </cell>
          <cell r="F648">
            <v>0</v>
          </cell>
          <cell r="G648">
            <v>0</v>
          </cell>
          <cell r="H648">
            <v>0</v>
          </cell>
          <cell r="I648">
            <v>0</v>
          </cell>
          <cell r="J648">
            <v>0</v>
          </cell>
          <cell r="M648">
            <v>0</v>
          </cell>
        </row>
        <row r="649">
          <cell r="D649">
            <v>7201</v>
          </cell>
          <cell r="E649" t="str">
            <v>吸收投资收到的现金</v>
          </cell>
          <cell r="F649">
            <v>197917500</v>
          </cell>
          <cell r="G649">
            <v>0</v>
          </cell>
          <cell r="H649">
            <v>0</v>
          </cell>
          <cell r="I649">
            <v>197917500</v>
          </cell>
          <cell r="J649">
            <v>0</v>
          </cell>
          <cell r="M649">
            <v>0</v>
          </cell>
        </row>
        <row r="650">
          <cell r="D650">
            <v>7201.01</v>
          </cell>
          <cell r="E650" t="str">
            <v>子公司吸收少数股东投资收到的现金</v>
          </cell>
          <cell r="F650">
            <v>0</v>
          </cell>
          <cell r="G650">
            <v>0</v>
          </cell>
          <cell r="H650">
            <v>0</v>
          </cell>
          <cell r="I650">
            <v>0</v>
          </cell>
          <cell r="J650">
            <v>0</v>
          </cell>
          <cell r="M650">
            <v>0</v>
          </cell>
        </row>
        <row r="651">
          <cell r="D651">
            <v>7211</v>
          </cell>
          <cell r="E651" t="str">
            <v>取得借款收到的现金</v>
          </cell>
          <cell r="F651">
            <v>0</v>
          </cell>
          <cell r="G651">
            <v>0</v>
          </cell>
          <cell r="H651">
            <v>0</v>
          </cell>
          <cell r="I651">
            <v>0</v>
          </cell>
          <cell r="J651">
            <v>0</v>
          </cell>
          <cell r="M651">
            <v>0</v>
          </cell>
        </row>
        <row r="652">
          <cell r="D652">
            <v>7221</v>
          </cell>
          <cell r="E652" t="str">
            <v>发行债券收到的现金</v>
          </cell>
          <cell r="F652">
            <v>0</v>
          </cell>
          <cell r="G652">
            <v>0</v>
          </cell>
          <cell r="H652">
            <v>0</v>
          </cell>
          <cell r="I652">
            <v>0</v>
          </cell>
          <cell r="J652">
            <v>0</v>
          </cell>
          <cell r="M652">
            <v>0</v>
          </cell>
        </row>
        <row r="653">
          <cell r="D653">
            <v>7246</v>
          </cell>
          <cell r="E653" t="str">
            <v>收到其他与筹资活动有关的现金</v>
          </cell>
          <cell r="F653">
            <v>0</v>
          </cell>
          <cell r="G653">
            <v>0</v>
          </cell>
          <cell r="H653">
            <v>0</v>
          </cell>
          <cell r="I653">
            <v>0</v>
          </cell>
          <cell r="J653">
            <v>0</v>
          </cell>
          <cell r="M653">
            <v>0</v>
          </cell>
        </row>
        <row r="654">
          <cell r="D654">
            <v>7248</v>
          </cell>
          <cell r="E654" t="str">
            <v>筹资活动现金流入</v>
          </cell>
          <cell r="F654">
            <v>197917500</v>
          </cell>
          <cell r="G654">
            <v>0</v>
          </cell>
          <cell r="H654">
            <v>0</v>
          </cell>
          <cell r="I654">
            <v>197917500</v>
          </cell>
          <cell r="J654">
            <v>0</v>
          </cell>
          <cell r="K654">
            <v>0</v>
          </cell>
          <cell r="L654">
            <v>0</v>
          </cell>
          <cell r="M654">
            <v>0</v>
          </cell>
        </row>
        <row r="655">
          <cell r="D655">
            <v>7251</v>
          </cell>
          <cell r="E655" t="str">
            <v>偿还债务支付的现金</v>
          </cell>
          <cell r="F655">
            <v>0</v>
          </cell>
          <cell r="G655">
            <v>0</v>
          </cell>
          <cell r="H655">
            <v>0</v>
          </cell>
          <cell r="I655">
            <v>0</v>
          </cell>
          <cell r="J655">
            <v>0</v>
          </cell>
          <cell r="M655">
            <v>0</v>
          </cell>
        </row>
        <row r="656">
          <cell r="D656">
            <v>7261</v>
          </cell>
          <cell r="E656" t="str">
            <v>分配利润偿付利息支付的现金</v>
          </cell>
          <cell r="F656">
            <v>0</v>
          </cell>
          <cell r="G656">
            <v>0</v>
          </cell>
          <cell r="H656">
            <v>0</v>
          </cell>
          <cell r="I656">
            <v>0</v>
          </cell>
          <cell r="J656">
            <v>0</v>
          </cell>
          <cell r="M656">
            <v>0</v>
          </cell>
        </row>
        <row r="657">
          <cell r="D657">
            <v>7261.01</v>
          </cell>
          <cell r="E657" t="str">
            <v>子公司支付少数股东的现金股利</v>
          </cell>
          <cell r="F657">
            <v>0</v>
          </cell>
          <cell r="G657">
            <v>0</v>
          </cell>
          <cell r="H657">
            <v>0</v>
          </cell>
          <cell r="I657">
            <v>0</v>
          </cell>
          <cell r="J657">
            <v>0</v>
          </cell>
          <cell r="M657">
            <v>0</v>
          </cell>
        </row>
        <row r="658">
          <cell r="D658">
            <v>7296</v>
          </cell>
          <cell r="E658" t="str">
            <v>支付其他与筹资活动有关的现金</v>
          </cell>
          <cell r="F658">
            <v>0</v>
          </cell>
          <cell r="G658">
            <v>0</v>
          </cell>
          <cell r="H658">
            <v>0</v>
          </cell>
          <cell r="I658">
            <v>0</v>
          </cell>
          <cell r="J658">
            <v>0</v>
          </cell>
          <cell r="M658">
            <v>0</v>
          </cell>
        </row>
        <row r="659">
          <cell r="D659">
            <v>7296.11</v>
          </cell>
          <cell r="E659" t="str">
            <v>子公司减资支付给少数股东的现金</v>
          </cell>
          <cell r="F659">
            <v>0</v>
          </cell>
          <cell r="G659">
            <v>0</v>
          </cell>
          <cell r="H659">
            <v>0</v>
          </cell>
          <cell r="I659">
            <v>0</v>
          </cell>
          <cell r="J659">
            <v>0</v>
          </cell>
          <cell r="M659">
            <v>0</v>
          </cell>
        </row>
        <row r="660">
          <cell r="D660">
            <v>7298</v>
          </cell>
          <cell r="E660" t="str">
            <v>筹资活动现金流出</v>
          </cell>
          <cell r="F660">
            <v>0</v>
          </cell>
          <cell r="G660">
            <v>0</v>
          </cell>
          <cell r="H660">
            <v>0</v>
          </cell>
          <cell r="I660">
            <v>0</v>
          </cell>
          <cell r="J660">
            <v>0</v>
          </cell>
          <cell r="K660">
            <v>0</v>
          </cell>
          <cell r="L660">
            <v>0</v>
          </cell>
          <cell r="M660">
            <v>0</v>
          </cell>
        </row>
        <row r="661">
          <cell r="D661">
            <v>7299</v>
          </cell>
          <cell r="E661" t="str">
            <v>筹资活动产生的现金流量净额</v>
          </cell>
          <cell r="F661">
            <v>197917500</v>
          </cell>
          <cell r="G661">
            <v>0</v>
          </cell>
          <cell r="H661">
            <v>0</v>
          </cell>
          <cell r="I661">
            <v>197917500</v>
          </cell>
          <cell r="J661">
            <v>0</v>
          </cell>
          <cell r="K661">
            <v>0</v>
          </cell>
          <cell r="L661">
            <v>0</v>
          </cell>
          <cell r="M661">
            <v>0</v>
          </cell>
        </row>
        <row r="662">
          <cell r="D662">
            <v>7309</v>
          </cell>
          <cell r="E662" t="str">
            <v>汇率变动对现金及现金等价物的影响</v>
          </cell>
          <cell r="F662">
            <v>264997.2</v>
          </cell>
          <cell r="G662">
            <v>0</v>
          </cell>
          <cell r="H662">
            <v>0</v>
          </cell>
          <cell r="I662">
            <v>264997.2</v>
          </cell>
          <cell r="J662">
            <v>0</v>
          </cell>
          <cell r="M662">
            <v>0</v>
          </cell>
        </row>
        <row r="663">
          <cell r="D663">
            <v>7348</v>
          </cell>
          <cell r="E663" t="str">
            <v>现金及现金等价物净增加额</v>
          </cell>
          <cell r="F663">
            <v>1811462.98</v>
          </cell>
          <cell r="G663">
            <v>0</v>
          </cell>
          <cell r="H663">
            <v>0</v>
          </cell>
          <cell r="I663">
            <v>1811462.98</v>
          </cell>
          <cell r="J663">
            <v>0</v>
          </cell>
          <cell r="K663">
            <v>0</v>
          </cell>
          <cell r="L663">
            <v>0</v>
          </cell>
          <cell r="M663">
            <v>0</v>
          </cell>
        </row>
        <row r="664">
          <cell r="D664">
            <v>7349</v>
          </cell>
          <cell r="E664" t="str">
            <v>期初现金及现金等价物余额</v>
          </cell>
          <cell r="F664">
            <v>2858030.04</v>
          </cell>
          <cell r="G664">
            <v>0</v>
          </cell>
          <cell r="H664">
            <v>0</v>
          </cell>
          <cell r="I664">
            <v>2858030.04</v>
          </cell>
          <cell r="J664">
            <v>0</v>
          </cell>
          <cell r="M664">
            <v>0</v>
          </cell>
        </row>
        <row r="665">
          <cell r="D665">
            <v>7399</v>
          </cell>
          <cell r="E665" t="str">
            <v>期末现金及现金等价物余额</v>
          </cell>
          <cell r="F665">
            <v>4669493.0199999996</v>
          </cell>
          <cell r="G665">
            <v>0</v>
          </cell>
          <cell r="H665">
            <v>0</v>
          </cell>
          <cell r="I665">
            <v>4669493.0199999996</v>
          </cell>
          <cell r="J665">
            <v>0</v>
          </cell>
          <cell r="K665">
            <v>0</v>
          </cell>
          <cell r="L665">
            <v>0</v>
          </cell>
          <cell r="M665">
            <v>0</v>
          </cell>
        </row>
        <row r="666">
          <cell r="D666">
            <v>19</v>
          </cell>
          <cell r="E666" t="str">
            <v>资产负债表补充资料：资产减值准备</v>
          </cell>
        </row>
        <row r="667">
          <cell r="D667">
            <v>1122.1231</v>
          </cell>
          <cell r="E667" t="str">
            <v>应收账款坏账准备</v>
          </cell>
          <cell r="F667">
            <v>0</v>
          </cell>
          <cell r="G667">
            <v>0</v>
          </cell>
          <cell r="H667">
            <v>0</v>
          </cell>
          <cell r="I667">
            <v>0</v>
          </cell>
          <cell r="J667">
            <v>0</v>
          </cell>
          <cell r="K667">
            <v>0</v>
          </cell>
          <cell r="L667">
            <v>0</v>
          </cell>
          <cell r="M667">
            <v>0</v>
          </cell>
        </row>
        <row r="668">
          <cell r="D668">
            <v>1125.1231</v>
          </cell>
          <cell r="E668" t="str">
            <v>预付款项坏账准备</v>
          </cell>
          <cell r="F668">
            <v>0</v>
          </cell>
          <cell r="G668">
            <v>0</v>
          </cell>
          <cell r="H668">
            <v>0</v>
          </cell>
          <cell r="I668">
            <v>0</v>
          </cell>
          <cell r="J668">
            <v>0</v>
          </cell>
          <cell r="K668">
            <v>0</v>
          </cell>
          <cell r="L668">
            <v>0</v>
          </cell>
          <cell r="M668">
            <v>0</v>
          </cell>
        </row>
        <row r="669">
          <cell r="D669">
            <v>1221.1231</v>
          </cell>
          <cell r="E669" t="str">
            <v>其他应收款坏账准备</v>
          </cell>
          <cell r="F669">
            <v>0</v>
          </cell>
          <cell r="G669">
            <v>0</v>
          </cell>
          <cell r="H669">
            <v>0</v>
          </cell>
          <cell r="I669">
            <v>0</v>
          </cell>
          <cell r="J669">
            <v>0</v>
          </cell>
          <cell r="K669">
            <v>0</v>
          </cell>
          <cell r="L669">
            <v>0</v>
          </cell>
          <cell r="M669">
            <v>0</v>
          </cell>
        </row>
        <row r="670">
          <cell r="D670">
            <v>1400.1470999999999</v>
          </cell>
          <cell r="E670" t="str">
            <v>存货跌价准备</v>
          </cell>
          <cell r="F670">
            <v>0</v>
          </cell>
          <cell r="G670">
            <v>0</v>
          </cell>
          <cell r="H670">
            <v>0</v>
          </cell>
          <cell r="I670">
            <v>0</v>
          </cell>
          <cell r="J670">
            <v>0</v>
          </cell>
          <cell r="K670">
            <v>0</v>
          </cell>
          <cell r="L670">
            <v>0</v>
          </cell>
          <cell r="M670">
            <v>0</v>
          </cell>
        </row>
        <row r="671">
          <cell r="D671">
            <v>1503.1504</v>
          </cell>
          <cell r="E671" t="str">
            <v>可供出售金融资产减值准备</v>
          </cell>
          <cell r="F671">
            <v>0</v>
          </cell>
          <cell r="G671">
            <v>0</v>
          </cell>
          <cell r="H671">
            <v>0</v>
          </cell>
          <cell r="I671">
            <v>0</v>
          </cell>
          <cell r="J671">
            <v>0</v>
          </cell>
          <cell r="K671">
            <v>0</v>
          </cell>
          <cell r="L671">
            <v>0</v>
          </cell>
          <cell r="M671">
            <v>0</v>
          </cell>
        </row>
        <row r="672">
          <cell r="D672">
            <v>1501.1502</v>
          </cell>
          <cell r="E672" t="str">
            <v>持有至到期投资减值准备</v>
          </cell>
          <cell r="F672">
            <v>0</v>
          </cell>
          <cell r="G672">
            <v>0</v>
          </cell>
          <cell r="H672">
            <v>0</v>
          </cell>
          <cell r="I672">
            <v>0</v>
          </cell>
          <cell r="J672">
            <v>0</v>
          </cell>
          <cell r="K672">
            <v>0</v>
          </cell>
          <cell r="L672">
            <v>0</v>
          </cell>
          <cell r="M672">
            <v>0</v>
          </cell>
        </row>
        <row r="673">
          <cell r="D673">
            <v>1511.1512</v>
          </cell>
          <cell r="E673" t="str">
            <v>长期股权投资减值准备</v>
          </cell>
          <cell r="F673">
            <v>0</v>
          </cell>
          <cell r="G673">
            <v>0</v>
          </cell>
          <cell r="H673">
            <v>0</v>
          </cell>
          <cell r="I673">
            <v>0</v>
          </cell>
          <cell r="J673">
            <v>0</v>
          </cell>
          <cell r="K673">
            <v>0</v>
          </cell>
          <cell r="L673">
            <v>0</v>
          </cell>
          <cell r="M673">
            <v>0</v>
          </cell>
        </row>
        <row r="674">
          <cell r="D674">
            <v>1521.1522</v>
          </cell>
          <cell r="E674" t="str">
            <v>投资性房地产减值准备</v>
          </cell>
          <cell r="F674">
            <v>0</v>
          </cell>
          <cell r="G674">
            <v>0</v>
          </cell>
          <cell r="H674">
            <v>0</v>
          </cell>
          <cell r="I674">
            <v>0</v>
          </cell>
          <cell r="J674">
            <v>0</v>
          </cell>
          <cell r="K674">
            <v>0</v>
          </cell>
          <cell r="L674">
            <v>0</v>
          </cell>
          <cell r="M674">
            <v>0</v>
          </cell>
        </row>
        <row r="675">
          <cell r="D675">
            <v>1601.1603</v>
          </cell>
          <cell r="E675" t="str">
            <v>固定资产减值准备</v>
          </cell>
          <cell r="F675">
            <v>0</v>
          </cell>
          <cell r="G675">
            <v>0</v>
          </cell>
          <cell r="H675">
            <v>0</v>
          </cell>
          <cell r="I675">
            <v>0</v>
          </cell>
          <cell r="J675">
            <v>0</v>
          </cell>
          <cell r="K675">
            <v>0</v>
          </cell>
          <cell r="L675">
            <v>0</v>
          </cell>
          <cell r="M675">
            <v>0</v>
          </cell>
        </row>
        <row r="676">
          <cell r="D676">
            <v>1605.1608000000001</v>
          </cell>
          <cell r="E676" t="str">
            <v>工程物资减值准备</v>
          </cell>
          <cell r="F676">
            <v>0</v>
          </cell>
          <cell r="G676">
            <v>0</v>
          </cell>
          <cell r="H676">
            <v>0</v>
          </cell>
          <cell r="I676">
            <v>0</v>
          </cell>
          <cell r="J676">
            <v>0</v>
          </cell>
          <cell r="K676">
            <v>0</v>
          </cell>
          <cell r="L676">
            <v>0</v>
          </cell>
          <cell r="M676">
            <v>0</v>
          </cell>
        </row>
        <row r="677">
          <cell r="D677">
            <v>1604.1606999999999</v>
          </cell>
          <cell r="E677" t="str">
            <v>在建工程减值准备</v>
          </cell>
          <cell r="F677">
            <v>0</v>
          </cell>
          <cell r="G677">
            <v>0</v>
          </cell>
          <cell r="H677">
            <v>0</v>
          </cell>
          <cell r="I677">
            <v>0</v>
          </cell>
          <cell r="J677">
            <v>0</v>
          </cell>
          <cell r="K677">
            <v>0</v>
          </cell>
          <cell r="L677">
            <v>0</v>
          </cell>
          <cell r="M677">
            <v>0</v>
          </cell>
        </row>
        <row r="678">
          <cell r="D678">
            <v>1621.1623999999999</v>
          </cell>
          <cell r="E678" t="str">
            <v>生产性生物资产减值准备</v>
          </cell>
          <cell r="F678">
            <v>0</v>
          </cell>
          <cell r="G678">
            <v>0</v>
          </cell>
          <cell r="H678">
            <v>0</v>
          </cell>
          <cell r="I678">
            <v>0</v>
          </cell>
          <cell r="J678">
            <v>0</v>
          </cell>
          <cell r="K678">
            <v>0</v>
          </cell>
          <cell r="L678">
            <v>0</v>
          </cell>
          <cell r="M678">
            <v>0</v>
          </cell>
        </row>
        <row r="679">
          <cell r="D679">
            <v>1631.1632999999999</v>
          </cell>
          <cell r="E679" t="str">
            <v>油气资产减值准备</v>
          </cell>
          <cell r="F679">
            <v>0</v>
          </cell>
          <cell r="G679">
            <v>0</v>
          </cell>
          <cell r="H679">
            <v>0</v>
          </cell>
          <cell r="I679">
            <v>0</v>
          </cell>
          <cell r="J679">
            <v>0</v>
          </cell>
          <cell r="K679">
            <v>0</v>
          </cell>
          <cell r="L679">
            <v>0</v>
          </cell>
          <cell r="M679">
            <v>0</v>
          </cell>
        </row>
        <row r="680">
          <cell r="D680">
            <v>1701.1703</v>
          </cell>
          <cell r="E680" t="str">
            <v>无形资产减值准备</v>
          </cell>
          <cell r="F680">
            <v>0</v>
          </cell>
          <cell r="G680">
            <v>0</v>
          </cell>
          <cell r="H680">
            <v>0</v>
          </cell>
          <cell r="I680">
            <v>0</v>
          </cell>
          <cell r="J680">
            <v>0</v>
          </cell>
          <cell r="K680">
            <v>0</v>
          </cell>
          <cell r="L680">
            <v>0</v>
          </cell>
          <cell r="M680">
            <v>0</v>
          </cell>
        </row>
        <row r="681">
          <cell r="D681">
            <v>1711.1712</v>
          </cell>
          <cell r="E681" t="str">
            <v>商誉减值准备</v>
          </cell>
          <cell r="F681">
            <v>0</v>
          </cell>
          <cell r="G681">
            <v>0</v>
          </cell>
          <cell r="H681">
            <v>0</v>
          </cell>
          <cell r="I681">
            <v>0</v>
          </cell>
          <cell r="J681">
            <v>0</v>
          </cell>
          <cell r="K681">
            <v>0</v>
          </cell>
          <cell r="L681">
            <v>0</v>
          </cell>
          <cell r="M681">
            <v>0</v>
          </cell>
        </row>
        <row r="682">
          <cell r="D682">
            <v>1991.1992</v>
          </cell>
          <cell r="E682" t="str">
            <v>其他减值准备</v>
          </cell>
          <cell r="F682">
            <v>0</v>
          </cell>
          <cell r="G682">
            <v>0</v>
          </cell>
          <cell r="H682">
            <v>0</v>
          </cell>
          <cell r="I682">
            <v>0</v>
          </cell>
          <cell r="J682">
            <v>0</v>
          </cell>
          <cell r="K682">
            <v>0</v>
          </cell>
          <cell r="L682">
            <v>0</v>
          </cell>
          <cell r="M682">
            <v>0</v>
          </cell>
        </row>
        <row r="683">
          <cell r="D683">
            <v>1991</v>
          </cell>
          <cell r="E683" t="str">
            <v>资产减值准备</v>
          </cell>
          <cell r="F683">
            <v>0</v>
          </cell>
          <cell r="G683">
            <v>0</v>
          </cell>
          <cell r="H683">
            <v>0</v>
          </cell>
          <cell r="I683">
            <v>0</v>
          </cell>
          <cell r="J683">
            <v>0</v>
          </cell>
          <cell r="K683">
            <v>0</v>
          </cell>
          <cell r="L683">
            <v>0</v>
          </cell>
          <cell r="M683">
            <v>0</v>
          </cell>
        </row>
        <row r="684">
          <cell r="D684">
            <v>7500</v>
          </cell>
          <cell r="E684" t="str">
            <v>现金流量表补充资料</v>
          </cell>
          <cell r="G684" t="str">
            <v>以下须手工调整，不从CFJE表取数</v>
          </cell>
          <cell r="K684" t="str">
            <v>以下须手工调整，不从CFJE表取数</v>
          </cell>
        </row>
        <row r="685">
          <cell r="D685">
            <v>7501</v>
          </cell>
          <cell r="E685" t="str">
            <v>将净利润调节为经营活动现金流量</v>
          </cell>
          <cell r="G685" t="str">
            <v>调增</v>
          </cell>
          <cell r="H685" t="str">
            <v>调减</v>
          </cell>
          <cell r="K685" t="str">
            <v>调增</v>
          </cell>
          <cell r="L685" t="str">
            <v>调减</v>
          </cell>
        </row>
        <row r="686">
          <cell r="D686">
            <v>7502</v>
          </cell>
          <cell r="E686" t="str">
            <v>净利润金额</v>
          </cell>
          <cell r="F686">
            <v>371447.23</v>
          </cell>
          <cell r="G686">
            <v>10211160.859999999</v>
          </cell>
          <cell r="I686">
            <v>10582608.09</v>
          </cell>
          <cell r="J686">
            <v>0</v>
          </cell>
          <cell r="M686">
            <v>0</v>
          </cell>
        </row>
        <row r="687">
          <cell r="D687">
            <v>7503</v>
          </cell>
          <cell r="E687" t="str">
            <v>资产减值准备金额</v>
          </cell>
          <cell r="F687">
            <v>0</v>
          </cell>
          <cell r="G687">
            <v>-104753.53</v>
          </cell>
          <cell r="I687">
            <v>-104753.53</v>
          </cell>
          <cell r="J687">
            <v>0</v>
          </cell>
          <cell r="M687">
            <v>0</v>
          </cell>
        </row>
        <row r="688">
          <cell r="D688">
            <v>7505</v>
          </cell>
          <cell r="E688" t="str">
            <v>固定资产折旧、油气资产折耗、生产性生物资产折旧</v>
          </cell>
          <cell r="F688">
            <v>0</v>
          </cell>
          <cell r="I688">
            <v>0</v>
          </cell>
          <cell r="J688">
            <v>0</v>
          </cell>
          <cell r="M688">
            <v>0</v>
          </cell>
        </row>
        <row r="689">
          <cell r="D689">
            <v>7506</v>
          </cell>
          <cell r="E689" t="str">
            <v>无形资产摊销</v>
          </cell>
          <cell r="F689">
            <v>0</v>
          </cell>
          <cell r="I689">
            <v>0</v>
          </cell>
          <cell r="J689">
            <v>0</v>
          </cell>
          <cell r="M689">
            <v>0</v>
          </cell>
        </row>
        <row r="690">
          <cell r="D690">
            <v>7507</v>
          </cell>
          <cell r="E690" t="str">
            <v>长期待摊费用摊销</v>
          </cell>
          <cell r="F690">
            <v>0</v>
          </cell>
          <cell r="I690">
            <v>0</v>
          </cell>
          <cell r="J690">
            <v>0</v>
          </cell>
          <cell r="M690">
            <v>0</v>
          </cell>
        </row>
        <row r="691">
          <cell r="D691">
            <v>7508</v>
          </cell>
          <cell r="E691" t="str">
            <v>处置固定资产、无形资产和其他长期资产的损失</v>
          </cell>
          <cell r="F691">
            <v>0</v>
          </cell>
          <cell r="I691">
            <v>0</v>
          </cell>
          <cell r="J691">
            <v>0</v>
          </cell>
          <cell r="M691">
            <v>0</v>
          </cell>
        </row>
        <row r="692">
          <cell r="D692">
            <v>7509</v>
          </cell>
          <cell r="E692" t="str">
            <v>固定资产报废损失</v>
          </cell>
          <cell r="F692">
            <v>0</v>
          </cell>
          <cell r="I692">
            <v>0</v>
          </cell>
          <cell r="J692">
            <v>0</v>
          </cell>
          <cell r="M692">
            <v>0</v>
          </cell>
        </row>
        <row r="693">
          <cell r="D693">
            <v>7510</v>
          </cell>
          <cell r="E693" t="str">
            <v>公允价值变动损失</v>
          </cell>
          <cell r="F693">
            <v>0</v>
          </cell>
          <cell r="I693">
            <v>0</v>
          </cell>
          <cell r="J693">
            <v>0</v>
          </cell>
          <cell r="M693">
            <v>0</v>
          </cell>
        </row>
        <row r="694">
          <cell r="D694">
            <v>7511</v>
          </cell>
          <cell r="E694" t="str">
            <v>财务费用金额</v>
          </cell>
          <cell r="F694">
            <v>0</v>
          </cell>
          <cell r="G694">
            <v>-264997.2</v>
          </cell>
          <cell r="I694">
            <v>-264997.2</v>
          </cell>
          <cell r="J694">
            <v>0</v>
          </cell>
          <cell r="M694">
            <v>0</v>
          </cell>
        </row>
        <row r="695">
          <cell r="D695">
            <v>7512</v>
          </cell>
          <cell r="E695" t="str">
            <v>投资损失</v>
          </cell>
          <cell r="F695">
            <v>0</v>
          </cell>
          <cell r="I695">
            <v>0</v>
          </cell>
          <cell r="J695">
            <v>0</v>
          </cell>
          <cell r="M695">
            <v>0</v>
          </cell>
        </row>
        <row r="696">
          <cell r="D696">
            <v>7515</v>
          </cell>
          <cell r="E696" t="str">
            <v>递延所得税资产减少</v>
          </cell>
          <cell r="F696">
            <v>0</v>
          </cell>
          <cell r="I696">
            <v>0</v>
          </cell>
          <cell r="J696">
            <v>0</v>
          </cell>
          <cell r="M696">
            <v>0</v>
          </cell>
        </row>
        <row r="697">
          <cell r="D697">
            <v>7516</v>
          </cell>
          <cell r="E697" t="str">
            <v>递延所得税负债增加</v>
          </cell>
          <cell r="F697">
            <v>0</v>
          </cell>
          <cell r="I697">
            <v>0</v>
          </cell>
          <cell r="J697">
            <v>0</v>
          </cell>
          <cell r="M697">
            <v>0</v>
          </cell>
        </row>
        <row r="698">
          <cell r="D698">
            <v>7517</v>
          </cell>
          <cell r="E698" t="str">
            <v>存货的减少</v>
          </cell>
          <cell r="F698">
            <v>0</v>
          </cell>
          <cell r="I698">
            <v>0</v>
          </cell>
          <cell r="J698">
            <v>0</v>
          </cell>
          <cell r="M698">
            <v>0</v>
          </cell>
        </row>
        <row r="699">
          <cell r="D699">
            <v>7518</v>
          </cell>
          <cell r="E699" t="str">
            <v>经营性应收项目的减少</v>
          </cell>
          <cell r="F699">
            <v>0</v>
          </cell>
          <cell r="G699">
            <v>-206583771.38</v>
          </cell>
          <cell r="I699">
            <v>-206583771.38</v>
          </cell>
          <cell r="J699">
            <v>0</v>
          </cell>
          <cell r="M699">
            <v>0</v>
          </cell>
        </row>
        <row r="700">
          <cell r="D700">
            <v>7519</v>
          </cell>
          <cell r="E700" t="str">
            <v>经营性应付项目的增加</v>
          </cell>
          <cell r="F700">
            <v>0</v>
          </cell>
          <cell r="I700">
            <v>0</v>
          </cell>
          <cell r="J700">
            <v>0</v>
          </cell>
          <cell r="M700">
            <v>0</v>
          </cell>
        </row>
        <row r="701">
          <cell r="D701">
            <v>7523</v>
          </cell>
          <cell r="E701" t="str">
            <v>其他将净利润调节为经营活动现金流量项目</v>
          </cell>
          <cell r="F701">
            <v>0</v>
          </cell>
          <cell r="I701">
            <v>0</v>
          </cell>
          <cell r="J701">
            <v>0</v>
          </cell>
          <cell r="M701">
            <v>0</v>
          </cell>
        </row>
        <row r="702">
          <cell r="D702">
            <v>7525</v>
          </cell>
          <cell r="E702" t="str">
            <v>经营活动产生的现金流量净额</v>
          </cell>
          <cell r="F702">
            <v>371447.23</v>
          </cell>
          <cell r="G702">
            <v>-196742361.25</v>
          </cell>
          <cell r="H702">
            <v>0</v>
          </cell>
          <cell r="I702">
            <v>-196370914.02000001</v>
          </cell>
          <cell r="J702">
            <v>0</v>
          </cell>
          <cell r="K702">
            <v>0</v>
          </cell>
          <cell r="L702">
            <v>0</v>
          </cell>
          <cell r="M702">
            <v>0</v>
          </cell>
        </row>
        <row r="703">
          <cell r="D703">
            <v>7526</v>
          </cell>
          <cell r="E703" t="str">
            <v>不涉及现金收支的重大投资和筹资活动</v>
          </cell>
        </row>
        <row r="704">
          <cell r="D704">
            <v>7527</v>
          </cell>
          <cell r="E704" t="str">
            <v>债务转为资本</v>
          </cell>
          <cell r="F704">
            <v>0</v>
          </cell>
          <cell r="I704">
            <v>0</v>
          </cell>
          <cell r="J704">
            <v>0</v>
          </cell>
          <cell r="M704">
            <v>0</v>
          </cell>
        </row>
        <row r="705">
          <cell r="D705">
            <v>7528</v>
          </cell>
          <cell r="E705" t="str">
            <v>一年内到期的可转换公司债券</v>
          </cell>
          <cell r="F705">
            <v>0</v>
          </cell>
          <cell r="I705">
            <v>0</v>
          </cell>
          <cell r="J705">
            <v>0</v>
          </cell>
          <cell r="M705">
            <v>0</v>
          </cell>
        </row>
        <row r="706">
          <cell r="D706">
            <v>7529</v>
          </cell>
          <cell r="E706" t="str">
            <v>融资租入固定资产</v>
          </cell>
          <cell r="F706">
            <v>0</v>
          </cell>
          <cell r="I706">
            <v>0</v>
          </cell>
          <cell r="J706">
            <v>0</v>
          </cell>
          <cell r="M706">
            <v>0</v>
          </cell>
        </row>
        <row r="707">
          <cell r="D707">
            <v>7533</v>
          </cell>
          <cell r="E707" t="str">
            <v>现金及现金等价物净变动情况</v>
          </cell>
        </row>
        <row r="708">
          <cell r="D708">
            <v>7535</v>
          </cell>
          <cell r="E708" t="str">
            <v>现金的期末余额</v>
          </cell>
          <cell r="F708">
            <v>0</v>
          </cell>
          <cell r="G708">
            <v>4669493.0199999996</v>
          </cell>
          <cell r="I708">
            <v>4669493.0199999996</v>
          </cell>
          <cell r="J708">
            <v>2858030.04</v>
          </cell>
          <cell r="M708">
            <v>2858030.04</v>
          </cell>
        </row>
        <row r="709">
          <cell r="D709">
            <v>7536</v>
          </cell>
          <cell r="E709" t="str">
            <v>减：现金的年初余额</v>
          </cell>
          <cell r="F709">
            <v>0</v>
          </cell>
          <cell r="G709">
            <v>2858030.04</v>
          </cell>
          <cell r="I709">
            <v>2858030.04</v>
          </cell>
          <cell r="J709">
            <v>0</v>
          </cell>
          <cell r="M709">
            <v>0</v>
          </cell>
        </row>
        <row r="710">
          <cell r="D710">
            <v>7537</v>
          </cell>
          <cell r="E710" t="str">
            <v>加：现金等价物的期末余额</v>
          </cell>
          <cell r="F710">
            <v>0</v>
          </cell>
          <cell r="I710">
            <v>0</v>
          </cell>
          <cell r="J710">
            <v>0</v>
          </cell>
          <cell r="M710">
            <v>0</v>
          </cell>
        </row>
        <row r="711">
          <cell r="D711">
            <v>7538</v>
          </cell>
          <cell r="E711" t="str">
            <v>减：现金等价物的年初余额</v>
          </cell>
          <cell r="F711">
            <v>0</v>
          </cell>
          <cell r="I711">
            <v>0</v>
          </cell>
          <cell r="J711">
            <v>0</v>
          </cell>
          <cell r="M711">
            <v>0</v>
          </cell>
        </row>
        <row r="712">
          <cell r="D712">
            <v>7539</v>
          </cell>
          <cell r="E712" t="str">
            <v>现金及现金等价物净增加额</v>
          </cell>
          <cell r="F712">
            <v>0</v>
          </cell>
          <cell r="G712">
            <v>7527523.0599999996</v>
          </cell>
          <cell r="H712">
            <v>0</v>
          </cell>
          <cell r="I712">
            <v>1811462.98</v>
          </cell>
          <cell r="J712">
            <v>2858030.04</v>
          </cell>
          <cell r="K712">
            <v>0</v>
          </cell>
          <cell r="L712">
            <v>0</v>
          </cell>
          <cell r="M712">
            <v>2858030.04</v>
          </cell>
        </row>
      </sheetData>
      <sheetData sheetId="13">
        <row r="16">
          <cell r="H16">
            <v>0</v>
          </cell>
        </row>
      </sheetData>
      <sheetData sheetId="14">
        <row r="13">
          <cell r="E13">
            <v>-104753.53</v>
          </cell>
        </row>
      </sheetData>
      <sheetData sheetId="15">
        <row r="50">
          <cell r="C50" t="str">
            <v>现金流量表补充资料</v>
          </cell>
          <cell r="E50" t="str">
            <v>本年金额</v>
          </cell>
          <cell r="F50" t="str">
            <v>上年金额</v>
          </cell>
        </row>
        <row r="51">
          <cell r="B51">
            <v>7501</v>
          </cell>
          <cell r="C51" t="str">
            <v>1.将净利润调节为经营活动现金流量：</v>
          </cell>
        </row>
        <row r="52">
          <cell r="B52">
            <v>7502</v>
          </cell>
          <cell r="C52" t="str">
            <v>净利润</v>
          </cell>
          <cell r="E52">
            <v>10582608.09</v>
          </cell>
          <cell r="F52">
            <v>0</v>
          </cell>
        </row>
        <row r="53">
          <cell r="B53">
            <v>7503</v>
          </cell>
          <cell r="C53" t="str">
            <v>加：资产减值准备</v>
          </cell>
          <cell r="E53">
            <v>-104753.53</v>
          </cell>
          <cell r="F53">
            <v>0</v>
          </cell>
        </row>
        <row r="54">
          <cell r="B54">
            <v>7505</v>
          </cell>
          <cell r="C54" t="str">
            <v>固定资产折旧、油气资产折耗、生产性生物资产折旧</v>
          </cell>
          <cell r="E54">
            <v>0</v>
          </cell>
          <cell r="F54">
            <v>0</v>
          </cell>
        </row>
        <row r="55">
          <cell r="B55">
            <v>7506</v>
          </cell>
          <cell r="C55" t="str">
            <v>无形资产摊销</v>
          </cell>
          <cell r="E55">
            <v>0</v>
          </cell>
          <cell r="F55">
            <v>0</v>
          </cell>
        </row>
        <row r="56">
          <cell r="B56">
            <v>7507</v>
          </cell>
          <cell r="C56" t="str">
            <v>长期待摊费用摊销</v>
          </cell>
          <cell r="E56">
            <v>0</v>
          </cell>
          <cell r="F56">
            <v>0</v>
          </cell>
        </row>
        <row r="57">
          <cell r="B57">
            <v>7508</v>
          </cell>
          <cell r="C57" t="str">
            <v>处置固定资产、无形资产和其他长期资产的损失（收益以“－”号填列）</v>
          </cell>
          <cell r="E57">
            <v>0</v>
          </cell>
          <cell r="F57">
            <v>0</v>
          </cell>
        </row>
        <row r="58">
          <cell r="B58">
            <v>7509</v>
          </cell>
          <cell r="C58" t="str">
            <v>固定资产报废损失（收益以“－”号填列）</v>
          </cell>
          <cell r="E58">
            <v>0</v>
          </cell>
          <cell r="F58">
            <v>0</v>
          </cell>
        </row>
        <row r="59">
          <cell r="B59">
            <v>7510</v>
          </cell>
          <cell r="C59" t="str">
            <v>公允价值变动损失（收益以“－”号填列）</v>
          </cell>
          <cell r="E59">
            <v>0</v>
          </cell>
          <cell r="F59">
            <v>0</v>
          </cell>
        </row>
        <row r="60">
          <cell r="B60">
            <v>7511</v>
          </cell>
          <cell r="C60" t="str">
            <v>财务费用（收益以“－”号填列）</v>
          </cell>
          <cell r="E60">
            <v>-264997.2</v>
          </cell>
          <cell r="F60">
            <v>0</v>
          </cell>
        </row>
        <row r="61">
          <cell r="B61">
            <v>7512</v>
          </cell>
          <cell r="C61" t="str">
            <v>投资损失（收益以“－”号填列）</v>
          </cell>
          <cell r="E61">
            <v>0</v>
          </cell>
          <cell r="F61">
            <v>0</v>
          </cell>
        </row>
        <row r="62">
          <cell r="B62">
            <v>7515</v>
          </cell>
          <cell r="C62" t="str">
            <v>递延所得税资产减少（增加以“－”号填列）</v>
          </cell>
          <cell r="E62">
            <v>0</v>
          </cell>
          <cell r="F62">
            <v>0</v>
          </cell>
        </row>
        <row r="63">
          <cell r="B63">
            <v>7516</v>
          </cell>
          <cell r="C63" t="str">
            <v>递延所得税负债增加（减少以“－”号填列）</v>
          </cell>
          <cell r="E63">
            <v>0</v>
          </cell>
          <cell r="F63">
            <v>0</v>
          </cell>
        </row>
        <row r="64">
          <cell r="B64">
            <v>7517</v>
          </cell>
          <cell r="C64" t="str">
            <v>存货的减少（增加以“－”号填列）</v>
          </cell>
          <cell r="E64">
            <v>0</v>
          </cell>
          <cell r="F64">
            <v>0</v>
          </cell>
        </row>
        <row r="65">
          <cell r="B65">
            <v>7518</v>
          </cell>
          <cell r="C65" t="str">
            <v>经营性应收项目的减少（增加以“－”号填列）</v>
          </cell>
          <cell r="E65">
            <v>-206583771.38</v>
          </cell>
          <cell r="F65">
            <v>0</v>
          </cell>
        </row>
        <row r="66">
          <cell r="B66">
            <v>7519</v>
          </cell>
          <cell r="C66" t="str">
            <v>经营性应付项目的增加（减少以“－”号填列）</v>
          </cell>
          <cell r="E66">
            <v>0</v>
          </cell>
          <cell r="F66">
            <v>0</v>
          </cell>
        </row>
        <row r="67">
          <cell r="B67">
            <v>7523</v>
          </cell>
          <cell r="C67" t="str">
            <v>其他</v>
          </cell>
          <cell r="E67">
            <v>0</v>
          </cell>
          <cell r="F67">
            <v>0</v>
          </cell>
        </row>
        <row r="68">
          <cell r="B68">
            <v>7525</v>
          </cell>
          <cell r="C68" t="str">
            <v>经营活动产生的现金流量净额</v>
          </cell>
          <cell r="E68">
            <v>-196370914.02000001</v>
          </cell>
          <cell r="F68">
            <v>0</v>
          </cell>
        </row>
        <row r="69">
          <cell r="B69">
            <v>7526</v>
          </cell>
          <cell r="C69" t="str">
            <v>2.不涉及现金收支的重大投资和筹资活动：</v>
          </cell>
        </row>
        <row r="70">
          <cell r="B70">
            <v>7527</v>
          </cell>
          <cell r="C70" t="str">
            <v>债务转为资本</v>
          </cell>
          <cell r="E70">
            <v>0</v>
          </cell>
          <cell r="F70">
            <v>0</v>
          </cell>
        </row>
        <row r="71">
          <cell r="B71">
            <v>7528</v>
          </cell>
          <cell r="C71" t="str">
            <v>一年内到期的可转换公司债券</v>
          </cell>
          <cell r="E71">
            <v>0</v>
          </cell>
          <cell r="F71">
            <v>0</v>
          </cell>
        </row>
        <row r="72">
          <cell r="B72">
            <v>7529</v>
          </cell>
          <cell r="C72" t="str">
            <v>融资租入固定资产</v>
          </cell>
          <cell r="E72">
            <v>0</v>
          </cell>
          <cell r="F72">
            <v>0</v>
          </cell>
        </row>
        <row r="73">
          <cell r="B73">
            <v>7533</v>
          </cell>
          <cell r="C73" t="str">
            <v>3.现金及现金等价物净变动情况：</v>
          </cell>
        </row>
        <row r="74">
          <cell r="B74">
            <v>7535</v>
          </cell>
          <cell r="C74" t="str">
            <v>现金的期末余额</v>
          </cell>
          <cell r="E74">
            <v>4669493.0199999996</v>
          </cell>
          <cell r="F74">
            <v>2858030.04</v>
          </cell>
        </row>
        <row r="75">
          <cell r="B75">
            <v>7536</v>
          </cell>
          <cell r="C75" t="str">
            <v>减：现金的年初余额</v>
          </cell>
          <cell r="E75">
            <v>2858030.04</v>
          </cell>
          <cell r="F75">
            <v>0</v>
          </cell>
        </row>
        <row r="76">
          <cell r="B76">
            <v>7537</v>
          </cell>
          <cell r="C76" t="str">
            <v>加：现金等价物的期末余额</v>
          </cell>
          <cell r="E76">
            <v>0</v>
          </cell>
          <cell r="F76">
            <v>0</v>
          </cell>
        </row>
        <row r="77">
          <cell r="B77">
            <v>7538</v>
          </cell>
          <cell r="C77" t="str">
            <v>减：现金等价物的年初余额</v>
          </cell>
          <cell r="E77">
            <v>0</v>
          </cell>
          <cell r="F77">
            <v>0</v>
          </cell>
        </row>
        <row r="78">
          <cell r="B78">
            <v>7539</v>
          </cell>
          <cell r="C78" t="str">
            <v>现金及现金等价物净增加额</v>
          </cell>
          <cell r="E78">
            <v>1811462.98</v>
          </cell>
          <cell r="F78">
            <v>2858030.04</v>
          </cell>
        </row>
      </sheetData>
      <sheetData sheetId="16"/>
      <sheetData sheetId="17"/>
      <sheetData sheetId="18"/>
      <sheetData sheetId="19"/>
      <sheetData sheetId="20"/>
      <sheetData sheetId="21"/>
      <sheetData sheetId="22"/>
      <sheetData sheetId="23"/>
      <sheetData sheetId="24">
        <row r="174">
          <cell r="J174">
            <v>107128.09</v>
          </cell>
        </row>
      </sheetData>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事项"/>
      <sheetName val="上海电气(集团)总公司下属公司清单"/>
      <sheetName val="集优公司清单"/>
      <sheetName val="A300-试算平衡表"/>
      <sheetName val="A310-现金流量表"/>
      <sheetName val="source"/>
    </sheetNames>
    <sheetDataSet>
      <sheetData sheetId="0">
        <row r="3">
          <cell r="M3" t="str">
            <v>上海通用轴承有限公司</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A1"/>
      <sheetName val="A2"/>
      <sheetName val="A3"/>
      <sheetName val="B"/>
      <sheetName val="C"/>
      <sheetName val="D"/>
      <sheetName val="E"/>
      <sheetName val="F1"/>
      <sheetName val="F2"/>
      <sheetName val="G"/>
      <sheetName val="H"/>
      <sheetName val="Revenue"/>
      <sheetName val="AIE"/>
      <sheetName val="AMECO"/>
      <sheetName val="AC-Finance"/>
      <sheetName val="Beijing Aviation Equipment"/>
      <sheetName val="Air China Express"/>
      <sheetName val="Beijing Aviation Passenger"/>
      <sheetName val="Beijing Phoenix"/>
      <sheetName val="Investment Holdings"/>
      <sheetName val="Catering"/>
      <sheetName val="China travel Air Ltd"/>
      <sheetName val="Shantou"/>
      <sheetName val="AMS Forward"/>
      <sheetName val="Shenzhen Airlines"/>
      <sheetName val="carpet"/>
      <sheetName val="Hotel Property"/>
      <sheetName val="Sheet1"/>
      <sheetName val="Sheet2"/>
      <sheetName val="Sheet3"/>
      <sheetName val="ARP"/>
      <sheetName val="Beijing Aviatiof Equipment"/>
      <sheetName val="AMS Fkrward"/>
      <sheetName val="DATA"/>
      <sheetName val="Vendor Data"/>
      <sheetName val="master"/>
      <sheetName val="source"/>
      <sheetName val="AB03_A3"/>
      <sheetName val="F301_FG list"/>
      <sheetName val="E1020"/>
      <sheetName val="员工工资"/>
      <sheetName val="dm"/>
      <sheetName val="N510-月趋势分析"/>
      <sheetName val="N110-吸收存款明细"/>
      <sheetName val="N420-同业存放-cut off-1231"/>
      <sheetName val="U10调整汇总"/>
      <sheetName val="表E_04-03-对公贷款清单"/>
      <sheetName val="E2910境内分行"/>
      <sheetName val="MA结果-update"/>
      <sheetName val="G102"/>
      <sheetName val="U_dis"/>
      <sheetName val="企业表一"/>
      <sheetName val="M-5C"/>
      <sheetName val="M-5A"/>
      <sheetName val="Beijing_Aviation_Equipment"/>
      <sheetName val="Air_China_Express"/>
      <sheetName val="Beijing_Aviation_Passenger"/>
      <sheetName val="Beijing_Phoenix"/>
      <sheetName val="Investment_Holdings"/>
      <sheetName val="China_travel_Air_Ltd"/>
      <sheetName val="AMS_Forward"/>
      <sheetName val="Shenzhen_Airlines"/>
      <sheetName val="Hotel_Property"/>
      <sheetName val="Beijing_Aviatiof_Equipment"/>
      <sheetName val="AMS_Fkrward"/>
      <sheetName val="Vendor_Data"/>
      <sheetName val="F301_FG_list"/>
      <sheetName val="K200-PRC"/>
      <sheetName val="A6"/>
      <sheetName val="note(1)"/>
      <sheetName val="accode"/>
      <sheetName val="Defer tax"/>
      <sheetName val="管理"/>
      <sheetName val="2002年收入成本明细表"/>
      <sheetName val="2003年收入数量金额明细表"/>
      <sheetName val="2003年收入成本明细表"/>
      <sheetName val="#511BkRec"/>
      <sheetName val="H R"/>
      <sheetName val="C1"/>
      <sheetName val="U102"/>
      <sheetName val="TB"/>
      <sheetName val="Shine Best con BS"/>
      <sheetName val="关联交易-存款"/>
      <sheetName val="ACTINV"/>
      <sheetName val="Beijing_Aviation_Equipment1"/>
      <sheetName val="Air_China_Express1"/>
      <sheetName val="Beijing_Aviation_Passenger1"/>
      <sheetName val="Beijing_Phoenix1"/>
      <sheetName val="Investment_Holdings1"/>
      <sheetName val="China_travel_Air_Ltd1"/>
      <sheetName val="AMS_Forward1"/>
      <sheetName val="Shenzhen_Airlines1"/>
      <sheetName val="Hotel_Property1"/>
      <sheetName val="Beijing_Aviatiof_Equipment1"/>
      <sheetName val="AMS_Fkrward1"/>
      <sheetName val="Variablen"/>
      <sheetName val="应收票据(关联方)(5)"/>
      <sheetName val="參數"/>
      <sheetName val="以前年度损益调整"/>
      <sheetName val="Cash_Flow"/>
      <sheetName val="Financial Statistics"/>
      <sheetName val="Balance"/>
      <sheetName val="Income"/>
      <sheetName val="Page 1"/>
      <sheetName val="Page 2"/>
      <sheetName val="Wuxi_-Adj-revised"/>
      <sheetName val="XL4Poppy"/>
      <sheetName val="EE_OPEX"/>
      <sheetName val="ARP-U501"/>
      <sheetName val="Pls do not delete"/>
      <sheetName val="Raw materials"/>
      <sheetName val="合并底稿-自营"/>
      <sheetName val="F1910"/>
      <sheetName val="A810-ASM"/>
      <sheetName val="上报资产负债表"/>
      <sheetName val="上报损益表"/>
      <sheetName val="现金流量表（月报）"/>
      <sheetName val="补充表"/>
      <sheetName val="Namelist"/>
      <sheetName val="敏感性"/>
      <sheetName val="2001预提费用"/>
      <sheetName val="N201"/>
      <sheetName val="E100"/>
      <sheetName val="N100"/>
      <sheetName val="STD. COST"/>
      <sheetName val="K311 A_List02"/>
      <sheetName val="TB2000"/>
      <sheetName val="TB2001"/>
      <sheetName val="A-13"/>
      <sheetName val="M_5A"/>
      <sheetName val="M_5C"/>
      <sheetName val="____"/>
      <sheetName val="F100"/>
      <sheetName val="A1000"/>
      <sheetName val="Trial Balance"/>
      <sheetName val="CA_new"/>
      <sheetName val="FF-6"/>
      <sheetName val="K200-FA list (2)"/>
      <sheetName val="Info. Request"/>
      <sheetName val="Calculations"/>
      <sheetName val="ExRates"/>
      <sheetName val="_x0000__x0000__x0000__x0000__x0000__x0000__x0000__x0000_"/>
      <sheetName val="tri02end"/>
      <sheetName val="SAD effects"/>
      <sheetName val="Collateral"/>
      <sheetName val="BALANCE SHEET"/>
      <sheetName val="&lt;H225-3&gt;"/>
      <sheetName val="#REF!"/>
      <sheetName val="_x005f_x0000__x005f_x0000__x005f_x0000__x005f_x0000__x0"/>
      <sheetName val="accumdeprn"/>
      <sheetName val="for ey reviewer 销售费用"/>
      <sheetName val="for ey reviewer 制造费用"/>
      <sheetName val="ZLR1"/>
      <sheetName val="153541"/>
      <sheetName val="AGRO-DATA"/>
      <sheetName val="µ|²vªí"/>
      <sheetName val="_2U03营业费用"/>
      <sheetName val="2001年营业费用"/>
      <sheetName val="2001 DTT ADJ"/>
      <sheetName val="A300"/>
      <sheetName val="Conso-FS(OK)"/>
      <sheetName val="资产负债表"/>
      <sheetName val="base"/>
      <sheetName val="detailed list info"/>
      <sheetName val="INVDAYS"/>
      <sheetName val="14.customer tiering客户升级"/>
      <sheetName val="????????"/>
      <sheetName val="A"/>
      <sheetName val="#REF"/>
      <sheetName val="Understand the client"/>
      <sheetName val="Bokslutsprocessen"/>
      <sheetName val="H101(OK)"/>
      <sheetName val="U401(OK)"/>
      <sheetName val="IMPORT"/>
      <sheetName val="Sch C-4"/>
      <sheetName val="Sch C-6"/>
      <sheetName val="Sch C-18"/>
      <sheetName val="Sch A-5.6"/>
      <sheetName val="Asset"/>
      <sheetName val="Liability"/>
      <sheetName val="F101"/>
      <sheetName val="KKKKKKKK"/>
      <sheetName val="總計(按月份)"/>
      <sheetName val="IncidentsEAP"/>
      <sheetName val="________"/>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preIS"/>
      <sheetName val="准则及应用指南的相关规定"/>
      <sheetName val="指引及提示"/>
      <sheetName val="1251重要性计算表"/>
      <sheetName val="preCF"/>
      <sheetName val="preCE"/>
      <sheetName val="372F专项储备固定资产明细"/>
      <sheetName val="372E加速折旧计提表"/>
      <sheetName val="坏账及减值表"/>
      <sheetName val="CF底稿"/>
      <sheetName val="2017年1-6月DB"/>
      <sheetName val="递延所得税计算表"/>
      <sheetName val="所得税计算表及盈余公积测算底稿"/>
      <sheetName val="TB"/>
      <sheetName val="BS"/>
      <sheetName val="IS"/>
      <sheetName val="CF"/>
      <sheetName val="CE"/>
      <sheetName val="AJE"/>
      <sheetName val="CFJE"/>
      <sheetName val="UJE"/>
      <sheetName val="AJE1"/>
      <sheetName val="Sheet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efreshError="1"/>
      <sheetData sheetId="1">
        <row r="5">
          <cell r="F5">
            <v>42916</v>
          </cell>
        </row>
        <row r="6">
          <cell r="F6">
            <v>42735</v>
          </cell>
        </row>
        <row r="7">
          <cell r="F7" t="str">
            <v>2017年1－6月</v>
          </cell>
        </row>
        <row r="8">
          <cell r="F8" t="str">
            <v>2016年1－6月</v>
          </cell>
        </row>
      </sheetData>
      <sheetData sheetId="2" refreshError="1"/>
      <sheetData sheetId="3" refreshError="1"/>
      <sheetData sheetId="4">
        <row r="24">
          <cell r="F24">
            <v>45411367.310000002</v>
          </cell>
        </row>
      </sheetData>
      <sheetData sheetId="5" refreshError="1"/>
      <sheetData sheetId="6" refreshError="1"/>
      <sheetData sheetId="7" refreshError="1"/>
      <sheetData sheetId="8" refreshError="1"/>
      <sheetData sheetId="9">
        <row r="34">
          <cell r="E34">
            <v>46205085.259999998</v>
          </cell>
        </row>
      </sheetData>
      <sheetData sheetId="10" refreshError="1"/>
      <sheetData sheetId="11">
        <row r="223">
          <cell r="D223">
            <v>1021441.49</v>
          </cell>
        </row>
      </sheetData>
      <sheetData sheetId="12">
        <row r="2128">
          <cell r="D2128">
            <v>1103524.3999999999</v>
          </cell>
        </row>
      </sheetData>
      <sheetData sheetId="13" refreshError="1"/>
      <sheetData sheetId="14"/>
      <sheetData sheetId="15">
        <row r="27">
          <cell r="G27">
            <v>28839131.850000001</v>
          </cell>
        </row>
      </sheetData>
      <sheetData sheetId="16" refreshError="1"/>
      <sheetData sheetId="17" refreshError="1"/>
      <sheetData sheetId="18" refreshError="1"/>
      <sheetData sheetId="19">
        <row r="11">
          <cell r="G11">
            <v>511425</v>
          </cell>
        </row>
      </sheetData>
      <sheetData sheetId="20">
        <row r="7">
          <cell r="E7">
            <v>149261127.06</v>
          </cell>
        </row>
      </sheetData>
      <sheetData sheetId="21" refreshError="1"/>
      <sheetData sheetId="22">
        <row r="12">
          <cell r="N12">
            <v>219096.45</v>
          </cell>
        </row>
      </sheetData>
      <sheetData sheetId="23">
        <row r="4">
          <cell r="O4" t="str">
            <v>日期</v>
          </cell>
        </row>
      </sheetData>
      <sheetData sheetId="24" refreshError="1"/>
      <sheetData sheetId="25" refreshError="1"/>
      <sheetData sheetId="26" refreshError="1"/>
      <sheetData sheetId="27" refreshError="1"/>
      <sheetData sheetId="28">
        <row r="46">
          <cell r="M46">
            <v>356064.97</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master"/>
      <sheetName val="Sheet1"/>
      <sheetName val="營業額比較表"/>
      <sheetName val="Sheet3"/>
      <sheetName val="Source"/>
      <sheetName val="accumdeprn"/>
      <sheetName val="Parameters"/>
      <sheetName val="E1020"/>
      <sheetName val="企业表一"/>
      <sheetName val="M-5C"/>
      <sheetName val="M-5A"/>
      <sheetName val="E101"/>
      <sheetName val="accode"/>
      <sheetName val="FF-6"/>
      <sheetName val="VAS TB"/>
      <sheetName val="F40-Goodsin transit"/>
      <sheetName val="SAD Conclusion"/>
      <sheetName val="其他营业收入调整"/>
      <sheetName val="2002年12月预"/>
      <sheetName val="本部审计调整"/>
      <sheetName val="TT04"/>
      <sheetName val="K110"/>
      <sheetName val="G210"/>
      <sheetName val="O111"/>
      <sheetName val="mat'lSH"/>
      <sheetName val="Pls do not delete"/>
      <sheetName val="APP6C"/>
      <sheetName val="Within"/>
      <sheetName val="F130&quot;"/>
      <sheetName val="WORDTAB"/>
      <sheetName val="Mapping table"/>
      <sheetName val="其他业务利润明细表"/>
      <sheetName val="投资收益明细表"/>
      <sheetName val="未交税金明细表"/>
      <sheetName val="AFEMAI"/>
      <sheetName val="DEP12"/>
      <sheetName val="I1"/>
      <sheetName val="FSA"/>
      <sheetName val="物料编码"/>
      <sheetName val="P300"/>
      <sheetName val="list"/>
      <sheetName val="NAME"/>
      <sheetName val="Data List"/>
      <sheetName val="关联交易-存款"/>
      <sheetName val="WORDs"/>
      <sheetName val="P500-预提费用明细表"/>
      <sheetName val="FDREPORT"/>
      <sheetName val="H101(OK)"/>
      <sheetName val="B?_x0000__x0000__x0000__x0000__x0000__x0000__x0000__x0000__x0000__x0000__x0000__x0000__x0000__x0000__x0000__x0000__x0000__x0000_"/>
      <sheetName val="B_x0000__x0000__x0000_Ⴜ0Ӌ痨_x0002__x0000_郢ሃΨ_x0000_ଊ痨郢ሃ_x001c_绺"/>
      <sheetName val="B8_x0000__x0000_Ⴌ4Ӌ瘠_x0002__x0000_ඦΨ_x0000_ଊ瘠ඦ_x001c_绺"/>
      <sheetName val="A包装物"/>
      <sheetName val="C包装物"/>
      <sheetName val="材料明细账"/>
      <sheetName val="B_"/>
      <sheetName val="B8"/>
      <sheetName val="F101"/>
      <sheetName val="Upload Template"/>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货币资金审核"/>
      <sheetName val="工程物资Dy"/>
      <sheetName val="预付账款Dy"/>
      <sheetName val="索引"/>
      <sheetName val="分录"/>
      <sheetName val="短期投资Dy"/>
      <sheetName val="货币资金Dy"/>
      <sheetName val="应收利息Dy"/>
      <sheetName val="银行存款Dy"/>
      <sheetName val="#REF"/>
      <sheetName val="应收账款Mx"/>
      <sheetName val="Book1"/>
      <sheetName val="分产品分析表"/>
      <sheetName val="应收账款"/>
      <sheetName val="总分类账"/>
      <sheetName val="Accounts"/>
      <sheetName val="折旧表LB1-3-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客户填表注意事项"/>
      <sheetName val="银行存款"/>
      <sheetName val="应收账款"/>
      <sheetName val="其它应收帐款"/>
      <sheetName val="贷款明细表"/>
      <sheetName val="贷款呆帐准备明细"/>
      <sheetName val="贷款帐龄分析"/>
      <sheetName val="存放中央银行款项"/>
      <sheetName val="存放同业款项"/>
      <sheetName val="抵押贷款"/>
      <sheetName val="贴现"/>
      <sheetName val="委托贷款及委托存款"/>
      <sheetName val="委托投资"/>
      <sheetName val="短期投资"/>
      <sheetName val="买入返售证券"/>
      <sheetName val="流动资金贷款"/>
      <sheetName val="呆帐准备金帐龄分析"/>
      <sheetName val="呆账准备金变动表"/>
      <sheetName val="呆账准备金变动明细"/>
      <sheetName val="中长期贷款"/>
      <sheetName val="逾期贷款"/>
      <sheetName val="长期投资汇总"/>
      <sheetName val="长期投资-股票投资或股权投资"/>
      <sheetName val="长期投资-债券投资"/>
      <sheetName val="长期投资-其他投资"/>
      <sheetName val="固定资产"/>
      <sheetName val="房屋及建筑物"/>
      <sheetName val="机器设备"/>
      <sheetName val="运输设备"/>
      <sheetName val="其他设备"/>
      <sheetName val="固定资产增加"/>
      <sheetName val="固定资产减少"/>
      <sheetName val="待处理固定资产"/>
      <sheetName val="在建工程"/>
      <sheetName val="递延资产"/>
      <sheetName val="集团内公司清单"/>
      <sheetName val="员工工资"/>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客户填表注意事项 "/>
      <sheetName val="试算平衡表2005"/>
      <sheetName val="试算平衡表2004"/>
      <sheetName val="现金流量表"/>
      <sheetName val="银行存款"/>
      <sheetName val="其他货币资金"/>
      <sheetName val="短期投资"/>
      <sheetName val="委托贷款"/>
      <sheetName val="应收票据"/>
      <sheetName val="应收票据2"/>
      <sheetName val="应收账款"/>
      <sheetName val="应收账款(质保金)－1"/>
      <sheetName val="应收账款(质保金)－2"/>
      <sheetName val="应收账款期后回款"/>
      <sheetName val="应收股利"/>
      <sheetName val="预付账款"/>
      <sheetName val="其它应收帐款"/>
      <sheetName val="应收补贴款 "/>
      <sheetName val="存货"/>
      <sheetName val="期后发货及领用"/>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清单"/>
    </sheetNames>
    <sheetDataSet>
      <sheetData sheetId="0">
        <row r="3">
          <cell r="A3" t="str">
            <v xml:space="preserve">     已抵押或被限制使用#</v>
          </cell>
          <cell r="B3" t="str">
            <v xml:space="preserve">    银行本票存款</v>
          </cell>
          <cell r="C3" t="str">
            <v>短期投资--上市股票投资</v>
          </cell>
          <cell r="P3" t="str">
            <v>差旅费</v>
          </cell>
        </row>
        <row r="4">
          <cell r="A4" t="str">
            <v xml:space="preserve">     未抵押及未被限制使用**</v>
          </cell>
          <cell r="B4" t="str">
            <v xml:space="preserve">    银行汇票存款</v>
          </cell>
          <cell r="C4" t="str">
            <v>短期投资--非上市股票投资</v>
          </cell>
          <cell r="P4" t="str">
            <v>购货抵押金</v>
          </cell>
        </row>
        <row r="5">
          <cell r="B5" t="str">
            <v xml:space="preserve">    信用证存款</v>
          </cell>
          <cell r="C5" t="str">
            <v>短期投资--上市债券投资</v>
          </cell>
          <cell r="P5" t="str">
            <v>水电专项</v>
          </cell>
        </row>
        <row r="6">
          <cell r="A6" t="str">
            <v xml:space="preserve">      -  活期存款</v>
          </cell>
          <cell r="B6" t="str">
            <v xml:space="preserve">    信用证保证金存款(&gt;3个月)</v>
          </cell>
          <cell r="C6" t="str">
            <v>短期投资--非上市债券投资</v>
          </cell>
          <cell r="P6" t="str">
            <v>诉讼费用</v>
          </cell>
        </row>
        <row r="7">
          <cell r="A7" t="str">
            <v xml:space="preserve">      -  存款定期小于3个月*:</v>
          </cell>
          <cell r="B7" t="str">
            <v xml:space="preserve">    在途货币资金</v>
          </cell>
          <cell r="C7" t="str">
            <v>短期投资--可转换债券投资</v>
          </cell>
          <cell r="P7" t="str">
            <v>法院扣款</v>
          </cell>
        </row>
        <row r="8">
          <cell r="A8" t="str">
            <v xml:space="preserve">      -  存款定期为3个月或长于3个月*:</v>
          </cell>
          <cell r="B8" t="str">
            <v xml:space="preserve">    银行承兑汇票保证金</v>
          </cell>
          <cell r="C8" t="str">
            <v>短期投资--国债</v>
          </cell>
          <cell r="P8" t="str">
            <v>三包索赔</v>
          </cell>
        </row>
        <row r="9">
          <cell r="B9" t="str">
            <v xml:space="preserve">    信用卡保证金存款</v>
          </cell>
          <cell r="C9" t="str">
            <v>短期投资--上市基金投资</v>
          </cell>
          <cell r="P9" t="str">
            <v>员工借款</v>
          </cell>
        </row>
        <row r="10">
          <cell r="B10" t="str">
            <v xml:space="preserve">    委托投资资金</v>
          </cell>
          <cell r="C10" t="str">
            <v>短期投资--非上市基金投资</v>
          </cell>
          <cell r="P10" t="str">
            <v>备用金</v>
          </cell>
        </row>
        <row r="11">
          <cell r="B11" t="str">
            <v xml:space="preserve">    存放于中央银行的储备金</v>
          </cell>
          <cell r="C11" t="str">
            <v>短期投资--委托贷款</v>
          </cell>
          <cell r="P11" t="str">
            <v>短期借款 （第三方）</v>
          </cell>
        </row>
        <row r="12">
          <cell r="P12" t="str">
            <v>托收款</v>
          </cell>
        </row>
        <row r="13">
          <cell r="P13" t="str">
            <v>住房公积金管理中心</v>
          </cell>
        </row>
        <row r="14">
          <cell r="P14" t="str">
            <v>保险公司预缴保费</v>
          </cell>
        </row>
        <row r="15">
          <cell r="P15" t="str">
            <v>社会保险费</v>
          </cell>
        </row>
        <row r="16">
          <cell r="P16" t="str">
            <v>银行代扣款</v>
          </cell>
        </row>
        <row r="17">
          <cell r="P17" t="str">
            <v>海关、税务局押金</v>
          </cell>
        </row>
        <row r="18">
          <cell r="P18" t="str">
            <v>一次性往来单位</v>
          </cell>
        </row>
        <row r="19">
          <cell r="P19" t="str">
            <v>押金</v>
          </cell>
        </row>
        <row r="20">
          <cell r="P20" t="str">
            <v>业务费</v>
          </cell>
        </row>
        <row r="21">
          <cell r="P21" t="str">
            <v>未抵扣多交税金</v>
          </cell>
        </row>
        <row r="22">
          <cell r="P22" t="str">
            <v>广告费</v>
          </cell>
        </row>
        <row r="23">
          <cell r="P23" t="str">
            <v>其他应收货款</v>
          </cell>
        </row>
        <row r="24">
          <cell r="P24" t="str">
            <v>借工程款未决算</v>
          </cell>
        </row>
        <row r="25">
          <cell r="P25" t="str">
            <v>暂估进项税</v>
          </cell>
        </row>
        <row r="26">
          <cell r="P26" t="str">
            <v>其他</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6B"/>
      <sheetName val="TB Link"/>
      <sheetName val="SCTB"/>
      <sheetName val="TB"/>
      <sheetName val="D1-C"/>
      <sheetName val="D1QP"/>
      <sheetName val="D1"/>
      <sheetName val="P1"/>
      <sheetName val="P1A"/>
      <sheetName val="P2"/>
      <sheetName val="P2A"/>
      <sheetName val="P3"/>
      <sheetName val="P3D"/>
      <sheetName val="D1-A"/>
      <sheetName val="Meeting"/>
      <sheetName val="D1-A (3)"/>
      <sheetName val="D1-A (2)"/>
      <sheetName val="D2"/>
      <sheetName val="D2explain"/>
      <sheetName val="CIP"/>
      <sheetName val="D5"/>
      <sheetName val="D9"/>
      <sheetName val="S1"/>
      <sheetName val="Sheet2"/>
      <sheetName val="prod"/>
      <sheetName val="STK"/>
      <sheetName val="BS"/>
      <sheetName val="PL"/>
      <sheetName val="PL-Analyses"/>
      <sheetName val="D3"/>
      <sheetName val="P7-QS"/>
      <sheetName val="P7-QX"/>
      <sheetName val="P7-QZB"/>
      <sheetName val="P8"/>
      <sheetName val="R78"/>
      <sheetName val="master"/>
      <sheetName val="d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外事项"/>
      <sheetName val="表外项目－银行承兑汇票（外币）"/>
      <sheetName val="表外项目-银行承兑汇票（人民币）"/>
      <sheetName val="表外项目-开出保证凭信"/>
      <sheetName val="表外项目-开来保证凭信"/>
      <sheetName val="表外--信用证项下出口款项"/>
      <sheetName val="表外应收利息"/>
      <sheetName val="贷款前十名"/>
      <sheetName val="再贴现"/>
      <sheetName val="转贴现"/>
      <sheetName val="纳税调整表"/>
      <sheetName val="未决诉讼事项"/>
      <sheetName val="房屋租赁承诺"/>
      <sheetName val="应付利息（安永）"/>
      <sheetName val="财务承诺（安永）"/>
      <sheetName val="呆帐准备(安永）"/>
      <sheetName val="关联交易-存款"/>
      <sheetName val="关联交易-贷款"/>
      <sheetName val="关联交易--资产负债类项目"/>
      <sheetName val="关联交易-表外及其他业务"/>
      <sheetName val="Sheet1"/>
      <sheetName val="关联交易_存款"/>
      <sheetName val="±íÍâÊÂÏî"/>
      <sheetName val="±íÍâÏîÄ¿£­ÒøÐÐ³Ð¶Ò»ãÆ±£¨Íâ±Ò£©"/>
      <sheetName val="±íÍâÏîÄ¿-ÒøÐÐ³Ð¶Ò»ãÆ±£¨ÈËÃñ±Ò£©"/>
      <sheetName val="±íÍâÏîÄ¿-¿ª³ö±£Ö¤Æ¾ÐÅ"/>
      <sheetName val="±íÍâÏîÄ¿-¿ªÀ´±£Ö¤Æ¾ÐÅ"/>
      <sheetName val="±íÍâ--ÐÅÓÃÖ¤ÏîÏÂ³ö¿Ú¿îÏî"/>
      <sheetName val="±íÍâÓ¦ÊÕÀûÏ¢"/>
      <sheetName val="´û¿îÇ°Ê®Ãû"/>
      <sheetName val="ÔÙÌùÏÖ"/>
      <sheetName val="×ªÌùÏÖ"/>
      <sheetName val="ÄÉË°µ÷Õû±í"/>
      <sheetName val="Î´¾öËßËÏÊÂÏî"/>
      <sheetName val="·¿ÎÝ×âÁÞ³ÐÅµ"/>
      <sheetName val="Ó¦¸¶ÀûÏ¢£¨°²ÓÀ£©"/>
      <sheetName val="²ÆÎñ³ÐÅµ£¨°²ÓÀ£©"/>
      <sheetName val="´ôÕÊ×¼±¸(°²ÓÀ£©"/>
      <sheetName val="¹ØÁª½»Ò×-´æ¿î"/>
      <sheetName val="¹ØÁª½»Ò×-´û¿î"/>
      <sheetName val="¹ØÁª½»Ò×--×Ê²ú¸ºÕ®ÀàÏîÄ¿"/>
      <sheetName val="¹ØÁª½»Ò×-±íÍâ¼°ÆäËûÒµÎñ"/>
      <sheetName val="M-5C"/>
      <sheetName val="企业表一"/>
      <sheetName val="M-5A"/>
      <sheetName val="master"/>
      <sheetName val="CRA-Detail"/>
      <sheetName val="E1020"/>
      <sheetName val="设备部房屋"/>
      <sheetName val="B"/>
      <sheetName val="A.R 01"/>
      <sheetName val="U110"/>
      <sheetName val="上报资产负债表"/>
      <sheetName val="上报损益表"/>
      <sheetName val="现金流量表（月报）"/>
      <sheetName val="补充表"/>
      <sheetName val="Defer tax"/>
      <sheetName val="M_5A"/>
      <sheetName val="M_5C"/>
      <sheetName val="____"/>
      <sheetName val="法士特"/>
      <sheetName val="陕重汽"/>
      <sheetName val="株洲齿轮"/>
      <sheetName val="火炬进出口"/>
      <sheetName val="机械制造"/>
      <sheetName val="火炬房地产"/>
      <sheetName val="火花塞"/>
      <sheetName val="汽车密封"/>
      <sheetName val="汽车灯具"/>
      <sheetName val="汽车电器"/>
      <sheetName val="东风越野"/>
      <sheetName val="富通"/>
      <sheetName val="新疆进出口"/>
      <sheetName val="北京汇科盈"/>
      <sheetName val="上海和达"/>
      <sheetName val="MAT"/>
      <sheetName val="小合并"/>
      <sheetName val="??????¡¤???¡À¨ª"/>
      <sheetName val="ADJ Sum(console)"/>
      <sheetName val="??ユ-蹿"/>
      <sheetName val="??交易-存款"/>
      <sheetName val="______¡¤___¡À¨ª"/>
      <sheetName val="Source"/>
      <sheetName val="Estimated AP 9.03"/>
      <sheetName val="__ユ-蹿"/>
      <sheetName val="__交易-存款"/>
      <sheetName val="表三"/>
      <sheetName val="11-1"/>
      <sheetName val="P201(F)"/>
      <sheetName val="C100-现金"/>
      <sheetName val="eqpmad2"/>
      <sheetName val="CCTL"/>
      <sheetName val="WIP"/>
      <sheetName val="资产负债表(1)"/>
      <sheetName val="其他业务收入成本明细表"/>
      <sheetName val="I"/>
      <sheetName val="申报表封面"/>
      <sheetName val="#REF!"/>
      <sheetName val="2005.06"/>
      <sheetName val="J200"/>
      <sheetName val="INDEX"/>
      <sheetName val="Tables"/>
      <sheetName val="Ã«ÀûÂÊ·ÖÎö±í"/>
      <sheetName val="E201"/>
      <sheetName val="M"/>
      <sheetName val="关联交易-存款a_x0000__x0000__x0000__x0000__x0000_"/>
      <sheetName val="关联交易-存款%ঀȿঀȿ_x0001_"/>
      <sheetName val="Mar OR"/>
      <sheetName val="F100"/>
      <sheetName val="选择报表"/>
      <sheetName val="A_R_01"/>
      <sheetName val="Defer_tax"/>
      <sheetName val="ADJ_Sum(console)"/>
      <sheetName val="Estimated_AP_9_03"/>
      <sheetName val="关联方"/>
      <sheetName val="项目"/>
      <sheetName val="申报表封面Cover"/>
      <sheetName val="2-分类汇总 Classified Summary"/>
      <sheetName val="REC 97"/>
      <sheetName val="RATE"/>
      <sheetName val="各年往来 (2)"/>
      <sheetName val="关联交易-存款%ঀȿঀȿ_x005f_x0001_"/>
      <sheetName val="关联交易-存款%ঀȿঀȿ_x005f_x005f_x005f_x0001_"/>
      <sheetName val="ENT"/>
      <sheetName val="FTHL"/>
      <sheetName val="GX"/>
      <sheetName val="IN"/>
      <sheetName val="ITCD"/>
      <sheetName val="LVLT"/>
      <sheetName val="MFNX"/>
      <sheetName val="NOPT"/>
      <sheetName val="TCM"/>
      <sheetName val="TSIX"/>
      <sheetName val="WCG"/>
      <sheetName val="关联交易-存款a_x005f_x0000__x005f_x0000__x005f_x0000__x"/>
      <sheetName val="±íÍâÏîÄ¿£­ÒøÐÐ³Ð6Ò»ãÆ±£¨Íâ±Ò£©"/>
      <sheetName val="±íÍâÏîÄ¿-ÒøÐÐ³Ð¶Ò»ãÆ±#¨ÈËÃñ±Ò£©"/>
      <sheetName val="±íÍâÏîÄ¿-¿ª³ö±£Ö¤Æ¾PÅ"/>
      <sheetName val="´û¿îÇ°J®Ãû"/>
      <sheetName val="×ªÌyÏÖ"/>
      <sheetName val="????-??"/>
      <sheetName val="应付明细表(07年)"/>
      <sheetName val="关联交易-存款h_x0001__x0000__x0001__x0000__x0000_"/>
      <sheetName val="关联交易-存款hࢀ ࢀ _x0001_"/>
      <sheetName val="Budget"/>
      <sheetName val="2002年预提费用"/>
      <sheetName val="U401"/>
      <sheetName val="U501"/>
      <sheetName val="________-____"/>
      <sheetName val="________"/>
      <sheetName val="______________________________"/>
      <sheetName val="________-______________________"/>
      <sheetName val="________-____________"/>
      <sheetName val="____--__________________"/>
      <sheetName val="____________"/>
      <sheetName val="__________"/>
      <sheetName val="______"/>
      <sheetName val="________________"/>
      <sheetName val="________(______"/>
      <sheetName val="________--______________"/>
      <sheetName val="________-______________"/>
      <sheetName val="????????-????"/>
      <sheetName val="????????"/>
      <sheetName val="??????????????????????????????"/>
      <sheetName val="????????-??????????????????????"/>
      <sheetName val="????????-????????????"/>
      <sheetName val="????--??????????????????"/>
      <sheetName val="????????????"/>
      <sheetName val="??????????"/>
      <sheetName val="??????"/>
      <sheetName val="????????????????"/>
      <sheetName val="????????(??????"/>
      <sheetName val="????????--??????????????"/>
      <sheetName val="????????-??????????????"/>
      <sheetName val="Financ. Overview"/>
      <sheetName val="Toolbox"/>
      <sheetName val="INVDAYS"/>
      <sheetName val="N23-1-预付、其他应收等"/>
      <sheetName val="公司清单"/>
      <sheetName val="SUMMARY"/>
      <sheetName val="20140331"/>
      <sheetName val="20130331"/>
      <sheetName val="20131231"/>
      <sheetName val="20121231"/>
      <sheetName val="20111231"/>
      <sheetName val="20101231"/>
      <sheetName val="SAD"/>
      <sheetName val="以前年度损益调整"/>
      <sheetName val="说明1"/>
      <sheetName val="DataEntry"/>
      <sheetName val="Assets"/>
      <sheetName val="Parameters"/>
      <sheetName val="daywork- Tham khao"/>
      <sheetName val="IFRS REPOR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Z"/>
      <sheetName val="Sheet2"/>
      <sheetName val="Sheet3"/>
      <sheetName val="数据表核对"/>
      <sheetName val="数据核对附表"/>
      <sheetName val="基础数据表清单"/>
      <sheetName val="SCH-BS 资产负债表-年报"/>
      <sheetName val="SCH-C-1 现金及银行存款"/>
      <sheetName val="SCH-C-2 存放中央银行款项"/>
      <sheetName val="SCH-E-6 信用证"/>
      <sheetName val="SCH-G-4 其他流动资产"/>
      <sheetName val="SCH-H-1 投资"/>
      <sheetName val="SCH-H-2 投资收益"/>
      <sheetName val="SCH-H-7 长期股权投资"/>
      <sheetName val="SCH N-1 客户存款"/>
      <sheetName val="SCH-P-3 其它流动负债"/>
      <sheetName val="月计表科目"/>
      <sheetName val="资产负债表-月计表科目对照表"/>
      <sheetName val="资产负债表-损益明细表-对照表2003"/>
      <sheetName val="待摊费用（华兴）"/>
      <sheetName val="预提费用（华兴）"/>
      <sheetName val="全部"/>
      <sheetName val="省行已批复过"/>
      <sheetName val="安永审计预测"/>
      <sheetName val="损失调查表（200411）"/>
      <sheetName val="损失调查表（计财产-200411）"/>
      <sheetName val="20050319综合损失预测"/>
      <sheetName val="封面"/>
      <sheetName val="目录"/>
      <sheetName val="表1"/>
      <sheetName val="表2"/>
      <sheetName val="表3"/>
      <sheetName val="表4"/>
      <sheetName val="表4.1"/>
      <sheetName val="表4.2"/>
      <sheetName val="表4.3"/>
      <sheetName val="表5"/>
      <sheetName val="表6"/>
      <sheetName val="表6.1"/>
      <sheetName val="表6.2"/>
      <sheetName val="表7"/>
      <sheetName val="表8"/>
      <sheetName val="表9"/>
      <sheetName val="表9.1"/>
      <sheetName val="表10"/>
      <sheetName val="表11"/>
      <sheetName val="表12"/>
      <sheetName val="表12.1"/>
      <sheetName val="表12.2"/>
      <sheetName val="表12.3"/>
      <sheetName val="表12.4"/>
      <sheetName val="表12.5"/>
      <sheetName val="表12.6"/>
      <sheetName val="表12.7"/>
      <sheetName val="表12.8"/>
      <sheetName val="12.8附表"/>
      <sheetName val="表12.9"/>
      <sheetName val="表12.10"/>
      <sheetName val="表13"/>
      <sheetName val="表14"/>
      <sheetName val="表14.1"/>
      <sheetName val="表14.2"/>
      <sheetName val="表15"/>
      <sheetName val="表16"/>
      <sheetName val="表17"/>
      <sheetName val="表17.1"/>
      <sheetName val="表18"/>
      <sheetName val="表19"/>
      <sheetName val="表20"/>
      <sheetName val="表21"/>
      <sheetName val="表22"/>
      <sheetName val="表23"/>
      <sheetName val="表24"/>
      <sheetName val="表25"/>
      <sheetName val="表26"/>
      <sheetName val="表26.1"/>
      <sheetName val="表27"/>
      <sheetName val="表28"/>
      <sheetName val="表29"/>
      <sheetName val="表30"/>
      <sheetName val="表31"/>
      <sheetName val="表32"/>
      <sheetName val="表33"/>
      <sheetName val="表34"/>
      <sheetName val="表35"/>
      <sheetName val="表36"/>
      <sheetName val="表36.1"/>
      <sheetName val="表37"/>
      <sheetName val="表38"/>
      <sheetName val="表38.1"/>
      <sheetName val="表39"/>
      <sheetName val="表40"/>
      <sheetName val="表41"/>
      <sheetName val="表42"/>
      <sheetName val="表43"/>
      <sheetName val="表44"/>
      <sheetName val="#REF!"/>
      <sheetName val="#REF"/>
      <sheetName val="Êý¾Ý±íºË¶Ô"/>
      <sheetName val="Êý¾ÝºË¶Ô¸½±í"/>
      <sheetName val="»ù´¡Êý¾Ý±íÇåµ¥"/>
      <sheetName val="SCH-BS ×Ê²ú¸ºÕ®±í-Äê±¨"/>
      <sheetName val="SCH-C-1 ÏÖ½ð¼°ÒøÐÐ´æ¿î"/>
      <sheetName val="SCH-C-2 ´æ·ÅÖÐÑëÒøÐÐ¿îÏî"/>
      <sheetName val="SCH-E-6 ÐÅÓÃÖ¤"/>
      <sheetName val="SCH-G-4 ÆäËûÁ÷¶¯×Ê²ú"/>
      <sheetName val="SCH-H-1 Í¶×Ê"/>
      <sheetName val="SCH-H-2 Í¶×ÊÊÕÒæ"/>
      <sheetName val="SCH-H-7 ³¤ÆÚ¹ÉÈ¨Í¶×Ê"/>
      <sheetName val="SCH N-1 ¿Í»§´æ¿î"/>
      <sheetName val="SCH-P-3 ÆäËüÁ÷¶¯¸ºÕ®"/>
      <sheetName val="ÔÂ¼Æ±í¿ÆÄ¿"/>
      <sheetName val="×Ê²ú¸ºÕ®±í-ÔÂ¼Æ±í¿ÆÄ¿¶ÔÕÕ±í"/>
      <sheetName val="Ê²ú¸ºÕ®±í-ËðÒæÃ÷Ï¸±í-¶ÔÕÕ±í2003"/>
      <sheetName val="´ýÌ¯·ÑÓÃ£¨»ªÐË£©"/>
      <sheetName val="Ô¤Ìá·ÑÓÃ£¨»ªÐË£©"/>
      <sheetName val="È«²¿"/>
      <sheetName val="Ê¡ÐÐÒÑÅú¸´¹ý"/>
      <sheetName val="°²ÓÀÉó¼ÆÔ¤²â"/>
      <sheetName val="ËðÊ§µ÷²é±í£¨200411£©"/>
      <sheetName val="ËðÊ§µ÷²é±í£¨¼Æ²Æ²ú-200411£©"/>
      <sheetName val="20050319×ÛºÏËðÊ§Ô¤²â"/>
      <sheetName val="·âÃæ"/>
      <sheetName val="Ä¿Â¼"/>
      <sheetName val="±í1"/>
      <sheetName val="±í2"/>
      <sheetName val="±í3"/>
      <sheetName val="±í4"/>
      <sheetName val="±í4.1"/>
      <sheetName val="±í4.2"/>
      <sheetName val="±í4.3"/>
      <sheetName val="±í5"/>
      <sheetName val="±í6"/>
      <sheetName val="±í6.1"/>
      <sheetName val="±í6.2"/>
      <sheetName val="±í7"/>
      <sheetName val="±í8"/>
      <sheetName val="±í9"/>
      <sheetName val="±í9.1"/>
      <sheetName val="±í10"/>
      <sheetName val="±í11"/>
      <sheetName val="±í12"/>
      <sheetName val="±í12.1"/>
      <sheetName val="±í12.2"/>
      <sheetName val="±í12.3"/>
      <sheetName val="±í12.4"/>
      <sheetName val="±í12.5"/>
      <sheetName val="±í12.6"/>
      <sheetName val="±í12.7"/>
      <sheetName val="±í12.8"/>
      <sheetName val="12.8¸½±í"/>
      <sheetName val="±í12.9"/>
      <sheetName val="±í12.10"/>
      <sheetName val="±í13"/>
      <sheetName val="±í14"/>
      <sheetName val="±í14.1"/>
      <sheetName val="±í14.2"/>
      <sheetName val="±í15"/>
      <sheetName val="±í16"/>
      <sheetName val="±í17"/>
      <sheetName val="±í17.1"/>
      <sheetName val="±í18"/>
      <sheetName val="±í19"/>
      <sheetName val="±í20"/>
      <sheetName val="±í21"/>
      <sheetName val="±í22"/>
      <sheetName val="±í23"/>
      <sheetName val="±í24"/>
      <sheetName val="±í25"/>
      <sheetName val="±í26"/>
      <sheetName val="±í26.1"/>
      <sheetName val="±í27"/>
      <sheetName val="±í28"/>
      <sheetName val="±í29"/>
      <sheetName val="±í30"/>
      <sheetName val="±í31"/>
      <sheetName val="±í32"/>
      <sheetName val="±í33"/>
      <sheetName val="±í34"/>
      <sheetName val="±í35"/>
      <sheetName val="±í36"/>
      <sheetName val="±í36.1"/>
      <sheetName val="±í37"/>
      <sheetName val="±í38"/>
      <sheetName val="±í38.1"/>
      <sheetName val="±í39"/>
      <sheetName val="±í40"/>
      <sheetName val="±í41"/>
      <sheetName val="±í42"/>
      <sheetName val="±í43"/>
      <sheetName val="±í44"/>
      <sheetName val="SCH-H-耷 长期股权投资"/>
      <sheetName val="master"/>
      <sheetName val="source"/>
      <sheetName val="BALANCE SHEET"/>
      <sheetName val="B"/>
      <sheetName val="Sheet1"/>
      <sheetName val="Account"/>
      <sheetName val="Center"/>
      <sheetName val="details"/>
      <sheetName val="Links"/>
      <sheetName val="Lead"/>
      <sheetName val="Repayment Summary"/>
      <sheetName val="DATA"/>
      <sheetName val="综合"/>
      <sheetName val="SCH-BS_资产负债表-年报"/>
      <sheetName val="SCH-C-1_现金及银行存款"/>
      <sheetName val="SCH-C-2_存放中央银行款项"/>
      <sheetName val="SCH-E-6_信用证"/>
      <sheetName val="SCH-G-4_其他流动资产"/>
      <sheetName val="SCH-H-1_投资"/>
      <sheetName val="SCH-H-2_投资收益"/>
      <sheetName val="SCH-H-7_长期股权投资"/>
      <sheetName val="SCH_N-1_客户存款"/>
      <sheetName val="SCH-P-3_其它流动负债"/>
      <sheetName val="表4_1"/>
      <sheetName val="表4_2"/>
      <sheetName val="表4_3"/>
      <sheetName val="表6_1"/>
      <sheetName val="表6_2"/>
      <sheetName val="表9_1"/>
      <sheetName val="表12_1"/>
      <sheetName val="表12_2"/>
      <sheetName val="表12_3"/>
      <sheetName val="表12_4"/>
      <sheetName val="表12_5"/>
      <sheetName val="表12_6"/>
      <sheetName val="表12_7"/>
      <sheetName val="表12_8"/>
      <sheetName val="12_8附表"/>
      <sheetName val="表12_9"/>
      <sheetName val="表12_10"/>
      <sheetName val="表14_1"/>
      <sheetName val="表14_2"/>
      <sheetName val="表17_1"/>
      <sheetName val="表26_1"/>
      <sheetName val="表36_1"/>
      <sheetName val="表38_1"/>
      <sheetName val="SCH-BS_×Ê²ú¸ºÕ®±í-Äê±¨"/>
      <sheetName val="SCH-C-1_ÏÖ½ð¼°ÒøÐÐ´æ¿î"/>
      <sheetName val="SCH-C-2_´æ·ÅÖÐÑëÒøÐÐ¿îÏî"/>
      <sheetName val="SCH-E-6_ÐÅÓÃÖ¤"/>
      <sheetName val="SCH-G-4_ÆäËûÁ÷¶¯×Ê²ú"/>
      <sheetName val="SCH-H-1_Í¶×Ê"/>
      <sheetName val="SCH-H-2_Í¶×ÊÊÕÒæ"/>
      <sheetName val="SCH-H-7_³¤ÆÚ¹ÉÈ¨Í¶×Ê"/>
      <sheetName val="SCH_N-1_¿Í»§´æ¿î"/>
      <sheetName val="SCH-P-3_ÆäËüÁ÷¶¯¸ºÕ®"/>
      <sheetName val="±í4_1"/>
      <sheetName val="±í4_2"/>
      <sheetName val="±í4_3"/>
      <sheetName val="±í6_1"/>
      <sheetName val="±í6_2"/>
      <sheetName val="±í9_1"/>
      <sheetName val="±í12_1"/>
      <sheetName val="±í12_2"/>
      <sheetName val="±í12_3"/>
      <sheetName val="±í12_4"/>
      <sheetName val="±í12_5"/>
      <sheetName val="±í12_6"/>
      <sheetName val="±í12_7"/>
      <sheetName val="±í12_8"/>
      <sheetName val="12_8¸½±í"/>
      <sheetName val="±í12_9"/>
      <sheetName val="±í12_10"/>
      <sheetName val="±í14_1"/>
      <sheetName val="±í14_2"/>
      <sheetName val="±í17_1"/>
      <sheetName val="±í26_1"/>
      <sheetName val="±í36_1"/>
      <sheetName val="±í38_1"/>
      <sheetName val="SCH-H-耷_长期股权投资"/>
      <sheetName val="热力系统"/>
      <sheetName val="明细分类账"/>
      <sheetName val="D4RP"/>
      <sheetName val="LinkData"/>
      <sheetName val="Phase2 movementDEC"/>
      <sheetName val="Phase1f.a.DEC"/>
      <sheetName val="Phase2 f.a.DEC (2)"/>
      <sheetName val="关联交易-存款"/>
      <sheetName val="A3"/>
      <sheetName val="资产负债表"/>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程序表模板"/>
      <sheetName val="系统表"/>
      <sheetName val="底稿目录"/>
      <sheetName val="索引"/>
      <sheetName val="科目选择"/>
      <sheetName val="标本-资产"/>
      <sheetName val="分录"/>
      <sheetName val="往来询证函"/>
      <sheetName val="信封模板"/>
      <sheetName val="往来函证表"/>
      <sheetName val="应收票据Dy"/>
      <sheetName val="应收票据Mx"/>
      <sheetName val="应收账款Dy"/>
      <sheetName val="应收账款Mx"/>
      <sheetName val="坏账准备_应收账款Dy"/>
      <sheetName val="坏账准备_应收账款Mx"/>
      <sheetName val="预收账款Dy"/>
      <sheetName val="预收账款Mx"/>
      <sheetName val="应交税金Dy"/>
      <sheetName val="应交税金mx1"/>
      <sheetName val="应交税金mx2"/>
      <sheetName val="应交税金mx3"/>
      <sheetName val="其他应交款Dy"/>
      <sheetName val="其他应交款mx"/>
      <sheetName val="主营业务收入Dy"/>
      <sheetName val="主营业务收入mx"/>
      <sheetName val="收入上年同期分析"/>
      <sheetName val="收入月份波动分析"/>
      <sheetName val="收入重要产品毛利分析"/>
      <sheetName val="收入重要客户分析"/>
      <sheetName val="收入销售发票核对"/>
      <sheetName val="收入截止测试"/>
      <sheetName val="营业费用Dy"/>
      <sheetName val="营业费用月份波动"/>
      <sheetName val="主营业务税金及附加Dy"/>
      <sheetName val="其他业务利润Dy"/>
      <sheetName val="其他业务利润明细表"/>
      <sheetName val="程序表原始数据"/>
      <sheetName val="银行存款Dy"/>
      <sheetName val="应收利息Dy"/>
      <sheetName val="短期投资Dy"/>
      <sheetName val="货币资金D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系统表"/>
      <sheetName val="底稿目录"/>
      <sheetName val="索引"/>
      <sheetName val="往来询证函"/>
      <sheetName val="银行询证函"/>
      <sheetName val="科目选择"/>
      <sheetName val="分录"/>
      <sheetName val="信封模板"/>
      <sheetName val="往来函证表"/>
      <sheetName val="银行函证表"/>
      <sheetName val="货币资金Dy"/>
      <sheetName val="货币资金Mx"/>
      <sheetName val="程序表模板"/>
      <sheetName val="现金Dy"/>
      <sheetName val="现金盘点表"/>
      <sheetName val="银行存款Dy"/>
      <sheetName val="其他货币资金Dy"/>
      <sheetName val="短期投资Dy"/>
      <sheetName val="短期投资Mx"/>
      <sheetName val="短期投资跌价准备Dy"/>
      <sheetName val="短期投资跌价准备mx"/>
      <sheetName val="委托贷款Dy"/>
      <sheetName val="委托贷款mx"/>
      <sheetName val="应收股利Dy"/>
      <sheetName val="应收股利mx"/>
      <sheetName val="应收利息Dy"/>
      <sheetName val="应收利息mx"/>
      <sheetName val="应收补贴款Dy"/>
      <sheetName val="应收补贴款mx"/>
      <sheetName val="其他应收款Dy"/>
      <sheetName val="其他应收款mx"/>
      <sheetName val="坏账准备_其他应收款Dy"/>
      <sheetName val="坏账准备_其他应收款Mx"/>
      <sheetName val="其他流动资产Dy"/>
      <sheetName val="其他流动资产mx"/>
      <sheetName val="长期股权投资Dy"/>
      <sheetName val="长期股权投资Mx1"/>
      <sheetName val="长期股权投资Mx2"/>
      <sheetName val="长期投资减值准备Dy"/>
      <sheetName val="长期投资减值准备mx"/>
      <sheetName val="长期债权投资Dy"/>
      <sheetName val="长期债权投资Mx"/>
      <sheetName val="无形资产Dy"/>
      <sheetName val="无形资产Mx"/>
      <sheetName val="无形资产减值准备Dy"/>
      <sheetName val="无形资产减值准备mx"/>
      <sheetName val="长期待摊费用Dy"/>
      <sheetName val="长期待摊费用Mx"/>
      <sheetName val="短期借款Dy"/>
      <sheetName val="短期借款Mx"/>
      <sheetName val="短期借款利息测算"/>
      <sheetName val="应付股利Dy"/>
      <sheetName val="应付股利mx"/>
      <sheetName val="其他应付款Dy"/>
      <sheetName val="其他应付款mx"/>
      <sheetName val="内部往来Dy"/>
      <sheetName val="内部往来Mx"/>
      <sheetName val="一年内到期的长期负债Dy"/>
      <sheetName val="一年内到期的长期负债mx"/>
      <sheetName val="长期借款Dy"/>
      <sheetName val="长期借款Mx"/>
      <sheetName val="长期借款利息测算"/>
      <sheetName val="应付债券Dy"/>
      <sheetName val="应付债券Mx"/>
      <sheetName val="长期应付款Dy"/>
      <sheetName val="长期应付款mx"/>
      <sheetName val="专项应付款Dy"/>
      <sheetName val="专项应付款Mx"/>
      <sheetName val="股本Dy"/>
      <sheetName val="股本Mx"/>
      <sheetName val="资本公积Dy"/>
      <sheetName val="资本公积mx"/>
      <sheetName val="盈余公积Dy"/>
      <sheetName val="盈余公积mx"/>
      <sheetName val="未分配利润Dy"/>
      <sheetName val="管理费用Dy"/>
      <sheetName val="管理费用月份波动"/>
      <sheetName val="财务费用Dy"/>
      <sheetName val="投资收益Dy"/>
      <sheetName val="补贴收入Dy"/>
      <sheetName val="营业外收入Dy"/>
      <sheetName val="营业外支出Dy"/>
      <sheetName val="所得税Dy"/>
      <sheetName val="所得税纳税调整"/>
      <sheetName val="以前年度损益调整Dy"/>
      <sheetName val="标本-资产"/>
      <sheetName val="程序表原始数据"/>
      <sheetName val="固定资产Dy"/>
      <sheetName val="工程物资D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HT"/>
      <sheetName val="THKP"/>
      <sheetName val="KL XL2000"/>
      <sheetName val="KLXL2001"/>
      <sheetName val="THKP2001"/>
      <sheetName val="KLphanbo"/>
      <sheetName val="Chiet tinh"/>
      <sheetName val="XL4Poppy"/>
      <sheetName val="Van chuyen"/>
      <sheetName val="THKP (2)"/>
      <sheetName val="T.Bi"/>
      <sheetName val="Thiet ke"/>
      <sheetName val="Sheet2"/>
      <sheetName val="Sheet1"/>
      <sheetName val="CT"/>
      <sheetName val="K.luong"/>
      <sheetName val="Sheet4"/>
      <sheetName val="Sheet3"/>
      <sheetName val="TT L2"/>
      <sheetName val="TT L1"/>
      <sheetName val="Thue Ngoai"/>
      <sheetName val="KH"/>
      <sheetName val="DM"/>
      <sheetName val="DD&amp;TV"/>
      <sheetName val="CDSL"/>
      <sheetName val="PTSL"/>
      <sheetName val="THCP"/>
      <sheetName val="VT"/>
      <sheetName val="NL"/>
      <sheetName val="SoSanh"/>
      <sheetName val="QTVT"/>
      <sheetName val="QTNC"/>
      <sheetName val="PIPE-03E"/>
      <sheetName val="00000000"/>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9"/>
      <sheetName val="10"/>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Chart1"/>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XXXXXXXX"/>
      <sheetName val="BC_KKTSCD"/>
      <sheetName val="Chitiet"/>
      <sheetName val="Sheet2 (2)"/>
      <sheetName val="Mau_BC_KKTSCD"/>
      <sheetName val="KH 2003 (moi max)"/>
      <sheetName val="116(300)"/>
      <sheetName val="116(200)"/>
      <sheetName val="116(150)"/>
      <sheetName val="Km0-Km1"/>
      <sheetName val="Km1-Km2"/>
      <sheetName val="TH"/>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Tong hop"/>
      <sheetName val="KL tong"/>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MD"/>
      <sheetName val="ND"/>
      <sheetName val="CONG"/>
      <sheetName val="DGCT"/>
      <sheetName val="Congty"/>
      <sheetName val="VPPN"/>
      <sheetName val="XN74"/>
      <sheetName val="XN54"/>
      <sheetName val="XN33"/>
      <sheetName val="NK96"/>
      <sheetName val="XL4Test5"/>
      <sheetName val="KH12"/>
      <sheetName val="CN12"/>
      <sheetName val="HD12"/>
      <sheetName val="KH1"/>
      <sheetName val="Chi tiet - Dv lap"/>
      <sheetName val="TH KHTC"/>
      <sheetName val="00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ong Dau"/>
      <sheetName val="Dong Dau (2)"/>
      <sheetName val="Sau dong"/>
      <sheetName val="Ma xa"/>
      <sheetName val="My dinh"/>
      <sheetName val="Tong cong"/>
      <sheetName val="VL"/>
      <sheetName val="CTXD"/>
      <sheetName val=".."/>
      <sheetName val="CTDN"/>
      <sheetName val="san vuon"/>
      <sheetName val="khu phu tro"/>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Chart2"/>
      <sheetName val="be tong"/>
      <sheetName val="Thep"/>
      <sheetName val="Tong hop thep"/>
      <sheetName val="Thuyet minh"/>
      <sheetName val="CQ-HQ"/>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DTHH"/>
      <sheetName val="Bang1"/>
      <sheetName val="TAI TRONG"/>
      <sheetName val="NOI LUC"/>
      <sheetName val="TINH DUYET THTT CHINH"/>
      <sheetName val="TDUYET THTT PHU"/>
      <sheetName val="TINH DAO DONG VA DO VONG"/>
      <sheetName val="TINH NEO"/>
      <sheetName val="Phu luc"/>
      <sheetName val="Gia trÞ"/>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tscd"/>
      <sheetName val="KM"/>
      <sheetName val="KHOANMUC"/>
      <sheetName val="CPQL"/>
      <sheetName val="SANLUONG"/>
      <sheetName val="SSCP-SL"/>
      <sheetName val="CPSX"/>
      <sheetName val="KQKD"/>
      <sheetName val="CDSL (2)"/>
      <sheetName val="Thep "/>
      <sheetName val="Chi tiet Khoi luong"/>
      <sheetName val="TH khoi luong"/>
      <sheetName val="Chiet tinh vat lieu "/>
      <sheetName val="TH KL VL"/>
      <sheetName val="CHIT"/>
      <sheetName val="THXH"/>
      <sheetName val="BHXH"/>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CT"/>
      <sheetName val="cap cho cac DT"/>
      <sheetName val="Ung - hoan"/>
      <sheetName val="CP may"/>
      <sheetName val="SS"/>
      <sheetName val="NVL"/>
      <sheetName val="10000000"/>
      <sheetName val="Quang Tri"/>
      <sheetName val="TTHue"/>
      <sheetName val="Da Nang"/>
      <sheetName val="Quang Nam"/>
      <sheetName val="Quang Ngai"/>
      <sheetName val="TH DH-QN"/>
      <sheetName val="KP HD"/>
      <sheetName val="DB HD"/>
      <sheetName val="dutoan1"/>
      <sheetName val="Anhtoan"/>
      <sheetName val="dutoan2"/>
      <sheetName val="vat tu"/>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sent to"/>
      <sheetName val="Outlets"/>
      <sheetName val="PGs"/>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phan tich DG"/>
      <sheetName val="gia vat lieu"/>
      <sheetName val="gia xe may"/>
      <sheetName val="gia nhan cong"/>
      <sheetName val="01"/>
      <sheetName val="02"/>
      <sheetName val="03"/>
      <sheetName val="04"/>
      <sheetName val="05"/>
      <sheetName val="Sheet18"/>
      <sheetName val="Sheet19"/>
      <sheetName val="Sheet2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cd viaK0-T6"/>
      <sheetName val="cdvia T6-Tc24"/>
      <sheetName val="cdvia Tc24-T46"/>
      <sheetName val="cdbtnL2ko-k0+361"/>
      <sheetName val="cd btnL2k0+361-T19"/>
      <sheetName val="cong Q2"/>
      <sheetName val="T.U luong Q1"/>
      <sheetName val="T.U luong Q2"/>
      <sheetName val="T.U luong Q3"/>
      <sheetName val="DT"/>
      <sheetName val="THND"/>
      <sheetName val="THMD"/>
      <sheetName val="Phtro1"/>
      <sheetName val="DTKS1"/>
      <sheetName val="CT1m"/>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1-02"/>
      <sheetName val="Q2-02"/>
      <sheetName val="Q3-02"/>
      <sheetName val="KL VL"/>
      <sheetName val="KHCTiet"/>
      <sheetName val="QT 9-6"/>
      <sheetName val="Thuong luu HB"/>
      <sheetName val="QT03"/>
      <sheetName val="QT"/>
      <sheetName val="PTmay"/>
      <sheetName val="KK"/>
      <sheetName val="QT Ky T"/>
      <sheetName val="BCKT"/>
      <sheetName val="bc vt TON BAI"/>
      <sheetName val="XXXXXXX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ong Thu"/>
      <sheetName val="Tong Chi"/>
      <sheetName val="Truong hoc"/>
      <sheetName val="Cty CP"/>
      <sheetName val="G.thau 3B"/>
      <sheetName val="T.Hop Thu-chi"/>
      <sheetName val="Quyet toan"/>
      <sheetName val="Thu hoi"/>
      <sheetName val="Lai vay"/>
      <sheetName val="Tien vay"/>
      <sheetName val="Cong no"/>
      <sheetName val="Cop pha"/>
      <sheetName val="20000000"/>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cong bien t10"/>
      <sheetName val="luong t9 "/>
      <sheetName val="bb t9"/>
      <sheetName val="XETT10-03"/>
      <sheetName val="bxet"/>
      <sheetName val="KKKKKKKK"/>
      <sheetName val="索引"/>
      <sheetName val="GSA计提基数"/>
      <sheetName val="_x0000__x0000__x0000__x0000__x0000__x0000__x0000__x0000_"/>
      <sheetName val="注释汇总"/>
      <sheetName val="PIPE-03E.XLS"/>
      <sheetName val="B"/>
      <sheetName val="Data"/>
    </sheetNames>
    <definedNames>
      <definedName name="GoBack" sheetId="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Tong hop 1,05"/>
      <sheetName val="Tong hop 1,1"/>
      <sheetName val="Tong hop WB"/>
      <sheetName val="34KHCB"/>
      <sheetName val="Module1"/>
      <sheetName val="Phu thu"/>
      <sheetName val="Tong hop"/>
      <sheetName val="nd316"/>
      <sheetName val="ad304"/>
      <sheetName val="ad301"/>
      <sheetName val="ad302"/>
      <sheetName val="nd116"/>
      <sheetName val="GD309"/>
      <sheetName val="GD110"/>
      <sheetName val="ad403"/>
      <sheetName val="ad404"/>
      <sheetName val="ND120"/>
      <sheetName val="ND119"/>
      <sheetName val="GD217"/>
      <sheetName val="KT"/>
      <sheetName val="Dai tu 99"/>
      <sheetName val="KHCB"/>
      <sheetName val="WB"/>
      <sheetName val="VAT"/>
      <sheetName val="CK90702"/>
      <sheetName val="CK90703"/>
      <sheetName val="Thu duc"/>
      <sheetName val="ad201"/>
      <sheetName val="Data PT"/>
      <sheetName val="Tinh tong hop du toan"/>
      <sheetName val="应收账款"/>
    </sheetNames>
    <definedNames>
      <definedName name="gsktxd" refersTo="#REF!"/>
      <definedName name="tinhqt" refersTo="#REF!"/>
      <definedName name="tkp" refersTo="#REF!"/>
      <definedName name="tkpdt" refersTo="#REF!"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emtra"/>
    </sheetNames>
    <definedNames>
      <definedName name="K_1"/>
      <definedName name="K_2"/>
    </defined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bis"/>
      <sheetName val="财务费用Dy"/>
      <sheetName val="营业外收入Dy"/>
      <sheetName val="固定资产Dy"/>
      <sheetName val="累计折旧Dy"/>
      <sheetName val="标本-资产"/>
      <sheetName val="KLHT"/>
      <sheetName val="Tinh%20tong%20hop%20du%20toan%2"/>
      <sheetName val="Erection"/>
    </sheetNames>
    <definedNames>
      <definedName name="lbcnckt"/>
      <definedName name="Module1.cplhsmt"/>
      <definedName name="Module1.cptdhsmt"/>
      <definedName name="Module1.cptdtdt"/>
      <definedName name="Module1.cptdtkkt"/>
      <definedName name="Module1.gsktxd"/>
      <definedName name="Module1.qlda"/>
      <definedName name="Module1.tinhqt"/>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VIBAN"/>
      <sheetName val="NGUON"/>
      <sheetName val="UNC_CONGTHUONG"/>
      <sheetName val="UNC2"/>
      <sheetName val="UNC_DAUTU"/>
      <sheetName val="GIAYNHANNO"/>
      <sheetName val="HOPDONGTD"/>
      <sheetName val="XL4Poppy"/>
      <sheetName val="UNC_GIAY NHAN NO"/>
      <sheetName val="_x0000__x0000__x0000__x0000__x0000__x0000__x0000__x0000_"/>
      <sheetName val="KKKKKKKK"/>
      <sheetName val="_x005f_x0000__x005f_x0000__x005f_x0000__x005f_x0000__x0"/>
      <sheetName val="_x005f_x005f_x005f_x0000__x005f_x005f_x005f_x0000__x005"/>
      <sheetName val="_x005f_x005f_x005f_x005f_x005f_x005f_x005f_x0000__x005f"/>
      <sheetName val="KLHT"/>
      <sheetName val="索引"/>
      <sheetName val="禣ノ"/>
      <sheetName val="戈セや"/>
      <sheetName val="Macro1"/>
      <sheetName val="絪籹弧"/>
      <sheetName val="STATPARA"/>
      <sheetName val="preBS"/>
      <sheetName val="preCF"/>
      <sheetName val="preIS"/>
      <sheetName val="preCE"/>
      <sheetName val="_x005f_x005f_x005f_x005f_x005f_x005f_x005f_x005f_x005f_x005f_"/>
      <sheetName val="待摊费用明细表"/>
      <sheetName val="Acct"/>
    </sheetNames>
    <sheetDataSet>
      <sheetData sheetId="0" refreshError="1"/>
      <sheetData sheetId="1" refreshError="1">
        <row r="1">
          <cell r="A1" t="str">
            <v>SOÁ</v>
          </cell>
          <cell r="B1" t="str">
            <v>NGAØY</v>
          </cell>
          <cell r="C1" t="str">
            <v>MADONVI</v>
          </cell>
          <cell r="F1" t="str">
            <v>NGAÂNHAØNG</v>
          </cell>
          <cell r="G1" t="str">
            <v>TÆNH,TP</v>
          </cell>
          <cell r="H1" t="str">
            <v>NOÄIDUNG</v>
          </cell>
          <cell r="I1" t="str">
            <v>SOÁTIEÀN</v>
          </cell>
        </row>
        <row r="2">
          <cell r="A2">
            <v>50</v>
          </cell>
          <cell r="B2">
            <v>37744</v>
          </cell>
          <cell r="C2">
            <v>3</v>
          </cell>
          <cell r="F2" t="str">
            <v>Coâng Thöông CN 14</v>
          </cell>
          <cell r="G2" t="str">
            <v>Hoà Chí Minh</v>
          </cell>
          <cell r="H2" t="str">
            <v>Traû tieàn mua boät giaët</v>
          </cell>
          <cell r="I2">
            <v>250000000</v>
          </cell>
        </row>
        <row r="3">
          <cell r="A3">
            <v>51</v>
          </cell>
          <cell r="B3">
            <v>37744</v>
          </cell>
          <cell r="C3">
            <v>41</v>
          </cell>
          <cell r="F3" t="str">
            <v>Coâng Thöông CN 9</v>
          </cell>
          <cell r="G3" t="str">
            <v>Hoà Chí Minh</v>
          </cell>
          <cell r="H3" t="str">
            <v>Traû tieàn mua ximaêng</v>
          </cell>
          <cell r="I3">
            <v>246000000</v>
          </cell>
        </row>
        <row r="4">
          <cell r="A4">
            <v>3</v>
          </cell>
          <cell r="B4">
            <v>37746</v>
          </cell>
          <cell r="C4">
            <v>8</v>
          </cell>
          <cell r="F4" t="str">
            <v>Coâng Thöông</v>
          </cell>
          <cell r="G4" t="str">
            <v>Kieân Giang</v>
          </cell>
          <cell r="H4" t="str">
            <v>Traû tieàn mua xi maêng 200taán</v>
          </cell>
          <cell r="I4">
            <v>160160000</v>
          </cell>
        </row>
        <row r="5">
          <cell r="A5">
            <v>4</v>
          </cell>
          <cell r="B5">
            <v>37746</v>
          </cell>
          <cell r="C5">
            <v>5</v>
          </cell>
          <cell r="F5" t="str">
            <v>Coâng Thöong CN6</v>
          </cell>
          <cell r="G5" t="str">
            <v>Hoà Chí Minh</v>
          </cell>
          <cell r="H5" t="str">
            <v>Traû tieàn mua boät ngoït</v>
          </cell>
          <cell r="I5">
            <v>250630399</v>
          </cell>
        </row>
        <row r="6">
          <cell r="A6">
            <v>1</v>
          </cell>
          <cell r="B6">
            <v>37746</v>
          </cell>
          <cell r="C6">
            <v>19</v>
          </cell>
          <cell r="F6" t="str">
            <v>Eximbank</v>
          </cell>
          <cell r="G6" t="str">
            <v>Hoà Chí Minh</v>
          </cell>
          <cell r="H6" t="str">
            <v>Traû tieàn mua gaz</v>
          </cell>
          <cell r="I6">
            <v>23820360</v>
          </cell>
        </row>
        <row r="7">
          <cell r="A7">
            <v>5</v>
          </cell>
          <cell r="B7">
            <v>37746</v>
          </cell>
          <cell r="C7">
            <v>1</v>
          </cell>
          <cell r="F7" t="str">
            <v>Sôû Giao Dòch II CTVN</v>
          </cell>
          <cell r="G7" t="str">
            <v>Hoà Chí Minh</v>
          </cell>
          <cell r="H7" t="str">
            <v>Traû tieàn mua thuoác laù</v>
          </cell>
          <cell r="I7">
            <v>136300000</v>
          </cell>
        </row>
        <row r="8">
          <cell r="A8">
            <v>6</v>
          </cell>
          <cell r="B8">
            <v>37746</v>
          </cell>
          <cell r="C8">
            <v>10</v>
          </cell>
          <cell r="F8" t="str">
            <v>Hoàng Kong&amp; Thöôïng Haûi</v>
          </cell>
          <cell r="G8" t="str">
            <v>Hoà Chí Minh</v>
          </cell>
          <cell r="H8" t="str">
            <v>Traû tieàn mua nhôùt</v>
          </cell>
          <cell r="I8">
            <v>307000000</v>
          </cell>
        </row>
        <row r="9">
          <cell r="A9">
            <v>2</v>
          </cell>
          <cell r="B9">
            <v>37746</v>
          </cell>
          <cell r="C9">
            <v>83</v>
          </cell>
          <cell r="F9" t="str">
            <v>Ngoaïi Thöông</v>
          </cell>
          <cell r="G9" t="str">
            <v>Hoà Chí Minh</v>
          </cell>
          <cell r="H9" t="str">
            <v>Traû tieàn mua tivi</v>
          </cell>
          <cell r="I9">
            <v>43649600</v>
          </cell>
        </row>
        <row r="10">
          <cell r="A10">
            <v>3</v>
          </cell>
          <cell r="B10">
            <v>37746</v>
          </cell>
          <cell r="C10">
            <v>31</v>
          </cell>
          <cell r="F10" t="str">
            <v>Sôû Giao Dòch II CTVN</v>
          </cell>
          <cell r="G10" t="str">
            <v>Hoà Chí Minh</v>
          </cell>
          <cell r="H10" t="str">
            <v>Traû tieàn daàu aên( TT.TN.BL)</v>
          </cell>
          <cell r="I10">
            <v>75965070</v>
          </cell>
        </row>
        <row r="11">
          <cell r="A11">
            <v>4</v>
          </cell>
          <cell r="B11">
            <v>37747</v>
          </cell>
          <cell r="C11">
            <v>25</v>
          </cell>
          <cell r="F11" t="str">
            <v>NN &amp; P/T N/Thoân</v>
          </cell>
          <cell r="G11" t="str">
            <v>Baïc Lieâu</v>
          </cell>
          <cell r="H11" t="str">
            <v>Noäp BHXH,BHYT thaùng 4/2003</v>
          </cell>
          <cell r="I11">
            <v>25053850</v>
          </cell>
        </row>
        <row r="12">
          <cell r="A12">
            <v>7</v>
          </cell>
          <cell r="B12">
            <v>37748</v>
          </cell>
          <cell r="C12">
            <v>41</v>
          </cell>
          <cell r="F12" t="str">
            <v>Coâng Thöông CN 9</v>
          </cell>
          <cell r="G12" t="str">
            <v>Hoà Chí Minh</v>
          </cell>
          <cell r="H12" t="str">
            <v>Traû tieàn mua xi maêng 300taán</v>
          </cell>
          <cell r="I12">
            <v>246000000</v>
          </cell>
        </row>
        <row r="13">
          <cell r="A13">
            <v>5</v>
          </cell>
          <cell r="B13">
            <v>37749</v>
          </cell>
          <cell r="C13">
            <v>31</v>
          </cell>
          <cell r="F13" t="str">
            <v>Sôû Giao Dòch II CTVN</v>
          </cell>
          <cell r="G13" t="str">
            <v>Hoà Chí Minh</v>
          </cell>
          <cell r="H13" t="str">
            <v>Traû tieàn daàu aên( TT.BL: 5.427.400Ñ ;TT.CM : 84888128ñ)</v>
          </cell>
          <cell r="I13">
            <v>90315528</v>
          </cell>
        </row>
        <row r="14">
          <cell r="A14">
            <v>6</v>
          </cell>
          <cell r="B14">
            <v>37750</v>
          </cell>
          <cell r="C14">
            <v>27</v>
          </cell>
          <cell r="F14" t="str">
            <v>INDOVINA</v>
          </cell>
          <cell r="G14" t="str">
            <v>Hoà Chí Minh</v>
          </cell>
          <cell r="H14" t="str">
            <v>Traø tieàn mua ñöôøng</v>
          </cell>
          <cell r="I14">
            <v>27300000</v>
          </cell>
        </row>
        <row r="15">
          <cell r="A15">
            <v>7</v>
          </cell>
          <cell r="B15">
            <v>37750</v>
          </cell>
          <cell r="C15">
            <v>83</v>
          </cell>
          <cell r="F15" t="str">
            <v>Ngoaïi Thöông</v>
          </cell>
          <cell r="G15" t="str">
            <v>Hoà Chí Minh</v>
          </cell>
          <cell r="H15" t="str">
            <v>Traøtieàn mua Tivi</v>
          </cell>
          <cell r="I15">
            <v>15880260</v>
          </cell>
        </row>
        <row r="16">
          <cell r="A16">
            <v>8</v>
          </cell>
          <cell r="B16">
            <v>37750</v>
          </cell>
          <cell r="C16">
            <v>14</v>
          </cell>
          <cell r="F16" t="str">
            <v>Coâng Thöông CN I</v>
          </cell>
          <cell r="G16" t="str">
            <v>Hoà Chí Minh</v>
          </cell>
          <cell r="H16" t="str">
            <v>Traû tieàn mua haøng cho CN Theùp Mieàn Nam taïi Caàn Thô</v>
          </cell>
          <cell r="I16">
            <v>449567255</v>
          </cell>
        </row>
        <row r="17">
          <cell r="A17">
            <v>9</v>
          </cell>
          <cell r="B17">
            <v>37750</v>
          </cell>
          <cell r="C17">
            <v>5</v>
          </cell>
          <cell r="F17" t="str">
            <v>Coâng Thöong CN6</v>
          </cell>
          <cell r="G17" t="str">
            <v>Hoà Chí Minh</v>
          </cell>
          <cell r="H17" t="str">
            <v>Traû tieàn mua boät ngoït</v>
          </cell>
          <cell r="I17">
            <v>257555067</v>
          </cell>
        </row>
        <row r="18">
          <cell r="A18">
            <v>8</v>
          </cell>
          <cell r="B18">
            <v>37750</v>
          </cell>
          <cell r="C18">
            <v>94</v>
          </cell>
          <cell r="F18" t="str">
            <v>Coâng Thöông CN 9</v>
          </cell>
          <cell r="G18" t="str">
            <v>Hoà Chí Minh</v>
          </cell>
          <cell r="H18" t="str">
            <v>Traû tieàn mua chaùo Bình Tieân</v>
          </cell>
          <cell r="I18">
            <v>5963000</v>
          </cell>
        </row>
        <row r="19">
          <cell r="A19">
            <v>9</v>
          </cell>
          <cell r="B19">
            <v>37750</v>
          </cell>
          <cell r="C19">
            <v>44</v>
          </cell>
          <cell r="F19" t="str">
            <v xml:space="preserve">Coâng Thöông </v>
          </cell>
          <cell r="G19" t="str">
            <v>Baïc Lieâu</v>
          </cell>
          <cell r="H19" t="str">
            <v>Tieàn ñieän thoaïi thaùng 4/2003</v>
          </cell>
          <cell r="I19">
            <v>10122657</v>
          </cell>
        </row>
        <row r="20">
          <cell r="A20">
            <v>10</v>
          </cell>
          <cell r="B20">
            <v>37753</v>
          </cell>
          <cell r="C20">
            <v>28</v>
          </cell>
          <cell r="F20" t="str">
            <v>Ñaàu Tö &amp; Phaùt Trieån</v>
          </cell>
          <cell r="G20" t="str">
            <v>Caàn Thô</v>
          </cell>
          <cell r="H20" t="str">
            <v>Traû tieàn mua söõa caùc loaïi</v>
          </cell>
          <cell r="I20">
            <v>374144218</v>
          </cell>
        </row>
        <row r="21">
          <cell r="A21">
            <v>11</v>
          </cell>
          <cell r="B21">
            <v>37753</v>
          </cell>
          <cell r="C21">
            <v>73</v>
          </cell>
          <cell r="F21" t="str">
            <v>Ngoaïi Thöông</v>
          </cell>
          <cell r="G21" t="str">
            <v>Hoà Chí Minh</v>
          </cell>
          <cell r="H21" t="str">
            <v>Traû tieàn mua nöôùc röûa cheùn(TT.CM: 45.050.322ñ ; TT.BL: 32.637.627ñ)</v>
          </cell>
          <cell r="I21">
            <v>77687949</v>
          </cell>
        </row>
        <row r="22">
          <cell r="A22">
            <v>10</v>
          </cell>
          <cell r="B22">
            <v>37753</v>
          </cell>
          <cell r="C22">
            <v>8</v>
          </cell>
          <cell r="F22" t="str">
            <v>Coâng Thöông</v>
          </cell>
          <cell r="G22" t="str">
            <v>Kieân Giang</v>
          </cell>
          <cell r="H22" t="str">
            <v>Traû tieàn mua xi maêng 250taán</v>
          </cell>
          <cell r="I22">
            <v>200200000</v>
          </cell>
        </row>
        <row r="23">
          <cell r="A23">
            <v>12</v>
          </cell>
          <cell r="B23">
            <v>37754</v>
          </cell>
          <cell r="C23">
            <v>90</v>
          </cell>
          <cell r="F23" t="str">
            <v>Coâng Thöông</v>
          </cell>
          <cell r="G23" t="str">
            <v>Caàn Thô</v>
          </cell>
          <cell r="H23" t="str">
            <v>Traû tieàn mua ñöôøng</v>
          </cell>
          <cell r="I23">
            <v>10220000</v>
          </cell>
        </row>
        <row r="24">
          <cell r="A24">
            <v>13</v>
          </cell>
          <cell r="B24">
            <v>37755</v>
          </cell>
          <cell r="C24">
            <v>66</v>
          </cell>
          <cell r="F24" t="str">
            <v>ANZ</v>
          </cell>
          <cell r="G24" t="str">
            <v>Hoà Chí Minh</v>
          </cell>
          <cell r="H24" t="str">
            <v>Traû tieàn mua mì</v>
          </cell>
          <cell r="I24">
            <v>56918400</v>
          </cell>
        </row>
        <row r="25">
          <cell r="A25">
            <v>11</v>
          </cell>
          <cell r="B25">
            <v>37755</v>
          </cell>
          <cell r="C25">
            <v>16</v>
          </cell>
          <cell r="F25" t="str">
            <v>Ngoaïi Thöông</v>
          </cell>
          <cell r="G25" t="str">
            <v>Hoà Chí Minh</v>
          </cell>
          <cell r="H25" t="str">
            <v>Traû tieàn mua xaêng daàu</v>
          </cell>
          <cell r="I25">
            <v>3930000000</v>
          </cell>
        </row>
        <row r="26">
          <cell r="A26">
            <v>12</v>
          </cell>
          <cell r="B26">
            <v>37755</v>
          </cell>
          <cell r="C26">
            <v>5</v>
          </cell>
          <cell r="F26" t="str">
            <v>Coâng Thöong CN6</v>
          </cell>
          <cell r="G26" t="str">
            <v>Hoà Chí Minh</v>
          </cell>
          <cell r="H26" t="str">
            <v>Traû tieàn mua boät ngoït</v>
          </cell>
          <cell r="I26">
            <v>280171260</v>
          </cell>
        </row>
        <row r="27">
          <cell r="A27">
            <v>13</v>
          </cell>
          <cell r="B27">
            <v>37755</v>
          </cell>
          <cell r="C27">
            <v>8</v>
          </cell>
          <cell r="F27" t="str">
            <v>Coâng Thöông</v>
          </cell>
          <cell r="G27" t="str">
            <v>Kieân Giang</v>
          </cell>
          <cell r="H27" t="str">
            <v>Traû tieàn mua xi maêng 250taán</v>
          </cell>
          <cell r="I27">
            <v>200200000</v>
          </cell>
        </row>
        <row r="28">
          <cell r="A28">
            <v>14</v>
          </cell>
          <cell r="B28">
            <v>37755</v>
          </cell>
          <cell r="C28">
            <v>1</v>
          </cell>
          <cell r="F28" t="str">
            <v>Sôû Giao Dòch II CTVN</v>
          </cell>
          <cell r="G28" t="str">
            <v>Hoà Chí Minh</v>
          </cell>
          <cell r="H28" t="str">
            <v>Traû tieàn mua thuoác laù</v>
          </cell>
          <cell r="I28">
            <v>187500000</v>
          </cell>
        </row>
        <row r="29">
          <cell r="A29">
            <v>15</v>
          </cell>
          <cell r="B29">
            <v>37755</v>
          </cell>
          <cell r="C29">
            <v>3</v>
          </cell>
          <cell r="F29" t="str">
            <v>Coâng Thöông CN 14</v>
          </cell>
          <cell r="G29" t="str">
            <v>Hoà Chí Minh</v>
          </cell>
          <cell r="H29" t="str">
            <v>Traû tieàn mua boät giaët</v>
          </cell>
          <cell r="I29">
            <v>300000000</v>
          </cell>
        </row>
        <row r="30">
          <cell r="A30">
            <v>14</v>
          </cell>
          <cell r="B30">
            <v>37756</v>
          </cell>
          <cell r="C30">
            <v>27</v>
          </cell>
          <cell r="F30" t="str">
            <v>INDOVINA</v>
          </cell>
          <cell r="G30" t="str">
            <v>Hoà Chí Minh</v>
          </cell>
          <cell r="H30" t="str">
            <v>Traû tieàn mua ñöôøng</v>
          </cell>
          <cell r="I30">
            <v>27650000</v>
          </cell>
        </row>
        <row r="31">
          <cell r="A31">
            <v>15</v>
          </cell>
          <cell r="B31">
            <v>37756</v>
          </cell>
          <cell r="C31">
            <v>9</v>
          </cell>
          <cell r="F31" t="str">
            <v>Ngoaïi Thöông</v>
          </cell>
          <cell r="G31" t="str">
            <v>Hoà Chí Minh</v>
          </cell>
          <cell r="H31" t="str">
            <v>Traû tieàn mua nhôùt</v>
          </cell>
          <cell r="I31">
            <v>158147302</v>
          </cell>
        </row>
        <row r="32">
          <cell r="A32">
            <v>16</v>
          </cell>
          <cell r="B32">
            <v>37756</v>
          </cell>
          <cell r="C32">
            <v>95</v>
          </cell>
          <cell r="F32" t="str">
            <v>Ñaàu Tö &amp; Phaùt Trieån</v>
          </cell>
          <cell r="G32" t="str">
            <v>Caàn Thô</v>
          </cell>
          <cell r="H32" t="str">
            <v>Traû tieàn mua haøng may maëc+ vaûi</v>
          </cell>
          <cell r="I32">
            <v>2667640</v>
          </cell>
        </row>
        <row r="33">
          <cell r="A33">
            <v>17</v>
          </cell>
          <cell r="B33">
            <v>37757</v>
          </cell>
          <cell r="C33">
            <v>21</v>
          </cell>
          <cell r="F33" t="str">
            <v>Coâng Thöông</v>
          </cell>
          <cell r="G33" t="str">
            <v>Caàn Thô</v>
          </cell>
          <cell r="H33" t="str">
            <v>Traû tieàn mua gaz</v>
          </cell>
          <cell r="I33">
            <v>50000000</v>
          </cell>
        </row>
        <row r="34">
          <cell r="A34">
            <v>18</v>
          </cell>
          <cell r="B34">
            <v>37760</v>
          </cell>
          <cell r="C34">
            <v>28</v>
          </cell>
          <cell r="F34" t="str">
            <v>Ñaàu Tö &amp; Phaùt Trieån</v>
          </cell>
          <cell r="G34" t="str">
            <v>Caàn Thô</v>
          </cell>
          <cell r="H34" t="str">
            <v>Traû tieàn mua söõa caùc loaïi</v>
          </cell>
          <cell r="I34">
            <v>444196009</v>
          </cell>
        </row>
        <row r="35">
          <cell r="A35">
            <v>19</v>
          </cell>
          <cell r="B35">
            <v>37760</v>
          </cell>
          <cell r="C35">
            <v>31</v>
          </cell>
          <cell r="F35" t="str">
            <v>Sôû Giao Dòch II CTVN</v>
          </cell>
          <cell r="G35" t="str">
            <v>Hoà Chí Minh</v>
          </cell>
          <cell r="H35" t="str">
            <v>Traû tieàn daàu aên( TT.BL: 77.570.548ñ ;TT.CM : 82.727.876ñ)</v>
          </cell>
          <cell r="I35">
            <v>160298424</v>
          </cell>
        </row>
        <row r="36">
          <cell r="A36">
            <v>16</v>
          </cell>
          <cell r="B36">
            <v>37760</v>
          </cell>
          <cell r="C36">
            <v>8</v>
          </cell>
          <cell r="F36" t="str">
            <v>Coâng Thöông</v>
          </cell>
          <cell r="G36" t="str">
            <v>Kieân Giang</v>
          </cell>
          <cell r="H36" t="str">
            <v>Traû tieàn mua xi maêng 200taán</v>
          </cell>
          <cell r="I36">
            <v>160160000</v>
          </cell>
        </row>
        <row r="37">
          <cell r="A37">
            <v>20</v>
          </cell>
          <cell r="B37">
            <v>37760</v>
          </cell>
          <cell r="C37">
            <v>27</v>
          </cell>
          <cell r="F37" t="str">
            <v>INDOVINA</v>
          </cell>
          <cell r="G37" t="str">
            <v>Hoà Chí Minh</v>
          </cell>
          <cell r="H37" t="str">
            <v>Traû tieàn mua ñöôøng</v>
          </cell>
          <cell r="I37">
            <v>27650000</v>
          </cell>
        </row>
        <row r="38">
          <cell r="A38">
            <v>21</v>
          </cell>
          <cell r="B38">
            <v>37760</v>
          </cell>
          <cell r="C38">
            <v>73</v>
          </cell>
          <cell r="F38" t="str">
            <v>Ngoaïi Thöông</v>
          </cell>
          <cell r="G38" t="str">
            <v>Hoà Chí Minh</v>
          </cell>
          <cell r="H38" t="str">
            <v>Traû tieàn mua nöôùc röûa cheùn(TT.CM: 59.742.382ñ ; TT.BL: 37.733.597ñ)</v>
          </cell>
          <cell r="I38">
            <v>97475979</v>
          </cell>
        </row>
        <row r="39">
          <cell r="A39">
            <v>17</v>
          </cell>
          <cell r="B39">
            <v>37761</v>
          </cell>
          <cell r="C39">
            <v>4</v>
          </cell>
          <cell r="F39" t="str">
            <v>Sôû Giao Dòch II  CTVN</v>
          </cell>
          <cell r="G39" t="str">
            <v>Hoà Chí Minh</v>
          </cell>
          <cell r="H39" t="str">
            <v>Traû tieàn mua xaêng daàu</v>
          </cell>
          <cell r="I39">
            <v>1000000000</v>
          </cell>
        </row>
        <row r="40">
          <cell r="A40">
            <v>18</v>
          </cell>
          <cell r="B40">
            <v>37761</v>
          </cell>
          <cell r="C40">
            <v>14</v>
          </cell>
          <cell r="F40" t="str">
            <v>Coâng Thöông CN I</v>
          </cell>
          <cell r="G40" t="str">
            <v>Hoà Chí Minh</v>
          </cell>
          <cell r="H40" t="str">
            <v>Traû tieàn mua haøng cho CN Theùp Mieàn Nam taïi Caàn Thô</v>
          </cell>
          <cell r="I40">
            <v>250000000</v>
          </cell>
        </row>
        <row r="41">
          <cell r="A41">
            <v>22</v>
          </cell>
          <cell r="B41">
            <v>37761</v>
          </cell>
          <cell r="C41">
            <v>19</v>
          </cell>
          <cell r="F41" t="str">
            <v>Eximbank</v>
          </cell>
          <cell r="G41" t="str">
            <v>Hoà Chí Minh</v>
          </cell>
          <cell r="H41" t="str">
            <v>Traû tieàn mua gaz</v>
          </cell>
          <cell r="I41">
            <v>23922360</v>
          </cell>
        </row>
        <row r="42">
          <cell r="A42">
            <v>19</v>
          </cell>
          <cell r="B42">
            <v>37762</v>
          </cell>
          <cell r="C42">
            <v>8</v>
          </cell>
          <cell r="F42" t="str">
            <v>Coâng Thöông</v>
          </cell>
          <cell r="G42" t="str">
            <v>Kieân Giang</v>
          </cell>
          <cell r="H42" t="str">
            <v>Traû tieàn mua xi maêng 200taán</v>
          </cell>
          <cell r="I42">
            <v>157190000</v>
          </cell>
        </row>
        <row r="43">
          <cell r="A43">
            <v>20</v>
          </cell>
          <cell r="B43">
            <v>37762</v>
          </cell>
          <cell r="C43">
            <v>1</v>
          </cell>
          <cell r="F43" t="str">
            <v>Sôû Giao Dòch II CTVN</v>
          </cell>
          <cell r="G43" t="str">
            <v>Hoà Chí Minh</v>
          </cell>
          <cell r="H43" t="str">
            <v>Traû tieàn mua thuoác laù</v>
          </cell>
          <cell r="I43">
            <v>300000000</v>
          </cell>
        </row>
        <row r="44">
          <cell r="A44">
            <v>23</v>
          </cell>
          <cell r="B44">
            <v>37762</v>
          </cell>
          <cell r="C44">
            <v>31</v>
          </cell>
          <cell r="F44" t="str">
            <v>Sôû Giao Dòch II CTVN</v>
          </cell>
          <cell r="G44" t="str">
            <v>Hoà Chí Minh</v>
          </cell>
          <cell r="H44" t="str">
            <v>Traû tieàn daàu aên( TT.TN.BL)</v>
          </cell>
          <cell r="I44">
            <v>76436404</v>
          </cell>
        </row>
        <row r="45">
          <cell r="A45">
            <v>24</v>
          </cell>
          <cell r="B45">
            <v>37763</v>
          </cell>
          <cell r="C45">
            <v>28</v>
          </cell>
          <cell r="F45" t="str">
            <v>Ñaàu Tö &amp; Phaùt Trieån</v>
          </cell>
          <cell r="G45" t="str">
            <v>Caàn Thô</v>
          </cell>
          <cell r="H45" t="str">
            <v>Traû tieàn mua söõa caùc loaïi</v>
          </cell>
          <cell r="I45">
            <v>213758688</v>
          </cell>
        </row>
        <row r="46">
          <cell r="A46">
            <v>25</v>
          </cell>
          <cell r="B46">
            <v>37764</v>
          </cell>
          <cell r="C46">
            <v>31</v>
          </cell>
          <cell r="F46" t="str">
            <v>Sôû Giao Dòch II CTVN</v>
          </cell>
          <cell r="G46" t="str">
            <v>Hoà Chí Minh</v>
          </cell>
          <cell r="H46" t="str">
            <v>Traû tieàn daàu aên( TT.TN.CM)</v>
          </cell>
          <cell r="I46">
            <v>80386240</v>
          </cell>
        </row>
        <row r="47">
          <cell r="A47">
            <v>26</v>
          </cell>
          <cell r="B47">
            <v>37764</v>
          </cell>
          <cell r="C47">
            <v>27</v>
          </cell>
          <cell r="F47" t="str">
            <v>INDOVINA</v>
          </cell>
          <cell r="G47" t="str">
            <v>Hoà Chí Minh</v>
          </cell>
          <cell r="H47" t="str">
            <v>Traû tieàn mua ñöôøng</v>
          </cell>
          <cell r="I47">
            <v>27650000</v>
          </cell>
        </row>
        <row r="48">
          <cell r="A48">
            <v>21</v>
          </cell>
          <cell r="B48">
            <v>37764</v>
          </cell>
          <cell r="C48">
            <v>5</v>
          </cell>
          <cell r="F48" t="str">
            <v>Coâng Thöong CN6</v>
          </cell>
          <cell r="G48" t="str">
            <v>Hoà Chí Minh</v>
          </cell>
          <cell r="H48" t="str">
            <v>Traû tieàn mua boät ngoït</v>
          </cell>
          <cell r="I48">
            <v>178321565</v>
          </cell>
        </row>
        <row r="49">
          <cell r="A49">
            <v>22</v>
          </cell>
          <cell r="B49">
            <v>37764</v>
          </cell>
          <cell r="C49">
            <v>36</v>
          </cell>
          <cell r="F49" t="str">
            <v>Coâng Thöông</v>
          </cell>
          <cell r="G49" t="str">
            <v>Baø Ròa-Vuõng Taøu</v>
          </cell>
          <cell r="H49" t="str">
            <v>Traû tieàn mua xaêng daàu</v>
          </cell>
          <cell r="I49">
            <v>7700000000</v>
          </cell>
        </row>
        <row r="50">
          <cell r="A50">
            <v>27</v>
          </cell>
          <cell r="B50">
            <v>37764</v>
          </cell>
          <cell r="C50">
            <v>31</v>
          </cell>
          <cell r="F50" t="str">
            <v>Sôû Giao Dòch II CTVN</v>
          </cell>
          <cell r="G50" t="str">
            <v>Hoà Chí Minh</v>
          </cell>
          <cell r="H50" t="str">
            <v>Traû tieàn daàu aên( TT.TN.BL)</v>
          </cell>
          <cell r="I50">
            <v>75292290</v>
          </cell>
        </row>
        <row r="51">
          <cell r="A51">
            <v>28</v>
          </cell>
          <cell r="B51">
            <v>37764</v>
          </cell>
          <cell r="C51">
            <v>83</v>
          </cell>
          <cell r="F51" t="str">
            <v>Ngoaïi Thöông</v>
          </cell>
          <cell r="G51" t="str">
            <v>Hoà Chí Minh</v>
          </cell>
          <cell r="H51" t="str">
            <v>Traû tieàn mua Tivi</v>
          </cell>
          <cell r="I51">
            <v>30206880</v>
          </cell>
        </row>
        <row r="52">
          <cell r="A52">
            <v>29</v>
          </cell>
          <cell r="B52">
            <v>37767</v>
          </cell>
          <cell r="C52">
            <v>28</v>
          </cell>
          <cell r="F52" t="str">
            <v>Ñaàu Tö &amp; Phaùt Trieån</v>
          </cell>
          <cell r="G52" t="str">
            <v>Caàn Thô</v>
          </cell>
          <cell r="H52" t="str">
            <v>Traû tieàn mua söõa caùc loaïi</v>
          </cell>
          <cell r="I52">
            <v>282740000</v>
          </cell>
        </row>
        <row r="53">
          <cell r="A53">
            <v>23</v>
          </cell>
          <cell r="B53">
            <v>37767</v>
          </cell>
          <cell r="C53">
            <v>8</v>
          </cell>
          <cell r="F53" t="str">
            <v>Coâng Thöông</v>
          </cell>
          <cell r="G53" t="str">
            <v>Kieân Giang</v>
          </cell>
          <cell r="H53" t="str">
            <v>Traû tieàn mua xi maêng 250taán</v>
          </cell>
          <cell r="I53">
            <v>196487500</v>
          </cell>
        </row>
        <row r="54">
          <cell r="A54">
            <v>24</v>
          </cell>
          <cell r="B54">
            <v>37767</v>
          </cell>
          <cell r="C54">
            <v>73</v>
          </cell>
          <cell r="F54" t="str">
            <v>Ngoaïi Thöông</v>
          </cell>
          <cell r="G54" t="str">
            <v>Hoà Chí Minh</v>
          </cell>
          <cell r="H54" t="str">
            <v>Traû tieàn mua nöôùc röûa cheùn(TT.CM: 33.298.230ñ ; TT.BL: 34.805.606ñ)</v>
          </cell>
          <cell r="I54">
            <v>68103836</v>
          </cell>
        </row>
        <row r="55">
          <cell r="A55">
            <v>25</v>
          </cell>
          <cell r="B55">
            <v>37768</v>
          </cell>
          <cell r="C55">
            <v>4</v>
          </cell>
          <cell r="F55" t="str">
            <v>Sôû Giao Dòch II  CTVN</v>
          </cell>
          <cell r="G55" t="str">
            <v>Hoà Chí Minh</v>
          </cell>
          <cell r="H55" t="str">
            <v>Traû tieàn mua xaêng daàu</v>
          </cell>
          <cell r="I55">
            <v>4300000000</v>
          </cell>
        </row>
        <row r="56">
          <cell r="A56">
            <v>26</v>
          </cell>
          <cell r="B56">
            <v>37768</v>
          </cell>
          <cell r="C56">
            <v>4</v>
          </cell>
          <cell r="F56" t="str">
            <v>Sôû Giao Dòch II  CTVN</v>
          </cell>
          <cell r="G56" t="str">
            <v>Hoà Chí Minh</v>
          </cell>
          <cell r="H56" t="str">
            <v>Traû tieàn mua xaêng daàu</v>
          </cell>
          <cell r="I56">
            <v>6640000000</v>
          </cell>
        </row>
        <row r="57">
          <cell r="A57">
            <v>27</v>
          </cell>
          <cell r="B57">
            <v>37769</v>
          </cell>
          <cell r="C57">
            <v>90</v>
          </cell>
          <cell r="F57" t="str">
            <v>Coâng Thöông</v>
          </cell>
          <cell r="G57" t="str">
            <v>Caàn Thô</v>
          </cell>
          <cell r="H57" t="str">
            <v>Traû tieàn mì</v>
          </cell>
          <cell r="I57">
            <v>43943642</v>
          </cell>
        </row>
        <row r="58">
          <cell r="A58">
            <v>28</v>
          </cell>
          <cell r="B58">
            <v>37769</v>
          </cell>
          <cell r="C58">
            <v>10</v>
          </cell>
          <cell r="F58" t="str">
            <v>Hoàng Kong&amp; Thöôïng Haûi</v>
          </cell>
          <cell r="G58" t="str">
            <v>Hoà Chí Minh</v>
          </cell>
          <cell r="H58" t="str">
            <v>Traû tieàn mua nhôùt</v>
          </cell>
          <cell r="I58">
            <v>414580000</v>
          </cell>
        </row>
        <row r="59">
          <cell r="A59">
            <v>29</v>
          </cell>
          <cell r="B59">
            <v>37770</v>
          </cell>
          <cell r="C59">
            <v>1</v>
          </cell>
          <cell r="F59" t="str">
            <v>Sôû Giao Dòch II CTVN</v>
          </cell>
          <cell r="G59" t="str">
            <v>Hoà Chí Minh</v>
          </cell>
          <cell r="H59" t="str">
            <v>Traû tieàn mua thuoác laù</v>
          </cell>
          <cell r="I59">
            <v>184825000</v>
          </cell>
        </row>
        <row r="60">
          <cell r="A60">
            <v>30</v>
          </cell>
          <cell r="B60">
            <v>37770</v>
          </cell>
          <cell r="C60">
            <v>12</v>
          </cell>
          <cell r="F60" t="str">
            <v>Coâng Thöông</v>
          </cell>
          <cell r="G60" t="str">
            <v>Phuù Thoï</v>
          </cell>
          <cell r="H60" t="str">
            <v>Traû tieàn mua boät ngoït</v>
          </cell>
          <cell r="I60">
            <v>85317300</v>
          </cell>
        </row>
        <row r="61">
          <cell r="A61">
            <v>31</v>
          </cell>
          <cell r="B61">
            <v>37770</v>
          </cell>
          <cell r="C61">
            <v>41</v>
          </cell>
          <cell r="F61" t="str">
            <v>Coâng Thöông CN 9</v>
          </cell>
          <cell r="G61" t="str">
            <v>Hoà Chí Minh</v>
          </cell>
          <cell r="H61" t="str">
            <v>Traû tieàn mua xi maêng</v>
          </cell>
          <cell r="I61">
            <v>246000000</v>
          </cell>
        </row>
        <row r="62">
          <cell r="A62">
            <v>30</v>
          </cell>
          <cell r="B62">
            <v>37771</v>
          </cell>
          <cell r="C62">
            <v>28</v>
          </cell>
          <cell r="F62" t="str">
            <v>Ñaàu Tö &amp; Phaùt Trieån</v>
          </cell>
          <cell r="G62" t="str">
            <v>Caàn Thô</v>
          </cell>
          <cell r="H62" t="str">
            <v>Traû tieàn mua söõa caùc loaïi</v>
          </cell>
          <cell r="I62">
            <v>387001969</v>
          </cell>
        </row>
        <row r="63">
          <cell r="A63">
            <v>31</v>
          </cell>
          <cell r="B63">
            <v>37771</v>
          </cell>
          <cell r="C63">
            <v>90</v>
          </cell>
          <cell r="F63" t="str">
            <v>Coâng Thöông</v>
          </cell>
          <cell r="G63" t="str">
            <v>Caàn Thô</v>
          </cell>
          <cell r="H63" t="str">
            <v>Traû tieàn mua ñöôøng</v>
          </cell>
          <cell r="I63">
            <v>10243500</v>
          </cell>
        </row>
        <row r="64">
          <cell r="A64">
            <v>1</v>
          </cell>
          <cell r="B64">
            <v>37774</v>
          </cell>
          <cell r="C64">
            <v>28</v>
          </cell>
          <cell r="F64" t="str">
            <v>Ñaàu Tö &amp; Phaùt Trieån</v>
          </cell>
          <cell r="G64" t="str">
            <v>Caàn Thô</v>
          </cell>
          <cell r="H64" t="str">
            <v>Traû tieàn mua söõa caùc loaïi</v>
          </cell>
          <cell r="I64">
            <v>477437721</v>
          </cell>
        </row>
        <row r="65">
          <cell r="A65">
            <v>1</v>
          </cell>
          <cell r="B65">
            <v>37774</v>
          </cell>
          <cell r="C65">
            <v>8</v>
          </cell>
          <cell r="F65" t="str">
            <v>Coâng Thöông</v>
          </cell>
          <cell r="G65" t="str">
            <v>Kieân Giang</v>
          </cell>
          <cell r="H65" t="str">
            <v>Traû tieàn mua xi maêng 200taán</v>
          </cell>
          <cell r="I65">
            <v>160160000</v>
          </cell>
        </row>
        <row r="66">
          <cell r="A66">
            <v>2</v>
          </cell>
          <cell r="B66">
            <v>37774</v>
          </cell>
          <cell r="C66">
            <v>73</v>
          </cell>
          <cell r="F66" t="str">
            <v>Ngoaïi Thöông</v>
          </cell>
          <cell r="G66" t="str">
            <v>Hoà Chí Minh</v>
          </cell>
          <cell r="H66" t="str">
            <v>Traû tieàn mua nöôùc röûa cheùn(TT.TN.CM)</v>
          </cell>
          <cell r="I66">
            <v>27631646</v>
          </cell>
        </row>
        <row r="67">
          <cell r="A67">
            <v>3</v>
          </cell>
          <cell r="B67">
            <v>37774</v>
          </cell>
          <cell r="C67">
            <v>19</v>
          </cell>
          <cell r="F67" t="str">
            <v>Eximbank</v>
          </cell>
          <cell r="G67" t="str">
            <v>Hoà Chí Minh</v>
          </cell>
          <cell r="H67" t="str">
            <v>Traû tieàn mua gaz</v>
          </cell>
          <cell r="I67">
            <v>23922360</v>
          </cell>
        </row>
        <row r="68">
          <cell r="A68">
            <v>4</v>
          </cell>
          <cell r="B68">
            <v>37774</v>
          </cell>
          <cell r="C68">
            <v>31</v>
          </cell>
          <cell r="F68" t="str">
            <v>Sôû Giao Dòch II CTVN</v>
          </cell>
          <cell r="G68" t="str">
            <v>Hoà Chí Minh</v>
          </cell>
          <cell r="H68" t="str">
            <v>Traû tieàn mua daàu aên (TT.CM : 76.365.168ñ ) daàu xaù traïm Caàn Thô : 26.999.500ñ</v>
          </cell>
          <cell r="I68">
            <v>103364668</v>
          </cell>
        </row>
        <row r="69">
          <cell r="A69">
            <v>2</v>
          </cell>
          <cell r="B69">
            <v>37775</v>
          </cell>
          <cell r="C69">
            <v>3</v>
          </cell>
          <cell r="F69" t="str">
            <v>Coâng Thöông CN 14</v>
          </cell>
          <cell r="G69" t="str">
            <v>Hoà Chí Minh</v>
          </cell>
          <cell r="H69" t="str">
            <v>Traû tieàn mua boät giaët</v>
          </cell>
          <cell r="I69">
            <v>320000000</v>
          </cell>
        </row>
        <row r="70">
          <cell r="A70">
            <v>3</v>
          </cell>
          <cell r="B70">
            <v>37775</v>
          </cell>
          <cell r="C70">
            <v>5</v>
          </cell>
          <cell r="F70" t="str">
            <v>Coâng Thöong CN6</v>
          </cell>
          <cell r="G70" t="str">
            <v>Hoà Chí Minh</v>
          </cell>
          <cell r="H70" t="str">
            <v>Traû tieàn mua boät ngoït</v>
          </cell>
          <cell r="I70">
            <v>253568855</v>
          </cell>
        </row>
        <row r="71">
          <cell r="A71">
            <v>4</v>
          </cell>
          <cell r="B71">
            <v>37775</v>
          </cell>
          <cell r="C71">
            <v>14</v>
          </cell>
          <cell r="F71" t="str">
            <v>Coâng Thöông CN I</v>
          </cell>
          <cell r="G71" t="str">
            <v>Hoà Chí Minh</v>
          </cell>
          <cell r="H71" t="str">
            <v>Traû tieàn mua haøng cho CN Theùp Mieàn Nam taïi Caàn Thô</v>
          </cell>
          <cell r="I71">
            <v>220921628</v>
          </cell>
        </row>
        <row r="72">
          <cell r="A72">
            <v>5</v>
          </cell>
          <cell r="B72">
            <v>37775</v>
          </cell>
          <cell r="C72">
            <v>25</v>
          </cell>
          <cell r="F72" t="str">
            <v>NN &amp; P/T N/Thoân</v>
          </cell>
          <cell r="G72" t="str">
            <v>Baïc Lieâu</v>
          </cell>
          <cell r="H72" t="str">
            <v>Noäp BHXH,BHYT thaùng 5/2003</v>
          </cell>
          <cell r="I72">
            <v>23806564</v>
          </cell>
        </row>
        <row r="73">
          <cell r="A73">
            <v>6</v>
          </cell>
          <cell r="B73">
            <v>37775</v>
          </cell>
          <cell r="C73">
            <v>79</v>
          </cell>
          <cell r="F73" t="str">
            <v>T.M.C.P SG Coâng Thöông CN Bình Chaùnh</v>
          </cell>
          <cell r="G73" t="str">
            <v>Hoà Chí Minh</v>
          </cell>
          <cell r="H73" t="str">
            <v>Traû tieàn mua nöôùc ngoït (TT.CM)</v>
          </cell>
          <cell r="I73">
            <v>12045000</v>
          </cell>
        </row>
        <row r="74">
          <cell r="A74">
            <v>7</v>
          </cell>
          <cell r="B74">
            <v>37775</v>
          </cell>
          <cell r="C74">
            <v>66</v>
          </cell>
          <cell r="F74" t="str">
            <v>ANZ</v>
          </cell>
          <cell r="G74" t="str">
            <v>Hoà Chí Minh</v>
          </cell>
          <cell r="H74" t="str">
            <v>Traû tieàn mua mì UNI</v>
          </cell>
          <cell r="I74">
            <v>45995586</v>
          </cell>
        </row>
        <row r="75">
          <cell r="A75">
            <v>8</v>
          </cell>
          <cell r="B75">
            <v>37775</v>
          </cell>
          <cell r="C75">
            <v>93</v>
          </cell>
          <cell r="F75" t="str">
            <v>Coâng Thöông CN 12</v>
          </cell>
          <cell r="G75" t="str">
            <v>Hoà Chí Minh</v>
          </cell>
          <cell r="H75" t="str">
            <v>Traû tieàn mua giaáy vieãn ñoâng</v>
          </cell>
          <cell r="I75">
            <v>20372022</v>
          </cell>
        </row>
        <row r="76">
          <cell r="A76">
            <v>9</v>
          </cell>
          <cell r="B76">
            <v>37776</v>
          </cell>
          <cell r="C76">
            <v>96</v>
          </cell>
          <cell r="F76" t="str">
            <v>Noâng Nghieäp Kieân Löông</v>
          </cell>
          <cell r="G76" t="str">
            <v>Kieân Giang</v>
          </cell>
          <cell r="H76" t="str">
            <v xml:space="preserve">Traû tieàn mua xi maêng </v>
          </cell>
          <cell r="I76">
            <v>34912500</v>
          </cell>
        </row>
        <row r="77">
          <cell r="A77">
            <v>10</v>
          </cell>
          <cell r="B77">
            <v>37776</v>
          </cell>
          <cell r="C77">
            <v>28</v>
          </cell>
          <cell r="F77" t="str">
            <v>Ñaàu Tö &amp; Phaùt Trieån</v>
          </cell>
          <cell r="G77" t="str">
            <v>Caàn Thô</v>
          </cell>
          <cell r="H77" t="str">
            <v>Traû tieàn mua söõa caùc loaïi</v>
          </cell>
          <cell r="I77">
            <v>412585425</v>
          </cell>
        </row>
        <row r="78">
          <cell r="A78">
            <v>11</v>
          </cell>
          <cell r="B78">
            <v>37776</v>
          </cell>
          <cell r="C78">
            <v>94</v>
          </cell>
          <cell r="F78" t="str">
            <v>Coâng Thöông CN 9</v>
          </cell>
          <cell r="G78" t="str">
            <v>Hoà Chí Minh</v>
          </cell>
          <cell r="H78" t="str">
            <v>Traû tieàn mua chaùo Bình Tieân</v>
          </cell>
          <cell r="I78">
            <v>5909000</v>
          </cell>
        </row>
        <row r="79">
          <cell r="A79">
            <v>12</v>
          </cell>
          <cell r="B79">
            <v>37777</v>
          </cell>
          <cell r="C79">
            <v>31</v>
          </cell>
          <cell r="F79" t="str">
            <v>Sôû Giao Dòch II CTVN</v>
          </cell>
          <cell r="G79" t="str">
            <v>Hoà Chí Minh</v>
          </cell>
          <cell r="H79" t="str">
            <v>Traû tieàn daàu aên( TT.TN.BL)</v>
          </cell>
          <cell r="I79">
            <v>76906808</v>
          </cell>
        </row>
        <row r="80">
          <cell r="A80">
            <v>13</v>
          </cell>
          <cell r="B80">
            <v>37777</v>
          </cell>
          <cell r="C80">
            <v>27</v>
          </cell>
          <cell r="F80" t="str">
            <v>INDOVINA</v>
          </cell>
          <cell r="G80" t="str">
            <v>Hoà Chí Minh</v>
          </cell>
          <cell r="H80" t="str">
            <v>Traû tieàn mua ñöôøng</v>
          </cell>
          <cell r="I80">
            <v>55300000</v>
          </cell>
        </row>
        <row r="81">
          <cell r="A81">
            <v>5</v>
          </cell>
          <cell r="B81">
            <v>37778</v>
          </cell>
          <cell r="C81">
            <v>36</v>
          </cell>
          <cell r="F81" t="str">
            <v>Coâng Thöông</v>
          </cell>
          <cell r="G81" t="str">
            <v>Baø Ròa-Vuõng Taøu</v>
          </cell>
          <cell r="H81" t="str">
            <v>Traû tieàn mua xaêng daàu</v>
          </cell>
          <cell r="I81">
            <v>1710000000</v>
          </cell>
        </row>
        <row r="82">
          <cell r="A82">
            <v>6</v>
          </cell>
          <cell r="B82">
            <v>37778</v>
          </cell>
          <cell r="C82">
            <v>8</v>
          </cell>
          <cell r="F82" t="str">
            <v>Coâng Thöông</v>
          </cell>
          <cell r="G82" t="str">
            <v>Kieân Giang</v>
          </cell>
          <cell r="H82" t="str">
            <v>Traû tieàn mua xi maêng 250taán</v>
          </cell>
          <cell r="I82">
            <v>200200000</v>
          </cell>
        </row>
        <row r="83">
          <cell r="A83">
            <v>14</v>
          </cell>
          <cell r="B83">
            <v>37781</v>
          </cell>
          <cell r="C83">
            <v>31</v>
          </cell>
          <cell r="F83" t="str">
            <v>Sôû Giao Dòch II CTVN</v>
          </cell>
          <cell r="G83" t="str">
            <v>Hoà Chí Minh</v>
          </cell>
          <cell r="H83" t="str">
            <v>Traû tieàn daàu aên( TT.TN.CM)</v>
          </cell>
          <cell r="I83">
            <v>118206000</v>
          </cell>
        </row>
        <row r="84">
          <cell r="A84">
            <v>15</v>
          </cell>
          <cell r="B84">
            <v>37782</v>
          </cell>
          <cell r="C84">
            <v>77</v>
          </cell>
          <cell r="F84" t="str">
            <v>Coâng Thöông CN 4</v>
          </cell>
          <cell r="G84" t="str">
            <v>Hoà Chí Minh</v>
          </cell>
          <cell r="H84" t="str">
            <v>Traû tieàn mua Tivi</v>
          </cell>
          <cell r="I84">
            <v>34371189</v>
          </cell>
        </row>
        <row r="85">
          <cell r="A85">
            <v>16</v>
          </cell>
          <cell r="B85">
            <v>37782</v>
          </cell>
          <cell r="C85">
            <v>44</v>
          </cell>
          <cell r="F85" t="str">
            <v xml:space="preserve">Coâng Thöông </v>
          </cell>
          <cell r="G85" t="str">
            <v>Baïc Lieâu</v>
          </cell>
          <cell r="H85" t="str">
            <v>Traû tieàn ñieän thoaïi thaùng 5/2003</v>
          </cell>
          <cell r="I85">
            <v>10124274</v>
          </cell>
        </row>
        <row r="86">
          <cell r="A86">
            <v>7</v>
          </cell>
          <cell r="B86">
            <v>37782</v>
          </cell>
          <cell r="C86">
            <v>5</v>
          </cell>
          <cell r="F86" t="str">
            <v>Coâng Thöong CN6</v>
          </cell>
          <cell r="G86" t="str">
            <v>Hoà Chí Minh</v>
          </cell>
          <cell r="H86" t="str">
            <v>Traû tieàn mua boät ngoït</v>
          </cell>
          <cell r="I86">
            <v>267589825</v>
          </cell>
        </row>
        <row r="87">
          <cell r="A87">
            <v>8</v>
          </cell>
          <cell r="B87">
            <v>37782</v>
          </cell>
          <cell r="C87">
            <v>1</v>
          </cell>
          <cell r="F87" t="str">
            <v>Sôû Giao Dòch II CTVN</v>
          </cell>
          <cell r="G87" t="str">
            <v>Hoà Chí Minh</v>
          </cell>
          <cell r="H87" t="str">
            <v>Traû tieàn mua thuoác laù</v>
          </cell>
          <cell r="I87">
            <v>185000000</v>
          </cell>
        </row>
        <row r="88">
          <cell r="A88">
            <v>9</v>
          </cell>
          <cell r="B88">
            <v>37782</v>
          </cell>
          <cell r="C88">
            <v>10</v>
          </cell>
          <cell r="F88" t="str">
            <v>Hoàng Kong&amp; Thöôïng Haûi</v>
          </cell>
          <cell r="G88" t="str">
            <v>Hoà Chí Minh</v>
          </cell>
          <cell r="H88" t="str">
            <v>Traû tieàn mua nhôùt</v>
          </cell>
          <cell r="I88">
            <v>275280000</v>
          </cell>
        </row>
        <row r="89">
          <cell r="A89">
            <v>17</v>
          </cell>
          <cell r="B89">
            <v>37783</v>
          </cell>
          <cell r="C89">
            <v>28</v>
          </cell>
          <cell r="F89" t="str">
            <v>Ñaàu Tö &amp; Phaùt Trieån</v>
          </cell>
          <cell r="G89" t="str">
            <v>Caàn Thô</v>
          </cell>
          <cell r="H89" t="str">
            <v>Traû tieàn mua söõa caùc loaïi</v>
          </cell>
          <cell r="I89">
            <v>383158406</v>
          </cell>
        </row>
        <row r="90">
          <cell r="A90">
            <v>18</v>
          </cell>
          <cell r="B90">
            <v>37783</v>
          </cell>
          <cell r="C90">
            <v>62</v>
          </cell>
          <cell r="F90" t="str">
            <v>Ñaàu Tö vaø Phaùt Trieån</v>
          </cell>
          <cell r="G90" t="str">
            <v>Soùc Traêng</v>
          </cell>
          <cell r="H90" t="str">
            <v>Traû tieàn mua boàn nhieân lieäu</v>
          </cell>
          <cell r="I90">
            <v>40000000</v>
          </cell>
        </row>
        <row r="91">
          <cell r="A91">
            <v>10</v>
          </cell>
          <cell r="B91">
            <v>37784</v>
          </cell>
          <cell r="C91">
            <v>8</v>
          </cell>
          <cell r="F91" t="str">
            <v>Coâng Thöông</v>
          </cell>
          <cell r="G91" t="str">
            <v>Kieân Giang</v>
          </cell>
          <cell r="H91" t="str">
            <v>Traû tieàn mua xi maêng 200taán</v>
          </cell>
          <cell r="I91">
            <v>160160000</v>
          </cell>
        </row>
        <row r="92">
          <cell r="A92">
            <v>19</v>
          </cell>
          <cell r="B92">
            <v>37784</v>
          </cell>
          <cell r="C92">
            <v>95</v>
          </cell>
          <cell r="F92" t="str">
            <v>Ñaàu Tö &amp; Phaùt Trieån</v>
          </cell>
          <cell r="G92" t="str">
            <v>Caàn Thô</v>
          </cell>
          <cell r="H92" t="str">
            <v>Traû tieàn haøng may maëc</v>
          </cell>
          <cell r="I92">
            <v>1503393</v>
          </cell>
        </row>
        <row r="93">
          <cell r="A93">
            <v>20</v>
          </cell>
          <cell r="B93">
            <v>37784</v>
          </cell>
          <cell r="C93">
            <v>83</v>
          </cell>
          <cell r="F93" t="str">
            <v>Ngoaïi Thöông</v>
          </cell>
          <cell r="G93" t="str">
            <v>Hoà Chí Minh</v>
          </cell>
          <cell r="H93" t="str">
            <v>Traû tieàn mua Tivi</v>
          </cell>
          <cell r="I93">
            <v>46154900</v>
          </cell>
        </row>
        <row r="94">
          <cell r="A94">
            <v>21</v>
          </cell>
          <cell r="B94">
            <v>37784</v>
          </cell>
          <cell r="C94">
            <v>76</v>
          </cell>
          <cell r="F94" t="str">
            <v>Ngoaïi Thöông</v>
          </cell>
          <cell r="G94" t="str">
            <v>Ñoàng Nai</v>
          </cell>
          <cell r="H94" t="str">
            <v>Traû tieàn mua Tivi</v>
          </cell>
          <cell r="I94">
            <v>27994000</v>
          </cell>
        </row>
        <row r="95">
          <cell r="A95">
            <v>11</v>
          </cell>
          <cell r="B95">
            <v>37785</v>
          </cell>
          <cell r="C95">
            <v>56</v>
          </cell>
          <cell r="F95" t="str">
            <v>Coâng Thöông</v>
          </cell>
          <cell r="G95" t="str">
            <v>Caàn Thô</v>
          </cell>
          <cell r="H95" t="str">
            <v>Traû tieàn mua xaêng daàu</v>
          </cell>
          <cell r="I95">
            <v>1793600000</v>
          </cell>
        </row>
        <row r="96">
          <cell r="A96">
            <v>22</v>
          </cell>
          <cell r="B96">
            <v>37785</v>
          </cell>
          <cell r="C96">
            <v>73</v>
          </cell>
          <cell r="F96" t="str">
            <v>Ngoaïi Thöông</v>
          </cell>
          <cell r="G96" t="str">
            <v>Hoà Chí Minh</v>
          </cell>
          <cell r="H96" t="str">
            <v>Traû tieàn mua nöôùc röûa cheùn(TT.CM: 25.281.910ñ ; TT.BL: 76.233.426ñ)</v>
          </cell>
          <cell r="I96">
            <v>101515336</v>
          </cell>
        </row>
        <row r="97">
          <cell r="A97">
            <v>23</v>
          </cell>
          <cell r="B97">
            <v>37785</v>
          </cell>
          <cell r="C97">
            <v>27</v>
          </cell>
          <cell r="F97" t="str">
            <v>INDOVINA</v>
          </cell>
          <cell r="G97" t="str">
            <v>Hoà Chí Minh</v>
          </cell>
          <cell r="H97" t="str">
            <v>Traû tieàn mua ñöôøng</v>
          </cell>
          <cell r="I97">
            <v>27650000</v>
          </cell>
        </row>
        <row r="98">
          <cell r="A98">
            <v>11</v>
          </cell>
          <cell r="B98">
            <v>37785</v>
          </cell>
          <cell r="C98">
            <v>56</v>
          </cell>
          <cell r="F98" t="str">
            <v>Coâng Thöông</v>
          </cell>
          <cell r="G98" t="str">
            <v>Caàn Thô</v>
          </cell>
          <cell r="H98" t="str">
            <v>Traû tieàn mua xaêng daàu</v>
          </cell>
          <cell r="I98">
            <v>1793600000</v>
          </cell>
        </row>
        <row r="99">
          <cell r="A99">
            <v>24</v>
          </cell>
          <cell r="B99">
            <v>37785</v>
          </cell>
          <cell r="C99">
            <v>31</v>
          </cell>
          <cell r="F99" t="str">
            <v>Sôû Giao Dòch II CTVN</v>
          </cell>
          <cell r="G99" t="str">
            <v>Hoà Chí Minh</v>
          </cell>
          <cell r="H99" t="str">
            <v>Traû tieàn daàu aên( TT.TN.CM)</v>
          </cell>
          <cell r="I99">
            <v>74527992</v>
          </cell>
        </row>
        <row r="100">
          <cell r="A100">
            <v>12</v>
          </cell>
          <cell r="B100">
            <v>37785</v>
          </cell>
          <cell r="C100">
            <v>69</v>
          </cell>
          <cell r="F100" t="str">
            <v>Coâng Thöông CN 5</v>
          </cell>
          <cell r="G100" t="str">
            <v>Hoà Chí Minh</v>
          </cell>
          <cell r="H100" t="str">
            <v>Traû tieàn mua daàu FO</v>
          </cell>
          <cell r="I100">
            <v>269280000</v>
          </cell>
        </row>
        <row r="101">
          <cell r="A101">
            <v>13</v>
          </cell>
          <cell r="B101">
            <v>37788</v>
          </cell>
          <cell r="C101">
            <v>8</v>
          </cell>
          <cell r="F101" t="str">
            <v>Coâng Thöông</v>
          </cell>
          <cell r="G101" t="str">
            <v>Kieân Giang</v>
          </cell>
          <cell r="H101" t="str">
            <v>Traû tieàn mua xi maêng 200taán</v>
          </cell>
          <cell r="I101">
            <v>160160000</v>
          </cell>
        </row>
        <row r="102">
          <cell r="A102">
            <v>14</v>
          </cell>
          <cell r="B102">
            <v>37788</v>
          </cell>
          <cell r="C102">
            <v>5</v>
          </cell>
          <cell r="F102" t="str">
            <v>Coâng Thöong CN6</v>
          </cell>
          <cell r="G102" t="str">
            <v>Hoà Chí Minh</v>
          </cell>
          <cell r="H102" t="str">
            <v>Traû tieàn mua boät ngoït</v>
          </cell>
          <cell r="I102">
            <v>412067254</v>
          </cell>
        </row>
        <row r="103">
          <cell r="A103">
            <v>15</v>
          </cell>
          <cell r="B103">
            <v>37788</v>
          </cell>
          <cell r="C103">
            <v>41</v>
          </cell>
          <cell r="F103" t="str">
            <v>Coâng Thöông CN 9</v>
          </cell>
          <cell r="G103" t="str">
            <v>Hoà Chí Minh</v>
          </cell>
          <cell r="H103" t="str">
            <v>Traû tieàn mua xi maêng 400 taán</v>
          </cell>
          <cell r="I103">
            <v>328000000</v>
          </cell>
        </row>
        <row r="104">
          <cell r="A104">
            <v>25</v>
          </cell>
          <cell r="B104">
            <v>37788</v>
          </cell>
          <cell r="C104">
            <v>31</v>
          </cell>
          <cell r="F104" t="str">
            <v>Sôû Giao Dòch II CTVN</v>
          </cell>
          <cell r="G104" t="str">
            <v>Hoà Chí Minh</v>
          </cell>
          <cell r="H104" t="str">
            <v>Traû tieàn daàu aên( TT.TN.BL)</v>
          </cell>
          <cell r="I104">
            <v>69654749</v>
          </cell>
        </row>
        <row r="105">
          <cell r="A105">
            <v>26</v>
          </cell>
          <cell r="B105">
            <v>37788</v>
          </cell>
          <cell r="C105">
            <v>73</v>
          </cell>
          <cell r="F105" t="str">
            <v>Ngoaïi Thöông</v>
          </cell>
          <cell r="G105" t="str">
            <v>Hoà Chí Minh</v>
          </cell>
          <cell r="H105" t="str">
            <v>Traû tieàn mua nöôùc röûa cheùn(TT.TN.CM)</v>
          </cell>
          <cell r="I105">
            <v>27352179</v>
          </cell>
        </row>
        <row r="106">
          <cell r="A106">
            <v>27</v>
          </cell>
          <cell r="B106">
            <v>37788</v>
          </cell>
          <cell r="C106">
            <v>66</v>
          </cell>
          <cell r="F106" t="str">
            <v>ANZ</v>
          </cell>
          <cell r="G106" t="str">
            <v>Hoà Chí Minh</v>
          </cell>
          <cell r="H106" t="str">
            <v>Traû tieàn mua mì UNI</v>
          </cell>
          <cell r="I106">
            <v>53795484</v>
          </cell>
        </row>
        <row r="107">
          <cell r="A107">
            <v>28</v>
          </cell>
          <cell r="B107">
            <v>37789</v>
          </cell>
          <cell r="C107">
            <v>77</v>
          </cell>
          <cell r="F107" t="str">
            <v>Coâng Thöông CN 4</v>
          </cell>
          <cell r="G107" t="str">
            <v>Hoà Chí Minh</v>
          </cell>
          <cell r="H107" t="str">
            <v>Traû tieàn mua haøng ñieän töû</v>
          </cell>
          <cell r="I107">
            <v>32797991</v>
          </cell>
        </row>
        <row r="108">
          <cell r="A108">
            <v>29</v>
          </cell>
          <cell r="B108">
            <v>37790</v>
          </cell>
          <cell r="C108">
            <v>73</v>
          </cell>
          <cell r="F108" t="str">
            <v>Ngoaïi Thöông</v>
          </cell>
          <cell r="G108" t="str">
            <v>Hoà Chí Minh</v>
          </cell>
          <cell r="H108" t="str">
            <v>Traû tieàn mua nöôùc röûa cheùn(TT.TN.BL)</v>
          </cell>
          <cell r="I108">
            <v>54477574</v>
          </cell>
        </row>
        <row r="109">
          <cell r="A109">
            <v>30</v>
          </cell>
          <cell r="B109">
            <v>37790</v>
          </cell>
          <cell r="C109">
            <v>83</v>
          </cell>
          <cell r="F109" t="str">
            <v>Ngoaïi Thöông</v>
          </cell>
          <cell r="G109" t="str">
            <v>Hoà Chí Minh</v>
          </cell>
          <cell r="H109" t="str">
            <v>Traû tieàn mua Tivi</v>
          </cell>
          <cell r="I109">
            <v>14927000</v>
          </cell>
        </row>
        <row r="110">
          <cell r="A110">
            <v>16</v>
          </cell>
          <cell r="B110">
            <v>37790</v>
          </cell>
          <cell r="C110">
            <v>8</v>
          </cell>
          <cell r="F110" t="str">
            <v>Coâng Thöông</v>
          </cell>
          <cell r="G110" t="str">
            <v>Kieân Giang</v>
          </cell>
          <cell r="H110" t="str">
            <v>Traû tieàn mua xi maêng 100taán</v>
          </cell>
          <cell r="I110">
            <v>80080000</v>
          </cell>
        </row>
        <row r="111">
          <cell r="A111">
            <v>17</v>
          </cell>
          <cell r="B111">
            <v>37790</v>
          </cell>
          <cell r="C111">
            <v>36</v>
          </cell>
          <cell r="F111" t="str">
            <v>Coâng Thöông</v>
          </cell>
          <cell r="G111" t="str">
            <v>Baø Ròa-Vuõng Taøu</v>
          </cell>
          <cell r="H111" t="str">
            <v>Traû tieàn mua xaêng daàu</v>
          </cell>
          <cell r="I111">
            <v>170000000</v>
          </cell>
        </row>
        <row r="112">
          <cell r="A112">
            <v>18</v>
          </cell>
          <cell r="B112">
            <v>37790</v>
          </cell>
          <cell r="C112">
            <v>90</v>
          </cell>
          <cell r="F112" t="str">
            <v>Coâng Thöông</v>
          </cell>
          <cell r="G112" t="str">
            <v>Caàn Thô</v>
          </cell>
          <cell r="H112" t="str">
            <v>Traû tieàn mua ñöôøng</v>
          </cell>
          <cell r="I112">
            <v>10216000</v>
          </cell>
        </row>
        <row r="113">
          <cell r="A113">
            <v>19</v>
          </cell>
          <cell r="B113">
            <v>37790</v>
          </cell>
          <cell r="C113">
            <v>36</v>
          </cell>
          <cell r="F113" t="str">
            <v>Coâng Thöông</v>
          </cell>
          <cell r="G113" t="str">
            <v>Baø Ròa-Vuõng Taøu</v>
          </cell>
          <cell r="H113" t="str">
            <v>Traû tieàn mua xaêng daàu</v>
          </cell>
          <cell r="I113">
            <v>1390000000</v>
          </cell>
        </row>
        <row r="114">
          <cell r="A114">
            <v>20</v>
          </cell>
          <cell r="B114">
            <v>37791</v>
          </cell>
          <cell r="C114">
            <v>3</v>
          </cell>
          <cell r="F114" t="str">
            <v>Coâng Thöông CN 14</v>
          </cell>
          <cell r="G114" t="str">
            <v>Hoà Chí Minh</v>
          </cell>
          <cell r="H114" t="str">
            <v>Traû tieàn mua boät giaët</v>
          </cell>
          <cell r="I114">
            <v>300000000</v>
          </cell>
        </row>
        <row r="115">
          <cell r="A115">
            <v>31</v>
          </cell>
          <cell r="B115">
            <v>37791</v>
          </cell>
          <cell r="C115">
            <v>28</v>
          </cell>
          <cell r="F115" t="str">
            <v>Ñaàu Tö &amp; Phaùt Trieån</v>
          </cell>
          <cell r="G115" t="str">
            <v>Caàn Thô</v>
          </cell>
          <cell r="H115" t="str">
            <v>Traû tieàn mua söõa caùc loaïi</v>
          </cell>
          <cell r="I115">
            <v>224711795</v>
          </cell>
        </row>
        <row r="116">
          <cell r="A116">
            <v>32</v>
          </cell>
          <cell r="B116">
            <v>37791</v>
          </cell>
          <cell r="C116">
            <v>4</v>
          </cell>
          <cell r="F116" t="str">
            <v>Sôû Giao Dòch II  CTVN</v>
          </cell>
          <cell r="G116" t="str">
            <v>Hoà Chí Minh</v>
          </cell>
          <cell r="H116" t="str">
            <v>Traû tieàn mua truï bôm theo thoâng baùo ngaøy 18/6/2003</v>
          </cell>
          <cell r="I116">
            <v>50400000</v>
          </cell>
        </row>
        <row r="117">
          <cell r="A117">
            <v>33</v>
          </cell>
          <cell r="B117">
            <v>37791</v>
          </cell>
          <cell r="C117">
            <v>68</v>
          </cell>
          <cell r="F117" t="str">
            <v>Sôû Giao Dòch II CTVN</v>
          </cell>
          <cell r="G117" t="str">
            <v>Hoà Chí Minh</v>
          </cell>
          <cell r="H117" t="str">
            <v>Traû tieàn mua daàu aên Töôøng An</v>
          </cell>
          <cell r="I117">
            <v>22716430</v>
          </cell>
        </row>
        <row r="118">
          <cell r="A118">
            <v>34</v>
          </cell>
          <cell r="B118">
            <v>37792</v>
          </cell>
          <cell r="C118">
            <v>73</v>
          </cell>
          <cell r="F118" t="str">
            <v>Ngoaïi Thöông</v>
          </cell>
          <cell r="G118" t="str">
            <v>Hoà Chí Minh</v>
          </cell>
          <cell r="H118" t="str">
            <v>Traû tieàn mua nöôùc röûa cheùn(TT.CM: 27.813.983ñ ; TT.BL: 32.331.479ñ)</v>
          </cell>
          <cell r="I118">
            <v>60145462</v>
          </cell>
        </row>
        <row r="119">
          <cell r="A119">
            <v>35</v>
          </cell>
          <cell r="B119">
            <v>37792</v>
          </cell>
          <cell r="C119">
            <v>31</v>
          </cell>
          <cell r="F119" t="str">
            <v>Sôû Giao Dòch II CTVN</v>
          </cell>
          <cell r="G119" t="str">
            <v>Hoà Chí Minh</v>
          </cell>
          <cell r="H119" t="str">
            <v>Traû tieàn daàu aên( TT.TN.BL)</v>
          </cell>
          <cell r="I119">
            <v>80666564</v>
          </cell>
        </row>
        <row r="120">
          <cell r="A120">
            <v>21</v>
          </cell>
          <cell r="B120">
            <v>37792</v>
          </cell>
          <cell r="C120">
            <v>8</v>
          </cell>
          <cell r="F120" t="str">
            <v>Coâng Thöông</v>
          </cell>
          <cell r="G120" t="str">
            <v>Kieân Giang</v>
          </cell>
          <cell r="H120" t="str">
            <v>Traû tieàn mua xi maêng 200taán</v>
          </cell>
          <cell r="I120">
            <v>160160000</v>
          </cell>
        </row>
        <row r="121">
          <cell r="A121">
            <v>36</v>
          </cell>
          <cell r="B121">
            <v>37792</v>
          </cell>
          <cell r="C121">
            <v>25</v>
          </cell>
          <cell r="F121" t="str">
            <v>NN &amp; P/T N/Thoân</v>
          </cell>
          <cell r="G121" t="str">
            <v>Baïc Lieâu</v>
          </cell>
          <cell r="H121" t="str">
            <v>Noäp BHXH,BHYT thaùng 6/2003</v>
          </cell>
          <cell r="I121">
            <v>15074407</v>
          </cell>
        </row>
        <row r="122">
          <cell r="A122">
            <v>37</v>
          </cell>
          <cell r="B122">
            <v>37792</v>
          </cell>
          <cell r="C122">
            <v>83</v>
          </cell>
          <cell r="F122" t="str">
            <v>Ngoaïi Thöông</v>
          </cell>
          <cell r="G122" t="str">
            <v>Hoà Chí Minh</v>
          </cell>
          <cell r="H122" t="str">
            <v>Traû tieàn mua Tivi</v>
          </cell>
          <cell r="I122">
            <v>12397000</v>
          </cell>
        </row>
        <row r="123">
          <cell r="A123">
            <v>38</v>
          </cell>
          <cell r="B123">
            <v>37792</v>
          </cell>
          <cell r="C123">
            <v>31</v>
          </cell>
          <cell r="F123" t="str">
            <v>Sôû Giao Dòch II CTVN</v>
          </cell>
          <cell r="G123" t="str">
            <v>Hoà Chí Minh</v>
          </cell>
          <cell r="H123" t="str">
            <v>Traû tieàn daàu aên( TT.TN.BL)</v>
          </cell>
          <cell r="I123">
            <v>76920615</v>
          </cell>
        </row>
        <row r="124">
          <cell r="A124">
            <v>22</v>
          </cell>
          <cell r="B124">
            <v>37795</v>
          </cell>
          <cell r="C124">
            <v>36</v>
          </cell>
          <cell r="F124" t="str">
            <v>Coâng Thöông</v>
          </cell>
          <cell r="G124" t="str">
            <v>Baø Ròa-Vuõng Taøu</v>
          </cell>
          <cell r="H124" t="str">
            <v>Traû tieàn mua xaêng daàu</v>
          </cell>
          <cell r="I124">
            <v>2300000000</v>
          </cell>
        </row>
        <row r="125">
          <cell r="A125">
            <v>23</v>
          </cell>
          <cell r="B125">
            <v>37795</v>
          </cell>
          <cell r="C125">
            <v>16</v>
          </cell>
          <cell r="F125" t="str">
            <v>Ngoaïi Thöông</v>
          </cell>
          <cell r="G125" t="str">
            <v>Hoà Chí Minh</v>
          </cell>
          <cell r="H125" t="str">
            <v>Traû tieàn mua xaêng daàu</v>
          </cell>
          <cell r="I125">
            <v>1500000000</v>
          </cell>
        </row>
        <row r="126">
          <cell r="A126">
            <v>40</v>
          </cell>
          <cell r="B126">
            <v>37795</v>
          </cell>
          <cell r="C126">
            <v>73</v>
          </cell>
          <cell r="F126" t="str">
            <v>Ngoaïi Thöông</v>
          </cell>
          <cell r="G126" t="str">
            <v>Hoà Chí Minh</v>
          </cell>
          <cell r="H126" t="str">
            <v>Traû tieàn mua nöôùc röûa cheùn(TT.TN.BL)</v>
          </cell>
          <cell r="I126">
            <v>35430157</v>
          </cell>
        </row>
        <row r="127">
          <cell r="A127">
            <v>39</v>
          </cell>
          <cell r="B127">
            <v>37795</v>
          </cell>
          <cell r="C127">
            <v>19</v>
          </cell>
          <cell r="F127" t="str">
            <v>Eximbank</v>
          </cell>
          <cell r="G127" t="str">
            <v>Hoà Chí Minh</v>
          </cell>
          <cell r="H127" t="str">
            <v>Traû tieàn mua gaz</v>
          </cell>
          <cell r="I127">
            <v>27703650</v>
          </cell>
        </row>
        <row r="128">
          <cell r="A128">
            <v>24</v>
          </cell>
          <cell r="B128">
            <v>37795</v>
          </cell>
          <cell r="C128">
            <v>90</v>
          </cell>
          <cell r="F128" t="str">
            <v>Coâng Thöông</v>
          </cell>
          <cell r="G128" t="str">
            <v>Caàn Thô</v>
          </cell>
          <cell r="H128" t="str">
            <v>Traû tieàn mua ñöôøng</v>
          </cell>
          <cell r="I128">
            <v>10216000</v>
          </cell>
        </row>
        <row r="129">
          <cell r="A129">
            <v>25</v>
          </cell>
          <cell r="B129">
            <v>37795</v>
          </cell>
          <cell r="C129">
            <v>4</v>
          </cell>
          <cell r="F129" t="str">
            <v>Sôû Giao Dòch II  CTVN</v>
          </cell>
          <cell r="G129" t="str">
            <v>Hoà Chí Minh</v>
          </cell>
          <cell r="H129" t="str">
            <v>Traû tieàn mua xaêng daàu</v>
          </cell>
          <cell r="I129">
            <v>2500000000</v>
          </cell>
        </row>
        <row r="130">
          <cell r="A130">
            <v>41</v>
          </cell>
          <cell r="B130">
            <v>37796</v>
          </cell>
          <cell r="C130">
            <v>73</v>
          </cell>
          <cell r="F130" t="str">
            <v>Ngoaïi Thöông</v>
          </cell>
          <cell r="G130" t="str">
            <v>Hoà Chí Minh</v>
          </cell>
          <cell r="H130" t="str">
            <v>Traû tieàn mua nöôùc röûa cheùn(TT.Baïc Lieâu)</v>
          </cell>
          <cell r="I130">
            <v>67176554</v>
          </cell>
        </row>
        <row r="131">
          <cell r="A131">
            <v>42</v>
          </cell>
          <cell r="B131">
            <v>37796</v>
          </cell>
          <cell r="C131">
            <v>31</v>
          </cell>
          <cell r="F131" t="str">
            <v>Sôû Giao Dòch II CTVN</v>
          </cell>
          <cell r="G131" t="str">
            <v>Hoà Chí Minh</v>
          </cell>
          <cell r="H131" t="str">
            <v>Traû tieàn daàu aên( TT.TN.CM)</v>
          </cell>
          <cell r="I131">
            <v>78014376</v>
          </cell>
        </row>
        <row r="132">
          <cell r="A132">
            <v>43</v>
          </cell>
          <cell r="B132">
            <v>37796</v>
          </cell>
          <cell r="C132">
            <v>83</v>
          </cell>
          <cell r="F132" t="str">
            <v>Ngoaïi Thöông</v>
          </cell>
          <cell r="G132" t="str">
            <v>Hoà Chí Minh</v>
          </cell>
          <cell r="H132" t="str">
            <v>Traû tieàn mua Tivi</v>
          </cell>
          <cell r="I132">
            <v>12997600</v>
          </cell>
        </row>
        <row r="133">
          <cell r="A133">
            <v>44</v>
          </cell>
          <cell r="B133">
            <v>37796</v>
          </cell>
          <cell r="C133">
            <v>76</v>
          </cell>
          <cell r="F133" t="str">
            <v>Ngoaïi Thöông</v>
          </cell>
          <cell r="G133" t="str">
            <v>Ñoàng Nai</v>
          </cell>
          <cell r="H133" t="str">
            <v>Traû tieàn mua Tivi</v>
          </cell>
          <cell r="I133">
            <v>20750000</v>
          </cell>
        </row>
        <row r="134">
          <cell r="A134">
            <v>26</v>
          </cell>
          <cell r="B134">
            <v>37796</v>
          </cell>
          <cell r="C134">
            <v>1</v>
          </cell>
          <cell r="F134" t="str">
            <v>Sôû Giao Dòch II CTVN</v>
          </cell>
          <cell r="G134" t="str">
            <v>Hoà Chí Minh</v>
          </cell>
          <cell r="H134" t="str">
            <v>Traû tieàn mua thuoác laù</v>
          </cell>
          <cell r="I134">
            <v>219775000</v>
          </cell>
        </row>
        <row r="135">
          <cell r="A135">
            <v>27</v>
          </cell>
          <cell r="B135">
            <v>37796</v>
          </cell>
          <cell r="C135">
            <v>5</v>
          </cell>
          <cell r="F135" t="str">
            <v>Coâng Thöong CN6</v>
          </cell>
          <cell r="G135" t="str">
            <v>Hoà Chí Minh</v>
          </cell>
          <cell r="H135" t="str">
            <v>Traû tieàn mua boät ngoït</v>
          </cell>
          <cell r="I135">
            <v>275808757</v>
          </cell>
        </row>
        <row r="136">
          <cell r="A136">
            <v>28</v>
          </cell>
          <cell r="B136">
            <v>37797</v>
          </cell>
          <cell r="C136">
            <v>77</v>
          </cell>
          <cell r="F136" t="str">
            <v>Coâng Thöông CN 4</v>
          </cell>
          <cell r="G136" t="str">
            <v>Hoà Chí Minh</v>
          </cell>
          <cell r="H136" t="str">
            <v>Traû tieàn mua haøng ñieän töû</v>
          </cell>
          <cell r="I136">
            <v>14497978</v>
          </cell>
        </row>
        <row r="137">
          <cell r="A137">
            <v>29</v>
          </cell>
          <cell r="B137">
            <v>37797</v>
          </cell>
          <cell r="C137">
            <v>27</v>
          </cell>
          <cell r="F137" t="str">
            <v>INDOVINA</v>
          </cell>
          <cell r="G137" t="str">
            <v>Hoà Chí Minh</v>
          </cell>
          <cell r="H137" t="str">
            <v>Traû tieàn mua ñöôøng</v>
          </cell>
          <cell r="I137">
            <v>27650000</v>
          </cell>
        </row>
        <row r="138">
          <cell r="A138">
            <v>30</v>
          </cell>
          <cell r="B138">
            <v>37797</v>
          </cell>
          <cell r="C138">
            <v>4</v>
          </cell>
          <cell r="F138" t="str">
            <v>Sôû Giao Dòch II  CTVN</v>
          </cell>
          <cell r="G138" t="str">
            <v>Hoà Chí Minh</v>
          </cell>
          <cell r="H138" t="str">
            <v>Traû tieàn mua xaêng daàu</v>
          </cell>
          <cell r="I138">
            <v>1600000000</v>
          </cell>
        </row>
        <row r="139">
          <cell r="A139">
            <v>47</v>
          </cell>
          <cell r="B139">
            <v>37798</v>
          </cell>
          <cell r="C139">
            <v>28</v>
          </cell>
          <cell r="F139" t="str">
            <v>Ñaàu Tö &amp; Phaùt Trieån</v>
          </cell>
          <cell r="G139" t="str">
            <v>Caàn Thô</v>
          </cell>
          <cell r="H139" t="str">
            <v>Traû tieàn mua söõa caùc loaïi</v>
          </cell>
          <cell r="I139">
            <v>344783551</v>
          </cell>
        </row>
        <row r="140">
          <cell r="A140">
            <v>31</v>
          </cell>
          <cell r="B140">
            <v>37798</v>
          </cell>
          <cell r="C140">
            <v>21</v>
          </cell>
          <cell r="F140" t="str">
            <v>Coâng Thöông</v>
          </cell>
          <cell r="G140" t="str">
            <v>Caàn Thô</v>
          </cell>
          <cell r="H140" t="str">
            <v>Traû tieàn mua gas</v>
          </cell>
          <cell r="I140">
            <v>74115006</v>
          </cell>
        </row>
        <row r="141">
          <cell r="A141">
            <v>48</v>
          </cell>
          <cell r="B141">
            <v>37798</v>
          </cell>
          <cell r="C141">
            <v>80</v>
          </cell>
          <cell r="F141" t="str">
            <v>Ngoaïi Thöông</v>
          </cell>
          <cell r="G141" t="str">
            <v>Hoà Chí Minh</v>
          </cell>
          <cell r="H141" t="str">
            <v>Traû tieàn mua bình aéc qui</v>
          </cell>
          <cell r="I141">
            <v>18090001</v>
          </cell>
        </row>
        <row r="142">
          <cell r="A142">
            <v>32</v>
          </cell>
          <cell r="B142">
            <v>37799</v>
          </cell>
          <cell r="C142">
            <v>4</v>
          </cell>
          <cell r="F142" t="str">
            <v>Sôû Giao Dòch II  CTVN</v>
          </cell>
          <cell r="G142" t="str">
            <v>Hoà Chí Minh</v>
          </cell>
          <cell r="H142" t="str">
            <v>Traû tieàn mua xaêng daàu</v>
          </cell>
          <cell r="I142">
            <v>8700000000</v>
          </cell>
        </row>
        <row r="143">
          <cell r="A143">
            <v>33</v>
          </cell>
          <cell r="B143">
            <v>37799</v>
          </cell>
          <cell r="C143">
            <v>41</v>
          </cell>
          <cell r="F143" t="str">
            <v>Coâng Thöông CN 9</v>
          </cell>
          <cell r="G143" t="str">
            <v>Hoà Chí Minh</v>
          </cell>
          <cell r="H143" t="str">
            <v>Traû tieàn mua xi maêng</v>
          </cell>
          <cell r="I143">
            <v>164000000</v>
          </cell>
        </row>
        <row r="144">
          <cell r="A144">
            <v>49</v>
          </cell>
          <cell r="B144">
            <v>37799</v>
          </cell>
          <cell r="C144">
            <v>31</v>
          </cell>
          <cell r="F144" t="str">
            <v>Sôû Giao Dòch II CTVN</v>
          </cell>
          <cell r="G144" t="str">
            <v>Hoà Chí Minh</v>
          </cell>
          <cell r="H144" t="str">
            <v>Traû tieàn daàu aên+ daàu xaù</v>
          </cell>
          <cell r="I144">
            <v>26460500</v>
          </cell>
        </row>
        <row r="145">
          <cell r="A145">
            <v>50</v>
          </cell>
          <cell r="B145">
            <v>37799</v>
          </cell>
          <cell r="C145">
            <v>73</v>
          </cell>
          <cell r="F145" t="str">
            <v>Ngoaïi Thöông</v>
          </cell>
          <cell r="G145" t="str">
            <v>Hoà Chí Minh</v>
          </cell>
          <cell r="H145" t="str">
            <v>Traû tieàn mua nöôùc röûa cheùn(TT.Baïc Lieâu)</v>
          </cell>
          <cell r="I145">
            <v>40829637</v>
          </cell>
        </row>
        <row r="146">
          <cell r="A146">
            <v>51</v>
          </cell>
          <cell r="B146">
            <v>37802</v>
          </cell>
          <cell r="C146">
            <v>28</v>
          </cell>
          <cell r="F146" t="str">
            <v>Ñaàu Tö &amp; Phaùt Trieån</v>
          </cell>
          <cell r="G146" t="str">
            <v>Caàn Thô</v>
          </cell>
          <cell r="H146" t="str">
            <v>Traû tieàn mua söõa caùc loaïi</v>
          </cell>
          <cell r="I146">
            <v>232811975</v>
          </cell>
        </row>
        <row r="147">
          <cell r="A147">
            <v>52</v>
          </cell>
          <cell r="B147">
            <v>37802</v>
          </cell>
          <cell r="C147">
            <v>27</v>
          </cell>
          <cell r="F147" t="str">
            <v>INDOVINA</v>
          </cell>
          <cell r="G147" t="str">
            <v>Hoà Chí Minh</v>
          </cell>
          <cell r="H147" t="str">
            <v>Traû tieàn mua ñöôøng</v>
          </cell>
          <cell r="I147">
            <v>55300000</v>
          </cell>
        </row>
        <row r="148">
          <cell r="A148">
            <v>34</v>
          </cell>
          <cell r="B148">
            <v>37802</v>
          </cell>
          <cell r="C148">
            <v>1</v>
          </cell>
          <cell r="F148" t="str">
            <v>Sôû Giao Dòch II CTVN</v>
          </cell>
          <cell r="G148" t="str">
            <v>Hoà Chí Minh</v>
          </cell>
          <cell r="H148" t="str">
            <v>Traû tieàn mua thuoác laù</v>
          </cell>
          <cell r="I148">
            <v>219775000</v>
          </cell>
        </row>
        <row r="149">
          <cell r="A149">
            <v>35</v>
          </cell>
          <cell r="B149">
            <v>37802</v>
          </cell>
          <cell r="C149">
            <v>8</v>
          </cell>
          <cell r="F149" t="str">
            <v>Coâng Thöông</v>
          </cell>
          <cell r="G149" t="str">
            <v>Kieân Giang</v>
          </cell>
          <cell r="H149" t="str">
            <v>Traû tieàn mua xi maêng 110taán</v>
          </cell>
          <cell r="I149">
            <v>85880000</v>
          </cell>
        </row>
        <row r="150">
          <cell r="A150">
            <v>1</v>
          </cell>
          <cell r="B150">
            <v>37803</v>
          </cell>
          <cell r="C150">
            <v>36</v>
          </cell>
          <cell r="F150" t="str">
            <v>Coâng Thöông</v>
          </cell>
          <cell r="G150" t="str">
            <v>Baø Ròa-Vuõng Taøu</v>
          </cell>
          <cell r="H150" t="str">
            <v>Traû tieàn mua xaêng daàu</v>
          </cell>
          <cell r="I150">
            <v>1400000000</v>
          </cell>
        </row>
        <row r="151">
          <cell r="A151">
            <v>2</v>
          </cell>
          <cell r="B151">
            <v>37804</v>
          </cell>
          <cell r="C151">
            <v>3</v>
          </cell>
          <cell r="F151" t="str">
            <v>Coâng Thöông CN 14</v>
          </cell>
          <cell r="G151" t="str">
            <v>Hoà Chí Minh</v>
          </cell>
          <cell r="H151" t="str">
            <v>Traû tieàn mua boät giaët</v>
          </cell>
          <cell r="I151">
            <v>300000000</v>
          </cell>
        </row>
        <row r="152">
          <cell r="A152">
            <v>1</v>
          </cell>
          <cell r="B152">
            <v>37804</v>
          </cell>
          <cell r="C152">
            <v>31</v>
          </cell>
          <cell r="F152" t="str">
            <v>Sôû Giao Dòch II CTVN</v>
          </cell>
          <cell r="G152" t="str">
            <v>Hoà Chí Minh</v>
          </cell>
          <cell r="H152" t="str">
            <v xml:space="preserve">Traû tieàn daàu aên  </v>
          </cell>
          <cell r="I152">
            <v>193236006</v>
          </cell>
        </row>
        <row r="153">
          <cell r="A153">
            <v>3</v>
          </cell>
          <cell r="B153">
            <v>37804</v>
          </cell>
          <cell r="C153">
            <v>36</v>
          </cell>
          <cell r="F153" t="str">
            <v>Coâng Thöông</v>
          </cell>
          <cell r="G153" t="str">
            <v>Baø Ròa-Vuõng Taøu</v>
          </cell>
          <cell r="H153" t="str">
            <v>Traû tieàn mua xaêng daàu</v>
          </cell>
          <cell r="I153">
            <v>553000000</v>
          </cell>
        </row>
        <row r="154">
          <cell r="A154">
            <v>2</v>
          </cell>
          <cell r="B154">
            <v>37804</v>
          </cell>
          <cell r="C154">
            <v>66</v>
          </cell>
          <cell r="F154" t="str">
            <v>ANZ</v>
          </cell>
          <cell r="G154" t="str">
            <v>Hoà Chí Minh</v>
          </cell>
          <cell r="H154" t="str">
            <v>Traû tieàn mua mì UNIF</v>
          </cell>
          <cell r="I154">
            <v>75368958</v>
          </cell>
        </row>
        <row r="155">
          <cell r="A155">
            <v>4</v>
          </cell>
          <cell r="B155">
            <v>37805</v>
          </cell>
          <cell r="C155">
            <v>36</v>
          </cell>
          <cell r="F155" t="str">
            <v>Coâng Thöông</v>
          </cell>
          <cell r="G155" t="str">
            <v>Baø Ròa-Vuõng Taøu</v>
          </cell>
          <cell r="H155" t="str">
            <v>Traû tieàn mua xaêng daàu</v>
          </cell>
          <cell r="I155">
            <v>1750000000</v>
          </cell>
        </row>
        <row r="156">
          <cell r="A156">
            <v>5</v>
          </cell>
          <cell r="B156">
            <v>37805</v>
          </cell>
          <cell r="C156">
            <v>8</v>
          </cell>
          <cell r="F156" t="str">
            <v>Coâng Thöông</v>
          </cell>
          <cell r="G156" t="str">
            <v>Kieân Giang</v>
          </cell>
          <cell r="H156" t="str">
            <v>Traû tieàn mua xi maêng 200taán</v>
          </cell>
          <cell r="I156">
            <v>160160000</v>
          </cell>
        </row>
        <row r="157">
          <cell r="A157">
            <v>9</v>
          </cell>
          <cell r="B157">
            <v>37806</v>
          </cell>
          <cell r="C157">
            <v>85</v>
          </cell>
          <cell r="F157" t="str">
            <v>Sôû Giao Dòch II CTVN</v>
          </cell>
          <cell r="G157" t="str">
            <v>Hoà Chí Minh</v>
          </cell>
          <cell r="H157" t="str">
            <v>Traû tieàn haøng ñieän maùy</v>
          </cell>
          <cell r="I157">
            <v>53491000</v>
          </cell>
        </row>
        <row r="158">
          <cell r="A158">
            <v>6</v>
          </cell>
          <cell r="B158">
            <v>37806</v>
          </cell>
          <cell r="C158">
            <v>14</v>
          </cell>
          <cell r="F158" t="str">
            <v>Coâng Thöông CN I</v>
          </cell>
          <cell r="G158" t="str">
            <v>Hoà Chí Minh</v>
          </cell>
          <cell r="H158" t="str">
            <v>Traû tieàn mua haøng cho CN Theùp Mieàn Nam taïi Caàn Thô</v>
          </cell>
          <cell r="I158">
            <v>421457505</v>
          </cell>
        </row>
        <row r="159">
          <cell r="A159">
            <v>7</v>
          </cell>
          <cell r="B159">
            <v>37806</v>
          </cell>
          <cell r="C159">
            <v>4</v>
          </cell>
          <cell r="F159" t="str">
            <v>Sôû Giao Dòch II  CTVN</v>
          </cell>
          <cell r="G159" t="str">
            <v>Hoà Chí Minh</v>
          </cell>
          <cell r="H159" t="str">
            <v>Traû tieàn mua xaêng daàu</v>
          </cell>
          <cell r="I159">
            <v>590000000</v>
          </cell>
        </row>
        <row r="160">
          <cell r="A160">
            <v>8</v>
          </cell>
          <cell r="B160">
            <v>37806</v>
          </cell>
          <cell r="C160">
            <v>73</v>
          </cell>
          <cell r="F160" t="str">
            <v>Ngoaïi Thöông</v>
          </cell>
          <cell r="G160" t="str">
            <v>Hoà Chí Minh</v>
          </cell>
          <cell r="H160" t="str">
            <v>Traû tieàn mua nöôùc röûa cheùn(TT.Baïc Lieâu)</v>
          </cell>
          <cell r="I160">
            <v>31384500</v>
          </cell>
        </row>
        <row r="161">
          <cell r="A161">
            <v>9</v>
          </cell>
          <cell r="B161">
            <v>37806</v>
          </cell>
          <cell r="C161">
            <v>85</v>
          </cell>
          <cell r="F161" t="str">
            <v>Sôû Giao Dòch II CTVN</v>
          </cell>
          <cell r="G161" t="str">
            <v>Hoà Chí Minh</v>
          </cell>
          <cell r="H161" t="str">
            <v>Traû tieàn haøng ñieän maùy</v>
          </cell>
          <cell r="I161">
            <v>53491000</v>
          </cell>
        </row>
        <row r="162">
          <cell r="A162">
            <v>3</v>
          </cell>
          <cell r="B162">
            <v>37809</v>
          </cell>
          <cell r="C162">
            <v>73</v>
          </cell>
          <cell r="F162" t="str">
            <v>Ngoaïi Thöông</v>
          </cell>
          <cell r="G162" t="str">
            <v>Hoà Chí Minh</v>
          </cell>
          <cell r="H162" t="str">
            <v>Traû tieàn mua nöôùc röûa cheùn(TT.Baïc Lieâu)</v>
          </cell>
          <cell r="I162">
            <v>66415736</v>
          </cell>
        </row>
        <row r="163">
          <cell r="A163">
            <v>4</v>
          </cell>
          <cell r="B163">
            <v>37810</v>
          </cell>
          <cell r="C163">
            <v>25</v>
          </cell>
          <cell r="F163" t="str">
            <v>NN &amp; P/T N/Thoân</v>
          </cell>
          <cell r="G163" t="str">
            <v>Baïc Lieâu</v>
          </cell>
          <cell r="H163" t="str">
            <v>Chuyeån tröôùc tieàn BHXH caáp theû BHYT</v>
          </cell>
          <cell r="I163">
            <v>9000000</v>
          </cell>
        </row>
        <row r="164">
          <cell r="A164">
            <v>5</v>
          </cell>
          <cell r="B164">
            <v>37810</v>
          </cell>
          <cell r="C164">
            <v>93</v>
          </cell>
          <cell r="F164" t="str">
            <v>Coâng Thöông CN 12</v>
          </cell>
          <cell r="G164" t="str">
            <v>Hoà Chí Minh</v>
          </cell>
          <cell r="H164" t="str">
            <v>Traû tieàn mua giaáy vieãn ñoâng</v>
          </cell>
          <cell r="I164">
            <v>10232046</v>
          </cell>
        </row>
        <row r="165">
          <cell r="A165">
            <v>6</v>
          </cell>
          <cell r="B165">
            <v>37810</v>
          </cell>
          <cell r="C165">
            <v>31</v>
          </cell>
          <cell r="F165" t="str">
            <v>Sôû Giao Dòch II CTVN</v>
          </cell>
          <cell r="G165" t="str">
            <v>Hoà Chí Minh</v>
          </cell>
          <cell r="H165" t="str">
            <v>Traû tieàn daàu aên  (TT.TN.BL)</v>
          </cell>
          <cell r="I165">
            <v>170796560</v>
          </cell>
        </row>
        <row r="166">
          <cell r="A166">
            <v>10</v>
          </cell>
          <cell r="B166">
            <v>37810</v>
          </cell>
          <cell r="C166">
            <v>8</v>
          </cell>
          <cell r="F166" t="str">
            <v>Coâng Thöông</v>
          </cell>
          <cell r="G166" t="str">
            <v>Kieân Giang</v>
          </cell>
          <cell r="H166" t="str">
            <v>Traû tieàn mua xi maêng 200taán</v>
          </cell>
          <cell r="I166">
            <v>160160000</v>
          </cell>
        </row>
        <row r="167">
          <cell r="A167">
            <v>11</v>
          </cell>
          <cell r="B167">
            <v>37810</v>
          </cell>
          <cell r="C167">
            <v>5</v>
          </cell>
          <cell r="F167" t="str">
            <v>Coâng Thöong CN6</v>
          </cell>
          <cell r="G167" t="str">
            <v>Hoà Chí Minh</v>
          </cell>
          <cell r="H167" t="str">
            <v>Traû tieàn mua boät ngoït</v>
          </cell>
          <cell r="I167">
            <v>517163103</v>
          </cell>
        </row>
        <row r="168">
          <cell r="A168">
            <v>12</v>
          </cell>
          <cell r="B168">
            <v>37811</v>
          </cell>
          <cell r="C168">
            <v>44</v>
          </cell>
          <cell r="F168" t="str">
            <v xml:space="preserve">Coâng Thöông </v>
          </cell>
          <cell r="G168" t="str">
            <v>Baïc Lieâu</v>
          </cell>
          <cell r="H168" t="str">
            <v>Tieàn ñieän thoaïi thaùng 6/2003</v>
          </cell>
          <cell r="I168">
            <v>9471776</v>
          </cell>
        </row>
        <row r="169">
          <cell r="A169">
            <v>13</v>
          </cell>
          <cell r="B169">
            <v>37811</v>
          </cell>
          <cell r="C169">
            <v>73</v>
          </cell>
          <cell r="F169" t="str">
            <v>Ngoaïi Thöông</v>
          </cell>
          <cell r="G169" t="str">
            <v>Hoà Chí Minh</v>
          </cell>
          <cell r="H169" t="str">
            <v>Traû tieàn mua nöôùc röûa cheùn(TT.Baïc Lieâu)</v>
          </cell>
          <cell r="I169">
            <v>32955078</v>
          </cell>
        </row>
        <row r="170">
          <cell r="A170">
            <v>14</v>
          </cell>
          <cell r="B170">
            <v>37811</v>
          </cell>
          <cell r="C170">
            <v>68</v>
          </cell>
          <cell r="F170" t="str">
            <v>Sôû Giao Dòch II CTVN</v>
          </cell>
          <cell r="G170" t="str">
            <v>Hoà Chí Minh</v>
          </cell>
          <cell r="H170" t="str">
            <v>Traû tieàn daàu aên Töôøng An</v>
          </cell>
          <cell r="I170">
            <v>11709500</v>
          </cell>
        </row>
        <row r="171">
          <cell r="A171">
            <v>15</v>
          </cell>
          <cell r="B171">
            <v>37811</v>
          </cell>
          <cell r="C171">
            <v>31</v>
          </cell>
          <cell r="F171" t="str">
            <v>Sôû Giao Dòch II CTVN</v>
          </cell>
          <cell r="G171" t="str">
            <v>Hoà Chí Minh</v>
          </cell>
          <cell r="H171" t="str">
            <v>Traû tieàn daàu aên  (TT.TN.CM)</v>
          </cell>
          <cell r="I171">
            <v>80990008</v>
          </cell>
        </row>
        <row r="172">
          <cell r="A172">
            <v>16</v>
          </cell>
          <cell r="B172">
            <v>37812</v>
          </cell>
          <cell r="C172">
            <v>31</v>
          </cell>
          <cell r="F172" t="str">
            <v>Sôû Giao Dòch II CTVN</v>
          </cell>
          <cell r="G172" t="str">
            <v>Hoà Chí Minh</v>
          </cell>
          <cell r="H172" t="str">
            <v>Traû tieàn daàu aên  (TT.TN.CM)</v>
          </cell>
          <cell r="I172">
            <v>65932366</v>
          </cell>
        </row>
        <row r="173">
          <cell r="A173">
            <v>17</v>
          </cell>
          <cell r="B173">
            <v>37812</v>
          </cell>
          <cell r="C173">
            <v>73</v>
          </cell>
          <cell r="F173" t="str">
            <v>Ngoaïi Thöông</v>
          </cell>
          <cell r="G173" t="str">
            <v>Hoà Chí Minh</v>
          </cell>
          <cell r="H173" t="str">
            <v>Traû tieàn mua nöôùc röûa cheùn(TT.Baïc Lieâu)</v>
          </cell>
          <cell r="I173">
            <v>44875548</v>
          </cell>
        </row>
        <row r="174">
          <cell r="A174">
            <v>18</v>
          </cell>
          <cell r="B174">
            <v>37813</v>
          </cell>
          <cell r="C174">
            <v>93</v>
          </cell>
          <cell r="F174" t="str">
            <v>Coâng Thöông CN 12</v>
          </cell>
          <cell r="G174" t="str">
            <v>Hoà Chí Minh</v>
          </cell>
          <cell r="H174" t="str">
            <v>Traû tieàn mua giaáy vieãn ñoâng</v>
          </cell>
          <cell r="I174">
            <v>11273460</v>
          </cell>
        </row>
        <row r="175">
          <cell r="A175">
            <v>19</v>
          </cell>
          <cell r="B175">
            <v>37813</v>
          </cell>
          <cell r="C175">
            <v>68</v>
          </cell>
          <cell r="F175" t="str">
            <v>Sôû Giao Dòch II CTVN</v>
          </cell>
          <cell r="G175" t="str">
            <v>Hoà Chí Minh</v>
          </cell>
          <cell r="H175" t="str">
            <v>Traû tieàn daàu aên Töôøng An</v>
          </cell>
          <cell r="I175">
            <v>21709500</v>
          </cell>
        </row>
        <row r="176">
          <cell r="A176">
            <v>7</v>
          </cell>
          <cell r="B176">
            <v>37813</v>
          </cell>
          <cell r="C176">
            <v>8</v>
          </cell>
          <cell r="F176" t="str">
            <v>Coâng Thöông</v>
          </cell>
          <cell r="G176" t="str">
            <v>Kieân Giang</v>
          </cell>
          <cell r="H176" t="str">
            <v>Traû tieàn mua xi maêng 200taán</v>
          </cell>
          <cell r="I176">
            <v>160160000</v>
          </cell>
        </row>
        <row r="177">
          <cell r="A177">
            <v>8</v>
          </cell>
          <cell r="B177">
            <v>37813</v>
          </cell>
          <cell r="C177">
            <v>41</v>
          </cell>
          <cell r="F177" t="str">
            <v>Coâng Thöông CN 9</v>
          </cell>
          <cell r="G177" t="str">
            <v>Hoà Chí Minh</v>
          </cell>
          <cell r="H177" t="str">
            <v>Traû tieàn mua xi maêng 300taán</v>
          </cell>
          <cell r="I177">
            <v>246000000</v>
          </cell>
        </row>
        <row r="178">
          <cell r="A178">
            <v>20</v>
          </cell>
          <cell r="B178">
            <v>37813</v>
          </cell>
          <cell r="C178">
            <v>28</v>
          </cell>
          <cell r="F178" t="str">
            <v>Ñaàu Tö &amp; Phaùt Trieån</v>
          </cell>
          <cell r="G178" t="str">
            <v>Caàn Thô</v>
          </cell>
          <cell r="H178" t="str">
            <v>Traû tieàn mua söõa caùc loaïi</v>
          </cell>
          <cell r="I178">
            <v>452010920</v>
          </cell>
        </row>
        <row r="179">
          <cell r="A179">
            <v>9</v>
          </cell>
          <cell r="B179">
            <v>37813</v>
          </cell>
          <cell r="C179">
            <v>4</v>
          </cell>
          <cell r="F179" t="str">
            <v>Sôû Giao Dòch II  CTVN</v>
          </cell>
          <cell r="G179" t="str">
            <v>Hoà Chí Minh</v>
          </cell>
          <cell r="H179" t="str">
            <v>Traû tieàn mua xaêng daàu</v>
          </cell>
          <cell r="I179">
            <v>2000000000</v>
          </cell>
        </row>
        <row r="180">
          <cell r="A180">
            <v>10</v>
          </cell>
          <cell r="B180">
            <v>37817</v>
          </cell>
          <cell r="C180">
            <v>14</v>
          </cell>
          <cell r="F180" t="str">
            <v>Coâng Thöông CN I</v>
          </cell>
          <cell r="G180" t="str">
            <v>Hoà Chí Minh</v>
          </cell>
          <cell r="H180" t="str">
            <v>Traû tieàn mua haøng cho CN Theùp Mieàn Nam taïi Caàn Thô</v>
          </cell>
          <cell r="I180">
            <v>370090319</v>
          </cell>
        </row>
        <row r="181">
          <cell r="A181">
            <v>21</v>
          </cell>
          <cell r="B181">
            <v>37817</v>
          </cell>
          <cell r="C181">
            <v>28</v>
          </cell>
          <cell r="F181" t="str">
            <v>Ñaàu Tö &amp; Phaùt Trieån</v>
          </cell>
          <cell r="G181" t="str">
            <v>Caàn Thô</v>
          </cell>
          <cell r="H181" t="str">
            <v>Traû tieàn mua söõa caùc loaïi</v>
          </cell>
          <cell r="I181">
            <v>286903465</v>
          </cell>
        </row>
        <row r="182">
          <cell r="A182">
            <v>22</v>
          </cell>
          <cell r="B182">
            <v>37817</v>
          </cell>
          <cell r="C182">
            <v>27</v>
          </cell>
          <cell r="F182" t="str">
            <v>INDOVINA</v>
          </cell>
          <cell r="G182" t="str">
            <v>Hoà Chí Minh</v>
          </cell>
          <cell r="H182" t="str">
            <v>Traû tieàn mua ñöôøng</v>
          </cell>
          <cell r="I182">
            <v>27650000</v>
          </cell>
        </row>
        <row r="183">
          <cell r="A183">
            <v>22</v>
          </cell>
          <cell r="B183">
            <v>37817</v>
          </cell>
          <cell r="C183">
            <v>93</v>
          </cell>
          <cell r="F183" t="str">
            <v>Coâng Thöông CN 12</v>
          </cell>
          <cell r="G183" t="str">
            <v>Hoà Chí Minh</v>
          </cell>
          <cell r="H183" t="str">
            <v>Traû tieàn mua giaáy vieãn ñoâng</v>
          </cell>
          <cell r="I183">
            <v>11273460</v>
          </cell>
        </row>
        <row r="184">
          <cell r="A184">
            <v>23</v>
          </cell>
          <cell r="B184">
            <v>37817</v>
          </cell>
          <cell r="C184">
            <v>31</v>
          </cell>
          <cell r="F184" t="str">
            <v>Sôû Giao Dòch II CTVN</v>
          </cell>
          <cell r="G184" t="str">
            <v>Hoà Chí Minh</v>
          </cell>
          <cell r="H184" t="str">
            <v>Traû tieàn daàu aên  (TT.TN.BL)</v>
          </cell>
          <cell r="I184">
            <v>81982653</v>
          </cell>
        </row>
        <row r="185">
          <cell r="A185">
            <v>24</v>
          </cell>
          <cell r="B185">
            <v>37817</v>
          </cell>
          <cell r="C185">
            <v>73</v>
          </cell>
          <cell r="F185" t="str">
            <v>Ngoaïi Thöông</v>
          </cell>
          <cell r="G185" t="str">
            <v>Hoà Chí Minh</v>
          </cell>
          <cell r="H185" t="str">
            <v>Traû tieàn mua nöôùc röûa cheùn(TT.Baïc Lieâu)</v>
          </cell>
          <cell r="I185">
            <v>30833510</v>
          </cell>
        </row>
        <row r="186">
          <cell r="A186">
            <v>25</v>
          </cell>
          <cell r="B186">
            <v>37817</v>
          </cell>
          <cell r="C186">
            <v>77</v>
          </cell>
          <cell r="F186" t="str">
            <v>Coâng Thöông CN 4</v>
          </cell>
          <cell r="G186" t="str">
            <v>Hoà Chí Minh</v>
          </cell>
          <cell r="H186" t="str">
            <v>Traû tieàn mua ñieän töû</v>
          </cell>
          <cell r="I186">
            <v>55350000</v>
          </cell>
        </row>
        <row r="187">
          <cell r="A187">
            <v>26</v>
          </cell>
          <cell r="B187">
            <v>37817</v>
          </cell>
          <cell r="C187">
            <v>94</v>
          </cell>
          <cell r="F187" t="str">
            <v>Coâng Thöông CN 9</v>
          </cell>
          <cell r="G187" t="str">
            <v>Hoà Chí Minh</v>
          </cell>
          <cell r="H187" t="str">
            <v>Traû tieàn mua chaùo Bình Tieân</v>
          </cell>
          <cell r="I187">
            <v>11849600</v>
          </cell>
        </row>
        <row r="188">
          <cell r="A188">
            <v>11</v>
          </cell>
          <cell r="B188">
            <v>37817</v>
          </cell>
          <cell r="C188">
            <v>9</v>
          </cell>
          <cell r="F188" t="str">
            <v>Ngoaïi Thöông</v>
          </cell>
          <cell r="G188" t="str">
            <v>Hoà Chí Minh</v>
          </cell>
          <cell r="H188" t="str">
            <v>Traû tieàn mua nhôùt</v>
          </cell>
          <cell r="I188">
            <v>139167841</v>
          </cell>
        </row>
        <row r="189">
          <cell r="A189">
            <v>27</v>
          </cell>
          <cell r="B189">
            <v>37817</v>
          </cell>
          <cell r="C189">
            <v>73</v>
          </cell>
          <cell r="F189" t="str">
            <v>Ngoaïi Thöông</v>
          </cell>
          <cell r="G189" t="str">
            <v>Hoà Chí Minh</v>
          </cell>
          <cell r="H189" t="str">
            <v>Traû tieàn mua nöôùc röûa cheùn(TT.Baïc Lieâu)</v>
          </cell>
          <cell r="I189">
            <v>31923817</v>
          </cell>
        </row>
        <row r="190">
          <cell r="A190">
            <v>28</v>
          </cell>
          <cell r="B190">
            <v>37818</v>
          </cell>
          <cell r="C190">
            <v>27</v>
          </cell>
          <cell r="F190" t="str">
            <v>INDOVINA</v>
          </cell>
          <cell r="G190" t="str">
            <v>Hoà Chí Minh</v>
          </cell>
          <cell r="H190" t="str">
            <v>Traû tieàn mua ñöôøng</v>
          </cell>
          <cell r="I190">
            <v>27650000</v>
          </cell>
        </row>
        <row r="191">
          <cell r="A191">
            <v>29</v>
          </cell>
          <cell r="B191">
            <v>37818</v>
          </cell>
          <cell r="C191">
            <v>90</v>
          </cell>
          <cell r="F191" t="str">
            <v>Coâng Thöông</v>
          </cell>
          <cell r="G191" t="str">
            <v>Caàn Thô</v>
          </cell>
          <cell r="H191" t="str">
            <v>Traû tieàn mua ñöôøng</v>
          </cell>
          <cell r="I191">
            <v>10241000</v>
          </cell>
        </row>
        <row r="192">
          <cell r="A192">
            <v>12</v>
          </cell>
          <cell r="B192">
            <v>37818</v>
          </cell>
          <cell r="C192">
            <v>5</v>
          </cell>
          <cell r="F192" t="str">
            <v>Coâng Thöong CN6</v>
          </cell>
          <cell r="G192" t="str">
            <v>Hoà Chí Minh</v>
          </cell>
          <cell r="H192" t="str">
            <v>Traû tieàn mua boät ngoït</v>
          </cell>
          <cell r="I192">
            <v>264384099</v>
          </cell>
        </row>
        <row r="193">
          <cell r="A193">
            <v>30</v>
          </cell>
          <cell r="B193">
            <v>37818</v>
          </cell>
          <cell r="C193">
            <v>31</v>
          </cell>
          <cell r="F193" t="str">
            <v>Sôû Giao Dòch II CTVN</v>
          </cell>
          <cell r="G193" t="str">
            <v>Hoà Chí Minh</v>
          </cell>
          <cell r="H193" t="str">
            <v>Traû tieàn daàu aên  (TT.TN.BL)</v>
          </cell>
          <cell r="I193">
            <v>58080701</v>
          </cell>
        </row>
        <row r="194">
          <cell r="A194">
            <v>31</v>
          </cell>
          <cell r="B194">
            <v>37818</v>
          </cell>
          <cell r="C194">
            <v>62</v>
          </cell>
          <cell r="F194" t="str">
            <v>Ñaàu Tö vaø Phaùt Trieån</v>
          </cell>
          <cell r="G194" t="str">
            <v>Soùc Traêng</v>
          </cell>
          <cell r="H194" t="str">
            <v>Traû tieàn mua boàn theo bieân baûn thanh lyù ngaøy 14/7/2003</v>
          </cell>
          <cell r="I194">
            <v>11970000</v>
          </cell>
        </row>
        <row r="195">
          <cell r="A195">
            <v>13</v>
          </cell>
          <cell r="B195">
            <v>37819</v>
          </cell>
          <cell r="C195">
            <v>3</v>
          </cell>
          <cell r="F195" t="str">
            <v>Coâng Thöông CN 14</v>
          </cell>
          <cell r="G195" t="str">
            <v>Hoà Chí Minh</v>
          </cell>
          <cell r="H195" t="str">
            <v>Traû tieàn mua boät giaët</v>
          </cell>
          <cell r="I195">
            <v>300000000</v>
          </cell>
        </row>
        <row r="196">
          <cell r="A196">
            <v>14</v>
          </cell>
          <cell r="B196">
            <v>37819</v>
          </cell>
          <cell r="C196">
            <v>17</v>
          </cell>
          <cell r="F196" t="str">
            <v>Ngoaïi Thöông</v>
          </cell>
          <cell r="G196" t="str">
            <v>Hoà Chí Minh</v>
          </cell>
          <cell r="H196" t="str">
            <v>Traû tieàn mua xaêng daàu</v>
          </cell>
          <cell r="I196">
            <v>922000000</v>
          </cell>
        </row>
        <row r="197">
          <cell r="A197">
            <v>32</v>
          </cell>
          <cell r="B197">
            <v>37819</v>
          </cell>
          <cell r="C197">
            <v>73</v>
          </cell>
          <cell r="F197" t="str">
            <v>Ngoaïi Thöông</v>
          </cell>
          <cell r="G197" t="str">
            <v>Hoà Chí Minh</v>
          </cell>
          <cell r="H197" t="str">
            <v>Traû tieàn mua nöôùc röûa cheùn</v>
          </cell>
          <cell r="I197">
            <v>63543540</v>
          </cell>
        </row>
        <row r="198">
          <cell r="A198">
            <v>15</v>
          </cell>
          <cell r="B198">
            <v>37820</v>
          </cell>
          <cell r="C198">
            <v>37</v>
          </cell>
          <cell r="F198" t="str">
            <v>Ngoïai Thöông</v>
          </cell>
          <cell r="G198" t="str">
            <v>Caàn Thô</v>
          </cell>
          <cell r="H198" t="str">
            <v>Traû tieàn mua xaêng daàu</v>
          </cell>
          <cell r="I198">
            <v>1763200000</v>
          </cell>
        </row>
        <row r="199">
          <cell r="A199">
            <v>33</v>
          </cell>
          <cell r="B199">
            <v>37819</v>
          </cell>
          <cell r="C199">
            <v>31</v>
          </cell>
          <cell r="F199" t="str">
            <v>Sôû Giao Dòch II CTVN</v>
          </cell>
          <cell r="G199" t="str">
            <v>Hoà Chí Minh</v>
          </cell>
          <cell r="H199" t="str">
            <v>Traû tieàn daàu aên  (TT.TN.BL)</v>
          </cell>
          <cell r="I199">
            <v>81492338</v>
          </cell>
        </row>
        <row r="200">
          <cell r="A200">
            <v>16</v>
          </cell>
          <cell r="B200">
            <v>37820</v>
          </cell>
          <cell r="C200">
            <v>4</v>
          </cell>
          <cell r="F200" t="str">
            <v>Sôû Giao Dòch II  CTVN</v>
          </cell>
          <cell r="G200" t="str">
            <v>Hoà Chí Minh</v>
          </cell>
          <cell r="H200" t="str">
            <v>Traû tieàn mua xaêng daàu</v>
          </cell>
          <cell r="I200">
            <v>466000000</v>
          </cell>
        </row>
        <row r="201">
          <cell r="A201">
            <v>34</v>
          </cell>
          <cell r="B201">
            <v>37820</v>
          </cell>
          <cell r="C201">
            <v>73</v>
          </cell>
          <cell r="F201" t="str">
            <v>Ngoaïi Thöông</v>
          </cell>
          <cell r="G201" t="str">
            <v>Hoà Chí Minh</v>
          </cell>
          <cell r="H201" t="str">
            <v>Traû tieàn mua nöôùc röûa cheùn(TT.Baïc Lieâu:31.373.698ñ; TT.CMau: 31221790)</v>
          </cell>
          <cell r="I201">
            <v>62595488</v>
          </cell>
        </row>
        <row r="202">
          <cell r="A202">
            <v>17</v>
          </cell>
          <cell r="B202">
            <v>37820</v>
          </cell>
          <cell r="C202">
            <v>37</v>
          </cell>
          <cell r="F202" t="str">
            <v>Ngoïai Thöông</v>
          </cell>
          <cell r="G202" t="str">
            <v>Caàn Thô</v>
          </cell>
          <cell r="H202" t="str">
            <v>Traû tieàn mua xaêng daàu</v>
          </cell>
          <cell r="I202">
            <v>3825000000</v>
          </cell>
        </row>
        <row r="203">
          <cell r="A203">
            <v>18</v>
          </cell>
          <cell r="B203">
            <v>37823</v>
          </cell>
          <cell r="C203">
            <v>8</v>
          </cell>
          <cell r="F203" t="str">
            <v>Coâng Thöông</v>
          </cell>
          <cell r="G203" t="str">
            <v>Kieân Giang</v>
          </cell>
          <cell r="H203" t="str">
            <v>Traû tieàn mua xi maêng 200taán</v>
          </cell>
          <cell r="I203">
            <v>160160000</v>
          </cell>
        </row>
        <row r="204">
          <cell r="A204">
            <v>35</v>
          </cell>
          <cell r="B204">
            <v>37823</v>
          </cell>
          <cell r="C204">
            <v>31</v>
          </cell>
          <cell r="F204" t="str">
            <v>Sôû Giao Dòch II CTVN</v>
          </cell>
          <cell r="G204" t="str">
            <v>Hoà Chí Minh</v>
          </cell>
          <cell r="H204" t="str">
            <v>Traû tieàn daàu aên  (TT.TN.BL)</v>
          </cell>
          <cell r="I204">
            <v>38083441</v>
          </cell>
        </row>
        <row r="205">
          <cell r="A205">
            <v>36</v>
          </cell>
          <cell r="B205">
            <v>37823</v>
          </cell>
          <cell r="C205">
            <v>97</v>
          </cell>
          <cell r="F205" t="str">
            <v>Ngoaïi Thöông</v>
          </cell>
          <cell r="G205" t="str">
            <v>Caàn Thô</v>
          </cell>
          <cell r="H205" t="str">
            <v>Ñoùng goùp Hoäi phí hoäi vieân P. TM naêm 2003</v>
          </cell>
          <cell r="I205">
            <v>5000000</v>
          </cell>
        </row>
        <row r="206">
          <cell r="A206">
            <v>37</v>
          </cell>
          <cell r="B206">
            <v>37823</v>
          </cell>
          <cell r="C206">
            <v>22</v>
          </cell>
          <cell r="F206" t="str">
            <v>Coâng Thöông</v>
          </cell>
          <cell r="G206" t="str">
            <v>Long An</v>
          </cell>
          <cell r="H206" t="str">
            <v>Traû tieàn mua vaûi</v>
          </cell>
          <cell r="I206">
            <v>4828490</v>
          </cell>
        </row>
        <row r="207">
          <cell r="A207">
            <v>19</v>
          </cell>
          <cell r="B207">
            <v>37823</v>
          </cell>
          <cell r="C207">
            <v>10</v>
          </cell>
          <cell r="F207" t="str">
            <v>Hoàng Kong&amp; Thöôïng Haûi</v>
          </cell>
          <cell r="G207" t="str">
            <v>Hoà Chí Minh</v>
          </cell>
          <cell r="H207" t="str">
            <v>Traû tieàn mua nhôùt</v>
          </cell>
          <cell r="I207">
            <v>250000000</v>
          </cell>
        </row>
        <row r="208">
          <cell r="A208">
            <v>20</v>
          </cell>
          <cell r="B208">
            <v>37824</v>
          </cell>
          <cell r="C208">
            <v>17</v>
          </cell>
          <cell r="F208" t="str">
            <v>Ngoaïi Thöông</v>
          </cell>
          <cell r="G208" t="str">
            <v>Hoà Chí Minh</v>
          </cell>
          <cell r="H208" t="str">
            <v>Traû tieàn mua xaêng daàu</v>
          </cell>
          <cell r="I208">
            <v>2000000000</v>
          </cell>
        </row>
        <row r="209">
          <cell r="A209">
            <v>21</v>
          </cell>
          <cell r="B209">
            <v>37824</v>
          </cell>
          <cell r="C209">
            <v>4</v>
          </cell>
          <cell r="F209" t="str">
            <v>Sôû Giao Dòch II  CTVN</v>
          </cell>
          <cell r="G209" t="str">
            <v>Hoà Chí Minh</v>
          </cell>
          <cell r="H209" t="str">
            <v>Traû tieàn mua xaêng daàu</v>
          </cell>
          <cell r="I209">
            <v>1500000000</v>
          </cell>
        </row>
        <row r="210">
          <cell r="A210">
            <v>38</v>
          </cell>
          <cell r="B210">
            <v>37825</v>
          </cell>
          <cell r="C210">
            <v>95</v>
          </cell>
          <cell r="F210" t="str">
            <v>Ñaàu Tö &amp; Phaùt Trieån</v>
          </cell>
          <cell r="G210" t="str">
            <v>Caàn Thô</v>
          </cell>
          <cell r="H210" t="str">
            <v>Traû tieàn vaûi + may maëc saún</v>
          </cell>
          <cell r="I210">
            <v>2123720</v>
          </cell>
        </row>
        <row r="211">
          <cell r="A211">
            <v>39</v>
          </cell>
          <cell r="B211">
            <v>37825</v>
          </cell>
          <cell r="C211">
            <v>66</v>
          </cell>
          <cell r="F211" t="str">
            <v>ANZ</v>
          </cell>
          <cell r="G211" t="str">
            <v>Hoà Chí Minh</v>
          </cell>
          <cell r="H211" t="str">
            <v>Traû tieàn mua mì Unif</v>
          </cell>
          <cell r="I211">
            <v>74684100</v>
          </cell>
        </row>
        <row r="212">
          <cell r="A212">
            <v>40</v>
          </cell>
          <cell r="B212">
            <v>37825</v>
          </cell>
          <cell r="C212">
            <v>73</v>
          </cell>
          <cell r="F212" t="str">
            <v>Ngoaïi Thöông</v>
          </cell>
          <cell r="G212" t="str">
            <v>Hoà Chí Minh</v>
          </cell>
          <cell r="H212" t="str">
            <v>Traû tieàn mua nöôùc röûa cheùn(TT.Baïc Lieâu)</v>
          </cell>
          <cell r="I212">
            <v>26861405</v>
          </cell>
        </row>
        <row r="213">
          <cell r="A213">
            <v>41</v>
          </cell>
          <cell r="B213">
            <v>37826</v>
          </cell>
          <cell r="C213">
            <v>28</v>
          </cell>
          <cell r="F213" t="str">
            <v>Ñaàu Tö &amp; Phaùt Trieån</v>
          </cell>
          <cell r="G213" t="str">
            <v>Caàn Thô</v>
          </cell>
          <cell r="H213" t="str">
            <v>Traû tieàn mua söõa caùc loaïi</v>
          </cell>
          <cell r="I213">
            <v>411422902</v>
          </cell>
        </row>
        <row r="214">
          <cell r="A214">
            <v>22</v>
          </cell>
          <cell r="B214">
            <v>37826</v>
          </cell>
          <cell r="C214">
            <v>41</v>
          </cell>
          <cell r="F214" t="str">
            <v>Coâng Thöông CN 9</v>
          </cell>
          <cell r="G214" t="str">
            <v>Hoà Chí Minh</v>
          </cell>
          <cell r="H214" t="str">
            <v>Traû tieàn mua xi maêng 300taán</v>
          </cell>
          <cell r="I214">
            <v>246000000</v>
          </cell>
        </row>
        <row r="215">
          <cell r="A215">
            <v>42</v>
          </cell>
          <cell r="B215">
            <v>37827</v>
          </cell>
          <cell r="C215">
            <v>31</v>
          </cell>
          <cell r="F215" t="str">
            <v>Sôû Giao Dòch II CTVN</v>
          </cell>
          <cell r="G215" t="str">
            <v>Hoà Chí Minh</v>
          </cell>
          <cell r="H215" t="str">
            <v>Traû tieàn daàu aên  (TT.TN.CM)</v>
          </cell>
          <cell r="I215">
            <v>91155121</v>
          </cell>
        </row>
        <row r="216">
          <cell r="A216">
            <v>43</v>
          </cell>
          <cell r="B216">
            <v>37827</v>
          </cell>
          <cell r="C216">
            <v>19</v>
          </cell>
          <cell r="F216" t="str">
            <v>Eximbank</v>
          </cell>
          <cell r="G216" t="str">
            <v>Hoà Chí Minh</v>
          </cell>
          <cell r="H216" t="str">
            <v>Traû tieàn mua gas</v>
          </cell>
          <cell r="I216">
            <v>29107000</v>
          </cell>
        </row>
        <row r="217">
          <cell r="A217">
            <v>44</v>
          </cell>
          <cell r="B217">
            <v>37827</v>
          </cell>
          <cell r="C217">
            <v>83</v>
          </cell>
          <cell r="F217" t="str">
            <v>Ngoaïi Thöông</v>
          </cell>
          <cell r="G217" t="str">
            <v>Hoà Chí Minh</v>
          </cell>
          <cell r="H217" t="str">
            <v>Traû tieàn muaTivi</v>
          </cell>
          <cell r="I217">
            <v>10707700</v>
          </cell>
        </row>
        <row r="218">
          <cell r="A218">
            <v>23</v>
          </cell>
          <cell r="B218">
            <v>37827</v>
          </cell>
          <cell r="C218">
            <v>5</v>
          </cell>
          <cell r="F218" t="str">
            <v>Coâng Thöong CN6</v>
          </cell>
          <cell r="G218" t="str">
            <v>Hoà Chí Minh</v>
          </cell>
          <cell r="H218" t="str">
            <v>Traû tieàn mua boät ngoït</v>
          </cell>
          <cell r="I218">
            <v>255948639</v>
          </cell>
        </row>
        <row r="219">
          <cell r="A219">
            <v>24</v>
          </cell>
          <cell r="B219">
            <v>37830</v>
          </cell>
          <cell r="C219">
            <v>8</v>
          </cell>
          <cell r="F219" t="str">
            <v>Coâng Thöông</v>
          </cell>
          <cell r="G219" t="str">
            <v>Kieân Giang</v>
          </cell>
          <cell r="H219" t="str">
            <v>Traû tieàn mua xi maêng 200taán</v>
          </cell>
          <cell r="I219">
            <v>157190000</v>
          </cell>
        </row>
        <row r="220">
          <cell r="A220">
            <v>25</v>
          </cell>
          <cell r="B220">
            <v>37830</v>
          </cell>
          <cell r="C220">
            <v>36</v>
          </cell>
          <cell r="F220" t="str">
            <v>Coâng Thöông</v>
          </cell>
          <cell r="G220" t="str">
            <v>Baø Ròa-Vuõng Taøu</v>
          </cell>
          <cell r="H220" t="str">
            <v>Traû tieàn mua xaêng daàu</v>
          </cell>
          <cell r="I220">
            <v>1459200000</v>
          </cell>
        </row>
        <row r="221">
          <cell r="A221">
            <v>45</v>
          </cell>
          <cell r="B221">
            <v>37830</v>
          </cell>
          <cell r="C221">
            <v>68</v>
          </cell>
          <cell r="F221" t="str">
            <v>Sôû Giao Dòch II CTVN</v>
          </cell>
          <cell r="G221" t="str">
            <v>Hoà Chí Minh</v>
          </cell>
          <cell r="H221" t="str">
            <v>Traû tieàn mua daàu aên Töôøng An</v>
          </cell>
          <cell r="I221">
            <v>40000000</v>
          </cell>
        </row>
        <row r="222">
          <cell r="A222">
            <v>46</v>
          </cell>
          <cell r="B222">
            <v>37830</v>
          </cell>
          <cell r="C222">
            <v>73</v>
          </cell>
          <cell r="F222" t="str">
            <v>Ngoaïi Thöông</v>
          </cell>
          <cell r="G222" t="str">
            <v>Hoà Chí Minh</v>
          </cell>
          <cell r="H222" t="str">
            <v>Traû tieàn mua nöôùc röûa cheùn(TT.Caø Mau)</v>
          </cell>
          <cell r="I222">
            <v>61679221</v>
          </cell>
        </row>
        <row r="223">
          <cell r="A223">
            <v>25</v>
          </cell>
          <cell r="B223">
            <v>37830</v>
          </cell>
          <cell r="C223">
            <v>36</v>
          </cell>
          <cell r="F223" t="str">
            <v>Coâng Thöông</v>
          </cell>
          <cell r="G223" t="str">
            <v>Baø Ròa-Vuõng Taøu</v>
          </cell>
          <cell r="H223" t="str">
            <v>Traû tieàn mua xaêng daàu</v>
          </cell>
          <cell r="I223">
            <v>1459200000</v>
          </cell>
        </row>
        <row r="224">
          <cell r="A224">
            <v>26</v>
          </cell>
          <cell r="B224">
            <v>37830</v>
          </cell>
          <cell r="C224">
            <v>1</v>
          </cell>
          <cell r="F224" t="str">
            <v>Sôû Giao Dòch II CTVN</v>
          </cell>
          <cell r="G224" t="str">
            <v>Hoà Chí Minh</v>
          </cell>
          <cell r="H224" t="str">
            <v>Traû tieàn mua thuoác laù</v>
          </cell>
          <cell r="I224">
            <v>215825000</v>
          </cell>
        </row>
        <row r="225">
          <cell r="A225">
            <v>47</v>
          </cell>
          <cell r="B225">
            <v>37830</v>
          </cell>
          <cell r="C225">
            <v>31</v>
          </cell>
          <cell r="F225" t="str">
            <v>Sôû Giao Dòch II CTVN</v>
          </cell>
          <cell r="G225" t="str">
            <v>Hoà Chí Minh</v>
          </cell>
          <cell r="H225" t="str">
            <v>Traû tieàn daàu aên  (TT.TN.CM)</v>
          </cell>
          <cell r="I225">
            <v>80314582</v>
          </cell>
        </row>
        <row r="226">
          <cell r="A226">
            <v>48</v>
          </cell>
          <cell r="B226">
            <v>37830</v>
          </cell>
          <cell r="C226">
            <v>9</v>
          </cell>
          <cell r="F226" t="str">
            <v>Ngoaïi Thöông</v>
          </cell>
          <cell r="G226" t="str">
            <v>Hoà Chí Minh</v>
          </cell>
          <cell r="H226" t="str">
            <v>Traû tieàn mua nhôùt</v>
          </cell>
          <cell r="I226">
            <v>18779543</v>
          </cell>
        </row>
        <row r="227">
          <cell r="A227">
            <v>49</v>
          </cell>
          <cell r="B227">
            <v>37831</v>
          </cell>
          <cell r="C227">
            <v>73</v>
          </cell>
          <cell r="F227" t="str">
            <v>Ngoaïi Thöông</v>
          </cell>
          <cell r="G227" t="str">
            <v>Hoà Chí Minh</v>
          </cell>
          <cell r="H227" t="str">
            <v>Traû tieàn mua nöôùc röûa cheùn(TT.Baïc Lieâu)</v>
          </cell>
          <cell r="I227">
            <v>38083435</v>
          </cell>
        </row>
        <row r="228">
          <cell r="A228">
            <v>50</v>
          </cell>
          <cell r="B228">
            <v>37831</v>
          </cell>
          <cell r="C228">
            <v>28</v>
          </cell>
          <cell r="F228" t="str">
            <v>Ñaàu Tö &amp; Phaùt Trieån</v>
          </cell>
          <cell r="G228" t="str">
            <v>Caàn Thô</v>
          </cell>
          <cell r="H228" t="str">
            <v>Traû tieàn mua söõa caùc loaïi</v>
          </cell>
          <cell r="I228">
            <v>282700477</v>
          </cell>
        </row>
        <row r="229">
          <cell r="A229">
            <v>27</v>
          </cell>
          <cell r="B229">
            <v>37831</v>
          </cell>
          <cell r="C229">
            <v>36</v>
          </cell>
          <cell r="F229" t="str">
            <v>Coâng Thöông</v>
          </cell>
          <cell r="G229" t="str">
            <v>Baø Ròa-Vuõng Taøu</v>
          </cell>
          <cell r="H229" t="str">
            <v>Traû tieàn mua xaêng daàu</v>
          </cell>
          <cell r="I229">
            <v>1920000000</v>
          </cell>
        </row>
        <row r="230">
          <cell r="A230">
            <v>28</v>
          </cell>
          <cell r="B230">
            <v>37831</v>
          </cell>
          <cell r="C230">
            <v>4</v>
          </cell>
          <cell r="F230" t="str">
            <v>Sôû Giao Dòch II  CTVN</v>
          </cell>
          <cell r="G230" t="str">
            <v>Hoà Chí Minh</v>
          </cell>
          <cell r="H230" t="str">
            <v>Traû tieàn mua xaêng daàu</v>
          </cell>
          <cell r="I230">
            <v>3180000</v>
          </cell>
        </row>
        <row r="231">
          <cell r="A231">
            <v>27</v>
          </cell>
          <cell r="B231">
            <v>37831</v>
          </cell>
          <cell r="C231">
            <v>36</v>
          </cell>
          <cell r="F231" t="str">
            <v>Coâng Thöông</v>
          </cell>
          <cell r="G231" t="str">
            <v>Baø Ròa-Vuõng Taøu</v>
          </cell>
          <cell r="H231" t="str">
            <v>Traû tieàn mua xaêng daàu</v>
          </cell>
          <cell r="I231">
            <v>2468000000</v>
          </cell>
        </row>
        <row r="232">
          <cell r="A232">
            <v>29</v>
          </cell>
          <cell r="B232">
            <v>37832</v>
          </cell>
          <cell r="C232">
            <v>73</v>
          </cell>
          <cell r="F232" t="str">
            <v>Ngoaïi Thöông</v>
          </cell>
          <cell r="G232" t="str">
            <v>Hoà Chí Minh</v>
          </cell>
          <cell r="H232" t="str">
            <v>Traû tieàn mua nöôùc röûa cheùn(TT.Baïc Lieâu)</v>
          </cell>
          <cell r="I232">
            <v>95927234</v>
          </cell>
        </row>
        <row r="233">
          <cell r="A233">
            <v>30</v>
          </cell>
          <cell r="B233">
            <v>37832</v>
          </cell>
          <cell r="C233">
            <v>27</v>
          </cell>
          <cell r="F233" t="str">
            <v>INDOVINA</v>
          </cell>
          <cell r="G233" t="str">
            <v>Hoà Chí Minh</v>
          </cell>
          <cell r="H233" t="str">
            <v>Traû tieàn mua ñöôøng</v>
          </cell>
          <cell r="I233">
            <v>27650000</v>
          </cell>
        </row>
        <row r="234">
          <cell r="A234">
            <v>51</v>
          </cell>
          <cell r="B234">
            <v>37833</v>
          </cell>
          <cell r="C234">
            <v>76</v>
          </cell>
          <cell r="F234" t="str">
            <v>Ngoaïi Thöông</v>
          </cell>
          <cell r="G234" t="str">
            <v>Ñoàng Nai</v>
          </cell>
          <cell r="H234" t="str">
            <v>Traû tieàn mua Tivi</v>
          </cell>
          <cell r="I234">
            <v>21750000</v>
          </cell>
        </row>
        <row r="235">
          <cell r="A235">
            <v>31</v>
          </cell>
          <cell r="B235">
            <v>37833</v>
          </cell>
          <cell r="C235">
            <v>21</v>
          </cell>
          <cell r="F235" t="str">
            <v>Coâng Thöông</v>
          </cell>
          <cell r="G235" t="str">
            <v>Caàn Thô</v>
          </cell>
          <cell r="H235" t="str">
            <v>Traû tieàn mua gas</v>
          </cell>
          <cell r="I235">
            <v>65000000</v>
          </cell>
        </row>
        <row r="236">
          <cell r="A236">
            <v>52</v>
          </cell>
          <cell r="B236">
            <v>37833</v>
          </cell>
          <cell r="C236">
            <v>28</v>
          </cell>
          <cell r="F236" t="str">
            <v>Ñaàu Tö &amp; Phaùt Trieån</v>
          </cell>
          <cell r="G236" t="str">
            <v>Caàn Thô</v>
          </cell>
          <cell r="H236" t="str">
            <v>Traû tieàn mua söõa caùc loaïi</v>
          </cell>
          <cell r="I236">
            <v>181707383</v>
          </cell>
        </row>
        <row r="237">
          <cell r="A237">
            <v>1</v>
          </cell>
          <cell r="B237">
            <v>37834</v>
          </cell>
          <cell r="C237">
            <v>3</v>
          </cell>
          <cell r="F237" t="str">
            <v>Coâng Thöông CN 14</v>
          </cell>
          <cell r="G237" t="str">
            <v>Hoà Chí Minh</v>
          </cell>
          <cell r="H237" t="str">
            <v>Traû tieàn mua boät giaët</v>
          </cell>
          <cell r="I237">
            <v>200000000</v>
          </cell>
        </row>
        <row r="238">
          <cell r="A238">
            <v>2</v>
          </cell>
          <cell r="B238">
            <v>37837</v>
          </cell>
          <cell r="C238">
            <v>8</v>
          </cell>
          <cell r="F238" t="str">
            <v>Coâng Thöông</v>
          </cell>
          <cell r="G238" t="str">
            <v>Kieân Giang</v>
          </cell>
          <cell r="H238" t="str">
            <v>Traû tieàn mua xi maêng 150taán</v>
          </cell>
          <cell r="I238">
            <v>120120000</v>
          </cell>
        </row>
        <row r="239">
          <cell r="A239">
            <v>1</v>
          </cell>
          <cell r="B239">
            <v>37837</v>
          </cell>
          <cell r="C239">
            <v>27</v>
          </cell>
          <cell r="F239" t="str">
            <v>INDOVINA</v>
          </cell>
          <cell r="G239" t="str">
            <v>Hoà Chí Minh</v>
          </cell>
          <cell r="H239" t="str">
            <v>Traû tieàn mua ñöôøng</v>
          </cell>
          <cell r="I239">
            <v>28350000</v>
          </cell>
        </row>
        <row r="240">
          <cell r="A240">
            <v>2</v>
          </cell>
          <cell r="B240">
            <v>37837</v>
          </cell>
          <cell r="C240">
            <v>93</v>
          </cell>
          <cell r="F240" t="str">
            <v>Coâng Thöông CN 12</v>
          </cell>
          <cell r="G240" t="str">
            <v>Hoà Chí Minh</v>
          </cell>
          <cell r="H240" t="str">
            <v>Traû tieàn mua giaáy vieãn ñoâng</v>
          </cell>
          <cell r="I240">
            <v>13804362</v>
          </cell>
        </row>
        <row r="241">
          <cell r="A241">
            <v>3</v>
          </cell>
          <cell r="B241">
            <v>37837</v>
          </cell>
          <cell r="C241">
            <v>83</v>
          </cell>
          <cell r="F241" t="str">
            <v>Ngoaïi Thöông</v>
          </cell>
          <cell r="G241" t="str">
            <v>Hoà Chí Minh</v>
          </cell>
          <cell r="H241" t="str">
            <v>Traû tieàn mua Tivi</v>
          </cell>
          <cell r="I241">
            <v>22990000</v>
          </cell>
        </row>
        <row r="242">
          <cell r="A242">
            <v>3</v>
          </cell>
          <cell r="B242">
            <v>37838</v>
          </cell>
          <cell r="C242">
            <v>36</v>
          </cell>
          <cell r="F242" t="str">
            <v>Coâng Thöông</v>
          </cell>
          <cell r="G242" t="str">
            <v>Baø Ròa-Vuõng Taøu</v>
          </cell>
          <cell r="H242" t="str">
            <v>Traû tieàn mua xaêng daàu</v>
          </cell>
          <cell r="I242">
            <v>5440000000</v>
          </cell>
        </row>
        <row r="243">
          <cell r="A243">
            <v>4</v>
          </cell>
          <cell r="B243">
            <v>37838</v>
          </cell>
          <cell r="C243">
            <v>25</v>
          </cell>
          <cell r="F243" t="str">
            <v>NN &amp; P/T N/Thoân</v>
          </cell>
          <cell r="G243" t="str">
            <v>Baïc Lieâu</v>
          </cell>
          <cell r="H243" t="str">
            <v>Noäp BHXH,BHYT thaùng 7/2003</v>
          </cell>
          <cell r="I243">
            <v>15544266</v>
          </cell>
        </row>
        <row r="244">
          <cell r="A244">
            <v>4</v>
          </cell>
          <cell r="B244">
            <v>37838</v>
          </cell>
          <cell r="C244">
            <v>4</v>
          </cell>
          <cell r="F244" t="str">
            <v>Sôû Giao Dòch II  CTVN</v>
          </cell>
          <cell r="G244" t="str">
            <v>Hoà Chí Minh</v>
          </cell>
          <cell r="H244" t="str">
            <v>Traû tieàn mua xaêng daàu</v>
          </cell>
          <cell r="I244">
            <v>10000000000</v>
          </cell>
        </row>
        <row r="245">
          <cell r="A245">
            <v>5</v>
          </cell>
          <cell r="B245">
            <v>37839</v>
          </cell>
          <cell r="C245">
            <v>5</v>
          </cell>
          <cell r="F245" t="str">
            <v>Coâng Thöong CN6</v>
          </cell>
          <cell r="G245" t="str">
            <v>Hoà Chí Minh</v>
          </cell>
          <cell r="H245" t="str">
            <v>Traû tieàn mua boät ngoït</v>
          </cell>
          <cell r="I245">
            <v>423628777</v>
          </cell>
        </row>
        <row r="246">
          <cell r="A246">
            <v>6</v>
          </cell>
          <cell r="B246">
            <v>37840</v>
          </cell>
          <cell r="C246">
            <v>36</v>
          </cell>
          <cell r="F246" t="str">
            <v>Coâng Thöông</v>
          </cell>
          <cell r="G246" t="str">
            <v>Baø Ròa-Vuõng Taøu</v>
          </cell>
          <cell r="H246" t="str">
            <v>Traû tieàn mua xaêng daàu</v>
          </cell>
          <cell r="I246">
            <v>3600000000</v>
          </cell>
        </row>
        <row r="247">
          <cell r="A247">
            <v>5</v>
          </cell>
          <cell r="B247">
            <v>37840</v>
          </cell>
          <cell r="C247">
            <v>31</v>
          </cell>
          <cell r="F247" t="str">
            <v>Sôû Giao Dòch II CTVN</v>
          </cell>
          <cell r="G247" t="str">
            <v>Hoà Chí Minh</v>
          </cell>
          <cell r="H247" t="str">
            <v>Traû tieàn mua daàu aên + oâng taùo</v>
          </cell>
          <cell r="I247">
            <v>63240148</v>
          </cell>
        </row>
        <row r="248">
          <cell r="A248">
            <v>6</v>
          </cell>
          <cell r="B248">
            <v>37840</v>
          </cell>
          <cell r="C248">
            <v>90</v>
          </cell>
          <cell r="F248" t="str">
            <v>Coâng Thöông</v>
          </cell>
          <cell r="G248" t="str">
            <v>Caàn Thô</v>
          </cell>
          <cell r="H248" t="str">
            <v>Traû tieàn mua ñöôøng</v>
          </cell>
          <cell r="I248">
            <v>10216000</v>
          </cell>
        </row>
        <row r="249">
          <cell r="A249">
            <v>7</v>
          </cell>
          <cell r="B249">
            <v>37840</v>
          </cell>
          <cell r="C249">
            <v>28</v>
          </cell>
          <cell r="F249" t="str">
            <v>Ñaàu Tö &amp; Phaùt Trieån</v>
          </cell>
          <cell r="G249" t="str">
            <v>Caàn Thô</v>
          </cell>
          <cell r="H249" t="str">
            <v>Traû tieàn mua söõa caùc loaïi</v>
          </cell>
          <cell r="I249">
            <v>269697331</v>
          </cell>
        </row>
        <row r="250">
          <cell r="A250">
            <v>8</v>
          </cell>
          <cell r="B250">
            <v>37840</v>
          </cell>
          <cell r="C250">
            <v>44</v>
          </cell>
          <cell r="F250" t="str">
            <v xml:space="preserve">Coâng Thöông </v>
          </cell>
          <cell r="G250" t="str">
            <v>Baïc Lieâu</v>
          </cell>
          <cell r="H250" t="str">
            <v>Tieàn ñieän thoaïi thaùng 7/2003</v>
          </cell>
          <cell r="I250">
            <v>9618018</v>
          </cell>
        </row>
        <row r="251">
          <cell r="A251">
            <v>7</v>
          </cell>
          <cell r="B251">
            <v>37841</v>
          </cell>
          <cell r="C251">
            <v>1</v>
          </cell>
          <cell r="F251" t="str">
            <v>Sôû Giao Dòch II CTVN</v>
          </cell>
          <cell r="G251" t="str">
            <v>Hoà Chí Minh</v>
          </cell>
          <cell r="H251" t="str">
            <v>Traû tieàn thuoác laù</v>
          </cell>
          <cell r="I251">
            <v>221300000</v>
          </cell>
        </row>
        <row r="252">
          <cell r="A252">
            <v>8</v>
          </cell>
          <cell r="B252">
            <v>37841</v>
          </cell>
          <cell r="C252">
            <v>69</v>
          </cell>
          <cell r="F252" t="str">
            <v>Coâng Thöông CN 5</v>
          </cell>
          <cell r="G252" t="str">
            <v>Hoà Chí Minh</v>
          </cell>
          <cell r="H252" t="str">
            <v>Traû tieàn mua daàu FO</v>
          </cell>
          <cell r="I252">
            <v>77119000</v>
          </cell>
        </row>
        <row r="253">
          <cell r="A253">
            <v>9</v>
          </cell>
          <cell r="B253">
            <v>37841</v>
          </cell>
          <cell r="C253">
            <v>27</v>
          </cell>
          <cell r="F253" t="str">
            <v>INDOVINA</v>
          </cell>
          <cell r="G253" t="str">
            <v>Hoà Chí Minh</v>
          </cell>
          <cell r="H253" t="str">
            <v>Traû tieàn mua ñöôøng</v>
          </cell>
          <cell r="I253">
            <v>27650000</v>
          </cell>
        </row>
        <row r="254">
          <cell r="A254">
            <v>9</v>
          </cell>
          <cell r="B254">
            <v>37844</v>
          </cell>
          <cell r="C254">
            <v>5</v>
          </cell>
          <cell r="F254" t="str">
            <v>Coâng Thöong CN6</v>
          </cell>
          <cell r="G254" t="str">
            <v>Hoà Chí Minh</v>
          </cell>
          <cell r="H254" t="str">
            <v>Traû tieàn mua boät ngoït</v>
          </cell>
          <cell r="I254">
            <v>259948474</v>
          </cell>
        </row>
        <row r="255">
          <cell r="A255">
            <v>10</v>
          </cell>
          <cell r="B255">
            <v>37844</v>
          </cell>
          <cell r="C255">
            <v>41</v>
          </cell>
          <cell r="F255" t="str">
            <v>Coâng Thöông CN 9</v>
          </cell>
          <cell r="G255" t="str">
            <v>Hoà Chí Minh</v>
          </cell>
          <cell r="H255" t="str">
            <v>Traû tieàn mua xi maêng 330taán</v>
          </cell>
          <cell r="I255">
            <v>270600000</v>
          </cell>
        </row>
        <row r="256">
          <cell r="A256">
            <v>11</v>
          </cell>
          <cell r="B256">
            <v>37844</v>
          </cell>
          <cell r="C256">
            <v>8</v>
          </cell>
          <cell r="F256" t="str">
            <v>Coâng Thöông</v>
          </cell>
          <cell r="G256" t="str">
            <v>Kieân Giang</v>
          </cell>
          <cell r="H256" t="str">
            <v>Traû tieàn mua xi maêng 150taán</v>
          </cell>
          <cell r="I256">
            <v>120120000</v>
          </cell>
        </row>
        <row r="257">
          <cell r="A257">
            <v>12</v>
          </cell>
          <cell r="B257">
            <v>37844</v>
          </cell>
          <cell r="C257">
            <v>10</v>
          </cell>
          <cell r="F257" t="str">
            <v>Hoàng Kong&amp; Thöôïng Haûi</v>
          </cell>
          <cell r="G257" t="str">
            <v>Hoà Chí Minh</v>
          </cell>
          <cell r="H257" t="str">
            <v>Traû tieàn mua nhôùt</v>
          </cell>
          <cell r="I257">
            <v>144960000</v>
          </cell>
        </row>
        <row r="258">
          <cell r="A258">
            <v>13</v>
          </cell>
          <cell r="B258">
            <v>37844</v>
          </cell>
          <cell r="C258">
            <v>14</v>
          </cell>
          <cell r="F258" t="str">
            <v>Coâng Thöông CN I</v>
          </cell>
          <cell r="G258" t="str">
            <v>Hoà Chí Minh</v>
          </cell>
          <cell r="H258" t="str">
            <v>Traû tieàn mua haøng cho CN Theùp Mieàn Nam taïi Caàn Thô</v>
          </cell>
          <cell r="I258">
            <v>247926274</v>
          </cell>
        </row>
        <row r="259">
          <cell r="A259">
            <v>10</v>
          </cell>
          <cell r="B259">
            <v>37844</v>
          </cell>
          <cell r="C259">
            <v>98</v>
          </cell>
          <cell r="F259" t="str">
            <v>Coâng Thöông</v>
          </cell>
          <cell r="G259" t="str">
            <v>Caàn Thô</v>
          </cell>
          <cell r="H259" t="str">
            <v>Traû tieàn mua xi maêng</v>
          </cell>
          <cell r="I259">
            <v>60750000</v>
          </cell>
        </row>
        <row r="260">
          <cell r="A260">
            <v>14</v>
          </cell>
          <cell r="B260">
            <v>37844</v>
          </cell>
          <cell r="C260">
            <v>4</v>
          </cell>
          <cell r="F260" t="str">
            <v>Sôû Giao Dòch II  CTVN</v>
          </cell>
          <cell r="G260" t="str">
            <v>Hoà Chí Minh</v>
          </cell>
          <cell r="H260" t="str">
            <v>Traû tieàn mua xaêng daàu</v>
          </cell>
          <cell r="I260">
            <v>2200000000</v>
          </cell>
        </row>
        <row r="261">
          <cell r="A261">
            <v>11</v>
          </cell>
          <cell r="B261">
            <v>37845</v>
          </cell>
          <cell r="C261">
            <v>31</v>
          </cell>
          <cell r="F261" t="str">
            <v>Sôû Giao Dòch II CTVN</v>
          </cell>
          <cell r="G261" t="str">
            <v>Hoà Chí Minh</v>
          </cell>
          <cell r="H261" t="str">
            <v>Traû tieàn daàu aên  (TT.TN.BL)</v>
          </cell>
          <cell r="I261">
            <v>122013975</v>
          </cell>
        </row>
        <row r="262">
          <cell r="A262">
            <v>12</v>
          </cell>
          <cell r="B262">
            <v>37845</v>
          </cell>
          <cell r="C262">
            <v>90</v>
          </cell>
          <cell r="F262" t="str">
            <v>Coâng Thöông</v>
          </cell>
          <cell r="G262" t="str">
            <v>Caàn Thô</v>
          </cell>
          <cell r="H262" t="str">
            <v>Traû tieàn mua ñöôøng</v>
          </cell>
          <cell r="I262">
            <v>10216000</v>
          </cell>
        </row>
        <row r="263">
          <cell r="A263">
            <v>13</v>
          </cell>
          <cell r="B263">
            <v>37846</v>
          </cell>
          <cell r="C263">
            <v>27</v>
          </cell>
          <cell r="F263" t="str">
            <v>INDOVINA</v>
          </cell>
          <cell r="G263" t="str">
            <v>Hoà Chí Minh</v>
          </cell>
          <cell r="H263" t="str">
            <v>Traû tieàn mua ñöôøng</v>
          </cell>
          <cell r="I263">
            <v>27650000</v>
          </cell>
        </row>
        <row r="264">
          <cell r="A264">
            <v>14</v>
          </cell>
          <cell r="B264">
            <v>37846</v>
          </cell>
          <cell r="C264">
            <v>76</v>
          </cell>
          <cell r="F264" t="str">
            <v>Ngoaïi Thöông</v>
          </cell>
          <cell r="G264" t="str">
            <v>Ñoàng Nai</v>
          </cell>
          <cell r="H264" t="str">
            <v>Traû tieàn mua haøng ñieän maùy</v>
          </cell>
          <cell r="I264">
            <v>34600000</v>
          </cell>
        </row>
        <row r="265">
          <cell r="A265">
            <v>15</v>
          </cell>
          <cell r="B265">
            <v>37847</v>
          </cell>
          <cell r="C265">
            <v>9</v>
          </cell>
          <cell r="F265" t="str">
            <v>Ngoaïi Thöông</v>
          </cell>
          <cell r="G265" t="str">
            <v>Hoà Chí Minh</v>
          </cell>
          <cell r="H265" t="str">
            <v>Traû tieàn mua nhôùt</v>
          </cell>
          <cell r="I265">
            <v>53065824</v>
          </cell>
        </row>
        <row r="266">
          <cell r="A266">
            <v>16</v>
          </cell>
          <cell r="B266">
            <v>37847</v>
          </cell>
          <cell r="C266">
            <v>51</v>
          </cell>
          <cell r="F266" t="str">
            <v xml:space="preserve">Ngoaïi Thöông </v>
          </cell>
          <cell r="G266" t="str">
            <v>Haø Noâi</v>
          </cell>
          <cell r="H266" t="str">
            <v>Baûn tin thoâng tin TM (qua ñieän thoaïi)</v>
          </cell>
          <cell r="I266">
            <v>1200000</v>
          </cell>
        </row>
        <row r="267">
          <cell r="A267">
            <v>17</v>
          </cell>
          <cell r="B267">
            <v>37848</v>
          </cell>
          <cell r="C267">
            <v>73</v>
          </cell>
          <cell r="F267" t="str">
            <v>Ngoaïi Thöông</v>
          </cell>
          <cell r="G267" t="str">
            <v>Hoà Chí Minh</v>
          </cell>
          <cell r="H267" t="str">
            <v>Traû tieàn mua nöôùc röûa cheùn(TT.Baïc Lieâu)</v>
          </cell>
          <cell r="I267">
            <v>28595809</v>
          </cell>
        </row>
        <row r="268">
          <cell r="A268">
            <v>18</v>
          </cell>
          <cell r="B268">
            <v>37848</v>
          </cell>
          <cell r="C268">
            <v>31</v>
          </cell>
          <cell r="F268" t="str">
            <v>Sôû Giao Dòch II CTVN</v>
          </cell>
          <cell r="G268" t="str">
            <v>Hoà Chí Minh</v>
          </cell>
          <cell r="H268" t="str">
            <v xml:space="preserve">Traû tieàn daàu aên  (TT.TN.CM : 90.657.080ñ)+daàu xaù </v>
          </cell>
          <cell r="I268">
            <v>119466155</v>
          </cell>
        </row>
        <row r="269">
          <cell r="A269">
            <v>19</v>
          </cell>
          <cell r="B269">
            <v>37848</v>
          </cell>
          <cell r="C269">
            <v>80</v>
          </cell>
          <cell r="F269" t="str">
            <v>Ngoaïi Thöông</v>
          </cell>
          <cell r="G269" t="str">
            <v>Hoà Chí Minh</v>
          </cell>
          <cell r="H269" t="str">
            <v>Traû tieàn Bình aéc quy</v>
          </cell>
          <cell r="I269">
            <v>16632000</v>
          </cell>
        </row>
        <row r="270">
          <cell r="A270">
            <v>20</v>
          </cell>
          <cell r="B270">
            <v>37848</v>
          </cell>
          <cell r="C270">
            <v>66</v>
          </cell>
          <cell r="F270" t="str">
            <v>ANZ</v>
          </cell>
          <cell r="G270" t="str">
            <v>Hoà Chí Minh</v>
          </cell>
          <cell r="H270" t="str">
            <v>Traû tieàn mì Unif</v>
          </cell>
          <cell r="I270">
            <v>40195680</v>
          </cell>
        </row>
        <row r="271">
          <cell r="A271">
            <v>15</v>
          </cell>
          <cell r="B271">
            <v>37848</v>
          </cell>
          <cell r="C271">
            <v>90</v>
          </cell>
          <cell r="F271" t="str">
            <v>Coâng Thöông</v>
          </cell>
          <cell r="G271" t="str">
            <v>Caàn Thô</v>
          </cell>
          <cell r="H271" t="str">
            <v>Traû tieàn ñöôøng</v>
          </cell>
          <cell r="I271">
            <v>14733980</v>
          </cell>
        </row>
        <row r="272">
          <cell r="A272">
            <v>16</v>
          </cell>
          <cell r="B272">
            <v>37848</v>
          </cell>
          <cell r="C272">
            <v>5</v>
          </cell>
          <cell r="F272" t="str">
            <v>Coâng Thöong CN6</v>
          </cell>
          <cell r="G272" t="str">
            <v>Hoà Chí Minh</v>
          </cell>
          <cell r="H272" t="str">
            <v>Traû tieàn mua boät ngoït</v>
          </cell>
          <cell r="I272">
            <v>80360940</v>
          </cell>
        </row>
        <row r="273">
          <cell r="A273">
            <v>17</v>
          </cell>
          <cell r="B273">
            <v>37848</v>
          </cell>
          <cell r="C273">
            <v>79</v>
          </cell>
          <cell r="F273" t="str">
            <v>T.M.C.P SG Coâng Thöông CN Bình Chaùnh</v>
          </cell>
          <cell r="G273" t="str">
            <v>Hoà Chí Minh</v>
          </cell>
          <cell r="H273" t="str">
            <v>Traû tieàn mua nöôùc ngoït (TT.CM)</v>
          </cell>
          <cell r="I273">
            <v>12925000</v>
          </cell>
        </row>
        <row r="274">
          <cell r="A274">
            <v>21</v>
          </cell>
          <cell r="B274">
            <v>37848</v>
          </cell>
          <cell r="C274">
            <v>8</v>
          </cell>
          <cell r="F274" t="str">
            <v>Coâng Thöông</v>
          </cell>
          <cell r="G274" t="str">
            <v>Kieân Giang</v>
          </cell>
          <cell r="H274" t="str">
            <v>Traû tieàn mua xi maêng 200taán</v>
          </cell>
          <cell r="I274">
            <v>160160000</v>
          </cell>
        </row>
        <row r="275">
          <cell r="A275">
            <v>18</v>
          </cell>
          <cell r="B275">
            <v>37851</v>
          </cell>
          <cell r="C275">
            <v>28</v>
          </cell>
          <cell r="F275" t="str">
            <v>Ñaàu Tö &amp; Phaùt Trieån</v>
          </cell>
          <cell r="G275" t="str">
            <v>Caàn Thô</v>
          </cell>
          <cell r="H275" t="str">
            <v>Traû tieàn mua söõa caùc loaïi</v>
          </cell>
          <cell r="I275">
            <v>414753779</v>
          </cell>
        </row>
        <row r="276">
          <cell r="A276">
            <v>19</v>
          </cell>
          <cell r="B276">
            <v>37851</v>
          </cell>
          <cell r="C276">
            <v>27</v>
          </cell>
          <cell r="F276" t="str">
            <v>INDOVINA</v>
          </cell>
          <cell r="G276" t="str">
            <v>Hoà Chí Minh</v>
          </cell>
          <cell r="H276" t="str">
            <v>Traû tieàn mua ñöôøng</v>
          </cell>
          <cell r="I276">
            <v>28350000</v>
          </cell>
        </row>
        <row r="277">
          <cell r="A277">
            <v>20</v>
          </cell>
          <cell r="B277">
            <v>37851</v>
          </cell>
          <cell r="C277">
            <v>83</v>
          </cell>
          <cell r="F277" t="str">
            <v>Ngoaïi Thöông</v>
          </cell>
          <cell r="G277" t="str">
            <v>Hoà Chí Minh</v>
          </cell>
          <cell r="H277" t="str">
            <v>Traû tieàn mua Tivi</v>
          </cell>
          <cell r="I277">
            <v>28955300</v>
          </cell>
        </row>
        <row r="278">
          <cell r="A278">
            <v>21</v>
          </cell>
          <cell r="B278">
            <v>37851</v>
          </cell>
          <cell r="C278">
            <v>85</v>
          </cell>
          <cell r="F278" t="str">
            <v>Sôû Giao Dòch II CTVN</v>
          </cell>
          <cell r="G278" t="str">
            <v>Hoà Chí Minh</v>
          </cell>
          <cell r="H278" t="str">
            <v>Haøng ñieän maùy</v>
          </cell>
          <cell r="I278">
            <v>12676000</v>
          </cell>
        </row>
        <row r="279">
          <cell r="A279">
            <v>22</v>
          </cell>
          <cell r="B279">
            <v>37851</v>
          </cell>
          <cell r="C279">
            <v>99</v>
          </cell>
          <cell r="F279" t="str">
            <v>AÙ Chaâu</v>
          </cell>
          <cell r="G279" t="str">
            <v>Hoà Chí Minh</v>
          </cell>
          <cell r="H279" t="str">
            <v xml:space="preserve"> Mua nöôùc ngoït+ nöôùc yeán</v>
          </cell>
          <cell r="I279">
            <v>7147859</v>
          </cell>
        </row>
        <row r="280">
          <cell r="A280">
            <v>21</v>
          </cell>
          <cell r="B280">
            <v>37852</v>
          </cell>
          <cell r="C280">
            <v>5</v>
          </cell>
          <cell r="F280" t="str">
            <v>Coâng Thöong CN6</v>
          </cell>
          <cell r="G280" t="str">
            <v>Hoà Chí Minh</v>
          </cell>
          <cell r="H280" t="str">
            <v>Traû tieàn mua boät ngoït</v>
          </cell>
          <cell r="I280">
            <v>268040512</v>
          </cell>
        </row>
        <row r="281">
          <cell r="A281">
            <v>22</v>
          </cell>
          <cell r="B281">
            <v>37852</v>
          </cell>
          <cell r="C281">
            <v>8</v>
          </cell>
          <cell r="F281" t="str">
            <v>Coâng Thöông</v>
          </cell>
          <cell r="G281" t="str">
            <v>Kieân Giang</v>
          </cell>
          <cell r="H281" t="str">
            <v>Traû tieàn mua xi maêng 200taán</v>
          </cell>
          <cell r="I281">
            <v>160160000</v>
          </cell>
        </row>
        <row r="282">
          <cell r="A282">
            <v>23</v>
          </cell>
          <cell r="B282">
            <v>37852</v>
          </cell>
          <cell r="C282">
            <v>31</v>
          </cell>
          <cell r="F282" t="str">
            <v>Sôû Giao Dòch II CTVN</v>
          </cell>
          <cell r="G282" t="str">
            <v>Hoà Chí Minh</v>
          </cell>
          <cell r="H282" t="str">
            <v>Traû tieàn daàu aên  (TT.TN.BL)</v>
          </cell>
          <cell r="I282">
            <v>83068546</v>
          </cell>
        </row>
        <row r="283">
          <cell r="A283">
            <v>24</v>
          </cell>
          <cell r="B283">
            <v>37852</v>
          </cell>
          <cell r="C283">
            <v>95</v>
          </cell>
          <cell r="F283" t="str">
            <v>Ñaàu Tö &amp; Phaùt Trieån</v>
          </cell>
          <cell r="G283" t="str">
            <v>Caàn Thô</v>
          </cell>
          <cell r="H283" t="str">
            <v>Traû tieàn mua vaûi Thaønh Coâng</v>
          </cell>
          <cell r="I283">
            <v>3120010</v>
          </cell>
        </row>
        <row r="284">
          <cell r="A284">
            <v>25</v>
          </cell>
          <cell r="B284">
            <v>37853</v>
          </cell>
          <cell r="C284">
            <v>73</v>
          </cell>
          <cell r="F284" t="str">
            <v>Ngoaïi Thöông</v>
          </cell>
          <cell r="G284" t="str">
            <v>Hoà Chí Minh</v>
          </cell>
          <cell r="H284" t="str">
            <v>Traû tieàn mua nöôùc röûa cheùn(TT.Baïc Lieâu)</v>
          </cell>
          <cell r="I284">
            <v>38728934</v>
          </cell>
        </row>
        <row r="285">
          <cell r="A285">
            <v>26</v>
          </cell>
          <cell r="B285">
            <v>37853</v>
          </cell>
          <cell r="C285">
            <v>27</v>
          </cell>
          <cell r="F285" t="str">
            <v>INDOVINA</v>
          </cell>
          <cell r="G285" t="str">
            <v>Hoà Chí Minh</v>
          </cell>
          <cell r="H285" t="str">
            <v>Traû tieàn mua ñöôøng</v>
          </cell>
          <cell r="I285">
            <v>28350000</v>
          </cell>
        </row>
        <row r="286">
          <cell r="A286">
            <v>27</v>
          </cell>
          <cell r="B286">
            <v>37853</v>
          </cell>
          <cell r="C286">
            <v>83</v>
          </cell>
          <cell r="F286" t="str">
            <v>Ngoaïi Thöông</v>
          </cell>
          <cell r="G286" t="str">
            <v>Hoà Chí Minh</v>
          </cell>
          <cell r="H286" t="str">
            <v>Traû tieàn mua Tivi</v>
          </cell>
          <cell r="I286">
            <v>27296500</v>
          </cell>
        </row>
        <row r="287">
          <cell r="A287">
            <v>23</v>
          </cell>
          <cell r="B287">
            <v>37853</v>
          </cell>
          <cell r="C287">
            <v>36</v>
          </cell>
          <cell r="F287" t="str">
            <v>Coâng Thöông</v>
          </cell>
          <cell r="G287" t="str">
            <v>Baø Ròa-Vuõng Taøu</v>
          </cell>
          <cell r="H287" t="str">
            <v>Traû tieàn mua xaêng daàu</v>
          </cell>
          <cell r="I287">
            <v>1440000000</v>
          </cell>
        </row>
        <row r="288">
          <cell r="A288">
            <v>24</v>
          </cell>
          <cell r="B288">
            <v>37854</v>
          </cell>
          <cell r="C288">
            <v>31</v>
          </cell>
          <cell r="F288" t="str">
            <v>Sôû Giao Dòch II CTVN</v>
          </cell>
          <cell r="G288" t="str">
            <v>Hoà Chí Minh</v>
          </cell>
          <cell r="H288" t="str">
            <v>Traû tieàn daàu aên  (TT.TN.CM)</v>
          </cell>
          <cell r="I288">
            <v>78103643</v>
          </cell>
        </row>
        <row r="289">
          <cell r="A289">
            <v>24</v>
          </cell>
          <cell r="B289">
            <v>37854</v>
          </cell>
          <cell r="C289">
            <v>31</v>
          </cell>
          <cell r="F289" t="str">
            <v>Sôû Giao Dòch II CTVN</v>
          </cell>
          <cell r="G289" t="str">
            <v>Hoà Chí Minh</v>
          </cell>
          <cell r="H289" t="str">
            <v>Traû tieàn daàu aên  (TT.TN.CM)</v>
          </cell>
          <cell r="I289">
            <v>77421080</v>
          </cell>
        </row>
        <row r="290">
          <cell r="A290">
            <v>25</v>
          </cell>
          <cell r="B290">
            <v>37854</v>
          </cell>
          <cell r="C290">
            <v>25</v>
          </cell>
          <cell r="F290" t="str">
            <v>NN &amp; P/T N/Thoân</v>
          </cell>
          <cell r="G290" t="str">
            <v>Baïc Lieâu</v>
          </cell>
          <cell r="H290" t="str">
            <v>Noäp BHXH,BHYT thaùng 8/2003</v>
          </cell>
          <cell r="I290">
            <v>24293474</v>
          </cell>
        </row>
        <row r="291">
          <cell r="A291">
            <v>26</v>
          </cell>
          <cell r="B291">
            <v>37855</v>
          </cell>
          <cell r="C291">
            <v>90</v>
          </cell>
          <cell r="F291" t="str">
            <v>Coâng Thöông</v>
          </cell>
          <cell r="G291" t="str">
            <v>Caàn Thô</v>
          </cell>
          <cell r="H291" t="str">
            <v>Traû tieàn mì Bieân Hoøa</v>
          </cell>
          <cell r="I291">
            <v>19538930</v>
          </cell>
        </row>
        <row r="292">
          <cell r="A292">
            <v>26</v>
          </cell>
          <cell r="B292">
            <v>37855</v>
          </cell>
          <cell r="C292">
            <v>90</v>
          </cell>
          <cell r="F292" t="str">
            <v>Coâng Thöông</v>
          </cell>
          <cell r="G292" t="str">
            <v>Caàn Thô</v>
          </cell>
          <cell r="H292" t="str">
            <v>Traû tieàn mì Bieân Hoøa</v>
          </cell>
          <cell r="I292">
            <v>19538930</v>
          </cell>
        </row>
        <row r="293">
          <cell r="A293">
            <v>27</v>
          </cell>
          <cell r="B293">
            <v>37855</v>
          </cell>
          <cell r="C293">
            <v>19</v>
          </cell>
          <cell r="F293" t="str">
            <v>Eximbank</v>
          </cell>
          <cell r="G293" t="str">
            <v>Hoà Chí Minh</v>
          </cell>
          <cell r="H293" t="str">
            <v>Traû tieàn mua gas</v>
          </cell>
          <cell r="I293">
            <v>29107155</v>
          </cell>
        </row>
        <row r="294">
          <cell r="A294">
            <v>28</v>
          </cell>
          <cell r="B294">
            <v>37858</v>
          </cell>
          <cell r="C294">
            <v>73</v>
          </cell>
          <cell r="F294" t="str">
            <v>Ngoaïi Thöông</v>
          </cell>
          <cell r="G294" t="str">
            <v>Hoà Chí Minh</v>
          </cell>
          <cell r="H294" t="str">
            <v>Traû tieàn mua nöôùc röûa cheùn(TT.Baïc Lieâu)</v>
          </cell>
          <cell r="I294">
            <v>54695319</v>
          </cell>
        </row>
        <row r="295">
          <cell r="A295">
            <v>25</v>
          </cell>
          <cell r="B295">
            <v>37858</v>
          </cell>
          <cell r="C295">
            <v>8</v>
          </cell>
          <cell r="F295" t="str">
            <v>Coâng Thöông</v>
          </cell>
          <cell r="G295" t="str">
            <v>Kieân Giang</v>
          </cell>
          <cell r="H295" t="str">
            <v>Traû tieàn mua xi maêng 100taán</v>
          </cell>
          <cell r="I295">
            <v>80080000</v>
          </cell>
        </row>
        <row r="296">
          <cell r="A296">
            <v>26</v>
          </cell>
          <cell r="B296">
            <v>37858</v>
          </cell>
          <cell r="C296">
            <v>41</v>
          </cell>
          <cell r="F296" t="str">
            <v>Coâng Thöông CN 9</v>
          </cell>
          <cell r="G296" t="str">
            <v>Hoà Chí Minh</v>
          </cell>
          <cell r="H296" t="str">
            <v>Traû tieàn mua xi maêng 400taán</v>
          </cell>
          <cell r="I296">
            <v>328000000</v>
          </cell>
        </row>
        <row r="297">
          <cell r="A297">
            <v>27</v>
          </cell>
          <cell r="B297">
            <v>37858</v>
          </cell>
          <cell r="C297">
            <v>14</v>
          </cell>
          <cell r="F297" t="str">
            <v>Coâng Thöông CN I</v>
          </cell>
          <cell r="G297" t="str">
            <v>Hoà Chí Minh</v>
          </cell>
          <cell r="H297" t="str">
            <v>Traû tieàn mua haøng cho CN Theùp Mieàn Nam taïi Caàn Thô</v>
          </cell>
          <cell r="I297">
            <v>300000000</v>
          </cell>
        </row>
        <row r="298">
          <cell r="A298">
            <v>28</v>
          </cell>
          <cell r="B298">
            <v>37858</v>
          </cell>
          <cell r="C298">
            <v>100</v>
          </cell>
          <cell r="F298" t="str">
            <v>Coâng Thöông CN 12</v>
          </cell>
          <cell r="G298" t="str">
            <v>Hoà Chí Minh</v>
          </cell>
          <cell r="H298" t="str">
            <v>Traû tieàn caù moøi hoäp</v>
          </cell>
          <cell r="I298">
            <v>26140000</v>
          </cell>
        </row>
        <row r="299">
          <cell r="A299">
            <v>29</v>
          </cell>
          <cell r="B299">
            <v>37858</v>
          </cell>
          <cell r="C299">
            <v>101</v>
          </cell>
          <cell r="F299" t="str">
            <v>Deutsche Bank</v>
          </cell>
          <cell r="G299" t="str">
            <v>Hoà Chí Minh</v>
          </cell>
          <cell r="H299" t="str">
            <v>Traû tieàn mua xaêng daàu theo HÑ soá 7802/2003 ngaøy 02/01/2003</v>
          </cell>
          <cell r="I299">
            <v>4070000000</v>
          </cell>
        </row>
        <row r="300">
          <cell r="A300">
            <v>29</v>
          </cell>
          <cell r="B300">
            <v>37859</v>
          </cell>
          <cell r="C300">
            <v>27</v>
          </cell>
          <cell r="F300" t="str">
            <v>INDOVINA</v>
          </cell>
          <cell r="G300" t="str">
            <v>Hoà Chí Minh</v>
          </cell>
          <cell r="H300" t="str">
            <v>Traû tieàn mua ñöôøng</v>
          </cell>
          <cell r="I300">
            <v>32400000</v>
          </cell>
        </row>
        <row r="301">
          <cell r="A301">
            <v>30</v>
          </cell>
          <cell r="B301">
            <v>37859</v>
          </cell>
          <cell r="C301">
            <v>66</v>
          </cell>
          <cell r="F301" t="str">
            <v>ANZ</v>
          </cell>
          <cell r="G301" t="str">
            <v>Hoà Chí Minh</v>
          </cell>
          <cell r="H301" t="str">
            <v>Traû tieàn mua mì Unif</v>
          </cell>
          <cell r="I301">
            <v>50212284</v>
          </cell>
        </row>
        <row r="302">
          <cell r="A302">
            <v>31</v>
          </cell>
          <cell r="B302">
            <v>37859</v>
          </cell>
          <cell r="C302">
            <v>102</v>
          </cell>
          <cell r="F302" t="str">
            <v>Ngoaïi Thöông</v>
          </cell>
          <cell r="G302" t="str">
            <v>Hoà Chí Minh</v>
          </cell>
          <cell r="H302" t="str">
            <v>Traû tieàn mua chaùo Fudo</v>
          </cell>
          <cell r="I302">
            <v>20130000</v>
          </cell>
        </row>
        <row r="303">
          <cell r="A303">
            <v>32</v>
          </cell>
          <cell r="B303">
            <v>37860</v>
          </cell>
          <cell r="C303">
            <v>28</v>
          </cell>
          <cell r="F303" t="str">
            <v>Ñaàu Tö &amp; Phaùt Trieån</v>
          </cell>
          <cell r="G303" t="str">
            <v>Caàn Thô</v>
          </cell>
          <cell r="H303" t="str">
            <v>Traû tieàn mua söõa caùc loaïi</v>
          </cell>
          <cell r="I303">
            <v>434196271</v>
          </cell>
        </row>
        <row r="304">
          <cell r="A304">
            <v>30</v>
          </cell>
          <cell r="B304">
            <v>37860</v>
          </cell>
          <cell r="C304">
            <v>1</v>
          </cell>
          <cell r="F304" t="str">
            <v>Sôû Giao Dòch II CTVN</v>
          </cell>
          <cell r="G304" t="str">
            <v>Hoà Chí Minh</v>
          </cell>
          <cell r="H304" t="str">
            <v>Traû tieàn mua thuoác laù</v>
          </cell>
          <cell r="I304">
            <v>223525000</v>
          </cell>
        </row>
        <row r="305">
          <cell r="A305">
            <v>31</v>
          </cell>
          <cell r="B305">
            <v>37860</v>
          </cell>
          <cell r="C305">
            <v>5</v>
          </cell>
          <cell r="F305" t="str">
            <v>Coâng Thöong CN6</v>
          </cell>
          <cell r="G305" t="str">
            <v>Hoà Chí Minh</v>
          </cell>
          <cell r="H305" t="str">
            <v>Traû tieàn mua boät ngoït</v>
          </cell>
          <cell r="I305">
            <v>295240814</v>
          </cell>
        </row>
        <row r="306">
          <cell r="A306">
            <v>32</v>
          </cell>
          <cell r="B306">
            <v>37860</v>
          </cell>
          <cell r="C306">
            <v>8</v>
          </cell>
          <cell r="F306" t="str">
            <v>Coâng Thöông</v>
          </cell>
          <cell r="G306" t="str">
            <v>Kieân Giang</v>
          </cell>
          <cell r="H306" t="str">
            <v>Traû tieàn mua xi maêng 100taán</v>
          </cell>
          <cell r="I306">
            <v>78485000</v>
          </cell>
        </row>
        <row r="307">
          <cell r="A307">
            <v>33</v>
          </cell>
          <cell r="B307">
            <v>37860</v>
          </cell>
          <cell r="C307">
            <v>31</v>
          </cell>
          <cell r="F307" t="str">
            <v>Sôû Giao Dòch II CTVN</v>
          </cell>
          <cell r="G307" t="str">
            <v>Hoà Chí Minh</v>
          </cell>
          <cell r="H307" t="str">
            <v>Traû tieàn daàu aên  (TT.TN.CM)</v>
          </cell>
          <cell r="I307">
            <v>107469758</v>
          </cell>
        </row>
        <row r="308">
          <cell r="A308">
            <v>33</v>
          </cell>
          <cell r="B308">
            <v>37861</v>
          </cell>
          <cell r="C308">
            <v>9</v>
          </cell>
          <cell r="F308" t="str">
            <v>Ngoaïi Thöông</v>
          </cell>
          <cell r="G308" t="str">
            <v>Hoà Chí Minh</v>
          </cell>
          <cell r="H308" t="str">
            <v>Traû tieàn mua nhôùt</v>
          </cell>
          <cell r="I308">
            <v>131408946</v>
          </cell>
        </row>
        <row r="309">
          <cell r="A309">
            <v>34</v>
          </cell>
          <cell r="B309">
            <v>37861</v>
          </cell>
          <cell r="C309">
            <v>46</v>
          </cell>
          <cell r="F309" t="str">
            <v xml:space="preserve">Coâng Thöông </v>
          </cell>
          <cell r="G309" t="str">
            <v>Phuù Thoï</v>
          </cell>
          <cell r="H309" t="str">
            <v>Traû tieàn mua boät ngoït</v>
          </cell>
          <cell r="I309">
            <v>109254076</v>
          </cell>
        </row>
        <row r="310">
          <cell r="A310">
            <v>35</v>
          </cell>
          <cell r="B310">
            <v>37862</v>
          </cell>
          <cell r="C310">
            <v>21</v>
          </cell>
          <cell r="F310" t="str">
            <v>Coâng Thöông</v>
          </cell>
          <cell r="G310" t="str">
            <v>Caàn Thô</v>
          </cell>
          <cell r="H310" t="str">
            <v>Traû tieàn mua gas</v>
          </cell>
          <cell r="I310">
            <v>43290001</v>
          </cell>
        </row>
        <row r="311">
          <cell r="A311">
            <v>36</v>
          </cell>
          <cell r="B311">
            <v>37862</v>
          </cell>
          <cell r="C311">
            <v>41</v>
          </cell>
          <cell r="F311" t="str">
            <v>Coâng Thöông CN 9</v>
          </cell>
          <cell r="G311" t="str">
            <v>Hoà Chí Minh</v>
          </cell>
          <cell r="H311" t="str">
            <v>Traû tieàn mua xi maêng 300taán</v>
          </cell>
          <cell r="I311">
            <v>246000000</v>
          </cell>
        </row>
        <row r="312">
          <cell r="A312">
            <v>34</v>
          </cell>
          <cell r="B312">
            <v>37862</v>
          </cell>
          <cell r="C312">
            <v>27</v>
          </cell>
          <cell r="F312" t="str">
            <v>INDOVINA</v>
          </cell>
          <cell r="G312" t="str">
            <v>Hoà Chí Minh</v>
          </cell>
          <cell r="H312" t="str">
            <v>Traû tieàn mua ñöôøng</v>
          </cell>
          <cell r="I312">
            <v>28350000</v>
          </cell>
        </row>
        <row r="313">
          <cell r="A313">
            <v>37</v>
          </cell>
          <cell r="B313">
            <v>37862</v>
          </cell>
          <cell r="C313">
            <v>77</v>
          </cell>
          <cell r="F313" t="str">
            <v>Coâng Thöông CN 4</v>
          </cell>
          <cell r="G313" t="str">
            <v>Hoà Chí Minh</v>
          </cell>
          <cell r="H313" t="str">
            <v>Traû tieàn mua haøng ñieän töû</v>
          </cell>
          <cell r="I313">
            <v>24118347</v>
          </cell>
        </row>
        <row r="314">
          <cell r="A314">
            <v>1</v>
          </cell>
          <cell r="B314">
            <v>37865</v>
          </cell>
          <cell r="C314">
            <v>73</v>
          </cell>
          <cell r="F314" t="str">
            <v>Ngoaïi Thöông</v>
          </cell>
          <cell r="G314" t="str">
            <v>Hoà Chí Minh</v>
          </cell>
          <cell r="H314" t="str">
            <v>Traû tieàn mua nöôùc röûa cheùn(TT.Baïc Lieâu)</v>
          </cell>
          <cell r="I314">
            <v>62210842</v>
          </cell>
        </row>
        <row r="315">
          <cell r="A315">
            <v>1</v>
          </cell>
          <cell r="B315">
            <v>37865</v>
          </cell>
          <cell r="C315">
            <v>8</v>
          </cell>
          <cell r="F315" t="str">
            <v>Coâng Thöông</v>
          </cell>
          <cell r="G315" t="str">
            <v>Kieân Giang</v>
          </cell>
          <cell r="H315" t="str">
            <v>Traû tieàn mua xi maêng 250taán</v>
          </cell>
          <cell r="I315">
            <v>200200000</v>
          </cell>
        </row>
        <row r="316">
          <cell r="A316">
            <v>2</v>
          </cell>
          <cell r="B316">
            <v>37865</v>
          </cell>
          <cell r="C316">
            <v>3</v>
          </cell>
          <cell r="F316" t="str">
            <v>Coâng Thöông CN 14</v>
          </cell>
          <cell r="G316" t="str">
            <v>Hoà Chí Minh</v>
          </cell>
          <cell r="H316" t="str">
            <v>Traû tieàn mua boät giaët</v>
          </cell>
          <cell r="I316">
            <v>450000000</v>
          </cell>
        </row>
        <row r="317">
          <cell r="A317">
            <v>2</v>
          </cell>
          <cell r="B317">
            <v>37867</v>
          </cell>
          <cell r="C317">
            <v>73</v>
          </cell>
          <cell r="F317" t="str">
            <v>Ngoaïi Thöông</v>
          </cell>
          <cell r="G317" t="str">
            <v>Hoà Chí Minh</v>
          </cell>
          <cell r="H317" t="str">
            <v>Traû tieàn mua nöôùc röûa cheùn(TT.Caø Mau)</v>
          </cell>
          <cell r="I317">
            <v>26814757</v>
          </cell>
        </row>
        <row r="318">
          <cell r="A318">
            <v>3</v>
          </cell>
          <cell r="B318">
            <v>37867</v>
          </cell>
          <cell r="C318">
            <v>27</v>
          </cell>
          <cell r="F318" t="str">
            <v>INDOVINA</v>
          </cell>
          <cell r="G318" t="str">
            <v>Hoà Chí Minh</v>
          </cell>
          <cell r="H318" t="str">
            <v>Traû tieàn mua ñöôøng</v>
          </cell>
          <cell r="I318">
            <v>29750000</v>
          </cell>
        </row>
        <row r="319">
          <cell r="A319">
            <v>4</v>
          </cell>
          <cell r="B319">
            <v>37868</v>
          </cell>
          <cell r="C319">
            <v>31</v>
          </cell>
          <cell r="F319" t="str">
            <v>Sôû Giao Dòch II CTVN</v>
          </cell>
          <cell r="G319" t="str">
            <v>Hoà Chí Minh</v>
          </cell>
          <cell r="H319" t="str">
            <v>Traû tieàn daàu aên  (TT.TN.BL)</v>
          </cell>
          <cell r="I319">
            <v>141228470</v>
          </cell>
        </row>
        <row r="320">
          <cell r="A320">
            <v>5</v>
          </cell>
          <cell r="B320">
            <v>37868</v>
          </cell>
          <cell r="C320">
            <v>94</v>
          </cell>
          <cell r="F320" t="str">
            <v>Coâng Thöông CN 9</v>
          </cell>
          <cell r="G320" t="str">
            <v>Hoà Chí Minh</v>
          </cell>
          <cell r="H320" t="str">
            <v>Traû tieàn mua chaùo Bình Tieân</v>
          </cell>
          <cell r="I320">
            <v>11894400</v>
          </cell>
        </row>
        <row r="321">
          <cell r="A321">
            <v>3</v>
          </cell>
          <cell r="B321">
            <v>37868</v>
          </cell>
          <cell r="C321">
            <v>5</v>
          </cell>
          <cell r="F321" t="str">
            <v>Coâng Thöong CN6</v>
          </cell>
          <cell r="G321" t="str">
            <v>Hoà Chí Minh</v>
          </cell>
          <cell r="H321" t="str">
            <v>Traû tieàn mua boät ngoït</v>
          </cell>
          <cell r="I321">
            <v>289852021</v>
          </cell>
        </row>
        <row r="322">
          <cell r="A322">
            <v>4</v>
          </cell>
          <cell r="B322">
            <v>37868</v>
          </cell>
          <cell r="C322">
            <v>98</v>
          </cell>
          <cell r="F322" t="str">
            <v>Coâng Thöông</v>
          </cell>
          <cell r="G322" t="str">
            <v>Caàn Thô</v>
          </cell>
          <cell r="H322" t="str">
            <v>Traû tieàn mua xi maêng</v>
          </cell>
          <cell r="I322">
            <v>116000000</v>
          </cell>
        </row>
        <row r="323">
          <cell r="A323">
            <v>5</v>
          </cell>
          <cell r="B323">
            <v>37869</v>
          </cell>
          <cell r="C323">
            <v>10</v>
          </cell>
          <cell r="F323" t="str">
            <v>Hoàng Kong&amp; Thöôïng Haûi</v>
          </cell>
          <cell r="G323" t="str">
            <v>Hoà Chí Minh</v>
          </cell>
          <cell r="H323" t="str">
            <v>Traû tieàn mua nhôùt Vilube</v>
          </cell>
          <cell r="I323">
            <v>251260000</v>
          </cell>
        </row>
        <row r="324">
          <cell r="A324">
            <v>6</v>
          </cell>
          <cell r="B324">
            <v>37869</v>
          </cell>
          <cell r="C324">
            <v>93</v>
          </cell>
          <cell r="F324" t="str">
            <v>Coâng Thöông CN 12</v>
          </cell>
          <cell r="G324" t="str">
            <v>Hoà Chí Minh</v>
          </cell>
          <cell r="H324" t="str">
            <v>Traû tieàn mua giaáy vieãn ñoâng</v>
          </cell>
          <cell r="I324">
            <v>11023848</v>
          </cell>
        </row>
        <row r="325">
          <cell r="A325">
            <v>7</v>
          </cell>
          <cell r="B325">
            <v>37869</v>
          </cell>
          <cell r="C325">
            <v>73</v>
          </cell>
          <cell r="F325" t="str">
            <v>Ngoaïi Thöông</v>
          </cell>
          <cell r="G325" t="str">
            <v>Hoà Chí Minh</v>
          </cell>
          <cell r="H325" t="str">
            <v>Traû tieàn mua nöôùc röûa cheùn (TT.BL)</v>
          </cell>
          <cell r="I325">
            <v>34963260</v>
          </cell>
        </row>
        <row r="326">
          <cell r="A326">
            <v>8</v>
          </cell>
          <cell r="B326">
            <v>37869</v>
          </cell>
          <cell r="C326">
            <v>90</v>
          </cell>
          <cell r="F326" t="str">
            <v>Coâng Thöông</v>
          </cell>
          <cell r="G326" t="str">
            <v>Caàn Thô</v>
          </cell>
          <cell r="H326" t="str">
            <v>Traû tieàn mua ñöôøng</v>
          </cell>
          <cell r="I326">
            <v>10216000</v>
          </cell>
        </row>
        <row r="327">
          <cell r="A327">
            <v>9</v>
          </cell>
          <cell r="B327">
            <v>37869</v>
          </cell>
          <cell r="C327">
            <v>83</v>
          </cell>
          <cell r="F327" t="str">
            <v>Ngoaïi Thöông</v>
          </cell>
          <cell r="G327" t="str">
            <v>Hoà Chí Minh</v>
          </cell>
          <cell r="H327" t="str">
            <v>Traû tieàn mua tivi</v>
          </cell>
          <cell r="I327">
            <v>45977800</v>
          </cell>
        </row>
        <row r="328">
          <cell r="A328">
            <v>10</v>
          </cell>
          <cell r="B328">
            <v>37869</v>
          </cell>
          <cell r="C328">
            <v>36</v>
          </cell>
          <cell r="F328" t="str">
            <v>Coâng Thöông</v>
          </cell>
          <cell r="G328" t="str">
            <v>Baø Ròa-Vuõng Taøu</v>
          </cell>
          <cell r="H328" t="str">
            <v>Traû tieàn mua xaêng daàu</v>
          </cell>
          <cell r="I328">
            <v>1736700000</v>
          </cell>
        </row>
        <row r="329">
          <cell r="A329">
            <v>6</v>
          </cell>
          <cell r="B329">
            <v>37872</v>
          </cell>
          <cell r="C329">
            <v>28</v>
          </cell>
          <cell r="F329" t="str">
            <v>Ñaàu Tö &amp; Phaùt Trieån</v>
          </cell>
          <cell r="G329" t="str">
            <v>Caàn Thô</v>
          </cell>
          <cell r="H329" t="str">
            <v>Traû tieàn mua söõa caùc loaïi</v>
          </cell>
          <cell r="I329">
            <v>291845992</v>
          </cell>
        </row>
        <row r="330">
          <cell r="A330">
            <v>7</v>
          </cell>
          <cell r="B330">
            <v>37872</v>
          </cell>
          <cell r="C330">
            <v>73</v>
          </cell>
          <cell r="F330" t="str">
            <v>Ngoaïi Thöông</v>
          </cell>
          <cell r="G330" t="str">
            <v>Hoà Chí Minh</v>
          </cell>
          <cell r="H330" t="str">
            <v>Traû tieàn mua nöôùc röûa cheùn (TT.BL)</v>
          </cell>
          <cell r="I330">
            <v>35082207</v>
          </cell>
        </row>
        <row r="331">
          <cell r="A331">
            <v>11</v>
          </cell>
          <cell r="B331">
            <v>37872</v>
          </cell>
          <cell r="C331">
            <v>8</v>
          </cell>
          <cell r="F331" t="str">
            <v>Coâng Thöông</v>
          </cell>
          <cell r="G331" t="str">
            <v>Kieân Giang</v>
          </cell>
          <cell r="H331" t="str">
            <v>Traû tieàn mua xi maêng 200taán</v>
          </cell>
          <cell r="I331">
            <v>160160000</v>
          </cell>
        </row>
        <row r="332">
          <cell r="A332">
            <v>12</v>
          </cell>
          <cell r="B332">
            <v>37872</v>
          </cell>
          <cell r="C332">
            <v>14</v>
          </cell>
          <cell r="F332" t="str">
            <v>Coâng Thöông CN I</v>
          </cell>
          <cell r="G332" t="str">
            <v>Hoà Chí Minh</v>
          </cell>
          <cell r="H332" t="str">
            <v>Traû tieàn mua haøng cho CN Theùp Mieàn Nam taïi Caàn Thô</v>
          </cell>
          <cell r="I332">
            <v>261191601</v>
          </cell>
        </row>
        <row r="333">
          <cell r="A333">
            <v>13</v>
          </cell>
          <cell r="B333">
            <v>37872</v>
          </cell>
          <cell r="C333">
            <v>36</v>
          </cell>
          <cell r="F333" t="str">
            <v>Coâng Thöông</v>
          </cell>
          <cell r="G333" t="str">
            <v>Baø Ròa-Vuõng Taøu</v>
          </cell>
          <cell r="H333" t="str">
            <v>Traû tieàn mua xaêng daàu</v>
          </cell>
          <cell r="I333">
            <v>125000000</v>
          </cell>
        </row>
        <row r="334">
          <cell r="A334">
            <v>8</v>
          </cell>
          <cell r="B334">
            <v>37872</v>
          </cell>
          <cell r="C334">
            <v>31</v>
          </cell>
          <cell r="F334" t="str">
            <v>Sôû Giao Dòch II CTVN</v>
          </cell>
          <cell r="G334" t="str">
            <v>Hoà Chí Minh</v>
          </cell>
          <cell r="H334" t="str">
            <v>Traû tieàn daàu aên  (TT.CM: 78.361.598ñ;TT.BL: 81.657.972ñ)</v>
          </cell>
          <cell r="I334">
            <v>160019570</v>
          </cell>
        </row>
        <row r="335">
          <cell r="A335">
            <v>14</v>
          </cell>
          <cell r="B335">
            <v>37873</v>
          </cell>
          <cell r="C335">
            <v>41</v>
          </cell>
          <cell r="F335" t="str">
            <v>Coâng Thöông CN 9</v>
          </cell>
          <cell r="G335" t="str">
            <v>Hoà Chí Minh</v>
          </cell>
          <cell r="H335" t="str">
            <v>Traû tieàn mua xi maêng</v>
          </cell>
          <cell r="I335">
            <v>123000000</v>
          </cell>
        </row>
        <row r="336">
          <cell r="A336">
            <v>15</v>
          </cell>
          <cell r="B336">
            <v>37874</v>
          </cell>
          <cell r="C336">
            <v>14</v>
          </cell>
          <cell r="F336" t="str">
            <v>Coâng Thöông CN I</v>
          </cell>
          <cell r="G336" t="str">
            <v>Hoà Chí Minh</v>
          </cell>
          <cell r="H336" t="str">
            <v>Traû tieàn mua haøng cho CN Theùp Mieàn Nam taïi Caàn Thô</v>
          </cell>
          <cell r="I336">
            <v>338100578</v>
          </cell>
        </row>
        <row r="337">
          <cell r="A337">
            <v>16</v>
          </cell>
          <cell r="B337">
            <v>37875</v>
          </cell>
          <cell r="C337">
            <v>8</v>
          </cell>
          <cell r="F337" t="str">
            <v>Coâng Thöông</v>
          </cell>
          <cell r="G337" t="str">
            <v>Kieân Giang</v>
          </cell>
          <cell r="H337" t="str">
            <v>Traû tieàn mua xi maêng 200taán</v>
          </cell>
          <cell r="I337">
            <v>160160000</v>
          </cell>
        </row>
        <row r="338">
          <cell r="A338">
            <v>17</v>
          </cell>
          <cell r="B338">
            <v>37875</v>
          </cell>
          <cell r="C338">
            <v>5</v>
          </cell>
          <cell r="F338" t="str">
            <v>Coâng Thöong CN6</v>
          </cell>
          <cell r="G338" t="str">
            <v>Hoà Chí Minh</v>
          </cell>
          <cell r="H338" t="str">
            <v>Traû tieàn mua boät ngoït</v>
          </cell>
          <cell r="I338">
            <v>253558173</v>
          </cell>
        </row>
        <row r="339">
          <cell r="A339">
            <v>9</v>
          </cell>
          <cell r="B339">
            <v>37875</v>
          </cell>
          <cell r="C339">
            <v>95</v>
          </cell>
          <cell r="F339" t="str">
            <v>Ñaàu Tö &amp; Phaùt Trieån</v>
          </cell>
          <cell r="G339" t="str">
            <v>Caàn Thô</v>
          </cell>
          <cell r="H339" t="str">
            <v>Traû tieàn haøng may saún</v>
          </cell>
          <cell r="I339">
            <v>3120010</v>
          </cell>
        </row>
        <row r="340">
          <cell r="A340">
            <v>10</v>
          </cell>
          <cell r="B340">
            <v>37875</v>
          </cell>
          <cell r="C340">
            <v>73</v>
          </cell>
          <cell r="F340" t="str">
            <v>Ngoaïi Thöông</v>
          </cell>
          <cell r="G340" t="str">
            <v>Hoà Chí Minh</v>
          </cell>
          <cell r="H340" t="str">
            <v>Traû tieàn mua nöôùc röûa cheùn (TT.BL)</v>
          </cell>
          <cell r="I340">
            <v>17827048</v>
          </cell>
        </row>
        <row r="341">
          <cell r="A341">
            <v>11</v>
          </cell>
          <cell r="B341">
            <v>37876</v>
          </cell>
          <cell r="C341">
            <v>44</v>
          </cell>
          <cell r="F341" t="str">
            <v xml:space="preserve">Coâng Thöông </v>
          </cell>
          <cell r="G341" t="str">
            <v>Baïc Lieâu</v>
          </cell>
          <cell r="H341" t="str">
            <v>Traû tieàn ñieän thoaïi thaùng 8/2003</v>
          </cell>
          <cell r="I341">
            <v>10279334</v>
          </cell>
        </row>
        <row r="342">
          <cell r="A342">
            <v>12</v>
          </cell>
          <cell r="B342">
            <v>37876</v>
          </cell>
          <cell r="C342">
            <v>73</v>
          </cell>
          <cell r="F342" t="str">
            <v>Ngoaïi Thöông</v>
          </cell>
          <cell r="G342" t="str">
            <v>Hoà Chí Minh</v>
          </cell>
          <cell r="H342" t="str">
            <v>Traû tieàn mua nöôùc röûa cheùn (TT.CM)</v>
          </cell>
          <cell r="I342">
            <v>32079660</v>
          </cell>
        </row>
        <row r="343">
          <cell r="A343">
            <v>18</v>
          </cell>
          <cell r="B343">
            <v>37876</v>
          </cell>
          <cell r="C343">
            <v>1</v>
          </cell>
          <cell r="F343" t="str">
            <v>Sôû Giao Dòch II CTVN</v>
          </cell>
          <cell r="G343" t="str">
            <v>Hoà Chí Minh</v>
          </cell>
          <cell r="H343" t="str">
            <v>Traû tieàn mua thuoác laù</v>
          </cell>
          <cell r="I343">
            <v>222575000</v>
          </cell>
        </row>
        <row r="344">
          <cell r="A344">
            <v>13</v>
          </cell>
          <cell r="B344">
            <v>37876</v>
          </cell>
          <cell r="C344">
            <v>28</v>
          </cell>
          <cell r="F344" t="str">
            <v>Ñaàu Tö &amp; Phaùt Trieån</v>
          </cell>
          <cell r="G344" t="str">
            <v>Caàn Thô</v>
          </cell>
          <cell r="H344" t="str">
            <v>Traû tieàn mua söõa caùc loaïi</v>
          </cell>
          <cell r="I344">
            <v>255684856</v>
          </cell>
        </row>
        <row r="345">
          <cell r="A345">
            <v>14</v>
          </cell>
          <cell r="B345">
            <v>37876</v>
          </cell>
          <cell r="C345">
            <v>90</v>
          </cell>
          <cell r="F345" t="str">
            <v>Coâng Thöông</v>
          </cell>
          <cell r="G345" t="str">
            <v>Caàn Thô</v>
          </cell>
          <cell r="H345" t="str">
            <v>Traû tieàn mua ñöôøng</v>
          </cell>
          <cell r="I345">
            <v>21250000</v>
          </cell>
        </row>
        <row r="346">
          <cell r="A346">
            <v>15</v>
          </cell>
          <cell r="B346">
            <v>37879</v>
          </cell>
          <cell r="C346">
            <v>28</v>
          </cell>
          <cell r="F346" t="str">
            <v>Ñaàu Tö &amp; Phaùt Trieån</v>
          </cell>
          <cell r="G346" t="str">
            <v>Caàn Thô</v>
          </cell>
          <cell r="H346" t="str">
            <v>Traû tieàn mua söõa caùc loaïi</v>
          </cell>
          <cell r="I346">
            <v>342891712</v>
          </cell>
        </row>
        <row r="347">
          <cell r="A347">
            <v>16</v>
          </cell>
          <cell r="B347">
            <v>37879</v>
          </cell>
          <cell r="C347">
            <v>27</v>
          </cell>
          <cell r="F347" t="str">
            <v>INDOVINA</v>
          </cell>
          <cell r="G347" t="str">
            <v>Hoà Chí Minh</v>
          </cell>
          <cell r="H347" t="str">
            <v>Traû tieàn mua ñöôøng</v>
          </cell>
          <cell r="I347">
            <v>57050000</v>
          </cell>
        </row>
        <row r="348">
          <cell r="A348">
            <v>17</v>
          </cell>
          <cell r="B348">
            <v>37879</v>
          </cell>
          <cell r="C348">
            <v>73</v>
          </cell>
          <cell r="F348" t="str">
            <v>Ngoaïi Thöông</v>
          </cell>
          <cell r="G348" t="str">
            <v>Hoà Chí Minh</v>
          </cell>
          <cell r="H348" t="str">
            <v>Traû tieàn mua nöôùc röûa cheùn (TT.BL)</v>
          </cell>
          <cell r="I348">
            <v>38931855</v>
          </cell>
        </row>
        <row r="349">
          <cell r="A349">
            <v>18</v>
          </cell>
          <cell r="B349">
            <v>37879</v>
          </cell>
          <cell r="C349">
            <v>99</v>
          </cell>
          <cell r="F349" t="str">
            <v>AÙ Chaâu</v>
          </cell>
          <cell r="G349" t="str">
            <v>Hoà Chí Minh</v>
          </cell>
          <cell r="H349" t="str">
            <v>Traû tieàn mua nöôùc yeán,bí ñao, nöôùc ngoït</v>
          </cell>
          <cell r="I349">
            <v>20787517</v>
          </cell>
        </row>
        <row r="350">
          <cell r="A350">
            <v>19</v>
          </cell>
          <cell r="B350">
            <v>37879</v>
          </cell>
          <cell r="C350">
            <v>83</v>
          </cell>
          <cell r="F350" t="str">
            <v>Ngoaïi Thöông</v>
          </cell>
          <cell r="G350" t="str">
            <v>Hoà Chí Minh</v>
          </cell>
          <cell r="H350" t="str">
            <v>Traû tieàn mua Tivi</v>
          </cell>
          <cell r="I350">
            <v>27244500</v>
          </cell>
        </row>
        <row r="351">
          <cell r="A351">
            <v>20</v>
          </cell>
          <cell r="B351">
            <v>37881</v>
          </cell>
          <cell r="C351">
            <v>73</v>
          </cell>
          <cell r="F351" t="str">
            <v>Ngoaïi Thöông</v>
          </cell>
          <cell r="G351" t="str">
            <v>Hoà Chí Minh</v>
          </cell>
          <cell r="H351" t="str">
            <v>Traû tieàn mua nöôùc röûa cheùn (TT.BL)</v>
          </cell>
          <cell r="I351">
            <v>33098688</v>
          </cell>
        </row>
        <row r="352">
          <cell r="A352">
            <v>21</v>
          </cell>
          <cell r="B352">
            <v>37881</v>
          </cell>
          <cell r="C352">
            <v>31</v>
          </cell>
          <cell r="F352" t="str">
            <v>Sôû Giao Dòch II CTVN</v>
          </cell>
          <cell r="G352" t="str">
            <v>Hoà Chí Minh</v>
          </cell>
          <cell r="H352" t="str">
            <v>Traû tieàn daàu aên  (TT.TN.BL)</v>
          </cell>
          <cell r="I352">
            <v>78397440</v>
          </cell>
        </row>
        <row r="353">
          <cell r="A353">
            <v>19</v>
          </cell>
          <cell r="B353">
            <v>37881</v>
          </cell>
          <cell r="C353">
            <v>101</v>
          </cell>
          <cell r="F353" t="str">
            <v>Deutsche Bank</v>
          </cell>
          <cell r="G353" t="str">
            <v>Hoà Chí Minh</v>
          </cell>
          <cell r="H353" t="str">
            <v>Traû tieàn mua xaêng daàu (Maõ IBPS 50619012)</v>
          </cell>
          <cell r="I353">
            <v>1700000000</v>
          </cell>
        </row>
        <row r="354">
          <cell r="A354">
            <v>20</v>
          </cell>
          <cell r="B354">
            <v>37881</v>
          </cell>
          <cell r="C354">
            <v>36</v>
          </cell>
          <cell r="F354" t="str">
            <v>Coâng Thöông</v>
          </cell>
          <cell r="G354" t="str">
            <v>Baø Ròa-Vuõng Taøu</v>
          </cell>
          <cell r="H354" t="str">
            <v>Traû tieàn mua xaêng daàu</v>
          </cell>
          <cell r="I354">
            <v>1865000000</v>
          </cell>
        </row>
        <row r="355">
          <cell r="A355">
            <v>21</v>
          </cell>
          <cell r="B355">
            <v>37882</v>
          </cell>
          <cell r="C355">
            <v>5</v>
          </cell>
          <cell r="F355" t="str">
            <v>Coâng Thöong CN6</v>
          </cell>
          <cell r="G355" t="str">
            <v>Hoà Chí Minh</v>
          </cell>
          <cell r="H355" t="str">
            <v>Traû tieàn mua boät ngoït</v>
          </cell>
          <cell r="I355">
            <v>263226480</v>
          </cell>
        </row>
        <row r="356">
          <cell r="A356">
            <v>22</v>
          </cell>
          <cell r="B356">
            <v>37882</v>
          </cell>
          <cell r="C356">
            <v>95</v>
          </cell>
          <cell r="F356" t="str">
            <v>Ñaàu Tö &amp; Phaùt Trieån</v>
          </cell>
          <cell r="G356" t="str">
            <v>Caàn Thô</v>
          </cell>
          <cell r="H356" t="str">
            <v>Traû tieàn haøng may saún</v>
          </cell>
          <cell r="I356">
            <v>2006850</v>
          </cell>
        </row>
        <row r="357">
          <cell r="A357">
            <v>23</v>
          </cell>
          <cell r="B357">
            <v>37883</v>
          </cell>
          <cell r="C357">
            <v>31</v>
          </cell>
          <cell r="F357" t="str">
            <v>Sôû Giao Dòch II CTVN</v>
          </cell>
          <cell r="G357" t="str">
            <v>Hoà Chí Minh</v>
          </cell>
          <cell r="H357" t="str">
            <v>Traû tieàn daàu aên  (TT.TN.CM)</v>
          </cell>
          <cell r="I357">
            <v>74327563</v>
          </cell>
        </row>
        <row r="358">
          <cell r="A358">
            <v>24</v>
          </cell>
          <cell r="B358">
            <v>37886</v>
          </cell>
          <cell r="C358">
            <v>31</v>
          </cell>
          <cell r="F358" t="str">
            <v>Sôû Giao Dòch II CTVN</v>
          </cell>
          <cell r="G358" t="str">
            <v>Hoà Chí Minh</v>
          </cell>
          <cell r="H358" t="str">
            <v>Traû tieàn daàu aên  (TT.TN.BL)</v>
          </cell>
          <cell r="I358">
            <v>61599758</v>
          </cell>
        </row>
        <row r="359">
          <cell r="A359">
            <v>25</v>
          </cell>
          <cell r="B359">
            <v>37886</v>
          </cell>
          <cell r="C359">
            <v>73</v>
          </cell>
          <cell r="F359" t="str">
            <v>Ngoaïi Thöông</v>
          </cell>
          <cell r="G359" t="str">
            <v>Hoà Chí Minh</v>
          </cell>
          <cell r="H359" t="str">
            <v>Traû tieàn mua nöôùc röûa cheùn (TT.CM)</v>
          </cell>
          <cell r="I359">
            <v>27088277</v>
          </cell>
        </row>
        <row r="360">
          <cell r="A360">
            <v>22</v>
          </cell>
          <cell r="B360">
            <v>37886</v>
          </cell>
          <cell r="C360">
            <v>36</v>
          </cell>
          <cell r="F360" t="str">
            <v>Coâng Thöông</v>
          </cell>
          <cell r="G360" t="str">
            <v>Baø Ròa-Vuõng Taøu</v>
          </cell>
          <cell r="H360" t="str">
            <v>Traû tieàn mua xaêng daàu</v>
          </cell>
          <cell r="I360">
            <v>1729000000</v>
          </cell>
        </row>
        <row r="361">
          <cell r="A361">
            <v>23</v>
          </cell>
          <cell r="B361">
            <v>37886</v>
          </cell>
          <cell r="C361">
            <v>10</v>
          </cell>
          <cell r="F361" t="str">
            <v>Hoàng Kong&amp; Thöôïng Haûi</v>
          </cell>
          <cell r="G361" t="str">
            <v>Hoà Chí Minh</v>
          </cell>
          <cell r="H361" t="str">
            <v>Traû tieàn mua nhôùt</v>
          </cell>
          <cell r="I361">
            <v>319099999</v>
          </cell>
        </row>
        <row r="362">
          <cell r="A362">
            <v>24</v>
          </cell>
          <cell r="B362">
            <v>37886</v>
          </cell>
          <cell r="C362">
            <v>9</v>
          </cell>
          <cell r="F362" t="str">
            <v>Ngoaïi Thöông</v>
          </cell>
          <cell r="G362" t="str">
            <v>Hoà Chí Minh</v>
          </cell>
          <cell r="H362" t="str">
            <v>Traû tieàn mua nhôùt Castrol</v>
          </cell>
          <cell r="I362">
            <v>15241000</v>
          </cell>
        </row>
        <row r="363">
          <cell r="A363">
            <v>25</v>
          </cell>
          <cell r="B363">
            <v>37887</v>
          </cell>
          <cell r="C363">
            <v>66</v>
          </cell>
          <cell r="F363" t="str">
            <v>ANZ</v>
          </cell>
          <cell r="G363" t="str">
            <v>Hoà Chí Minh</v>
          </cell>
          <cell r="H363" t="str">
            <v>Traû tieàn mì Unif</v>
          </cell>
          <cell r="I363">
            <v>50244600</v>
          </cell>
        </row>
        <row r="364">
          <cell r="A364">
            <v>24</v>
          </cell>
          <cell r="B364">
            <v>37887</v>
          </cell>
          <cell r="C364">
            <v>5</v>
          </cell>
          <cell r="F364" t="str">
            <v>Coâng Thöong CN6</v>
          </cell>
          <cell r="G364" t="str">
            <v>Hoà Chí Minh</v>
          </cell>
          <cell r="H364" t="str">
            <v>Traû tieàn mua boät ngoït</v>
          </cell>
          <cell r="I364">
            <v>143285340</v>
          </cell>
        </row>
        <row r="365">
          <cell r="A365">
            <v>25</v>
          </cell>
          <cell r="B365">
            <v>37887</v>
          </cell>
          <cell r="C365">
            <v>1</v>
          </cell>
          <cell r="F365" t="str">
            <v>Sôû Giao Dòch II CTVN</v>
          </cell>
          <cell r="G365" t="str">
            <v>Hoà Chí Minh</v>
          </cell>
          <cell r="H365" t="str">
            <v>Traû tieàn mua thuoác laù</v>
          </cell>
          <cell r="I365">
            <v>213025000</v>
          </cell>
        </row>
        <row r="366">
          <cell r="A366">
            <v>26</v>
          </cell>
          <cell r="B366">
            <v>37887</v>
          </cell>
          <cell r="C366">
            <v>8</v>
          </cell>
          <cell r="F366" t="str">
            <v>Coâng Thöông</v>
          </cell>
          <cell r="G366" t="str">
            <v>Kieân Giang</v>
          </cell>
          <cell r="H366" t="str">
            <v>Traû tieàn mua xi maêng 150taán</v>
          </cell>
          <cell r="I366">
            <v>120120000</v>
          </cell>
        </row>
        <row r="367">
          <cell r="A367">
            <v>26</v>
          </cell>
          <cell r="B367">
            <v>37887</v>
          </cell>
          <cell r="C367">
            <v>28</v>
          </cell>
          <cell r="F367" t="str">
            <v>Ñaàu Tö &amp; Phaùt Trieån</v>
          </cell>
          <cell r="G367" t="str">
            <v>Caàn Thô</v>
          </cell>
          <cell r="H367" t="str">
            <v>Traû tieàn mua söõa caùc loaïi</v>
          </cell>
          <cell r="I367">
            <v>332548586</v>
          </cell>
        </row>
        <row r="368">
          <cell r="A368">
            <v>27</v>
          </cell>
          <cell r="B368">
            <v>37887</v>
          </cell>
          <cell r="C368">
            <v>25</v>
          </cell>
          <cell r="F368" t="str">
            <v>NN &amp; P/T N/Thoân</v>
          </cell>
          <cell r="G368" t="str">
            <v>Baïc Lieâu</v>
          </cell>
          <cell r="H368" t="str">
            <v>Noäp BHXH,BHYT thaùng 9/2003</v>
          </cell>
          <cell r="I368">
            <v>24652545</v>
          </cell>
        </row>
        <row r="369">
          <cell r="A369">
            <v>27</v>
          </cell>
          <cell r="B369">
            <v>37887</v>
          </cell>
          <cell r="C369">
            <v>101</v>
          </cell>
          <cell r="F369" t="str">
            <v>Deutsche Bank</v>
          </cell>
          <cell r="G369" t="str">
            <v>Hoà Chí Minh</v>
          </cell>
          <cell r="H369" t="str">
            <v>Traû tieàn mua xaêng daàu (Maõ IBPS 50619012)</v>
          </cell>
          <cell r="I369">
            <v>2500000000</v>
          </cell>
        </row>
        <row r="370">
          <cell r="A370">
            <v>28</v>
          </cell>
          <cell r="B370">
            <v>37888</v>
          </cell>
          <cell r="C370">
            <v>31</v>
          </cell>
          <cell r="F370" t="str">
            <v>Sôû Giao Dòch II CTVN</v>
          </cell>
          <cell r="G370" t="str">
            <v>Hoà Chí Minh</v>
          </cell>
          <cell r="H370" t="str">
            <v>Traû tieàn daàu aên  (TT.BL:7.938.150ñ; TT.CM: 29.403.000ñ)</v>
          </cell>
          <cell r="I370">
            <v>37341150</v>
          </cell>
        </row>
        <row r="371">
          <cell r="A371">
            <v>29</v>
          </cell>
          <cell r="B371">
            <v>37888</v>
          </cell>
          <cell r="C371">
            <v>90</v>
          </cell>
          <cell r="F371" t="str">
            <v>Coâng Thöông</v>
          </cell>
          <cell r="G371" t="str">
            <v>Caàn Thô</v>
          </cell>
          <cell r="H371" t="str">
            <v>Traû tieàn mua ñöôøng</v>
          </cell>
          <cell r="I371">
            <v>14280000</v>
          </cell>
        </row>
        <row r="372">
          <cell r="A372">
            <v>30</v>
          </cell>
          <cell r="B372">
            <v>37889</v>
          </cell>
          <cell r="C372">
            <v>31</v>
          </cell>
          <cell r="F372" t="str">
            <v>Sôû Giao Dòch II CTVN</v>
          </cell>
          <cell r="G372" t="str">
            <v>Hoà Chí Minh</v>
          </cell>
          <cell r="H372" t="str">
            <v>Traû tieàn daàu aên  (TT.TN.CM)</v>
          </cell>
          <cell r="I372">
            <v>80203407</v>
          </cell>
        </row>
        <row r="373">
          <cell r="A373">
            <v>31</v>
          </cell>
          <cell r="B373">
            <v>37889</v>
          </cell>
          <cell r="C373">
            <v>6</v>
          </cell>
          <cell r="F373" t="str">
            <v>Citibank</v>
          </cell>
          <cell r="G373" t="str">
            <v>Hoà Chí Minh</v>
          </cell>
          <cell r="H373" t="str">
            <v>Traû tieàn mua nhôùt (Maõ soá DS10450 CTTN Baïc Lieâu)</v>
          </cell>
          <cell r="I373">
            <v>33371000</v>
          </cell>
        </row>
        <row r="374">
          <cell r="A374">
            <v>32</v>
          </cell>
          <cell r="B374">
            <v>37889</v>
          </cell>
          <cell r="C374">
            <v>27</v>
          </cell>
          <cell r="F374" t="str">
            <v>INDOVINA</v>
          </cell>
          <cell r="G374" t="str">
            <v>Hoà Chí Minh</v>
          </cell>
          <cell r="H374" t="str">
            <v>Traû tieàn mua ñöôøng</v>
          </cell>
          <cell r="I374">
            <v>28700000</v>
          </cell>
        </row>
        <row r="375">
          <cell r="A375">
            <v>33</v>
          </cell>
          <cell r="B375">
            <v>37890</v>
          </cell>
          <cell r="C375">
            <v>73</v>
          </cell>
          <cell r="F375" t="str">
            <v>Ngoaïi Thöông</v>
          </cell>
          <cell r="G375" t="str">
            <v>Hoà Chí Minh</v>
          </cell>
          <cell r="H375" t="str">
            <v>Traû tieàn mua nöôùc röûa cheùn (TT.BL)</v>
          </cell>
          <cell r="I375">
            <v>72396067</v>
          </cell>
        </row>
        <row r="376">
          <cell r="A376">
            <v>28</v>
          </cell>
          <cell r="B376">
            <v>37890</v>
          </cell>
          <cell r="C376">
            <v>36</v>
          </cell>
          <cell r="F376" t="str">
            <v>Coâng Thöông</v>
          </cell>
          <cell r="G376" t="str">
            <v>Baø Ròa-Vuõng Taøu</v>
          </cell>
          <cell r="H376" t="str">
            <v>Traû tieàn mua xaêng daàu</v>
          </cell>
          <cell r="I376">
            <v>4368000000</v>
          </cell>
        </row>
        <row r="377">
          <cell r="A377">
            <v>29</v>
          </cell>
          <cell r="B377">
            <v>37890</v>
          </cell>
          <cell r="C377">
            <v>8</v>
          </cell>
          <cell r="F377" t="str">
            <v>Coâng Thöông</v>
          </cell>
          <cell r="G377" t="str">
            <v>Kieân Giang</v>
          </cell>
          <cell r="H377" t="str">
            <v>Traû tieàn mua xi maêng 250taán</v>
          </cell>
          <cell r="I377">
            <v>200200000</v>
          </cell>
        </row>
        <row r="378">
          <cell r="A378">
            <v>30</v>
          </cell>
          <cell r="B378">
            <v>37890</v>
          </cell>
          <cell r="C378">
            <v>22</v>
          </cell>
          <cell r="F378" t="str">
            <v>Coâng Thöông</v>
          </cell>
          <cell r="G378" t="str">
            <v>Long An</v>
          </cell>
          <cell r="H378" t="str">
            <v>Traû tieàn vaûi Long An</v>
          </cell>
          <cell r="I378">
            <v>18414190</v>
          </cell>
        </row>
        <row r="379">
          <cell r="A379">
            <v>31</v>
          </cell>
          <cell r="B379">
            <v>37893</v>
          </cell>
          <cell r="C379">
            <v>3</v>
          </cell>
          <cell r="F379" t="str">
            <v>Coâng Thöông CN 14</v>
          </cell>
          <cell r="G379" t="str">
            <v>Hoà Chí Minh</v>
          </cell>
          <cell r="H379" t="str">
            <v>Traû tieàn mua boät giaët</v>
          </cell>
          <cell r="I379">
            <v>330000000</v>
          </cell>
        </row>
        <row r="380">
          <cell r="A380">
            <v>32</v>
          </cell>
          <cell r="B380">
            <v>37893</v>
          </cell>
          <cell r="C380">
            <v>41</v>
          </cell>
          <cell r="F380" t="str">
            <v>Coâng Thöông CN 9</v>
          </cell>
          <cell r="G380" t="str">
            <v>Hoà Chí Minh</v>
          </cell>
          <cell r="H380" t="str">
            <v>Traû tieàn mua  xi maêng</v>
          </cell>
          <cell r="I380">
            <v>369000000</v>
          </cell>
        </row>
        <row r="381">
          <cell r="A381">
            <v>33</v>
          </cell>
          <cell r="B381">
            <v>37893</v>
          </cell>
          <cell r="C381">
            <v>77</v>
          </cell>
          <cell r="F381" t="str">
            <v>Coâng Thöông CN 4</v>
          </cell>
          <cell r="G381" t="str">
            <v>Hoà Chí Minh</v>
          </cell>
          <cell r="H381" t="str">
            <v>Traû tieàn mua Ti vi</v>
          </cell>
          <cell r="I381">
            <v>34642864</v>
          </cell>
        </row>
        <row r="382">
          <cell r="A382">
            <v>34</v>
          </cell>
          <cell r="B382">
            <v>37893</v>
          </cell>
          <cell r="C382">
            <v>27</v>
          </cell>
          <cell r="F382" t="str">
            <v>INDOVINA</v>
          </cell>
          <cell r="G382" t="str">
            <v>Hoà Chí Minh</v>
          </cell>
          <cell r="H382" t="str">
            <v>Traû tieàn mua ñöôøng</v>
          </cell>
          <cell r="I382">
            <v>28700000</v>
          </cell>
        </row>
        <row r="383">
          <cell r="A383">
            <v>35</v>
          </cell>
          <cell r="B383">
            <v>37893</v>
          </cell>
          <cell r="C383">
            <v>31</v>
          </cell>
          <cell r="F383" t="str">
            <v>Sôû Giao Dòch II CTVN</v>
          </cell>
          <cell r="G383" t="str">
            <v>Hoà Chí Minh</v>
          </cell>
          <cell r="H383" t="str">
            <v>Traû tieàn daàu aên  (TT.CM : 81.784.032ñ;TT.BL: 146.035.469ñ)</v>
          </cell>
          <cell r="I383">
            <v>227819501</v>
          </cell>
        </row>
        <row r="384">
          <cell r="A384">
            <v>36</v>
          </cell>
          <cell r="B384">
            <v>37894</v>
          </cell>
          <cell r="C384">
            <v>28</v>
          </cell>
          <cell r="F384" t="str">
            <v>Ñaàu Tö &amp; Phaùt Trieån</v>
          </cell>
          <cell r="G384" t="str">
            <v>Caàn Thô</v>
          </cell>
          <cell r="H384" t="str">
            <v>Traû tieàn mua söõa caùc loaïi</v>
          </cell>
          <cell r="I384">
            <v>531742190</v>
          </cell>
        </row>
        <row r="385">
          <cell r="A385">
            <v>37</v>
          </cell>
          <cell r="B385">
            <v>37894</v>
          </cell>
          <cell r="C385">
            <v>76</v>
          </cell>
          <cell r="F385" t="str">
            <v>Ngoaïi Thöông</v>
          </cell>
          <cell r="G385" t="str">
            <v>Ñoàng Nai</v>
          </cell>
          <cell r="H385" t="str">
            <v>Traû tieàn mua Ti vi TCL</v>
          </cell>
          <cell r="I385">
            <v>29300000</v>
          </cell>
        </row>
        <row r="386">
          <cell r="A386">
            <v>38</v>
          </cell>
          <cell r="B386">
            <v>37894</v>
          </cell>
          <cell r="C386">
            <v>93</v>
          </cell>
          <cell r="F386" t="str">
            <v>Coâng Thöông CN 12</v>
          </cell>
          <cell r="G386" t="str">
            <v>Hoà Chí Minh</v>
          </cell>
          <cell r="H386" t="str">
            <v>Traû tieàn mua giaáy vieãn ñoâng</v>
          </cell>
          <cell r="I386">
            <v>46744345</v>
          </cell>
        </row>
        <row r="387">
          <cell r="A387">
            <v>34</v>
          </cell>
          <cell r="B387">
            <v>37894</v>
          </cell>
          <cell r="C387">
            <v>3</v>
          </cell>
          <cell r="F387" t="str">
            <v>Coâng Thöông CN 14</v>
          </cell>
          <cell r="G387" t="str">
            <v>Hoà Chí Minh</v>
          </cell>
          <cell r="H387" t="str">
            <v>Traû tieàn mua boät giaët</v>
          </cell>
          <cell r="I387">
            <v>200000000</v>
          </cell>
        </row>
        <row r="388">
          <cell r="A388">
            <v>35</v>
          </cell>
          <cell r="B388">
            <v>37894</v>
          </cell>
          <cell r="C388">
            <v>21</v>
          </cell>
          <cell r="F388" t="str">
            <v>Coâng Thöông</v>
          </cell>
          <cell r="G388" t="str">
            <v>Caàn Thô</v>
          </cell>
          <cell r="H388" t="str">
            <v>Traû tieàn mua gas</v>
          </cell>
          <cell r="I388">
            <v>54381003</v>
          </cell>
        </row>
        <row r="389">
          <cell r="A389">
            <v>36</v>
          </cell>
          <cell r="B389">
            <v>37894</v>
          </cell>
          <cell r="C389">
            <v>12</v>
          </cell>
          <cell r="F389" t="str">
            <v>Coâng Thöông</v>
          </cell>
          <cell r="G389" t="str">
            <v>Phuù Thoï</v>
          </cell>
          <cell r="H389" t="str">
            <v>Traû tieàn mua boät ngoït (Maõ soá 22 CT TN Baïc Lieâu)</v>
          </cell>
          <cell r="I389">
            <v>120232874</v>
          </cell>
        </row>
        <row r="390">
          <cell r="A390">
            <v>37</v>
          </cell>
          <cell r="B390">
            <v>37894</v>
          </cell>
          <cell r="C390">
            <v>93</v>
          </cell>
          <cell r="F390" t="str">
            <v>Coâng Thöông CN 12</v>
          </cell>
          <cell r="G390" t="str">
            <v>Hoà Chí Minh</v>
          </cell>
          <cell r="H390" t="str">
            <v>Traû tieàn mua giaáy vieãn ñoâng</v>
          </cell>
          <cell r="I390">
            <v>21347964</v>
          </cell>
        </row>
        <row r="391">
          <cell r="A391">
            <v>38</v>
          </cell>
          <cell r="B391">
            <v>37894</v>
          </cell>
          <cell r="C391">
            <v>73</v>
          </cell>
          <cell r="F391" t="str">
            <v>Ngoaïi Thöông</v>
          </cell>
          <cell r="G391" t="str">
            <v>Hoà Chí Minh</v>
          </cell>
          <cell r="H391" t="str">
            <v>Traû tieàn mua nöôùc röûa cheùn (TT.BL)</v>
          </cell>
          <cell r="I391">
            <v>46744345</v>
          </cell>
        </row>
        <row r="392">
          <cell r="A392">
            <v>1</v>
          </cell>
          <cell r="B392">
            <v>37895</v>
          </cell>
          <cell r="C392">
            <v>17</v>
          </cell>
          <cell r="F392" t="str">
            <v>Ngoaïi Thöông</v>
          </cell>
          <cell r="G392" t="str">
            <v>Hoà Chí Minh</v>
          </cell>
          <cell r="H392" t="str">
            <v>Traû tieàn mua xaêng daàu</v>
          </cell>
          <cell r="I392">
            <v>1550000000</v>
          </cell>
        </row>
        <row r="393">
          <cell r="A393">
            <v>2</v>
          </cell>
          <cell r="B393">
            <v>37896</v>
          </cell>
          <cell r="C393">
            <v>8</v>
          </cell>
          <cell r="F393" t="str">
            <v>Coâng Thöông</v>
          </cell>
          <cell r="G393" t="str">
            <v>Kieân Giang</v>
          </cell>
          <cell r="H393" t="str">
            <v>Traû tieàn mua xi maêng 250taán</v>
          </cell>
          <cell r="I393">
            <v>200200000</v>
          </cell>
        </row>
        <row r="394">
          <cell r="A394">
            <v>3</v>
          </cell>
          <cell r="B394">
            <v>37897</v>
          </cell>
          <cell r="C394">
            <v>98</v>
          </cell>
          <cell r="F394" t="str">
            <v>Coâng Thöông</v>
          </cell>
          <cell r="G394" t="str">
            <v>Caàn Thô</v>
          </cell>
          <cell r="H394" t="str">
            <v>Traû tieàn mua xi maêng 220taán</v>
          </cell>
          <cell r="I394">
            <v>176000000</v>
          </cell>
        </row>
        <row r="395">
          <cell r="A395">
            <v>4</v>
          </cell>
          <cell r="B395">
            <v>37897</v>
          </cell>
          <cell r="C395">
            <v>5</v>
          </cell>
          <cell r="F395" t="str">
            <v>Coâng Thöong CN6</v>
          </cell>
          <cell r="G395" t="str">
            <v>Hoà Chí Minh</v>
          </cell>
          <cell r="H395" t="str">
            <v>Traû tieàn mua boät ngoït</v>
          </cell>
          <cell r="I395">
            <v>358458473</v>
          </cell>
        </row>
        <row r="396">
          <cell r="A396">
            <v>5</v>
          </cell>
          <cell r="B396">
            <v>37897</v>
          </cell>
          <cell r="C396">
            <v>36</v>
          </cell>
          <cell r="F396" t="str">
            <v>Coâng Thöông</v>
          </cell>
          <cell r="G396" t="str">
            <v>Baø Ròa-Vuõng Taøu</v>
          </cell>
          <cell r="H396" t="str">
            <v>Traû tieàn mua xaêng daàu</v>
          </cell>
          <cell r="I396">
            <v>2300000000</v>
          </cell>
        </row>
        <row r="397">
          <cell r="A397">
            <v>1</v>
          </cell>
          <cell r="B397">
            <v>37897</v>
          </cell>
          <cell r="C397">
            <v>27</v>
          </cell>
          <cell r="F397" t="str">
            <v>INDOVINA</v>
          </cell>
          <cell r="G397" t="str">
            <v>Hoà Chí Minh</v>
          </cell>
          <cell r="H397" t="str">
            <v>Traû tieàn mua ñöôøng</v>
          </cell>
          <cell r="I397">
            <v>28700000</v>
          </cell>
        </row>
        <row r="398">
          <cell r="A398">
            <v>6</v>
          </cell>
          <cell r="B398">
            <v>37901</v>
          </cell>
          <cell r="C398">
            <v>14</v>
          </cell>
          <cell r="F398" t="str">
            <v>Coâng Thöông CN I</v>
          </cell>
          <cell r="G398" t="str">
            <v>Hoà Chí Minh</v>
          </cell>
          <cell r="H398" t="str">
            <v>Traû tieàn mua haøng cho CN Theùp Mieàn Nam taïi Caàn Thô</v>
          </cell>
          <cell r="I398">
            <v>215337990</v>
          </cell>
        </row>
        <row r="399">
          <cell r="A399">
            <v>2</v>
          </cell>
          <cell r="B399">
            <v>37901</v>
          </cell>
          <cell r="C399">
            <v>73</v>
          </cell>
          <cell r="F399" t="str">
            <v>Ngoaïi Thöông</v>
          </cell>
          <cell r="G399" t="str">
            <v>Hoà Chí Minh</v>
          </cell>
          <cell r="H399" t="str">
            <v>Traû tieàn mua nöôùc röûa cheùn (TT.BL)</v>
          </cell>
          <cell r="I399">
            <v>59020049</v>
          </cell>
        </row>
        <row r="400">
          <cell r="A400">
            <v>3</v>
          </cell>
          <cell r="B400">
            <v>37901</v>
          </cell>
          <cell r="C400">
            <v>28</v>
          </cell>
          <cell r="F400" t="str">
            <v>Ñaàu Tö &amp; Phaùt Trieån</v>
          </cell>
          <cell r="G400" t="str">
            <v>Caàn Thô</v>
          </cell>
          <cell r="H400" t="str">
            <v>Traû tieàn mua söõa caùc loaïi</v>
          </cell>
          <cell r="I400">
            <v>368874563</v>
          </cell>
        </row>
        <row r="401">
          <cell r="A401">
            <v>4</v>
          </cell>
          <cell r="B401">
            <v>37901</v>
          </cell>
          <cell r="C401">
            <v>6</v>
          </cell>
          <cell r="F401" t="str">
            <v>Citibank</v>
          </cell>
          <cell r="G401" t="str">
            <v>Hoà Chí Minh</v>
          </cell>
          <cell r="H401" t="str">
            <v>Traû tieàn mua nhôùt (Maõ soá DS10450 CTTN Baïc Lieâu)</v>
          </cell>
          <cell r="I401">
            <v>20350000</v>
          </cell>
        </row>
        <row r="402">
          <cell r="A402">
            <v>5</v>
          </cell>
          <cell r="B402">
            <v>37902</v>
          </cell>
          <cell r="C402">
            <v>31</v>
          </cell>
          <cell r="F402" t="str">
            <v>Sôû Giao Dòch II CTVN</v>
          </cell>
          <cell r="G402" t="str">
            <v>Hoà Chí Minh</v>
          </cell>
          <cell r="H402" t="str">
            <v>Traû tieàn daàu aên  (TT.TN.CM)</v>
          </cell>
          <cell r="I402">
            <v>81155048</v>
          </cell>
        </row>
        <row r="403">
          <cell r="A403">
            <v>6</v>
          </cell>
          <cell r="B403">
            <v>37903</v>
          </cell>
          <cell r="C403">
            <v>27</v>
          </cell>
          <cell r="F403" t="str">
            <v>INDOVINA</v>
          </cell>
          <cell r="G403" t="str">
            <v>Hoà Chí Minh</v>
          </cell>
          <cell r="H403" t="str">
            <v>Traû tieàn mua ñöôøng</v>
          </cell>
          <cell r="I403">
            <v>41250000</v>
          </cell>
        </row>
        <row r="404">
          <cell r="A404">
            <v>7</v>
          </cell>
          <cell r="B404">
            <v>37903</v>
          </cell>
          <cell r="C404">
            <v>66</v>
          </cell>
          <cell r="F404" t="str">
            <v>ANZ</v>
          </cell>
          <cell r="G404" t="str">
            <v>Hoà Chí Minh</v>
          </cell>
          <cell r="H404" t="str">
            <v>Traû tieàn mua mì Unif</v>
          </cell>
          <cell r="I404">
            <v>52756839</v>
          </cell>
        </row>
        <row r="405">
          <cell r="A405">
            <v>8</v>
          </cell>
          <cell r="B405">
            <v>37904</v>
          </cell>
          <cell r="C405">
            <v>31</v>
          </cell>
          <cell r="F405" t="str">
            <v>Sôû Giao Dòch II CTVN</v>
          </cell>
          <cell r="G405" t="str">
            <v>Hoà Chí Minh</v>
          </cell>
          <cell r="H405" t="str">
            <v>Traû tieàn daàu aên  (TT.TN.BL)</v>
          </cell>
          <cell r="I405">
            <v>76020956</v>
          </cell>
        </row>
        <row r="406">
          <cell r="A406">
            <v>9</v>
          </cell>
          <cell r="B406">
            <v>37904</v>
          </cell>
          <cell r="C406">
            <v>83</v>
          </cell>
          <cell r="F406" t="str">
            <v>Ngoaïi Thöông</v>
          </cell>
          <cell r="G406" t="str">
            <v>Hoà Chí Minh</v>
          </cell>
          <cell r="H406" t="str">
            <v>Traû tieàn mua Tivi</v>
          </cell>
          <cell r="I406">
            <v>29909000</v>
          </cell>
        </row>
        <row r="407">
          <cell r="A407">
            <v>7</v>
          </cell>
          <cell r="B407">
            <v>37904</v>
          </cell>
          <cell r="C407">
            <v>1</v>
          </cell>
          <cell r="F407" t="str">
            <v>Sôû Giao Dòch II CTVN</v>
          </cell>
          <cell r="G407" t="str">
            <v>Hoà Chí Minh</v>
          </cell>
          <cell r="H407" t="str">
            <v>Traû tieàn mua thuoác laù</v>
          </cell>
          <cell r="I407">
            <v>224025000</v>
          </cell>
        </row>
        <row r="408">
          <cell r="A408">
            <v>8</v>
          </cell>
          <cell r="B408">
            <v>37904</v>
          </cell>
          <cell r="C408">
            <v>8</v>
          </cell>
          <cell r="F408" t="str">
            <v>Coâng Thöông</v>
          </cell>
          <cell r="G408" t="str">
            <v>Kieân Giang</v>
          </cell>
          <cell r="H408" t="str">
            <v>Traû tieàn mua xi maêng 250taán</v>
          </cell>
          <cell r="I408">
            <v>200200000</v>
          </cell>
        </row>
        <row r="409">
          <cell r="A409">
            <v>10</v>
          </cell>
          <cell r="B409">
            <v>37907</v>
          </cell>
          <cell r="C409">
            <v>31</v>
          </cell>
          <cell r="F409" t="str">
            <v>Sôû Giao Dòch II CTVN</v>
          </cell>
          <cell r="G409" t="str">
            <v>Hoà Chí Minh</v>
          </cell>
          <cell r="H409" t="str">
            <v>Traû tieàn daàu aên  (TT.TN.CM)</v>
          </cell>
          <cell r="I409">
            <v>77052026</v>
          </cell>
        </row>
        <row r="410">
          <cell r="A410">
            <v>11</v>
          </cell>
          <cell r="B410">
            <v>37907</v>
          </cell>
          <cell r="C410">
            <v>73</v>
          </cell>
          <cell r="F410" t="str">
            <v>Ngoaïi Thöông</v>
          </cell>
          <cell r="G410" t="str">
            <v>Hoà Chí Minh</v>
          </cell>
          <cell r="H410" t="str">
            <v>Traû tieàn mua nöôùc röûa cheùn (TT.BL:52.765.252ñ; TT.CM:32.773.386ñ)</v>
          </cell>
          <cell r="I410">
            <v>85538638</v>
          </cell>
        </row>
        <row r="411">
          <cell r="A411">
            <v>9</v>
          </cell>
          <cell r="B411">
            <v>37907</v>
          </cell>
          <cell r="C411">
            <v>36</v>
          </cell>
          <cell r="F411" t="str">
            <v>Coâng Thöông</v>
          </cell>
          <cell r="G411" t="str">
            <v>Baø Ròa-Vuõng Taøu</v>
          </cell>
          <cell r="H411" t="str">
            <v>Traû tieàn mua xaêng daàu</v>
          </cell>
          <cell r="I411">
            <v>3278000000</v>
          </cell>
        </row>
        <row r="412">
          <cell r="A412">
            <v>10</v>
          </cell>
          <cell r="B412">
            <v>37907</v>
          </cell>
          <cell r="C412">
            <v>101</v>
          </cell>
          <cell r="F412" t="str">
            <v>Deutsche Bank</v>
          </cell>
          <cell r="G412" t="str">
            <v>Hoà Chí Minh</v>
          </cell>
          <cell r="H412" t="str">
            <v>Traû tieàn mua xaêng daàu (Maõ IBPS 50619012)</v>
          </cell>
          <cell r="I412">
            <v>1000000000</v>
          </cell>
        </row>
        <row r="413">
          <cell r="A413">
            <v>12</v>
          </cell>
          <cell r="B413">
            <v>37907</v>
          </cell>
          <cell r="C413">
            <v>27</v>
          </cell>
          <cell r="F413" t="str">
            <v>INDOVINA</v>
          </cell>
          <cell r="G413" t="str">
            <v>Hoà Chí Minh</v>
          </cell>
          <cell r="H413" t="str">
            <v>Traû tieàn mua ñöôøng</v>
          </cell>
          <cell r="I413">
            <v>58800000</v>
          </cell>
        </row>
        <row r="414">
          <cell r="A414">
            <v>12</v>
          </cell>
          <cell r="B414">
            <v>37908</v>
          </cell>
          <cell r="C414">
            <v>41</v>
          </cell>
          <cell r="F414" t="str">
            <v>Coâng Thöông CN 9</v>
          </cell>
          <cell r="G414" t="str">
            <v>Hoà Chí Minh</v>
          </cell>
          <cell r="H414" t="str">
            <v>Traû tieàn mua  xi maêng</v>
          </cell>
          <cell r="I414">
            <v>172000000</v>
          </cell>
        </row>
        <row r="415">
          <cell r="A415">
            <v>13</v>
          </cell>
          <cell r="B415">
            <v>37908</v>
          </cell>
          <cell r="C415">
            <v>5</v>
          </cell>
          <cell r="F415" t="str">
            <v>Coâng Thöong CN6</v>
          </cell>
          <cell r="G415" t="str">
            <v>Hoà Chí Minh</v>
          </cell>
          <cell r="H415" t="str">
            <v>Traû tieàn mua boät ngoït</v>
          </cell>
          <cell r="I415">
            <v>344171453</v>
          </cell>
        </row>
        <row r="416">
          <cell r="A416">
            <v>14</v>
          </cell>
          <cell r="B416">
            <v>37909</v>
          </cell>
          <cell r="C416">
            <v>36</v>
          </cell>
          <cell r="F416" t="str">
            <v>Coâng Thöông</v>
          </cell>
          <cell r="G416" t="str">
            <v>Baø Ròa-Vuõng Taøu</v>
          </cell>
          <cell r="H416" t="str">
            <v>Traû tieàn mua xaêng daàu</v>
          </cell>
          <cell r="I416">
            <v>2491000000</v>
          </cell>
        </row>
        <row r="417">
          <cell r="A417">
            <v>15</v>
          </cell>
          <cell r="B417">
            <v>37909</v>
          </cell>
          <cell r="C417">
            <v>14</v>
          </cell>
          <cell r="F417" t="str">
            <v>Coâng Thöông CN I</v>
          </cell>
          <cell r="G417" t="str">
            <v>Hoà Chí Minh</v>
          </cell>
          <cell r="H417" t="str">
            <v>Traû tieàn mua haøng cho CN Theùp Mieàn Nam taïi Caàn Thô</v>
          </cell>
          <cell r="I417">
            <v>192375120</v>
          </cell>
        </row>
        <row r="418">
          <cell r="A418">
            <v>13</v>
          </cell>
          <cell r="B418">
            <v>37909</v>
          </cell>
          <cell r="C418">
            <v>28</v>
          </cell>
          <cell r="F418" t="str">
            <v>Ñaàu Tö &amp; Phaùt Trieån</v>
          </cell>
          <cell r="G418" t="str">
            <v>Caàn Thô</v>
          </cell>
          <cell r="H418" t="str">
            <v>Traû tieàn mua söõa caùc loaïi</v>
          </cell>
          <cell r="I418">
            <v>279370531</v>
          </cell>
        </row>
        <row r="419">
          <cell r="A419">
            <v>16</v>
          </cell>
          <cell r="B419">
            <v>37909</v>
          </cell>
          <cell r="C419">
            <v>73</v>
          </cell>
          <cell r="F419" t="str">
            <v>Ngoaïi Thöông</v>
          </cell>
          <cell r="G419" t="str">
            <v>Hoà Chí Minh</v>
          </cell>
          <cell r="H419" t="str">
            <v>Traû tieàn mua nöôùc röûa cheùn (TT.BL)</v>
          </cell>
          <cell r="I419">
            <v>120000000</v>
          </cell>
        </row>
        <row r="420">
          <cell r="A420">
            <v>17</v>
          </cell>
          <cell r="B420">
            <v>37911</v>
          </cell>
          <cell r="C420">
            <v>31</v>
          </cell>
          <cell r="F420" t="str">
            <v>Sôû Giao Dòch II CTVN</v>
          </cell>
          <cell r="G420" t="str">
            <v>Hoà Chí Minh</v>
          </cell>
          <cell r="H420" t="str">
            <v>Traû tieàn daàu aên  (TT.TN.CM)</v>
          </cell>
          <cell r="I420">
            <v>75822208</v>
          </cell>
        </row>
        <row r="421">
          <cell r="A421">
            <v>18</v>
          </cell>
          <cell r="B421">
            <v>37911</v>
          </cell>
          <cell r="C421">
            <v>44</v>
          </cell>
          <cell r="F421" t="str">
            <v xml:space="preserve">Coâng Thöông </v>
          </cell>
          <cell r="G421" t="str">
            <v>Baïc Lieâu</v>
          </cell>
          <cell r="H421" t="str">
            <v>Traû tieàn ñieän thoaïi thaùng 9/2003</v>
          </cell>
          <cell r="I421">
            <v>9637210</v>
          </cell>
        </row>
        <row r="422">
          <cell r="A422">
            <v>16</v>
          </cell>
          <cell r="B422">
            <v>37911</v>
          </cell>
          <cell r="C422">
            <v>8</v>
          </cell>
          <cell r="F422" t="str">
            <v>Coâng Thöông</v>
          </cell>
          <cell r="G422" t="str">
            <v>Kieân Giang</v>
          </cell>
          <cell r="H422" t="str">
            <v>Traû tieàn mua xi maêng 250taán</v>
          </cell>
          <cell r="I422">
            <v>200200000</v>
          </cell>
        </row>
        <row r="423">
          <cell r="A423">
            <v>19</v>
          </cell>
          <cell r="B423">
            <v>37911</v>
          </cell>
          <cell r="C423">
            <v>31</v>
          </cell>
          <cell r="F423" t="str">
            <v>Sôû Giao Dòch II CTVN</v>
          </cell>
          <cell r="G423" t="str">
            <v>Hoà Chí Minh</v>
          </cell>
          <cell r="H423" t="str">
            <v>Traû tieàn daàu aên  (TT.TN.CM)</v>
          </cell>
          <cell r="I423">
            <v>80723808</v>
          </cell>
        </row>
        <row r="424">
          <cell r="A424">
            <v>20</v>
          </cell>
          <cell r="B424">
            <v>37914</v>
          </cell>
          <cell r="C424">
            <v>80</v>
          </cell>
          <cell r="F424" t="str">
            <v>Ngoaïi Thöông</v>
          </cell>
          <cell r="G424" t="str">
            <v>Hoà Chí Minh</v>
          </cell>
          <cell r="H424" t="str">
            <v>Traû tieàn mua bình aéc qui</v>
          </cell>
          <cell r="I424">
            <v>18090000</v>
          </cell>
        </row>
        <row r="425">
          <cell r="A425">
            <v>21</v>
          </cell>
          <cell r="B425">
            <v>37914</v>
          </cell>
          <cell r="C425">
            <v>25</v>
          </cell>
          <cell r="F425" t="str">
            <v>NN &amp; P/T N/Thoân</v>
          </cell>
          <cell r="G425" t="str">
            <v>Baïc Lieâu</v>
          </cell>
          <cell r="H425" t="str">
            <v>Noäp BHXH,BHYT thaùng 10/2003</v>
          </cell>
          <cell r="I425">
            <v>24334161</v>
          </cell>
        </row>
        <row r="426">
          <cell r="A426">
            <v>17</v>
          </cell>
          <cell r="B426">
            <v>37914</v>
          </cell>
          <cell r="C426">
            <v>36</v>
          </cell>
          <cell r="F426" t="str">
            <v>Coâng Thöông</v>
          </cell>
          <cell r="G426" t="str">
            <v>Baø Ròa-Vuõng Taøu</v>
          </cell>
          <cell r="H426" t="str">
            <v>Traû tieàn mua xaêng daàu</v>
          </cell>
          <cell r="I426">
            <v>2538000000</v>
          </cell>
        </row>
        <row r="427">
          <cell r="A427">
            <v>22</v>
          </cell>
          <cell r="B427">
            <v>37914</v>
          </cell>
          <cell r="C427">
            <v>73</v>
          </cell>
          <cell r="F427" t="str">
            <v>Ngoaïi Thöông</v>
          </cell>
          <cell r="G427" t="str">
            <v>Hoà Chí Minh</v>
          </cell>
          <cell r="H427" t="str">
            <v>Traû tieàn mua nöôùc röûa cheùn (TT.CM)</v>
          </cell>
          <cell r="I427">
            <v>32071341</v>
          </cell>
        </row>
        <row r="428">
          <cell r="A428">
            <v>18</v>
          </cell>
          <cell r="B428">
            <v>37916</v>
          </cell>
          <cell r="C428">
            <v>5</v>
          </cell>
          <cell r="F428" t="str">
            <v>Coâng Thöong CN6</v>
          </cell>
          <cell r="G428" t="str">
            <v>Hoà Chí Minh</v>
          </cell>
          <cell r="H428" t="str">
            <v>Traû tieàn mua boät ngoït</v>
          </cell>
          <cell r="I428">
            <v>213296429</v>
          </cell>
        </row>
        <row r="429">
          <cell r="A429">
            <v>19</v>
          </cell>
          <cell r="B429">
            <v>37916</v>
          </cell>
          <cell r="C429">
            <v>3</v>
          </cell>
          <cell r="F429" t="str">
            <v>Coâng Thöông CN 14</v>
          </cell>
          <cell r="G429" t="str">
            <v>Hoà Chí Minh</v>
          </cell>
          <cell r="H429" t="str">
            <v>Traû tieàn mua boät giaët</v>
          </cell>
          <cell r="I429">
            <v>290000000</v>
          </cell>
        </row>
        <row r="430">
          <cell r="A430">
            <v>23</v>
          </cell>
          <cell r="B430">
            <v>37916</v>
          </cell>
          <cell r="C430">
            <v>28</v>
          </cell>
          <cell r="F430" t="str">
            <v>Ñaàu Tö &amp; Phaùt Trieån</v>
          </cell>
          <cell r="G430" t="str">
            <v>Caàn Thô</v>
          </cell>
          <cell r="H430" t="str">
            <v>Traû tieàn mua söõa caùc loaïi</v>
          </cell>
          <cell r="I430">
            <v>385955524</v>
          </cell>
        </row>
        <row r="431">
          <cell r="A431">
            <v>24</v>
          </cell>
          <cell r="B431">
            <v>37917</v>
          </cell>
          <cell r="C431">
            <v>73</v>
          </cell>
          <cell r="F431" t="str">
            <v>Ngoaïi Thöông</v>
          </cell>
          <cell r="G431" t="str">
            <v>Hoà Chí Minh</v>
          </cell>
          <cell r="H431" t="str">
            <v>Traû tieàn mua nöôùc röûa cheùn (TT.CM)</v>
          </cell>
          <cell r="I431">
            <v>62534084</v>
          </cell>
        </row>
        <row r="432">
          <cell r="A432">
            <v>25</v>
          </cell>
          <cell r="B432">
            <v>37917</v>
          </cell>
          <cell r="C432">
            <v>22</v>
          </cell>
          <cell r="F432" t="str">
            <v>Coâng Thöông</v>
          </cell>
          <cell r="G432" t="str">
            <v>Long An</v>
          </cell>
          <cell r="H432" t="str">
            <v>Traû tieàn mua vaûi Long An</v>
          </cell>
          <cell r="I432">
            <v>16369570</v>
          </cell>
        </row>
        <row r="433">
          <cell r="A433">
            <v>26</v>
          </cell>
          <cell r="B433">
            <v>37918</v>
          </cell>
          <cell r="C433">
            <v>31</v>
          </cell>
          <cell r="F433" t="str">
            <v>Sôû Giao Dòch II CTVN</v>
          </cell>
          <cell r="G433" t="str">
            <v>Hoà Chí Minh</v>
          </cell>
          <cell r="H433" t="str">
            <v>Traû tieàn mua daàu xaù</v>
          </cell>
          <cell r="I433">
            <v>48639450</v>
          </cell>
        </row>
        <row r="434">
          <cell r="A434">
            <v>20</v>
          </cell>
          <cell r="B434">
            <v>37918</v>
          </cell>
          <cell r="C434">
            <v>8</v>
          </cell>
          <cell r="F434" t="str">
            <v>Coâng Thöông</v>
          </cell>
          <cell r="G434" t="str">
            <v>Kieân Giang</v>
          </cell>
          <cell r="H434" t="str">
            <v>Traû tieàn mua xi maêng 200taán</v>
          </cell>
          <cell r="I434">
            <v>160160000</v>
          </cell>
        </row>
        <row r="435">
          <cell r="A435">
            <v>27</v>
          </cell>
          <cell r="B435">
            <v>37921</v>
          </cell>
          <cell r="C435">
            <v>83</v>
          </cell>
          <cell r="F435" t="str">
            <v>Ngoaïi Thöông</v>
          </cell>
          <cell r="G435" t="str">
            <v>Hoà Chí Minh</v>
          </cell>
          <cell r="H435" t="str">
            <v>Traû tieànhaøng ñieän maùy</v>
          </cell>
          <cell r="I435">
            <v>77777300</v>
          </cell>
        </row>
        <row r="436">
          <cell r="A436">
            <v>28</v>
          </cell>
          <cell r="B436">
            <v>37921</v>
          </cell>
          <cell r="C436">
            <v>31</v>
          </cell>
          <cell r="F436" t="str">
            <v>Sôû Giao Dòch II CTVN</v>
          </cell>
          <cell r="G436" t="str">
            <v>Hoà Chí Minh</v>
          </cell>
          <cell r="H436" t="str">
            <v>Traû tieàn daàu aên  (TT.TN.BL)</v>
          </cell>
          <cell r="I436">
            <v>73394970</v>
          </cell>
        </row>
        <row r="437">
          <cell r="A437">
            <v>21</v>
          </cell>
          <cell r="B437">
            <v>37921</v>
          </cell>
          <cell r="C437">
            <v>36</v>
          </cell>
          <cell r="F437" t="str">
            <v>Coâng Thöông</v>
          </cell>
          <cell r="G437" t="str">
            <v>Baø Ròa-Vuõng Taøu</v>
          </cell>
          <cell r="H437" t="str">
            <v>Traû tieàn mua xaêng daàu</v>
          </cell>
          <cell r="I437">
            <v>1927000000</v>
          </cell>
        </row>
        <row r="438">
          <cell r="A438">
            <v>22</v>
          </cell>
          <cell r="B438">
            <v>37921</v>
          </cell>
          <cell r="C438">
            <v>41</v>
          </cell>
          <cell r="F438" t="str">
            <v>Coâng Thöông CN 9</v>
          </cell>
          <cell r="G438" t="str">
            <v>Hoà Chí Minh</v>
          </cell>
          <cell r="H438" t="str">
            <v>Traû tieàn mua xi maêng 250taán</v>
          </cell>
          <cell r="I438">
            <v>215000000</v>
          </cell>
        </row>
        <row r="439">
          <cell r="A439">
            <v>23</v>
          </cell>
          <cell r="B439">
            <v>37921</v>
          </cell>
          <cell r="C439">
            <v>14</v>
          </cell>
          <cell r="F439" t="str">
            <v>Coâng Thöông CN I</v>
          </cell>
          <cell r="G439" t="str">
            <v>Hoà Chí Minh</v>
          </cell>
          <cell r="H439" t="str">
            <v>Traû tieàn mua haøng cho CN Theùp Mieàn Nam taïi Caàn Thô</v>
          </cell>
          <cell r="I439">
            <v>221993415</v>
          </cell>
        </row>
        <row r="440">
          <cell r="A440">
            <v>29</v>
          </cell>
          <cell r="B440">
            <v>37921</v>
          </cell>
          <cell r="C440">
            <v>31</v>
          </cell>
          <cell r="F440" t="str">
            <v>Sôû Giao Dòch II CTVN</v>
          </cell>
          <cell r="G440" t="str">
            <v>Hoà Chí Minh</v>
          </cell>
          <cell r="H440" t="str">
            <v>Traû tieàn daàu aên  (TT.BL : 79.910.006ñ;TT.CM: 24.994.992ñ)</v>
          </cell>
          <cell r="I440">
            <v>104904998</v>
          </cell>
        </row>
        <row r="441">
          <cell r="A441">
            <v>30</v>
          </cell>
          <cell r="B441">
            <v>37922</v>
          </cell>
          <cell r="C441">
            <v>73</v>
          </cell>
          <cell r="F441" t="str">
            <v>Ngoaïi Thöông</v>
          </cell>
          <cell r="G441" t="str">
            <v>Hoà Chí Minh</v>
          </cell>
          <cell r="H441" t="str">
            <v>Traû tieàn mua nöôùc röûa cheùn (TT.BL)</v>
          </cell>
          <cell r="I441">
            <v>57798229</v>
          </cell>
        </row>
        <row r="442">
          <cell r="A442">
            <v>30</v>
          </cell>
          <cell r="B442">
            <v>37922</v>
          </cell>
          <cell r="C442">
            <v>73</v>
          </cell>
          <cell r="F442" t="str">
            <v>Ngoaïi Thöông</v>
          </cell>
          <cell r="G442" t="str">
            <v>Hoà Chí Minh</v>
          </cell>
          <cell r="H442" t="str">
            <v>Traû tieàn mua nöôùc röûa cheùn (TT.BL)</v>
          </cell>
          <cell r="I442">
            <v>57798229</v>
          </cell>
        </row>
        <row r="443">
          <cell r="A443">
            <v>31</v>
          </cell>
          <cell r="B443">
            <v>37922</v>
          </cell>
          <cell r="C443">
            <v>27</v>
          </cell>
          <cell r="F443" t="str">
            <v>INDOVINA</v>
          </cell>
          <cell r="G443" t="str">
            <v>Hoà Chí Minh</v>
          </cell>
          <cell r="H443" t="str">
            <v>Traû tieàn mua ñöôøng</v>
          </cell>
          <cell r="I443">
            <v>61600000</v>
          </cell>
        </row>
        <row r="444">
          <cell r="A444">
            <v>24</v>
          </cell>
          <cell r="B444">
            <v>37922</v>
          </cell>
          <cell r="C444">
            <v>1</v>
          </cell>
          <cell r="F444" t="str">
            <v>Sôû Giao Dòch II CTVN</v>
          </cell>
          <cell r="G444" t="str">
            <v>Hoà Chí Minh</v>
          </cell>
          <cell r="H444" t="str">
            <v>Traû tieàn mua thuoác laù</v>
          </cell>
          <cell r="I444">
            <v>221275000</v>
          </cell>
        </row>
        <row r="445">
          <cell r="A445">
            <v>30</v>
          </cell>
          <cell r="B445">
            <v>37922</v>
          </cell>
          <cell r="C445">
            <v>73</v>
          </cell>
          <cell r="F445" t="str">
            <v>Ngoaïi Thöông</v>
          </cell>
          <cell r="G445" t="str">
            <v>Hoà Chí Minh</v>
          </cell>
          <cell r="H445" t="str">
            <v>Traû tieàn mua nöôùc röûa cheùn (TT.BL)</v>
          </cell>
          <cell r="I445">
            <v>57798229</v>
          </cell>
        </row>
        <row r="446">
          <cell r="A446">
            <v>31</v>
          </cell>
          <cell r="B446">
            <v>37922</v>
          </cell>
          <cell r="C446">
            <v>27</v>
          </cell>
          <cell r="F446" t="str">
            <v>INDOVINA</v>
          </cell>
          <cell r="G446" t="str">
            <v>Hoà Chí Minh</v>
          </cell>
          <cell r="H446" t="str">
            <v>Traû tieàn mua ñöôøng</v>
          </cell>
          <cell r="I446">
            <v>61600000</v>
          </cell>
        </row>
        <row r="447">
          <cell r="A447">
            <v>32</v>
          </cell>
          <cell r="B447">
            <v>37924</v>
          </cell>
          <cell r="C447">
            <v>28</v>
          </cell>
          <cell r="F447" t="str">
            <v>Ñaàu Tö &amp; Phaùt Trieån</v>
          </cell>
          <cell r="G447" t="str">
            <v>Caàn Thô</v>
          </cell>
          <cell r="H447" t="str">
            <v>Traû tieàn mua söõa caùc loaïi</v>
          </cell>
          <cell r="I447">
            <v>386314036</v>
          </cell>
        </row>
        <row r="448">
          <cell r="A448">
            <v>25</v>
          </cell>
          <cell r="B448">
            <v>37924</v>
          </cell>
          <cell r="C448">
            <v>5</v>
          </cell>
          <cell r="F448" t="str">
            <v>Coâng Thöong CN6</v>
          </cell>
          <cell r="G448" t="str">
            <v>Hoà Chí Minh</v>
          </cell>
          <cell r="H448" t="str">
            <v>Traû tieàn mua boät ngoït</v>
          </cell>
          <cell r="I448">
            <v>426483031</v>
          </cell>
        </row>
        <row r="449">
          <cell r="A449">
            <v>33</v>
          </cell>
          <cell r="B449">
            <v>37924</v>
          </cell>
          <cell r="C449">
            <v>31</v>
          </cell>
          <cell r="F449" t="str">
            <v>Sôû Giao Dòch II CTVN</v>
          </cell>
          <cell r="G449" t="str">
            <v>Hoà Chí Minh</v>
          </cell>
          <cell r="H449" t="str">
            <v>Traû tieàn mua daàu aên</v>
          </cell>
          <cell r="I449">
            <v>89692872</v>
          </cell>
        </row>
        <row r="450">
          <cell r="A450">
            <v>34</v>
          </cell>
          <cell r="B450">
            <v>37924</v>
          </cell>
          <cell r="C450">
            <v>77</v>
          </cell>
          <cell r="F450" t="str">
            <v>Coâng Thöông CN 4</v>
          </cell>
          <cell r="G450" t="str">
            <v>Hoà Chí Minh</v>
          </cell>
          <cell r="H450" t="str">
            <v>Traû tieàn mua haøng ñieän maùy</v>
          </cell>
          <cell r="I450">
            <v>9390000</v>
          </cell>
        </row>
        <row r="451">
          <cell r="A451">
            <v>26</v>
          </cell>
          <cell r="B451">
            <v>37925</v>
          </cell>
          <cell r="C451">
            <v>8</v>
          </cell>
          <cell r="F451" t="str">
            <v>Coâng Thöông</v>
          </cell>
          <cell r="G451" t="str">
            <v>Kieân Giang</v>
          </cell>
          <cell r="H451" t="str">
            <v>Traû tieàn mua xi maêng 45taán</v>
          </cell>
          <cell r="I451">
            <v>35318250</v>
          </cell>
        </row>
        <row r="452">
          <cell r="A452">
            <v>27</v>
          </cell>
          <cell r="B452">
            <v>37925</v>
          </cell>
          <cell r="C452">
            <v>46</v>
          </cell>
          <cell r="F452" t="str">
            <v xml:space="preserve">Coâng Thöông </v>
          </cell>
          <cell r="G452" t="str">
            <v>Phuù Thoï</v>
          </cell>
          <cell r="H452" t="str">
            <v>Traû tieàn mua boät ngoït</v>
          </cell>
          <cell r="I452">
            <v>116866067</v>
          </cell>
        </row>
        <row r="453">
          <cell r="A453">
            <v>35</v>
          </cell>
          <cell r="B453">
            <v>37925</v>
          </cell>
          <cell r="C453">
            <v>73</v>
          </cell>
          <cell r="F453" t="str">
            <v>Ngoaïi Thöông</v>
          </cell>
          <cell r="G453" t="str">
            <v>Hoà Chí Minh</v>
          </cell>
          <cell r="H453" t="str">
            <v>Traû tieàn mua nöôùc röûa cheùn (TT.BL:31.925.273ñ;TT.CM:86.219.686ñ)</v>
          </cell>
          <cell r="I453">
            <v>118145141</v>
          </cell>
        </row>
        <row r="454">
          <cell r="A454">
            <v>28</v>
          </cell>
          <cell r="B454">
            <v>37925</v>
          </cell>
          <cell r="C454">
            <v>101</v>
          </cell>
          <cell r="F454" t="str">
            <v>Deutsche Bank</v>
          </cell>
          <cell r="G454" t="str">
            <v>Hoà Chí Minh</v>
          </cell>
          <cell r="H454" t="str">
            <v>Traû tieàn mua xaêng daàu (Maõ IBPS 50619012)</v>
          </cell>
          <cell r="I454">
            <v>1958000000</v>
          </cell>
        </row>
        <row r="455">
          <cell r="A455">
            <v>29</v>
          </cell>
          <cell r="B455">
            <v>37925</v>
          </cell>
          <cell r="C455">
            <v>16</v>
          </cell>
          <cell r="F455" t="str">
            <v>Ngoaïi Thöông</v>
          </cell>
          <cell r="G455" t="str">
            <v>Hoà Chí Minh</v>
          </cell>
          <cell r="H455" t="str">
            <v>Traû tieàn mua xaêng daàu</v>
          </cell>
          <cell r="I455">
            <v>1736550000</v>
          </cell>
        </row>
        <row r="456">
          <cell r="A456">
            <v>1</v>
          </cell>
          <cell r="B456">
            <v>37928</v>
          </cell>
          <cell r="C456">
            <v>36</v>
          </cell>
          <cell r="F456" t="str">
            <v>Coâng Thöông</v>
          </cell>
          <cell r="G456" t="str">
            <v>Baø Ròa-Vuõng Taøu</v>
          </cell>
          <cell r="H456" t="str">
            <v>Traû tieàn mua xaêng daàu</v>
          </cell>
          <cell r="I456">
            <v>1974000000</v>
          </cell>
        </row>
        <row r="457">
          <cell r="A457">
            <v>2</v>
          </cell>
          <cell r="B457">
            <v>37928</v>
          </cell>
          <cell r="C457">
            <v>8</v>
          </cell>
          <cell r="F457" t="str">
            <v>Coâng Thöông</v>
          </cell>
          <cell r="G457" t="str">
            <v>Kieân Giang</v>
          </cell>
          <cell r="H457" t="str">
            <v>Traû tieàn mua xi maêng 250taán</v>
          </cell>
          <cell r="I457">
            <v>200200000</v>
          </cell>
        </row>
        <row r="458">
          <cell r="A458">
            <v>3</v>
          </cell>
          <cell r="B458">
            <v>37928</v>
          </cell>
          <cell r="C458">
            <v>90</v>
          </cell>
          <cell r="F458" t="str">
            <v>Coâng Thöông</v>
          </cell>
          <cell r="G458" t="str">
            <v>Caàn Thô</v>
          </cell>
          <cell r="H458" t="str">
            <v>Traû tieàn mua ñöôøng</v>
          </cell>
          <cell r="I458">
            <v>25493761</v>
          </cell>
        </row>
        <row r="459">
          <cell r="A459">
            <v>1</v>
          </cell>
          <cell r="B459">
            <v>37928</v>
          </cell>
          <cell r="C459">
            <v>73</v>
          </cell>
          <cell r="F459" t="str">
            <v>Ngoaïi Thöông</v>
          </cell>
          <cell r="G459" t="str">
            <v>Hoà Chí Minh</v>
          </cell>
          <cell r="H459" t="str">
            <v>Traû tieàn mua nöôùc röûa cheùn (TT.CM)</v>
          </cell>
          <cell r="I459">
            <v>21577336</v>
          </cell>
        </row>
        <row r="460">
          <cell r="A460">
            <v>4</v>
          </cell>
          <cell r="B460">
            <v>37928</v>
          </cell>
          <cell r="C460">
            <v>3</v>
          </cell>
          <cell r="F460" t="str">
            <v>Coâng Thöông CN 14</v>
          </cell>
          <cell r="G460" t="str">
            <v>Hoà Chí Minh</v>
          </cell>
          <cell r="H460" t="str">
            <v>Traû tieàn mua boät giaët</v>
          </cell>
          <cell r="I460">
            <v>280000000</v>
          </cell>
        </row>
        <row r="461">
          <cell r="A461">
            <v>5</v>
          </cell>
          <cell r="B461">
            <v>37928</v>
          </cell>
          <cell r="C461">
            <v>17</v>
          </cell>
          <cell r="F461" t="str">
            <v>Ngoaïi Thöông</v>
          </cell>
          <cell r="G461" t="str">
            <v>Hoà Chí Minh</v>
          </cell>
          <cell r="H461" t="str">
            <v>Traû tieàn mua xaêng daàu</v>
          </cell>
          <cell r="I461">
            <v>732000000</v>
          </cell>
        </row>
        <row r="462">
          <cell r="A462">
            <v>2</v>
          </cell>
          <cell r="B462">
            <v>37929</v>
          </cell>
          <cell r="C462">
            <v>93</v>
          </cell>
          <cell r="F462" t="str">
            <v>Coâng Thöông CN 12</v>
          </cell>
          <cell r="G462" t="str">
            <v>Hoà Chí Minh</v>
          </cell>
          <cell r="H462" t="str">
            <v>Traû tieàn mua giaáy Vieãn Ñoâng</v>
          </cell>
          <cell r="I462">
            <v>21348987</v>
          </cell>
        </row>
        <row r="463">
          <cell r="A463">
            <v>6</v>
          </cell>
          <cell r="B463">
            <v>37930</v>
          </cell>
          <cell r="C463">
            <v>8</v>
          </cell>
          <cell r="F463" t="str">
            <v>Coâng Thöông</v>
          </cell>
          <cell r="G463" t="str">
            <v>Kieân Giang</v>
          </cell>
          <cell r="H463" t="str">
            <v>Traû tieàn mua xi maêng 250taán</v>
          </cell>
          <cell r="I463">
            <v>200200000</v>
          </cell>
        </row>
        <row r="464">
          <cell r="A464">
            <v>3</v>
          </cell>
          <cell r="B464">
            <v>37930</v>
          </cell>
          <cell r="C464">
            <v>66</v>
          </cell>
          <cell r="F464" t="str">
            <v>ANZ</v>
          </cell>
          <cell r="G464" t="str">
            <v>Hoà Chí Minh</v>
          </cell>
          <cell r="H464" t="str">
            <v>Traû tieàn mua mì Unif</v>
          </cell>
          <cell r="I464">
            <v>49930695</v>
          </cell>
        </row>
        <row r="465">
          <cell r="A465">
            <v>7</v>
          </cell>
          <cell r="B465">
            <v>37930</v>
          </cell>
          <cell r="C465">
            <v>41</v>
          </cell>
          <cell r="F465" t="str">
            <v>Coâng Thöông CN 9</v>
          </cell>
          <cell r="G465" t="str">
            <v>Hoà Chí Minh</v>
          </cell>
          <cell r="H465" t="str">
            <v>Traû tieàn mua xi maêng 250taán</v>
          </cell>
          <cell r="I465">
            <v>212500000</v>
          </cell>
        </row>
        <row r="466">
          <cell r="A466">
            <v>4</v>
          </cell>
          <cell r="B466">
            <v>37932</v>
          </cell>
          <cell r="C466">
            <v>31</v>
          </cell>
          <cell r="F466" t="str">
            <v>Sôû Giao Dòch II CTVN</v>
          </cell>
          <cell r="G466" t="str">
            <v>Hoà Chí Minh</v>
          </cell>
          <cell r="H466" t="str">
            <v>Traû tieàn mua daàu xaù</v>
          </cell>
          <cell r="I466">
            <v>42116250</v>
          </cell>
        </row>
        <row r="467">
          <cell r="A467">
            <v>5</v>
          </cell>
          <cell r="B467">
            <v>37932</v>
          </cell>
          <cell r="C467">
            <v>73</v>
          </cell>
          <cell r="F467" t="str">
            <v>Ngoaïi Thöông</v>
          </cell>
          <cell r="G467" t="str">
            <v>Hoà Chí Minh</v>
          </cell>
          <cell r="H467" t="str">
            <v>Traû tieàn mua nöôùc röûa cheùn (TT.BL)</v>
          </cell>
          <cell r="I467">
            <v>30779697</v>
          </cell>
        </row>
        <row r="468">
          <cell r="A468">
            <v>6</v>
          </cell>
          <cell r="B468">
            <v>37935</v>
          </cell>
          <cell r="C468">
            <v>73</v>
          </cell>
          <cell r="F468" t="str">
            <v>Ngoaïi Thöông</v>
          </cell>
          <cell r="G468" t="str">
            <v>Hoà Chí Minh</v>
          </cell>
          <cell r="H468" t="str">
            <v>Traû tieàn mua nöôùc röûa cheùn (TT.BL)</v>
          </cell>
          <cell r="I468">
            <v>61835435</v>
          </cell>
        </row>
        <row r="469">
          <cell r="A469">
            <v>7</v>
          </cell>
          <cell r="B469">
            <v>37935</v>
          </cell>
          <cell r="C469">
            <v>31</v>
          </cell>
          <cell r="F469" t="str">
            <v>Sôû Giao Dòch II CTVN</v>
          </cell>
          <cell r="G469" t="str">
            <v>Hoà Chí Minh</v>
          </cell>
          <cell r="H469" t="str">
            <v>Traû tieàn mua daàu xaù</v>
          </cell>
          <cell r="I469">
            <v>57529800</v>
          </cell>
        </row>
        <row r="470">
          <cell r="A470">
            <v>8</v>
          </cell>
          <cell r="B470">
            <v>37935</v>
          </cell>
          <cell r="C470">
            <v>77</v>
          </cell>
          <cell r="F470" t="str">
            <v>Coâng Thöông CN 4</v>
          </cell>
          <cell r="G470" t="str">
            <v>Hoà Chí Minh</v>
          </cell>
          <cell r="H470" t="str">
            <v>Traû tieàn mua tivi samsung</v>
          </cell>
          <cell r="I470">
            <v>18008951</v>
          </cell>
        </row>
        <row r="471">
          <cell r="A471">
            <v>9</v>
          </cell>
          <cell r="B471">
            <v>37935</v>
          </cell>
          <cell r="C471">
            <v>95</v>
          </cell>
          <cell r="F471" t="str">
            <v>Ñaàu Tö &amp; Phaùt Trieån</v>
          </cell>
          <cell r="G471" t="str">
            <v>Caàn Thô</v>
          </cell>
          <cell r="H471" t="str">
            <v>Traû tieàn mua haøng may maëc saün</v>
          </cell>
          <cell r="I471">
            <v>8543265</v>
          </cell>
        </row>
        <row r="472">
          <cell r="A472">
            <v>8</v>
          </cell>
          <cell r="B472">
            <v>37935</v>
          </cell>
          <cell r="C472">
            <v>8</v>
          </cell>
          <cell r="F472" t="str">
            <v>Coâng Thöông</v>
          </cell>
          <cell r="G472" t="str">
            <v>Kieân Giang</v>
          </cell>
          <cell r="H472" t="str">
            <v>Traû tieàn mua xi maêng 300taán</v>
          </cell>
          <cell r="I472">
            <v>240240000</v>
          </cell>
        </row>
        <row r="473">
          <cell r="A473">
            <v>9</v>
          </cell>
          <cell r="B473">
            <v>37935</v>
          </cell>
          <cell r="C473">
            <v>21</v>
          </cell>
          <cell r="F473" t="str">
            <v>Coâng Thöông</v>
          </cell>
          <cell r="G473" t="str">
            <v>Caàn Thô</v>
          </cell>
          <cell r="H473" t="str">
            <v>Traû tieàn mua gaz</v>
          </cell>
          <cell r="I473">
            <v>55860000</v>
          </cell>
        </row>
        <row r="474">
          <cell r="A474">
            <v>10</v>
          </cell>
          <cell r="B474">
            <v>37935</v>
          </cell>
          <cell r="C474">
            <v>17</v>
          </cell>
          <cell r="F474" t="str">
            <v>Ngoaïi Thöông</v>
          </cell>
          <cell r="G474" t="str">
            <v>Hoà Chí Minh</v>
          </cell>
          <cell r="H474" t="str">
            <v>Traû tieàn mua xaêng daàu</v>
          </cell>
          <cell r="I474">
            <v>586000000</v>
          </cell>
        </row>
        <row r="475">
          <cell r="A475">
            <v>11</v>
          </cell>
          <cell r="B475">
            <v>37935</v>
          </cell>
          <cell r="C475">
            <v>4</v>
          </cell>
          <cell r="F475" t="str">
            <v>Sôû Giao Dòch II  CTVN</v>
          </cell>
          <cell r="G475" t="str">
            <v>Hoà Chí Minh</v>
          </cell>
          <cell r="H475" t="str">
            <v>Traû tieàn mua xaêng daàu</v>
          </cell>
          <cell r="I475">
            <v>2573000000</v>
          </cell>
        </row>
        <row r="476">
          <cell r="A476">
            <v>12</v>
          </cell>
          <cell r="B476">
            <v>37935</v>
          </cell>
          <cell r="C476">
            <v>4</v>
          </cell>
          <cell r="F476" t="str">
            <v>Sôû Giao Dòch II  CTVN</v>
          </cell>
          <cell r="G476" t="str">
            <v>Hoà Chí Minh</v>
          </cell>
          <cell r="H476" t="str">
            <v>Traû tieàn mua xaêng daàu</v>
          </cell>
          <cell r="I476">
            <v>996000000</v>
          </cell>
        </row>
        <row r="477">
          <cell r="A477">
            <v>13</v>
          </cell>
          <cell r="B477">
            <v>37936</v>
          </cell>
          <cell r="C477">
            <v>36</v>
          </cell>
          <cell r="F477" t="str">
            <v>Coâng Thöông</v>
          </cell>
          <cell r="G477" t="str">
            <v>Baø Ròa-Vuõng Taøu</v>
          </cell>
          <cell r="H477" t="str">
            <v>Traû tieàn mua xaêng daàu</v>
          </cell>
          <cell r="I477">
            <v>5692000000</v>
          </cell>
        </row>
        <row r="478">
          <cell r="A478">
            <v>14</v>
          </cell>
          <cell r="B478">
            <v>37936</v>
          </cell>
          <cell r="C478">
            <v>10</v>
          </cell>
          <cell r="F478" t="str">
            <v>Hoàng Kong&amp; Thöôïng Haûi</v>
          </cell>
          <cell r="G478" t="str">
            <v>Hoà Chí Minh</v>
          </cell>
          <cell r="H478" t="str">
            <v>Traû tieàn mua nhôùt</v>
          </cell>
          <cell r="I478">
            <v>490840000</v>
          </cell>
        </row>
        <row r="479">
          <cell r="A479">
            <v>15</v>
          </cell>
          <cell r="B479">
            <v>37936</v>
          </cell>
          <cell r="C479">
            <v>28</v>
          </cell>
          <cell r="F479" t="str">
            <v>Ñaàu Tö &amp; Phaùt Trieån</v>
          </cell>
          <cell r="G479" t="str">
            <v>Caàn Thô</v>
          </cell>
          <cell r="H479" t="str">
            <v>Traû tieân mua söõa hoäp caùc loaïi</v>
          </cell>
          <cell r="I479">
            <v>341238940</v>
          </cell>
        </row>
        <row r="480">
          <cell r="A480">
            <v>15</v>
          </cell>
          <cell r="B480">
            <v>37937</v>
          </cell>
          <cell r="C480">
            <v>1</v>
          </cell>
          <cell r="F480" t="str">
            <v>Sôû Giao Dòch II CTVN</v>
          </cell>
          <cell r="G480" t="str">
            <v>Hoà Chí Minh</v>
          </cell>
          <cell r="H480" t="str">
            <v>Traû tieàn mua thuoác la'</v>
          </cell>
          <cell r="I480">
            <v>219300000</v>
          </cell>
        </row>
        <row r="481">
          <cell r="A481">
            <v>16</v>
          </cell>
          <cell r="B481">
            <v>37938</v>
          </cell>
          <cell r="C481">
            <v>8</v>
          </cell>
          <cell r="F481" t="str">
            <v>Coâng Thöông</v>
          </cell>
          <cell r="G481" t="str">
            <v>Kieân Giang</v>
          </cell>
          <cell r="H481" t="str">
            <v>Traû tieàn mua xi maêng 250taán</v>
          </cell>
          <cell r="I481">
            <v>200200000</v>
          </cell>
        </row>
        <row r="482">
          <cell r="A482">
            <v>17</v>
          </cell>
          <cell r="B482">
            <v>37938</v>
          </cell>
          <cell r="C482">
            <v>5</v>
          </cell>
          <cell r="F482" t="str">
            <v>Coâng Thöong CN6</v>
          </cell>
          <cell r="G482" t="str">
            <v>Hoà Chí Minh</v>
          </cell>
          <cell r="H482" t="str">
            <v>Traû tieàn mua boät ngoït</v>
          </cell>
          <cell r="I482">
            <v>413286047</v>
          </cell>
        </row>
        <row r="483">
          <cell r="A483">
            <v>19</v>
          </cell>
          <cell r="B483">
            <v>37942</v>
          </cell>
          <cell r="C483">
            <v>98</v>
          </cell>
          <cell r="F483" t="str">
            <v>Coâng Thöông</v>
          </cell>
          <cell r="G483" t="str">
            <v>Caàn Thô</v>
          </cell>
          <cell r="H483" t="str">
            <v>Traû tieàn mua xi maêng</v>
          </cell>
          <cell r="I483">
            <v>169555000</v>
          </cell>
        </row>
        <row r="484">
          <cell r="A484">
            <v>11</v>
          </cell>
          <cell r="B484">
            <v>37942</v>
          </cell>
          <cell r="C484">
            <v>79</v>
          </cell>
          <cell r="F484" t="str">
            <v>T.M.C.P SG Coâng Thöông CN Bình Chaùnh</v>
          </cell>
          <cell r="G484" t="str">
            <v>Hoà Chí Minh</v>
          </cell>
          <cell r="H484" t="str">
            <v>Traû tieàn mua boät ngoït</v>
          </cell>
          <cell r="I484">
            <v>9936679</v>
          </cell>
        </row>
        <row r="485">
          <cell r="A485">
            <v>20</v>
          </cell>
          <cell r="B485">
            <v>37942</v>
          </cell>
          <cell r="C485">
            <v>101</v>
          </cell>
          <cell r="F485" t="str">
            <v>Deutsche Bank</v>
          </cell>
          <cell r="G485" t="str">
            <v>Hoà Chí Minh</v>
          </cell>
          <cell r="H485" t="str">
            <v xml:space="preserve">Traû tieàn mua xaêng daàu </v>
          </cell>
          <cell r="I485">
            <v>5147000000</v>
          </cell>
        </row>
        <row r="486">
          <cell r="A486">
            <v>12</v>
          </cell>
          <cell r="B486">
            <v>37942</v>
          </cell>
          <cell r="C486">
            <v>83</v>
          </cell>
          <cell r="F486" t="str">
            <v>Ngoaïi Thöông</v>
          </cell>
          <cell r="G486" t="str">
            <v>Hoà Chí Minh</v>
          </cell>
          <cell r="H486" t="str">
            <v>Traû tieàn mua haøng ñieän maùy</v>
          </cell>
          <cell r="I486">
            <v>25976500</v>
          </cell>
        </row>
        <row r="487">
          <cell r="A487">
            <v>20</v>
          </cell>
          <cell r="B487">
            <v>37942</v>
          </cell>
          <cell r="C487">
            <v>101</v>
          </cell>
          <cell r="F487" t="str">
            <v>Deutsche Bank</v>
          </cell>
          <cell r="G487" t="str">
            <v>Hoà Chí Minh</v>
          </cell>
          <cell r="H487" t="str">
            <v xml:space="preserve">Traû tieàn mua xaêng daàu </v>
          </cell>
          <cell r="I487">
            <v>5147000000</v>
          </cell>
        </row>
        <row r="488">
          <cell r="A488">
            <v>13</v>
          </cell>
          <cell r="B488">
            <v>37943</v>
          </cell>
          <cell r="C488">
            <v>28</v>
          </cell>
          <cell r="F488" t="str">
            <v>Ñaàu Tö &amp; Phaùt Trieån</v>
          </cell>
          <cell r="G488" t="str">
            <v>Caàn Thô</v>
          </cell>
          <cell r="H488" t="str">
            <v>Traû tieân mua söõa hoäp caùc loaïi</v>
          </cell>
          <cell r="I488">
            <v>449082873</v>
          </cell>
        </row>
        <row r="489">
          <cell r="A489">
            <v>21</v>
          </cell>
          <cell r="B489">
            <v>37943</v>
          </cell>
          <cell r="C489">
            <v>8</v>
          </cell>
          <cell r="F489" t="str">
            <v>Coâng Thöông</v>
          </cell>
          <cell r="G489" t="str">
            <v>Kieân Giang</v>
          </cell>
          <cell r="H489" t="str">
            <v>Traû tieàn mua xi maêng 200taán</v>
          </cell>
          <cell r="I489">
            <v>156970000</v>
          </cell>
        </row>
        <row r="490">
          <cell r="A490">
            <v>22</v>
          </cell>
          <cell r="B490">
            <v>37944</v>
          </cell>
          <cell r="C490">
            <v>14</v>
          </cell>
          <cell r="F490" t="str">
            <v>Coâng Thöông CN I</v>
          </cell>
          <cell r="G490" t="str">
            <v>Hoà Chí Minh</v>
          </cell>
          <cell r="H490" t="str">
            <v>Traû tieàn mua haøng cho CN Theùp Mieàn Nam taïi Caàn Thô</v>
          </cell>
          <cell r="I490">
            <v>233748271</v>
          </cell>
        </row>
        <row r="491">
          <cell r="A491">
            <v>14</v>
          </cell>
          <cell r="B491">
            <v>37944</v>
          </cell>
          <cell r="C491">
            <v>73</v>
          </cell>
          <cell r="F491" t="str">
            <v>Ngoaïi Thöông</v>
          </cell>
          <cell r="G491" t="str">
            <v>Hoà Chí Minh</v>
          </cell>
          <cell r="H491" t="str">
            <v>Traû tieàn mua nöôùc röûa cheùn (TT.BL)</v>
          </cell>
          <cell r="I491">
            <v>31204570</v>
          </cell>
        </row>
        <row r="492">
          <cell r="A492">
            <v>15</v>
          </cell>
          <cell r="B492">
            <v>37944</v>
          </cell>
          <cell r="C492">
            <v>31</v>
          </cell>
          <cell r="F492" t="str">
            <v>Sôû Giao Dòch II CTVN</v>
          </cell>
          <cell r="G492" t="str">
            <v>Hoà Chí Minh</v>
          </cell>
          <cell r="H492" t="str">
            <v>Traû tieàn mua daàu(TT.TN.BL)</v>
          </cell>
          <cell r="I492">
            <v>155201556</v>
          </cell>
        </row>
        <row r="493">
          <cell r="A493">
            <v>16</v>
          </cell>
          <cell r="B493">
            <v>37944</v>
          </cell>
          <cell r="C493">
            <v>44</v>
          </cell>
          <cell r="F493" t="str">
            <v xml:space="preserve">Coâng Thöông </v>
          </cell>
          <cell r="G493" t="str">
            <v>Baïc Lieâu</v>
          </cell>
          <cell r="H493" t="str">
            <v>Traû tieàn ñieän thoaïi thaùng 10/2003</v>
          </cell>
          <cell r="I493">
            <v>8878411</v>
          </cell>
        </row>
        <row r="494">
          <cell r="A494">
            <v>23</v>
          </cell>
          <cell r="B494">
            <v>37944</v>
          </cell>
          <cell r="C494">
            <v>94</v>
          </cell>
          <cell r="F494" t="str">
            <v>Coâng Thöông CN 9</v>
          </cell>
          <cell r="G494" t="str">
            <v>Hoà Chí Minh</v>
          </cell>
          <cell r="H494" t="str">
            <v>Traû tieàn mua chaùo Bình Tieân</v>
          </cell>
          <cell r="I494">
            <v>17808000</v>
          </cell>
        </row>
        <row r="495">
          <cell r="A495">
            <v>24</v>
          </cell>
          <cell r="B495">
            <v>37944</v>
          </cell>
          <cell r="C495">
            <v>98</v>
          </cell>
          <cell r="F495" t="str">
            <v>Coâng Thöông</v>
          </cell>
          <cell r="G495" t="str">
            <v>Caàn Thô</v>
          </cell>
          <cell r="H495" t="str">
            <v>Traû tieàn mua xi maêng</v>
          </cell>
          <cell r="I495">
            <v>160800000</v>
          </cell>
        </row>
        <row r="496">
          <cell r="A496">
            <v>17</v>
          </cell>
          <cell r="B496">
            <v>37945</v>
          </cell>
          <cell r="C496">
            <v>27</v>
          </cell>
          <cell r="F496" t="str">
            <v>INDOVINA</v>
          </cell>
          <cell r="G496" t="str">
            <v>Hoà Chí Minh</v>
          </cell>
          <cell r="H496" t="str">
            <v>Traû tieàn mua ñöôøng</v>
          </cell>
          <cell r="I496">
            <v>63000000</v>
          </cell>
        </row>
        <row r="497">
          <cell r="A497">
            <v>18</v>
          </cell>
          <cell r="B497">
            <v>37946</v>
          </cell>
          <cell r="C497">
            <v>99</v>
          </cell>
          <cell r="F497" t="str">
            <v>AÙ Chaâu</v>
          </cell>
          <cell r="G497" t="str">
            <v>Hoà Chí Minh</v>
          </cell>
          <cell r="H497" t="str">
            <v>Traû tieàn mua nöôùc ngoït</v>
          </cell>
          <cell r="I497">
            <v>92700791</v>
          </cell>
        </row>
        <row r="498">
          <cell r="A498">
            <v>25</v>
          </cell>
          <cell r="B498">
            <v>37946</v>
          </cell>
          <cell r="C498">
            <v>5</v>
          </cell>
          <cell r="F498" t="str">
            <v>Coâng Thöong CN6</v>
          </cell>
          <cell r="G498" t="str">
            <v>Hoà Chí Minh</v>
          </cell>
          <cell r="H498" t="str">
            <v>Traû tieàn mua boät ngoït</v>
          </cell>
          <cell r="I498">
            <v>326578048</v>
          </cell>
        </row>
        <row r="499">
          <cell r="A499">
            <v>26</v>
          </cell>
          <cell r="B499">
            <v>37946</v>
          </cell>
          <cell r="C499">
            <v>8</v>
          </cell>
          <cell r="F499" t="str">
            <v>Coâng Thöông</v>
          </cell>
          <cell r="G499" t="str">
            <v>Kieân Giang</v>
          </cell>
          <cell r="H499" t="str">
            <v>Traû tieàn mua xi maêng 250taán</v>
          </cell>
          <cell r="I499">
            <v>196212500</v>
          </cell>
        </row>
        <row r="500">
          <cell r="A500">
            <v>19</v>
          </cell>
          <cell r="B500">
            <v>37946</v>
          </cell>
          <cell r="C500">
            <v>7</v>
          </cell>
          <cell r="F500" t="str">
            <v>Ñaàu Tö &amp; Phaùt Trieån CN Thuû Ñöùc</v>
          </cell>
          <cell r="G500" t="str">
            <v>Hoà Chí Minh</v>
          </cell>
          <cell r="H500" t="str">
            <v>Traû tieàn mua mì Colusa</v>
          </cell>
          <cell r="I500">
            <v>121061710</v>
          </cell>
        </row>
        <row r="501">
          <cell r="A501">
            <v>20</v>
          </cell>
          <cell r="B501">
            <v>37949</v>
          </cell>
          <cell r="C501">
            <v>101</v>
          </cell>
          <cell r="F501" t="str">
            <v>Deutsche Bank</v>
          </cell>
          <cell r="G501" t="str">
            <v>Hoà Chí Minh</v>
          </cell>
          <cell r="H501" t="str">
            <v xml:space="preserve">Traû tieàn mua xaêng daàu </v>
          </cell>
          <cell r="I501">
            <v>1600000000</v>
          </cell>
        </row>
        <row r="502">
          <cell r="A502">
            <v>21</v>
          </cell>
          <cell r="B502">
            <v>37949</v>
          </cell>
          <cell r="C502">
            <v>41</v>
          </cell>
          <cell r="F502" t="str">
            <v>Coâng Thöông CN 9</v>
          </cell>
          <cell r="G502" t="str">
            <v>Hoà Chí Minh</v>
          </cell>
          <cell r="H502" t="str">
            <v>Traû tieàn mua xi maêng 300taán</v>
          </cell>
          <cell r="I502">
            <v>255000000</v>
          </cell>
        </row>
        <row r="503">
          <cell r="A503">
            <v>22</v>
          </cell>
          <cell r="B503">
            <v>37951</v>
          </cell>
          <cell r="C503">
            <v>5</v>
          </cell>
          <cell r="F503" t="str">
            <v>Coâng Thöong CN6</v>
          </cell>
          <cell r="G503" t="str">
            <v>Hoà Chí Minh</v>
          </cell>
          <cell r="H503" t="str">
            <v>Traû tieàn mua boät ngoït</v>
          </cell>
          <cell r="I503">
            <v>309858220</v>
          </cell>
        </row>
        <row r="504">
          <cell r="A504">
            <v>23</v>
          </cell>
          <cell r="B504">
            <v>37951</v>
          </cell>
          <cell r="C504">
            <v>9</v>
          </cell>
          <cell r="F504" t="str">
            <v>Ngoaïi Thöông</v>
          </cell>
          <cell r="G504" t="str">
            <v>Hoà Chí Minh</v>
          </cell>
          <cell r="H504" t="str">
            <v>Traû tieàn mua nhôùt</v>
          </cell>
          <cell r="I504">
            <v>182341071</v>
          </cell>
        </row>
        <row r="505">
          <cell r="A505">
            <v>24</v>
          </cell>
          <cell r="B505">
            <v>37951</v>
          </cell>
          <cell r="C505">
            <v>22</v>
          </cell>
          <cell r="F505" t="str">
            <v>Coâng Thöông</v>
          </cell>
          <cell r="G505" t="str">
            <v>Long An</v>
          </cell>
          <cell r="H505" t="str">
            <v>Traû tieàn mua haøng may maëc Long An</v>
          </cell>
          <cell r="I505">
            <v>18798780</v>
          </cell>
        </row>
        <row r="506">
          <cell r="A506">
            <v>25</v>
          </cell>
          <cell r="B506">
            <v>37951</v>
          </cell>
          <cell r="C506">
            <v>27</v>
          </cell>
          <cell r="F506" t="str">
            <v>INDOVINA</v>
          </cell>
          <cell r="G506" t="str">
            <v>Hoà Chí Minh</v>
          </cell>
          <cell r="H506" t="str">
            <v>Traû tieàn mua ñöôøng</v>
          </cell>
          <cell r="I506">
            <v>63350000</v>
          </cell>
        </row>
        <row r="507">
          <cell r="A507">
            <v>26</v>
          </cell>
          <cell r="B507">
            <v>37951</v>
          </cell>
          <cell r="C507">
            <v>66</v>
          </cell>
          <cell r="F507" t="str">
            <v>ANZ</v>
          </cell>
          <cell r="G507" t="str">
            <v>Hoà Chí Minh</v>
          </cell>
          <cell r="H507" t="str">
            <v>Traû tieàn mì Unif</v>
          </cell>
          <cell r="I507">
            <v>87952452</v>
          </cell>
        </row>
        <row r="508">
          <cell r="A508">
            <v>27</v>
          </cell>
          <cell r="B508">
            <v>37951</v>
          </cell>
          <cell r="C508">
            <v>28</v>
          </cell>
          <cell r="F508" t="str">
            <v>Ñaàu Tö &amp; Phaùt Trieån</v>
          </cell>
          <cell r="G508" t="str">
            <v>Caàn Thô</v>
          </cell>
          <cell r="H508" t="str">
            <v>Traû tieân mua söõa hoäp caùc loaïi</v>
          </cell>
          <cell r="I508">
            <v>430800412</v>
          </cell>
        </row>
        <row r="509">
          <cell r="A509">
            <v>28</v>
          </cell>
          <cell r="B509">
            <v>37952</v>
          </cell>
          <cell r="C509">
            <v>80</v>
          </cell>
          <cell r="F509" t="str">
            <v>Ngoaïi Thöông</v>
          </cell>
          <cell r="G509" t="str">
            <v>Hoà Chí Minh</v>
          </cell>
          <cell r="H509" t="str">
            <v>Traû tieàn mua bình aéc quy</v>
          </cell>
          <cell r="I509">
            <v>26515500</v>
          </cell>
        </row>
        <row r="510">
          <cell r="A510">
            <v>27</v>
          </cell>
          <cell r="B510">
            <v>37952</v>
          </cell>
          <cell r="C510">
            <v>36</v>
          </cell>
          <cell r="F510" t="str">
            <v>Coâng Thöông</v>
          </cell>
          <cell r="G510" t="str">
            <v>Baø Ròa-Vuõng Taøu</v>
          </cell>
          <cell r="H510" t="str">
            <v xml:space="preserve">Traû tieàn mua xaêng daàu </v>
          </cell>
          <cell r="I510">
            <v>1222000000</v>
          </cell>
        </row>
        <row r="511">
          <cell r="A511">
            <v>29</v>
          </cell>
          <cell r="B511">
            <v>37952</v>
          </cell>
          <cell r="C511">
            <v>73</v>
          </cell>
          <cell r="F511" t="str">
            <v>Ngoaïi Thöông</v>
          </cell>
          <cell r="G511" t="str">
            <v>Hoà Chí Minh</v>
          </cell>
          <cell r="H511" t="str">
            <v>Traû tieàn mua nöôùc röûa cheùn (TT.BL)</v>
          </cell>
          <cell r="I511">
            <v>18557581</v>
          </cell>
        </row>
        <row r="512">
          <cell r="A512">
            <v>28</v>
          </cell>
          <cell r="B512">
            <v>37952</v>
          </cell>
          <cell r="C512">
            <v>8</v>
          </cell>
          <cell r="F512" t="str">
            <v>Coâng Thöông</v>
          </cell>
          <cell r="G512" t="str">
            <v>Kieân Giang</v>
          </cell>
          <cell r="H512" t="str">
            <v>Traû tieàn mua xi maêng 75taán</v>
          </cell>
          <cell r="I512">
            <v>58256200</v>
          </cell>
        </row>
        <row r="513">
          <cell r="A513">
            <v>30</v>
          </cell>
          <cell r="B513">
            <v>37952</v>
          </cell>
          <cell r="C513">
            <v>1</v>
          </cell>
          <cell r="F513" t="str">
            <v>Sôû Giao Dòch II CTVN</v>
          </cell>
          <cell r="G513" t="str">
            <v>Hoà Chí Minh</v>
          </cell>
          <cell r="H513" t="str">
            <v>Traû tieàn mua thuoác laù</v>
          </cell>
          <cell r="I513">
            <v>214300000</v>
          </cell>
        </row>
        <row r="514">
          <cell r="A514">
            <v>29</v>
          </cell>
          <cell r="B514">
            <v>37952</v>
          </cell>
          <cell r="C514">
            <v>19</v>
          </cell>
          <cell r="F514" t="str">
            <v>Eximbank</v>
          </cell>
          <cell r="G514" t="str">
            <v>Hoà Chí Minh</v>
          </cell>
          <cell r="H514" t="str">
            <v>Traû tieàn mua gas</v>
          </cell>
          <cell r="I514">
            <v>33831916</v>
          </cell>
        </row>
        <row r="515">
          <cell r="A515">
            <v>30</v>
          </cell>
          <cell r="B515">
            <v>37953</v>
          </cell>
          <cell r="C515">
            <v>76</v>
          </cell>
          <cell r="F515" t="str">
            <v>Ngoaïi Thöông</v>
          </cell>
          <cell r="G515" t="str">
            <v>Ñoàng Nai</v>
          </cell>
          <cell r="H515" t="str">
            <v>Traû tieàn mua haøng ñieän maùy</v>
          </cell>
          <cell r="I515">
            <v>19700000</v>
          </cell>
        </row>
        <row r="516">
          <cell r="A516">
            <v>31</v>
          </cell>
          <cell r="B516">
            <v>37953</v>
          </cell>
          <cell r="C516">
            <v>28</v>
          </cell>
          <cell r="F516" t="str">
            <v>Ñaàu Tö &amp; Phaùt Trieån</v>
          </cell>
          <cell r="G516" t="str">
            <v>Caàn Thô</v>
          </cell>
          <cell r="H516" t="str">
            <v>Traû tieân mua söõa hoäp caùc loaïi</v>
          </cell>
          <cell r="I516">
            <v>239598612</v>
          </cell>
        </row>
        <row r="517">
          <cell r="A517">
            <v>32</v>
          </cell>
          <cell r="B517">
            <v>37953</v>
          </cell>
          <cell r="C517">
            <v>46</v>
          </cell>
          <cell r="F517" t="str">
            <v xml:space="preserve">Coâng Thöông </v>
          </cell>
          <cell r="G517" t="str">
            <v>Phuù Thoï</v>
          </cell>
          <cell r="H517" t="str">
            <v>Traû tieân mua boät ngoït</v>
          </cell>
          <cell r="I517">
            <v>129784054</v>
          </cell>
        </row>
        <row r="518">
          <cell r="A518">
            <v>31</v>
          </cell>
          <cell r="B518">
            <v>37953</v>
          </cell>
          <cell r="C518">
            <v>3</v>
          </cell>
          <cell r="F518" t="str">
            <v>Coâng Thöông CN 14</v>
          </cell>
          <cell r="G518" t="str">
            <v>Hoà Chí Minh</v>
          </cell>
          <cell r="H518" t="str">
            <v>Traû tieàn mua boät giaët</v>
          </cell>
          <cell r="I518">
            <v>400000000</v>
          </cell>
        </row>
        <row r="519">
          <cell r="A519">
            <v>32</v>
          </cell>
          <cell r="B519">
            <v>37953</v>
          </cell>
          <cell r="C519">
            <v>28</v>
          </cell>
          <cell r="F519" t="str">
            <v>Ñaàu Tö &amp; Phaùt Trieån</v>
          </cell>
          <cell r="G519" t="str">
            <v>Caàn Thô</v>
          </cell>
          <cell r="H519" t="str">
            <v>Traû tieân mua söõa hoäp caùc loaïi</v>
          </cell>
          <cell r="I519">
            <v>97671552</v>
          </cell>
        </row>
        <row r="520">
          <cell r="A520">
            <v>1</v>
          </cell>
          <cell r="B520">
            <v>37956</v>
          </cell>
          <cell r="C520">
            <v>95</v>
          </cell>
          <cell r="F520" t="str">
            <v>Ñaàu Tö &amp; Phaùt Trieån</v>
          </cell>
          <cell r="G520" t="str">
            <v>Caàn Thô</v>
          </cell>
          <cell r="H520" t="str">
            <v>Traû tieàn mua haøng may maëc</v>
          </cell>
          <cell r="I520">
            <v>6730130</v>
          </cell>
        </row>
        <row r="521">
          <cell r="A521">
            <v>1</v>
          </cell>
          <cell r="B521">
            <v>37956</v>
          </cell>
          <cell r="C521">
            <v>8</v>
          </cell>
          <cell r="F521" t="str">
            <v>Coâng Thöông</v>
          </cell>
          <cell r="G521" t="str">
            <v>Kieân Giang</v>
          </cell>
          <cell r="H521" t="str">
            <v>Traû tieàn mua xi maêng 350taán</v>
          </cell>
          <cell r="I521">
            <v>280280000</v>
          </cell>
        </row>
        <row r="522">
          <cell r="A522">
            <v>2</v>
          </cell>
          <cell r="B522">
            <v>37956</v>
          </cell>
          <cell r="C522">
            <v>21</v>
          </cell>
          <cell r="F522" t="str">
            <v>Coâng Thöông</v>
          </cell>
          <cell r="G522" t="str">
            <v>Caàn Thô</v>
          </cell>
          <cell r="H522" t="str">
            <v>Traû tieàn mua gas</v>
          </cell>
          <cell r="I522">
            <v>96388000</v>
          </cell>
        </row>
        <row r="523">
          <cell r="A523">
            <v>3</v>
          </cell>
          <cell r="B523">
            <v>37957</v>
          </cell>
          <cell r="C523">
            <v>14</v>
          </cell>
          <cell r="F523" t="str">
            <v>Coâng Thöông CN I</v>
          </cell>
          <cell r="G523" t="str">
            <v>Hoà Chí Minh</v>
          </cell>
          <cell r="H523" t="str">
            <v>Traû tieàn mua haøng cho CN Theùp Mieàn Nam taïi Caàn Thô</v>
          </cell>
          <cell r="I523">
            <v>564568431</v>
          </cell>
        </row>
        <row r="524">
          <cell r="A524">
            <v>4</v>
          </cell>
          <cell r="B524">
            <v>37957</v>
          </cell>
          <cell r="C524">
            <v>41</v>
          </cell>
          <cell r="F524" t="str">
            <v>Coâng Thöông CN 9</v>
          </cell>
          <cell r="G524" t="str">
            <v>Hoà Chí Minh</v>
          </cell>
          <cell r="H524" t="str">
            <v>Traû tieàn mua xi maêng 300taán</v>
          </cell>
          <cell r="I524">
            <v>255000000</v>
          </cell>
        </row>
        <row r="525">
          <cell r="A525">
            <v>5</v>
          </cell>
          <cell r="B525">
            <v>37957</v>
          </cell>
          <cell r="C525">
            <v>3</v>
          </cell>
          <cell r="F525" t="str">
            <v>Coâng Thöông CN 14</v>
          </cell>
          <cell r="G525" t="str">
            <v>Hoà Chí Minh</v>
          </cell>
          <cell r="H525" t="str">
            <v>Traû tieàn mua boät giaët</v>
          </cell>
          <cell r="I525">
            <v>200000000</v>
          </cell>
        </row>
        <row r="526">
          <cell r="A526">
            <v>6</v>
          </cell>
          <cell r="B526">
            <v>37959</v>
          </cell>
          <cell r="C526">
            <v>8</v>
          </cell>
          <cell r="F526" t="str">
            <v>Coâng Thöông</v>
          </cell>
          <cell r="G526" t="str">
            <v>Kieân Giang</v>
          </cell>
          <cell r="H526" t="str">
            <v>Traû tieàn mua xi maêng 300taán</v>
          </cell>
          <cell r="I526">
            <v>240240000</v>
          </cell>
        </row>
        <row r="527">
          <cell r="A527">
            <v>7</v>
          </cell>
          <cell r="B527">
            <v>37959</v>
          </cell>
          <cell r="C527">
            <v>5</v>
          </cell>
          <cell r="F527" t="str">
            <v>Coâng Thöong CN6</v>
          </cell>
          <cell r="G527" t="str">
            <v>Hoà Chí Minh</v>
          </cell>
          <cell r="H527" t="str">
            <v>Traû tieàn mua boät ngoït</v>
          </cell>
          <cell r="I527">
            <v>170709693</v>
          </cell>
        </row>
        <row r="528">
          <cell r="A528">
            <v>8</v>
          </cell>
          <cell r="B528">
            <v>37959</v>
          </cell>
          <cell r="C528">
            <v>93</v>
          </cell>
          <cell r="F528" t="str">
            <v>Coâng Thöông CN 12</v>
          </cell>
          <cell r="G528" t="str">
            <v>Hoà Chí Minh</v>
          </cell>
          <cell r="H528" t="str">
            <v>Traû tieàn mua giaáy</v>
          </cell>
          <cell r="I528">
            <v>25767324</v>
          </cell>
        </row>
        <row r="529">
          <cell r="A529">
            <v>9</v>
          </cell>
          <cell r="B529">
            <v>37959</v>
          </cell>
          <cell r="C529">
            <v>85</v>
          </cell>
          <cell r="F529" t="str">
            <v>Sôû Giao Dòch II CTVN</v>
          </cell>
          <cell r="G529" t="str">
            <v>Hoà Chí Minh</v>
          </cell>
          <cell r="H529" t="str">
            <v>Traû tieàn mua haøng ñieän maùy</v>
          </cell>
          <cell r="I529">
            <v>35883000</v>
          </cell>
        </row>
        <row r="530">
          <cell r="A530">
            <v>10</v>
          </cell>
          <cell r="B530">
            <v>37960</v>
          </cell>
          <cell r="C530">
            <v>101</v>
          </cell>
          <cell r="F530" t="str">
            <v>Deutsche Bank</v>
          </cell>
          <cell r="G530" t="str">
            <v>Hoà Chí Minh</v>
          </cell>
          <cell r="H530" t="str">
            <v xml:space="preserve">Traû tieàn mua xaêng daàu </v>
          </cell>
          <cell r="I530">
            <v>690000000</v>
          </cell>
        </row>
        <row r="531">
          <cell r="A531">
            <v>11</v>
          </cell>
          <cell r="B531">
            <v>37963</v>
          </cell>
          <cell r="C531">
            <v>8</v>
          </cell>
          <cell r="F531" t="str">
            <v>Coâng Thöông</v>
          </cell>
          <cell r="G531" t="str">
            <v>Kieân Giang</v>
          </cell>
          <cell r="H531" t="str">
            <v>Traû tieàn mua xi maêng 250taán</v>
          </cell>
          <cell r="I531">
            <v>200200000</v>
          </cell>
        </row>
        <row r="532">
          <cell r="A532">
            <v>12</v>
          </cell>
          <cell r="B532">
            <v>37963</v>
          </cell>
          <cell r="C532">
            <v>1</v>
          </cell>
          <cell r="F532" t="str">
            <v>Sôû Giao Dòch II CTVN</v>
          </cell>
          <cell r="G532" t="str">
            <v>Hoà Chí Minh</v>
          </cell>
          <cell r="H532" t="str">
            <v>Traû tieàn mua thuoác laù</v>
          </cell>
          <cell r="I532">
            <v>277275000</v>
          </cell>
        </row>
        <row r="533">
          <cell r="A533">
            <v>2</v>
          </cell>
          <cell r="B533">
            <v>37963</v>
          </cell>
          <cell r="C533">
            <v>28</v>
          </cell>
          <cell r="F533" t="str">
            <v>Ñaàu Tö &amp; Phaùt Trieån</v>
          </cell>
          <cell r="G533" t="str">
            <v>Caàn Thô</v>
          </cell>
          <cell r="H533" t="str">
            <v>Traû tieân mua söõa hoäp caùc loaïi</v>
          </cell>
          <cell r="I533">
            <v>249208313</v>
          </cell>
        </row>
        <row r="534">
          <cell r="A534">
            <v>3</v>
          </cell>
          <cell r="B534">
            <v>37963</v>
          </cell>
          <cell r="C534">
            <v>27</v>
          </cell>
          <cell r="F534" t="str">
            <v>INDOVINA</v>
          </cell>
          <cell r="G534" t="str">
            <v>Hoà Chí Minh</v>
          </cell>
          <cell r="H534" t="str">
            <v>Traû tieàn mua ñöôøng</v>
          </cell>
          <cell r="I534">
            <v>31500000</v>
          </cell>
        </row>
        <row r="535">
          <cell r="A535">
            <v>4</v>
          </cell>
          <cell r="B535">
            <v>37963</v>
          </cell>
          <cell r="C535">
            <v>73</v>
          </cell>
          <cell r="F535" t="str">
            <v>Ngoaïi Thöông</v>
          </cell>
          <cell r="G535" t="str">
            <v>Hoà Chí Minh</v>
          </cell>
          <cell r="H535" t="str">
            <v>Traû tieàn mua nöôùc röûa cheùn (TT.BL)</v>
          </cell>
          <cell r="I535">
            <v>29677874</v>
          </cell>
        </row>
        <row r="536">
          <cell r="A536">
            <v>5</v>
          </cell>
          <cell r="B536">
            <v>37963</v>
          </cell>
          <cell r="C536">
            <v>44</v>
          </cell>
          <cell r="F536" t="str">
            <v xml:space="preserve">Coâng Thöông </v>
          </cell>
          <cell r="G536" t="str">
            <v>Baïc Lieâu</v>
          </cell>
          <cell r="H536" t="str">
            <v>Traû tieàn ñieän thoaïi thaùng 11/2003</v>
          </cell>
          <cell r="I536">
            <v>9058877</v>
          </cell>
        </row>
        <row r="537">
          <cell r="A537">
            <v>6</v>
          </cell>
          <cell r="B537">
            <v>37963</v>
          </cell>
          <cell r="C537">
            <v>31</v>
          </cell>
          <cell r="F537" t="str">
            <v>Sôû Giao Dòch II CTVN</v>
          </cell>
          <cell r="G537" t="str">
            <v>Hoà Chí Minh</v>
          </cell>
          <cell r="H537" t="str">
            <v>Traû tieàn mua daàu(TT.TN.CM)</v>
          </cell>
          <cell r="I537">
            <v>83680766</v>
          </cell>
        </row>
        <row r="538">
          <cell r="A538">
            <v>13</v>
          </cell>
          <cell r="B538">
            <v>37964</v>
          </cell>
          <cell r="C538">
            <v>36</v>
          </cell>
          <cell r="F538" t="str">
            <v>Coâng Thöông</v>
          </cell>
          <cell r="G538" t="str">
            <v>Baø Ròa-Vuõng Taøu</v>
          </cell>
          <cell r="H538" t="str">
            <v xml:space="preserve">Traû tieàn mua xaêng daàu </v>
          </cell>
          <cell r="I538">
            <v>1786000000</v>
          </cell>
        </row>
        <row r="539">
          <cell r="A539">
            <v>14</v>
          </cell>
          <cell r="B539">
            <v>37964</v>
          </cell>
          <cell r="C539">
            <v>10</v>
          </cell>
          <cell r="F539" t="str">
            <v>Hoàng Kong&amp; Thöôïng Haûi</v>
          </cell>
          <cell r="G539" t="str">
            <v>Hoà Chí Minh</v>
          </cell>
          <cell r="H539" t="str">
            <v>Traû tieàn mua nhôùt</v>
          </cell>
          <cell r="I539">
            <v>320300000</v>
          </cell>
        </row>
        <row r="540">
          <cell r="A540">
            <v>7</v>
          </cell>
          <cell r="B540">
            <v>37964</v>
          </cell>
          <cell r="C540">
            <v>77</v>
          </cell>
          <cell r="F540" t="str">
            <v>Coâng Thöông CN 4</v>
          </cell>
          <cell r="G540" t="str">
            <v>Hoà Chí Minh</v>
          </cell>
          <cell r="H540" t="str">
            <v>Traû tieàn mua haøng ñieän maùy</v>
          </cell>
          <cell r="I540">
            <v>8273606</v>
          </cell>
        </row>
        <row r="541">
          <cell r="A541">
            <v>8</v>
          </cell>
          <cell r="B541">
            <v>37965</v>
          </cell>
          <cell r="C541">
            <v>73</v>
          </cell>
          <cell r="F541" t="str">
            <v>Ngoaïi Thöông</v>
          </cell>
          <cell r="G541" t="str">
            <v>Hoà Chí Minh</v>
          </cell>
          <cell r="H541" t="str">
            <v>Traû tieàn mua nöôùc röûa cheùn (TT.BL:32.878.969ñ;TT.CM: 30.323.994ñ)</v>
          </cell>
          <cell r="I541">
            <v>63202963</v>
          </cell>
        </row>
        <row r="542">
          <cell r="A542">
            <v>9</v>
          </cell>
          <cell r="B542">
            <v>37965</v>
          </cell>
          <cell r="C542">
            <v>100</v>
          </cell>
          <cell r="F542" t="str">
            <v>Coâng Thöông CN 12</v>
          </cell>
          <cell r="G542" t="str">
            <v>Hoà Chí Minh</v>
          </cell>
          <cell r="H542" t="str">
            <v>Traû tieàn mua caù moøi</v>
          </cell>
          <cell r="I542">
            <v>7200750</v>
          </cell>
        </row>
        <row r="543">
          <cell r="A543">
            <v>12</v>
          </cell>
          <cell r="B543">
            <v>37967</v>
          </cell>
          <cell r="C543">
            <v>25</v>
          </cell>
          <cell r="F543" t="str">
            <v>NN &amp; P/T N/Thoân</v>
          </cell>
          <cell r="G543" t="str">
            <v>Baïc Lieâu</v>
          </cell>
          <cell r="H543" t="str">
            <v>Noäp BHXH,BHYT thaùng 12/2003</v>
          </cell>
          <cell r="I543">
            <v>24807063</v>
          </cell>
        </row>
        <row r="544">
          <cell r="A544">
            <v>13</v>
          </cell>
          <cell r="B544">
            <v>37967</v>
          </cell>
          <cell r="C544">
            <v>28</v>
          </cell>
          <cell r="F544" t="str">
            <v>Ñaàu Tö &amp; Phaùt Trieån</v>
          </cell>
          <cell r="G544" t="str">
            <v>Caàn Thô</v>
          </cell>
          <cell r="H544" t="str">
            <v>Traû tieân mua söõa hoäp caùc loaïi</v>
          </cell>
          <cell r="I544">
            <v>250798944</v>
          </cell>
        </row>
        <row r="545">
          <cell r="A545">
            <v>18</v>
          </cell>
          <cell r="B545">
            <v>37967</v>
          </cell>
          <cell r="C545">
            <v>98</v>
          </cell>
          <cell r="F545" t="str">
            <v>Coâng Thöông</v>
          </cell>
          <cell r="G545" t="str">
            <v>Caàn Thô</v>
          </cell>
          <cell r="H545" t="str">
            <v>Traû tieàn mua xi maêng 100taán</v>
          </cell>
          <cell r="I545">
            <v>80000000</v>
          </cell>
        </row>
        <row r="546">
          <cell r="A546">
            <v>19</v>
          </cell>
          <cell r="B546">
            <v>37970</v>
          </cell>
          <cell r="C546">
            <v>8</v>
          </cell>
          <cell r="F546" t="str">
            <v>Coâng Thöông</v>
          </cell>
          <cell r="G546" t="str">
            <v>Kieân Giang</v>
          </cell>
          <cell r="H546" t="str">
            <v>Traû tieàn mua xi maêng 250taán</v>
          </cell>
          <cell r="I546">
            <v>196212500</v>
          </cell>
        </row>
        <row r="547">
          <cell r="A547">
            <v>14</v>
          </cell>
          <cell r="B547">
            <v>37970</v>
          </cell>
          <cell r="C547">
            <v>31</v>
          </cell>
          <cell r="F547" t="str">
            <v>Sôû Giao Dòch II CTVN</v>
          </cell>
          <cell r="G547" t="str">
            <v>Hoà Chí Minh</v>
          </cell>
          <cell r="H547" t="str">
            <v>Traû tieàn mua daàu(TT.TN.BL)</v>
          </cell>
          <cell r="I547">
            <v>79884202</v>
          </cell>
        </row>
        <row r="548">
          <cell r="A548">
            <v>20</v>
          </cell>
          <cell r="B548">
            <v>37971</v>
          </cell>
          <cell r="C548">
            <v>41</v>
          </cell>
          <cell r="F548" t="str">
            <v>Coâng Thöông CN 9</v>
          </cell>
          <cell r="G548" t="str">
            <v>Hoà Chí Minh</v>
          </cell>
          <cell r="H548" t="str">
            <v>Traû tieàn mua xi maêng 300taán</v>
          </cell>
          <cell r="I548">
            <v>255000000</v>
          </cell>
        </row>
        <row r="549">
          <cell r="A549">
            <v>21</v>
          </cell>
          <cell r="B549">
            <v>37971</v>
          </cell>
          <cell r="C549">
            <v>14</v>
          </cell>
          <cell r="F549" t="str">
            <v>Coâng Thöông CN I</v>
          </cell>
          <cell r="G549" t="str">
            <v>Hoà Chí Minh</v>
          </cell>
          <cell r="H549" t="str">
            <v>Traû tieàn mua haøng cho CN Theùp Mieàn Nam taïi Caàn Thô</v>
          </cell>
          <cell r="I549">
            <v>300000000</v>
          </cell>
        </row>
        <row r="550">
          <cell r="A550">
            <v>22</v>
          </cell>
          <cell r="B550">
            <v>37971</v>
          </cell>
          <cell r="C550">
            <v>5</v>
          </cell>
          <cell r="F550" t="str">
            <v>Coâng Thöong CN6</v>
          </cell>
          <cell r="G550" t="str">
            <v>Hoà Chí Minh</v>
          </cell>
          <cell r="H550" t="str">
            <v>Traû tieàn mua boät ngoït</v>
          </cell>
          <cell r="I550">
            <v>660935457</v>
          </cell>
        </row>
        <row r="551">
          <cell r="A551">
            <v>23</v>
          </cell>
          <cell r="B551">
            <v>37972</v>
          </cell>
          <cell r="C551">
            <v>101</v>
          </cell>
          <cell r="F551" t="str">
            <v>Deutsche Bank</v>
          </cell>
          <cell r="G551" t="str">
            <v>Hoà Chí Minh</v>
          </cell>
          <cell r="H551" t="str">
            <v>Traû tieàn mua xaêng daàu (Maõ IBPS 50619012)</v>
          </cell>
          <cell r="I551">
            <v>3164000000</v>
          </cell>
        </row>
        <row r="552">
          <cell r="A552">
            <v>15</v>
          </cell>
          <cell r="B552">
            <v>37972</v>
          </cell>
          <cell r="C552">
            <v>27</v>
          </cell>
          <cell r="F552" t="str">
            <v>INDOVINA</v>
          </cell>
          <cell r="G552" t="str">
            <v>Hoà Chí Minh</v>
          </cell>
          <cell r="H552" t="str">
            <v>Traû tieàn mua ñöôøng</v>
          </cell>
          <cell r="I552">
            <v>31010000</v>
          </cell>
        </row>
        <row r="553">
          <cell r="A553">
            <v>16</v>
          </cell>
          <cell r="B553">
            <v>37972</v>
          </cell>
          <cell r="C553">
            <v>73</v>
          </cell>
          <cell r="F553" t="str">
            <v>Ngoaïi Thöông</v>
          </cell>
          <cell r="G553" t="str">
            <v>Hoà Chí Minh</v>
          </cell>
          <cell r="H553" t="str">
            <v>Traû tieàn mua nöôùc röûa cheùn (TT.CM)</v>
          </cell>
          <cell r="I553">
            <v>100347108</v>
          </cell>
        </row>
        <row r="554">
          <cell r="A554">
            <v>24</v>
          </cell>
          <cell r="B554">
            <v>37973</v>
          </cell>
          <cell r="C554">
            <v>36</v>
          </cell>
          <cell r="F554" t="str">
            <v>Coâng Thöông</v>
          </cell>
          <cell r="G554" t="str">
            <v>Baø Ròa-Vuõng Taøu</v>
          </cell>
          <cell r="H554" t="str">
            <v xml:space="preserve">Traû tieàn mua xaêng daàu </v>
          </cell>
          <cell r="I554">
            <v>1947000000</v>
          </cell>
        </row>
        <row r="555">
          <cell r="A555">
            <v>17</v>
          </cell>
          <cell r="B555">
            <v>37973</v>
          </cell>
          <cell r="C555">
            <v>99</v>
          </cell>
          <cell r="F555" t="str">
            <v>AÙ Chaâu</v>
          </cell>
          <cell r="G555" t="str">
            <v>Hoà Chí Minh</v>
          </cell>
          <cell r="H555" t="str">
            <v>Traû tieàn mua nöôùc ngoït</v>
          </cell>
          <cell r="I555">
            <v>47897591</v>
          </cell>
        </row>
        <row r="556">
          <cell r="A556">
            <v>18</v>
          </cell>
          <cell r="B556">
            <v>37974</v>
          </cell>
          <cell r="C556">
            <v>93</v>
          </cell>
          <cell r="F556" t="str">
            <v>Coâng Thöông CN 12</v>
          </cell>
          <cell r="G556" t="str">
            <v>Hoà Chí Minh</v>
          </cell>
          <cell r="H556" t="str">
            <v>Traû tieàn mua giaáy</v>
          </cell>
          <cell r="I556">
            <v>14115866</v>
          </cell>
        </row>
        <row r="557">
          <cell r="A557">
            <v>19</v>
          </cell>
          <cell r="B557">
            <v>37974</v>
          </cell>
          <cell r="C557">
            <v>73</v>
          </cell>
          <cell r="F557" t="str">
            <v>Ngoaïi Thöông</v>
          </cell>
          <cell r="G557" t="str">
            <v>Hoà Chí Minh</v>
          </cell>
          <cell r="H557" t="str">
            <v>Traû tieàn mua nöôùc röûa cheùn (TT.BL)</v>
          </cell>
          <cell r="I557">
            <v>34622573</v>
          </cell>
        </row>
        <row r="558">
          <cell r="A558">
            <v>25</v>
          </cell>
          <cell r="B558">
            <v>37974</v>
          </cell>
          <cell r="C558">
            <v>7</v>
          </cell>
          <cell r="F558" t="str">
            <v>Ñaàu Tö &amp; Phaùt Trieån CN Thuû Ñöùc</v>
          </cell>
          <cell r="G558" t="str">
            <v>Hoà Chí Minh</v>
          </cell>
          <cell r="H558" t="str">
            <v>Traû tieàn mua mì Colusa</v>
          </cell>
          <cell r="I558">
            <v>151016158</v>
          </cell>
        </row>
        <row r="559">
          <cell r="A559">
            <v>26</v>
          </cell>
          <cell r="B559">
            <v>37974</v>
          </cell>
          <cell r="C559">
            <v>1</v>
          </cell>
          <cell r="F559" t="str">
            <v>Sôû Giao Dòch II CTVN</v>
          </cell>
          <cell r="G559" t="str">
            <v>Hoà Chí Minh</v>
          </cell>
          <cell r="H559" t="str">
            <v>Traû tieàn mua thuoác la'</v>
          </cell>
          <cell r="I559">
            <v>214525000</v>
          </cell>
        </row>
        <row r="560">
          <cell r="A560">
            <v>25</v>
          </cell>
          <cell r="B560">
            <v>37974</v>
          </cell>
          <cell r="C560">
            <v>7</v>
          </cell>
          <cell r="F560" t="str">
            <v>Ñaàu Tö &amp; Phaùt Trieån CN Thuû Ñöùc</v>
          </cell>
          <cell r="G560" t="str">
            <v>Hoà Chí Minh</v>
          </cell>
          <cell r="H560" t="str">
            <v>Traû tieàn mua mì Colusa</v>
          </cell>
          <cell r="I560">
            <v>200594920</v>
          </cell>
        </row>
        <row r="561">
          <cell r="A561">
            <v>27</v>
          </cell>
          <cell r="B561">
            <v>37977</v>
          </cell>
          <cell r="C561">
            <v>8</v>
          </cell>
          <cell r="F561" t="str">
            <v>Coâng Thöông</v>
          </cell>
          <cell r="G561" t="str">
            <v>Kieân Giang</v>
          </cell>
          <cell r="H561" t="str">
            <v>Traû tieàn mua xi maêng 200taán</v>
          </cell>
          <cell r="I561">
            <v>160160000</v>
          </cell>
        </row>
        <row r="562">
          <cell r="A562">
            <v>28</v>
          </cell>
          <cell r="B562">
            <v>37977</v>
          </cell>
          <cell r="C562">
            <v>14</v>
          </cell>
          <cell r="F562" t="str">
            <v>Coâng Thöông CN I</v>
          </cell>
          <cell r="G562" t="str">
            <v>Hoà Chí Minh</v>
          </cell>
          <cell r="H562" t="str">
            <v>Traû tieàn mua haøng cho CN Theùp Mieàn Nam taïi Caàn Thô</v>
          </cell>
          <cell r="I562">
            <v>177796028</v>
          </cell>
        </row>
        <row r="563">
          <cell r="A563">
            <v>29</v>
          </cell>
          <cell r="B563">
            <v>37977</v>
          </cell>
          <cell r="C563">
            <v>101</v>
          </cell>
          <cell r="F563" t="str">
            <v>Deutsche Bank</v>
          </cell>
          <cell r="G563" t="str">
            <v>Hoà Chí Minh</v>
          </cell>
          <cell r="H563" t="str">
            <v xml:space="preserve">Traû tieàn mua xaêng daàu </v>
          </cell>
          <cell r="I563">
            <v>500000000</v>
          </cell>
        </row>
        <row r="564">
          <cell r="A564">
            <v>20</v>
          </cell>
          <cell r="B564">
            <v>37977</v>
          </cell>
          <cell r="C564">
            <v>73</v>
          </cell>
          <cell r="F564" t="str">
            <v>Ngoaïi Thöông</v>
          </cell>
          <cell r="G564" t="str">
            <v>Hoà Chí Minh</v>
          </cell>
          <cell r="H564" t="str">
            <v>Traû tieàn mua nöôùc röûa cheùn (TT.BL)</v>
          </cell>
          <cell r="I564">
            <v>34714439</v>
          </cell>
        </row>
        <row r="565">
          <cell r="A565">
            <v>21</v>
          </cell>
          <cell r="B565">
            <v>37977</v>
          </cell>
          <cell r="C565">
            <v>31</v>
          </cell>
          <cell r="F565" t="str">
            <v>Sôû Giao Dòch II CTVN</v>
          </cell>
          <cell r="G565" t="str">
            <v>Hoà Chí Minh</v>
          </cell>
          <cell r="H565" t="str">
            <v>Traû tieàn mua daàu(TT.TN.BL)</v>
          </cell>
          <cell r="I565">
            <v>89176428</v>
          </cell>
        </row>
        <row r="566">
          <cell r="A566">
            <v>29</v>
          </cell>
          <cell r="B566">
            <v>37977</v>
          </cell>
          <cell r="C566">
            <v>101</v>
          </cell>
          <cell r="F566" t="str">
            <v>Deutsche Bank</v>
          </cell>
          <cell r="G566" t="str">
            <v>Hoà Chí Minh</v>
          </cell>
          <cell r="H566" t="str">
            <v xml:space="preserve">Traû tieàn mua xaêng daàu </v>
          </cell>
          <cell r="I566">
            <v>500000000</v>
          </cell>
        </row>
        <row r="567">
          <cell r="A567">
            <v>22</v>
          </cell>
          <cell r="B567">
            <v>37978</v>
          </cell>
          <cell r="C567">
            <v>31</v>
          </cell>
          <cell r="F567" t="str">
            <v>Sôû Giao Dòch II CTVN</v>
          </cell>
          <cell r="G567" t="str">
            <v>Hoà Chí Minh</v>
          </cell>
          <cell r="H567" t="str">
            <v>Traû tieàn mua daàu(TT.TN.BL)</v>
          </cell>
          <cell r="I567">
            <v>87097142</v>
          </cell>
        </row>
        <row r="568">
          <cell r="A568">
            <v>23</v>
          </cell>
          <cell r="B568">
            <v>37978</v>
          </cell>
          <cell r="C568">
            <v>101</v>
          </cell>
          <cell r="F568" t="str">
            <v>Deutsche Bank</v>
          </cell>
          <cell r="G568" t="str">
            <v>Hoà Chí Minh</v>
          </cell>
          <cell r="H568" t="str">
            <v>Traû tieàn mua truï bôm  kyø 4</v>
          </cell>
          <cell r="I568">
            <v>50400000</v>
          </cell>
        </row>
        <row r="569">
          <cell r="A569">
            <v>24</v>
          </cell>
          <cell r="B569">
            <v>37979</v>
          </cell>
          <cell r="C569">
            <v>28</v>
          </cell>
          <cell r="F569" t="str">
            <v>Ñaàu Tö &amp; Phaùt Trieån</v>
          </cell>
          <cell r="G569" t="str">
            <v>Caàn Thô</v>
          </cell>
          <cell r="H569" t="str">
            <v>Traû tieân mua söõa hoäp caùc loaïi</v>
          </cell>
          <cell r="I569">
            <v>464386428</v>
          </cell>
        </row>
        <row r="570">
          <cell r="A570">
            <v>25</v>
          </cell>
          <cell r="B570">
            <v>37979</v>
          </cell>
          <cell r="C570">
            <v>31</v>
          </cell>
          <cell r="F570" t="str">
            <v>Sôû Giao Dòch II CTVN</v>
          </cell>
          <cell r="G570" t="str">
            <v>Hoà Chí Minh</v>
          </cell>
          <cell r="H570" t="str">
            <v>Traû tieàn mua daàu xaù</v>
          </cell>
          <cell r="I570">
            <v>36323100</v>
          </cell>
        </row>
        <row r="571">
          <cell r="A571">
            <v>26</v>
          </cell>
          <cell r="B571">
            <v>37979</v>
          </cell>
          <cell r="C571">
            <v>37</v>
          </cell>
          <cell r="F571" t="str">
            <v>Ngoïai Thöông</v>
          </cell>
          <cell r="G571" t="str">
            <v>Caàn Thô</v>
          </cell>
          <cell r="H571" t="str">
            <v>Traû tieàn mua xaêng daàu</v>
          </cell>
          <cell r="I571">
            <v>8582075</v>
          </cell>
        </row>
        <row r="572">
          <cell r="A572">
            <v>27</v>
          </cell>
          <cell r="B572">
            <v>37979</v>
          </cell>
          <cell r="C572">
            <v>99</v>
          </cell>
          <cell r="F572" t="str">
            <v>AÙ Chaâu</v>
          </cell>
          <cell r="G572" t="str">
            <v>Hoà Chí Minh</v>
          </cell>
          <cell r="H572" t="str">
            <v>Traû tieàn mua nöôùc ngoït</v>
          </cell>
          <cell r="I572">
            <v>8732227</v>
          </cell>
        </row>
        <row r="573">
          <cell r="A573">
            <v>30</v>
          </cell>
          <cell r="B573">
            <v>37980</v>
          </cell>
          <cell r="C573">
            <v>36</v>
          </cell>
          <cell r="F573" t="str">
            <v>Coâng Thöông</v>
          </cell>
          <cell r="G573" t="str">
            <v>Baø Ròa-Vuõng Taøu</v>
          </cell>
          <cell r="H573" t="str">
            <v>Traû tieàn mua xaêng daàu</v>
          </cell>
          <cell r="I573">
            <v>1995000000</v>
          </cell>
        </row>
        <row r="574">
          <cell r="A574">
            <v>28</v>
          </cell>
          <cell r="B574">
            <v>37981</v>
          </cell>
          <cell r="C574">
            <v>31</v>
          </cell>
          <cell r="F574" t="str">
            <v>Sôû Giao Dòch II CTVN</v>
          </cell>
          <cell r="G574" t="str">
            <v>Hoà Chí Minh</v>
          </cell>
          <cell r="H574" t="str">
            <v>Traû tieàn mua daàu(TT.TN.CM)</v>
          </cell>
          <cell r="I574">
            <v>101452780</v>
          </cell>
        </row>
        <row r="575">
          <cell r="A575">
            <v>29</v>
          </cell>
          <cell r="B575">
            <v>37981</v>
          </cell>
          <cell r="C575">
            <v>73</v>
          </cell>
          <cell r="F575" t="str">
            <v>Ngoaïi Thöông</v>
          </cell>
          <cell r="G575" t="str">
            <v>Hoà Chí Minh</v>
          </cell>
          <cell r="H575" t="str">
            <v>Traû tieàn mua nöôùc röûa cheùn (TT.CM)</v>
          </cell>
          <cell r="I575">
            <v>38577400</v>
          </cell>
        </row>
        <row r="576">
          <cell r="A576">
            <v>30</v>
          </cell>
          <cell r="B576">
            <v>37981</v>
          </cell>
          <cell r="C576">
            <v>94</v>
          </cell>
          <cell r="F576" t="str">
            <v>Coâng Thöông CN 9</v>
          </cell>
          <cell r="G576" t="str">
            <v>Hoà Chí Minh</v>
          </cell>
          <cell r="H576" t="str">
            <v>Traû tieàn mua chaùo bình tieân</v>
          </cell>
          <cell r="I576">
            <v>5936000</v>
          </cell>
        </row>
        <row r="577">
          <cell r="A577">
            <v>31</v>
          </cell>
          <cell r="B577">
            <v>37984</v>
          </cell>
          <cell r="C577">
            <v>46</v>
          </cell>
          <cell r="F577" t="str">
            <v xml:space="preserve">Coâng Thöông </v>
          </cell>
          <cell r="G577" t="str">
            <v>Phuù Thoï</v>
          </cell>
          <cell r="H577" t="str">
            <v>Traû tieàn mua boät ngoït</v>
          </cell>
          <cell r="I577">
            <v>130268864</v>
          </cell>
        </row>
        <row r="578">
          <cell r="A578">
            <v>32</v>
          </cell>
          <cell r="B578">
            <v>37984</v>
          </cell>
          <cell r="C578">
            <v>5</v>
          </cell>
          <cell r="F578" t="str">
            <v>Coâng Thöong CN6</v>
          </cell>
          <cell r="G578" t="str">
            <v>Hoà Chí Minh</v>
          </cell>
          <cell r="H578" t="str">
            <v>Traû tieàn mua boät ngoït</v>
          </cell>
          <cell r="I578">
            <v>103043086</v>
          </cell>
        </row>
        <row r="579">
          <cell r="A579">
            <v>33</v>
          </cell>
          <cell r="B579">
            <v>37984</v>
          </cell>
          <cell r="C579">
            <v>21</v>
          </cell>
          <cell r="F579" t="str">
            <v>Coâng Thöông</v>
          </cell>
          <cell r="G579" t="str">
            <v>Caàn Thô</v>
          </cell>
          <cell r="H579" t="str">
            <v>Traû tieàn mua gas</v>
          </cell>
          <cell r="I579">
            <v>76973001</v>
          </cell>
        </row>
        <row r="580">
          <cell r="A580">
            <v>34</v>
          </cell>
          <cell r="B580">
            <v>37984</v>
          </cell>
          <cell r="C580">
            <v>3</v>
          </cell>
          <cell r="F580" t="str">
            <v>Coâng Thöông CN 14</v>
          </cell>
          <cell r="G580" t="str">
            <v>Hoà Chí Minh</v>
          </cell>
          <cell r="H580" t="str">
            <v>Traû tieàn mua boät giaët</v>
          </cell>
          <cell r="I580">
            <v>300000000</v>
          </cell>
        </row>
        <row r="581">
          <cell r="A581">
            <v>35</v>
          </cell>
          <cell r="B581">
            <v>37984</v>
          </cell>
          <cell r="C581">
            <v>8</v>
          </cell>
          <cell r="F581" t="str">
            <v>Coâng Thöông</v>
          </cell>
          <cell r="G581" t="str">
            <v>Kieân Giang</v>
          </cell>
          <cell r="H581" t="str">
            <v>Traû tieàn mua xi maêng 100taán</v>
          </cell>
          <cell r="I581">
            <v>60859250</v>
          </cell>
        </row>
        <row r="582">
          <cell r="A582">
            <v>31</v>
          </cell>
          <cell r="B582">
            <v>37986</v>
          </cell>
          <cell r="C582">
            <v>28</v>
          </cell>
          <cell r="F582" t="str">
            <v>Ñaàu Tö &amp; Phaùt Trieån</v>
          </cell>
          <cell r="G582" t="str">
            <v>Caàn Thô</v>
          </cell>
          <cell r="H582" t="str">
            <v>Traû tieân mua söõa hoäp caùc loaïi</v>
          </cell>
          <cell r="I582">
            <v>431930374</v>
          </cell>
        </row>
        <row r="583">
          <cell r="A583">
            <v>32</v>
          </cell>
          <cell r="B583">
            <v>37986</v>
          </cell>
          <cell r="C583">
            <v>28</v>
          </cell>
          <cell r="F583" t="str">
            <v>Ñaàu Tö &amp; Phaùt Trieån</v>
          </cell>
          <cell r="G583" t="str">
            <v>Caàn Thô</v>
          </cell>
          <cell r="H583" t="str">
            <v>Traû tieân mua söõa hoäp caùc loaïi</v>
          </cell>
          <cell r="I583">
            <v>216322049</v>
          </cell>
        </row>
        <row r="584">
          <cell r="A584">
            <v>33</v>
          </cell>
          <cell r="B584">
            <v>37986</v>
          </cell>
          <cell r="C584">
            <v>73</v>
          </cell>
          <cell r="F584" t="str">
            <v>Ngoaïi Thöông</v>
          </cell>
          <cell r="G584" t="str">
            <v>Hoà Chí Minh</v>
          </cell>
          <cell r="H584" t="str">
            <v>Traû tieàn mua nöôùc röûa cheùn (TT.CM: 76.747.153ñ; TT.BL : 58.819.004ñ)</v>
          </cell>
          <cell r="I584">
            <v>135566157</v>
          </cell>
        </row>
        <row r="585">
          <cell r="A585">
            <v>34</v>
          </cell>
          <cell r="B585">
            <v>37986</v>
          </cell>
          <cell r="C585">
            <v>27</v>
          </cell>
          <cell r="F585" t="str">
            <v>INDOVINA</v>
          </cell>
          <cell r="G585" t="str">
            <v>Hoà Chí Minh</v>
          </cell>
          <cell r="H585" t="str">
            <v>Traû tieàn mua ñöôøng</v>
          </cell>
          <cell r="I585">
            <v>30625000</v>
          </cell>
        </row>
        <row r="586">
          <cell r="A586">
            <v>35</v>
          </cell>
          <cell r="B586">
            <v>37986</v>
          </cell>
          <cell r="C586">
            <v>6</v>
          </cell>
          <cell r="F586" t="str">
            <v>Citibank</v>
          </cell>
          <cell r="G586" t="str">
            <v>Hoà Chí Minh</v>
          </cell>
          <cell r="H586" t="str">
            <v>Traû tieàn mua nhôùt</v>
          </cell>
          <cell r="I586">
            <v>18600000</v>
          </cell>
        </row>
        <row r="587">
          <cell r="A587">
            <v>36</v>
          </cell>
          <cell r="B587">
            <v>37986</v>
          </cell>
          <cell r="C587">
            <v>76</v>
          </cell>
          <cell r="F587" t="str">
            <v>Ngoaïi Thöông</v>
          </cell>
          <cell r="G587" t="str">
            <v>Ñoàng Nai</v>
          </cell>
          <cell r="H587" t="str">
            <v>Traû tieàn mua haøng ñieän maùy</v>
          </cell>
          <cell r="I587">
            <v>57600000</v>
          </cell>
        </row>
        <row r="588">
          <cell r="A588">
            <v>37</v>
          </cell>
          <cell r="B588">
            <v>37986</v>
          </cell>
          <cell r="C588">
            <v>95</v>
          </cell>
          <cell r="F588" t="str">
            <v>Ñaàu Tö &amp; Phaùt Trieån</v>
          </cell>
          <cell r="G588" t="str">
            <v>Caàn Thô</v>
          </cell>
          <cell r="H588" t="str">
            <v>Traû tieàn mua haøng may maëc</v>
          </cell>
          <cell r="I588">
            <v>3420740</v>
          </cell>
        </row>
        <row r="589">
          <cell r="A589">
            <v>38</v>
          </cell>
          <cell r="B589">
            <v>37986</v>
          </cell>
          <cell r="C589">
            <v>31</v>
          </cell>
          <cell r="F589" t="str">
            <v>Sôû Giao Dòch II CTVN</v>
          </cell>
          <cell r="G589" t="str">
            <v>Hoà Chí Minh</v>
          </cell>
          <cell r="H589" t="str">
            <v>Traû tieàn mua daàu(TT.TN.BL)</v>
          </cell>
          <cell r="I589">
            <v>81131854</v>
          </cell>
        </row>
        <row r="590">
          <cell r="A590">
            <v>36</v>
          </cell>
          <cell r="B590">
            <v>37986</v>
          </cell>
          <cell r="C590">
            <v>77</v>
          </cell>
          <cell r="F590" t="str">
            <v>Coâng Thöông CN 4</v>
          </cell>
          <cell r="G590" t="str">
            <v>Hoà Chí Minh</v>
          </cell>
          <cell r="H590" t="str">
            <v>Traû tieàn mua haøng ñieän maùy</v>
          </cell>
          <cell r="I590">
            <v>21838300</v>
          </cell>
        </row>
        <row r="591">
          <cell r="A591">
            <v>37</v>
          </cell>
          <cell r="B591">
            <v>37986</v>
          </cell>
          <cell r="C591">
            <v>22</v>
          </cell>
          <cell r="F591" t="str">
            <v>Coâng Thöông</v>
          </cell>
          <cell r="G591" t="str">
            <v>Long An</v>
          </cell>
          <cell r="H591" t="str">
            <v>Traû tieàn mua haøng may maëc</v>
          </cell>
          <cell r="I591">
            <v>17092480</v>
          </cell>
        </row>
        <row r="592">
          <cell r="A592">
            <v>38</v>
          </cell>
          <cell r="B592">
            <v>37986</v>
          </cell>
          <cell r="C592">
            <v>3</v>
          </cell>
          <cell r="F592" t="str">
            <v>Coâng Thöông CN 14</v>
          </cell>
          <cell r="G592" t="str">
            <v>Hoà Chí Minh</v>
          </cell>
          <cell r="H592" t="str">
            <v>Traû tieàn mua boät giaët Lix</v>
          </cell>
          <cell r="I592">
            <v>340000000</v>
          </cell>
        </row>
        <row r="593">
          <cell r="A593">
            <v>39</v>
          </cell>
          <cell r="B593">
            <v>37986</v>
          </cell>
          <cell r="C593">
            <v>85</v>
          </cell>
          <cell r="F593" t="str">
            <v>Sôû Giao Dòch II CTVN</v>
          </cell>
          <cell r="G593" t="str">
            <v>Hoà Chí Minh</v>
          </cell>
          <cell r="H593" t="str">
            <v>Traû tieàn mua haøng ñieän maùy</v>
          </cell>
          <cell r="I593">
            <v>46186000</v>
          </cell>
        </row>
        <row r="594">
          <cell r="A594">
            <v>39</v>
          </cell>
          <cell r="B594">
            <v>37986</v>
          </cell>
          <cell r="C594">
            <v>73</v>
          </cell>
          <cell r="F594" t="str">
            <v>Ngoaïi Thöông</v>
          </cell>
          <cell r="G594" t="str">
            <v>Hoà Chí Minh</v>
          </cell>
          <cell r="H594" t="str">
            <v>Traû tieàn mua nöôùc röûa cheùn (TT.BL)</v>
          </cell>
          <cell r="I594">
            <v>125802529</v>
          </cell>
        </row>
        <row r="595">
          <cell r="A595">
            <v>1</v>
          </cell>
          <cell r="B595">
            <v>37988</v>
          </cell>
          <cell r="C595">
            <v>8</v>
          </cell>
          <cell r="F595" t="str">
            <v>Coâng Thöông</v>
          </cell>
          <cell r="G595" t="str">
            <v>Kieân Giang</v>
          </cell>
          <cell r="H595" t="str">
            <v>Traû tieàn mua xi maêng 400taán</v>
          </cell>
          <cell r="I595">
            <v>320320000</v>
          </cell>
        </row>
        <row r="596">
          <cell r="A596">
            <v>1</v>
          </cell>
          <cell r="B596">
            <v>37988</v>
          </cell>
          <cell r="C596">
            <v>99</v>
          </cell>
          <cell r="F596" t="str">
            <v>AÙ Chaâu</v>
          </cell>
          <cell r="G596" t="str">
            <v>Hoà Chí Minh</v>
          </cell>
          <cell r="H596" t="str">
            <v>Traû tieàn mua nöôùc ngoït</v>
          </cell>
          <cell r="I596">
            <v>8799091</v>
          </cell>
        </row>
        <row r="597">
          <cell r="A597">
            <v>2</v>
          </cell>
          <cell r="B597">
            <v>37988</v>
          </cell>
          <cell r="C597">
            <v>36</v>
          </cell>
          <cell r="F597" t="str">
            <v>Coâng Thöông</v>
          </cell>
          <cell r="G597" t="str">
            <v>Baø Ròa-Vuõng Taøu</v>
          </cell>
          <cell r="H597" t="str">
            <v>Traû tieàn mua xaêng daàu</v>
          </cell>
          <cell r="I597">
            <v>3593000000</v>
          </cell>
        </row>
        <row r="598">
          <cell r="A598">
            <v>1</v>
          </cell>
          <cell r="B598">
            <v>37988</v>
          </cell>
          <cell r="C598">
            <v>99</v>
          </cell>
          <cell r="F598" t="str">
            <v>AÙ Chaâu</v>
          </cell>
          <cell r="G598" t="str">
            <v>Hoà Chí Minh</v>
          </cell>
          <cell r="H598" t="str">
            <v>Traû tieàn mua nöôùc ngoït</v>
          </cell>
          <cell r="I598">
            <v>8799091</v>
          </cell>
        </row>
        <row r="599">
          <cell r="A599">
            <v>2</v>
          </cell>
          <cell r="B599">
            <v>37988</v>
          </cell>
          <cell r="C599">
            <v>73</v>
          </cell>
          <cell r="F599" t="str">
            <v>Ngoaïi Thöông</v>
          </cell>
          <cell r="G599" t="str">
            <v>Hoà Chí Minh</v>
          </cell>
          <cell r="H599" t="str">
            <v>Traû tieàn mua nöôùc röûa cheùn (TT.CM)</v>
          </cell>
          <cell r="I599">
            <v>34971864</v>
          </cell>
        </row>
        <row r="600">
          <cell r="A600">
            <v>3</v>
          </cell>
          <cell r="B600">
            <v>37989</v>
          </cell>
          <cell r="C600">
            <v>27</v>
          </cell>
          <cell r="F600" t="str">
            <v>INDOVINA</v>
          </cell>
          <cell r="G600" t="str">
            <v>Hoà Chí Minh</v>
          </cell>
          <cell r="H600" t="str">
            <v>Traû tieàn mua ñöôøng</v>
          </cell>
          <cell r="I600">
            <v>30625000</v>
          </cell>
        </row>
        <row r="601">
          <cell r="A601">
            <v>3</v>
          </cell>
          <cell r="B601">
            <v>37989</v>
          </cell>
          <cell r="C601">
            <v>5</v>
          </cell>
          <cell r="F601" t="str">
            <v>Coâng Thöong CN6</v>
          </cell>
          <cell r="G601" t="str">
            <v>Hoà Chí Minh</v>
          </cell>
          <cell r="H601" t="str">
            <v>Traû tieàn mua boät ngoït</v>
          </cell>
          <cell r="I601">
            <v>202346974</v>
          </cell>
        </row>
        <row r="602">
          <cell r="A602">
            <v>4</v>
          </cell>
          <cell r="B602">
            <v>37989</v>
          </cell>
          <cell r="C602">
            <v>41</v>
          </cell>
          <cell r="F602" t="str">
            <v>Coâng Thöông CN 9</v>
          </cell>
          <cell r="G602" t="str">
            <v>Hoà Chí Minh</v>
          </cell>
          <cell r="H602" t="str">
            <v>Traû tieàn mua xi maêng 400taán</v>
          </cell>
          <cell r="I602">
            <v>340000000</v>
          </cell>
        </row>
        <row r="603">
          <cell r="A603">
            <v>5</v>
          </cell>
          <cell r="B603">
            <v>37989</v>
          </cell>
          <cell r="C603">
            <v>36</v>
          </cell>
          <cell r="F603" t="str">
            <v>Coâng Thöông</v>
          </cell>
          <cell r="G603" t="str">
            <v>Baø Ròa-Vuõng Taøu</v>
          </cell>
          <cell r="H603" t="str">
            <v>Traû tieàn mua xaêng daàu</v>
          </cell>
          <cell r="I603">
            <v>3594000000</v>
          </cell>
        </row>
        <row r="604">
          <cell r="A604">
            <v>8</v>
          </cell>
          <cell r="B604">
            <v>37993</v>
          </cell>
          <cell r="C604">
            <v>8</v>
          </cell>
          <cell r="F604" t="str">
            <v>Coâng Thöông</v>
          </cell>
          <cell r="G604" t="str">
            <v>Kieân Giang</v>
          </cell>
          <cell r="H604" t="str">
            <v>Traû tieàn mua xi maêng 300taán</v>
          </cell>
          <cell r="I604">
            <v>240240000</v>
          </cell>
        </row>
        <row r="605">
          <cell r="A605">
            <v>9</v>
          </cell>
          <cell r="B605">
            <v>37994</v>
          </cell>
          <cell r="C605">
            <v>14</v>
          </cell>
          <cell r="F605" t="str">
            <v>Coâng Thöông CN I</v>
          </cell>
          <cell r="G605" t="str">
            <v>Hoà Chí Minh</v>
          </cell>
          <cell r="H605" t="str">
            <v>Traû tieàn mua haøng cho CN Theùp Mieàn Nam taïi Caàn Thô</v>
          </cell>
          <cell r="I605">
            <v>280000000</v>
          </cell>
        </row>
        <row r="606">
          <cell r="A606">
            <v>4</v>
          </cell>
          <cell r="B606">
            <v>37994</v>
          </cell>
          <cell r="C606">
            <v>79</v>
          </cell>
          <cell r="F606" t="str">
            <v>T.M.C.P SG Coâng Thöông CN Bình Chaùnh</v>
          </cell>
          <cell r="G606" t="str">
            <v>Hoà Chí Minh</v>
          </cell>
          <cell r="H606" t="str">
            <v>Traû tieàn mua nöôùc ngoït</v>
          </cell>
          <cell r="I606">
            <v>11368175</v>
          </cell>
        </row>
        <row r="607">
          <cell r="A607">
            <v>10</v>
          </cell>
          <cell r="B607">
            <v>37994</v>
          </cell>
          <cell r="C607">
            <v>100</v>
          </cell>
          <cell r="F607" t="str">
            <v>Coâng Thöông CN 12</v>
          </cell>
          <cell r="G607" t="str">
            <v>Hoà Chí Minh</v>
          </cell>
          <cell r="H607" t="str">
            <v>Traû tieàn mua caù moøi</v>
          </cell>
          <cell r="I607">
            <v>12800000</v>
          </cell>
        </row>
        <row r="608">
          <cell r="A608">
            <v>11</v>
          </cell>
          <cell r="B608">
            <v>37994</v>
          </cell>
          <cell r="C608">
            <v>79</v>
          </cell>
          <cell r="F608" t="str">
            <v>T.M.C.P SG Coâng Thöông CN Bình Chaùnh</v>
          </cell>
          <cell r="G608" t="str">
            <v>Hoà Chí Minh</v>
          </cell>
          <cell r="H608" t="str">
            <v>Traû tieàn mua nöôùc ngoït</v>
          </cell>
          <cell r="I608">
            <v>11368175</v>
          </cell>
        </row>
        <row r="609">
          <cell r="A609">
            <v>4</v>
          </cell>
          <cell r="B609">
            <v>37994</v>
          </cell>
          <cell r="C609">
            <v>73</v>
          </cell>
          <cell r="F609" t="str">
            <v>Ngoaïi Thöông</v>
          </cell>
          <cell r="G609" t="str">
            <v>Hoà Chí Minh</v>
          </cell>
          <cell r="H609" t="str">
            <v>Traû tieàn mua nöôùc röûa cheùn (TT.CM)</v>
          </cell>
          <cell r="I609">
            <v>42271354</v>
          </cell>
        </row>
        <row r="610">
          <cell r="A610">
            <v>5</v>
          </cell>
          <cell r="B610">
            <v>37995</v>
          </cell>
          <cell r="C610">
            <v>79</v>
          </cell>
          <cell r="F610" t="str">
            <v>T.M.C.P SG Coâng Thöông CN Bình Chaùnh</v>
          </cell>
          <cell r="G610" t="str">
            <v>Hoà Chí Minh</v>
          </cell>
          <cell r="H610" t="str">
            <v>Traû tieàn mua nöôùc ngoït</v>
          </cell>
          <cell r="I610">
            <v>30000000</v>
          </cell>
        </row>
        <row r="611">
          <cell r="A611">
            <v>6</v>
          </cell>
          <cell r="B611">
            <v>37995</v>
          </cell>
          <cell r="C611">
            <v>27</v>
          </cell>
          <cell r="F611" t="str">
            <v>INDOVINA</v>
          </cell>
          <cell r="G611" t="str">
            <v>Hoà Chí Minh</v>
          </cell>
          <cell r="H611" t="str">
            <v>Traû tieàn mua ñöôøng</v>
          </cell>
          <cell r="I611">
            <v>61600000</v>
          </cell>
        </row>
        <row r="612">
          <cell r="A612">
            <v>12</v>
          </cell>
          <cell r="B612">
            <v>37995</v>
          </cell>
          <cell r="C612">
            <v>1</v>
          </cell>
          <cell r="F612" t="str">
            <v>Sôû Giao Dòch II CTVN</v>
          </cell>
          <cell r="G612" t="str">
            <v>Hoà Chí Minh</v>
          </cell>
          <cell r="H612" t="str">
            <v>Traû tieàn mua thuoác laù</v>
          </cell>
          <cell r="I612">
            <v>90750000</v>
          </cell>
        </row>
        <row r="613">
          <cell r="A613">
            <v>5</v>
          </cell>
          <cell r="B613">
            <v>37995</v>
          </cell>
          <cell r="C613">
            <v>99</v>
          </cell>
          <cell r="F613" t="str">
            <v>AÙ Chaâu</v>
          </cell>
          <cell r="G613" t="str">
            <v>Hoà Chí Minh</v>
          </cell>
          <cell r="H613" t="str">
            <v>Traû tieàn mua nöôùc ngoït</v>
          </cell>
          <cell r="I613">
            <v>30000000</v>
          </cell>
        </row>
        <row r="614">
          <cell r="A614">
            <v>6</v>
          </cell>
          <cell r="B614">
            <v>37995</v>
          </cell>
          <cell r="C614">
            <v>85</v>
          </cell>
          <cell r="F614" t="str">
            <v>Sôû Giao Dòch II CTVN</v>
          </cell>
          <cell r="G614" t="str">
            <v>Hoà Chí Minh</v>
          </cell>
          <cell r="H614" t="str">
            <v>Traû tieàn mua haøng ñieän töû</v>
          </cell>
          <cell r="I614">
            <v>60242000</v>
          </cell>
        </row>
        <row r="615">
          <cell r="A615">
            <v>13</v>
          </cell>
          <cell r="B615">
            <v>37998</v>
          </cell>
          <cell r="C615">
            <v>8</v>
          </cell>
          <cell r="F615" t="str">
            <v>Coâng Thöông</v>
          </cell>
          <cell r="G615" t="str">
            <v>Kieân Giang</v>
          </cell>
          <cell r="H615" t="str">
            <v>Traû tieàn mua xi maêng 80taán</v>
          </cell>
          <cell r="I615">
            <v>52873700</v>
          </cell>
        </row>
        <row r="616">
          <cell r="A616">
            <v>14</v>
          </cell>
          <cell r="B616">
            <v>37998</v>
          </cell>
          <cell r="C616">
            <v>36</v>
          </cell>
          <cell r="F616" t="str">
            <v>Coâng Thöông</v>
          </cell>
          <cell r="G616" t="str">
            <v>Baø Ròa-Vuõng Taøu</v>
          </cell>
          <cell r="H616" t="str">
            <v>Traû tieàn mua xaêng daàu</v>
          </cell>
          <cell r="I616">
            <v>3785000000</v>
          </cell>
        </row>
        <row r="617">
          <cell r="A617">
            <v>15</v>
          </cell>
          <cell r="B617">
            <v>37999</v>
          </cell>
          <cell r="C617">
            <v>5</v>
          </cell>
          <cell r="F617" t="str">
            <v>Coâng Thöong CN6</v>
          </cell>
          <cell r="G617" t="str">
            <v>Hoà Chí Minh</v>
          </cell>
          <cell r="H617" t="str">
            <v>Traû tieàn mua boät ngoït</v>
          </cell>
          <cell r="I617">
            <v>395408144</v>
          </cell>
        </row>
        <row r="618">
          <cell r="A618">
            <v>16</v>
          </cell>
          <cell r="B618">
            <v>37999</v>
          </cell>
          <cell r="C618">
            <v>31</v>
          </cell>
          <cell r="F618" t="str">
            <v>Sôû Giao Dòch II CTVN</v>
          </cell>
          <cell r="G618" t="str">
            <v>Hoà Chí Minh</v>
          </cell>
          <cell r="H618" t="str">
            <v>Traû tieàn mua daàu aên TT.TN.BL</v>
          </cell>
          <cell r="I618">
            <v>86840305</v>
          </cell>
        </row>
        <row r="619">
          <cell r="A619">
            <v>17</v>
          </cell>
          <cell r="B619">
            <v>37999</v>
          </cell>
          <cell r="C619">
            <v>31</v>
          </cell>
          <cell r="F619" t="str">
            <v>Sôû Giao Dòch II CTVN</v>
          </cell>
          <cell r="G619" t="str">
            <v>Hoà Chí Minh</v>
          </cell>
          <cell r="H619" t="str">
            <v>Traû tieàn mua daàu xaù</v>
          </cell>
          <cell r="I619">
            <v>12107700</v>
          </cell>
        </row>
        <row r="620">
          <cell r="A620">
            <v>7</v>
          </cell>
          <cell r="B620">
            <v>37999</v>
          </cell>
          <cell r="C620">
            <v>73</v>
          </cell>
          <cell r="F620" t="str">
            <v>Ngoaïi Thöông</v>
          </cell>
          <cell r="G620" t="str">
            <v>Hoà Chí Minh</v>
          </cell>
          <cell r="H620" t="str">
            <v>Traû tieàn mua nöôùc röûa cheùn (TT.BL)</v>
          </cell>
          <cell r="I620">
            <v>54281639</v>
          </cell>
        </row>
        <row r="621">
          <cell r="A621">
            <v>8</v>
          </cell>
          <cell r="B621">
            <v>38000</v>
          </cell>
          <cell r="C621">
            <v>66</v>
          </cell>
          <cell r="F621" t="str">
            <v>ANZ</v>
          </cell>
          <cell r="G621" t="str">
            <v>Hoà Chí Minh</v>
          </cell>
          <cell r="H621" t="str">
            <v>Traû tieàn mua mì Unif</v>
          </cell>
          <cell r="I621">
            <v>25149948</v>
          </cell>
        </row>
        <row r="622">
          <cell r="A622">
            <v>18</v>
          </cell>
          <cell r="B622">
            <v>38000</v>
          </cell>
          <cell r="C622">
            <v>10</v>
          </cell>
          <cell r="F622" t="str">
            <v>Hoàng Kong&amp; Thöôïng Haûi</v>
          </cell>
          <cell r="G622" t="str">
            <v>Hoà Chí Minh</v>
          </cell>
          <cell r="H622" t="str">
            <v>Traû tieàn mua nhôùt</v>
          </cell>
          <cell r="I622">
            <v>147880000</v>
          </cell>
        </row>
        <row r="623">
          <cell r="A623">
            <v>19</v>
          </cell>
          <cell r="B623">
            <v>38000</v>
          </cell>
          <cell r="C623">
            <v>90</v>
          </cell>
          <cell r="F623" t="str">
            <v>Coâng Thöông</v>
          </cell>
          <cell r="G623" t="str">
            <v>Caàn Thô</v>
          </cell>
          <cell r="H623" t="str">
            <v>Traû tieàn mua ñöôøng</v>
          </cell>
          <cell r="I623">
            <v>21400000</v>
          </cell>
        </row>
        <row r="624">
          <cell r="A624">
            <v>9</v>
          </cell>
          <cell r="B624">
            <v>38000</v>
          </cell>
          <cell r="C624">
            <v>27</v>
          </cell>
          <cell r="F624" t="str">
            <v>INDOVINA</v>
          </cell>
          <cell r="G624" t="str">
            <v>Hoà Chí Minh</v>
          </cell>
          <cell r="H624" t="str">
            <v>Traû tieàn mua ñöôøng</v>
          </cell>
          <cell r="I624">
            <v>39600000</v>
          </cell>
        </row>
        <row r="625">
          <cell r="A625">
            <v>10</v>
          </cell>
          <cell r="B625">
            <v>38000</v>
          </cell>
          <cell r="C625">
            <v>44</v>
          </cell>
          <cell r="F625" t="str">
            <v xml:space="preserve">Coâng Thöông </v>
          </cell>
          <cell r="G625" t="str">
            <v>Baïc Lieâu</v>
          </cell>
          <cell r="H625" t="str">
            <v>Traû tieàn ñieän thoaïi thaùng 12/2003</v>
          </cell>
          <cell r="I625">
            <v>10013205</v>
          </cell>
        </row>
        <row r="626">
          <cell r="A626">
            <v>11</v>
          </cell>
          <cell r="B626">
            <v>38001</v>
          </cell>
          <cell r="C626">
            <v>93</v>
          </cell>
          <cell r="F626" t="str">
            <v>Coâng Thöông CN 12</v>
          </cell>
          <cell r="G626" t="str">
            <v>Hoà Chí Minh</v>
          </cell>
          <cell r="H626" t="str">
            <v>Traû tieàn mua giaáy Vieãn Ñoâng</v>
          </cell>
          <cell r="I626">
            <v>10091895</v>
          </cell>
        </row>
        <row r="627">
          <cell r="A627">
            <v>12</v>
          </cell>
          <cell r="B627">
            <v>38001</v>
          </cell>
          <cell r="C627">
            <v>59</v>
          </cell>
          <cell r="F627" t="str">
            <v>Kho Baïc Nhaø Nöôùc Q.3</v>
          </cell>
          <cell r="G627" t="str">
            <v>Hoà Chí Minh</v>
          </cell>
          <cell r="H627" t="str">
            <v>Quaûng caùo baùo xuaân naêm 2004</v>
          </cell>
          <cell r="I627">
            <v>3000000</v>
          </cell>
        </row>
        <row r="628">
          <cell r="A628">
            <v>13</v>
          </cell>
          <cell r="B628">
            <v>38002</v>
          </cell>
          <cell r="C628">
            <v>28</v>
          </cell>
          <cell r="F628" t="str">
            <v>Ñaàu Tö &amp; Phaùt Trieån</v>
          </cell>
          <cell r="G628" t="str">
            <v>Caàn Thô</v>
          </cell>
          <cell r="H628" t="str">
            <v>Traû tieân mua söõa hoäp caùc loaïi</v>
          </cell>
          <cell r="I628">
            <v>900000000</v>
          </cell>
        </row>
        <row r="629">
          <cell r="A629">
            <v>20</v>
          </cell>
          <cell r="B629">
            <v>38002</v>
          </cell>
          <cell r="C629">
            <v>36</v>
          </cell>
          <cell r="F629" t="str">
            <v>Coâng Thöông</v>
          </cell>
          <cell r="G629" t="str">
            <v>Baø Ròa-Vuõng Taøu</v>
          </cell>
          <cell r="H629" t="str">
            <v>Traû tieàn mua xaêng daàu</v>
          </cell>
          <cell r="I629">
            <v>2011000000</v>
          </cell>
        </row>
        <row r="630">
          <cell r="A630">
            <v>21</v>
          </cell>
          <cell r="B630">
            <v>38002</v>
          </cell>
          <cell r="C630">
            <v>3</v>
          </cell>
          <cell r="F630" t="str">
            <v>Coâng Thöông CN 14</v>
          </cell>
          <cell r="G630" t="str">
            <v>Hoà Chí Minh</v>
          </cell>
          <cell r="H630" t="str">
            <v>Traû tieàn mua boät giaët</v>
          </cell>
          <cell r="I630">
            <v>240000000</v>
          </cell>
        </row>
        <row r="631">
          <cell r="A631">
            <v>14</v>
          </cell>
          <cell r="B631">
            <v>38002</v>
          </cell>
          <cell r="C631">
            <v>80</v>
          </cell>
          <cell r="F631" t="str">
            <v>Ngoaïi Thöông</v>
          </cell>
          <cell r="G631" t="str">
            <v>Hoà Chí Minh</v>
          </cell>
          <cell r="H631" t="str">
            <v>Traû tieàn mua bình aéc quy</v>
          </cell>
          <cell r="I631">
            <v>25806000</v>
          </cell>
        </row>
        <row r="632">
          <cell r="A632">
            <v>22</v>
          </cell>
          <cell r="B632">
            <v>38002</v>
          </cell>
          <cell r="C632">
            <v>14</v>
          </cell>
          <cell r="F632" t="str">
            <v>Coâng Thöông CN I</v>
          </cell>
          <cell r="G632" t="str">
            <v>Hoà Chí Minh</v>
          </cell>
          <cell r="H632" t="str">
            <v>Traû tieàn mua haøng cho CN Theùp Mieàn Nam taïi Caàn Thô</v>
          </cell>
          <cell r="I632">
            <v>100000000</v>
          </cell>
        </row>
        <row r="633">
          <cell r="A633">
            <v>23</v>
          </cell>
          <cell r="B633">
            <v>38005</v>
          </cell>
          <cell r="C633">
            <v>36</v>
          </cell>
          <cell r="F633" t="str">
            <v>Coâng Thöông</v>
          </cell>
          <cell r="G633" t="str">
            <v>Baø Ròa-Vuõng Taøu</v>
          </cell>
          <cell r="H633" t="str">
            <v>Traû tieàn mua xaêng daàu</v>
          </cell>
          <cell r="I633">
            <v>3610000000</v>
          </cell>
        </row>
        <row r="634">
          <cell r="A634">
            <v>24</v>
          </cell>
          <cell r="B634">
            <v>38005</v>
          </cell>
          <cell r="C634">
            <v>31</v>
          </cell>
          <cell r="F634" t="str">
            <v>Sôû Giao Dòch II CTVN</v>
          </cell>
          <cell r="G634" t="str">
            <v>Hoà Chí Minh</v>
          </cell>
          <cell r="H634" t="str">
            <v>Traû tieàn mua daàu xaù</v>
          </cell>
          <cell r="I634">
            <v>36323100</v>
          </cell>
        </row>
        <row r="635">
          <cell r="A635">
            <v>25</v>
          </cell>
          <cell r="B635">
            <v>38005</v>
          </cell>
          <cell r="C635">
            <v>31</v>
          </cell>
          <cell r="F635" t="str">
            <v>Sôû Giao Dòch II CTVN</v>
          </cell>
          <cell r="G635" t="str">
            <v>Hoà Chí Minh</v>
          </cell>
          <cell r="H635" t="str">
            <v>Traû tieàn mua daàu aên TT.TN.BL</v>
          </cell>
          <cell r="I635">
            <v>99751414</v>
          </cell>
        </row>
        <row r="636">
          <cell r="A636">
            <v>15</v>
          </cell>
          <cell r="B636">
            <v>38005</v>
          </cell>
          <cell r="C636">
            <v>28</v>
          </cell>
          <cell r="F636" t="str">
            <v>Ñaàu Tö &amp; Phaùt Trieån</v>
          </cell>
          <cell r="G636" t="str">
            <v>Caàn Thô</v>
          </cell>
          <cell r="H636" t="str">
            <v>Traû tieân mua söõa hoäp caùc loaïi</v>
          </cell>
          <cell r="I636">
            <v>200000000</v>
          </cell>
        </row>
        <row r="637">
          <cell r="A637">
            <v>16</v>
          </cell>
          <cell r="B637">
            <v>38005</v>
          </cell>
          <cell r="C637">
            <v>9</v>
          </cell>
          <cell r="F637" t="str">
            <v>Ngoaïi Thöông</v>
          </cell>
          <cell r="G637" t="str">
            <v>Hoà Chí Minh</v>
          </cell>
          <cell r="H637" t="str">
            <v>Traû tieàn mua nhôùt</v>
          </cell>
          <cell r="I637">
            <v>9264528</v>
          </cell>
        </row>
        <row r="638">
          <cell r="A638">
            <v>17</v>
          </cell>
          <cell r="B638">
            <v>38005</v>
          </cell>
          <cell r="C638">
            <v>73</v>
          </cell>
          <cell r="F638" t="str">
            <v>Ngoaïi Thöông</v>
          </cell>
          <cell r="G638" t="str">
            <v>Hoà Chí Minh</v>
          </cell>
          <cell r="H638" t="str">
            <v>Traû tieàn mua nöôùc röûa cheùn (TT.BL)</v>
          </cell>
          <cell r="I638">
            <v>44501465</v>
          </cell>
        </row>
        <row r="639">
          <cell r="A639">
            <v>18</v>
          </cell>
          <cell r="B639">
            <v>38005</v>
          </cell>
          <cell r="C639">
            <v>27</v>
          </cell>
          <cell r="F639" t="str">
            <v>INDOVINA</v>
          </cell>
          <cell r="G639" t="str">
            <v>Hoà Chí Minh</v>
          </cell>
          <cell r="H639" t="str">
            <v>Traû tieàn mua ñöôøng</v>
          </cell>
          <cell r="I639">
            <v>39600000</v>
          </cell>
        </row>
        <row r="640">
          <cell r="A640">
            <v>19</v>
          </cell>
          <cell r="B640">
            <v>38005</v>
          </cell>
          <cell r="C640">
            <v>66</v>
          </cell>
          <cell r="F640" t="str">
            <v>ANZ</v>
          </cell>
          <cell r="G640" t="str">
            <v>Hoà Chí Minh</v>
          </cell>
          <cell r="H640" t="str">
            <v>Traû tieàn mua mì Unif</v>
          </cell>
          <cell r="I640">
            <v>39072882</v>
          </cell>
        </row>
        <row r="641">
          <cell r="A641">
            <v>20</v>
          </cell>
          <cell r="B641">
            <v>38005</v>
          </cell>
          <cell r="C641">
            <v>94</v>
          </cell>
          <cell r="F641" t="str">
            <v>Coâng Thöông CN 9</v>
          </cell>
          <cell r="G641" t="str">
            <v>Hoà Chí Minh</v>
          </cell>
          <cell r="H641" t="str">
            <v>Traû tieàn mua chaùo bình tieân</v>
          </cell>
          <cell r="I641">
            <v>5936000</v>
          </cell>
        </row>
        <row r="642">
          <cell r="A642">
            <v>17</v>
          </cell>
          <cell r="B642">
            <v>38005</v>
          </cell>
          <cell r="C642">
            <v>73</v>
          </cell>
          <cell r="F642" t="str">
            <v>Ngoaïi Thöông</v>
          </cell>
          <cell r="G642" t="str">
            <v>Hoà Chí Minh</v>
          </cell>
          <cell r="H642" t="str">
            <v>Traû tieàn mua nöôùc röûa cheùn (TT.BL: 83.359.005ñ; TT.CM: 45.521.291ñ)</v>
          </cell>
          <cell r="I642">
            <v>128880296</v>
          </cell>
        </row>
        <row r="643">
          <cell r="A643">
            <v>22</v>
          </cell>
          <cell r="B643">
            <v>38006</v>
          </cell>
          <cell r="C643">
            <v>14</v>
          </cell>
          <cell r="F643" t="str">
            <v>Coâng Thöông CN I</v>
          </cell>
          <cell r="G643" t="str">
            <v>Hoà Chí Minh</v>
          </cell>
          <cell r="H643" t="str">
            <v xml:space="preserve">Traû tieàn mua haøng cho CN Mieàn Taây C.Ty Theùp Mieàn Nam </v>
          </cell>
          <cell r="I643">
            <v>550000000</v>
          </cell>
        </row>
        <row r="644">
          <cell r="A644">
            <v>23</v>
          </cell>
          <cell r="B644">
            <v>38013</v>
          </cell>
          <cell r="C644">
            <v>8</v>
          </cell>
          <cell r="F644" t="str">
            <v>Coâng Thöông</v>
          </cell>
          <cell r="G644" t="str">
            <v>Kieân Giang</v>
          </cell>
          <cell r="H644" t="str">
            <v>Traû tieàn mua xi maêng 300taán</v>
          </cell>
          <cell r="I644">
            <v>234135000</v>
          </cell>
        </row>
        <row r="645">
          <cell r="A645">
            <v>18</v>
          </cell>
          <cell r="B645">
            <v>38013</v>
          </cell>
          <cell r="C645">
            <v>28</v>
          </cell>
          <cell r="F645" t="str">
            <v>Ñaàu Tö &amp; Phaùt Trieån</v>
          </cell>
          <cell r="G645" t="str">
            <v>Caàn Thô</v>
          </cell>
          <cell r="H645" t="str">
            <v>Traû tieân mua söõa hoäp caùc loaïi</v>
          </cell>
          <cell r="I645">
            <v>261590630</v>
          </cell>
        </row>
        <row r="646">
          <cell r="A646">
            <v>19</v>
          </cell>
          <cell r="B646">
            <v>38013</v>
          </cell>
          <cell r="C646">
            <v>31</v>
          </cell>
          <cell r="F646" t="str">
            <v>Sôû Giao Dòch II CTVN</v>
          </cell>
          <cell r="G646" t="str">
            <v>Hoà Chí Minh</v>
          </cell>
          <cell r="H646" t="str">
            <v>Traû tieàn mua daàu aên TT.TN.Hoä Phoøng</v>
          </cell>
          <cell r="I646">
            <v>84856420</v>
          </cell>
        </row>
        <row r="647">
          <cell r="A647">
            <v>24</v>
          </cell>
          <cell r="B647">
            <v>38015</v>
          </cell>
          <cell r="C647">
            <v>36</v>
          </cell>
          <cell r="F647" t="str">
            <v>Coâng Thöông</v>
          </cell>
          <cell r="G647" t="str">
            <v>Baø Ròa-Vuõng Taøu</v>
          </cell>
          <cell r="H647" t="str">
            <v>Traû tieàn mua xaêng daàu</v>
          </cell>
          <cell r="I647">
            <v>1930000000</v>
          </cell>
        </row>
        <row r="648">
          <cell r="A648">
            <v>25</v>
          </cell>
          <cell r="B648">
            <v>38015</v>
          </cell>
          <cell r="C648">
            <v>31</v>
          </cell>
          <cell r="F648" t="str">
            <v>Sôû Giao Dòch II CTVN</v>
          </cell>
          <cell r="G648" t="str">
            <v>Hoà Chí Minh</v>
          </cell>
          <cell r="H648" t="str">
            <v>Traû tieàn mua daàu aên TT.TN.CM</v>
          </cell>
          <cell r="I648">
            <v>109604994</v>
          </cell>
        </row>
        <row r="649">
          <cell r="A649">
            <v>26</v>
          </cell>
          <cell r="B649">
            <v>38015</v>
          </cell>
          <cell r="C649">
            <v>7</v>
          </cell>
          <cell r="F649" t="str">
            <v>Ñaàu Tö &amp; Phaùt Trieån CN Thuû Ñöùc</v>
          </cell>
          <cell r="G649" t="str">
            <v>Hoà Chí Minh</v>
          </cell>
          <cell r="H649" t="str">
            <v>Traû tieàn mì Colusa</v>
          </cell>
          <cell r="I649">
            <v>188101605</v>
          </cell>
        </row>
        <row r="650">
          <cell r="A650">
            <v>27</v>
          </cell>
          <cell r="B650">
            <v>38015</v>
          </cell>
          <cell r="C650">
            <v>46</v>
          </cell>
          <cell r="F650" t="str">
            <v xml:space="preserve">Coâng Thöông </v>
          </cell>
          <cell r="G650" t="str">
            <v>Phuù Thoï</v>
          </cell>
          <cell r="H650" t="str">
            <v>Traû tieàn mua boät ngoït</v>
          </cell>
          <cell r="I650">
            <v>49859539</v>
          </cell>
        </row>
        <row r="651">
          <cell r="A651">
            <v>28</v>
          </cell>
          <cell r="B651">
            <v>38015</v>
          </cell>
          <cell r="C651">
            <v>100</v>
          </cell>
          <cell r="F651" t="str">
            <v>Coâng Thöông CN 12</v>
          </cell>
          <cell r="G651" t="str">
            <v>Hoà Chí Minh</v>
          </cell>
          <cell r="H651" t="str">
            <v>Traû tieàn mua caù moøi</v>
          </cell>
          <cell r="I651">
            <v>7680000</v>
          </cell>
        </row>
        <row r="652">
          <cell r="A652">
            <v>20</v>
          </cell>
          <cell r="B652">
            <v>38015</v>
          </cell>
          <cell r="C652">
            <v>66</v>
          </cell>
          <cell r="F652" t="str">
            <v>ANZ</v>
          </cell>
          <cell r="G652" t="str">
            <v>Hoà Chí Minh</v>
          </cell>
          <cell r="H652" t="str">
            <v>Traû tieàn mì Unif</v>
          </cell>
          <cell r="I652">
            <v>45436320</v>
          </cell>
        </row>
        <row r="653">
          <cell r="A653">
            <v>21</v>
          </cell>
          <cell r="B653">
            <v>38015</v>
          </cell>
          <cell r="C653">
            <v>73</v>
          </cell>
          <cell r="F653" t="str">
            <v>Ngoaïi Thöông</v>
          </cell>
          <cell r="G653" t="str">
            <v>Hoà Chí Minh</v>
          </cell>
          <cell r="H653" t="str">
            <v>Traû tieàn mua nöôùc röûa cheùn  (TT.CM)</v>
          </cell>
          <cell r="I653">
            <v>105391542</v>
          </cell>
        </row>
        <row r="654">
          <cell r="A654">
            <v>22</v>
          </cell>
          <cell r="B654">
            <v>38016</v>
          </cell>
          <cell r="C654">
            <v>28</v>
          </cell>
          <cell r="F654" t="str">
            <v>Ñaàu Tö &amp; Phaùt Trieån</v>
          </cell>
          <cell r="G654" t="str">
            <v>Caàn Thô</v>
          </cell>
          <cell r="H654" t="str">
            <v>Traû tieân mua söõa hoäp caùc loaïi</v>
          </cell>
          <cell r="I654">
            <v>340205237</v>
          </cell>
        </row>
        <row r="655">
          <cell r="A655">
            <v>29</v>
          </cell>
          <cell r="B655">
            <v>38016</v>
          </cell>
          <cell r="C655">
            <v>8</v>
          </cell>
          <cell r="F655" t="str">
            <v>Coâng Thöông</v>
          </cell>
          <cell r="G655" t="str">
            <v>Kieân Giang</v>
          </cell>
          <cell r="H655" t="str">
            <v>Traû tieàn mua xi maêng 120taán</v>
          </cell>
          <cell r="I655">
            <v>97040550</v>
          </cell>
        </row>
        <row r="656">
          <cell r="A656">
            <v>30</v>
          </cell>
          <cell r="B656">
            <v>38016</v>
          </cell>
          <cell r="C656">
            <v>22</v>
          </cell>
          <cell r="F656" t="str">
            <v>Coâng Thöông</v>
          </cell>
          <cell r="G656" t="str">
            <v>Long An</v>
          </cell>
          <cell r="H656" t="str">
            <v>Traû tieàn vaûi Long An</v>
          </cell>
          <cell r="I656">
            <v>6603510</v>
          </cell>
        </row>
        <row r="657">
          <cell r="A657">
            <v>31</v>
          </cell>
          <cell r="B657">
            <v>38016</v>
          </cell>
          <cell r="C657">
            <v>77</v>
          </cell>
          <cell r="F657" t="str">
            <v>Coâng Thöông CN 4</v>
          </cell>
          <cell r="G657" t="str">
            <v>Hoà Chí Minh</v>
          </cell>
          <cell r="H657" t="str">
            <v>Traû tieàn haøng ñieän maùy</v>
          </cell>
          <cell r="I657">
            <v>25488299</v>
          </cell>
        </row>
        <row r="658">
          <cell r="A658">
            <v>32</v>
          </cell>
          <cell r="B658">
            <v>38016</v>
          </cell>
          <cell r="C658">
            <v>36</v>
          </cell>
          <cell r="F658" t="str">
            <v>Coâng Thöông</v>
          </cell>
          <cell r="G658" t="str">
            <v>Baø Ròa-Vuõng Taøu</v>
          </cell>
          <cell r="H658" t="str">
            <v>Traû tieàn mua xaêng daàu</v>
          </cell>
          <cell r="I658">
            <v>5590000000</v>
          </cell>
        </row>
        <row r="659">
          <cell r="A659">
            <v>33</v>
          </cell>
          <cell r="B659">
            <v>38016</v>
          </cell>
          <cell r="C659">
            <v>101</v>
          </cell>
          <cell r="F659" t="str">
            <v>Deutsche Bank</v>
          </cell>
          <cell r="G659" t="str">
            <v>Hoà Chí Minh</v>
          </cell>
          <cell r="H659" t="str">
            <v xml:space="preserve">Traû tieàn mua xaêng daàu </v>
          </cell>
          <cell r="I659">
            <v>6764000000</v>
          </cell>
        </row>
        <row r="660">
          <cell r="A660">
            <v>23</v>
          </cell>
          <cell r="B660">
            <v>38016</v>
          </cell>
          <cell r="C660">
            <v>103</v>
          </cell>
          <cell r="F660" t="str">
            <v>Ngoaïi Thöông Vieät Nam</v>
          </cell>
          <cell r="G660" t="str">
            <v>Haø Noäi</v>
          </cell>
          <cell r="H660" t="str">
            <v xml:space="preserve">Tieàn ñaët baùo 5 kyø </v>
          </cell>
          <cell r="I660">
            <v>5000000</v>
          </cell>
        </row>
        <row r="661">
          <cell r="A661">
            <v>34</v>
          </cell>
          <cell r="B661">
            <v>38016</v>
          </cell>
          <cell r="C661">
            <v>101</v>
          </cell>
          <cell r="F661" t="str">
            <v>Deutsche Bank</v>
          </cell>
          <cell r="G661" t="str">
            <v>Hoà Chí Minh</v>
          </cell>
          <cell r="H661" t="str">
            <v>Traû tieàn mua xaêng daàu (Maõ IBPS 50619012)</v>
          </cell>
          <cell r="I661">
            <v>3310000000</v>
          </cell>
        </row>
        <row r="662">
          <cell r="A662">
            <v>1</v>
          </cell>
          <cell r="B662">
            <v>38019</v>
          </cell>
          <cell r="C662">
            <v>86</v>
          </cell>
          <cell r="F662" t="str">
            <v>Phöông Ñoâng</v>
          </cell>
          <cell r="G662" t="str">
            <v>Baïc Lieâu</v>
          </cell>
          <cell r="H662" t="str">
            <v>Mua boûa hieåm naêm 2004</v>
          </cell>
          <cell r="I662">
            <v>15500000</v>
          </cell>
        </row>
        <row r="663">
          <cell r="A663">
            <v>2</v>
          </cell>
          <cell r="B663">
            <v>38019</v>
          </cell>
          <cell r="C663">
            <v>95</v>
          </cell>
          <cell r="F663" t="str">
            <v>Ñaàu Tö &amp; Phaùt Trieån</v>
          </cell>
          <cell r="G663" t="str">
            <v>Caàn Thô</v>
          </cell>
          <cell r="H663" t="str">
            <v>Traû tieàn haøng may saún</v>
          </cell>
          <cell r="I663">
            <v>7282630</v>
          </cell>
        </row>
        <row r="664">
          <cell r="A664">
            <v>1</v>
          </cell>
          <cell r="B664">
            <v>38019</v>
          </cell>
          <cell r="C664">
            <v>41</v>
          </cell>
          <cell r="F664" t="str">
            <v>Coâng Thöông CN 9</v>
          </cell>
          <cell r="G664" t="str">
            <v>Hoà Chí Minh</v>
          </cell>
          <cell r="H664" t="str">
            <v>Traû tieàn mua xi maêng 300 taán</v>
          </cell>
          <cell r="I664">
            <v>255000000</v>
          </cell>
        </row>
        <row r="665">
          <cell r="A665">
            <v>2</v>
          </cell>
          <cell r="B665">
            <v>38019</v>
          </cell>
          <cell r="C665">
            <v>3</v>
          </cell>
          <cell r="F665" t="str">
            <v>Coâng Thöông CN 14</v>
          </cell>
          <cell r="G665" t="str">
            <v>Hoà Chí Minh</v>
          </cell>
          <cell r="H665" t="str">
            <v>Traû tieàn mua boät giaët</v>
          </cell>
          <cell r="I665">
            <v>500000000</v>
          </cell>
        </row>
        <row r="666">
          <cell r="A666">
            <v>3</v>
          </cell>
          <cell r="B666">
            <v>38019</v>
          </cell>
          <cell r="C666">
            <v>8</v>
          </cell>
          <cell r="F666" t="str">
            <v>Coâng Thöông</v>
          </cell>
          <cell r="G666" t="str">
            <v>Kieân Giang</v>
          </cell>
          <cell r="H666" t="str">
            <v>Traû tieàn mua xi maêng 400taán</v>
          </cell>
          <cell r="I666">
            <v>320320000</v>
          </cell>
        </row>
        <row r="667">
          <cell r="A667">
            <v>4</v>
          </cell>
          <cell r="B667">
            <v>38019</v>
          </cell>
          <cell r="C667">
            <v>5</v>
          </cell>
          <cell r="F667" t="str">
            <v>Coâng Thöong CN6</v>
          </cell>
          <cell r="G667" t="str">
            <v>Hoà Chí Minh</v>
          </cell>
          <cell r="H667" t="str">
            <v>Traû tieàn mua boät ngoït</v>
          </cell>
          <cell r="I667">
            <v>472504555</v>
          </cell>
        </row>
        <row r="668">
          <cell r="A668">
            <v>5</v>
          </cell>
          <cell r="B668">
            <v>38019</v>
          </cell>
          <cell r="C668">
            <v>31</v>
          </cell>
          <cell r="F668" t="str">
            <v>Sôû Giao Dòch II CTVN</v>
          </cell>
          <cell r="G668" t="str">
            <v>Hoà Chí Minh</v>
          </cell>
          <cell r="H668" t="str">
            <v>Traû tieàn mua daàu aên TT.TN.BL</v>
          </cell>
          <cell r="I668">
            <v>87899517</v>
          </cell>
        </row>
        <row r="669">
          <cell r="A669">
            <v>3</v>
          </cell>
          <cell r="B669">
            <v>38021</v>
          </cell>
          <cell r="C669">
            <v>66</v>
          </cell>
          <cell r="F669" t="str">
            <v>ANZ</v>
          </cell>
          <cell r="G669" t="str">
            <v>Hoà Chí Minh</v>
          </cell>
          <cell r="H669" t="str">
            <v>Traû tieàn mì Unif</v>
          </cell>
          <cell r="I669">
            <v>84057192</v>
          </cell>
        </row>
        <row r="670">
          <cell r="A670">
            <v>4</v>
          </cell>
          <cell r="B670">
            <v>38021</v>
          </cell>
          <cell r="C670">
            <v>104</v>
          </cell>
          <cell r="F670" t="str">
            <v>Kho Baïc NN Ba Ñình</v>
          </cell>
          <cell r="G670" t="str">
            <v>Haø Noäi</v>
          </cell>
          <cell r="H670" t="str">
            <v>Quaûng caùo treân lòch Taïp Chí Thanh Tra naêm 2004</v>
          </cell>
          <cell r="I670">
            <v>3000000</v>
          </cell>
        </row>
        <row r="671">
          <cell r="A671">
            <v>5</v>
          </cell>
          <cell r="B671">
            <v>38021</v>
          </cell>
          <cell r="C671">
            <v>7</v>
          </cell>
          <cell r="F671" t="str">
            <v>Ñaàu Tö &amp; Phaùt Trieån CN Thuû Ñöùc</v>
          </cell>
          <cell r="G671" t="str">
            <v>Hoà Chí Minh</v>
          </cell>
          <cell r="H671" t="str">
            <v>Traû tieàn mì Colusa</v>
          </cell>
          <cell r="I671">
            <v>53291128</v>
          </cell>
        </row>
        <row r="672">
          <cell r="A672">
            <v>6</v>
          </cell>
          <cell r="B672">
            <v>38021</v>
          </cell>
          <cell r="C672">
            <v>73</v>
          </cell>
          <cell r="F672" t="str">
            <v>Ngoaïi Thöông</v>
          </cell>
          <cell r="G672" t="str">
            <v>Hoà Chí Minh</v>
          </cell>
          <cell r="H672" t="str">
            <v>Traû tieàn mua nöôùc röûa cheùn  (TT.CM)</v>
          </cell>
          <cell r="I672">
            <v>48374205</v>
          </cell>
        </row>
        <row r="673">
          <cell r="A673">
            <v>6</v>
          </cell>
          <cell r="B673">
            <v>38022</v>
          </cell>
          <cell r="C673">
            <v>41</v>
          </cell>
          <cell r="F673" t="str">
            <v>Coâng Thöông CN 9</v>
          </cell>
          <cell r="G673" t="str">
            <v>Hoà Chí Minh</v>
          </cell>
          <cell r="H673" t="str">
            <v>Traû tieàn mua xi maêng 200 taán</v>
          </cell>
          <cell r="I673">
            <v>170000000</v>
          </cell>
        </row>
        <row r="674">
          <cell r="A674">
            <v>7</v>
          </cell>
          <cell r="B674">
            <v>38022</v>
          </cell>
          <cell r="C674">
            <v>98</v>
          </cell>
          <cell r="F674" t="str">
            <v>Coâng Thöông</v>
          </cell>
          <cell r="G674" t="str">
            <v>Caàn Thô</v>
          </cell>
          <cell r="H674" t="str">
            <v xml:space="preserve">Traû tieàn mua xi maêng </v>
          </cell>
          <cell r="I674">
            <v>443171000</v>
          </cell>
        </row>
        <row r="675">
          <cell r="A675">
            <v>7</v>
          </cell>
          <cell r="B675">
            <v>38022</v>
          </cell>
          <cell r="C675">
            <v>27</v>
          </cell>
          <cell r="F675" t="str">
            <v>INDOVINA</v>
          </cell>
          <cell r="G675" t="str">
            <v>Hoà Chí Minh</v>
          </cell>
          <cell r="H675" t="str">
            <v>Traû tieàn mua ñöôøng</v>
          </cell>
          <cell r="I675">
            <v>30975000</v>
          </cell>
        </row>
        <row r="676">
          <cell r="A676">
            <v>8</v>
          </cell>
          <cell r="B676">
            <v>38023</v>
          </cell>
          <cell r="C676">
            <v>28</v>
          </cell>
          <cell r="F676" t="str">
            <v>Ñaàu Tö &amp; Phaùt Trieån</v>
          </cell>
          <cell r="G676" t="str">
            <v>Caàn Thô</v>
          </cell>
          <cell r="H676" t="str">
            <v>Traû tieân mua söõa hoäp caùc loaïi</v>
          </cell>
          <cell r="I676">
            <v>342822269</v>
          </cell>
        </row>
        <row r="677">
          <cell r="A677">
            <v>9</v>
          </cell>
          <cell r="B677">
            <v>38026</v>
          </cell>
          <cell r="C677">
            <v>28</v>
          </cell>
          <cell r="F677" t="str">
            <v>Ñaàu Tö &amp; Phaùt Trieån</v>
          </cell>
          <cell r="G677" t="str">
            <v>Caàn Thô</v>
          </cell>
          <cell r="H677" t="str">
            <v>Traû tieân mua söõa hoäp caùc loaïi</v>
          </cell>
          <cell r="I677">
            <v>357520601</v>
          </cell>
        </row>
        <row r="678">
          <cell r="A678">
            <v>8</v>
          </cell>
          <cell r="B678">
            <v>38026</v>
          </cell>
          <cell r="C678">
            <v>8</v>
          </cell>
          <cell r="F678" t="str">
            <v>Coâng Thöông</v>
          </cell>
          <cell r="G678" t="str">
            <v>Kieân Giang</v>
          </cell>
          <cell r="H678" t="str">
            <v>Traû tieàn mua xi maêng 250taán</v>
          </cell>
          <cell r="I678">
            <v>195112500</v>
          </cell>
        </row>
        <row r="679">
          <cell r="A679">
            <v>9</v>
          </cell>
          <cell r="B679">
            <v>38026</v>
          </cell>
          <cell r="C679">
            <v>31</v>
          </cell>
          <cell r="F679" t="str">
            <v>Sôû Giao Dòch II CTVN</v>
          </cell>
          <cell r="G679" t="str">
            <v>Hoà Chí Minh</v>
          </cell>
          <cell r="H679" t="str">
            <v>Traû tieàn mua daàu aên TT.TN.BL</v>
          </cell>
          <cell r="I679">
            <v>156856491</v>
          </cell>
        </row>
        <row r="680">
          <cell r="A680">
            <v>10</v>
          </cell>
          <cell r="B680">
            <v>38026</v>
          </cell>
          <cell r="C680">
            <v>73</v>
          </cell>
          <cell r="F680" t="str">
            <v>Ngoaïi Thöông</v>
          </cell>
          <cell r="G680" t="str">
            <v>Hoà Chí Minh</v>
          </cell>
          <cell r="H680" t="str">
            <v>Traû tieàn mua nöôùc röûa cheùn  (TT.BL)</v>
          </cell>
          <cell r="I680">
            <v>54458858</v>
          </cell>
        </row>
        <row r="681">
          <cell r="A681">
            <v>11</v>
          </cell>
          <cell r="B681">
            <v>38027</v>
          </cell>
          <cell r="C681">
            <v>1</v>
          </cell>
          <cell r="F681" t="str">
            <v>Sôû Giao Dòch II CTVN</v>
          </cell>
          <cell r="G681" t="str">
            <v>Hoà Chí Minh</v>
          </cell>
          <cell r="H681" t="str">
            <v>Traû tieàn mua thuoác laù</v>
          </cell>
          <cell r="I681">
            <v>21735000</v>
          </cell>
        </row>
        <row r="682">
          <cell r="A682">
            <v>10</v>
          </cell>
          <cell r="B682">
            <v>38027</v>
          </cell>
          <cell r="C682">
            <v>31</v>
          </cell>
          <cell r="F682" t="str">
            <v>Sôû Giao Dòch II CTVN</v>
          </cell>
          <cell r="G682" t="str">
            <v>Hoà Chí Minh</v>
          </cell>
          <cell r="H682" t="str">
            <v>Traû tieàn mua daàu aên TT.TN.CM</v>
          </cell>
          <cell r="I682">
            <v>92570456</v>
          </cell>
        </row>
        <row r="683">
          <cell r="A683">
            <v>11</v>
          </cell>
          <cell r="B683">
            <v>38028</v>
          </cell>
          <cell r="C683">
            <v>14</v>
          </cell>
          <cell r="F683" t="str">
            <v>Coâng Thöông CN I</v>
          </cell>
          <cell r="G683" t="str">
            <v>Hoà Chí Minh</v>
          </cell>
          <cell r="H683" t="str">
            <v xml:space="preserve">Traû tieàn mua haøng cho CN Mieàn Taây C.Ty Theùp Mieàn Nam </v>
          </cell>
          <cell r="I683">
            <v>599025725</v>
          </cell>
        </row>
        <row r="684">
          <cell r="A684">
            <v>12</v>
          </cell>
          <cell r="B684">
            <v>38028</v>
          </cell>
          <cell r="C684">
            <v>73</v>
          </cell>
          <cell r="F684" t="str">
            <v>Ngoaïi Thöông</v>
          </cell>
          <cell r="G684" t="str">
            <v>Hoà Chí Minh</v>
          </cell>
          <cell r="H684" t="str">
            <v>Traû tieàn mua nöôùc röûa cheùn  (TT.BL+Hoä Phoøng)</v>
          </cell>
          <cell r="I684">
            <v>76633181</v>
          </cell>
        </row>
        <row r="685">
          <cell r="A685">
            <v>13</v>
          </cell>
          <cell r="B685">
            <v>38030</v>
          </cell>
          <cell r="C685">
            <v>73</v>
          </cell>
          <cell r="F685" t="str">
            <v>Ngoaïi Thöông</v>
          </cell>
          <cell r="G685" t="str">
            <v>Hoà Chí Minh</v>
          </cell>
          <cell r="H685" t="str">
            <v>Traû tieàn mua nöôùc röûa cheùn  (TT.BL:64.699.813ñ; TT.CM: 35.648.704ñ)</v>
          </cell>
          <cell r="I685">
            <v>100348517</v>
          </cell>
        </row>
        <row r="686">
          <cell r="A686">
            <v>14</v>
          </cell>
          <cell r="B686">
            <v>38030</v>
          </cell>
          <cell r="C686">
            <v>93</v>
          </cell>
          <cell r="F686" t="str">
            <v>Coâng Thöông CN 12</v>
          </cell>
          <cell r="G686" t="str">
            <v>Hoà Chí Minh</v>
          </cell>
          <cell r="H686" t="str">
            <v>Traû tieàn mua giaáy Vieãn Ñoâng</v>
          </cell>
          <cell r="I686">
            <v>20232894</v>
          </cell>
        </row>
        <row r="687">
          <cell r="A687">
            <v>12</v>
          </cell>
          <cell r="B687">
            <v>38033</v>
          </cell>
          <cell r="C687">
            <v>8</v>
          </cell>
          <cell r="F687" t="str">
            <v>Coâng Thöông</v>
          </cell>
          <cell r="G687" t="str">
            <v>Kieân Giang</v>
          </cell>
          <cell r="H687" t="str">
            <v>Traû tieàn mua xi maêng 300taán</v>
          </cell>
          <cell r="I687">
            <v>234135000</v>
          </cell>
        </row>
        <row r="688">
          <cell r="A688">
            <v>13</v>
          </cell>
          <cell r="B688">
            <v>38033</v>
          </cell>
          <cell r="C688">
            <v>5</v>
          </cell>
          <cell r="F688" t="str">
            <v>Coâng Thöong CN6</v>
          </cell>
          <cell r="G688" t="str">
            <v>Hoà Chí Minh</v>
          </cell>
          <cell r="H688" t="str">
            <v>Traû tieàn mua boät ngoït</v>
          </cell>
          <cell r="I688">
            <v>236036910</v>
          </cell>
        </row>
        <row r="689">
          <cell r="A689">
            <v>14</v>
          </cell>
          <cell r="B689">
            <v>38033</v>
          </cell>
          <cell r="C689">
            <v>1</v>
          </cell>
          <cell r="F689" t="str">
            <v>Sôû Giao Dòch II CTVN</v>
          </cell>
          <cell r="G689" t="str">
            <v>Hoà Chí Minh</v>
          </cell>
          <cell r="H689" t="str">
            <v>Traû tieàn mua thuoác laù</v>
          </cell>
          <cell r="I689">
            <v>231165000</v>
          </cell>
        </row>
        <row r="690">
          <cell r="A690">
            <v>15</v>
          </cell>
          <cell r="B690">
            <v>38033</v>
          </cell>
          <cell r="C690">
            <v>31</v>
          </cell>
          <cell r="F690" t="str">
            <v>Sôû Giao Dòch II CTVN</v>
          </cell>
          <cell r="G690" t="str">
            <v>Hoà Chí Minh</v>
          </cell>
          <cell r="H690" t="str">
            <v>Traû tieàn mua daàu aên TT.TN.BL</v>
          </cell>
          <cell r="I690">
            <v>87988309</v>
          </cell>
        </row>
        <row r="691">
          <cell r="A691">
            <v>13</v>
          </cell>
          <cell r="B691">
            <v>38034</v>
          </cell>
          <cell r="C691">
            <v>73</v>
          </cell>
          <cell r="F691" t="str">
            <v>Ngoaïi Thöông</v>
          </cell>
          <cell r="G691" t="str">
            <v>Hoà Chí Minh</v>
          </cell>
          <cell r="H691" t="str">
            <v>Traû tieàn mua nöôùc röûa cheùn  (TT.BL)</v>
          </cell>
          <cell r="I691">
            <v>71688137</v>
          </cell>
        </row>
        <row r="692">
          <cell r="A692">
            <v>14</v>
          </cell>
          <cell r="B692">
            <v>38034</v>
          </cell>
          <cell r="C692">
            <v>28</v>
          </cell>
          <cell r="F692" t="str">
            <v>Ñaàu Tö &amp; Phaùt Trieån</v>
          </cell>
          <cell r="G692" t="str">
            <v>Caàn Thô</v>
          </cell>
          <cell r="H692" t="str">
            <v>Traû tieân mua söõa hoäp caùc loaïi</v>
          </cell>
          <cell r="I692">
            <v>296346336</v>
          </cell>
        </row>
        <row r="693">
          <cell r="A693">
            <v>16</v>
          </cell>
          <cell r="B693">
            <v>38034</v>
          </cell>
          <cell r="C693">
            <v>85</v>
          </cell>
          <cell r="F693" t="str">
            <v>Sôû Giao Dòch II CTVN</v>
          </cell>
          <cell r="G693" t="str">
            <v>Hoà Chí Minh</v>
          </cell>
          <cell r="H693" t="str">
            <v>Traû tieàn mua haøng ñieän maùy</v>
          </cell>
          <cell r="I693">
            <v>49683000</v>
          </cell>
        </row>
        <row r="694">
          <cell r="A694">
            <v>17</v>
          </cell>
          <cell r="B694">
            <v>38034</v>
          </cell>
          <cell r="C694">
            <v>3</v>
          </cell>
          <cell r="F694" t="str">
            <v>Coâng Thöông CN 14</v>
          </cell>
          <cell r="G694" t="str">
            <v>Hoà Chí Minh</v>
          </cell>
          <cell r="H694" t="str">
            <v>Traû tieàn mua boät giaët</v>
          </cell>
          <cell r="I694">
            <v>240000000</v>
          </cell>
        </row>
        <row r="695">
          <cell r="A695">
            <v>15</v>
          </cell>
          <cell r="B695">
            <v>38034</v>
          </cell>
          <cell r="C695">
            <v>53</v>
          </cell>
          <cell r="F695" t="str">
            <v xml:space="preserve">Coâng Thöông </v>
          </cell>
          <cell r="G695" t="str">
            <v>Baïc Lieâu</v>
          </cell>
          <cell r="H695" t="str">
            <v>Kyù quyõ baûo laõnh CTy Daàu AÊn Golden HOPE Nhaø Beø 200.000.000x5%</v>
          </cell>
          <cell r="I695">
            <v>10000000</v>
          </cell>
        </row>
        <row r="696">
          <cell r="A696">
            <v>18</v>
          </cell>
          <cell r="B696">
            <v>38034</v>
          </cell>
          <cell r="C696">
            <v>36</v>
          </cell>
          <cell r="F696" t="str">
            <v>Coâng Thöông</v>
          </cell>
          <cell r="G696" t="str">
            <v>Baø Ròa-Vuõng Taøu</v>
          </cell>
          <cell r="H696" t="str">
            <v xml:space="preserve">Traû tieàn mua xaêng daàu </v>
          </cell>
          <cell r="I696">
            <v>2027000000</v>
          </cell>
        </row>
        <row r="697">
          <cell r="A697">
            <v>16</v>
          </cell>
          <cell r="B697">
            <v>38035</v>
          </cell>
          <cell r="C697">
            <v>25</v>
          </cell>
          <cell r="F697" t="str">
            <v>NN &amp; P/T N/Thoân</v>
          </cell>
          <cell r="G697" t="str">
            <v>Baïc Lieâu</v>
          </cell>
          <cell r="H697" t="str">
            <v xml:space="preserve">Noäp BHXH thaùng 01+02/2004 </v>
          </cell>
          <cell r="I697">
            <v>50097036</v>
          </cell>
        </row>
        <row r="698">
          <cell r="A698">
            <v>17</v>
          </cell>
          <cell r="B698">
            <v>38035</v>
          </cell>
          <cell r="C698">
            <v>44</v>
          </cell>
          <cell r="F698" t="str">
            <v xml:space="preserve">Coâng Thöông </v>
          </cell>
          <cell r="G698" t="str">
            <v>Baïc Lieâu</v>
          </cell>
          <cell r="H698" t="str">
            <v>Traû tieàn ñieän thoaïi thaùng 01/2004</v>
          </cell>
          <cell r="I698">
            <v>9159825</v>
          </cell>
        </row>
        <row r="699">
          <cell r="A699">
            <v>19</v>
          </cell>
          <cell r="B699">
            <v>38034</v>
          </cell>
          <cell r="C699">
            <v>10</v>
          </cell>
          <cell r="F699" t="str">
            <v>Hoàng Kong&amp; Thöôïng Haûi</v>
          </cell>
          <cell r="G699" t="str">
            <v>Hoà Chí Minh</v>
          </cell>
          <cell r="H699" t="str">
            <v>Traû tieàn mua nhôùt</v>
          </cell>
          <cell r="I699">
            <v>681165000</v>
          </cell>
        </row>
        <row r="700">
          <cell r="A700">
            <v>18</v>
          </cell>
          <cell r="B700">
            <v>38036</v>
          </cell>
          <cell r="C700">
            <v>8</v>
          </cell>
          <cell r="F700" t="str">
            <v>Coâng Thöông</v>
          </cell>
          <cell r="G700" t="str">
            <v>Kieân Giang</v>
          </cell>
          <cell r="H700" t="str">
            <v>Traû tieàn mua xi maêng 250taán</v>
          </cell>
          <cell r="I700">
            <v>195038800</v>
          </cell>
        </row>
        <row r="701">
          <cell r="A701">
            <v>19</v>
          </cell>
          <cell r="B701">
            <v>38036</v>
          </cell>
          <cell r="C701">
            <v>27</v>
          </cell>
          <cell r="F701" t="str">
            <v>INDOVINA</v>
          </cell>
          <cell r="G701" t="str">
            <v>Hoà Chí Minh</v>
          </cell>
          <cell r="H701" t="str">
            <v>Traû tieàn mua ñöôøng</v>
          </cell>
          <cell r="I701">
            <v>31010000</v>
          </cell>
        </row>
        <row r="702">
          <cell r="A702">
            <v>20</v>
          </cell>
          <cell r="B702">
            <v>38036</v>
          </cell>
          <cell r="C702">
            <v>73</v>
          </cell>
          <cell r="F702" t="str">
            <v>Ngoaïi Thöông</v>
          </cell>
          <cell r="G702" t="str">
            <v>Hoà Chí Minh</v>
          </cell>
          <cell r="H702" t="str">
            <v>Traû tieàn mua nöôùc röûa cheùn  (TT.BL)</v>
          </cell>
          <cell r="I702">
            <v>47170862</v>
          </cell>
        </row>
        <row r="703">
          <cell r="A703">
            <v>18</v>
          </cell>
          <cell r="B703">
            <v>38037</v>
          </cell>
          <cell r="C703">
            <v>73</v>
          </cell>
          <cell r="F703" t="str">
            <v>Ngoaïi Thöông</v>
          </cell>
          <cell r="G703" t="str">
            <v>Hoà Chí Minh</v>
          </cell>
          <cell r="H703" t="str">
            <v>Traû tieàn mua nöôùc röûa cheùn  (TT.BL+Hoä Phoøng)</v>
          </cell>
          <cell r="I703">
            <v>57135389</v>
          </cell>
        </row>
        <row r="704">
          <cell r="A704">
            <v>19</v>
          </cell>
          <cell r="B704">
            <v>38037</v>
          </cell>
          <cell r="C704">
            <v>99</v>
          </cell>
          <cell r="F704" t="str">
            <v>AÙ Chaâu</v>
          </cell>
          <cell r="G704" t="str">
            <v>Hoà Chí Minh</v>
          </cell>
          <cell r="H704" t="str">
            <v>Traû tieàn mua nöôùc yeán,bí ñao, nöôùc ngoït</v>
          </cell>
          <cell r="I704">
            <v>26848320</v>
          </cell>
        </row>
        <row r="705">
          <cell r="A705">
            <v>21</v>
          </cell>
          <cell r="B705">
            <v>38037</v>
          </cell>
          <cell r="C705">
            <v>98</v>
          </cell>
          <cell r="F705" t="str">
            <v>Coâng Thöông</v>
          </cell>
          <cell r="G705" t="str">
            <v>Caàn Thô</v>
          </cell>
          <cell r="H705" t="str">
            <v>Traû tieàn mua xi maêng</v>
          </cell>
          <cell r="I705">
            <v>106150000</v>
          </cell>
        </row>
        <row r="706">
          <cell r="A706">
            <v>22</v>
          </cell>
          <cell r="B706">
            <v>38037</v>
          </cell>
          <cell r="C706">
            <v>5</v>
          </cell>
          <cell r="F706" t="str">
            <v>Coâng Thöong CN6</v>
          </cell>
          <cell r="G706" t="str">
            <v>Hoà Chí Minh</v>
          </cell>
          <cell r="H706" t="str">
            <v>Traû tieàn mua boät ngoït</v>
          </cell>
          <cell r="I706">
            <v>269842538</v>
          </cell>
        </row>
        <row r="707">
          <cell r="A707">
            <v>23</v>
          </cell>
          <cell r="B707">
            <v>38037</v>
          </cell>
          <cell r="C707">
            <v>9</v>
          </cell>
          <cell r="F707" t="str">
            <v>Ngoaïi Thöông</v>
          </cell>
          <cell r="G707" t="str">
            <v>Hoà Chí Minh</v>
          </cell>
          <cell r="H707" t="str">
            <v>Traû tieàn mua nhôùt</v>
          </cell>
          <cell r="I707">
            <v>101684015</v>
          </cell>
        </row>
        <row r="708">
          <cell r="A708">
            <v>19</v>
          </cell>
          <cell r="B708">
            <v>38037</v>
          </cell>
          <cell r="C708">
            <v>42</v>
          </cell>
          <cell r="F708" t="str">
            <v>Coâng Thöông</v>
          </cell>
          <cell r="G708" t="str">
            <v>Baïc Lieâu</v>
          </cell>
          <cell r="H708" t="str">
            <v>Mua baûo hieåm hoûa hoaïn, taøu soâng, xe OÂ toâ  naêm 2004(ñôït 1)</v>
          </cell>
          <cell r="I708">
            <v>19600000</v>
          </cell>
        </row>
        <row r="709">
          <cell r="A709">
            <v>20</v>
          </cell>
          <cell r="B709">
            <v>38040</v>
          </cell>
          <cell r="C709">
            <v>28</v>
          </cell>
          <cell r="F709" t="str">
            <v>Ñaàu Tö &amp; Phaùt Trieån</v>
          </cell>
          <cell r="G709" t="str">
            <v>Caàn Thô</v>
          </cell>
          <cell r="H709" t="str">
            <v>Traû tieân mua söõa hoäp caùc loaïi</v>
          </cell>
          <cell r="I709">
            <v>254475408</v>
          </cell>
        </row>
        <row r="710">
          <cell r="A710">
            <v>24</v>
          </cell>
          <cell r="B710">
            <v>38040</v>
          </cell>
          <cell r="C710">
            <v>41</v>
          </cell>
          <cell r="F710" t="str">
            <v>Coâng Thöông CN 9</v>
          </cell>
          <cell r="G710" t="str">
            <v>Hoà Chí Minh</v>
          </cell>
          <cell r="H710" t="str">
            <v>Traû tieàn mua xi maêng 300taán</v>
          </cell>
          <cell r="I710">
            <v>258000000</v>
          </cell>
        </row>
        <row r="711">
          <cell r="A711">
            <v>25</v>
          </cell>
          <cell r="B711">
            <v>38041</v>
          </cell>
          <cell r="C711">
            <v>14</v>
          </cell>
          <cell r="F711" t="str">
            <v>Coâng Thöông CN I</v>
          </cell>
          <cell r="G711" t="str">
            <v>Hoà Chí Minh</v>
          </cell>
          <cell r="H711" t="str">
            <v xml:space="preserve">Traû tieàn mua haøng cho CN Mieàn Taây C.Ty Theùp Mieàn Nam </v>
          </cell>
          <cell r="I711">
            <v>300000000</v>
          </cell>
        </row>
        <row r="712">
          <cell r="A712">
            <v>26</v>
          </cell>
          <cell r="B712">
            <v>38042</v>
          </cell>
          <cell r="C712">
            <v>8</v>
          </cell>
          <cell r="F712" t="str">
            <v>Coâng Thöông</v>
          </cell>
          <cell r="G712" t="str">
            <v>Kieân Giang</v>
          </cell>
          <cell r="H712" t="str">
            <v>Traû tieàn mua xi maêng 100taán</v>
          </cell>
          <cell r="I712">
            <v>78045000</v>
          </cell>
        </row>
        <row r="713">
          <cell r="A713">
            <v>21</v>
          </cell>
          <cell r="B713">
            <v>38042</v>
          </cell>
          <cell r="C713">
            <v>31</v>
          </cell>
          <cell r="F713" t="str">
            <v>Sôû Giao Dòch II CTVN</v>
          </cell>
          <cell r="G713" t="str">
            <v>Hoà Chí Minh</v>
          </cell>
          <cell r="H713" t="str">
            <v>Traû tieàn mua daàu xaù</v>
          </cell>
          <cell r="I713">
            <v>12107700</v>
          </cell>
        </row>
        <row r="714">
          <cell r="A714">
            <v>22</v>
          </cell>
          <cell r="B714">
            <v>38042</v>
          </cell>
          <cell r="C714">
            <v>94</v>
          </cell>
          <cell r="F714" t="str">
            <v>Coâng Thöông CN 9</v>
          </cell>
          <cell r="G714" t="str">
            <v>Hoà Chí Minh</v>
          </cell>
          <cell r="H714" t="str">
            <v>Traû tieàn mua chaùo Bình Tieân</v>
          </cell>
          <cell r="I714">
            <v>5935000</v>
          </cell>
        </row>
        <row r="715">
          <cell r="A715">
            <v>23</v>
          </cell>
          <cell r="B715">
            <v>38042</v>
          </cell>
          <cell r="C715">
            <v>100</v>
          </cell>
          <cell r="F715" t="str">
            <v>Coâng Thöông CN 12</v>
          </cell>
          <cell r="G715" t="str">
            <v>Hoà Chí Minh</v>
          </cell>
          <cell r="H715" t="str">
            <v>Traû tieàn mua caù hoäp</v>
          </cell>
          <cell r="I715">
            <v>13068800</v>
          </cell>
        </row>
        <row r="716">
          <cell r="A716">
            <v>24</v>
          </cell>
          <cell r="B716">
            <v>38042</v>
          </cell>
          <cell r="C716">
            <v>31</v>
          </cell>
          <cell r="F716" t="str">
            <v>Sôû Giao Dòch II CTVN</v>
          </cell>
          <cell r="G716" t="str">
            <v>Hoà Chí Minh</v>
          </cell>
          <cell r="H716" t="str">
            <v>Traû tieàn mua daàu aên (TT.BL: 89.052.612ñ; TT.CM:94.493.564ñ)</v>
          </cell>
          <cell r="I716">
            <v>183546176</v>
          </cell>
        </row>
        <row r="717">
          <cell r="A717">
            <v>25</v>
          </cell>
          <cell r="B717">
            <v>38043</v>
          </cell>
          <cell r="C717">
            <v>28</v>
          </cell>
          <cell r="F717" t="str">
            <v>Ñaàu Tö &amp; Phaùt Trieån</v>
          </cell>
          <cell r="G717" t="str">
            <v>Caàn Thô</v>
          </cell>
          <cell r="H717" t="str">
            <v>Traû tieân mua söõa hoäp caùc loaïi</v>
          </cell>
          <cell r="I717">
            <v>406825320</v>
          </cell>
        </row>
        <row r="718">
          <cell r="A718">
            <v>27</v>
          </cell>
          <cell r="B718">
            <v>38043</v>
          </cell>
          <cell r="C718">
            <v>36</v>
          </cell>
          <cell r="F718" t="str">
            <v>Coâng Thöông</v>
          </cell>
          <cell r="G718" t="str">
            <v>Baø Ròa-Vuõng Taøu</v>
          </cell>
          <cell r="H718" t="str">
            <v>Traû tieàn mua xaêng daàu</v>
          </cell>
          <cell r="I718">
            <v>2191000000</v>
          </cell>
        </row>
        <row r="719">
          <cell r="A719">
            <v>28</v>
          </cell>
          <cell r="B719">
            <v>38043</v>
          </cell>
          <cell r="C719">
            <v>14</v>
          </cell>
          <cell r="F719" t="str">
            <v>Coâng Thöông CN I</v>
          </cell>
          <cell r="G719" t="str">
            <v>Hoà Chí Minh</v>
          </cell>
          <cell r="H719" t="str">
            <v xml:space="preserve">Traû tieàn mua haøng cho CN Mieàn Taây C.Ty Theùp Mieàn Nam </v>
          </cell>
          <cell r="I719">
            <v>435765540</v>
          </cell>
        </row>
        <row r="720">
          <cell r="A720">
            <v>29</v>
          </cell>
          <cell r="B720">
            <v>38044</v>
          </cell>
          <cell r="C720">
            <v>5</v>
          </cell>
          <cell r="F720" t="str">
            <v>Coâng Thöong CN6</v>
          </cell>
          <cell r="G720" t="str">
            <v>Hoà Chí Minh</v>
          </cell>
          <cell r="H720" t="str">
            <v>Traû tieàn mua boät ngoït</v>
          </cell>
          <cell r="I720">
            <v>131540305</v>
          </cell>
        </row>
        <row r="721">
          <cell r="A721">
            <v>30</v>
          </cell>
          <cell r="B721">
            <v>38044</v>
          </cell>
          <cell r="C721">
            <v>8</v>
          </cell>
          <cell r="F721" t="str">
            <v>Coâng Thöông</v>
          </cell>
          <cell r="G721" t="str">
            <v>Kieân Giang</v>
          </cell>
          <cell r="H721" t="str">
            <v>Traû tieàn mua xi maêng 150taán</v>
          </cell>
          <cell r="I721">
            <v>120120000</v>
          </cell>
        </row>
        <row r="722">
          <cell r="A722">
            <v>31</v>
          </cell>
          <cell r="B722">
            <v>38044</v>
          </cell>
          <cell r="C722">
            <v>1</v>
          </cell>
          <cell r="F722" t="str">
            <v>Sôû Giao Dòch II CTVN</v>
          </cell>
          <cell r="G722" t="str">
            <v>Hoà Chí Minh</v>
          </cell>
          <cell r="H722" t="str">
            <v>Traû tieàn mua thuoác laù</v>
          </cell>
          <cell r="I722">
            <v>208560000</v>
          </cell>
        </row>
        <row r="723">
          <cell r="A723">
            <v>26</v>
          </cell>
          <cell r="B723">
            <v>38044</v>
          </cell>
          <cell r="C723">
            <v>73</v>
          </cell>
          <cell r="F723" t="str">
            <v>Ngoaïi Thöông</v>
          </cell>
          <cell r="G723" t="str">
            <v>Hoà Chí Minh</v>
          </cell>
          <cell r="H723" t="str">
            <v>Traû tieàn mua nöôùc röûa cheùn  (TT.BL)</v>
          </cell>
          <cell r="I723">
            <v>175590824</v>
          </cell>
        </row>
        <row r="724">
          <cell r="A724">
            <v>27</v>
          </cell>
          <cell r="B724">
            <v>38044</v>
          </cell>
          <cell r="C724">
            <v>66</v>
          </cell>
          <cell r="F724" t="str">
            <v>ANZ</v>
          </cell>
          <cell r="G724" t="str">
            <v>Hoà Chí Minh</v>
          </cell>
          <cell r="H724" t="str">
            <v>Traû tieàn mua mì Unif</v>
          </cell>
          <cell r="I724">
            <v>39507450</v>
          </cell>
        </row>
        <row r="725">
          <cell r="A725">
            <v>1</v>
          </cell>
          <cell r="B725">
            <v>38047</v>
          </cell>
          <cell r="C725">
            <v>8</v>
          </cell>
          <cell r="F725" t="str">
            <v>Coâng Thöông</v>
          </cell>
          <cell r="G725" t="str">
            <v>Kieân Giang</v>
          </cell>
          <cell r="H725" t="str">
            <v>Traû tieàn mua xi maêng 300taán</v>
          </cell>
          <cell r="I725">
            <v>240240000</v>
          </cell>
        </row>
        <row r="726">
          <cell r="A726">
            <v>2</v>
          </cell>
          <cell r="B726">
            <v>38047</v>
          </cell>
          <cell r="C726">
            <v>3</v>
          </cell>
          <cell r="F726" t="str">
            <v>Coâng Thöông CN 14</v>
          </cell>
          <cell r="G726" t="str">
            <v>Hoà Chí Minh</v>
          </cell>
          <cell r="H726" t="str">
            <v>Traû tieàn mua boät giaët</v>
          </cell>
          <cell r="I726">
            <v>220000000</v>
          </cell>
        </row>
        <row r="727">
          <cell r="A727">
            <v>1</v>
          </cell>
          <cell r="B727">
            <v>38047</v>
          </cell>
          <cell r="C727">
            <v>83</v>
          </cell>
          <cell r="F727" t="str">
            <v>Ngoaïi Thöông</v>
          </cell>
          <cell r="G727" t="str">
            <v>Hoà Chí Minh</v>
          </cell>
          <cell r="H727" t="str">
            <v>Traû tieàn mua haøng ñieän maùy</v>
          </cell>
          <cell r="I727">
            <v>33463100</v>
          </cell>
        </row>
        <row r="728">
          <cell r="A728">
            <v>3</v>
          </cell>
          <cell r="B728">
            <v>38049</v>
          </cell>
          <cell r="C728">
            <v>5</v>
          </cell>
          <cell r="F728" t="str">
            <v>Coâng Thöong CN6</v>
          </cell>
          <cell r="G728" t="str">
            <v>Hoà Chí Minh</v>
          </cell>
          <cell r="H728" t="str">
            <v>Traû tieàn mua boät ngoït</v>
          </cell>
          <cell r="I728">
            <v>134097615</v>
          </cell>
        </row>
        <row r="729">
          <cell r="A729">
            <v>4</v>
          </cell>
          <cell r="B729">
            <v>38050</v>
          </cell>
          <cell r="C729">
            <v>36</v>
          </cell>
          <cell r="F729" t="str">
            <v>Coâng Thöông</v>
          </cell>
          <cell r="G729" t="str">
            <v>Baø Ròa-Vuõng Taøu</v>
          </cell>
          <cell r="H729" t="str">
            <v>Traû tieàn mua xaêng daàu</v>
          </cell>
          <cell r="I729">
            <v>2191000000</v>
          </cell>
        </row>
        <row r="730">
          <cell r="A730">
            <v>2</v>
          </cell>
          <cell r="B730">
            <v>38050</v>
          </cell>
          <cell r="C730">
            <v>28</v>
          </cell>
          <cell r="F730" t="str">
            <v>Ñaàu Tö &amp; Phaùt Trieån</v>
          </cell>
          <cell r="G730" t="str">
            <v>Caàn Thô</v>
          </cell>
          <cell r="H730" t="str">
            <v>Traû tieân mua söõa hoäp caùc loaïi</v>
          </cell>
          <cell r="I730">
            <v>260927357</v>
          </cell>
        </row>
        <row r="731">
          <cell r="A731">
            <v>3</v>
          </cell>
          <cell r="B731">
            <v>38050</v>
          </cell>
          <cell r="C731">
            <v>27</v>
          </cell>
          <cell r="F731" t="str">
            <v>INDOVINA</v>
          </cell>
          <cell r="G731" t="str">
            <v>Hoà Chí Minh</v>
          </cell>
          <cell r="H731" t="str">
            <v>Traû tieàn mua ñöôøng</v>
          </cell>
          <cell r="I731">
            <v>31325000</v>
          </cell>
        </row>
        <row r="732">
          <cell r="A732">
            <v>4</v>
          </cell>
          <cell r="B732">
            <v>38050</v>
          </cell>
          <cell r="C732">
            <v>79</v>
          </cell>
          <cell r="F732" t="str">
            <v>T.M.C.P SG Coâng Thöông CN Bình Chaùnh</v>
          </cell>
          <cell r="G732" t="str">
            <v>Hoà Chí Minh</v>
          </cell>
          <cell r="H732" t="str">
            <v>Traû tieàn mua nöôùc ngoït</v>
          </cell>
          <cell r="I732">
            <v>12500400</v>
          </cell>
        </row>
        <row r="733">
          <cell r="A733">
            <v>5</v>
          </cell>
          <cell r="B733">
            <v>38050</v>
          </cell>
          <cell r="C733">
            <v>95</v>
          </cell>
          <cell r="F733" t="str">
            <v>Ñaàu Tö &amp; Phaùt Trieån</v>
          </cell>
          <cell r="G733" t="str">
            <v>Caàn Thô</v>
          </cell>
          <cell r="H733" t="str">
            <v>Traû tieàn haøng may maëc Thaønh Coâng</v>
          </cell>
          <cell r="I733">
            <v>3865460</v>
          </cell>
        </row>
        <row r="734">
          <cell r="A734">
            <v>6</v>
          </cell>
          <cell r="B734">
            <v>38050</v>
          </cell>
          <cell r="C734">
            <v>99</v>
          </cell>
          <cell r="F734" t="str">
            <v>AÙ Chaâu</v>
          </cell>
          <cell r="G734" t="str">
            <v>Hoà Chí Minh</v>
          </cell>
          <cell r="H734" t="str">
            <v>Traû tieàn mua nöôùc yeán</v>
          </cell>
          <cell r="I734">
            <v>35146036</v>
          </cell>
        </row>
        <row r="735">
          <cell r="A735">
            <v>5</v>
          </cell>
          <cell r="B735">
            <v>38051</v>
          </cell>
          <cell r="C735">
            <v>36</v>
          </cell>
          <cell r="F735" t="str">
            <v>Coâng Thöông</v>
          </cell>
          <cell r="G735" t="str">
            <v>Baø Ròa-Vuõng Taøu</v>
          </cell>
          <cell r="H735" t="str">
            <v>Traû tieàn mua xaêng daàu</v>
          </cell>
          <cell r="I735">
            <v>1843800000</v>
          </cell>
        </row>
        <row r="736">
          <cell r="A736">
            <v>6</v>
          </cell>
          <cell r="B736">
            <v>38051</v>
          </cell>
          <cell r="C736">
            <v>6</v>
          </cell>
          <cell r="F736" t="str">
            <v>Citibank</v>
          </cell>
          <cell r="G736" t="str">
            <v>Hoà Chí Minh</v>
          </cell>
          <cell r="H736" t="str">
            <v>Traû tieàn mua gaz</v>
          </cell>
          <cell r="I736">
            <v>187292003</v>
          </cell>
        </row>
        <row r="737">
          <cell r="A737">
            <v>7</v>
          </cell>
          <cell r="B737">
            <v>38051</v>
          </cell>
          <cell r="C737">
            <v>77</v>
          </cell>
          <cell r="F737" t="str">
            <v>Coâng Thöông CN 4</v>
          </cell>
          <cell r="G737" t="str">
            <v>Hoà Chí Minh</v>
          </cell>
          <cell r="H737" t="str">
            <v>Traû tieàn mua haøng ñieän maùy</v>
          </cell>
          <cell r="I737">
            <v>26040042</v>
          </cell>
        </row>
        <row r="738">
          <cell r="A738">
            <v>8</v>
          </cell>
          <cell r="B738">
            <v>38051</v>
          </cell>
          <cell r="C738">
            <v>27</v>
          </cell>
          <cell r="F738" t="str">
            <v>INDOVINA</v>
          </cell>
          <cell r="G738" t="str">
            <v>Hoà Chí Minh</v>
          </cell>
          <cell r="H738" t="str">
            <v>Traû tieàn mua ñöôøng</v>
          </cell>
          <cell r="I738">
            <v>62650000</v>
          </cell>
        </row>
        <row r="739">
          <cell r="A739">
            <v>9</v>
          </cell>
          <cell r="B739">
            <v>38051</v>
          </cell>
          <cell r="C739">
            <v>73</v>
          </cell>
          <cell r="F739" t="str">
            <v>Ngoaïi Thöông</v>
          </cell>
          <cell r="G739" t="str">
            <v>Hoà Chí Minh</v>
          </cell>
          <cell r="H739" t="str">
            <v>Traû tieàn mua nöôùc röûa cheùn  (TT.BL,Hoä Phoøng)</v>
          </cell>
          <cell r="I739">
            <v>104071335</v>
          </cell>
        </row>
        <row r="740">
          <cell r="A740">
            <v>10</v>
          </cell>
          <cell r="B740">
            <v>38051</v>
          </cell>
          <cell r="C740">
            <v>19</v>
          </cell>
          <cell r="F740" t="str">
            <v>Eximbank</v>
          </cell>
          <cell r="G740" t="str">
            <v>Hoà Chí Minh</v>
          </cell>
          <cell r="H740" t="str">
            <v>Traû tieàn mua gaz</v>
          </cell>
          <cell r="I740">
            <v>29947500</v>
          </cell>
        </row>
        <row r="741">
          <cell r="A741">
            <v>7</v>
          </cell>
          <cell r="B741">
            <v>38054</v>
          </cell>
          <cell r="C741">
            <v>8</v>
          </cell>
          <cell r="F741" t="str">
            <v>Coâng Thöông</v>
          </cell>
          <cell r="G741" t="str">
            <v>Kieân Giang</v>
          </cell>
          <cell r="H741" t="str">
            <v>Traû tieàn mua xi maêng 250taán</v>
          </cell>
          <cell r="I741">
            <v>195112500</v>
          </cell>
        </row>
        <row r="742">
          <cell r="A742">
            <v>8</v>
          </cell>
          <cell r="B742">
            <v>38054</v>
          </cell>
          <cell r="C742">
            <v>101</v>
          </cell>
          <cell r="F742" t="str">
            <v>Deutsche Bank</v>
          </cell>
          <cell r="G742" t="str">
            <v>Hoà Chí Minh</v>
          </cell>
          <cell r="H742" t="str">
            <v>Traû tieàn mua xaêng daàu (Maõ IBPS 50619012)</v>
          </cell>
          <cell r="I742">
            <v>959000000</v>
          </cell>
        </row>
        <row r="743">
          <cell r="A743">
            <v>9</v>
          </cell>
          <cell r="B743">
            <v>38054</v>
          </cell>
          <cell r="C743">
            <v>1</v>
          </cell>
          <cell r="F743" t="str">
            <v>Sôû Giao Dòch II CTVN</v>
          </cell>
          <cell r="G743" t="str">
            <v>Hoà Chí Minh</v>
          </cell>
          <cell r="H743" t="str">
            <v>Traû tieàn mua thuoác laù</v>
          </cell>
          <cell r="I743">
            <v>231000000</v>
          </cell>
        </row>
        <row r="744">
          <cell r="A744">
            <v>10</v>
          </cell>
          <cell r="B744">
            <v>38054</v>
          </cell>
          <cell r="C744">
            <v>36</v>
          </cell>
          <cell r="F744" t="str">
            <v>Coâng Thöông</v>
          </cell>
          <cell r="G744" t="str">
            <v>Baø Ròa-Vuõng Taøu</v>
          </cell>
          <cell r="H744" t="str">
            <v>Traû tieàn mua xaêng daàu</v>
          </cell>
          <cell r="I744">
            <v>3875000000</v>
          </cell>
        </row>
        <row r="745">
          <cell r="A745">
            <v>11</v>
          </cell>
          <cell r="B745">
            <v>38056</v>
          </cell>
          <cell r="C745">
            <v>8</v>
          </cell>
          <cell r="F745" t="str">
            <v>Coâng Thöông</v>
          </cell>
          <cell r="G745" t="str">
            <v>Kieân Giang</v>
          </cell>
          <cell r="H745" t="str">
            <v>Traû tieàn mua xi maêng 350taán</v>
          </cell>
          <cell r="I745">
            <v>273157500</v>
          </cell>
        </row>
        <row r="746">
          <cell r="A746">
            <v>12</v>
          </cell>
          <cell r="B746">
            <v>38056</v>
          </cell>
          <cell r="C746">
            <v>41</v>
          </cell>
          <cell r="F746" t="str">
            <v>Coâng Thöông CN 9</v>
          </cell>
          <cell r="G746" t="str">
            <v>Hoà Chí Minh</v>
          </cell>
          <cell r="H746" t="str">
            <v>Traû tieàn mua xi maêng 400taán</v>
          </cell>
          <cell r="I746">
            <v>340000000</v>
          </cell>
        </row>
        <row r="747">
          <cell r="A747">
            <v>11</v>
          </cell>
          <cell r="B747">
            <v>38056</v>
          </cell>
          <cell r="C747">
            <v>73</v>
          </cell>
          <cell r="F747" t="str">
            <v>Ngoaïi Thöông</v>
          </cell>
          <cell r="G747" t="str">
            <v>Hoà Chí Minh</v>
          </cell>
          <cell r="H747" t="str">
            <v>Traû tieàn mua nöôùc röûa cheùn  (TT.BL)</v>
          </cell>
          <cell r="I747">
            <v>30895737</v>
          </cell>
        </row>
        <row r="748">
          <cell r="A748">
            <v>13</v>
          </cell>
          <cell r="B748">
            <v>38057</v>
          </cell>
          <cell r="C748">
            <v>5</v>
          </cell>
          <cell r="F748" t="str">
            <v>Coâng Thöong CN6</v>
          </cell>
          <cell r="G748" t="str">
            <v>Hoà Chí Minh</v>
          </cell>
          <cell r="H748" t="str">
            <v>Traû tieàn mua boät ngoït</v>
          </cell>
          <cell r="I748">
            <v>437206103</v>
          </cell>
        </row>
        <row r="749">
          <cell r="A749">
            <v>14</v>
          </cell>
          <cell r="B749">
            <v>38057</v>
          </cell>
          <cell r="C749">
            <v>14</v>
          </cell>
          <cell r="F749" t="str">
            <v>Coâng Thöông CN I</v>
          </cell>
          <cell r="G749" t="str">
            <v>Hoà Chí Minh</v>
          </cell>
          <cell r="H749" t="str">
            <v xml:space="preserve">Traû tieàn mua haøng cho CN Mieàn Taây C.Ty Theùp Mieàn Nam </v>
          </cell>
          <cell r="I749">
            <v>300000000</v>
          </cell>
        </row>
        <row r="750">
          <cell r="A750">
            <v>12</v>
          </cell>
          <cell r="B750">
            <v>38057</v>
          </cell>
          <cell r="C750">
            <v>28</v>
          </cell>
          <cell r="F750" t="str">
            <v>Ñaàu Tö &amp; Phaùt Trieån</v>
          </cell>
          <cell r="G750" t="str">
            <v>Caàn Thô</v>
          </cell>
          <cell r="H750" t="str">
            <v>Traû tieân mua söõa hoäp caùc loaïi</v>
          </cell>
          <cell r="I750">
            <v>385778155</v>
          </cell>
        </row>
        <row r="751">
          <cell r="A751">
            <v>13</v>
          </cell>
          <cell r="B751">
            <v>38058</v>
          </cell>
          <cell r="C751">
            <v>73</v>
          </cell>
          <cell r="F751" t="str">
            <v>Ngoaïi Thöông</v>
          </cell>
          <cell r="G751" t="str">
            <v>Hoà Chí Minh</v>
          </cell>
          <cell r="H751" t="str">
            <v>Traû tieàn mua nöôùc röûa cheùn  (TT.CM)</v>
          </cell>
          <cell r="I751">
            <v>53499317</v>
          </cell>
        </row>
        <row r="752">
          <cell r="A752">
            <v>14</v>
          </cell>
          <cell r="B752">
            <v>38058</v>
          </cell>
          <cell r="C752">
            <v>66</v>
          </cell>
          <cell r="F752" t="str">
            <v>ANZ</v>
          </cell>
          <cell r="G752" t="str">
            <v>Hoà Chí Minh</v>
          </cell>
          <cell r="H752" t="str">
            <v>Traû tieàn mua mì Unif</v>
          </cell>
          <cell r="I752">
            <v>38418540</v>
          </cell>
        </row>
        <row r="753">
          <cell r="A753">
            <v>15</v>
          </cell>
          <cell r="B753">
            <v>38058</v>
          </cell>
          <cell r="C753">
            <v>93</v>
          </cell>
          <cell r="F753" t="str">
            <v>Coâng Thöông CN 12</v>
          </cell>
          <cell r="G753" t="str">
            <v>Hoà Chí Minh</v>
          </cell>
          <cell r="H753" t="str">
            <v>Traû tieàn mua giaáy Vieãn Ñoâng</v>
          </cell>
          <cell r="I753">
            <v>21766371</v>
          </cell>
        </row>
        <row r="754">
          <cell r="A754">
            <v>15</v>
          </cell>
          <cell r="B754">
            <v>38061</v>
          </cell>
          <cell r="C754">
            <v>8</v>
          </cell>
          <cell r="F754" t="str">
            <v>Coâng Thöông</v>
          </cell>
          <cell r="G754" t="str">
            <v>Kieân Giang</v>
          </cell>
          <cell r="H754" t="str">
            <v>Traû tieàn mua xi maêng 150taán</v>
          </cell>
          <cell r="I754">
            <v>118296350</v>
          </cell>
        </row>
        <row r="755">
          <cell r="A755">
            <v>16</v>
          </cell>
          <cell r="B755">
            <v>38062</v>
          </cell>
          <cell r="C755">
            <v>98</v>
          </cell>
          <cell r="F755" t="str">
            <v>Coâng Thöông</v>
          </cell>
          <cell r="G755" t="str">
            <v>Caàn Thô</v>
          </cell>
          <cell r="H755" t="str">
            <v xml:space="preserve">Traû tieàn mua xi maêng </v>
          </cell>
          <cell r="I755">
            <v>347560000</v>
          </cell>
        </row>
        <row r="756">
          <cell r="A756">
            <v>16</v>
          </cell>
          <cell r="B756">
            <v>38062</v>
          </cell>
          <cell r="C756">
            <v>28</v>
          </cell>
          <cell r="F756" t="str">
            <v>Ñaàu Tö &amp; Phaùt Trieån</v>
          </cell>
          <cell r="G756" t="str">
            <v>Caàn Thô</v>
          </cell>
          <cell r="H756" t="str">
            <v>Traû tieân mua söõa hoäp caùc loaïi</v>
          </cell>
          <cell r="I756">
            <v>350000000</v>
          </cell>
        </row>
        <row r="757">
          <cell r="A757">
            <v>17</v>
          </cell>
          <cell r="B757">
            <v>38062</v>
          </cell>
          <cell r="C757">
            <v>31</v>
          </cell>
          <cell r="F757" t="str">
            <v>Sôû Giao Dòch II CTVN</v>
          </cell>
          <cell r="G757" t="str">
            <v>Hoà Chí Minh</v>
          </cell>
          <cell r="H757" t="str">
            <v>Traû tieàn mua daàu xa: 36.323.100ñù+daàu chai(TT.BL: 82.425.839ñ)</v>
          </cell>
          <cell r="I757">
            <v>118748939</v>
          </cell>
        </row>
        <row r="758">
          <cell r="A758">
            <v>18</v>
          </cell>
          <cell r="B758">
            <v>38062</v>
          </cell>
          <cell r="C758">
            <v>25</v>
          </cell>
          <cell r="F758" t="str">
            <v>NN &amp; P/T N/Thoân</v>
          </cell>
          <cell r="G758" t="str">
            <v>Baïc Lieâu</v>
          </cell>
          <cell r="H758" t="str">
            <v xml:space="preserve">Noäp BHXH thaùng 3/2004 </v>
          </cell>
          <cell r="I758">
            <v>24446884</v>
          </cell>
        </row>
        <row r="759">
          <cell r="A759">
            <v>17</v>
          </cell>
          <cell r="B759">
            <v>38062</v>
          </cell>
          <cell r="C759">
            <v>36</v>
          </cell>
          <cell r="F759" t="str">
            <v>Coâng Thöông</v>
          </cell>
          <cell r="G759" t="str">
            <v>Baø Ròa-Vuõng Taøu</v>
          </cell>
          <cell r="H759" t="str">
            <v>Traû tieàn mua xaêng daàu</v>
          </cell>
          <cell r="I759">
            <v>2245000000</v>
          </cell>
        </row>
        <row r="760">
          <cell r="A760">
            <v>18</v>
          </cell>
          <cell r="B760">
            <v>38062</v>
          </cell>
          <cell r="C760">
            <v>8</v>
          </cell>
          <cell r="F760" t="str">
            <v>Coâng Thöông</v>
          </cell>
          <cell r="G760" t="str">
            <v>Kieân Giang</v>
          </cell>
          <cell r="H760" t="str">
            <v>Traû tieàn mua xi maêng 150taán</v>
          </cell>
          <cell r="I760">
            <v>117067500</v>
          </cell>
        </row>
        <row r="761">
          <cell r="A761">
            <v>19</v>
          </cell>
          <cell r="B761">
            <v>38047</v>
          </cell>
          <cell r="C761">
            <v>73</v>
          </cell>
          <cell r="F761" t="str">
            <v>Ngoaïi Thöông</v>
          </cell>
          <cell r="G761" t="str">
            <v>Hoà Chí Minh</v>
          </cell>
          <cell r="H761" t="str">
            <v>Traû tieàn mua nöôùc röûa cheùn  (TT.BL)</v>
          </cell>
          <cell r="I761">
            <v>47398375</v>
          </cell>
        </row>
        <row r="762">
          <cell r="A762">
            <v>20</v>
          </cell>
          <cell r="B762">
            <v>38063</v>
          </cell>
          <cell r="C762">
            <v>27</v>
          </cell>
          <cell r="F762" t="str">
            <v>INDOVINA</v>
          </cell>
          <cell r="G762" t="str">
            <v>Hoà Chí Minh</v>
          </cell>
          <cell r="H762" t="str">
            <v>Traû tieàn mua ñöôøng</v>
          </cell>
          <cell r="I762">
            <v>102375000</v>
          </cell>
        </row>
        <row r="763">
          <cell r="A763">
            <v>21</v>
          </cell>
          <cell r="B763">
            <v>38063</v>
          </cell>
          <cell r="C763">
            <v>31</v>
          </cell>
          <cell r="F763" t="str">
            <v>Sôû Giao Dòch II CTVN</v>
          </cell>
          <cell r="G763" t="str">
            <v>Hoà Chí Minh</v>
          </cell>
          <cell r="H763" t="str">
            <v>Traû tieàn mua daàu Marvela(TT.BL)</v>
          </cell>
          <cell r="I763">
            <v>65206944</v>
          </cell>
        </row>
        <row r="764">
          <cell r="A764">
            <v>22</v>
          </cell>
          <cell r="B764">
            <v>38063</v>
          </cell>
          <cell r="C764">
            <v>44</v>
          </cell>
          <cell r="F764" t="str">
            <v xml:space="preserve">Coâng Thöông </v>
          </cell>
          <cell r="G764" t="str">
            <v>Baïc Lieâu</v>
          </cell>
          <cell r="H764" t="str">
            <v>Traû tieàn ñieän thoaïi thaùng 02/2004</v>
          </cell>
          <cell r="I764">
            <v>10499291</v>
          </cell>
        </row>
        <row r="765">
          <cell r="A765">
            <v>19</v>
          </cell>
          <cell r="B765">
            <v>38064</v>
          </cell>
          <cell r="C765">
            <v>5</v>
          </cell>
          <cell r="F765" t="str">
            <v>Coâng Thöong CN6</v>
          </cell>
          <cell r="G765" t="str">
            <v>Hoà Chí Minh</v>
          </cell>
          <cell r="H765" t="str">
            <v>Traû tieàn mua boät ngoït</v>
          </cell>
          <cell r="I765">
            <v>149977234</v>
          </cell>
        </row>
        <row r="766">
          <cell r="A766">
            <v>20</v>
          </cell>
          <cell r="B766">
            <v>38064</v>
          </cell>
          <cell r="C766">
            <v>9</v>
          </cell>
          <cell r="F766" t="str">
            <v>Ngoaïi Thöông</v>
          </cell>
          <cell r="G766" t="str">
            <v>Hoà Chí Minh</v>
          </cell>
          <cell r="H766" t="str">
            <v>Traû tieàn mua nhôùt</v>
          </cell>
          <cell r="I766">
            <v>129500229</v>
          </cell>
        </row>
        <row r="767">
          <cell r="A767">
            <v>21</v>
          </cell>
          <cell r="B767">
            <v>38065</v>
          </cell>
          <cell r="C767">
            <v>36</v>
          </cell>
          <cell r="F767" t="str">
            <v>Coâng Thöông</v>
          </cell>
          <cell r="G767" t="str">
            <v>Baø Ròa-Vuõng Taøu</v>
          </cell>
          <cell r="H767" t="str">
            <v>Traû tieàn mua xaêng daàu</v>
          </cell>
          <cell r="I767">
            <v>3875000000</v>
          </cell>
        </row>
        <row r="768">
          <cell r="A768">
            <v>22</v>
          </cell>
          <cell r="B768">
            <v>38065</v>
          </cell>
          <cell r="C768">
            <v>28</v>
          </cell>
          <cell r="F768" t="str">
            <v>Ñaàu Tö &amp; Phaùt Trieån</v>
          </cell>
          <cell r="G768" t="str">
            <v>Caàn Thô</v>
          </cell>
          <cell r="H768" t="str">
            <v>Traû tieân mua söõa hoäp caùc loaïi</v>
          </cell>
          <cell r="I768">
            <v>210000000</v>
          </cell>
        </row>
        <row r="769">
          <cell r="A769">
            <v>23</v>
          </cell>
          <cell r="B769">
            <v>38065</v>
          </cell>
          <cell r="C769">
            <v>99</v>
          </cell>
          <cell r="F769" t="str">
            <v>AÙ Chaâu</v>
          </cell>
          <cell r="G769" t="str">
            <v>Hoà Chí Minh</v>
          </cell>
          <cell r="H769" t="str">
            <v>Traû tieàn mua nöôùc bí ñao</v>
          </cell>
          <cell r="I769">
            <v>17096541</v>
          </cell>
        </row>
        <row r="770">
          <cell r="A770">
            <v>22</v>
          </cell>
          <cell r="B770">
            <v>38065</v>
          </cell>
          <cell r="C770">
            <v>8</v>
          </cell>
          <cell r="F770" t="str">
            <v>Coâng Thöông</v>
          </cell>
          <cell r="G770" t="str">
            <v>Kieân Giang</v>
          </cell>
          <cell r="H770" t="str">
            <v>Traû tieàn mua xi maêng 150taán</v>
          </cell>
          <cell r="I770">
            <v>118068200</v>
          </cell>
        </row>
        <row r="771">
          <cell r="A771">
            <v>23</v>
          </cell>
          <cell r="B771">
            <v>38068</v>
          </cell>
          <cell r="C771">
            <v>8</v>
          </cell>
          <cell r="F771" t="str">
            <v>Coâng Thöông</v>
          </cell>
          <cell r="G771" t="str">
            <v>Kieân Giang</v>
          </cell>
          <cell r="H771" t="str">
            <v>Traû tieàn mua xi maêng 150taán</v>
          </cell>
          <cell r="I771">
            <v>118552500</v>
          </cell>
        </row>
        <row r="772">
          <cell r="A772">
            <v>24</v>
          </cell>
          <cell r="B772">
            <v>38068</v>
          </cell>
          <cell r="C772">
            <v>3</v>
          </cell>
          <cell r="F772" t="str">
            <v>Coâng Thöông CN 14</v>
          </cell>
          <cell r="G772" t="str">
            <v>Hoà Chí Minh</v>
          </cell>
          <cell r="H772" t="str">
            <v>Traû tieàn boät giaët</v>
          </cell>
          <cell r="I772">
            <v>210000000</v>
          </cell>
        </row>
        <row r="773">
          <cell r="A773">
            <v>24</v>
          </cell>
          <cell r="B773">
            <v>38068</v>
          </cell>
          <cell r="C773">
            <v>28</v>
          </cell>
          <cell r="F773" t="str">
            <v>Ñaàu Tö &amp; Phaùt Trieån</v>
          </cell>
          <cell r="G773" t="str">
            <v>Caàn Thô</v>
          </cell>
          <cell r="H773" t="str">
            <v>Traû tieân mua söõa hoäp caùc loaïi</v>
          </cell>
          <cell r="I773">
            <v>310000000</v>
          </cell>
        </row>
        <row r="774">
          <cell r="A774">
            <v>25</v>
          </cell>
          <cell r="B774">
            <v>38068</v>
          </cell>
          <cell r="C774">
            <v>99</v>
          </cell>
          <cell r="F774" t="str">
            <v>AÙ Chaâu</v>
          </cell>
          <cell r="G774" t="str">
            <v>Hoà Chí Minh</v>
          </cell>
          <cell r="H774" t="str">
            <v>Traû tieàn mua nöôùc bí ñao</v>
          </cell>
          <cell r="I774">
            <v>7071818</v>
          </cell>
        </row>
        <row r="775">
          <cell r="A775">
            <v>26</v>
          </cell>
          <cell r="B775">
            <v>38068</v>
          </cell>
          <cell r="C775">
            <v>31</v>
          </cell>
          <cell r="F775" t="str">
            <v>Sôû Giao Dòch II CTVN</v>
          </cell>
          <cell r="G775" t="str">
            <v>Hoà Chí Minh</v>
          </cell>
          <cell r="H775" t="str">
            <v>Traû tieàn mua daàu Marvela(TT.CM)</v>
          </cell>
          <cell r="I775">
            <v>82978588</v>
          </cell>
        </row>
        <row r="776">
          <cell r="A776">
            <v>27</v>
          </cell>
          <cell r="B776">
            <v>38068</v>
          </cell>
          <cell r="C776">
            <v>73</v>
          </cell>
          <cell r="F776" t="str">
            <v>Ngoaïi Thöông</v>
          </cell>
          <cell r="G776" t="str">
            <v>Hoà Chí Minh</v>
          </cell>
          <cell r="H776" t="str">
            <v>Traû tieàn mua nöôùc röûa cheùn  (TT.CM)</v>
          </cell>
          <cell r="I776">
            <v>56169418</v>
          </cell>
        </row>
        <row r="777">
          <cell r="A777">
            <v>25</v>
          </cell>
          <cell r="B777">
            <v>38068</v>
          </cell>
          <cell r="C777">
            <v>36</v>
          </cell>
          <cell r="F777" t="str">
            <v>Coâng Thöông</v>
          </cell>
          <cell r="G777" t="str">
            <v>Baø Ròa-Vuõng Taøu</v>
          </cell>
          <cell r="H777" t="str">
            <v>Traû tieàn mua xaêng daàu</v>
          </cell>
          <cell r="I777">
            <v>3992000000</v>
          </cell>
        </row>
        <row r="778">
          <cell r="A778">
            <v>24</v>
          </cell>
          <cell r="B778">
            <v>38068</v>
          </cell>
          <cell r="C778">
            <v>3</v>
          </cell>
          <cell r="F778" t="str">
            <v>Coâng Thöông CN 14</v>
          </cell>
          <cell r="G778" t="str">
            <v>Hoà Chí Minh</v>
          </cell>
          <cell r="H778" t="str">
            <v>Traû tieàn boät giaët</v>
          </cell>
          <cell r="I778">
            <v>210000000</v>
          </cell>
        </row>
        <row r="779">
          <cell r="A779">
            <v>26</v>
          </cell>
          <cell r="B779">
            <v>38068</v>
          </cell>
          <cell r="C779">
            <v>1</v>
          </cell>
          <cell r="F779" t="str">
            <v>Sôû Giao Dòch II CTVN</v>
          </cell>
          <cell r="G779" t="str">
            <v>Hoà Chí Minh</v>
          </cell>
          <cell r="H779" t="str">
            <v>Traû tieàn mua thuoác laù</v>
          </cell>
          <cell r="I779">
            <v>253682000</v>
          </cell>
        </row>
        <row r="780">
          <cell r="A780">
            <v>27</v>
          </cell>
          <cell r="B780">
            <v>38068</v>
          </cell>
          <cell r="C780">
            <v>14</v>
          </cell>
          <cell r="F780" t="str">
            <v>Coâng Thöông CN I</v>
          </cell>
          <cell r="G780" t="str">
            <v>Hoà Chí Minh</v>
          </cell>
          <cell r="H780" t="str">
            <v xml:space="preserve">Traû tieàn mua haøng cho CN Mieàn Taây C.Ty Theùp Mieàn Nam </v>
          </cell>
          <cell r="I780">
            <v>300000000</v>
          </cell>
        </row>
        <row r="781">
          <cell r="A781">
            <v>28</v>
          </cell>
          <cell r="B781">
            <v>38069</v>
          </cell>
          <cell r="C781">
            <v>5</v>
          </cell>
          <cell r="F781" t="str">
            <v>Coâng Thöong CN6</v>
          </cell>
          <cell r="G781" t="str">
            <v>Hoà Chí Minh</v>
          </cell>
          <cell r="H781" t="str">
            <v>Traû tieàn mua boät ngoït</v>
          </cell>
          <cell r="I781">
            <v>100467263</v>
          </cell>
        </row>
        <row r="782">
          <cell r="A782">
            <v>29</v>
          </cell>
          <cell r="B782">
            <v>38069</v>
          </cell>
          <cell r="C782">
            <v>105</v>
          </cell>
          <cell r="F782" t="str">
            <v>Coâng Thöông CN 4</v>
          </cell>
          <cell r="G782" t="str">
            <v>Hoà Chí Minh</v>
          </cell>
          <cell r="H782" t="str">
            <v xml:space="preserve">Traû tieàn mua nhôùt </v>
          </cell>
          <cell r="I782">
            <v>92700000</v>
          </cell>
        </row>
        <row r="783">
          <cell r="A783">
            <v>28</v>
          </cell>
          <cell r="B783">
            <v>38069</v>
          </cell>
          <cell r="C783">
            <v>5</v>
          </cell>
          <cell r="F783" t="str">
            <v>Coâng Thöong CN6</v>
          </cell>
          <cell r="G783" t="str">
            <v>Hoà Chí Minh</v>
          </cell>
          <cell r="H783" t="str">
            <v>Traû tieàn mua boät ngoït</v>
          </cell>
          <cell r="I783">
            <v>100467263</v>
          </cell>
        </row>
        <row r="784">
          <cell r="A784">
            <v>28</v>
          </cell>
          <cell r="B784">
            <v>38070</v>
          </cell>
          <cell r="C784">
            <v>106</v>
          </cell>
          <cell r="F784" t="str">
            <v>Sôû Giao Dòch I CTVN</v>
          </cell>
          <cell r="G784" t="str">
            <v>Haø Noäi</v>
          </cell>
          <cell r="H784" t="str">
            <v>Traûtieàn phí dòch vuï Vietlaw-teân truy caäp baotranquan</v>
          </cell>
          <cell r="I784">
            <v>376200</v>
          </cell>
        </row>
        <row r="785">
          <cell r="A785">
            <v>29</v>
          </cell>
          <cell r="B785">
            <v>38070</v>
          </cell>
          <cell r="C785">
            <v>28</v>
          </cell>
          <cell r="F785" t="str">
            <v>Ñaàu Tö &amp; Phaùt Trieån</v>
          </cell>
          <cell r="G785" t="str">
            <v>Caàn Thô</v>
          </cell>
          <cell r="H785" t="str">
            <v>Traû tieân mua söõa hoäp caùc loaïi</v>
          </cell>
          <cell r="I785">
            <v>650000000</v>
          </cell>
        </row>
        <row r="786">
          <cell r="A786">
            <v>30</v>
          </cell>
          <cell r="B786">
            <v>38070</v>
          </cell>
          <cell r="C786">
            <v>9</v>
          </cell>
          <cell r="F786" t="str">
            <v>Ngoaïi Thöông</v>
          </cell>
          <cell r="G786" t="str">
            <v>Hoà Chí Minh</v>
          </cell>
          <cell r="H786" t="str">
            <v>Traû tieàn mua nhôùt Castrol</v>
          </cell>
          <cell r="I786">
            <v>197835059</v>
          </cell>
        </row>
        <row r="787">
          <cell r="A787">
            <v>30</v>
          </cell>
          <cell r="B787">
            <v>38071</v>
          </cell>
          <cell r="C787">
            <v>21</v>
          </cell>
          <cell r="F787" t="str">
            <v>Coâng Thöông</v>
          </cell>
          <cell r="G787" t="str">
            <v>Caàn Thô</v>
          </cell>
          <cell r="H787" t="str">
            <v>Traû tieàn mua gaz</v>
          </cell>
          <cell r="I787">
            <v>49423001</v>
          </cell>
        </row>
        <row r="788">
          <cell r="A788">
            <v>31</v>
          </cell>
          <cell r="B788">
            <v>38072</v>
          </cell>
          <cell r="C788">
            <v>73</v>
          </cell>
          <cell r="F788" t="str">
            <v>Ngoaïi Thöông</v>
          </cell>
          <cell r="G788" t="str">
            <v>Hoà Chí Minh</v>
          </cell>
          <cell r="H788" t="str">
            <v>Traû tieàn mua nöôùc röûa cheùn  (TT.BL)</v>
          </cell>
          <cell r="I788">
            <v>40821017</v>
          </cell>
        </row>
        <row r="789">
          <cell r="A789">
            <v>32</v>
          </cell>
          <cell r="B789">
            <v>38072</v>
          </cell>
          <cell r="C789">
            <v>66</v>
          </cell>
          <cell r="F789" t="str">
            <v>ANZ</v>
          </cell>
          <cell r="G789" t="str">
            <v>Hoà Chí Minh</v>
          </cell>
          <cell r="H789" t="str">
            <v>Traû tieàn mua mì Unif</v>
          </cell>
          <cell r="I789">
            <v>38418513</v>
          </cell>
        </row>
        <row r="790">
          <cell r="A790">
            <v>31</v>
          </cell>
          <cell r="B790">
            <v>38072</v>
          </cell>
          <cell r="C790">
            <v>5</v>
          </cell>
          <cell r="F790" t="str">
            <v>Coâng Thöong CN6</v>
          </cell>
          <cell r="G790" t="str">
            <v>Hoà Chí Minh</v>
          </cell>
          <cell r="H790" t="str">
            <v>Traû tieàn mua boät ngoït</v>
          </cell>
          <cell r="I790">
            <v>188894906</v>
          </cell>
        </row>
        <row r="791">
          <cell r="A791">
            <v>32</v>
          </cell>
          <cell r="B791">
            <v>38072</v>
          </cell>
          <cell r="C791">
            <v>22</v>
          </cell>
          <cell r="F791" t="str">
            <v>Coâng Thöông</v>
          </cell>
          <cell r="G791" t="str">
            <v>Long An</v>
          </cell>
          <cell r="H791" t="str">
            <v>Haøng deät Long An</v>
          </cell>
          <cell r="I791">
            <v>9413270</v>
          </cell>
        </row>
        <row r="792">
          <cell r="A792">
            <v>33</v>
          </cell>
          <cell r="B792">
            <v>38072</v>
          </cell>
          <cell r="C792">
            <v>8</v>
          </cell>
          <cell r="F792" t="str">
            <v>Coâng Thöông</v>
          </cell>
          <cell r="G792" t="str">
            <v>Kieân Giang</v>
          </cell>
          <cell r="H792" t="str">
            <v>Traû tieàn mua xi maêng 150taán</v>
          </cell>
          <cell r="I792">
            <v>118552500</v>
          </cell>
        </row>
        <row r="793">
          <cell r="A793">
            <v>34</v>
          </cell>
          <cell r="B793">
            <v>38075</v>
          </cell>
          <cell r="C793">
            <v>8</v>
          </cell>
          <cell r="F793" t="str">
            <v>Coâng Thöông</v>
          </cell>
          <cell r="G793" t="str">
            <v>Kieân Giang</v>
          </cell>
          <cell r="H793" t="str">
            <v>Traû tieàn mua xi maêng 150taán</v>
          </cell>
          <cell r="I793">
            <v>112269700</v>
          </cell>
        </row>
        <row r="794">
          <cell r="A794">
            <v>35</v>
          </cell>
          <cell r="B794">
            <v>38075</v>
          </cell>
          <cell r="C794">
            <v>7</v>
          </cell>
          <cell r="F794" t="str">
            <v>Ñaàu Tö &amp; Phaùt Trieån CN Thuû Ñöùc</v>
          </cell>
          <cell r="G794" t="str">
            <v>Hoà Chí Minh</v>
          </cell>
          <cell r="H794" t="str">
            <v>Traû tieàn mì Colusa</v>
          </cell>
          <cell r="I794">
            <v>113554883</v>
          </cell>
        </row>
        <row r="795">
          <cell r="A795">
            <v>35</v>
          </cell>
          <cell r="B795">
            <v>38075</v>
          </cell>
          <cell r="C795">
            <v>93</v>
          </cell>
          <cell r="F795" t="str">
            <v>Coâng Thöông CN 12</v>
          </cell>
          <cell r="G795" t="str">
            <v>Hoà Chí Minh</v>
          </cell>
          <cell r="H795" t="str">
            <v>Traû tieàn mua giaáy Vieãn Ñoâng</v>
          </cell>
          <cell r="I795">
            <v>22631120</v>
          </cell>
        </row>
        <row r="796">
          <cell r="A796">
            <v>32</v>
          </cell>
          <cell r="B796">
            <v>38075</v>
          </cell>
          <cell r="C796">
            <v>31</v>
          </cell>
          <cell r="F796" t="str">
            <v>Sôû Giao Dòch II CTVN</v>
          </cell>
          <cell r="G796" t="str">
            <v>Hoà Chí Minh</v>
          </cell>
          <cell r="H796" t="str">
            <v>Traû tieàn mua daàu Marvela(TT.CM)</v>
          </cell>
          <cell r="I796">
            <v>93013844</v>
          </cell>
        </row>
        <row r="797">
          <cell r="A797">
            <v>33</v>
          </cell>
          <cell r="B797">
            <v>38076</v>
          </cell>
          <cell r="C797">
            <v>28</v>
          </cell>
          <cell r="F797" t="str">
            <v>Ñaàu Tö &amp; Phaùt Trieån</v>
          </cell>
          <cell r="G797" t="str">
            <v>Caàn Thô</v>
          </cell>
          <cell r="H797" t="str">
            <v>Traû tieân mua söõa hoäp caùc loaïi</v>
          </cell>
          <cell r="I797">
            <v>220000000</v>
          </cell>
        </row>
        <row r="798">
          <cell r="A798">
            <v>34</v>
          </cell>
          <cell r="B798">
            <v>38076</v>
          </cell>
          <cell r="C798">
            <v>90</v>
          </cell>
          <cell r="F798" t="str">
            <v>Coâng Thöông</v>
          </cell>
          <cell r="G798" t="str">
            <v>Caàn Thô</v>
          </cell>
          <cell r="H798" t="str">
            <v>Traû tieàn mua ñöôøng BH</v>
          </cell>
          <cell r="I798">
            <v>35674931</v>
          </cell>
        </row>
        <row r="799">
          <cell r="A799">
            <v>35</v>
          </cell>
          <cell r="B799">
            <v>38076</v>
          </cell>
          <cell r="C799">
            <v>27</v>
          </cell>
          <cell r="F799" t="str">
            <v>INDOVINA</v>
          </cell>
          <cell r="G799" t="str">
            <v>Hoà Chí Minh</v>
          </cell>
          <cell r="H799" t="str">
            <v>Traû tieàn mua ñöôøng</v>
          </cell>
          <cell r="I799">
            <v>37450000</v>
          </cell>
        </row>
        <row r="800">
          <cell r="A800">
            <v>36</v>
          </cell>
          <cell r="B800">
            <v>38076</v>
          </cell>
          <cell r="C800">
            <v>36</v>
          </cell>
          <cell r="F800" t="str">
            <v>Coâng Thöông</v>
          </cell>
          <cell r="G800" t="str">
            <v>Baø Ròa-Vuõng Taøu</v>
          </cell>
          <cell r="H800" t="str">
            <v>Traû tieàn mua xaêng daàu</v>
          </cell>
          <cell r="I800">
            <v>5543000000</v>
          </cell>
        </row>
        <row r="801">
          <cell r="A801">
            <v>37</v>
          </cell>
          <cell r="B801">
            <v>38077</v>
          </cell>
          <cell r="C801">
            <v>41</v>
          </cell>
          <cell r="F801" t="str">
            <v>Coâng Thöông CN 9</v>
          </cell>
          <cell r="G801" t="str">
            <v>Hoà Chí Minh</v>
          </cell>
          <cell r="H801" t="str">
            <v>Traû tieàn mua xi maêng 400taán</v>
          </cell>
          <cell r="I801">
            <v>340000000</v>
          </cell>
        </row>
        <row r="802">
          <cell r="A802">
            <v>38</v>
          </cell>
          <cell r="B802">
            <v>38077</v>
          </cell>
          <cell r="C802">
            <v>14</v>
          </cell>
          <cell r="F802" t="str">
            <v>Coâng Thöông CN I</v>
          </cell>
          <cell r="G802" t="str">
            <v>Hoà Chí Minh</v>
          </cell>
          <cell r="H802" t="str">
            <v xml:space="preserve">Traû tieàn mua haøng cho CN Mieàn Taây C.Ty Theùp Mieàn Nam </v>
          </cell>
          <cell r="I802">
            <v>220000000</v>
          </cell>
        </row>
        <row r="803">
          <cell r="A803">
            <v>36</v>
          </cell>
          <cell r="B803">
            <v>38077</v>
          </cell>
          <cell r="C803">
            <v>19</v>
          </cell>
          <cell r="F803" t="str">
            <v>Eximbank</v>
          </cell>
          <cell r="G803" t="str">
            <v>Hoà Chí Minh</v>
          </cell>
          <cell r="H803" t="str">
            <v>Traû tieàn mua gaz</v>
          </cell>
          <cell r="I803">
            <v>28850000</v>
          </cell>
        </row>
        <row r="804">
          <cell r="A804">
            <v>39</v>
          </cell>
          <cell r="B804">
            <v>38077</v>
          </cell>
          <cell r="C804">
            <v>98</v>
          </cell>
          <cell r="F804" t="str">
            <v>Coâng Thöông</v>
          </cell>
          <cell r="G804" t="str">
            <v>Caàn Thô</v>
          </cell>
          <cell r="H804" t="str">
            <v xml:space="preserve">Traû tieàn mua xi maêng </v>
          </cell>
          <cell r="I804">
            <v>200000000</v>
          </cell>
        </row>
        <row r="805">
          <cell r="A805">
            <v>40</v>
          </cell>
          <cell r="B805">
            <v>38077</v>
          </cell>
          <cell r="C805">
            <v>3</v>
          </cell>
          <cell r="F805" t="str">
            <v>Coâng Thöông CN 14</v>
          </cell>
          <cell r="G805" t="str">
            <v>Hoà Chí Minh</v>
          </cell>
          <cell r="H805" t="str">
            <v>Traû tieàn mua boät giaët</v>
          </cell>
          <cell r="I805">
            <v>265000000</v>
          </cell>
        </row>
        <row r="806">
          <cell r="A806">
            <v>1</v>
          </cell>
          <cell r="B806">
            <v>38078</v>
          </cell>
          <cell r="C806">
            <v>8</v>
          </cell>
          <cell r="F806" t="str">
            <v>Coâng Thöông</v>
          </cell>
          <cell r="G806" t="str">
            <v>Kieân Giang</v>
          </cell>
          <cell r="H806" t="str">
            <v>Traû tieàn mua xi maêng 300taán</v>
          </cell>
          <cell r="I806">
            <v>243210000</v>
          </cell>
        </row>
        <row r="807">
          <cell r="A807">
            <v>2</v>
          </cell>
          <cell r="B807">
            <v>38079</v>
          </cell>
          <cell r="C807">
            <v>36</v>
          </cell>
          <cell r="F807" t="str">
            <v>Coâng Thöông</v>
          </cell>
          <cell r="G807" t="str">
            <v>Baø Ròa-Vuõng Taøu</v>
          </cell>
          <cell r="H807" t="str">
            <v>Traû tieàn mua xaêng daàu</v>
          </cell>
          <cell r="I807">
            <v>4035000000</v>
          </cell>
        </row>
        <row r="808">
          <cell r="A808">
            <v>3</v>
          </cell>
          <cell r="B808">
            <v>38079</v>
          </cell>
          <cell r="C808">
            <v>5</v>
          </cell>
          <cell r="F808" t="str">
            <v>Coâng Thöong CN6</v>
          </cell>
          <cell r="G808" t="str">
            <v>Hoà Chí Minh</v>
          </cell>
          <cell r="H808" t="str">
            <v>Traû tieàn mua boät ngoït</v>
          </cell>
          <cell r="I808">
            <v>348733961</v>
          </cell>
        </row>
        <row r="809">
          <cell r="A809">
            <v>1</v>
          </cell>
          <cell r="B809">
            <v>38079</v>
          </cell>
          <cell r="C809">
            <v>86</v>
          </cell>
          <cell r="F809" t="str">
            <v>Phöông Ñoâng</v>
          </cell>
          <cell r="G809" t="str">
            <v>Baïc Lieâu</v>
          </cell>
          <cell r="H809" t="str">
            <v>Traû tieàn mua Baûo Hieåm  Baûo Minh ñôït 2</v>
          </cell>
          <cell r="I809">
            <v>15635200</v>
          </cell>
        </row>
        <row r="810">
          <cell r="A810">
            <v>2</v>
          </cell>
          <cell r="B810">
            <v>38079</v>
          </cell>
          <cell r="C810">
            <v>51</v>
          </cell>
          <cell r="F810" t="str">
            <v xml:space="preserve">Ngoaïi Thöông </v>
          </cell>
          <cell r="G810" t="str">
            <v>Haø Noâi</v>
          </cell>
          <cell r="H810" t="str">
            <v>Traû tieàn giôùi thieäu thoâng tin treân baùo TT.Thoâng Tin.TMaïi</v>
          </cell>
          <cell r="I810">
            <v>2500000</v>
          </cell>
        </row>
        <row r="811">
          <cell r="A811">
            <v>4</v>
          </cell>
          <cell r="B811">
            <v>38082</v>
          </cell>
          <cell r="C811">
            <v>17</v>
          </cell>
          <cell r="F811" t="str">
            <v>Ngoaïi Thöông</v>
          </cell>
          <cell r="G811" t="str">
            <v>Hoà Chí Minh</v>
          </cell>
          <cell r="H811" t="str">
            <v>Traû tieàn mua xaêng daàu</v>
          </cell>
          <cell r="I811">
            <v>565000000</v>
          </cell>
        </row>
        <row r="812">
          <cell r="A812">
            <v>3</v>
          </cell>
          <cell r="B812">
            <v>38082</v>
          </cell>
          <cell r="C812">
            <v>28</v>
          </cell>
          <cell r="F812" t="str">
            <v>Ñaàu Tö &amp; Phaùt Trieån</v>
          </cell>
          <cell r="G812" t="str">
            <v>Caàn Thô</v>
          </cell>
          <cell r="H812" t="str">
            <v>Traû tieân mua söõa hoäp caùc loaïi</v>
          </cell>
          <cell r="I812">
            <v>300000000</v>
          </cell>
        </row>
        <row r="813">
          <cell r="A813">
            <v>5</v>
          </cell>
          <cell r="B813">
            <v>38083</v>
          </cell>
          <cell r="C813">
            <v>98</v>
          </cell>
          <cell r="F813" t="str">
            <v>Coâng Thöông</v>
          </cell>
          <cell r="G813" t="str">
            <v>Caàn Thô</v>
          </cell>
          <cell r="H813" t="str">
            <v xml:space="preserve">Traû tieàn mua xi maêng </v>
          </cell>
          <cell r="I813">
            <v>240000000</v>
          </cell>
        </row>
        <row r="814">
          <cell r="A814">
            <v>6</v>
          </cell>
          <cell r="B814">
            <v>38083</v>
          </cell>
          <cell r="C814">
            <v>1</v>
          </cell>
          <cell r="F814" t="str">
            <v>Sôû Giao Dòch II CTVN</v>
          </cell>
          <cell r="G814" t="str">
            <v>Hoà Chí Minh</v>
          </cell>
          <cell r="H814" t="str">
            <v>Traû tieàn mua thuoác laù</v>
          </cell>
          <cell r="I814">
            <v>182820000</v>
          </cell>
        </row>
        <row r="815">
          <cell r="A815">
            <v>7</v>
          </cell>
          <cell r="B815">
            <v>38083</v>
          </cell>
          <cell r="C815">
            <v>100</v>
          </cell>
          <cell r="F815" t="str">
            <v>Coâng Thöông CN 12</v>
          </cell>
          <cell r="G815" t="str">
            <v>Hoà Chí Minh</v>
          </cell>
          <cell r="H815" t="str">
            <v>Traû tieàn mua caù moøi</v>
          </cell>
          <cell r="I815">
            <v>32000000</v>
          </cell>
        </row>
        <row r="816">
          <cell r="A816">
            <v>8</v>
          </cell>
          <cell r="B816">
            <v>38084</v>
          </cell>
          <cell r="C816">
            <v>8</v>
          </cell>
          <cell r="F816" t="str">
            <v>Coâng Thöông</v>
          </cell>
          <cell r="G816" t="str">
            <v>Kieân Giang</v>
          </cell>
          <cell r="H816" t="str">
            <v>Traû tieàn mua xi maêng 150taán</v>
          </cell>
          <cell r="I816">
            <v>121605000</v>
          </cell>
        </row>
        <row r="817">
          <cell r="A817">
            <v>9</v>
          </cell>
          <cell r="B817">
            <v>38084</v>
          </cell>
          <cell r="C817">
            <v>27</v>
          </cell>
          <cell r="F817" t="str">
            <v>INDOVINA</v>
          </cell>
          <cell r="G817" t="str">
            <v>Hoà Chí Minh</v>
          </cell>
          <cell r="H817" t="str">
            <v>Traû tieàn mua ñöôøng</v>
          </cell>
          <cell r="I817">
            <v>76300000</v>
          </cell>
        </row>
        <row r="818">
          <cell r="A818">
            <v>4</v>
          </cell>
          <cell r="B818">
            <v>38084</v>
          </cell>
          <cell r="C818">
            <v>47</v>
          </cell>
          <cell r="F818" t="str">
            <v>NN&amp;PTNT</v>
          </cell>
          <cell r="G818" t="str">
            <v>Baïc Lieâu</v>
          </cell>
          <cell r="H818" t="str">
            <v>Mua Baûo hieåm tai naïn cho  CB-CNC naêm 2004</v>
          </cell>
          <cell r="I818">
            <v>4564000</v>
          </cell>
        </row>
        <row r="819">
          <cell r="A819">
            <v>5</v>
          </cell>
          <cell r="B819">
            <v>38084</v>
          </cell>
          <cell r="C819">
            <v>99</v>
          </cell>
          <cell r="F819" t="str">
            <v>AÙ Chaâu</v>
          </cell>
          <cell r="G819" t="str">
            <v>Hoà Chí Minh</v>
          </cell>
          <cell r="H819" t="str">
            <v>Traû tieàn mua nöôùc yeán</v>
          </cell>
          <cell r="I819">
            <v>25428355</v>
          </cell>
        </row>
        <row r="820">
          <cell r="A820">
            <v>6</v>
          </cell>
          <cell r="B820">
            <v>38084</v>
          </cell>
          <cell r="C820">
            <v>44</v>
          </cell>
          <cell r="F820" t="str">
            <v xml:space="preserve">Coâng Thöông </v>
          </cell>
          <cell r="G820" t="str">
            <v>Baïc Lieâu</v>
          </cell>
          <cell r="H820" t="str">
            <v>Traû tieàn ñieän thoaïi thaùng 03/2004</v>
          </cell>
          <cell r="I820">
            <v>10070130</v>
          </cell>
        </row>
        <row r="821">
          <cell r="A821">
            <v>7</v>
          </cell>
          <cell r="B821">
            <v>38085</v>
          </cell>
          <cell r="C821">
            <v>31</v>
          </cell>
          <cell r="F821" t="str">
            <v>Sôû Giao Dòch II CTVN</v>
          </cell>
          <cell r="G821" t="str">
            <v>Hoà Chí Minh</v>
          </cell>
          <cell r="H821" t="str">
            <v>Traû tieàn mua daàu Marvela</v>
          </cell>
          <cell r="I821">
            <v>78868398</v>
          </cell>
        </row>
        <row r="822">
          <cell r="A822">
            <v>8</v>
          </cell>
          <cell r="B822">
            <v>38086</v>
          </cell>
          <cell r="C822">
            <v>31</v>
          </cell>
          <cell r="F822" t="str">
            <v>Sôû Giao Dòch II CTVN</v>
          </cell>
          <cell r="G822" t="str">
            <v>Hoà Chí Minh</v>
          </cell>
          <cell r="H822" t="str">
            <v>Traû tieàn mua daàu Marvela(TT.TN.Hoä Phoøng )</v>
          </cell>
          <cell r="I822">
            <v>93376096</v>
          </cell>
        </row>
        <row r="823">
          <cell r="A823">
            <v>10</v>
          </cell>
          <cell r="B823">
            <v>38086</v>
          </cell>
          <cell r="C823">
            <v>8</v>
          </cell>
          <cell r="F823" t="str">
            <v>Coâng Thöông</v>
          </cell>
          <cell r="G823" t="str">
            <v>Kieân Giang</v>
          </cell>
          <cell r="H823" t="str">
            <v>Traû tieàn mua xi maêng 100taán</v>
          </cell>
          <cell r="I823">
            <v>81070000</v>
          </cell>
        </row>
        <row r="824">
          <cell r="A824">
            <v>11</v>
          </cell>
          <cell r="B824">
            <v>38086</v>
          </cell>
          <cell r="C824">
            <v>36</v>
          </cell>
          <cell r="F824" t="str">
            <v>Coâng Thöông</v>
          </cell>
          <cell r="G824" t="str">
            <v>Baø Ròa-Vuõng Taøu</v>
          </cell>
          <cell r="H824" t="str">
            <v>Traû tieàn mua xaêng daàu</v>
          </cell>
          <cell r="I824">
            <v>5543000000</v>
          </cell>
        </row>
        <row r="825">
          <cell r="A825">
            <v>12</v>
          </cell>
          <cell r="B825">
            <v>38086</v>
          </cell>
          <cell r="C825">
            <v>14</v>
          </cell>
          <cell r="F825" t="str">
            <v>Coâng Thöông CN I</v>
          </cell>
          <cell r="G825" t="str">
            <v>Hoà Chí Minh</v>
          </cell>
          <cell r="H825" t="str">
            <v xml:space="preserve">Traû tieàn mua haøng cho CN Mieàn Taây C.Ty Theùp Mieàn Nam </v>
          </cell>
          <cell r="I825">
            <v>300000000</v>
          </cell>
        </row>
        <row r="826">
          <cell r="A826">
            <v>13</v>
          </cell>
          <cell r="B826">
            <v>38086</v>
          </cell>
          <cell r="C826">
            <v>10</v>
          </cell>
          <cell r="F826" t="str">
            <v>Hoàng Kong&amp; Thöôïng Haûi</v>
          </cell>
          <cell r="G826" t="str">
            <v>Hoà Chí Minh</v>
          </cell>
          <cell r="H826" t="str">
            <v>Traû tieàn mua nhôùt</v>
          </cell>
          <cell r="I826">
            <v>340000000</v>
          </cell>
        </row>
        <row r="827">
          <cell r="A827">
            <v>9</v>
          </cell>
          <cell r="B827">
            <v>38089</v>
          </cell>
          <cell r="C827">
            <v>31</v>
          </cell>
          <cell r="F827" t="str">
            <v>Sôû Giao Dòch II CTVN</v>
          </cell>
          <cell r="G827" t="str">
            <v>Hoà Chí Minh</v>
          </cell>
          <cell r="H827" t="str">
            <v>Traû tieàn mua daàu Marvela(TT.TN.BL )</v>
          </cell>
          <cell r="I827">
            <v>90753819</v>
          </cell>
        </row>
        <row r="828">
          <cell r="A828">
            <v>10</v>
          </cell>
          <cell r="B828">
            <v>38089</v>
          </cell>
          <cell r="C828">
            <v>73</v>
          </cell>
          <cell r="F828" t="str">
            <v>Ngoaïi Thöông</v>
          </cell>
          <cell r="G828" t="str">
            <v>Hoà Chí Minh</v>
          </cell>
          <cell r="H828" t="str">
            <v>Traû tieàn mua nöôùc röûa cheùn  (TT.BL:73.233.006ñ; TT.CM: 41.210.941ñ)</v>
          </cell>
          <cell r="I828">
            <v>114443947</v>
          </cell>
        </row>
        <row r="829">
          <cell r="A829">
            <v>11</v>
          </cell>
          <cell r="B829">
            <v>38089</v>
          </cell>
          <cell r="C829">
            <v>28</v>
          </cell>
          <cell r="F829" t="str">
            <v>Ñaàu Tö &amp; Phaùt Trieån</v>
          </cell>
          <cell r="G829" t="str">
            <v>Caàn Thô</v>
          </cell>
          <cell r="H829" t="str">
            <v>Traû tieân mua söõa hoäp caùc loaïi</v>
          </cell>
          <cell r="I829">
            <v>220000000</v>
          </cell>
        </row>
        <row r="830">
          <cell r="A830">
            <v>12</v>
          </cell>
          <cell r="B830">
            <v>38089</v>
          </cell>
          <cell r="C830">
            <v>85</v>
          </cell>
          <cell r="F830" t="str">
            <v>Sôû Giao Dòch II CTVN</v>
          </cell>
          <cell r="G830" t="str">
            <v>Hoà Chí Minh</v>
          </cell>
          <cell r="H830" t="str">
            <v>Haøng ñieän maùy</v>
          </cell>
          <cell r="I830">
            <v>23545000</v>
          </cell>
        </row>
        <row r="831">
          <cell r="A831">
            <v>12</v>
          </cell>
          <cell r="B831">
            <v>38089</v>
          </cell>
          <cell r="C831">
            <v>95</v>
          </cell>
          <cell r="F831" t="str">
            <v>Ñaàu Tö &amp; Phaùt Trieån</v>
          </cell>
          <cell r="G831" t="str">
            <v>Caàn Thô</v>
          </cell>
          <cell r="H831" t="str">
            <v>Haøng may maëc Thaønh Coâng</v>
          </cell>
          <cell r="I831">
            <v>4845765</v>
          </cell>
        </row>
        <row r="832">
          <cell r="A832">
            <v>13</v>
          </cell>
          <cell r="B832">
            <v>38089</v>
          </cell>
          <cell r="C832">
            <v>85</v>
          </cell>
          <cell r="F832" t="str">
            <v>Sôû Giao Dòch II CTVN</v>
          </cell>
          <cell r="G832" t="str">
            <v>Hoà Chí Minh</v>
          </cell>
          <cell r="H832" t="str">
            <v>Haøng ñieän maùy</v>
          </cell>
          <cell r="I832">
            <v>23545000</v>
          </cell>
        </row>
        <row r="833">
          <cell r="A833">
            <v>14</v>
          </cell>
          <cell r="B833">
            <v>38089</v>
          </cell>
          <cell r="C833">
            <v>105</v>
          </cell>
          <cell r="F833" t="str">
            <v>Coâng Thöông CN 4</v>
          </cell>
          <cell r="G833" t="str">
            <v>Hoà Chí Minh</v>
          </cell>
          <cell r="H833" t="str">
            <v>Traû tieàn mua nhôùt</v>
          </cell>
          <cell r="I833">
            <v>156540000</v>
          </cell>
        </row>
        <row r="834">
          <cell r="A834">
            <v>15</v>
          </cell>
          <cell r="B834">
            <v>38090</v>
          </cell>
          <cell r="C834">
            <v>8</v>
          </cell>
          <cell r="F834" t="str">
            <v>Coâng Thöông</v>
          </cell>
          <cell r="G834" t="str">
            <v>Kieân Giang</v>
          </cell>
          <cell r="H834" t="str">
            <v>Traû tieàn mua xi maêng 250taán</v>
          </cell>
          <cell r="I834">
            <v>202675000</v>
          </cell>
        </row>
        <row r="835">
          <cell r="A835">
            <v>16</v>
          </cell>
          <cell r="B835">
            <v>38091</v>
          </cell>
          <cell r="C835">
            <v>5</v>
          </cell>
          <cell r="F835" t="str">
            <v>Coâng Thöong CN6</v>
          </cell>
          <cell r="G835" t="str">
            <v>Hoà Chí Minh</v>
          </cell>
          <cell r="H835" t="str">
            <v>Traû tieàn mua boät ngoït</v>
          </cell>
          <cell r="I835">
            <v>268891496</v>
          </cell>
        </row>
        <row r="836">
          <cell r="A836">
            <v>17</v>
          </cell>
          <cell r="B836">
            <v>38091</v>
          </cell>
          <cell r="C836">
            <v>1</v>
          </cell>
          <cell r="F836" t="str">
            <v>Sôû Giao Dòch II CTVN</v>
          </cell>
          <cell r="G836" t="str">
            <v>Hoà Chí Minh</v>
          </cell>
          <cell r="H836" t="str">
            <v>Traû tieàn mua thuoáv laù</v>
          </cell>
          <cell r="I836">
            <v>144760000</v>
          </cell>
        </row>
        <row r="837">
          <cell r="A837">
            <v>18</v>
          </cell>
          <cell r="B837">
            <v>38091</v>
          </cell>
          <cell r="C837">
            <v>14</v>
          </cell>
          <cell r="F837" t="str">
            <v>Coâng Thöông CN I</v>
          </cell>
          <cell r="G837" t="str">
            <v>Hoà Chí Minh</v>
          </cell>
          <cell r="H837" t="str">
            <v xml:space="preserve">Traû tieàn mua haøng cho CN Mieàn Taây C.Ty Theùp Mieàn Nam </v>
          </cell>
          <cell r="I837">
            <v>300000000</v>
          </cell>
        </row>
        <row r="838">
          <cell r="A838">
            <v>13</v>
          </cell>
          <cell r="B838">
            <v>38091</v>
          </cell>
          <cell r="C838">
            <v>28</v>
          </cell>
          <cell r="F838" t="str">
            <v>Ñaàu Tö &amp; Phaùt Trieån</v>
          </cell>
          <cell r="G838" t="str">
            <v>Caàn Thô</v>
          </cell>
          <cell r="H838" t="str">
            <v>Traû tieân mua söõa hoäp caùc loaïi</v>
          </cell>
          <cell r="I838">
            <v>305000000</v>
          </cell>
        </row>
        <row r="839">
          <cell r="A839">
            <v>14</v>
          </cell>
          <cell r="B839">
            <v>38091</v>
          </cell>
          <cell r="C839">
            <v>73</v>
          </cell>
          <cell r="F839" t="str">
            <v>Ngoaïi Thöông</v>
          </cell>
          <cell r="G839" t="str">
            <v>Hoà Chí Minh</v>
          </cell>
          <cell r="H839" t="str">
            <v>Traû tieàn mua nöôùc röûa cheùn  (TT.BL)</v>
          </cell>
          <cell r="I839">
            <v>47949200</v>
          </cell>
        </row>
        <row r="840">
          <cell r="A840">
            <v>19</v>
          </cell>
          <cell r="B840">
            <v>38092</v>
          </cell>
          <cell r="C840">
            <v>36</v>
          </cell>
          <cell r="F840" t="str">
            <v>Coâng Thöông</v>
          </cell>
          <cell r="G840" t="str">
            <v>Baø Ròa-Vuõng Taøu</v>
          </cell>
          <cell r="H840" t="str">
            <v>Traû tieàn mua xaêng daàu</v>
          </cell>
          <cell r="I840">
            <v>2031000000</v>
          </cell>
        </row>
        <row r="841">
          <cell r="A841">
            <v>15</v>
          </cell>
          <cell r="B841">
            <v>38092</v>
          </cell>
          <cell r="C841">
            <v>66</v>
          </cell>
          <cell r="F841" t="str">
            <v>ANZ</v>
          </cell>
          <cell r="G841" t="str">
            <v>Hoà Chí Minh</v>
          </cell>
          <cell r="H841" t="str">
            <v>Traû tieàn mua mì Unif</v>
          </cell>
          <cell r="I841">
            <v>38682450</v>
          </cell>
        </row>
        <row r="842">
          <cell r="A842">
            <v>16</v>
          </cell>
          <cell r="B842">
            <v>38092</v>
          </cell>
          <cell r="C842">
            <v>73</v>
          </cell>
          <cell r="F842" t="str">
            <v>Ngoaïi Thöông</v>
          </cell>
          <cell r="G842" t="str">
            <v>Hoà Chí Minh</v>
          </cell>
          <cell r="H842" t="str">
            <v>Traû tieàn mua nöôùc röûa cheùn  (TT.BL)</v>
          </cell>
          <cell r="I842">
            <v>40323938</v>
          </cell>
        </row>
        <row r="843">
          <cell r="A843">
            <v>17</v>
          </cell>
          <cell r="B843">
            <v>38093</v>
          </cell>
          <cell r="C843">
            <v>8</v>
          </cell>
          <cell r="F843" t="str">
            <v>Coâng Thöông</v>
          </cell>
          <cell r="G843" t="str">
            <v>Kieân Giang</v>
          </cell>
          <cell r="H843" t="str">
            <v>Traû tieàn mua xi maêng 100taán</v>
          </cell>
          <cell r="I843">
            <v>81070000</v>
          </cell>
        </row>
        <row r="844">
          <cell r="A844">
            <v>18</v>
          </cell>
          <cell r="B844">
            <v>38096</v>
          </cell>
          <cell r="C844">
            <v>28</v>
          </cell>
          <cell r="F844" t="str">
            <v>Ñaàu Tö &amp; Phaùt Trieån</v>
          </cell>
          <cell r="G844" t="str">
            <v>Caàn Thô</v>
          </cell>
          <cell r="H844" t="str">
            <v>Traû tieân mua söõa hoäp caùc loaïi</v>
          </cell>
          <cell r="I844">
            <v>240000000</v>
          </cell>
        </row>
        <row r="845">
          <cell r="A845">
            <v>19</v>
          </cell>
          <cell r="B845">
            <v>38096</v>
          </cell>
          <cell r="C845">
            <v>27</v>
          </cell>
          <cell r="F845" t="str">
            <v>INDOVINA</v>
          </cell>
          <cell r="G845" t="str">
            <v>Hoà Chí Minh</v>
          </cell>
          <cell r="H845" t="str">
            <v>Traû tieàn mua ñöôøng</v>
          </cell>
          <cell r="I845">
            <v>38150000</v>
          </cell>
        </row>
        <row r="846">
          <cell r="A846">
            <v>20</v>
          </cell>
          <cell r="B846">
            <v>38097</v>
          </cell>
          <cell r="C846">
            <v>3</v>
          </cell>
          <cell r="F846" t="str">
            <v>Coâng Thöông CN 14</v>
          </cell>
          <cell r="G846" t="str">
            <v>Hoà Chí Minh</v>
          </cell>
          <cell r="H846" t="str">
            <v>Traû tieàn mua boät giaët</v>
          </cell>
          <cell r="I846">
            <v>200000000</v>
          </cell>
        </row>
        <row r="847">
          <cell r="A847">
            <v>21</v>
          </cell>
          <cell r="B847">
            <v>38097</v>
          </cell>
          <cell r="C847">
            <v>14</v>
          </cell>
          <cell r="F847" t="str">
            <v>Coâng Thöông CN I</v>
          </cell>
          <cell r="G847" t="str">
            <v>Hoà Chí Minh</v>
          </cell>
          <cell r="H847" t="str">
            <v xml:space="preserve">Traû tieàn mua haøng cho CN Mieàn Taây C.Ty Theùp Mieàn Nam </v>
          </cell>
          <cell r="I847">
            <v>220000000</v>
          </cell>
        </row>
        <row r="848">
          <cell r="A848">
            <v>20</v>
          </cell>
          <cell r="B848">
            <v>38098</v>
          </cell>
          <cell r="C848">
            <v>31</v>
          </cell>
          <cell r="F848" t="str">
            <v>Sôû Giao Dòch II CTVN</v>
          </cell>
          <cell r="G848" t="str">
            <v>Hoà Chí Minh</v>
          </cell>
          <cell r="H848" t="str">
            <v>Traû tieàn mua daàu aên (TT.TN.BL: 94.795.228ñ, TT.TN.CM: 73.654.240ñ)</v>
          </cell>
          <cell r="I848">
            <v>168449468</v>
          </cell>
        </row>
        <row r="849">
          <cell r="A849">
            <v>21</v>
          </cell>
          <cell r="B849">
            <v>38098</v>
          </cell>
          <cell r="C849">
            <v>73</v>
          </cell>
          <cell r="F849" t="str">
            <v>Ngoaïi Thöông</v>
          </cell>
          <cell r="G849" t="str">
            <v>Hoà Chí Minh</v>
          </cell>
          <cell r="H849" t="str">
            <v>Traû tieàn mua nöôùc röûa cheùn  (TT.BL)</v>
          </cell>
          <cell r="I849">
            <v>29415573</v>
          </cell>
        </row>
        <row r="850">
          <cell r="A850">
            <v>22</v>
          </cell>
          <cell r="B850">
            <v>38098</v>
          </cell>
          <cell r="C850">
            <v>36</v>
          </cell>
          <cell r="F850" t="str">
            <v>Coâng Thöông</v>
          </cell>
          <cell r="G850" t="str">
            <v>Baø Ròa-Vuõng Taøu</v>
          </cell>
          <cell r="H850" t="str">
            <v>Traû tieàn mua xaêng daàu</v>
          </cell>
          <cell r="I850">
            <v>2191500000</v>
          </cell>
        </row>
        <row r="851">
          <cell r="A851">
            <v>23</v>
          </cell>
          <cell r="B851">
            <v>38098</v>
          </cell>
          <cell r="C851">
            <v>41</v>
          </cell>
          <cell r="F851" t="str">
            <v>Coâng Thöông CN 9</v>
          </cell>
          <cell r="G851" t="str">
            <v>Hoà Chí Minh</v>
          </cell>
          <cell r="H851" t="str">
            <v>Traû tieàn mua xi maêng 400taán</v>
          </cell>
          <cell r="I851">
            <v>340000000</v>
          </cell>
        </row>
        <row r="852">
          <cell r="A852">
            <v>25</v>
          </cell>
          <cell r="B852">
            <v>38099</v>
          </cell>
          <cell r="C852">
            <v>36</v>
          </cell>
          <cell r="F852" t="str">
            <v>Coâng Thöông</v>
          </cell>
          <cell r="G852" t="str">
            <v>Baø Ròa-Vuõng Taøu</v>
          </cell>
          <cell r="H852" t="str">
            <v>Traû tieàn mua xaêng daàu</v>
          </cell>
          <cell r="I852">
            <v>2191000000</v>
          </cell>
        </row>
        <row r="853">
          <cell r="A853">
            <v>26</v>
          </cell>
          <cell r="B853">
            <v>38100</v>
          </cell>
          <cell r="C853">
            <v>17</v>
          </cell>
          <cell r="F853" t="str">
            <v>Ngoaïi Thöông</v>
          </cell>
          <cell r="G853" t="str">
            <v>Hoà Chí Minh</v>
          </cell>
          <cell r="H853" t="str">
            <v>Traû tieàn mua xaêng daàu</v>
          </cell>
          <cell r="I853">
            <v>4000000000</v>
          </cell>
        </row>
        <row r="854">
          <cell r="A854">
            <v>22</v>
          </cell>
          <cell r="B854">
            <v>38100</v>
          </cell>
          <cell r="C854">
            <v>28</v>
          </cell>
          <cell r="F854" t="str">
            <v>Ñaàu Tö &amp; Phaùt Trieån</v>
          </cell>
          <cell r="G854" t="str">
            <v>Caàn Thô</v>
          </cell>
          <cell r="H854" t="str">
            <v>Traû tieân mua söõa hoäp caùc loaïi</v>
          </cell>
          <cell r="I854">
            <v>340000000</v>
          </cell>
        </row>
        <row r="855">
          <cell r="A855">
            <v>23</v>
          </cell>
          <cell r="B855">
            <v>38100</v>
          </cell>
          <cell r="C855">
            <v>73</v>
          </cell>
          <cell r="F855" t="str">
            <v>Ngoaïi Thöông</v>
          </cell>
          <cell r="G855" t="str">
            <v>Hoà Chí Minh</v>
          </cell>
          <cell r="H855" t="str">
            <v>Traû tieàn mua nöôùc röûa cheùn  (TT.BL)</v>
          </cell>
          <cell r="I855">
            <v>32978579</v>
          </cell>
        </row>
        <row r="856">
          <cell r="A856">
            <v>27</v>
          </cell>
          <cell r="B856">
            <v>38100</v>
          </cell>
          <cell r="C856">
            <v>1</v>
          </cell>
          <cell r="F856" t="str">
            <v>Sôû Giao Dòch II CTVN</v>
          </cell>
          <cell r="G856" t="str">
            <v>Hoà Chí Minh</v>
          </cell>
          <cell r="H856" t="str">
            <v>Traû tieàn mua thuoác laù</v>
          </cell>
          <cell r="I856">
            <v>98428000</v>
          </cell>
        </row>
        <row r="857">
          <cell r="A857">
            <v>28</v>
          </cell>
          <cell r="B857">
            <v>38100</v>
          </cell>
          <cell r="C857">
            <v>5</v>
          </cell>
          <cell r="F857" t="str">
            <v>Coâng Thöong CN6</v>
          </cell>
          <cell r="G857" t="str">
            <v>Hoà Chí Minh</v>
          </cell>
          <cell r="H857" t="str">
            <v>Traû tieàn mua boät ngoït</v>
          </cell>
          <cell r="I857">
            <v>202921017</v>
          </cell>
        </row>
        <row r="858">
          <cell r="A858">
            <v>29</v>
          </cell>
          <cell r="B858">
            <v>38103</v>
          </cell>
          <cell r="C858">
            <v>41</v>
          </cell>
          <cell r="F858" t="str">
            <v>Coâng Thöông CN 9</v>
          </cell>
          <cell r="G858" t="str">
            <v>Hoà Chí Minh</v>
          </cell>
          <cell r="H858" t="str">
            <v>Traû tieàn mua xi maêng 300taán</v>
          </cell>
          <cell r="I858">
            <v>255000000</v>
          </cell>
        </row>
        <row r="859">
          <cell r="A859">
            <v>30</v>
          </cell>
          <cell r="B859">
            <v>38103</v>
          </cell>
          <cell r="C859">
            <v>105</v>
          </cell>
          <cell r="F859" t="str">
            <v>Coâng Thöông CN 4</v>
          </cell>
          <cell r="G859" t="str">
            <v>Hoà Chí Minh</v>
          </cell>
          <cell r="H859" t="str">
            <v>Traû tieàn mua nhôùt</v>
          </cell>
          <cell r="I859">
            <v>200000000</v>
          </cell>
        </row>
        <row r="860">
          <cell r="A860">
            <v>31</v>
          </cell>
          <cell r="B860">
            <v>38103</v>
          </cell>
          <cell r="C860">
            <v>10</v>
          </cell>
          <cell r="F860" t="str">
            <v>Hoàng Kong&amp; Thöôïng Haûi</v>
          </cell>
          <cell r="G860" t="str">
            <v>Hoà Chí Minh</v>
          </cell>
          <cell r="H860" t="str">
            <v>Traû tieàn mua nhôùtVilube</v>
          </cell>
          <cell r="I860">
            <v>207800000</v>
          </cell>
        </row>
        <row r="861">
          <cell r="A861">
            <v>24</v>
          </cell>
          <cell r="B861">
            <v>38103</v>
          </cell>
          <cell r="C861">
            <v>28</v>
          </cell>
          <cell r="F861" t="str">
            <v>Ñaàu Tö &amp; Phaùt Trieån</v>
          </cell>
          <cell r="G861" t="str">
            <v>Caàn Thô</v>
          </cell>
          <cell r="H861" t="str">
            <v>Traû tieân mua söõa hoäp caùc loaïi</v>
          </cell>
          <cell r="I861">
            <v>350195472</v>
          </cell>
        </row>
        <row r="862">
          <cell r="A862">
            <v>32</v>
          </cell>
          <cell r="B862">
            <v>38103</v>
          </cell>
          <cell r="C862">
            <v>22</v>
          </cell>
          <cell r="F862" t="str">
            <v>Coâng Thöông</v>
          </cell>
          <cell r="G862" t="str">
            <v>Long An</v>
          </cell>
          <cell r="H862" t="str">
            <v>Traû tieàn mua vaûi Long An</v>
          </cell>
          <cell r="I862">
            <v>8689232</v>
          </cell>
        </row>
        <row r="863">
          <cell r="A863">
            <v>33</v>
          </cell>
          <cell r="B863">
            <v>38103</v>
          </cell>
          <cell r="C863">
            <v>94</v>
          </cell>
          <cell r="F863" t="str">
            <v>Coâng Thöông CN 9</v>
          </cell>
          <cell r="G863" t="str">
            <v>Hoà Chí Minh</v>
          </cell>
          <cell r="H863" t="str">
            <v>Traû tieàn mua chaùo Bình Tieân</v>
          </cell>
          <cell r="I863">
            <v>5936000</v>
          </cell>
        </row>
        <row r="864">
          <cell r="A864">
            <v>32</v>
          </cell>
          <cell r="B864">
            <v>38103</v>
          </cell>
          <cell r="C864">
            <v>22</v>
          </cell>
          <cell r="F864" t="str">
            <v>Coâng Thöông</v>
          </cell>
          <cell r="G864" t="str">
            <v>Long An</v>
          </cell>
          <cell r="H864" t="str">
            <v>Traû tieàn mua vaûi Long An</v>
          </cell>
          <cell r="I864">
            <v>8689232</v>
          </cell>
        </row>
        <row r="865">
          <cell r="A865">
            <v>25</v>
          </cell>
          <cell r="B865">
            <v>38104</v>
          </cell>
          <cell r="C865">
            <v>99</v>
          </cell>
          <cell r="F865" t="str">
            <v>AÙ Chaâu</v>
          </cell>
          <cell r="G865" t="str">
            <v>Hoà Chí Minh</v>
          </cell>
          <cell r="H865" t="str">
            <v>Traû tieàn mua nöôùc yeán</v>
          </cell>
          <cell r="I865">
            <v>40196401</v>
          </cell>
        </row>
        <row r="866">
          <cell r="A866">
            <v>26</v>
          </cell>
          <cell r="B866">
            <v>38104</v>
          </cell>
          <cell r="C866">
            <v>31</v>
          </cell>
          <cell r="F866" t="str">
            <v>Sôû Giao Dòch II CTVN</v>
          </cell>
          <cell r="G866" t="str">
            <v>Hoà Chí Minh</v>
          </cell>
          <cell r="H866" t="str">
            <v>Traû tieàn mua daàu chai TT.BL:71.309.348ñ; TT.CM:93.156.725ñ; daàu xaù: 38.804.760ñ</v>
          </cell>
          <cell r="I866">
            <v>203270833</v>
          </cell>
        </row>
        <row r="867">
          <cell r="A867">
            <v>27</v>
          </cell>
          <cell r="B867">
            <v>38105</v>
          </cell>
          <cell r="C867">
            <v>25</v>
          </cell>
          <cell r="F867" t="str">
            <v>NN &amp; P/T N/Thoân</v>
          </cell>
          <cell r="G867" t="str">
            <v>Baïc Lieâu</v>
          </cell>
          <cell r="H867" t="str">
            <v xml:space="preserve">Noäp BHXH,BHYT thaùng 4/2004 </v>
          </cell>
          <cell r="I867">
            <v>24375520</v>
          </cell>
        </row>
        <row r="868">
          <cell r="A868">
            <v>28</v>
          </cell>
          <cell r="B868">
            <v>38105</v>
          </cell>
          <cell r="C868">
            <v>66</v>
          </cell>
          <cell r="F868" t="str">
            <v>ANZ</v>
          </cell>
          <cell r="G868" t="str">
            <v>Hoà Chí Minh</v>
          </cell>
          <cell r="H868" t="str">
            <v>Traû tieàn mua mì Unif</v>
          </cell>
          <cell r="I868">
            <v>39490887</v>
          </cell>
        </row>
        <row r="869">
          <cell r="A869">
            <v>29</v>
          </cell>
          <cell r="B869">
            <v>38105</v>
          </cell>
          <cell r="C869">
            <v>31</v>
          </cell>
          <cell r="F869" t="str">
            <v>Sôû Giao Dòch II CTVN</v>
          </cell>
          <cell r="G869" t="str">
            <v>Hoà Chí Minh</v>
          </cell>
          <cell r="H869" t="str">
            <v xml:space="preserve">Traû tieàn mua daàu aên TT.TN.BL </v>
          </cell>
          <cell r="I869">
            <v>75860100</v>
          </cell>
        </row>
        <row r="870">
          <cell r="A870">
            <v>34</v>
          </cell>
          <cell r="B870">
            <v>38105</v>
          </cell>
          <cell r="C870">
            <v>21</v>
          </cell>
          <cell r="F870" t="str">
            <v>Coâng Thöông</v>
          </cell>
          <cell r="G870" t="str">
            <v>Caàn Thô</v>
          </cell>
          <cell r="H870" t="str">
            <v>Traû tieàn mua gas</v>
          </cell>
          <cell r="I870">
            <v>70812000</v>
          </cell>
        </row>
        <row r="871">
          <cell r="A871">
            <v>35</v>
          </cell>
          <cell r="B871">
            <v>38105</v>
          </cell>
          <cell r="C871">
            <v>46</v>
          </cell>
          <cell r="F871" t="str">
            <v xml:space="preserve">Coâng Thöông </v>
          </cell>
          <cell r="G871" t="str">
            <v>Phuù Thoï</v>
          </cell>
          <cell r="H871" t="str">
            <v>Traû tieàn mua boät ngoït</v>
          </cell>
          <cell r="I871">
            <v>96285688</v>
          </cell>
        </row>
        <row r="872">
          <cell r="A872">
            <v>9</v>
          </cell>
          <cell r="B872">
            <v>38117</v>
          </cell>
          <cell r="C872">
            <v>8</v>
          </cell>
          <cell r="F872" t="str">
            <v>Coâng Thöông</v>
          </cell>
          <cell r="G872" t="str">
            <v>Kieân Giang</v>
          </cell>
          <cell r="H872" t="str">
            <v>Traû tieàn mua xi maêng 200taán</v>
          </cell>
          <cell r="I872">
            <v>162360000</v>
          </cell>
        </row>
        <row r="873">
          <cell r="A873">
            <v>10</v>
          </cell>
          <cell r="B873">
            <v>38117</v>
          </cell>
          <cell r="C873">
            <v>5</v>
          </cell>
          <cell r="F873" t="str">
            <v>Coâng Thöong CN6</v>
          </cell>
          <cell r="G873" t="str">
            <v>Hoà Chí Minh</v>
          </cell>
          <cell r="H873" t="str">
            <v>Traû tieàn mua boät ngoït</v>
          </cell>
          <cell r="I873">
            <v>203918174</v>
          </cell>
        </row>
        <row r="874">
          <cell r="A874">
            <v>11</v>
          </cell>
          <cell r="B874">
            <v>38118</v>
          </cell>
          <cell r="C874">
            <v>14</v>
          </cell>
          <cell r="F874" t="str">
            <v>Coâng Thöông CN I</v>
          </cell>
          <cell r="G874" t="str">
            <v>Hoà Chí Minh</v>
          </cell>
          <cell r="H874" t="str">
            <v xml:space="preserve">Traû tieàn mua haøng cho CN Mieàn Taây C.Ty Theùp Mieàn Nam </v>
          </cell>
          <cell r="I874">
            <v>200000000</v>
          </cell>
        </row>
        <row r="875">
          <cell r="A875">
            <v>12</v>
          </cell>
          <cell r="B875">
            <v>38118</v>
          </cell>
          <cell r="C875">
            <v>3</v>
          </cell>
          <cell r="F875" t="str">
            <v>Coâng Thöông CN 14</v>
          </cell>
          <cell r="G875" t="str">
            <v>Hoà Chí Minh</v>
          </cell>
          <cell r="H875" t="str">
            <v>Traû tieàn mua boät giaët</v>
          </cell>
          <cell r="I875">
            <v>200000000</v>
          </cell>
        </row>
        <row r="876">
          <cell r="A876">
            <v>13</v>
          </cell>
          <cell r="B876">
            <v>38119</v>
          </cell>
          <cell r="C876">
            <v>36</v>
          </cell>
          <cell r="F876" t="str">
            <v>Coâng Thöông</v>
          </cell>
          <cell r="G876" t="str">
            <v>Baø Ròa-Vuõng Taøu</v>
          </cell>
          <cell r="H876" t="str">
            <v>Traû tieàn mua xaêng daàu</v>
          </cell>
          <cell r="I876">
            <v>2031100000</v>
          </cell>
        </row>
        <row r="877">
          <cell r="A877">
            <v>14</v>
          </cell>
          <cell r="B877">
            <v>38119</v>
          </cell>
          <cell r="C877">
            <v>98</v>
          </cell>
          <cell r="F877" t="str">
            <v>Coâng Thöông</v>
          </cell>
          <cell r="G877" t="str">
            <v>Caàn Thô</v>
          </cell>
          <cell r="H877" t="str">
            <v>Traû tieàn mua xi maêng 192taán</v>
          </cell>
          <cell r="I877">
            <v>158610000</v>
          </cell>
        </row>
        <row r="878">
          <cell r="A878">
            <v>5</v>
          </cell>
          <cell r="B878">
            <v>38119</v>
          </cell>
          <cell r="C878">
            <v>28</v>
          </cell>
          <cell r="F878" t="str">
            <v>Ñaàu Tö &amp; Phaùt Trieån</v>
          </cell>
          <cell r="G878" t="str">
            <v>Caàn Thô</v>
          </cell>
          <cell r="H878" t="str">
            <v>Traû tieân mua söõa hoäp caùc loaïi</v>
          </cell>
          <cell r="I878">
            <v>350000000</v>
          </cell>
        </row>
        <row r="879">
          <cell r="A879">
            <v>6</v>
          </cell>
          <cell r="B879">
            <v>38119</v>
          </cell>
          <cell r="C879">
            <v>44</v>
          </cell>
          <cell r="F879" t="str">
            <v xml:space="preserve">Coâng Thöông </v>
          </cell>
          <cell r="G879" t="str">
            <v>Baïc Lieâu</v>
          </cell>
          <cell r="H879" t="str">
            <v>Traû tieàn ñieän thoaïi thaùng 04/2004</v>
          </cell>
          <cell r="I879">
            <v>8122320</v>
          </cell>
        </row>
        <row r="880">
          <cell r="A880">
            <v>15</v>
          </cell>
          <cell r="B880">
            <v>38119</v>
          </cell>
          <cell r="C880">
            <v>41</v>
          </cell>
          <cell r="F880" t="str">
            <v>Coâng Thöông CN 9</v>
          </cell>
          <cell r="G880" t="str">
            <v>Hoà Chí Minh</v>
          </cell>
          <cell r="H880" t="str">
            <v>Traû tieàn mua xi maêng 450taán</v>
          </cell>
          <cell r="I880">
            <v>382500000</v>
          </cell>
        </row>
        <row r="881">
          <cell r="A881">
            <v>16</v>
          </cell>
          <cell r="B881">
            <v>38120</v>
          </cell>
          <cell r="C881">
            <v>98</v>
          </cell>
          <cell r="F881" t="str">
            <v>Coâng Thöông</v>
          </cell>
          <cell r="G881" t="str">
            <v>Caàn Thô</v>
          </cell>
          <cell r="H881" t="str">
            <v>Traû tieàn mua xi maêng 170taán</v>
          </cell>
          <cell r="I881">
            <v>134460000</v>
          </cell>
        </row>
        <row r="882">
          <cell r="A882">
            <v>17</v>
          </cell>
          <cell r="B882">
            <v>38120</v>
          </cell>
          <cell r="C882">
            <v>27</v>
          </cell>
          <cell r="F882" t="str">
            <v>INDOVINA</v>
          </cell>
          <cell r="G882" t="str">
            <v>Hoà Chí Minh</v>
          </cell>
          <cell r="H882" t="str">
            <v>Traû tieàn mua ñöôøng</v>
          </cell>
          <cell r="I882">
            <v>79450000</v>
          </cell>
        </row>
        <row r="883">
          <cell r="A883">
            <v>18</v>
          </cell>
          <cell r="B883">
            <v>38120</v>
          </cell>
          <cell r="C883">
            <v>93</v>
          </cell>
          <cell r="F883" t="str">
            <v>Coâng Thöông CN 12</v>
          </cell>
          <cell r="G883" t="str">
            <v>Hoà Chí Minh</v>
          </cell>
          <cell r="H883" t="str">
            <v>Traû tieàn mua giaáy Vieãn Ñoâng</v>
          </cell>
          <cell r="I883">
            <v>20744906</v>
          </cell>
        </row>
        <row r="884">
          <cell r="A884">
            <v>19</v>
          </cell>
          <cell r="B884">
            <v>38120</v>
          </cell>
          <cell r="C884">
            <v>8</v>
          </cell>
          <cell r="F884" t="str">
            <v>Coâng Thöông</v>
          </cell>
          <cell r="G884" t="str">
            <v>Kieân Giang</v>
          </cell>
          <cell r="H884" t="str">
            <v>Traû tieàn mua xi maêng 200taán</v>
          </cell>
          <cell r="I884">
            <v>158070000</v>
          </cell>
        </row>
        <row r="885">
          <cell r="A885">
            <v>7</v>
          </cell>
          <cell r="B885">
            <v>38124</v>
          </cell>
          <cell r="C885">
            <v>1</v>
          </cell>
          <cell r="F885" t="str">
            <v>Sôû Giao Dòch II CTVN</v>
          </cell>
          <cell r="G885" t="str">
            <v>Hoà Chí Minh</v>
          </cell>
          <cell r="H885" t="str">
            <v>Traû tieàn mua thuoác laù</v>
          </cell>
          <cell r="I885">
            <v>175230000</v>
          </cell>
        </row>
        <row r="886">
          <cell r="A886">
            <v>20</v>
          </cell>
          <cell r="B886">
            <v>38125</v>
          </cell>
          <cell r="C886">
            <v>14</v>
          </cell>
          <cell r="F886" t="str">
            <v>Coâng Thöông CN I</v>
          </cell>
          <cell r="G886" t="str">
            <v>Hoà Chí Minh</v>
          </cell>
          <cell r="H886" t="str">
            <v xml:space="preserve">Traû tieàn mua haøng cho CN Mieàn Taây C.Ty Theùp Mieàn Nam </v>
          </cell>
          <cell r="I886">
            <v>200000000</v>
          </cell>
        </row>
        <row r="887">
          <cell r="A887">
            <v>21</v>
          </cell>
          <cell r="B887">
            <v>38125</v>
          </cell>
          <cell r="C887">
            <v>41</v>
          </cell>
          <cell r="F887" t="str">
            <v>Coâng Thöông CN 9</v>
          </cell>
          <cell r="G887" t="str">
            <v>Hoà Chí Minh</v>
          </cell>
          <cell r="H887" t="str">
            <v>Traû tieàn mua xi maêng 300taán</v>
          </cell>
          <cell r="I887">
            <v>255000000</v>
          </cell>
        </row>
        <row r="888">
          <cell r="A888">
            <v>22</v>
          </cell>
          <cell r="B888">
            <v>38125</v>
          </cell>
          <cell r="C888">
            <v>5</v>
          </cell>
          <cell r="F888" t="str">
            <v>Coâng Thöong CN6</v>
          </cell>
          <cell r="G888" t="str">
            <v>Hoà Chí Minh</v>
          </cell>
          <cell r="H888" t="str">
            <v>Traû tieàn mua boät ngoït</v>
          </cell>
          <cell r="I888">
            <v>419573135</v>
          </cell>
        </row>
        <row r="889">
          <cell r="A889">
            <v>23</v>
          </cell>
          <cell r="B889">
            <v>38126</v>
          </cell>
          <cell r="C889">
            <v>8</v>
          </cell>
          <cell r="F889" t="str">
            <v>Coâng Thöông</v>
          </cell>
          <cell r="G889" t="str">
            <v>Kieân Giang</v>
          </cell>
          <cell r="H889" t="str">
            <v>Traû tieàn mua xi maêng 200taán</v>
          </cell>
          <cell r="I889">
            <v>158070000</v>
          </cell>
        </row>
        <row r="890">
          <cell r="A890">
            <v>24</v>
          </cell>
          <cell r="B890">
            <v>38126</v>
          </cell>
          <cell r="C890">
            <v>77</v>
          </cell>
          <cell r="F890" t="str">
            <v>Coâng Thöông CN 4</v>
          </cell>
          <cell r="G890" t="str">
            <v>Hoà Chí Minh</v>
          </cell>
          <cell r="H890" t="str">
            <v>Haøng ñieän maùy</v>
          </cell>
          <cell r="I890">
            <v>39822322</v>
          </cell>
        </row>
        <row r="891">
          <cell r="A891">
            <v>8</v>
          </cell>
          <cell r="B891">
            <v>38126</v>
          </cell>
          <cell r="C891">
            <v>31</v>
          </cell>
          <cell r="F891" t="str">
            <v>Sôû Giao Dòch II CTVN</v>
          </cell>
          <cell r="G891" t="str">
            <v>Hoà Chí Minh</v>
          </cell>
          <cell r="H891" t="str">
            <v xml:space="preserve">Traû tieàn mua daàu aên TT.TN.CM </v>
          </cell>
          <cell r="I891">
            <v>97254961</v>
          </cell>
        </row>
        <row r="892">
          <cell r="A892">
            <v>13</v>
          </cell>
          <cell r="B892">
            <v>38369</v>
          </cell>
          <cell r="C892">
            <v>28</v>
          </cell>
          <cell r="F892" t="str">
            <v>Ñaàu Tö &amp; Phaùt Trieån</v>
          </cell>
          <cell r="G892" t="str">
            <v>Caàn Thô</v>
          </cell>
          <cell r="H892" t="str">
            <v>Traû tieân mua söõa hoäp caùc loaïi</v>
          </cell>
          <cell r="I892">
            <v>104000000</v>
          </cell>
        </row>
        <row r="893">
          <cell r="A893">
            <v>14</v>
          </cell>
          <cell r="B893">
            <v>38369</v>
          </cell>
          <cell r="C893">
            <v>9</v>
          </cell>
          <cell r="F893" t="str">
            <v>Ngoaïi Thöông</v>
          </cell>
          <cell r="G893" t="str">
            <v>Hoà Chí Minh</v>
          </cell>
          <cell r="H893" t="str">
            <v>Traû tieàn mua nhôùt Castrol</v>
          </cell>
          <cell r="I893">
            <v>111937764</v>
          </cell>
        </row>
        <row r="894">
          <cell r="A894">
            <v>13</v>
          </cell>
          <cell r="B894">
            <v>38369</v>
          </cell>
          <cell r="C894">
            <v>28</v>
          </cell>
          <cell r="F894" t="str">
            <v>Ñaàu Tö &amp; Phaùt Trieån</v>
          </cell>
          <cell r="G894" t="str">
            <v>Caàn Thô</v>
          </cell>
          <cell r="H894" t="str">
            <v>Traû tieân mua söõa hoäp caùc loaïi</v>
          </cell>
          <cell r="I894">
            <v>104000000</v>
          </cell>
        </row>
        <row r="895">
          <cell r="A895">
            <v>32</v>
          </cell>
          <cell r="B895">
            <v>38369</v>
          </cell>
          <cell r="C895">
            <v>8</v>
          </cell>
          <cell r="F895" t="str">
            <v>Coâng Thöông</v>
          </cell>
          <cell r="G895" t="str">
            <v>Kieân Giang</v>
          </cell>
          <cell r="H895" t="str">
            <v>Traû tieàn mua xi maêng 205taán</v>
          </cell>
          <cell r="I895">
            <v>160649500</v>
          </cell>
        </row>
        <row r="896">
          <cell r="A896">
            <v>33</v>
          </cell>
          <cell r="B896">
            <v>38369</v>
          </cell>
          <cell r="C896">
            <v>105</v>
          </cell>
          <cell r="F896" t="str">
            <v>Coâng Thöông CN 4</v>
          </cell>
          <cell r="G896" t="str">
            <v>Hoà Chí Minh</v>
          </cell>
          <cell r="H896" t="str">
            <v>Traû tieàn mua nhôùt</v>
          </cell>
          <cell r="I896">
            <v>304875000</v>
          </cell>
        </row>
        <row r="897">
          <cell r="A897">
            <v>15</v>
          </cell>
          <cell r="B897">
            <v>38369</v>
          </cell>
          <cell r="C897">
            <v>28</v>
          </cell>
          <cell r="F897" t="str">
            <v>Ñaàu Tö &amp; Phaùt Trieån</v>
          </cell>
          <cell r="G897" t="str">
            <v>Caàn Thô</v>
          </cell>
          <cell r="H897" t="str">
            <v>Traû tieân mua söõa hoäp caùc loaïi</v>
          </cell>
          <cell r="I897">
            <v>150000000</v>
          </cell>
        </row>
        <row r="898">
          <cell r="A898">
            <v>34</v>
          </cell>
          <cell r="B898">
            <v>38369</v>
          </cell>
          <cell r="C898">
            <v>5</v>
          </cell>
          <cell r="F898" t="str">
            <v>Coâng Thöong CN6</v>
          </cell>
          <cell r="G898" t="str">
            <v>Hoà Chí Minh</v>
          </cell>
          <cell r="H898" t="str">
            <v>Traû tieàn mua boät ngoït</v>
          </cell>
          <cell r="I898">
            <v>274663778</v>
          </cell>
        </row>
        <row r="899">
          <cell r="A899">
            <v>35</v>
          </cell>
          <cell r="B899">
            <v>38370</v>
          </cell>
          <cell r="C899">
            <v>1</v>
          </cell>
          <cell r="F899" t="str">
            <v>Sôû Giao Dòch II CTVN</v>
          </cell>
          <cell r="G899" t="str">
            <v>Hoà Chí Minh</v>
          </cell>
          <cell r="H899" t="str">
            <v>Traû tieàn mua thuoác laù</v>
          </cell>
          <cell r="I899">
            <v>132000000</v>
          </cell>
        </row>
        <row r="900">
          <cell r="A900">
            <v>16</v>
          </cell>
          <cell r="B900">
            <v>38371</v>
          </cell>
          <cell r="C900">
            <v>9</v>
          </cell>
          <cell r="F900" t="str">
            <v>Ngoaïi Thöông</v>
          </cell>
          <cell r="G900" t="str">
            <v>Hoà Chí Minh</v>
          </cell>
          <cell r="H900" t="str">
            <v>Traû tieàn mua nhôùt Castrol</v>
          </cell>
          <cell r="I900">
            <v>50551776</v>
          </cell>
        </row>
        <row r="901">
          <cell r="A901">
            <v>37</v>
          </cell>
          <cell r="B901">
            <v>38371</v>
          </cell>
          <cell r="C901">
            <v>4</v>
          </cell>
          <cell r="F901" t="str">
            <v>Sôû Giao Dòch II  CTVN</v>
          </cell>
          <cell r="G901" t="str">
            <v>Hoà Chí Minh</v>
          </cell>
          <cell r="H901" t="str">
            <v>Traû tieàn mua xaêng daàu</v>
          </cell>
          <cell r="I901">
            <v>2087700000</v>
          </cell>
        </row>
        <row r="902">
          <cell r="A902">
            <v>38</v>
          </cell>
          <cell r="B902">
            <v>38371</v>
          </cell>
          <cell r="C902">
            <v>31</v>
          </cell>
          <cell r="F902" t="str">
            <v>Sôû Giao Dòch II CTVN</v>
          </cell>
          <cell r="G902" t="str">
            <v>Hoà Chí Minh</v>
          </cell>
          <cell r="H902" t="str">
            <v xml:space="preserve">Traû tieàn mua daàu aên TT.TN.CM </v>
          </cell>
          <cell r="I902">
            <v>161255684</v>
          </cell>
        </row>
        <row r="903">
          <cell r="A903">
            <v>37</v>
          </cell>
          <cell r="B903">
            <v>38371</v>
          </cell>
          <cell r="C903">
            <v>36</v>
          </cell>
          <cell r="F903" t="str">
            <v>Coâng Thöông</v>
          </cell>
          <cell r="G903" t="str">
            <v>Baø Ròa-Vuõng Taøu</v>
          </cell>
          <cell r="H903" t="str">
            <v>Traû tieàn mua xaêng daàu</v>
          </cell>
          <cell r="I903">
            <v>2087700000</v>
          </cell>
        </row>
        <row r="904">
          <cell r="A904">
            <v>17</v>
          </cell>
          <cell r="B904">
            <v>38371</v>
          </cell>
          <cell r="C904">
            <v>28</v>
          </cell>
          <cell r="F904" t="str">
            <v>Ñaàu Tö &amp; Phaùt Trieån</v>
          </cell>
          <cell r="G904" t="str">
            <v>Caàn Thô</v>
          </cell>
          <cell r="H904" t="str">
            <v>Traû tieân mua söõa hoäp caùc loaïi</v>
          </cell>
          <cell r="I904">
            <v>100000000</v>
          </cell>
        </row>
        <row r="905">
          <cell r="A905">
            <v>38</v>
          </cell>
          <cell r="B905">
            <v>38372</v>
          </cell>
          <cell r="C905">
            <v>17</v>
          </cell>
          <cell r="F905" t="str">
            <v>Ngoaïi Thöông</v>
          </cell>
          <cell r="G905" t="str">
            <v>Hoà Chí Minh</v>
          </cell>
          <cell r="H905" t="str">
            <v>Traû tieàn mua xaêng daàu</v>
          </cell>
          <cell r="I905">
            <v>648245000</v>
          </cell>
        </row>
        <row r="906">
          <cell r="A906">
            <v>18</v>
          </cell>
          <cell r="B906">
            <v>38372</v>
          </cell>
          <cell r="C906">
            <v>28</v>
          </cell>
          <cell r="F906" t="str">
            <v>Ñaàu Tö &amp; Phaùt Trieån</v>
          </cell>
          <cell r="G906" t="str">
            <v>Caàn Thô</v>
          </cell>
          <cell r="H906" t="str">
            <v>Traû tieân mua söõa hoäp caùc loaïi</v>
          </cell>
          <cell r="I906">
            <v>250000000</v>
          </cell>
        </row>
        <row r="907">
          <cell r="A907">
            <v>39</v>
          </cell>
          <cell r="B907">
            <v>38373</v>
          </cell>
          <cell r="C907">
            <v>14</v>
          </cell>
          <cell r="F907" t="str">
            <v>Coâng Thöông CN I</v>
          </cell>
          <cell r="G907" t="str">
            <v>Hoà Chí Minh</v>
          </cell>
          <cell r="H907" t="str">
            <v xml:space="preserve">Traû tieàn mua haøng cho CN Mieàn Taây C.Ty Theùp Mieàn Nam </v>
          </cell>
          <cell r="I907">
            <v>150000000</v>
          </cell>
        </row>
        <row r="908">
          <cell r="A908">
            <v>19</v>
          </cell>
          <cell r="B908">
            <v>38373</v>
          </cell>
          <cell r="C908">
            <v>28</v>
          </cell>
          <cell r="F908" t="str">
            <v>Ñaàu Tö &amp; Phaùt Trieån</v>
          </cell>
          <cell r="G908" t="str">
            <v>Caàn Thô</v>
          </cell>
          <cell r="H908" t="str">
            <v>Traû tieân mua söõa hoäp caùc loaïi</v>
          </cell>
          <cell r="I908">
            <v>130000000</v>
          </cell>
        </row>
        <row r="909">
          <cell r="A909">
            <v>40</v>
          </cell>
          <cell r="B909">
            <v>38376</v>
          </cell>
          <cell r="C909">
            <v>4</v>
          </cell>
          <cell r="F909" t="str">
            <v>Sôû Giao Dòch II  CTVN</v>
          </cell>
          <cell r="G909" t="str">
            <v>Hoà Chí Minh</v>
          </cell>
          <cell r="H909" t="str">
            <v>Traû tieàn mua xaêng daàu</v>
          </cell>
          <cell r="I909">
            <v>2202500000</v>
          </cell>
        </row>
        <row r="910">
          <cell r="A910">
            <v>20</v>
          </cell>
          <cell r="B910">
            <v>38376</v>
          </cell>
          <cell r="C910">
            <v>28</v>
          </cell>
          <cell r="F910" t="str">
            <v>Ñaàu Tö &amp; Phaùt Trieån</v>
          </cell>
          <cell r="G910" t="str">
            <v>Caàn Thô</v>
          </cell>
          <cell r="H910" t="str">
            <v>Traû tieân mua söõa hoäp caùc loaïi</v>
          </cell>
          <cell r="I910">
            <v>100000000</v>
          </cell>
        </row>
        <row r="911">
          <cell r="A911">
            <v>21</v>
          </cell>
          <cell r="B911">
            <v>38376</v>
          </cell>
          <cell r="C911">
            <v>28</v>
          </cell>
          <cell r="F911" t="str">
            <v>Ñaàu Tö &amp; Phaùt Trieån</v>
          </cell>
          <cell r="G911" t="str">
            <v>Caàn Thô</v>
          </cell>
          <cell r="H911" t="str">
            <v>Traû tieân mua söõa hoäp caùc loaïi</v>
          </cell>
          <cell r="I911">
            <v>140000000</v>
          </cell>
        </row>
        <row r="912">
          <cell r="A912">
            <v>22</v>
          </cell>
          <cell r="B912">
            <v>38376</v>
          </cell>
          <cell r="C912">
            <v>25</v>
          </cell>
          <cell r="F912" t="str">
            <v>NN &amp; P/T N/Thoân</v>
          </cell>
          <cell r="G912" t="str">
            <v>Baïc Lieâu</v>
          </cell>
          <cell r="H912" t="str">
            <v>Noäp BHXH,BHYT thaùng 01/05</v>
          </cell>
          <cell r="I912">
            <v>16742367</v>
          </cell>
        </row>
        <row r="913">
          <cell r="A913">
            <v>41</v>
          </cell>
          <cell r="B913">
            <v>38376</v>
          </cell>
          <cell r="C913">
            <v>5</v>
          </cell>
          <cell r="F913" t="str">
            <v>Coâng Thöong CN6</v>
          </cell>
          <cell r="G913" t="str">
            <v>Hoà Chí Minh</v>
          </cell>
          <cell r="H913" t="str">
            <v>Traû tieàn mua boät ngoït</v>
          </cell>
          <cell r="I913">
            <v>337619744</v>
          </cell>
        </row>
        <row r="914">
          <cell r="A914">
            <v>42</v>
          </cell>
          <cell r="B914">
            <v>38376</v>
          </cell>
          <cell r="C914">
            <v>3</v>
          </cell>
          <cell r="F914" t="str">
            <v>Coâng Thöông CN 14</v>
          </cell>
          <cell r="G914" t="str">
            <v>Hoà Chí Minh</v>
          </cell>
          <cell r="H914" t="str">
            <v>Traû tieàn mua boät giaët</v>
          </cell>
          <cell r="I914">
            <v>400000000</v>
          </cell>
        </row>
        <row r="915">
          <cell r="A915">
            <v>43</v>
          </cell>
          <cell r="B915">
            <v>38376</v>
          </cell>
          <cell r="C915">
            <v>8</v>
          </cell>
          <cell r="F915" t="str">
            <v>Coâng Thöông</v>
          </cell>
          <cell r="G915" t="str">
            <v>Kieân Giang</v>
          </cell>
          <cell r="H915" t="str">
            <v>Traû tieàn mua xi maêng 120taán</v>
          </cell>
          <cell r="I915">
            <v>96228000</v>
          </cell>
        </row>
        <row r="916">
          <cell r="A916">
            <v>44</v>
          </cell>
          <cell r="B916">
            <v>38377</v>
          </cell>
          <cell r="C916">
            <v>4</v>
          </cell>
          <cell r="F916" t="str">
            <v>Sôû Giao Dòch II  CTVN</v>
          </cell>
          <cell r="G916" t="str">
            <v>Hoà Chí Minh</v>
          </cell>
          <cell r="H916" t="str">
            <v>Traû tieàn mua xaêng daàu</v>
          </cell>
          <cell r="I916">
            <v>1924500000</v>
          </cell>
        </row>
        <row r="917">
          <cell r="A917">
            <v>23</v>
          </cell>
          <cell r="B917">
            <v>38377</v>
          </cell>
          <cell r="C917">
            <v>28</v>
          </cell>
          <cell r="F917" t="str">
            <v>Ñaàu Tö &amp; Phaùt Trieån</v>
          </cell>
          <cell r="G917" t="str">
            <v>Caàn Thô</v>
          </cell>
          <cell r="H917" t="str">
            <v>Traû tieân mua söõa hoäp caùc loaïi</v>
          </cell>
          <cell r="I917">
            <v>110000000</v>
          </cell>
        </row>
        <row r="918">
          <cell r="A918">
            <v>45</v>
          </cell>
          <cell r="B918">
            <v>38378</v>
          </cell>
          <cell r="C918">
            <v>4</v>
          </cell>
          <cell r="F918" t="str">
            <v>Sôû Giao Dòch II  CTVN</v>
          </cell>
          <cell r="G918" t="str">
            <v>Hoà Chí Minh</v>
          </cell>
          <cell r="H918" t="str">
            <v>Traû tieàn mua xaêng daàu</v>
          </cell>
          <cell r="I918">
            <v>535600000</v>
          </cell>
        </row>
        <row r="919">
          <cell r="A919">
            <v>46</v>
          </cell>
          <cell r="B919">
            <v>38378</v>
          </cell>
          <cell r="C919">
            <v>31</v>
          </cell>
          <cell r="F919" t="str">
            <v>Sôû Giao Dòch II CTVN</v>
          </cell>
          <cell r="G919" t="str">
            <v>Hoà Chí Minh</v>
          </cell>
          <cell r="H919" t="str">
            <v xml:space="preserve">Traû tieàn mua daàu aên TT.TN.CM </v>
          </cell>
          <cell r="I919">
            <v>70641780</v>
          </cell>
        </row>
        <row r="920">
          <cell r="A920">
            <v>47</v>
          </cell>
          <cell r="B920">
            <v>38378</v>
          </cell>
          <cell r="C920">
            <v>10</v>
          </cell>
          <cell r="F920" t="str">
            <v>Hoàng Kong&amp; Thöôïng Haûi</v>
          </cell>
          <cell r="G920" t="str">
            <v>Hoà Chí Minh</v>
          </cell>
          <cell r="H920" t="str">
            <v>Traû tieàn mua nhôùt</v>
          </cell>
          <cell r="I920">
            <v>212542493</v>
          </cell>
        </row>
        <row r="921">
          <cell r="A921">
            <v>24</v>
          </cell>
          <cell r="B921">
            <v>38378</v>
          </cell>
          <cell r="C921">
            <v>28</v>
          </cell>
          <cell r="F921" t="str">
            <v>Ñaàu Tö &amp; Phaùt Trieån</v>
          </cell>
          <cell r="G921" t="str">
            <v>Caàn Thô</v>
          </cell>
          <cell r="H921" t="str">
            <v>Traû tieân mua söõa hoäp caùc loaïi</v>
          </cell>
          <cell r="I921">
            <v>100000000</v>
          </cell>
        </row>
        <row r="922">
          <cell r="A922">
            <v>25</v>
          </cell>
          <cell r="B922">
            <v>38378</v>
          </cell>
          <cell r="C922">
            <v>27</v>
          </cell>
          <cell r="F922" t="str">
            <v>INDOVINA</v>
          </cell>
          <cell r="G922" t="str">
            <v>Hoà Chí Minh</v>
          </cell>
          <cell r="H922" t="str">
            <v>Traû tieàn mua ñöôøng</v>
          </cell>
          <cell r="I922">
            <v>29750000</v>
          </cell>
        </row>
        <row r="923">
          <cell r="A923">
            <v>48</v>
          </cell>
          <cell r="B923">
            <v>38378</v>
          </cell>
          <cell r="C923">
            <v>1</v>
          </cell>
          <cell r="F923" t="str">
            <v>Sôû Giao Dòch II CTVN</v>
          </cell>
          <cell r="G923" t="str">
            <v>Hoà Chí Minh</v>
          </cell>
          <cell r="H923" t="str">
            <v>Traû tieàn mua thuoác laù</v>
          </cell>
          <cell r="I923">
            <v>110275000</v>
          </cell>
        </row>
        <row r="924">
          <cell r="A924">
            <v>49</v>
          </cell>
          <cell r="B924">
            <v>38378</v>
          </cell>
          <cell r="C924">
            <v>8</v>
          </cell>
          <cell r="F924" t="str">
            <v>Coâng Thöông</v>
          </cell>
          <cell r="G924" t="str">
            <v>Kieân Giang</v>
          </cell>
          <cell r="H924" t="str">
            <v>Traû tieàn mua xi maêng 100taán</v>
          </cell>
          <cell r="I924">
            <v>80190000</v>
          </cell>
        </row>
        <row r="925">
          <cell r="A925">
            <v>50</v>
          </cell>
          <cell r="B925">
            <v>38378</v>
          </cell>
          <cell r="C925">
            <v>36</v>
          </cell>
          <cell r="F925" t="str">
            <v>Coâng Thöông</v>
          </cell>
          <cell r="G925" t="str">
            <v>Baø Ròa-Vuõng Taøu</v>
          </cell>
          <cell r="H925" t="str">
            <v>Traû tieàn mua xaêng daàu</v>
          </cell>
          <cell r="I925">
            <v>2726500000</v>
          </cell>
        </row>
        <row r="926">
          <cell r="A926">
            <v>26</v>
          </cell>
          <cell r="B926">
            <v>38379</v>
          </cell>
          <cell r="C926">
            <v>83</v>
          </cell>
          <cell r="F926" t="str">
            <v>Ngoaïi Thöông</v>
          </cell>
          <cell r="G926" t="str">
            <v>Hoà Chí Minh</v>
          </cell>
          <cell r="H926" t="str">
            <v>Traû tieàn mua Tivi</v>
          </cell>
          <cell r="I926">
            <v>21040250</v>
          </cell>
        </row>
        <row r="927">
          <cell r="A927">
            <v>51</v>
          </cell>
          <cell r="B927">
            <v>38379</v>
          </cell>
          <cell r="C927">
            <v>4</v>
          </cell>
          <cell r="F927" t="str">
            <v>Sôû Giao Dòch II  CTVN</v>
          </cell>
          <cell r="G927" t="str">
            <v>Hoà Chí Minh</v>
          </cell>
          <cell r="H927" t="str">
            <v>Traû tieàn mua xaêng daàu</v>
          </cell>
          <cell r="I927">
            <v>1748000000</v>
          </cell>
        </row>
        <row r="928">
          <cell r="A928">
            <v>27</v>
          </cell>
          <cell r="B928">
            <v>38379</v>
          </cell>
          <cell r="C928">
            <v>28</v>
          </cell>
          <cell r="F928" t="str">
            <v>Ñaàu Tö &amp; Phaùt Trieån</v>
          </cell>
          <cell r="G928" t="str">
            <v>Caàn Thô</v>
          </cell>
          <cell r="H928" t="str">
            <v>Traû tieân mua söõa hoäp caùc loaïi</v>
          </cell>
          <cell r="I928">
            <v>170000000</v>
          </cell>
        </row>
        <row r="929">
          <cell r="A929">
            <v>28</v>
          </cell>
          <cell r="B929">
            <v>38380</v>
          </cell>
          <cell r="C929">
            <v>27</v>
          </cell>
          <cell r="F929" t="str">
            <v>INDOVINA</v>
          </cell>
          <cell r="G929" t="str">
            <v>Hoà Chí Minh</v>
          </cell>
          <cell r="H929" t="str">
            <v>Traû tieàn mua ñöôøng</v>
          </cell>
          <cell r="I929">
            <v>41650000</v>
          </cell>
        </row>
        <row r="930">
          <cell r="A930">
            <v>52</v>
          </cell>
          <cell r="B930">
            <v>38380</v>
          </cell>
          <cell r="C930">
            <v>21</v>
          </cell>
          <cell r="F930" t="str">
            <v>Coâng Thöông</v>
          </cell>
          <cell r="G930" t="str">
            <v>Caàn Thô</v>
          </cell>
          <cell r="H930" t="str">
            <v>Traû tieàn mua gas</v>
          </cell>
          <cell r="I930">
            <v>69315004</v>
          </cell>
        </row>
        <row r="931">
          <cell r="A931">
            <v>53</v>
          </cell>
          <cell r="B931">
            <v>38380</v>
          </cell>
          <cell r="C931">
            <v>8</v>
          </cell>
          <cell r="F931" t="str">
            <v>Coâng Thöông</v>
          </cell>
          <cell r="G931" t="str">
            <v>Kieân Giang</v>
          </cell>
          <cell r="H931" t="str">
            <v>Traû tieàn mua xi maêng 120taán</v>
          </cell>
          <cell r="I931">
            <v>96228000</v>
          </cell>
        </row>
        <row r="932">
          <cell r="A932">
            <v>54</v>
          </cell>
          <cell r="B932">
            <v>38380</v>
          </cell>
          <cell r="C932">
            <v>14</v>
          </cell>
          <cell r="F932" t="str">
            <v>Coâng Thöông CN I</v>
          </cell>
          <cell r="G932" t="str">
            <v>Hoà Chí Minh</v>
          </cell>
          <cell r="H932" t="str">
            <v xml:space="preserve">Traû tieàn mua haøng cho CN Mieàn Taây C.Ty Theùp Mieàn Nam </v>
          </cell>
          <cell r="I932">
            <v>50000000</v>
          </cell>
        </row>
        <row r="933">
          <cell r="A933">
            <v>29</v>
          </cell>
          <cell r="B933">
            <v>38380</v>
          </cell>
          <cell r="C933">
            <v>28</v>
          </cell>
          <cell r="F933" t="str">
            <v>Ñaàu Tö &amp; Phaùt Trieån</v>
          </cell>
          <cell r="G933" t="str">
            <v>Caàn Thô</v>
          </cell>
          <cell r="H933" t="str">
            <v>Traû tieân mua söõa hoäp caùc loaïi</v>
          </cell>
          <cell r="I933">
            <v>180000000</v>
          </cell>
        </row>
        <row r="934">
          <cell r="A934">
            <v>30</v>
          </cell>
          <cell r="B934">
            <v>38383</v>
          </cell>
          <cell r="C934">
            <v>7</v>
          </cell>
          <cell r="F934" t="str">
            <v>Ñaàu Tö &amp; Phaùt Trieån CN Thuû Ñöùc</v>
          </cell>
          <cell r="G934" t="str">
            <v>Hoà Chí Minh</v>
          </cell>
          <cell r="H934" t="str">
            <v>Traû tieàn mua mì Colusa</v>
          </cell>
          <cell r="I934">
            <v>128613111</v>
          </cell>
        </row>
        <row r="935">
          <cell r="A935">
            <v>55</v>
          </cell>
          <cell r="B935">
            <v>38383</v>
          </cell>
          <cell r="C935">
            <v>36</v>
          </cell>
          <cell r="F935" t="str">
            <v>Coâng Thöông</v>
          </cell>
          <cell r="G935" t="str">
            <v>Baø Ròa-Vuõng Taøu</v>
          </cell>
          <cell r="H935" t="str">
            <v>Traû tieàn mua xaêng daàu</v>
          </cell>
          <cell r="I935">
            <v>2819000000</v>
          </cell>
        </row>
        <row r="936">
          <cell r="A936">
            <v>56</v>
          </cell>
          <cell r="B936">
            <v>38383</v>
          </cell>
          <cell r="C936">
            <v>14</v>
          </cell>
          <cell r="F936" t="str">
            <v>Coâng Thöông CN I</v>
          </cell>
          <cell r="G936" t="str">
            <v>Hoà Chí Minh</v>
          </cell>
          <cell r="H936" t="str">
            <v xml:space="preserve">Traû tieàn mua haøng cho CN Mieàn Taây C.Ty Theùp Mieàn Nam </v>
          </cell>
          <cell r="I936">
            <v>120000000</v>
          </cell>
        </row>
        <row r="937">
          <cell r="A937">
            <v>57</v>
          </cell>
          <cell r="B937">
            <v>38383</v>
          </cell>
          <cell r="C937">
            <v>46</v>
          </cell>
          <cell r="F937" t="str">
            <v xml:space="preserve">Coâng Thöông </v>
          </cell>
          <cell r="G937" t="str">
            <v>Phuù Thoï</v>
          </cell>
          <cell r="H937" t="str">
            <v>Traû tieàn mua boät ngoït</v>
          </cell>
          <cell r="I937">
            <v>94920889</v>
          </cell>
        </row>
        <row r="938">
          <cell r="A938">
            <v>31</v>
          </cell>
          <cell r="B938">
            <v>38383</v>
          </cell>
          <cell r="C938">
            <v>28</v>
          </cell>
          <cell r="F938" t="str">
            <v>Ñaàu Tö &amp; Phaùt Trieån</v>
          </cell>
          <cell r="G938" t="str">
            <v>Caàn Thô</v>
          </cell>
          <cell r="H938" t="str">
            <v>Traû tieân mua söõa hoäp caùc loaïi</v>
          </cell>
          <cell r="I938">
            <v>309000000</v>
          </cell>
        </row>
        <row r="939">
          <cell r="A939">
            <v>1</v>
          </cell>
          <cell r="B939">
            <v>38384</v>
          </cell>
          <cell r="C939">
            <v>5</v>
          </cell>
          <cell r="F939" t="str">
            <v>Coâng Thöong CN6</v>
          </cell>
          <cell r="G939" t="str">
            <v>Hoà Chí Minh</v>
          </cell>
          <cell r="H939" t="str">
            <v>Traû tieàn mua boät ngoït</v>
          </cell>
          <cell r="I939">
            <v>412614162</v>
          </cell>
        </row>
        <row r="940">
          <cell r="A940">
            <v>2</v>
          </cell>
          <cell r="B940">
            <v>38384</v>
          </cell>
          <cell r="C940">
            <v>4</v>
          </cell>
          <cell r="F940" t="str">
            <v>Sôû Giao Dòch II  CTVN</v>
          </cell>
          <cell r="G940" t="str">
            <v>Hoà Chí Minh</v>
          </cell>
          <cell r="H940" t="str">
            <v>Traû tieàn mua xaêng daàu</v>
          </cell>
          <cell r="I940">
            <v>1932000000</v>
          </cell>
        </row>
        <row r="941">
          <cell r="A941">
            <v>3</v>
          </cell>
          <cell r="B941">
            <v>38384</v>
          </cell>
          <cell r="C941">
            <v>17</v>
          </cell>
          <cell r="F941" t="str">
            <v>Ngoaïi Thöông</v>
          </cell>
          <cell r="G941" t="str">
            <v>Hoà Chí Minh</v>
          </cell>
          <cell r="H941" t="str">
            <v>Traû tieàn mua xaêng daàu</v>
          </cell>
          <cell r="I941">
            <v>781560000</v>
          </cell>
        </row>
        <row r="942">
          <cell r="A942">
            <v>4</v>
          </cell>
          <cell r="B942">
            <v>38384</v>
          </cell>
          <cell r="C942">
            <v>1</v>
          </cell>
          <cell r="F942" t="str">
            <v>Sôû Giao Dòch II CTVN</v>
          </cell>
          <cell r="G942" t="str">
            <v>Hoà Chí Minh</v>
          </cell>
          <cell r="H942" t="str">
            <v>Traû tieàn mua thuoác laù</v>
          </cell>
          <cell r="I942">
            <v>162525000</v>
          </cell>
        </row>
        <row r="943">
          <cell r="A943">
            <v>5</v>
          </cell>
          <cell r="B943">
            <v>38384</v>
          </cell>
          <cell r="C943">
            <v>27</v>
          </cell>
          <cell r="F943" t="str">
            <v>INDOVINA</v>
          </cell>
          <cell r="G943" t="str">
            <v>Hoà Chí Minh</v>
          </cell>
          <cell r="H943" t="str">
            <v>Traû tieàn mua ñöôøng</v>
          </cell>
          <cell r="I943">
            <v>42000000</v>
          </cell>
        </row>
        <row r="944">
          <cell r="A944">
            <v>6</v>
          </cell>
          <cell r="B944">
            <v>38386</v>
          </cell>
          <cell r="C944">
            <v>4</v>
          </cell>
          <cell r="F944" t="str">
            <v>Sôû Giao Dòch II  CTVN</v>
          </cell>
          <cell r="G944" t="str">
            <v>Hoà Chí Minh</v>
          </cell>
          <cell r="H944" t="str">
            <v>Traû tieàn mua xaêng daàu</v>
          </cell>
          <cell r="I944">
            <v>3583500000</v>
          </cell>
        </row>
        <row r="945">
          <cell r="A945">
            <v>1</v>
          </cell>
          <cell r="B945">
            <v>38386</v>
          </cell>
          <cell r="C945">
            <v>9</v>
          </cell>
          <cell r="F945" t="str">
            <v>Ngoaïi Thöông</v>
          </cell>
          <cell r="G945" t="str">
            <v>Hoà Chí Minh</v>
          </cell>
          <cell r="H945" t="str">
            <v>Traû tieàn mua nhôùt</v>
          </cell>
          <cell r="I945">
            <v>59889548</v>
          </cell>
        </row>
        <row r="946">
          <cell r="A946">
            <v>2</v>
          </cell>
          <cell r="B946">
            <v>38387</v>
          </cell>
          <cell r="C946">
            <v>83</v>
          </cell>
          <cell r="F946" t="str">
            <v>Ngoaïi Thöông</v>
          </cell>
          <cell r="G946" t="str">
            <v>Hoà Chí Minh</v>
          </cell>
          <cell r="H946" t="str">
            <v>Traû tieàn mua Tivi</v>
          </cell>
          <cell r="I946">
            <v>28648950</v>
          </cell>
        </row>
        <row r="947">
          <cell r="A947">
            <v>7</v>
          </cell>
          <cell r="B947">
            <v>38387</v>
          </cell>
          <cell r="C947">
            <v>14</v>
          </cell>
          <cell r="F947" t="str">
            <v>Coâng Thöông CN I</v>
          </cell>
          <cell r="G947" t="str">
            <v>Hoà Chí Minh</v>
          </cell>
          <cell r="H947" t="str">
            <v xml:space="preserve">Traû tieàn mua haøng cho CN Mieàn Taây C.Ty Theùp Mieàn Nam </v>
          </cell>
          <cell r="I947">
            <v>200000000</v>
          </cell>
        </row>
        <row r="948">
          <cell r="A948">
            <v>8</v>
          </cell>
          <cell r="B948">
            <v>38387</v>
          </cell>
          <cell r="C948">
            <v>41</v>
          </cell>
          <cell r="F948" t="str">
            <v>Coâng Thöông CN 9</v>
          </cell>
          <cell r="G948" t="str">
            <v>Hoà Chí Minh</v>
          </cell>
          <cell r="H948" t="str">
            <v xml:space="preserve">Traû tieàn mua xi maêng </v>
          </cell>
          <cell r="I948">
            <v>33291275</v>
          </cell>
        </row>
        <row r="949">
          <cell r="A949">
            <v>9</v>
          </cell>
          <cell r="B949">
            <v>38387</v>
          </cell>
          <cell r="C949">
            <v>98</v>
          </cell>
          <cell r="F949" t="str">
            <v>Coâng Thöông</v>
          </cell>
          <cell r="G949" t="str">
            <v>Caàn Thô</v>
          </cell>
          <cell r="H949" t="str">
            <v xml:space="preserve">Traû tieàn mua xi maêng </v>
          </cell>
          <cell r="I949">
            <v>396410000</v>
          </cell>
        </row>
        <row r="950">
          <cell r="A950">
            <v>10</v>
          </cell>
          <cell r="B950">
            <v>38387</v>
          </cell>
          <cell r="C950">
            <v>85</v>
          </cell>
          <cell r="F950" t="str">
            <v>Sôû Giao Dòch II CTVN</v>
          </cell>
          <cell r="G950" t="str">
            <v>Hoà Chí Minh</v>
          </cell>
          <cell r="H950" t="str">
            <v>Traû tieàn mua tuû laïnh</v>
          </cell>
          <cell r="I950">
            <v>11295000</v>
          </cell>
        </row>
        <row r="951">
          <cell r="A951">
            <v>11</v>
          </cell>
          <cell r="B951">
            <v>38390</v>
          </cell>
          <cell r="C951">
            <v>85</v>
          </cell>
          <cell r="F951" t="str">
            <v>Sôû Giao Dòch II CTVN</v>
          </cell>
          <cell r="G951" t="str">
            <v>Hoà Chí Minh</v>
          </cell>
          <cell r="H951" t="str">
            <v>Traû tieàn mua tuû laïnh</v>
          </cell>
          <cell r="I951">
            <v>10503000</v>
          </cell>
        </row>
        <row r="952">
          <cell r="A952">
            <v>12</v>
          </cell>
          <cell r="B952">
            <v>38390</v>
          </cell>
          <cell r="C952">
            <v>77</v>
          </cell>
          <cell r="F952" t="str">
            <v>Coâng Thöông CN 4</v>
          </cell>
          <cell r="G952" t="str">
            <v>Hoà Chí Minh</v>
          </cell>
          <cell r="H952" t="str">
            <v>Traû tieàn mua tivi</v>
          </cell>
          <cell r="I952">
            <v>31150701</v>
          </cell>
        </row>
        <row r="953">
          <cell r="A953">
            <v>13</v>
          </cell>
          <cell r="B953">
            <v>38390</v>
          </cell>
          <cell r="C953">
            <v>14</v>
          </cell>
          <cell r="F953" t="str">
            <v>Coâng Thöông CN I</v>
          </cell>
          <cell r="G953" t="str">
            <v>Hoà Chí Minh</v>
          </cell>
          <cell r="H953" t="str">
            <v xml:space="preserve">Traû tieàn mua haøng cho CN Mieàn Taây C.Ty Theùp Mieàn Nam </v>
          </cell>
          <cell r="I953">
            <v>120000000</v>
          </cell>
        </row>
        <row r="954">
          <cell r="A954">
            <v>14</v>
          </cell>
          <cell r="B954">
            <v>38390</v>
          </cell>
          <cell r="C954">
            <v>31</v>
          </cell>
          <cell r="F954" t="str">
            <v>Sôû Giao Dòch II CTVN</v>
          </cell>
          <cell r="G954" t="str">
            <v>Hoà Chí Minh</v>
          </cell>
          <cell r="H954" t="str">
            <v xml:space="preserve">Traû tieàn mua daàu aên TT.TN.CM </v>
          </cell>
          <cell r="I954">
            <v>48860873</v>
          </cell>
        </row>
        <row r="955">
          <cell r="A955">
            <v>3</v>
          </cell>
          <cell r="B955">
            <v>38390</v>
          </cell>
          <cell r="C955">
            <v>28</v>
          </cell>
          <cell r="F955" t="str">
            <v>Ñaàu Tö &amp; Phaùt Trieån</v>
          </cell>
          <cell r="G955" t="str">
            <v>Caàn Thô</v>
          </cell>
          <cell r="H955" t="str">
            <v>Traû tieân mua söõa hoäp caùc loaïi</v>
          </cell>
          <cell r="I955">
            <v>86446632</v>
          </cell>
        </row>
        <row r="956">
          <cell r="A956">
            <v>4</v>
          </cell>
          <cell r="B956">
            <v>38390</v>
          </cell>
          <cell r="C956">
            <v>53</v>
          </cell>
          <cell r="F956" t="str">
            <v xml:space="preserve">Coâng Thöông </v>
          </cell>
          <cell r="G956" t="str">
            <v>Baïc Lieâu</v>
          </cell>
          <cell r="H956" t="str">
            <v>Kyù quyõ baûo laõnh Vinamilk 600.000.000x5%</v>
          </cell>
          <cell r="I956">
            <v>30000000</v>
          </cell>
        </row>
        <row r="957">
          <cell r="A957">
            <v>5</v>
          </cell>
          <cell r="B957">
            <v>38397</v>
          </cell>
          <cell r="C957">
            <v>86</v>
          </cell>
          <cell r="F957" t="str">
            <v>Phöông Ñoâng</v>
          </cell>
          <cell r="G957" t="str">
            <v>Baïc Lieâu</v>
          </cell>
          <cell r="H957" t="str">
            <v>Mua BH Baûo Minh Tsaûn+taøu+xe naêm 2005(chuyeån 50%)</v>
          </cell>
          <cell r="I957">
            <v>17808000</v>
          </cell>
        </row>
        <row r="958">
          <cell r="A958">
            <v>15</v>
          </cell>
          <cell r="B958">
            <v>38397</v>
          </cell>
          <cell r="C958">
            <v>4</v>
          </cell>
          <cell r="F958" t="str">
            <v>Sôû Giao Dòch II  CTVN</v>
          </cell>
          <cell r="G958" t="str">
            <v>Hoà Chí Minh</v>
          </cell>
          <cell r="H958" t="str">
            <v>Traû tieàn mua xaêng daàu</v>
          </cell>
          <cell r="I958">
            <v>2162000000</v>
          </cell>
        </row>
        <row r="959">
          <cell r="A959">
            <v>16</v>
          </cell>
          <cell r="B959">
            <v>38397</v>
          </cell>
          <cell r="C959">
            <v>36</v>
          </cell>
          <cell r="F959" t="str">
            <v>Coâng Thöông</v>
          </cell>
          <cell r="G959" t="str">
            <v>Baø Ròa-Vuõng Taøu</v>
          </cell>
          <cell r="H959" t="str">
            <v>Traû tieàn mua xaêng daàu</v>
          </cell>
          <cell r="I959">
            <v>2764500000</v>
          </cell>
        </row>
        <row r="960">
          <cell r="A960">
            <v>17</v>
          </cell>
          <cell r="B960">
            <v>38397</v>
          </cell>
          <cell r="C960">
            <v>8</v>
          </cell>
          <cell r="F960" t="str">
            <v>Coâng Thöông</v>
          </cell>
          <cell r="G960" t="str">
            <v>Kieân Giang</v>
          </cell>
          <cell r="H960" t="str">
            <v>Traû tieàn mua xi maêng 215taán</v>
          </cell>
          <cell r="I960">
            <v>174300500</v>
          </cell>
        </row>
        <row r="961">
          <cell r="A961">
            <v>18</v>
          </cell>
          <cell r="B961">
            <v>38397</v>
          </cell>
          <cell r="C961">
            <v>105</v>
          </cell>
          <cell r="F961" t="str">
            <v>Coâng Thöông CN 4</v>
          </cell>
          <cell r="G961" t="str">
            <v>Hoà Chí Minh</v>
          </cell>
          <cell r="H961" t="str">
            <v>Traû tieàn mua nhôùt</v>
          </cell>
          <cell r="I961">
            <v>83500000</v>
          </cell>
        </row>
        <row r="962">
          <cell r="A962">
            <v>6</v>
          </cell>
          <cell r="B962">
            <v>38397</v>
          </cell>
          <cell r="C962">
            <v>10</v>
          </cell>
          <cell r="F962" t="str">
            <v>Hoàng Kong&amp; Thöôïng Haûi</v>
          </cell>
          <cell r="G962" t="str">
            <v>Hoà Chí Minh</v>
          </cell>
          <cell r="H962" t="str">
            <v>Traû tieàn mua nhôùt</v>
          </cell>
          <cell r="I962">
            <v>58787982</v>
          </cell>
        </row>
        <row r="963">
          <cell r="A963">
            <v>5</v>
          </cell>
          <cell r="B963">
            <v>38397</v>
          </cell>
          <cell r="C963">
            <v>86</v>
          </cell>
          <cell r="F963" t="str">
            <v>Phöông Ñoâng</v>
          </cell>
          <cell r="G963" t="str">
            <v>Baïc Lieâu</v>
          </cell>
          <cell r="H963" t="str">
            <v>Mua BH Baûo Minh Tsaûn+taøu+xe naêm 2005(chuyeån 50%)</v>
          </cell>
          <cell r="I963">
            <v>17808000</v>
          </cell>
        </row>
        <row r="964">
          <cell r="A964">
            <v>19</v>
          </cell>
          <cell r="B964">
            <v>38397</v>
          </cell>
          <cell r="C964">
            <v>31</v>
          </cell>
          <cell r="F964" t="str">
            <v>Sôû Giao Dòch II CTVN</v>
          </cell>
          <cell r="G964" t="str">
            <v>Hoà Chí Minh</v>
          </cell>
          <cell r="H964" t="str">
            <v xml:space="preserve">Traû tieàn mua daàu aên </v>
          </cell>
          <cell r="I964">
            <v>320000000</v>
          </cell>
        </row>
        <row r="965">
          <cell r="A965">
            <v>20</v>
          </cell>
          <cell r="B965">
            <v>38397</v>
          </cell>
          <cell r="C965">
            <v>36</v>
          </cell>
          <cell r="F965" t="str">
            <v>Coâng Thöông</v>
          </cell>
          <cell r="G965" t="str">
            <v>Baø Ròa-Vuõng Taøu</v>
          </cell>
          <cell r="H965" t="str">
            <v>Traû tieàn mua xaêng daàu</v>
          </cell>
          <cell r="I965">
            <v>1301100000</v>
          </cell>
        </row>
        <row r="966">
          <cell r="A966">
            <v>7</v>
          </cell>
          <cell r="B966">
            <v>38397</v>
          </cell>
          <cell r="C966">
            <v>28</v>
          </cell>
          <cell r="F966" t="str">
            <v>Ñaàu Tö &amp; Phaùt Trieån</v>
          </cell>
          <cell r="G966" t="str">
            <v>Caàn Thô</v>
          </cell>
          <cell r="H966" t="str">
            <v>Traû tieân mua söõa hoäp caùc loaïi</v>
          </cell>
          <cell r="I966">
            <v>130000000</v>
          </cell>
        </row>
        <row r="967">
          <cell r="A967">
            <v>21</v>
          </cell>
          <cell r="B967">
            <v>38398</v>
          </cell>
          <cell r="C967">
            <v>1</v>
          </cell>
          <cell r="F967" t="str">
            <v>Sôû Giao Dòch II CTVN</v>
          </cell>
          <cell r="G967" t="str">
            <v>Hoà Chí Minh</v>
          </cell>
          <cell r="H967" t="str">
            <v>Traû tieàn mua thuoác laù</v>
          </cell>
          <cell r="I967">
            <v>132000000</v>
          </cell>
        </row>
        <row r="968">
          <cell r="A968">
            <v>8</v>
          </cell>
          <cell r="B968">
            <v>38398</v>
          </cell>
          <cell r="C968">
            <v>28</v>
          </cell>
          <cell r="F968" t="str">
            <v>Ñaàu Tö &amp; Phaùt Trieån</v>
          </cell>
          <cell r="G968" t="str">
            <v>Caàn Thô</v>
          </cell>
          <cell r="H968" t="str">
            <v>Traû tieân mua söõa hoäp caùc loaïi</v>
          </cell>
          <cell r="I968">
            <v>200000000</v>
          </cell>
        </row>
        <row r="969">
          <cell r="A969">
            <v>22</v>
          </cell>
          <cell r="B969">
            <v>38399</v>
          </cell>
          <cell r="C969">
            <v>36</v>
          </cell>
          <cell r="F969" t="str">
            <v>Coâng Thöông</v>
          </cell>
          <cell r="G969" t="str">
            <v>Baø Ròa-Vuõng Taøu</v>
          </cell>
          <cell r="H969" t="str">
            <v>Traû tieàn mua xaêng daàu</v>
          </cell>
          <cell r="I969">
            <v>2527000000</v>
          </cell>
        </row>
        <row r="970">
          <cell r="A970">
            <v>23</v>
          </cell>
          <cell r="B970">
            <v>38399</v>
          </cell>
          <cell r="C970">
            <v>4</v>
          </cell>
          <cell r="F970" t="str">
            <v>Sôû Giao Dòch II  CTVN</v>
          </cell>
          <cell r="G970" t="str">
            <v>Hoà Chí Minh</v>
          </cell>
          <cell r="H970" t="str">
            <v>Traû tieàn mua xaêng daàu</v>
          </cell>
          <cell r="I970">
            <v>1739000000</v>
          </cell>
        </row>
        <row r="971">
          <cell r="A971">
            <v>9</v>
          </cell>
          <cell r="B971">
            <v>38400</v>
          </cell>
          <cell r="C971">
            <v>44</v>
          </cell>
          <cell r="F971" t="str">
            <v xml:space="preserve">Coâng Thöông </v>
          </cell>
          <cell r="G971" t="str">
            <v>Baïc Lieâu</v>
          </cell>
          <cell r="H971" t="str">
            <v>Traû tieàn ñieän thoaïi thaùng 01/2004</v>
          </cell>
          <cell r="I971">
            <v>7338559</v>
          </cell>
        </row>
        <row r="972">
          <cell r="A972">
            <v>24</v>
          </cell>
          <cell r="B972">
            <v>38400</v>
          </cell>
          <cell r="C972">
            <v>8</v>
          </cell>
          <cell r="F972" t="str">
            <v>Coâng Thöông</v>
          </cell>
          <cell r="G972" t="str">
            <v>Kieân Giang</v>
          </cell>
          <cell r="H972" t="str">
            <v>Traû tieàn mua xi maêng 205taán</v>
          </cell>
          <cell r="I972">
            <v>166193500</v>
          </cell>
        </row>
        <row r="973">
          <cell r="A973">
            <v>10</v>
          </cell>
          <cell r="B973">
            <v>38400</v>
          </cell>
          <cell r="C973">
            <v>28</v>
          </cell>
          <cell r="F973" t="str">
            <v>Ñaàu Tö &amp; Phaùt Trieån</v>
          </cell>
          <cell r="G973" t="str">
            <v>Caàn Thô</v>
          </cell>
          <cell r="H973" t="str">
            <v>Traû tieân mua söõa hoäp caùc loaïi</v>
          </cell>
          <cell r="I973">
            <v>200000000</v>
          </cell>
        </row>
        <row r="974">
          <cell r="A974">
            <v>11</v>
          </cell>
          <cell r="B974">
            <v>38400</v>
          </cell>
          <cell r="C974">
            <v>25</v>
          </cell>
          <cell r="F974" t="str">
            <v>NN &amp; P/T N/Thoân</v>
          </cell>
          <cell r="G974" t="str">
            <v>Baïc Lieâu</v>
          </cell>
          <cell r="H974" t="str">
            <v>Noäp BHXH,BHYT thaùng 02/05</v>
          </cell>
          <cell r="I974">
            <v>16677668</v>
          </cell>
        </row>
        <row r="975">
          <cell r="A975">
            <v>25</v>
          </cell>
          <cell r="B975">
            <v>38400</v>
          </cell>
          <cell r="C975">
            <v>3</v>
          </cell>
          <cell r="F975" t="str">
            <v>Coâng Thöông CN 14</v>
          </cell>
          <cell r="G975" t="str">
            <v>Hoà Chí Minh</v>
          </cell>
          <cell r="H975" t="str">
            <v>Traû tieàn mua boät giaët</v>
          </cell>
          <cell r="I975">
            <v>300000000</v>
          </cell>
        </row>
        <row r="976">
          <cell r="A976">
            <v>26</v>
          </cell>
          <cell r="B976">
            <v>38400</v>
          </cell>
          <cell r="C976">
            <v>105</v>
          </cell>
          <cell r="F976" t="str">
            <v>Coâng Thöông CN 4</v>
          </cell>
          <cell r="G976" t="str">
            <v>Hoà Chí Minh</v>
          </cell>
          <cell r="H976" t="str">
            <v>Traû tieàn mua nhôùt</v>
          </cell>
          <cell r="I976">
            <v>115950000</v>
          </cell>
        </row>
        <row r="977">
          <cell r="A977">
            <v>27</v>
          </cell>
          <cell r="B977">
            <v>38400</v>
          </cell>
          <cell r="C977">
            <v>4</v>
          </cell>
          <cell r="F977" t="str">
            <v>Sôû Giao Dòch II  CTVN</v>
          </cell>
          <cell r="G977" t="str">
            <v>Hoà Chí Minh</v>
          </cell>
          <cell r="H977" t="str">
            <v>Traû tieàn mua xaêng daàu</v>
          </cell>
          <cell r="I977">
            <v>1886000000</v>
          </cell>
        </row>
        <row r="978">
          <cell r="A978">
            <v>28</v>
          </cell>
          <cell r="B978">
            <v>38401</v>
          </cell>
          <cell r="C978">
            <v>5</v>
          </cell>
          <cell r="F978" t="str">
            <v>Coâng Thöong CN6</v>
          </cell>
          <cell r="G978" t="str">
            <v>Hoà Chí Minh</v>
          </cell>
          <cell r="H978" t="str">
            <v>Traû tieàn mua boät ngoït</v>
          </cell>
          <cell r="I978">
            <v>315523951</v>
          </cell>
        </row>
        <row r="979">
          <cell r="A979">
            <v>29</v>
          </cell>
          <cell r="B979">
            <v>38401</v>
          </cell>
          <cell r="C979">
            <v>28</v>
          </cell>
          <cell r="F979" t="str">
            <v>Ñaàu Tö &amp; Phaùt Trieån</v>
          </cell>
          <cell r="G979" t="str">
            <v>Caàn Thô</v>
          </cell>
          <cell r="H979" t="str">
            <v>Traû tieân mua söõa hoäp caùc loaïi</v>
          </cell>
          <cell r="I979">
            <v>200000000</v>
          </cell>
        </row>
        <row r="980">
          <cell r="A980">
            <v>30</v>
          </cell>
          <cell r="B980">
            <v>38401</v>
          </cell>
          <cell r="C980">
            <v>14</v>
          </cell>
          <cell r="F980" t="str">
            <v>Coâng Thöông CN I</v>
          </cell>
          <cell r="G980" t="str">
            <v>Hoà Chí Minh</v>
          </cell>
          <cell r="H980" t="str">
            <v xml:space="preserve">Traû tieàn mua haøng cho CN Mieàn Taây C.Ty Theùp Mieàn Nam </v>
          </cell>
          <cell r="I980">
            <v>120000000</v>
          </cell>
        </row>
        <row r="981">
          <cell r="A981">
            <v>12</v>
          </cell>
          <cell r="B981">
            <v>38401</v>
          </cell>
          <cell r="C981">
            <v>19</v>
          </cell>
          <cell r="F981" t="str">
            <v>Eximbank</v>
          </cell>
          <cell r="G981" t="str">
            <v>Hoà Chí Minh</v>
          </cell>
          <cell r="H981" t="str">
            <v>Traû tieàn mua gas</v>
          </cell>
          <cell r="I981">
            <v>72333250</v>
          </cell>
        </row>
        <row r="982">
          <cell r="A982">
            <v>31</v>
          </cell>
          <cell r="B982">
            <v>38404</v>
          </cell>
          <cell r="C982">
            <v>41</v>
          </cell>
          <cell r="F982" t="str">
            <v>Coâng Thöông CN 9</v>
          </cell>
          <cell r="G982" t="str">
            <v>Hoà Chí Minh</v>
          </cell>
          <cell r="H982" t="str">
            <v xml:space="preserve">Traû tieàn mua xi maêng </v>
          </cell>
          <cell r="I982">
            <v>83600000</v>
          </cell>
        </row>
        <row r="983">
          <cell r="A983">
            <v>32</v>
          </cell>
          <cell r="B983">
            <v>38404</v>
          </cell>
          <cell r="C983">
            <v>14</v>
          </cell>
          <cell r="F983" t="str">
            <v>Coâng Thöông CN I</v>
          </cell>
          <cell r="G983" t="str">
            <v>Hoà Chí Minh</v>
          </cell>
          <cell r="H983" t="str">
            <v xml:space="preserve">Traû tieàn mua haøng cho CN Mieàn Taây C.Ty Theùp Mieàn Nam </v>
          </cell>
          <cell r="I983">
            <v>300000000</v>
          </cell>
        </row>
        <row r="984">
          <cell r="A984">
            <v>13</v>
          </cell>
          <cell r="B984">
            <v>38404</v>
          </cell>
          <cell r="C984">
            <v>10</v>
          </cell>
          <cell r="F984" t="str">
            <v>Hoàng Kong&amp; Thöôïng Haûi</v>
          </cell>
          <cell r="G984" t="str">
            <v>Hoà Chí Minh</v>
          </cell>
          <cell r="H984" t="str">
            <v>Traû tieàn mua nhôùt</v>
          </cell>
          <cell r="I984">
            <v>226712151</v>
          </cell>
        </row>
        <row r="985">
          <cell r="A985">
            <v>14</v>
          </cell>
          <cell r="B985">
            <v>38404</v>
          </cell>
          <cell r="C985">
            <v>28</v>
          </cell>
          <cell r="F985" t="str">
            <v>Ñaàu Tö &amp; Phaùt Trieån</v>
          </cell>
          <cell r="G985" t="str">
            <v>Caàn Thô</v>
          </cell>
          <cell r="H985" t="str">
            <v>Traû tieân mua söõa hoäp caùc loaïi</v>
          </cell>
          <cell r="I985">
            <v>256000000</v>
          </cell>
        </row>
        <row r="986">
          <cell r="A986">
            <v>33</v>
          </cell>
          <cell r="B986">
            <v>38405</v>
          </cell>
          <cell r="C986">
            <v>8</v>
          </cell>
          <cell r="F986" t="str">
            <v>Coâng Thöông</v>
          </cell>
          <cell r="G986" t="str">
            <v>Kieân Giang</v>
          </cell>
          <cell r="H986" t="str">
            <v>Traû tieàn mua xi maêng 135taán</v>
          </cell>
          <cell r="I986">
            <v>109444500</v>
          </cell>
        </row>
        <row r="987">
          <cell r="A987">
            <v>15</v>
          </cell>
          <cell r="B987">
            <v>38405</v>
          </cell>
          <cell r="C987">
            <v>28</v>
          </cell>
          <cell r="F987" t="str">
            <v>Ñaàu Tö &amp; Phaùt Trieån</v>
          </cell>
          <cell r="G987" t="str">
            <v>Caàn Thô</v>
          </cell>
          <cell r="H987" t="str">
            <v>Traû tieân mua söõa hoäp caùc loaïi</v>
          </cell>
          <cell r="I987">
            <v>640000000</v>
          </cell>
        </row>
        <row r="988">
          <cell r="A988">
            <v>16</v>
          </cell>
          <cell r="B988">
            <v>38405</v>
          </cell>
          <cell r="C988">
            <v>27</v>
          </cell>
          <cell r="F988" t="str">
            <v>INDOVINA</v>
          </cell>
          <cell r="G988" t="str">
            <v>Hoà Chí Minh</v>
          </cell>
          <cell r="H988" t="str">
            <v>Traû tieàn mua ñöôøng</v>
          </cell>
          <cell r="I988">
            <v>140175000</v>
          </cell>
        </row>
        <row r="989">
          <cell r="A989">
            <v>34</v>
          </cell>
          <cell r="B989">
            <v>38406</v>
          </cell>
          <cell r="C989">
            <v>4</v>
          </cell>
          <cell r="F989" t="str">
            <v>Sôû Giao Dòch II  CTVN</v>
          </cell>
          <cell r="G989" t="str">
            <v>Hoà Chí Minh</v>
          </cell>
          <cell r="H989" t="str">
            <v>Traû tieàn mua xaêng daàu</v>
          </cell>
          <cell r="I989">
            <v>1932000000</v>
          </cell>
        </row>
        <row r="990">
          <cell r="A990">
            <v>35</v>
          </cell>
          <cell r="B990">
            <v>38406</v>
          </cell>
          <cell r="C990">
            <v>17</v>
          </cell>
          <cell r="F990" t="str">
            <v>Ngoaïi Thöông</v>
          </cell>
          <cell r="G990" t="str">
            <v>Hoà Chí Minh</v>
          </cell>
          <cell r="H990" t="str">
            <v>Traû tieàn mua xaêng daàu</v>
          </cell>
          <cell r="I990">
            <v>649000000</v>
          </cell>
        </row>
        <row r="991">
          <cell r="A991">
            <v>36</v>
          </cell>
          <cell r="B991">
            <v>38406</v>
          </cell>
          <cell r="C991">
            <v>14</v>
          </cell>
          <cell r="F991" t="str">
            <v>Coâng Thöông CN I</v>
          </cell>
          <cell r="G991" t="str">
            <v>Hoà Chí Minh</v>
          </cell>
          <cell r="H991" t="str">
            <v xml:space="preserve">Traû tieàn mua haøng cho CN Mieàn Taây C.Ty Theùp Mieàn Nam </v>
          </cell>
          <cell r="I991">
            <v>300000000</v>
          </cell>
        </row>
        <row r="992">
          <cell r="A992">
            <v>37</v>
          </cell>
          <cell r="B992">
            <v>38408</v>
          </cell>
          <cell r="C992">
            <v>8</v>
          </cell>
          <cell r="F992" t="str">
            <v>Coâng Thöông</v>
          </cell>
          <cell r="G992" t="str">
            <v>Kieân Giang</v>
          </cell>
          <cell r="H992" t="str">
            <v>Traû tieàn mua xi maêng 150taán</v>
          </cell>
          <cell r="I992">
            <v>119278500</v>
          </cell>
        </row>
        <row r="993">
          <cell r="A993">
            <v>38</v>
          </cell>
          <cell r="B993">
            <v>38408</v>
          </cell>
          <cell r="C993">
            <v>21</v>
          </cell>
          <cell r="F993" t="str">
            <v>Coâng Thöông</v>
          </cell>
          <cell r="G993" t="str">
            <v>Caàn Thô</v>
          </cell>
          <cell r="H993" t="str">
            <v>Traû tieàn mua gas</v>
          </cell>
          <cell r="I993">
            <v>80036500</v>
          </cell>
        </row>
        <row r="994">
          <cell r="A994">
            <v>39</v>
          </cell>
          <cell r="B994">
            <v>38408</v>
          </cell>
          <cell r="C994">
            <v>105</v>
          </cell>
          <cell r="F994" t="str">
            <v>Coâng Thöông CN 4</v>
          </cell>
          <cell r="G994" t="str">
            <v>Hoà Chí Minh</v>
          </cell>
          <cell r="H994" t="str">
            <v>Traû tieàn mua nhôùt</v>
          </cell>
          <cell r="I994">
            <v>92250000</v>
          </cell>
        </row>
        <row r="995">
          <cell r="A995">
            <v>40</v>
          </cell>
          <cell r="B995">
            <v>38411</v>
          </cell>
          <cell r="C995">
            <v>8</v>
          </cell>
          <cell r="F995" t="str">
            <v>Coâng Thöông</v>
          </cell>
          <cell r="G995" t="str">
            <v>Kieân Giang</v>
          </cell>
          <cell r="H995" t="str">
            <v>Traû tieàn mua xi maêng 70taán</v>
          </cell>
          <cell r="I995">
            <v>56749000</v>
          </cell>
        </row>
        <row r="996">
          <cell r="A996">
            <v>41</v>
          </cell>
          <cell r="B996">
            <v>38411</v>
          </cell>
          <cell r="C996">
            <v>14</v>
          </cell>
          <cell r="F996" t="str">
            <v>Coâng Thöông CN I</v>
          </cell>
          <cell r="G996" t="str">
            <v>Hoà Chí Minh</v>
          </cell>
          <cell r="H996" t="str">
            <v xml:space="preserve">Traû tieàn mua haøng cho CN Mieàn Taây C.Ty Theùp Mieàn Nam </v>
          </cell>
          <cell r="I996">
            <v>300000000</v>
          </cell>
        </row>
        <row r="997">
          <cell r="A997">
            <v>42</v>
          </cell>
          <cell r="B997">
            <v>38411</v>
          </cell>
          <cell r="C997">
            <v>5</v>
          </cell>
          <cell r="F997" t="str">
            <v>Coâng Thöong CN6</v>
          </cell>
          <cell r="G997" t="str">
            <v>Hoà Chí Minh</v>
          </cell>
          <cell r="H997" t="str">
            <v>Traû tieàn mua boät ngoït</v>
          </cell>
          <cell r="I997">
            <v>165810260</v>
          </cell>
        </row>
        <row r="998">
          <cell r="A998">
            <v>43</v>
          </cell>
          <cell r="B998">
            <v>38411</v>
          </cell>
          <cell r="C998">
            <v>41</v>
          </cell>
          <cell r="F998" t="str">
            <v>Coâng Thöông CN 9</v>
          </cell>
          <cell r="G998" t="str">
            <v>Hoà Chí Minh</v>
          </cell>
          <cell r="H998" t="str">
            <v xml:space="preserve">Traû tieàn mua xi maêng </v>
          </cell>
          <cell r="I998">
            <v>167200000</v>
          </cell>
        </row>
        <row r="999">
          <cell r="A999">
            <v>44</v>
          </cell>
          <cell r="B999">
            <v>38411</v>
          </cell>
          <cell r="C999">
            <v>36</v>
          </cell>
          <cell r="F999" t="str">
            <v>Coâng Thöông</v>
          </cell>
          <cell r="G999" t="str">
            <v>Baø Ròa-Vuõng Taøu</v>
          </cell>
          <cell r="H999" t="str">
            <v>Traû tieàn mua xaêng daàu</v>
          </cell>
          <cell r="I999">
            <v>5090000000</v>
          </cell>
        </row>
        <row r="1000">
          <cell r="A1000">
            <v>17</v>
          </cell>
          <cell r="B1000">
            <v>38411</v>
          </cell>
          <cell r="C1000">
            <v>28</v>
          </cell>
          <cell r="F1000" t="str">
            <v>Ñaàu Tö &amp; Phaùt Trieån</v>
          </cell>
          <cell r="G1000" t="str">
            <v>Caàn Thô</v>
          </cell>
          <cell r="H1000" t="str">
            <v>Traû tieân mua söõa hoäp caùc loaïi</v>
          </cell>
          <cell r="I1000">
            <v>1058000000</v>
          </cell>
        </row>
        <row r="1001">
          <cell r="A1001">
            <v>18</v>
          </cell>
          <cell r="B1001">
            <v>38411</v>
          </cell>
          <cell r="C1001">
            <v>7</v>
          </cell>
          <cell r="F1001" t="str">
            <v>Ñaàu Tö &amp; Phaùt Trieån CN Thuû Ñöùc</v>
          </cell>
          <cell r="G1001" t="str">
            <v>Hoà Chí Minh</v>
          </cell>
          <cell r="H1001" t="str">
            <v>Traû tieàn mua mì Colusa</v>
          </cell>
          <cell r="I1001">
            <v>33729300</v>
          </cell>
        </row>
        <row r="1002">
          <cell r="A1002">
            <v>45</v>
          </cell>
          <cell r="B1002">
            <v>38411</v>
          </cell>
          <cell r="C1002">
            <v>4</v>
          </cell>
          <cell r="F1002" t="str">
            <v>Sôû Giao Dòch II  CTVN</v>
          </cell>
          <cell r="G1002" t="str">
            <v>Hoà Chí Minh</v>
          </cell>
          <cell r="H1002" t="str">
            <v>Traû tieàn mua xaêng daàu</v>
          </cell>
          <cell r="I1002">
            <v>4132000000</v>
          </cell>
        </row>
        <row r="1003">
          <cell r="A1003">
            <v>46</v>
          </cell>
          <cell r="B1003">
            <v>38411</v>
          </cell>
          <cell r="C1003">
            <v>1</v>
          </cell>
          <cell r="F1003" t="str">
            <v>Sôû Giao Dòch II CTVN</v>
          </cell>
          <cell r="G1003" t="str">
            <v>Hoà Chí Minh</v>
          </cell>
          <cell r="H1003" t="str">
            <v>Traû tieàn mua thuoác laù</v>
          </cell>
          <cell r="I1003">
            <v>142175000</v>
          </cell>
        </row>
        <row r="1004">
          <cell r="A1004">
            <v>47</v>
          </cell>
          <cell r="B1004">
            <v>38411</v>
          </cell>
          <cell r="C1004">
            <v>12</v>
          </cell>
          <cell r="F1004" t="str">
            <v>Coâng Thöông</v>
          </cell>
          <cell r="G1004" t="str">
            <v>Phuù Thoï</v>
          </cell>
          <cell r="H1004" t="str">
            <v>Traû tieàn mua boät ngoït</v>
          </cell>
          <cell r="I1004">
            <v>134513117</v>
          </cell>
        </row>
        <row r="1005">
          <cell r="A1005">
            <v>48</v>
          </cell>
          <cell r="B1005">
            <v>38411</v>
          </cell>
          <cell r="C1005">
            <v>31</v>
          </cell>
          <cell r="F1005" t="str">
            <v>Sôû Giao Dòch II CTVN</v>
          </cell>
          <cell r="G1005" t="str">
            <v>Hoà Chí Minh</v>
          </cell>
          <cell r="H1005" t="str">
            <v>Traû tieàn mua daàu xaù (Traïm Caàn Thô)</v>
          </cell>
          <cell r="I1005">
            <v>50782875</v>
          </cell>
        </row>
        <row r="1006">
          <cell r="A1006">
            <v>1</v>
          </cell>
          <cell r="B1006">
            <v>38412</v>
          </cell>
          <cell r="C1006">
            <v>8</v>
          </cell>
          <cell r="F1006" t="str">
            <v>Coâng Thöông</v>
          </cell>
          <cell r="G1006" t="str">
            <v>Kieân Giang</v>
          </cell>
          <cell r="H1006" t="str">
            <v>Traû tieàn mua xi maêng 117taán</v>
          </cell>
          <cell r="I1006">
            <v>94851900</v>
          </cell>
        </row>
        <row r="1007">
          <cell r="A1007">
            <v>2</v>
          </cell>
          <cell r="B1007">
            <v>38412</v>
          </cell>
          <cell r="C1007">
            <v>4</v>
          </cell>
          <cell r="F1007" t="str">
            <v>Sôû Giao Dòch II  CTVN</v>
          </cell>
          <cell r="G1007" t="str">
            <v>Hoà Chí Minh</v>
          </cell>
          <cell r="H1007" t="str">
            <v>Traû tieàn mua xaêng daàu</v>
          </cell>
          <cell r="I1007">
            <v>538000000</v>
          </cell>
        </row>
        <row r="1008">
          <cell r="A1008">
            <v>3</v>
          </cell>
          <cell r="B1008">
            <v>38413</v>
          </cell>
          <cell r="C1008">
            <v>4</v>
          </cell>
          <cell r="F1008" t="str">
            <v>Sôû Giao Dòch II  CTVN</v>
          </cell>
          <cell r="G1008" t="str">
            <v>Hoà Chí Minh</v>
          </cell>
          <cell r="H1008" t="str">
            <v>Traû tieàn mua xaêng daàu</v>
          </cell>
          <cell r="I1008">
            <v>1881000000</v>
          </cell>
        </row>
        <row r="1009">
          <cell r="A1009">
            <v>4</v>
          </cell>
          <cell r="B1009">
            <v>38413</v>
          </cell>
          <cell r="C1009">
            <v>14</v>
          </cell>
          <cell r="F1009" t="str">
            <v>Coâng Thöông CN I</v>
          </cell>
          <cell r="G1009" t="str">
            <v>Hoà Chí Minh</v>
          </cell>
          <cell r="H1009" t="str">
            <v xml:space="preserve">Traû tieàn mua haøng cho CN Mieàn Taây C.Ty Theùp Mieàn Nam </v>
          </cell>
          <cell r="I1009">
            <v>120000000</v>
          </cell>
        </row>
        <row r="1010">
          <cell r="A1010">
            <v>5</v>
          </cell>
          <cell r="B1010">
            <v>38413</v>
          </cell>
          <cell r="C1010">
            <v>3</v>
          </cell>
          <cell r="F1010" t="str">
            <v>Coâng Thöông CN 14</v>
          </cell>
          <cell r="G1010" t="str">
            <v>Hoà Chí Minh</v>
          </cell>
          <cell r="H1010" t="str">
            <v>Traû tieàn mua boät giaët</v>
          </cell>
          <cell r="I1010">
            <v>320000000</v>
          </cell>
        </row>
        <row r="1011">
          <cell r="A1011">
            <v>6</v>
          </cell>
          <cell r="B1011">
            <v>38414</v>
          </cell>
          <cell r="C1011">
            <v>3</v>
          </cell>
          <cell r="F1011" t="str">
            <v>Coâng Thöông CN 14</v>
          </cell>
          <cell r="G1011" t="str">
            <v>Hoà Chí Minh</v>
          </cell>
          <cell r="H1011" t="str">
            <v>Traû tieàn mua boät giaët</v>
          </cell>
          <cell r="I1011">
            <v>150000000</v>
          </cell>
        </row>
        <row r="1012">
          <cell r="A1012">
            <v>7</v>
          </cell>
          <cell r="B1012">
            <v>38414</v>
          </cell>
          <cell r="C1012">
            <v>8</v>
          </cell>
          <cell r="F1012" t="str">
            <v>Coâng Thöông</v>
          </cell>
          <cell r="G1012" t="str">
            <v>Kieân Giang</v>
          </cell>
          <cell r="H1012" t="str">
            <v>Traû tieàn mua xi maêng 120taán</v>
          </cell>
          <cell r="I1012">
            <v>97053000</v>
          </cell>
        </row>
        <row r="1013">
          <cell r="A1013">
            <v>8</v>
          </cell>
          <cell r="B1013">
            <v>38414</v>
          </cell>
          <cell r="C1013">
            <v>31</v>
          </cell>
          <cell r="F1013" t="str">
            <v>Sôû Giao Dòch II CTVN</v>
          </cell>
          <cell r="G1013" t="str">
            <v>Hoà Chí Minh</v>
          </cell>
          <cell r="H1013" t="str">
            <v>Traû tieàn mua daàu aên</v>
          </cell>
          <cell r="I1013">
            <v>95705602</v>
          </cell>
        </row>
        <row r="1014">
          <cell r="A1014">
            <v>9</v>
          </cell>
          <cell r="B1014">
            <v>38414</v>
          </cell>
          <cell r="C1014">
            <v>36</v>
          </cell>
          <cell r="F1014" t="str">
            <v>Coâng Thöông</v>
          </cell>
          <cell r="G1014" t="str">
            <v>Baø Ròa-Vuõng Taøu</v>
          </cell>
          <cell r="H1014" t="str">
            <v>Traû tieàn mua xaêng daàu</v>
          </cell>
          <cell r="I1014">
            <v>2831600000</v>
          </cell>
        </row>
        <row r="1015">
          <cell r="A1015">
            <v>10</v>
          </cell>
          <cell r="B1015">
            <v>38414</v>
          </cell>
          <cell r="C1015">
            <v>5</v>
          </cell>
          <cell r="F1015" t="str">
            <v>Coâng Thöong CN6</v>
          </cell>
          <cell r="G1015" t="str">
            <v>Hoà Chí Minh</v>
          </cell>
          <cell r="H1015" t="str">
            <v>Traû tieàn mua boät ngoït</v>
          </cell>
          <cell r="I1015">
            <v>422521818</v>
          </cell>
        </row>
        <row r="1016">
          <cell r="A1016">
            <v>1</v>
          </cell>
          <cell r="B1016">
            <v>38414</v>
          </cell>
          <cell r="C1016">
            <v>53</v>
          </cell>
          <cell r="F1016" t="str">
            <v xml:space="preserve">Coâng Thöông </v>
          </cell>
          <cell r="G1016" t="str">
            <v>Baïc Lieâu</v>
          </cell>
          <cell r="H1016" t="str">
            <v>Kyù quyõ baûo laõnh Vinamilk 390.000.000x5%</v>
          </cell>
          <cell r="I1016">
            <v>19500000</v>
          </cell>
        </row>
        <row r="1017">
          <cell r="A1017">
            <v>11</v>
          </cell>
          <cell r="B1017">
            <v>38415</v>
          </cell>
          <cell r="C1017">
            <v>4</v>
          </cell>
          <cell r="F1017" t="str">
            <v>Sôû Giao Dòch II  CTVN</v>
          </cell>
          <cell r="G1017" t="str">
            <v>Hoà Chí Minh</v>
          </cell>
          <cell r="H1017" t="str">
            <v>Traû tieàn mua xaêng daàu</v>
          </cell>
          <cell r="I1017">
            <v>1932000000</v>
          </cell>
        </row>
        <row r="1018">
          <cell r="A1018">
            <v>12</v>
          </cell>
          <cell r="B1018">
            <v>38415</v>
          </cell>
          <cell r="C1018">
            <v>8</v>
          </cell>
          <cell r="F1018" t="str">
            <v>Coâng Thöông</v>
          </cell>
          <cell r="G1018" t="str">
            <v>Kieân Giang</v>
          </cell>
          <cell r="H1018" t="str">
            <v>Traû tieàn mua xi maêng 265taán</v>
          </cell>
          <cell r="I1018">
            <v>214835500</v>
          </cell>
        </row>
        <row r="1019">
          <cell r="A1019">
            <v>13</v>
          </cell>
          <cell r="B1019">
            <v>38415</v>
          </cell>
          <cell r="C1019">
            <v>98</v>
          </cell>
          <cell r="F1019" t="str">
            <v>Coâng Thöông</v>
          </cell>
          <cell r="G1019" t="str">
            <v>Caàn Thô</v>
          </cell>
          <cell r="H1019" t="str">
            <v xml:space="preserve">Traû tieàn mua xi maêng </v>
          </cell>
          <cell r="I1019">
            <v>419060000</v>
          </cell>
        </row>
        <row r="1020">
          <cell r="A1020">
            <v>14</v>
          </cell>
          <cell r="B1020">
            <v>38415</v>
          </cell>
          <cell r="C1020">
            <v>31</v>
          </cell>
          <cell r="F1020" t="str">
            <v>Sôû Giao Dòch II CTVN</v>
          </cell>
          <cell r="G1020" t="str">
            <v>Hoà Chí Minh</v>
          </cell>
          <cell r="H1020" t="str">
            <v>Traû tieàn mua daàu aên</v>
          </cell>
          <cell r="I1020">
            <v>71356711</v>
          </cell>
        </row>
        <row r="1021">
          <cell r="A1021">
            <v>15</v>
          </cell>
          <cell r="B1021">
            <v>38418</v>
          </cell>
          <cell r="C1021">
            <v>36</v>
          </cell>
          <cell r="F1021" t="str">
            <v>Coâng Thöông</v>
          </cell>
          <cell r="G1021" t="str">
            <v>Baø Ròa-Vuõng Taøu</v>
          </cell>
          <cell r="H1021" t="str">
            <v>Traû tieàn mua xaêng daàu</v>
          </cell>
          <cell r="I1021">
            <v>2776800000</v>
          </cell>
        </row>
        <row r="1022">
          <cell r="A1022">
            <v>16</v>
          </cell>
          <cell r="B1022">
            <v>38419</v>
          </cell>
          <cell r="C1022">
            <v>14</v>
          </cell>
          <cell r="F1022" t="str">
            <v>Coâng Thöông CN I</v>
          </cell>
          <cell r="G1022" t="str">
            <v>Hoà Chí Minh</v>
          </cell>
          <cell r="H1022" t="str">
            <v xml:space="preserve">Traû tieàn mua haøng cho CN Mieàn Taây C.Ty Theùp Mieàn Nam </v>
          </cell>
          <cell r="I1022">
            <v>120000000</v>
          </cell>
        </row>
        <row r="1023">
          <cell r="A1023">
            <v>17</v>
          </cell>
          <cell r="B1023">
            <v>38419</v>
          </cell>
          <cell r="C1023">
            <v>41</v>
          </cell>
          <cell r="F1023" t="str">
            <v>Coâng Thöông CN 9</v>
          </cell>
          <cell r="G1023" t="str">
            <v>Hoà Chí Minh</v>
          </cell>
          <cell r="H1023" t="str">
            <v xml:space="preserve">Traû tieàn mua xi maêng </v>
          </cell>
          <cell r="I1023">
            <v>352000000</v>
          </cell>
        </row>
        <row r="1024">
          <cell r="A1024">
            <v>2</v>
          </cell>
          <cell r="B1024">
            <v>38419</v>
          </cell>
          <cell r="C1024">
            <v>10</v>
          </cell>
          <cell r="F1024" t="str">
            <v>Hoàng Kong&amp; Thöôïng Haûi</v>
          </cell>
          <cell r="G1024" t="str">
            <v>Hoà Chí Minh</v>
          </cell>
          <cell r="H1024" t="str">
            <v>Traû tieàn mua nhôùt</v>
          </cell>
          <cell r="I1024">
            <v>123825090</v>
          </cell>
        </row>
        <row r="1025">
          <cell r="A1025">
            <v>3</v>
          </cell>
          <cell r="B1025">
            <v>38419</v>
          </cell>
          <cell r="C1025">
            <v>53</v>
          </cell>
          <cell r="F1025" t="str">
            <v xml:space="preserve">Coâng Thöông </v>
          </cell>
          <cell r="G1025" t="str">
            <v>Baïc Lieâu</v>
          </cell>
          <cell r="H1025" t="str">
            <v>Kyù quyõ baûo laõnh Vinamilk 990.000.000x5%</v>
          </cell>
          <cell r="I1025">
            <v>49500000</v>
          </cell>
        </row>
        <row r="1026">
          <cell r="A1026">
            <v>4</v>
          </cell>
          <cell r="B1026">
            <v>38419</v>
          </cell>
          <cell r="C1026">
            <v>44</v>
          </cell>
          <cell r="F1026" t="str">
            <v xml:space="preserve">Coâng Thöông </v>
          </cell>
          <cell r="G1026" t="str">
            <v>Baïc Lieâu</v>
          </cell>
          <cell r="H1026" t="str">
            <v>Traû tieàn ñieän thoaïi thaùng 02/2005</v>
          </cell>
          <cell r="I1026">
            <v>5970730</v>
          </cell>
        </row>
        <row r="1027">
          <cell r="A1027">
            <v>18</v>
          </cell>
          <cell r="B1027">
            <v>38420</v>
          </cell>
          <cell r="C1027">
            <v>17</v>
          </cell>
          <cell r="F1027" t="str">
            <v>Ngoaïi Thöông</v>
          </cell>
          <cell r="G1027" t="str">
            <v>Hoà Chí Minh</v>
          </cell>
          <cell r="H1027" t="str">
            <v>Traû tieàn mua xaêng daàu</v>
          </cell>
          <cell r="I1027">
            <v>652000000</v>
          </cell>
        </row>
        <row r="1028">
          <cell r="A1028">
            <v>19</v>
          </cell>
          <cell r="B1028">
            <v>38420</v>
          </cell>
          <cell r="C1028">
            <v>8</v>
          </cell>
          <cell r="F1028" t="str">
            <v>Coâng Thöông</v>
          </cell>
          <cell r="G1028" t="str">
            <v>Kieân Giang</v>
          </cell>
          <cell r="H1028" t="str">
            <v>Traû tieàn mua xi maêng 50taán</v>
          </cell>
          <cell r="I1028">
            <v>40535000</v>
          </cell>
        </row>
        <row r="1029">
          <cell r="A1029">
            <v>20</v>
          </cell>
          <cell r="B1029">
            <v>38420</v>
          </cell>
          <cell r="C1029">
            <v>5</v>
          </cell>
          <cell r="F1029" t="str">
            <v>Coâng Thöong CN6</v>
          </cell>
          <cell r="G1029" t="str">
            <v>Hoà Chí Minh</v>
          </cell>
          <cell r="H1029" t="str">
            <v>Traû tieàn mua boät ngoït</v>
          </cell>
          <cell r="I1029">
            <v>164468480</v>
          </cell>
        </row>
        <row r="1030">
          <cell r="A1030">
            <v>21</v>
          </cell>
          <cell r="B1030">
            <v>38420</v>
          </cell>
          <cell r="C1030">
            <v>4</v>
          </cell>
          <cell r="F1030" t="str">
            <v>Sôû Giao Dòch II  CTVN</v>
          </cell>
          <cell r="G1030" t="str">
            <v>Hoà Chí Minh</v>
          </cell>
          <cell r="H1030" t="str">
            <v>Traû tieàn mua xaêng daàu</v>
          </cell>
          <cell r="I1030">
            <v>1886000000</v>
          </cell>
        </row>
        <row r="1031">
          <cell r="A1031">
            <v>22</v>
          </cell>
          <cell r="B1031">
            <v>38420</v>
          </cell>
          <cell r="C1031">
            <v>93</v>
          </cell>
          <cell r="F1031" t="str">
            <v>Coâng Thöông CN 12</v>
          </cell>
          <cell r="G1031" t="str">
            <v>Hoà Chí Minh</v>
          </cell>
          <cell r="H1031" t="str">
            <v>Traû tieàn mua giaáy Vieãn Ñoâng</v>
          </cell>
          <cell r="I1031">
            <v>15023778</v>
          </cell>
        </row>
        <row r="1032">
          <cell r="A1032">
            <v>23</v>
          </cell>
          <cell r="B1032">
            <v>38421</v>
          </cell>
          <cell r="C1032">
            <v>1</v>
          </cell>
          <cell r="F1032" t="str">
            <v>Sôû Giao Dòch II CTVN</v>
          </cell>
          <cell r="G1032" t="str">
            <v>Hoà Chí Minh</v>
          </cell>
          <cell r="H1032" t="str">
            <v>Traû tieàn mua thuoác laù</v>
          </cell>
          <cell r="I1032">
            <v>152350000</v>
          </cell>
        </row>
        <row r="1033">
          <cell r="A1033">
            <v>24</v>
          </cell>
          <cell r="B1033">
            <v>38421</v>
          </cell>
          <cell r="C1033">
            <v>8</v>
          </cell>
          <cell r="F1033" t="str">
            <v>Coâng Thöông</v>
          </cell>
          <cell r="G1033" t="str">
            <v>Kieân Giang</v>
          </cell>
          <cell r="H1033" t="str">
            <v>Traû tieàn mua xi maêng 130taán</v>
          </cell>
          <cell r="I1033">
            <v>105391000</v>
          </cell>
        </row>
        <row r="1034">
          <cell r="A1034">
            <v>5</v>
          </cell>
          <cell r="B1034">
            <v>38421</v>
          </cell>
          <cell r="C1034">
            <v>10</v>
          </cell>
          <cell r="F1034" t="str">
            <v>Hoàng Kong&amp; Thöôïng Haûi</v>
          </cell>
          <cell r="G1034" t="str">
            <v>Hoà Chí Minh</v>
          </cell>
          <cell r="H1034" t="str">
            <v>Traû tieàn mua nhôùt</v>
          </cell>
          <cell r="I1034">
            <v>58810260</v>
          </cell>
        </row>
        <row r="1035">
          <cell r="A1035">
            <v>6</v>
          </cell>
          <cell r="B1035">
            <v>38421</v>
          </cell>
          <cell r="C1035">
            <v>27</v>
          </cell>
          <cell r="F1035" t="str">
            <v>INDOVINA</v>
          </cell>
          <cell r="G1035" t="str">
            <v>Hoà Chí Minh</v>
          </cell>
          <cell r="H1035" t="str">
            <v>Traû tieàn mua ñöôøng</v>
          </cell>
          <cell r="I1035">
            <v>46550000</v>
          </cell>
        </row>
        <row r="1036">
          <cell r="A1036">
            <v>7</v>
          </cell>
          <cell r="B1036">
            <v>38422</v>
          </cell>
          <cell r="C1036">
            <v>28</v>
          </cell>
          <cell r="F1036" t="str">
            <v>Ñaàu Tö &amp; Phaùt Trieån</v>
          </cell>
          <cell r="G1036" t="str">
            <v>Caàn Thô</v>
          </cell>
          <cell r="H1036" t="str">
            <v>Traû tieân mua söõa hoäp caùc loaïi</v>
          </cell>
          <cell r="I1036">
            <v>54000000</v>
          </cell>
        </row>
        <row r="1037">
          <cell r="A1037">
            <v>25</v>
          </cell>
          <cell r="B1037">
            <v>38422</v>
          </cell>
          <cell r="C1037">
            <v>4</v>
          </cell>
          <cell r="F1037" t="str">
            <v>Sôû Giao Dòch II  CTVN</v>
          </cell>
          <cell r="G1037" t="str">
            <v>Hoà Chí Minh</v>
          </cell>
          <cell r="H1037" t="str">
            <v>Traû tieàn mua xaêng daàu</v>
          </cell>
          <cell r="I1037">
            <v>2202000000</v>
          </cell>
        </row>
        <row r="1038">
          <cell r="A1038">
            <v>26</v>
          </cell>
          <cell r="B1038">
            <v>38422</v>
          </cell>
          <cell r="C1038">
            <v>14</v>
          </cell>
          <cell r="F1038" t="str">
            <v>Coâng Thöông CN I</v>
          </cell>
          <cell r="G1038" t="str">
            <v>Hoà Chí Minh</v>
          </cell>
          <cell r="H1038" t="str">
            <v xml:space="preserve">Traû tieàn mua haøng cho CN Mieàn Taây C.Ty Theùp Mieàn Nam </v>
          </cell>
          <cell r="I1038">
            <v>200000000</v>
          </cell>
        </row>
        <row r="1039">
          <cell r="A1039">
            <v>8</v>
          </cell>
          <cell r="B1039">
            <v>38425</v>
          </cell>
          <cell r="C1039">
            <v>28</v>
          </cell>
          <cell r="F1039" t="str">
            <v>Ñaàu Tö &amp; Phaùt Trieån</v>
          </cell>
          <cell r="G1039" t="str">
            <v>Caàn Thô</v>
          </cell>
          <cell r="H1039" t="str">
            <v>Traû tieàn mua söõa hoäp caùc loaïi</v>
          </cell>
          <cell r="I1039">
            <v>202000000</v>
          </cell>
        </row>
        <row r="1040">
          <cell r="A1040">
            <v>27</v>
          </cell>
          <cell r="B1040">
            <v>38425</v>
          </cell>
          <cell r="C1040">
            <v>4</v>
          </cell>
          <cell r="F1040" t="str">
            <v>Sôû Giao Dòch II  CTVN</v>
          </cell>
          <cell r="G1040" t="str">
            <v>Hoà Chí Minh</v>
          </cell>
          <cell r="H1040" t="str">
            <v>Traû tieàn mua xaêng daàu</v>
          </cell>
          <cell r="I1040">
            <v>1748000000</v>
          </cell>
        </row>
        <row r="1041">
          <cell r="A1041">
            <v>28</v>
          </cell>
          <cell r="B1041">
            <v>38425</v>
          </cell>
          <cell r="C1041">
            <v>17</v>
          </cell>
          <cell r="F1041" t="str">
            <v>Ngoaïi Thöông</v>
          </cell>
          <cell r="G1041" t="str">
            <v>Hoà Chí Minh</v>
          </cell>
          <cell r="H1041" t="str">
            <v>Traû tieàn mua xaêng daàu</v>
          </cell>
          <cell r="I1041">
            <v>688090000</v>
          </cell>
        </row>
        <row r="1042">
          <cell r="A1042">
            <v>29</v>
          </cell>
          <cell r="B1042">
            <v>38425</v>
          </cell>
          <cell r="C1042">
            <v>14</v>
          </cell>
          <cell r="F1042" t="str">
            <v>Coâng Thöông CN I</v>
          </cell>
          <cell r="G1042" t="str">
            <v>Hoà Chí Minh</v>
          </cell>
          <cell r="H1042" t="str">
            <v xml:space="preserve">Traû tieàn mua haøng cho CN Mieàn Taây C.Ty Theùp Mieàn Nam </v>
          </cell>
          <cell r="I1042">
            <v>200000000</v>
          </cell>
        </row>
        <row r="1043">
          <cell r="A1043">
            <v>30</v>
          </cell>
          <cell r="B1043">
            <v>38425</v>
          </cell>
          <cell r="C1043">
            <v>8</v>
          </cell>
          <cell r="F1043" t="str">
            <v>Coâng Thöông</v>
          </cell>
          <cell r="G1043" t="str">
            <v>Kieân Giang</v>
          </cell>
          <cell r="H1043" t="str">
            <v>Traû tieàn mua xi maêng 135taán</v>
          </cell>
          <cell r="I1043">
            <v>109444500</v>
          </cell>
        </row>
        <row r="1044">
          <cell r="A1044">
            <v>31</v>
          </cell>
          <cell r="B1044">
            <v>38425</v>
          </cell>
          <cell r="C1044">
            <v>41</v>
          </cell>
          <cell r="F1044" t="str">
            <v>Coâng Thöông CN 9</v>
          </cell>
          <cell r="G1044" t="str">
            <v>Hoà Chí Minh</v>
          </cell>
          <cell r="H1044" t="str">
            <v xml:space="preserve">Traû tieàn mua xi maêng </v>
          </cell>
          <cell r="I1044">
            <v>83600000</v>
          </cell>
        </row>
        <row r="1045">
          <cell r="A1045">
            <v>32</v>
          </cell>
          <cell r="B1045">
            <v>38425</v>
          </cell>
          <cell r="C1045">
            <v>31</v>
          </cell>
          <cell r="F1045" t="str">
            <v>Sôû Giao Dòch II CTVN</v>
          </cell>
          <cell r="G1045" t="str">
            <v>Hoà Chí Minh</v>
          </cell>
          <cell r="H1045" t="str">
            <v>Traû tieàn mua daàu aên</v>
          </cell>
          <cell r="I1045">
            <v>70000000</v>
          </cell>
        </row>
        <row r="1046">
          <cell r="A1046">
            <v>33</v>
          </cell>
          <cell r="B1046">
            <v>38426</v>
          </cell>
          <cell r="C1046">
            <v>4</v>
          </cell>
          <cell r="F1046" t="str">
            <v>Sôû Giao Dòch II  CTVN</v>
          </cell>
          <cell r="G1046" t="str">
            <v>Hoà Chí Minh</v>
          </cell>
          <cell r="H1046" t="str">
            <v>Traû tieàn mua xaêng daàu</v>
          </cell>
          <cell r="I1046">
            <v>1748000000</v>
          </cell>
        </row>
        <row r="1047">
          <cell r="A1047">
            <v>34</v>
          </cell>
          <cell r="B1047">
            <v>38426</v>
          </cell>
          <cell r="C1047">
            <v>31</v>
          </cell>
          <cell r="F1047" t="str">
            <v>Sôû Giao Dòch II CTVN</v>
          </cell>
          <cell r="G1047" t="str">
            <v>Hoà Chí Minh</v>
          </cell>
          <cell r="H1047" t="str">
            <v>Traû tieàn mua daàu aên</v>
          </cell>
          <cell r="I1047">
            <v>80000000</v>
          </cell>
        </row>
        <row r="1048">
          <cell r="A1048">
            <v>9</v>
          </cell>
          <cell r="B1048">
            <v>38426</v>
          </cell>
          <cell r="C1048">
            <v>28</v>
          </cell>
          <cell r="F1048" t="str">
            <v>Ñaàu Tö &amp; Phaùt Trieån</v>
          </cell>
          <cell r="G1048" t="str">
            <v>Caàn Thô</v>
          </cell>
          <cell r="H1048" t="str">
            <v>Traû tieân mua söõa hoäp caùc loaïi</v>
          </cell>
          <cell r="I1048">
            <v>825000000</v>
          </cell>
        </row>
        <row r="1049">
          <cell r="A1049">
            <v>35</v>
          </cell>
          <cell r="B1049">
            <v>38427</v>
          </cell>
          <cell r="C1049">
            <v>14</v>
          </cell>
          <cell r="F1049" t="str">
            <v>Coâng Thöông CN I</v>
          </cell>
          <cell r="G1049" t="str">
            <v>Hoà Chí Minh</v>
          </cell>
          <cell r="H1049" t="str">
            <v xml:space="preserve">Traû tieàn mua haøng cho CN Mieàn Taây C.Ty Theùp Mieàn Nam </v>
          </cell>
          <cell r="I1049">
            <v>120000000</v>
          </cell>
        </row>
        <row r="1050">
          <cell r="A1050">
            <v>36</v>
          </cell>
          <cell r="B1050">
            <v>38427</v>
          </cell>
          <cell r="C1050">
            <v>8</v>
          </cell>
          <cell r="F1050" t="str">
            <v>Coâng Thöông</v>
          </cell>
          <cell r="G1050" t="str">
            <v>Kieân Giang</v>
          </cell>
          <cell r="H1050" t="str">
            <v>Traû tieàn mua xi maêng 150taán</v>
          </cell>
          <cell r="I1050">
            <v>121605000</v>
          </cell>
        </row>
        <row r="1051">
          <cell r="A1051">
            <v>10</v>
          </cell>
          <cell r="B1051">
            <v>38428</v>
          </cell>
          <cell r="C1051">
            <v>28</v>
          </cell>
          <cell r="F1051" t="str">
            <v>Ñaàu Tö &amp; Phaùt Trieån</v>
          </cell>
          <cell r="G1051" t="str">
            <v>Caàn Thô</v>
          </cell>
          <cell r="H1051" t="str">
            <v>Traû tieàn mua söõa hoäp caùc loaïi</v>
          </cell>
          <cell r="I1051">
            <v>700000000</v>
          </cell>
        </row>
        <row r="1052">
          <cell r="A1052">
            <v>37</v>
          </cell>
          <cell r="B1052">
            <v>38429</v>
          </cell>
          <cell r="C1052">
            <v>8</v>
          </cell>
          <cell r="F1052" t="str">
            <v>Coâng Thöông</v>
          </cell>
          <cell r="G1052" t="str">
            <v>Kieân Giang</v>
          </cell>
          <cell r="H1052" t="str">
            <v>Traû tieàn mua xi maêng 65taán</v>
          </cell>
          <cell r="I1052">
            <v>52695500</v>
          </cell>
        </row>
        <row r="1053">
          <cell r="A1053">
            <v>38</v>
          </cell>
          <cell r="B1053">
            <v>38429</v>
          </cell>
          <cell r="C1053">
            <v>3</v>
          </cell>
          <cell r="F1053" t="str">
            <v>Coâng Thöông CN 14</v>
          </cell>
          <cell r="G1053" t="str">
            <v>Hoà Chí Minh</v>
          </cell>
          <cell r="H1053" t="str">
            <v>Traû tieàn mua boät giaët</v>
          </cell>
          <cell r="I1053">
            <v>330000000</v>
          </cell>
        </row>
        <row r="1054">
          <cell r="A1054">
            <v>39</v>
          </cell>
          <cell r="B1054">
            <v>38429</v>
          </cell>
          <cell r="C1054">
            <v>4</v>
          </cell>
          <cell r="F1054" t="str">
            <v>Sôû Giao Dòch II  CTVN</v>
          </cell>
          <cell r="G1054" t="str">
            <v>Hoà Chí Minh</v>
          </cell>
          <cell r="H1054" t="str">
            <v>Traû tieàn mua xaêng daàu</v>
          </cell>
          <cell r="I1054">
            <v>1886000000</v>
          </cell>
        </row>
        <row r="1055">
          <cell r="A1055">
            <v>11</v>
          </cell>
          <cell r="B1055">
            <v>38429</v>
          </cell>
          <cell r="C1055">
            <v>25</v>
          </cell>
          <cell r="F1055" t="str">
            <v>NN &amp; P/T N/Thoân</v>
          </cell>
          <cell r="G1055" t="str">
            <v>Baïc Lieâu</v>
          </cell>
          <cell r="H1055" t="str">
            <v>Noäp BHXH,BHYT thaùng 03/05</v>
          </cell>
          <cell r="I1055">
            <v>16712352</v>
          </cell>
        </row>
        <row r="1056">
          <cell r="A1056">
            <v>40</v>
          </cell>
          <cell r="B1056">
            <v>38429</v>
          </cell>
          <cell r="C1056">
            <v>14</v>
          </cell>
          <cell r="F1056" t="str">
            <v>Coâng Thöông CN I</v>
          </cell>
          <cell r="G1056" t="str">
            <v>Hoà Chí Minh</v>
          </cell>
          <cell r="H1056" t="str">
            <v xml:space="preserve">Traû tieàn mua haøng cho CN Mieàn Taây C.Ty Theùp Mieàn Nam </v>
          </cell>
          <cell r="I1056">
            <v>120000000</v>
          </cell>
        </row>
        <row r="1057">
          <cell r="A1057">
            <v>41</v>
          </cell>
          <cell r="B1057">
            <v>38432</v>
          </cell>
          <cell r="C1057">
            <v>8</v>
          </cell>
          <cell r="F1057" t="str">
            <v>Coâng Thöông</v>
          </cell>
          <cell r="G1057" t="str">
            <v>Kieân Giang</v>
          </cell>
          <cell r="H1057" t="str">
            <v>Traû tieàn mua xi maêng 235taán</v>
          </cell>
          <cell r="I1057">
            <v>190514500</v>
          </cell>
        </row>
        <row r="1058">
          <cell r="A1058">
            <v>42</v>
          </cell>
          <cell r="B1058">
            <v>38432</v>
          </cell>
          <cell r="C1058">
            <v>9</v>
          </cell>
          <cell r="F1058" t="str">
            <v>Ngoaïi Thöông</v>
          </cell>
          <cell r="G1058" t="str">
            <v>Hoà Chí Minh</v>
          </cell>
          <cell r="H1058" t="str">
            <v>Trả tiền mua nhớt</v>
          </cell>
          <cell r="I1058">
            <v>64071491</v>
          </cell>
        </row>
        <row r="1059">
          <cell r="A1059">
            <v>43</v>
          </cell>
          <cell r="B1059">
            <v>38432</v>
          </cell>
          <cell r="C1059">
            <v>36</v>
          </cell>
          <cell r="F1059" t="str">
            <v>Coâng Thöông</v>
          </cell>
          <cell r="G1059" t="str">
            <v>Baø Ròa-Vuõng Taøu</v>
          </cell>
          <cell r="H1059" t="str">
            <v>Traû tieàn mua xaêng daàu</v>
          </cell>
          <cell r="I1059">
            <v>2567400000</v>
          </cell>
        </row>
        <row r="1060">
          <cell r="A1060">
            <v>44</v>
          </cell>
          <cell r="B1060">
            <v>38432</v>
          </cell>
          <cell r="C1060">
            <v>28</v>
          </cell>
          <cell r="F1060" t="str">
            <v>Ñaàu Tö &amp; Phaùt Trieån</v>
          </cell>
          <cell r="G1060" t="str">
            <v>Caàn Thô</v>
          </cell>
          <cell r="H1060" t="str">
            <v>Traû tieàn mua söõa hoäp caùc loaïi</v>
          </cell>
          <cell r="I1060">
            <v>1770000000</v>
          </cell>
        </row>
        <row r="1061">
          <cell r="A1061">
            <v>45</v>
          </cell>
          <cell r="B1061">
            <v>38432</v>
          </cell>
          <cell r="C1061">
            <v>31</v>
          </cell>
          <cell r="F1061" t="str">
            <v>Sôû Giao Dòch II CTVN</v>
          </cell>
          <cell r="G1061" t="str">
            <v>Hoà Chí Minh</v>
          </cell>
          <cell r="H1061" t="str">
            <v>Traû tieàn mua daàu aên</v>
          </cell>
          <cell r="I1061">
            <v>150000000</v>
          </cell>
        </row>
        <row r="1062">
          <cell r="A1062">
            <v>46</v>
          </cell>
          <cell r="B1062">
            <v>38432</v>
          </cell>
          <cell r="C1062">
            <v>14</v>
          </cell>
          <cell r="F1062" t="str">
            <v>Coâng Thöông CN I</v>
          </cell>
          <cell r="G1062" t="str">
            <v>Hoà Chí Minh</v>
          </cell>
          <cell r="H1062" t="str">
            <v xml:space="preserve">Traû tieàn mua haøng cho CN Mieàn Taây C.Ty Theùp Mieàn Nam </v>
          </cell>
          <cell r="I1062">
            <v>200000000</v>
          </cell>
        </row>
        <row r="1063">
          <cell r="A1063">
            <v>47</v>
          </cell>
          <cell r="B1063">
            <v>38433</v>
          </cell>
          <cell r="C1063">
            <v>41</v>
          </cell>
          <cell r="F1063" t="str">
            <v>Coâng Thöông CN 9</v>
          </cell>
          <cell r="G1063" t="str">
            <v>Hoà Chí Minh</v>
          </cell>
          <cell r="H1063" t="str">
            <v xml:space="preserve">Traû tieàn mua xi maêng </v>
          </cell>
          <cell r="I1063">
            <v>55673338</v>
          </cell>
        </row>
        <row r="1064">
          <cell r="A1064">
            <v>48</v>
          </cell>
          <cell r="B1064">
            <v>38433</v>
          </cell>
          <cell r="C1064">
            <v>5</v>
          </cell>
          <cell r="F1064" t="str">
            <v>Coâng Thöong CN6</v>
          </cell>
          <cell r="G1064" t="str">
            <v>Hoà Chí Minh</v>
          </cell>
          <cell r="H1064" t="str">
            <v>Traû tieàn mua boät ngoït</v>
          </cell>
          <cell r="I1064">
            <v>447899535</v>
          </cell>
        </row>
        <row r="1065">
          <cell r="A1065">
            <v>49</v>
          </cell>
          <cell r="B1065">
            <v>38433</v>
          </cell>
          <cell r="C1065">
            <v>105</v>
          </cell>
          <cell r="F1065" t="str">
            <v>Coâng Thöông CN 4</v>
          </cell>
          <cell r="G1065" t="str">
            <v>Hoà Chí Minh</v>
          </cell>
          <cell r="H1065" t="str">
            <v>Traû tieàn mua nhôùt</v>
          </cell>
          <cell r="I1065">
            <v>164050000</v>
          </cell>
        </row>
        <row r="1066">
          <cell r="F1066">
            <v>0</v>
          </cell>
          <cell r="G1066">
            <v>0</v>
          </cell>
        </row>
        <row r="1067">
          <cell r="F1067">
            <v>0</v>
          </cell>
          <cell r="G1067">
            <v>0</v>
          </cell>
        </row>
        <row r="1068">
          <cell r="F1068">
            <v>0</v>
          </cell>
          <cell r="G1068">
            <v>0</v>
          </cell>
        </row>
        <row r="1069">
          <cell r="F1069">
            <v>0</v>
          </cell>
          <cell r="G1069">
            <v>0</v>
          </cell>
        </row>
        <row r="1070">
          <cell r="F1070">
            <v>0</v>
          </cell>
          <cell r="G1070">
            <v>0</v>
          </cell>
        </row>
        <row r="1071">
          <cell r="F1071">
            <v>0</v>
          </cell>
          <cell r="G1071">
            <v>0</v>
          </cell>
        </row>
        <row r="1072">
          <cell r="F1072">
            <v>0</v>
          </cell>
          <cell r="G1072">
            <v>0</v>
          </cell>
        </row>
        <row r="1073">
          <cell r="F1073">
            <v>0</v>
          </cell>
          <cell r="G1073">
            <v>0</v>
          </cell>
        </row>
        <row r="1074">
          <cell r="F1074">
            <v>0</v>
          </cell>
          <cell r="G1074">
            <v>0</v>
          </cell>
        </row>
        <row r="1075">
          <cell r="F1075">
            <v>0</v>
          </cell>
          <cell r="G1075">
            <v>0</v>
          </cell>
        </row>
        <row r="1076">
          <cell r="F1076">
            <v>0</v>
          </cell>
          <cell r="G1076">
            <v>0</v>
          </cell>
        </row>
        <row r="1077">
          <cell r="F1077">
            <v>0</v>
          </cell>
          <cell r="G1077">
            <v>0</v>
          </cell>
        </row>
        <row r="1078">
          <cell r="F1078">
            <v>0</v>
          </cell>
          <cell r="G1078">
            <v>0</v>
          </cell>
        </row>
        <row r="1079">
          <cell r="F1079">
            <v>0</v>
          </cell>
          <cell r="G1079">
            <v>0</v>
          </cell>
        </row>
        <row r="1080">
          <cell r="F1080">
            <v>0</v>
          </cell>
          <cell r="G1080">
            <v>0</v>
          </cell>
        </row>
        <row r="1081">
          <cell r="F1081">
            <v>0</v>
          </cell>
          <cell r="G1081">
            <v>0</v>
          </cell>
        </row>
        <row r="1082">
          <cell r="F1082">
            <v>0</v>
          </cell>
          <cell r="G1082">
            <v>0</v>
          </cell>
        </row>
        <row r="1083">
          <cell r="F1083">
            <v>0</v>
          </cell>
          <cell r="G1083">
            <v>0</v>
          </cell>
        </row>
        <row r="1084">
          <cell r="F1084">
            <v>0</v>
          </cell>
          <cell r="G1084">
            <v>0</v>
          </cell>
        </row>
        <row r="1085">
          <cell r="F1085">
            <v>0</v>
          </cell>
          <cell r="G1085">
            <v>0</v>
          </cell>
        </row>
        <row r="1086">
          <cell r="F1086">
            <v>0</v>
          </cell>
          <cell r="G1086">
            <v>0</v>
          </cell>
        </row>
        <row r="1087">
          <cell r="F1087">
            <v>0</v>
          </cell>
          <cell r="G1087">
            <v>0</v>
          </cell>
        </row>
        <row r="1088">
          <cell r="F1088">
            <v>0</v>
          </cell>
          <cell r="G1088">
            <v>0</v>
          </cell>
        </row>
        <row r="1089">
          <cell r="F1089">
            <v>0</v>
          </cell>
          <cell r="G1089">
            <v>0</v>
          </cell>
        </row>
        <row r="1090">
          <cell r="F1090">
            <v>0</v>
          </cell>
          <cell r="G1090">
            <v>0</v>
          </cell>
        </row>
        <row r="1091">
          <cell r="F1091">
            <v>0</v>
          </cell>
          <cell r="G1091">
            <v>0</v>
          </cell>
        </row>
        <row r="1092">
          <cell r="F1092">
            <v>0</v>
          </cell>
          <cell r="G1092">
            <v>0</v>
          </cell>
        </row>
        <row r="1093">
          <cell r="F1093">
            <v>0</v>
          </cell>
          <cell r="G1093">
            <v>0</v>
          </cell>
        </row>
        <row r="1094">
          <cell r="F1094">
            <v>0</v>
          </cell>
          <cell r="G1094">
            <v>0</v>
          </cell>
        </row>
        <row r="1095">
          <cell r="F1095">
            <v>0</v>
          </cell>
          <cell r="G1095">
            <v>0</v>
          </cell>
        </row>
        <row r="1096">
          <cell r="F1096">
            <v>0</v>
          </cell>
          <cell r="G1096">
            <v>0</v>
          </cell>
        </row>
        <row r="1097">
          <cell r="F1097">
            <v>0</v>
          </cell>
          <cell r="G1097">
            <v>0</v>
          </cell>
        </row>
        <row r="1098">
          <cell r="F1098">
            <v>0</v>
          </cell>
          <cell r="G1098">
            <v>0</v>
          </cell>
        </row>
        <row r="1099">
          <cell r="F1099">
            <v>0</v>
          </cell>
          <cell r="G1099">
            <v>0</v>
          </cell>
        </row>
        <row r="1100">
          <cell r="F1100">
            <v>0</v>
          </cell>
          <cell r="G1100">
            <v>0</v>
          </cell>
        </row>
        <row r="1101">
          <cell r="F1101">
            <v>0</v>
          </cell>
          <cell r="G1101">
            <v>0</v>
          </cell>
        </row>
        <row r="1102">
          <cell r="F1102">
            <v>0</v>
          </cell>
          <cell r="G1102">
            <v>0</v>
          </cell>
        </row>
        <row r="1103">
          <cell r="F1103">
            <v>0</v>
          </cell>
          <cell r="G1103">
            <v>0</v>
          </cell>
        </row>
        <row r="1104">
          <cell r="F1104">
            <v>0</v>
          </cell>
          <cell r="G1104">
            <v>0</v>
          </cell>
        </row>
        <row r="1105">
          <cell r="F1105">
            <v>0</v>
          </cell>
          <cell r="G1105">
            <v>0</v>
          </cell>
        </row>
        <row r="1106">
          <cell r="F1106">
            <v>0</v>
          </cell>
          <cell r="G1106">
            <v>0</v>
          </cell>
        </row>
        <row r="1107">
          <cell r="F1107">
            <v>0</v>
          </cell>
          <cell r="G1107">
            <v>0</v>
          </cell>
        </row>
        <row r="1108">
          <cell r="F1108">
            <v>0</v>
          </cell>
          <cell r="G1108">
            <v>0</v>
          </cell>
        </row>
        <row r="1109">
          <cell r="F1109">
            <v>0</v>
          </cell>
          <cell r="G1109">
            <v>0</v>
          </cell>
        </row>
        <row r="1110">
          <cell r="F1110">
            <v>0</v>
          </cell>
          <cell r="G1110">
            <v>0</v>
          </cell>
        </row>
        <row r="1111">
          <cell r="F1111">
            <v>0</v>
          </cell>
          <cell r="G1111">
            <v>0</v>
          </cell>
        </row>
        <row r="1112">
          <cell r="F1112">
            <v>0</v>
          </cell>
          <cell r="G1112">
            <v>0</v>
          </cell>
        </row>
        <row r="1113">
          <cell r="F1113">
            <v>0</v>
          </cell>
          <cell r="G1113">
            <v>0</v>
          </cell>
        </row>
        <row r="1114">
          <cell r="F1114">
            <v>0</v>
          </cell>
          <cell r="G1114">
            <v>0</v>
          </cell>
        </row>
        <row r="1115">
          <cell r="F1115">
            <v>0</v>
          </cell>
          <cell r="G1115">
            <v>0</v>
          </cell>
        </row>
        <row r="1116">
          <cell r="F1116">
            <v>0</v>
          </cell>
          <cell r="G1116">
            <v>0</v>
          </cell>
        </row>
        <row r="1117">
          <cell r="F1117">
            <v>0</v>
          </cell>
          <cell r="G1117">
            <v>0</v>
          </cell>
        </row>
        <row r="1118">
          <cell r="F1118">
            <v>0</v>
          </cell>
          <cell r="G1118">
            <v>0</v>
          </cell>
        </row>
        <row r="1119">
          <cell r="F1119">
            <v>0</v>
          </cell>
          <cell r="G1119">
            <v>0</v>
          </cell>
        </row>
        <row r="1120">
          <cell r="F1120">
            <v>0</v>
          </cell>
          <cell r="G1120">
            <v>0</v>
          </cell>
        </row>
        <row r="1121">
          <cell r="F1121">
            <v>0</v>
          </cell>
          <cell r="G1121">
            <v>0</v>
          </cell>
        </row>
        <row r="1122">
          <cell r="F1122">
            <v>0</v>
          </cell>
          <cell r="G1122">
            <v>0</v>
          </cell>
        </row>
        <row r="1123">
          <cell r="F1123">
            <v>0</v>
          </cell>
          <cell r="G1123">
            <v>0</v>
          </cell>
        </row>
        <row r="1124">
          <cell r="F1124">
            <v>0</v>
          </cell>
          <cell r="G1124">
            <v>0</v>
          </cell>
        </row>
        <row r="1125">
          <cell r="F1125">
            <v>0</v>
          </cell>
          <cell r="G1125">
            <v>0</v>
          </cell>
        </row>
        <row r="1126">
          <cell r="F1126">
            <v>0</v>
          </cell>
          <cell r="G1126">
            <v>0</v>
          </cell>
        </row>
        <row r="1127">
          <cell r="F1127">
            <v>0</v>
          </cell>
          <cell r="G1127">
            <v>0</v>
          </cell>
        </row>
        <row r="1128">
          <cell r="F1128">
            <v>0</v>
          </cell>
          <cell r="G1128">
            <v>0</v>
          </cell>
        </row>
        <row r="1129">
          <cell r="F1129">
            <v>0</v>
          </cell>
          <cell r="G1129">
            <v>0</v>
          </cell>
        </row>
        <row r="1130">
          <cell r="F1130">
            <v>0</v>
          </cell>
          <cell r="G1130">
            <v>0</v>
          </cell>
        </row>
        <row r="1131">
          <cell r="F1131">
            <v>0</v>
          </cell>
          <cell r="G1131">
            <v>0</v>
          </cell>
        </row>
        <row r="1132">
          <cell r="F1132">
            <v>0</v>
          </cell>
          <cell r="G1132">
            <v>0</v>
          </cell>
        </row>
        <row r="1133">
          <cell r="F1133">
            <v>0</v>
          </cell>
          <cell r="G1133">
            <v>0</v>
          </cell>
        </row>
        <row r="1134">
          <cell r="F1134">
            <v>0</v>
          </cell>
          <cell r="G1134">
            <v>0</v>
          </cell>
        </row>
        <row r="1135">
          <cell r="F1135">
            <v>0</v>
          </cell>
          <cell r="G1135">
            <v>0</v>
          </cell>
        </row>
        <row r="1136">
          <cell r="F1136">
            <v>0</v>
          </cell>
          <cell r="G1136">
            <v>0</v>
          </cell>
        </row>
        <row r="1137">
          <cell r="F1137">
            <v>0</v>
          </cell>
          <cell r="G1137">
            <v>0</v>
          </cell>
        </row>
        <row r="1138">
          <cell r="F1138">
            <v>0</v>
          </cell>
          <cell r="G1138">
            <v>0</v>
          </cell>
        </row>
        <row r="1139">
          <cell r="F1139">
            <v>0</v>
          </cell>
          <cell r="G1139">
            <v>0</v>
          </cell>
        </row>
        <row r="1140">
          <cell r="F1140">
            <v>0</v>
          </cell>
          <cell r="G1140">
            <v>0</v>
          </cell>
        </row>
        <row r="1141">
          <cell r="F1141">
            <v>0</v>
          </cell>
          <cell r="G1141">
            <v>0</v>
          </cell>
        </row>
        <row r="1142">
          <cell r="F1142">
            <v>0</v>
          </cell>
          <cell r="G1142">
            <v>0</v>
          </cell>
        </row>
        <row r="1143">
          <cell r="F1143">
            <v>0</v>
          </cell>
          <cell r="G1143">
            <v>0</v>
          </cell>
        </row>
        <row r="1144">
          <cell r="F1144">
            <v>0</v>
          </cell>
          <cell r="G1144">
            <v>0</v>
          </cell>
        </row>
        <row r="1145">
          <cell r="F1145">
            <v>0</v>
          </cell>
          <cell r="G1145">
            <v>0</v>
          </cell>
        </row>
        <row r="1146">
          <cell r="F1146">
            <v>0</v>
          </cell>
          <cell r="G1146">
            <v>0</v>
          </cell>
        </row>
        <row r="1147">
          <cell r="F1147">
            <v>0</v>
          </cell>
          <cell r="G1147">
            <v>0</v>
          </cell>
        </row>
        <row r="1148">
          <cell r="F1148">
            <v>0</v>
          </cell>
          <cell r="G1148">
            <v>0</v>
          </cell>
        </row>
        <row r="1149">
          <cell r="F1149">
            <v>0</v>
          </cell>
          <cell r="G1149">
            <v>0</v>
          </cell>
        </row>
        <row r="1150">
          <cell r="F1150">
            <v>0</v>
          </cell>
          <cell r="G1150">
            <v>0</v>
          </cell>
        </row>
        <row r="1151">
          <cell r="F1151">
            <v>0</v>
          </cell>
          <cell r="G1151">
            <v>0</v>
          </cell>
        </row>
        <row r="1152">
          <cell r="F1152">
            <v>0</v>
          </cell>
          <cell r="G1152">
            <v>0</v>
          </cell>
        </row>
        <row r="1153">
          <cell r="F1153">
            <v>0</v>
          </cell>
          <cell r="G1153">
            <v>0</v>
          </cell>
        </row>
        <row r="1154">
          <cell r="F1154">
            <v>0</v>
          </cell>
          <cell r="G1154">
            <v>0</v>
          </cell>
        </row>
        <row r="1155">
          <cell r="F1155">
            <v>0</v>
          </cell>
          <cell r="G1155">
            <v>0</v>
          </cell>
        </row>
        <row r="1156">
          <cell r="F1156">
            <v>0</v>
          </cell>
          <cell r="G1156">
            <v>0</v>
          </cell>
        </row>
        <row r="1157">
          <cell r="F1157">
            <v>0</v>
          </cell>
          <cell r="G1157">
            <v>0</v>
          </cell>
        </row>
        <row r="1158">
          <cell r="F1158">
            <v>0</v>
          </cell>
          <cell r="G1158">
            <v>0</v>
          </cell>
        </row>
        <row r="1159">
          <cell r="F1159">
            <v>0</v>
          </cell>
          <cell r="G1159">
            <v>0</v>
          </cell>
        </row>
        <row r="1160">
          <cell r="F1160">
            <v>0</v>
          </cell>
          <cell r="G1160">
            <v>0</v>
          </cell>
        </row>
        <row r="1161">
          <cell r="F1161">
            <v>0</v>
          </cell>
          <cell r="G1161">
            <v>0</v>
          </cell>
        </row>
        <row r="1162">
          <cell r="F1162">
            <v>0</v>
          </cell>
          <cell r="G1162">
            <v>0</v>
          </cell>
        </row>
        <row r="1163">
          <cell r="F1163">
            <v>0</v>
          </cell>
          <cell r="G1163">
            <v>0</v>
          </cell>
        </row>
        <row r="1164">
          <cell r="F1164">
            <v>0</v>
          </cell>
          <cell r="G1164">
            <v>0</v>
          </cell>
        </row>
        <row r="1165">
          <cell r="F1165">
            <v>0</v>
          </cell>
          <cell r="G1165">
            <v>0</v>
          </cell>
        </row>
        <row r="1166">
          <cell r="F1166">
            <v>0</v>
          </cell>
          <cell r="G1166">
            <v>0</v>
          </cell>
        </row>
        <row r="1167">
          <cell r="F1167">
            <v>0</v>
          </cell>
          <cell r="G1167">
            <v>0</v>
          </cell>
        </row>
        <row r="1168">
          <cell r="F1168">
            <v>0</v>
          </cell>
          <cell r="G1168">
            <v>0</v>
          </cell>
        </row>
        <row r="1169">
          <cell r="F1169">
            <v>0</v>
          </cell>
          <cell r="G1169">
            <v>0</v>
          </cell>
        </row>
        <row r="1170">
          <cell r="F1170">
            <v>0</v>
          </cell>
          <cell r="G1170">
            <v>0</v>
          </cell>
        </row>
        <row r="1171">
          <cell r="F1171">
            <v>0</v>
          </cell>
          <cell r="G1171">
            <v>0</v>
          </cell>
        </row>
        <row r="1172">
          <cell r="F1172">
            <v>0</v>
          </cell>
          <cell r="G1172">
            <v>0</v>
          </cell>
        </row>
        <row r="1173">
          <cell r="F1173">
            <v>0</v>
          </cell>
          <cell r="G1173">
            <v>0</v>
          </cell>
        </row>
        <row r="1174">
          <cell r="F1174">
            <v>0</v>
          </cell>
          <cell r="G1174">
            <v>0</v>
          </cell>
        </row>
        <row r="1175">
          <cell r="F1175">
            <v>0</v>
          </cell>
          <cell r="G1175">
            <v>0</v>
          </cell>
        </row>
        <row r="1176">
          <cell r="F1176">
            <v>0</v>
          </cell>
          <cell r="G1176">
            <v>0</v>
          </cell>
        </row>
        <row r="1177">
          <cell r="F1177">
            <v>0</v>
          </cell>
          <cell r="G1177">
            <v>0</v>
          </cell>
        </row>
        <row r="1178">
          <cell r="F1178">
            <v>0</v>
          </cell>
          <cell r="G1178">
            <v>0</v>
          </cell>
        </row>
        <row r="1179">
          <cell r="F1179">
            <v>0</v>
          </cell>
          <cell r="G1179">
            <v>0</v>
          </cell>
        </row>
        <row r="1180">
          <cell r="F1180">
            <v>0</v>
          </cell>
          <cell r="G1180">
            <v>0</v>
          </cell>
        </row>
        <row r="1181">
          <cell r="F1181">
            <v>0</v>
          </cell>
          <cell r="G1181">
            <v>0</v>
          </cell>
        </row>
        <row r="1182">
          <cell r="F1182">
            <v>0</v>
          </cell>
          <cell r="G1182">
            <v>0</v>
          </cell>
        </row>
        <row r="1183">
          <cell r="F1183">
            <v>0</v>
          </cell>
          <cell r="G1183">
            <v>0</v>
          </cell>
        </row>
        <row r="1184">
          <cell r="F1184">
            <v>0</v>
          </cell>
          <cell r="G1184">
            <v>0</v>
          </cell>
        </row>
        <row r="1185">
          <cell r="F1185">
            <v>0</v>
          </cell>
          <cell r="G1185">
            <v>0</v>
          </cell>
        </row>
        <row r="1186">
          <cell r="F1186">
            <v>0</v>
          </cell>
          <cell r="G1186">
            <v>0</v>
          </cell>
        </row>
        <row r="1187">
          <cell r="F1187">
            <v>0</v>
          </cell>
          <cell r="G1187">
            <v>0</v>
          </cell>
        </row>
        <row r="1188">
          <cell r="F1188">
            <v>0</v>
          </cell>
          <cell r="G1188">
            <v>0</v>
          </cell>
        </row>
        <row r="1189">
          <cell r="F1189">
            <v>0</v>
          </cell>
          <cell r="G1189">
            <v>0</v>
          </cell>
        </row>
        <row r="1190">
          <cell r="F1190">
            <v>0</v>
          </cell>
          <cell r="G1190">
            <v>0</v>
          </cell>
        </row>
        <row r="1191">
          <cell r="F1191">
            <v>0</v>
          </cell>
          <cell r="G1191">
            <v>0</v>
          </cell>
        </row>
        <row r="1192">
          <cell r="F1192">
            <v>0</v>
          </cell>
          <cell r="G1192">
            <v>0</v>
          </cell>
        </row>
        <row r="1193">
          <cell r="F1193">
            <v>0</v>
          </cell>
          <cell r="G1193">
            <v>0</v>
          </cell>
        </row>
        <row r="1194">
          <cell r="F1194">
            <v>0</v>
          </cell>
          <cell r="G1194">
            <v>0</v>
          </cell>
        </row>
        <row r="1195">
          <cell r="F1195">
            <v>0</v>
          </cell>
          <cell r="G1195">
            <v>0</v>
          </cell>
        </row>
        <row r="1196">
          <cell r="F1196">
            <v>0</v>
          </cell>
          <cell r="G1196">
            <v>0</v>
          </cell>
        </row>
        <row r="1197">
          <cell r="F1197">
            <v>0</v>
          </cell>
          <cell r="G1197">
            <v>0</v>
          </cell>
        </row>
        <row r="1198">
          <cell r="F1198">
            <v>0</v>
          </cell>
          <cell r="G1198">
            <v>0</v>
          </cell>
        </row>
        <row r="1199">
          <cell r="F1199">
            <v>0</v>
          </cell>
          <cell r="G1199">
            <v>0</v>
          </cell>
        </row>
        <row r="1200">
          <cell r="F1200">
            <v>0</v>
          </cell>
          <cell r="G1200">
            <v>0</v>
          </cell>
        </row>
        <row r="1201">
          <cell r="F1201">
            <v>0</v>
          </cell>
          <cell r="G1201">
            <v>0</v>
          </cell>
        </row>
        <row r="1202">
          <cell r="F1202">
            <v>0</v>
          </cell>
          <cell r="G1202">
            <v>0</v>
          </cell>
        </row>
        <row r="1203">
          <cell r="F1203">
            <v>0</v>
          </cell>
          <cell r="G1203">
            <v>0</v>
          </cell>
        </row>
        <row r="1204">
          <cell r="F1204">
            <v>0</v>
          </cell>
          <cell r="G1204">
            <v>0</v>
          </cell>
        </row>
        <row r="1205">
          <cell r="F1205">
            <v>0</v>
          </cell>
          <cell r="G1205">
            <v>0</v>
          </cell>
        </row>
        <row r="1206">
          <cell r="F1206">
            <v>0</v>
          </cell>
          <cell r="G1206">
            <v>0</v>
          </cell>
        </row>
        <row r="1207">
          <cell r="F1207">
            <v>0</v>
          </cell>
          <cell r="G1207">
            <v>0</v>
          </cell>
        </row>
        <row r="1208">
          <cell r="F1208">
            <v>0</v>
          </cell>
          <cell r="G1208">
            <v>0</v>
          </cell>
        </row>
        <row r="1209">
          <cell r="F1209">
            <v>0</v>
          </cell>
          <cell r="G1209">
            <v>0</v>
          </cell>
        </row>
        <row r="1210">
          <cell r="F1210">
            <v>0</v>
          </cell>
          <cell r="G1210">
            <v>0</v>
          </cell>
        </row>
        <row r="1211">
          <cell r="F1211">
            <v>0</v>
          </cell>
          <cell r="G1211">
            <v>0</v>
          </cell>
        </row>
        <row r="1212">
          <cell r="F1212">
            <v>0</v>
          </cell>
          <cell r="G1212">
            <v>0</v>
          </cell>
        </row>
        <row r="1213">
          <cell r="F1213">
            <v>0</v>
          </cell>
          <cell r="G1213">
            <v>0</v>
          </cell>
        </row>
        <row r="1214">
          <cell r="F1214">
            <v>0</v>
          </cell>
          <cell r="G1214">
            <v>0</v>
          </cell>
        </row>
        <row r="1215">
          <cell r="F1215">
            <v>0</v>
          </cell>
          <cell r="G1215">
            <v>0</v>
          </cell>
        </row>
        <row r="1216">
          <cell r="F1216">
            <v>0</v>
          </cell>
          <cell r="G1216">
            <v>0</v>
          </cell>
        </row>
        <row r="1217">
          <cell r="F1217">
            <v>0</v>
          </cell>
          <cell r="G1217">
            <v>0</v>
          </cell>
        </row>
        <row r="1218">
          <cell r="F1218">
            <v>0</v>
          </cell>
          <cell r="G1218">
            <v>0</v>
          </cell>
        </row>
        <row r="1219">
          <cell r="F1219">
            <v>0</v>
          </cell>
          <cell r="G1219">
            <v>0</v>
          </cell>
        </row>
        <row r="1220">
          <cell r="F1220">
            <v>0</v>
          </cell>
          <cell r="G1220">
            <v>0</v>
          </cell>
        </row>
        <row r="1221">
          <cell r="F1221">
            <v>0</v>
          </cell>
          <cell r="G1221">
            <v>0</v>
          </cell>
        </row>
        <row r="1222">
          <cell r="F1222">
            <v>0</v>
          </cell>
          <cell r="G1222">
            <v>0</v>
          </cell>
        </row>
        <row r="1223">
          <cell r="F1223">
            <v>0</v>
          </cell>
          <cell r="G1223">
            <v>0</v>
          </cell>
        </row>
        <row r="1224">
          <cell r="F1224">
            <v>0</v>
          </cell>
          <cell r="G1224">
            <v>0</v>
          </cell>
        </row>
        <row r="1225">
          <cell r="F1225">
            <v>0</v>
          </cell>
          <cell r="G1225">
            <v>0</v>
          </cell>
        </row>
        <row r="1226">
          <cell r="F1226">
            <v>0</v>
          </cell>
          <cell r="G1226">
            <v>0</v>
          </cell>
        </row>
        <row r="1227">
          <cell r="F1227">
            <v>0</v>
          </cell>
          <cell r="G1227">
            <v>0</v>
          </cell>
        </row>
        <row r="1228">
          <cell r="F1228">
            <v>0</v>
          </cell>
          <cell r="G1228">
            <v>0</v>
          </cell>
        </row>
        <row r="1229">
          <cell r="F1229">
            <v>0</v>
          </cell>
          <cell r="G1229">
            <v>0</v>
          </cell>
        </row>
        <row r="1230">
          <cell r="F1230">
            <v>0</v>
          </cell>
          <cell r="G1230">
            <v>0</v>
          </cell>
        </row>
        <row r="1231">
          <cell r="F1231">
            <v>0</v>
          </cell>
          <cell r="G1231">
            <v>0</v>
          </cell>
        </row>
        <row r="1232">
          <cell r="F1232">
            <v>0</v>
          </cell>
          <cell r="G1232">
            <v>0</v>
          </cell>
        </row>
        <row r="1233">
          <cell r="F1233">
            <v>0</v>
          </cell>
          <cell r="G1233">
            <v>0</v>
          </cell>
        </row>
        <row r="1234">
          <cell r="F1234">
            <v>0</v>
          </cell>
          <cell r="G1234">
            <v>0</v>
          </cell>
        </row>
        <row r="1235">
          <cell r="F1235">
            <v>0</v>
          </cell>
          <cell r="G1235">
            <v>0</v>
          </cell>
        </row>
        <row r="1236">
          <cell r="F1236">
            <v>0</v>
          </cell>
          <cell r="G1236">
            <v>0</v>
          </cell>
        </row>
        <row r="1237">
          <cell r="F1237">
            <v>0</v>
          </cell>
          <cell r="G1237">
            <v>0</v>
          </cell>
        </row>
        <row r="1238">
          <cell r="F1238">
            <v>0</v>
          </cell>
          <cell r="G1238">
            <v>0</v>
          </cell>
        </row>
        <row r="1239">
          <cell r="F1239">
            <v>0</v>
          </cell>
          <cell r="G1239">
            <v>0</v>
          </cell>
        </row>
        <row r="1240">
          <cell r="F1240">
            <v>0</v>
          </cell>
          <cell r="G1240">
            <v>0</v>
          </cell>
        </row>
        <row r="1241">
          <cell r="F1241">
            <v>0</v>
          </cell>
          <cell r="G1241">
            <v>0</v>
          </cell>
        </row>
        <row r="1242">
          <cell r="F1242">
            <v>0</v>
          </cell>
          <cell r="G1242">
            <v>0</v>
          </cell>
        </row>
        <row r="1243">
          <cell r="F1243">
            <v>0</v>
          </cell>
          <cell r="G1243">
            <v>0</v>
          </cell>
        </row>
        <row r="1244">
          <cell r="F1244">
            <v>0</v>
          </cell>
          <cell r="G1244">
            <v>0</v>
          </cell>
        </row>
        <row r="1245">
          <cell r="F1245">
            <v>0</v>
          </cell>
          <cell r="G1245">
            <v>0</v>
          </cell>
        </row>
        <row r="1246">
          <cell r="F1246">
            <v>0</v>
          </cell>
          <cell r="G1246">
            <v>0</v>
          </cell>
        </row>
        <row r="1247">
          <cell r="F1247">
            <v>0</v>
          </cell>
          <cell r="G1247">
            <v>0</v>
          </cell>
        </row>
        <row r="1248">
          <cell r="F1248">
            <v>0</v>
          </cell>
          <cell r="G1248">
            <v>0</v>
          </cell>
        </row>
        <row r="1249">
          <cell r="F1249">
            <v>0</v>
          </cell>
          <cell r="G1249">
            <v>0</v>
          </cell>
        </row>
        <row r="1250">
          <cell r="F1250">
            <v>0</v>
          </cell>
          <cell r="G1250">
            <v>0</v>
          </cell>
        </row>
        <row r="1251">
          <cell r="F1251">
            <v>0</v>
          </cell>
          <cell r="G1251">
            <v>0</v>
          </cell>
        </row>
        <row r="1252">
          <cell r="F1252">
            <v>0</v>
          </cell>
          <cell r="G1252">
            <v>0</v>
          </cell>
        </row>
        <row r="1253">
          <cell r="F1253">
            <v>0</v>
          </cell>
          <cell r="G1253">
            <v>0</v>
          </cell>
        </row>
        <row r="1254">
          <cell r="F1254">
            <v>0</v>
          </cell>
          <cell r="G1254">
            <v>0</v>
          </cell>
        </row>
        <row r="1255">
          <cell r="F1255">
            <v>0</v>
          </cell>
          <cell r="G1255">
            <v>0</v>
          </cell>
        </row>
        <row r="1256">
          <cell r="F1256">
            <v>0</v>
          </cell>
          <cell r="G1256">
            <v>0</v>
          </cell>
        </row>
        <row r="1257">
          <cell r="F1257">
            <v>0</v>
          </cell>
          <cell r="G1257">
            <v>0</v>
          </cell>
        </row>
        <row r="1258">
          <cell r="F1258">
            <v>0</v>
          </cell>
          <cell r="G1258">
            <v>0</v>
          </cell>
        </row>
        <row r="1259">
          <cell r="F1259">
            <v>0</v>
          </cell>
          <cell r="G1259">
            <v>0</v>
          </cell>
        </row>
        <row r="1260">
          <cell r="F1260">
            <v>0</v>
          </cell>
          <cell r="G1260">
            <v>0</v>
          </cell>
        </row>
        <row r="1261">
          <cell r="F1261">
            <v>0</v>
          </cell>
          <cell r="G1261">
            <v>0</v>
          </cell>
        </row>
        <row r="1262">
          <cell r="F1262">
            <v>0</v>
          </cell>
          <cell r="G1262">
            <v>0</v>
          </cell>
        </row>
        <row r="1263">
          <cell r="F1263">
            <v>0</v>
          </cell>
          <cell r="G1263">
            <v>0</v>
          </cell>
        </row>
        <row r="1264">
          <cell r="F1264">
            <v>0</v>
          </cell>
          <cell r="G1264">
            <v>0</v>
          </cell>
        </row>
        <row r="1265">
          <cell r="F1265">
            <v>0</v>
          </cell>
          <cell r="G1265">
            <v>0</v>
          </cell>
        </row>
        <row r="1266">
          <cell r="F1266">
            <v>0</v>
          </cell>
          <cell r="G1266">
            <v>0</v>
          </cell>
        </row>
        <row r="1267">
          <cell r="F1267">
            <v>0</v>
          </cell>
          <cell r="G1267">
            <v>0</v>
          </cell>
        </row>
        <row r="1268">
          <cell r="F1268">
            <v>0</v>
          </cell>
          <cell r="G1268">
            <v>0</v>
          </cell>
        </row>
        <row r="1269">
          <cell r="F1269">
            <v>0</v>
          </cell>
          <cell r="G1269">
            <v>0</v>
          </cell>
        </row>
        <row r="1270">
          <cell r="F1270">
            <v>0</v>
          </cell>
          <cell r="G1270">
            <v>0</v>
          </cell>
        </row>
        <row r="1271">
          <cell r="F1271">
            <v>0</v>
          </cell>
          <cell r="G1271">
            <v>0</v>
          </cell>
        </row>
        <row r="1272">
          <cell r="F1272">
            <v>0</v>
          </cell>
          <cell r="G1272">
            <v>0</v>
          </cell>
        </row>
        <row r="1273">
          <cell r="F1273">
            <v>0</v>
          </cell>
          <cell r="G1273">
            <v>0</v>
          </cell>
        </row>
        <row r="1274">
          <cell r="F1274">
            <v>0</v>
          </cell>
          <cell r="G1274">
            <v>0</v>
          </cell>
        </row>
        <row r="1275">
          <cell r="F1275">
            <v>0</v>
          </cell>
          <cell r="G1275">
            <v>0</v>
          </cell>
        </row>
        <row r="1276">
          <cell r="F1276">
            <v>0</v>
          </cell>
          <cell r="G1276">
            <v>0</v>
          </cell>
        </row>
        <row r="1277">
          <cell r="F1277">
            <v>0</v>
          </cell>
          <cell r="G1277">
            <v>0</v>
          </cell>
        </row>
        <row r="1278">
          <cell r="F1278">
            <v>0</v>
          </cell>
          <cell r="G1278">
            <v>0</v>
          </cell>
        </row>
        <row r="1279">
          <cell r="F1279">
            <v>0</v>
          </cell>
          <cell r="G1279">
            <v>0</v>
          </cell>
        </row>
        <row r="1280">
          <cell r="F1280">
            <v>0</v>
          </cell>
          <cell r="G1280">
            <v>0</v>
          </cell>
        </row>
        <row r="1281">
          <cell r="F1281">
            <v>0</v>
          </cell>
          <cell r="G1281">
            <v>0</v>
          </cell>
        </row>
        <row r="1282">
          <cell r="F1282">
            <v>0</v>
          </cell>
          <cell r="G1282">
            <v>0</v>
          </cell>
        </row>
        <row r="1283">
          <cell r="F1283">
            <v>0</v>
          </cell>
          <cell r="G1283">
            <v>0</v>
          </cell>
        </row>
        <row r="1284">
          <cell r="F1284">
            <v>0</v>
          </cell>
          <cell r="G1284">
            <v>0</v>
          </cell>
        </row>
        <row r="1285">
          <cell r="F1285">
            <v>0</v>
          </cell>
          <cell r="G1285">
            <v>0</v>
          </cell>
        </row>
        <row r="1286">
          <cell r="F1286">
            <v>0</v>
          </cell>
          <cell r="G1286">
            <v>0</v>
          </cell>
        </row>
        <row r="1287">
          <cell r="F1287">
            <v>0</v>
          </cell>
          <cell r="G1287">
            <v>0</v>
          </cell>
        </row>
        <row r="1288">
          <cell r="F1288">
            <v>0</v>
          </cell>
          <cell r="G1288">
            <v>0</v>
          </cell>
        </row>
        <row r="1289">
          <cell r="F1289">
            <v>0</v>
          </cell>
          <cell r="G1289">
            <v>0</v>
          </cell>
        </row>
        <row r="1290">
          <cell r="F1290">
            <v>0</v>
          </cell>
          <cell r="G1290">
            <v>0</v>
          </cell>
        </row>
        <row r="1291">
          <cell r="F1291">
            <v>0</v>
          </cell>
          <cell r="G1291">
            <v>0</v>
          </cell>
        </row>
        <row r="1292">
          <cell r="F1292">
            <v>0</v>
          </cell>
          <cell r="G1292">
            <v>0</v>
          </cell>
        </row>
        <row r="1293">
          <cell r="F1293">
            <v>0</v>
          </cell>
          <cell r="G1293">
            <v>0</v>
          </cell>
        </row>
        <row r="1294">
          <cell r="F1294">
            <v>0</v>
          </cell>
          <cell r="G1294">
            <v>0</v>
          </cell>
        </row>
        <row r="1295">
          <cell r="F1295">
            <v>0</v>
          </cell>
          <cell r="G1295">
            <v>0</v>
          </cell>
        </row>
        <row r="1296">
          <cell r="F1296">
            <v>0</v>
          </cell>
          <cell r="G1296">
            <v>0</v>
          </cell>
        </row>
        <row r="1297">
          <cell r="F1297">
            <v>0</v>
          </cell>
          <cell r="G1297">
            <v>0</v>
          </cell>
        </row>
        <row r="1298">
          <cell r="F1298">
            <v>0</v>
          </cell>
          <cell r="G1298">
            <v>0</v>
          </cell>
        </row>
        <row r="1299">
          <cell r="F1299">
            <v>0</v>
          </cell>
          <cell r="G1299">
            <v>0</v>
          </cell>
        </row>
        <row r="1300">
          <cell r="F1300">
            <v>0</v>
          </cell>
          <cell r="G1300">
            <v>0</v>
          </cell>
        </row>
        <row r="1301">
          <cell r="F1301">
            <v>0</v>
          </cell>
          <cell r="G1301">
            <v>0</v>
          </cell>
        </row>
        <row r="1302">
          <cell r="F1302">
            <v>0</v>
          </cell>
          <cell r="G1302">
            <v>0</v>
          </cell>
        </row>
        <row r="1303">
          <cell r="F1303">
            <v>0</v>
          </cell>
          <cell r="G1303">
            <v>0</v>
          </cell>
        </row>
        <row r="1304">
          <cell r="F1304">
            <v>0</v>
          </cell>
          <cell r="G1304">
            <v>0</v>
          </cell>
        </row>
        <row r="1305">
          <cell r="F1305">
            <v>0</v>
          </cell>
          <cell r="G1305">
            <v>0</v>
          </cell>
        </row>
        <row r="1306">
          <cell r="F1306">
            <v>0</v>
          </cell>
          <cell r="G1306">
            <v>0</v>
          </cell>
        </row>
        <row r="1307">
          <cell r="F1307">
            <v>0</v>
          </cell>
          <cell r="G1307">
            <v>0</v>
          </cell>
        </row>
        <row r="1308">
          <cell r="F1308">
            <v>0</v>
          </cell>
          <cell r="G1308">
            <v>0</v>
          </cell>
        </row>
        <row r="1309">
          <cell r="F1309">
            <v>0</v>
          </cell>
          <cell r="G1309">
            <v>0</v>
          </cell>
        </row>
        <row r="1310">
          <cell r="F1310">
            <v>0</v>
          </cell>
          <cell r="G1310">
            <v>0</v>
          </cell>
        </row>
        <row r="1311">
          <cell r="F1311">
            <v>0</v>
          </cell>
          <cell r="G1311">
            <v>0</v>
          </cell>
        </row>
        <row r="1312">
          <cell r="F1312">
            <v>0</v>
          </cell>
          <cell r="G1312">
            <v>0</v>
          </cell>
        </row>
        <row r="1313">
          <cell r="F1313">
            <v>0</v>
          </cell>
          <cell r="G1313">
            <v>0</v>
          </cell>
        </row>
        <row r="1314">
          <cell r="F1314">
            <v>0</v>
          </cell>
          <cell r="G1314">
            <v>0</v>
          </cell>
        </row>
        <row r="1315">
          <cell r="F1315">
            <v>0</v>
          </cell>
          <cell r="G1315">
            <v>0</v>
          </cell>
        </row>
        <row r="1316">
          <cell r="F1316">
            <v>0</v>
          </cell>
          <cell r="G1316">
            <v>0</v>
          </cell>
        </row>
        <row r="1317">
          <cell r="F1317">
            <v>0</v>
          </cell>
          <cell r="G1317">
            <v>0</v>
          </cell>
        </row>
        <row r="1318">
          <cell r="F1318">
            <v>0</v>
          </cell>
          <cell r="G1318">
            <v>0</v>
          </cell>
        </row>
        <row r="1319">
          <cell r="F1319">
            <v>0</v>
          </cell>
          <cell r="G1319">
            <v>0</v>
          </cell>
        </row>
        <row r="1320">
          <cell r="F1320">
            <v>0</v>
          </cell>
          <cell r="G1320">
            <v>0</v>
          </cell>
        </row>
        <row r="1321">
          <cell r="F1321">
            <v>0</v>
          </cell>
          <cell r="G1321">
            <v>0</v>
          </cell>
        </row>
        <row r="1322">
          <cell r="F1322">
            <v>0</v>
          </cell>
          <cell r="G1322">
            <v>0</v>
          </cell>
        </row>
        <row r="1323">
          <cell r="F1323">
            <v>0</v>
          </cell>
          <cell r="G1323">
            <v>0</v>
          </cell>
        </row>
        <row r="1324">
          <cell r="F1324">
            <v>0</v>
          </cell>
          <cell r="G1324">
            <v>0</v>
          </cell>
        </row>
        <row r="1325">
          <cell r="F1325">
            <v>0</v>
          </cell>
          <cell r="G1325">
            <v>0</v>
          </cell>
        </row>
        <row r="1326">
          <cell r="F1326">
            <v>0</v>
          </cell>
          <cell r="G1326">
            <v>0</v>
          </cell>
        </row>
        <row r="1327">
          <cell r="F1327">
            <v>0</v>
          </cell>
          <cell r="G1327">
            <v>0</v>
          </cell>
        </row>
        <row r="1328">
          <cell r="F1328">
            <v>0</v>
          </cell>
          <cell r="G1328">
            <v>0</v>
          </cell>
        </row>
        <row r="1329">
          <cell r="F1329">
            <v>0</v>
          </cell>
          <cell r="G1329">
            <v>0</v>
          </cell>
        </row>
        <row r="1330">
          <cell r="F1330">
            <v>0</v>
          </cell>
          <cell r="G1330">
            <v>0</v>
          </cell>
        </row>
        <row r="1331">
          <cell r="F1331">
            <v>0</v>
          </cell>
          <cell r="G1331">
            <v>0</v>
          </cell>
        </row>
        <row r="1332">
          <cell r="F1332">
            <v>0</v>
          </cell>
          <cell r="G1332">
            <v>0</v>
          </cell>
        </row>
        <row r="1333">
          <cell r="F1333">
            <v>0</v>
          </cell>
          <cell r="G1333">
            <v>0</v>
          </cell>
        </row>
        <row r="1334">
          <cell r="F1334">
            <v>0</v>
          </cell>
          <cell r="G1334">
            <v>0</v>
          </cell>
        </row>
        <row r="1335">
          <cell r="F1335">
            <v>0</v>
          </cell>
          <cell r="G1335">
            <v>0</v>
          </cell>
        </row>
        <row r="1336">
          <cell r="F1336">
            <v>0</v>
          </cell>
          <cell r="G1336">
            <v>0</v>
          </cell>
        </row>
        <row r="1337">
          <cell r="F1337">
            <v>0</v>
          </cell>
          <cell r="G1337">
            <v>0</v>
          </cell>
        </row>
        <row r="1338">
          <cell r="F1338">
            <v>0</v>
          </cell>
          <cell r="G1338">
            <v>0</v>
          </cell>
        </row>
        <row r="1339">
          <cell r="F1339">
            <v>0</v>
          </cell>
          <cell r="G1339">
            <v>0</v>
          </cell>
        </row>
        <row r="1340">
          <cell r="F1340">
            <v>0</v>
          </cell>
          <cell r="G1340">
            <v>0</v>
          </cell>
        </row>
        <row r="1341">
          <cell r="F1341">
            <v>0</v>
          </cell>
          <cell r="G1341">
            <v>0</v>
          </cell>
        </row>
        <row r="1342">
          <cell r="F1342">
            <v>0</v>
          </cell>
          <cell r="G1342">
            <v>0</v>
          </cell>
        </row>
        <row r="1343">
          <cell r="F1343">
            <v>0</v>
          </cell>
          <cell r="G1343">
            <v>0</v>
          </cell>
        </row>
        <row r="1344">
          <cell r="F1344">
            <v>0</v>
          </cell>
          <cell r="G1344">
            <v>0</v>
          </cell>
        </row>
        <row r="1345">
          <cell r="F1345">
            <v>0</v>
          </cell>
          <cell r="G1345">
            <v>0</v>
          </cell>
        </row>
        <row r="1346">
          <cell r="F1346">
            <v>0</v>
          </cell>
          <cell r="G1346">
            <v>0</v>
          </cell>
        </row>
        <row r="1347">
          <cell r="F1347">
            <v>0</v>
          </cell>
          <cell r="G1347">
            <v>0</v>
          </cell>
        </row>
        <row r="1348">
          <cell r="F1348">
            <v>0</v>
          </cell>
          <cell r="G1348">
            <v>0</v>
          </cell>
        </row>
        <row r="1349">
          <cell r="F1349">
            <v>0</v>
          </cell>
          <cell r="G1349">
            <v>0</v>
          </cell>
        </row>
        <row r="1350">
          <cell r="F1350">
            <v>0</v>
          </cell>
          <cell r="G1350">
            <v>0</v>
          </cell>
        </row>
        <row r="1351">
          <cell r="F1351">
            <v>0</v>
          </cell>
          <cell r="G1351">
            <v>0</v>
          </cell>
        </row>
        <row r="1352">
          <cell r="F1352">
            <v>0</v>
          </cell>
          <cell r="G1352">
            <v>0</v>
          </cell>
        </row>
        <row r="1353">
          <cell r="F1353">
            <v>0</v>
          </cell>
          <cell r="G1353">
            <v>0</v>
          </cell>
        </row>
        <row r="1354">
          <cell r="F1354">
            <v>0</v>
          </cell>
          <cell r="G1354">
            <v>0</v>
          </cell>
        </row>
        <row r="1355">
          <cell r="F1355">
            <v>0</v>
          </cell>
          <cell r="G1355">
            <v>0</v>
          </cell>
        </row>
        <row r="1356">
          <cell r="F1356">
            <v>0</v>
          </cell>
          <cell r="G1356">
            <v>0</v>
          </cell>
        </row>
        <row r="1357">
          <cell r="F1357">
            <v>0</v>
          </cell>
          <cell r="G1357">
            <v>0</v>
          </cell>
        </row>
        <row r="1358">
          <cell r="F1358">
            <v>0</v>
          </cell>
          <cell r="G1358">
            <v>0</v>
          </cell>
        </row>
        <row r="1359">
          <cell r="F1359">
            <v>0</v>
          </cell>
          <cell r="G1359">
            <v>0</v>
          </cell>
        </row>
        <row r="1360">
          <cell r="F1360">
            <v>0</v>
          </cell>
          <cell r="G1360">
            <v>0</v>
          </cell>
        </row>
        <row r="1361">
          <cell r="F1361">
            <v>0</v>
          </cell>
          <cell r="G1361">
            <v>0</v>
          </cell>
        </row>
        <row r="1362">
          <cell r="F1362">
            <v>0</v>
          </cell>
          <cell r="G1362">
            <v>0</v>
          </cell>
        </row>
        <row r="1363">
          <cell r="F1363">
            <v>0</v>
          </cell>
          <cell r="G1363">
            <v>0</v>
          </cell>
        </row>
        <row r="1364">
          <cell r="F1364">
            <v>0</v>
          </cell>
          <cell r="G1364">
            <v>0</v>
          </cell>
        </row>
        <row r="1365">
          <cell r="F1365">
            <v>0</v>
          </cell>
          <cell r="G1365">
            <v>0</v>
          </cell>
        </row>
        <row r="1366">
          <cell r="F1366">
            <v>0</v>
          </cell>
          <cell r="G1366">
            <v>0</v>
          </cell>
        </row>
        <row r="1367">
          <cell r="F1367">
            <v>0</v>
          </cell>
          <cell r="G1367">
            <v>0</v>
          </cell>
        </row>
        <row r="1368">
          <cell r="F1368">
            <v>0</v>
          </cell>
          <cell r="G1368">
            <v>0</v>
          </cell>
        </row>
        <row r="1369">
          <cell r="F1369">
            <v>0</v>
          </cell>
          <cell r="G1369">
            <v>0</v>
          </cell>
        </row>
        <row r="1370">
          <cell r="F1370">
            <v>0</v>
          </cell>
          <cell r="G1370">
            <v>0</v>
          </cell>
        </row>
        <row r="1371">
          <cell r="F1371">
            <v>0</v>
          </cell>
          <cell r="G1371">
            <v>0</v>
          </cell>
        </row>
        <row r="1372">
          <cell r="F1372">
            <v>0</v>
          </cell>
          <cell r="G1372">
            <v>0</v>
          </cell>
        </row>
        <row r="1373">
          <cell r="F1373">
            <v>0</v>
          </cell>
          <cell r="G1373">
            <v>0</v>
          </cell>
        </row>
        <row r="1374">
          <cell r="F1374">
            <v>0</v>
          </cell>
          <cell r="G1374">
            <v>0</v>
          </cell>
        </row>
        <row r="1375">
          <cell r="F1375">
            <v>0</v>
          </cell>
          <cell r="G1375">
            <v>0</v>
          </cell>
        </row>
        <row r="1376">
          <cell r="F1376">
            <v>0</v>
          </cell>
          <cell r="G1376">
            <v>0</v>
          </cell>
        </row>
        <row r="1377">
          <cell r="F1377">
            <v>0</v>
          </cell>
          <cell r="G1377">
            <v>0</v>
          </cell>
        </row>
        <row r="1378">
          <cell r="F1378">
            <v>0</v>
          </cell>
          <cell r="G1378">
            <v>0</v>
          </cell>
        </row>
        <row r="1379">
          <cell r="F1379">
            <v>0</v>
          </cell>
          <cell r="G1379">
            <v>0</v>
          </cell>
        </row>
        <row r="1380">
          <cell r="F1380">
            <v>0</v>
          </cell>
          <cell r="G1380">
            <v>0</v>
          </cell>
        </row>
        <row r="1381">
          <cell r="F1381">
            <v>0</v>
          </cell>
          <cell r="G1381">
            <v>0</v>
          </cell>
        </row>
        <row r="1382">
          <cell r="F1382">
            <v>0</v>
          </cell>
          <cell r="G1382">
            <v>0</v>
          </cell>
        </row>
        <row r="1383">
          <cell r="F1383">
            <v>0</v>
          </cell>
          <cell r="G1383">
            <v>0</v>
          </cell>
        </row>
        <row r="1384">
          <cell r="F1384">
            <v>0</v>
          </cell>
          <cell r="G1384">
            <v>0</v>
          </cell>
        </row>
        <row r="1385">
          <cell r="F1385">
            <v>0</v>
          </cell>
          <cell r="G1385">
            <v>0</v>
          </cell>
        </row>
        <row r="1386">
          <cell r="F1386">
            <v>0</v>
          </cell>
          <cell r="G1386">
            <v>0</v>
          </cell>
        </row>
        <row r="1387">
          <cell r="F1387">
            <v>0</v>
          </cell>
          <cell r="G1387">
            <v>0</v>
          </cell>
        </row>
        <row r="1388">
          <cell r="F1388">
            <v>0</v>
          </cell>
          <cell r="G1388">
            <v>0</v>
          </cell>
        </row>
        <row r="1389">
          <cell r="F1389">
            <v>0</v>
          </cell>
          <cell r="G1389">
            <v>0</v>
          </cell>
        </row>
        <row r="1390">
          <cell r="F1390">
            <v>0</v>
          </cell>
          <cell r="G1390">
            <v>0</v>
          </cell>
        </row>
        <row r="1391">
          <cell r="F1391">
            <v>0</v>
          </cell>
          <cell r="G1391">
            <v>0</v>
          </cell>
        </row>
        <row r="1392">
          <cell r="F1392">
            <v>0</v>
          </cell>
          <cell r="G1392">
            <v>0</v>
          </cell>
        </row>
        <row r="1393">
          <cell r="F1393">
            <v>0</v>
          </cell>
          <cell r="G1393">
            <v>0</v>
          </cell>
        </row>
        <row r="1394">
          <cell r="F1394">
            <v>0</v>
          </cell>
          <cell r="G1394">
            <v>0</v>
          </cell>
        </row>
        <row r="1395">
          <cell r="F1395">
            <v>0</v>
          </cell>
          <cell r="G1395">
            <v>0</v>
          </cell>
        </row>
        <row r="1396">
          <cell r="F1396">
            <v>0</v>
          </cell>
          <cell r="G1396">
            <v>0</v>
          </cell>
        </row>
        <row r="1397">
          <cell r="F1397">
            <v>0</v>
          </cell>
          <cell r="G1397">
            <v>0</v>
          </cell>
        </row>
        <row r="1398">
          <cell r="F1398">
            <v>0</v>
          </cell>
          <cell r="G1398">
            <v>0</v>
          </cell>
        </row>
        <row r="1399">
          <cell r="F1399">
            <v>0</v>
          </cell>
          <cell r="G1399">
            <v>0</v>
          </cell>
        </row>
        <row r="1400">
          <cell r="F1400">
            <v>0</v>
          </cell>
          <cell r="G1400">
            <v>0</v>
          </cell>
        </row>
        <row r="1401">
          <cell r="F1401">
            <v>0</v>
          </cell>
          <cell r="G1401">
            <v>0</v>
          </cell>
        </row>
        <row r="1402">
          <cell r="F1402">
            <v>0</v>
          </cell>
          <cell r="G1402">
            <v>0</v>
          </cell>
        </row>
        <row r="1403">
          <cell r="F1403">
            <v>0</v>
          </cell>
          <cell r="G1403">
            <v>0</v>
          </cell>
        </row>
        <row r="1404">
          <cell r="F1404">
            <v>0</v>
          </cell>
          <cell r="G1404">
            <v>0</v>
          </cell>
        </row>
        <row r="1405">
          <cell r="F1405">
            <v>0</v>
          </cell>
          <cell r="G1405">
            <v>0</v>
          </cell>
        </row>
        <row r="1406">
          <cell r="F1406">
            <v>0</v>
          </cell>
          <cell r="G1406">
            <v>0</v>
          </cell>
        </row>
        <row r="1407">
          <cell r="F1407">
            <v>0</v>
          </cell>
          <cell r="G1407">
            <v>0</v>
          </cell>
        </row>
        <row r="1408">
          <cell r="F1408">
            <v>0</v>
          </cell>
          <cell r="G1408">
            <v>0</v>
          </cell>
        </row>
        <row r="1409">
          <cell r="F1409">
            <v>0</v>
          </cell>
          <cell r="G1409">
            <v>0</v>
          </cell>
        </row>
        <row r="1410">
          <cell r="F1410">
            <v>0</v>
          </cell>
          <cell r="G1410">
            <v>0</v>
          </cell>
        </row>
        <row r="1411">
          <cell r="F1411">
            <v>0</v>
          </cell>
          <cell r="G1411">
            <v>0</v>
          </cell>
        </row>
        <row r="1412">
          <cell r="F1412">
            <v>0</v>
          </cell>
          <cell r="G1412">
            <v>0</v>
          </cell>
        </row>
        <row r="1413">
          <cell r="F1413">
            <v>0</v>
          </cell>
          <cell r="G1413">
            <v>0</v>
          </cell>
        </row>
        <row r="1414">
          <cell r="F1414">
            <v>0</v>
          </cell>
          <cell r="G1414">
            <v>0</v>
          </cell>
        </row>
        <row r="1415">
          <cell r="F1415">
            <v>0</v>
          </cell>
          <cell r="G1415">
            <v>0</v>
          </cell>
        </row>
        <row r="1416">
          <cell r="F1416">
            <v>0</v>
          </cell>
          <cell r="G1416">
            <v>0</v>
          </cell>
        </row>
        <row r="1417">
          <cell r="F1417">
            <v>0</v>
          </cell>
          <cell r="G1417">
            <v>0</v>
          </cell>
        </row>
        <row r="1418">
          <cell r="F1418">
            <v>0</v>
          </cell>
          <cell r="G1418">
            <v>0</v>
          </cell>
        </row>
        <row r="1419">
          <cell r="F1419">
            <v>0</v>
          </cell>
          <cell r="G1419">
            <v>0</v>
          </cell>
        </row>
        <row r="1420">
          <cell r="F1420">
            <v>0</v>
          </cell>
          <cell r="G1420">
            <v>0</v>
          </cell>
        </row>
        <row r="1421">
          <cell r="F1421">
            <v>0</v>
          </cell>
          <cell r="G1421">
            <v>0</v>
          </cell>
        </row>
        <row r="1422">
          <cell r="F1422">
            <v>0</v>
          </cell>
          <cell r="G1422">
            <v>0</v>
          </cell>
        </row>
        <row r="1423">
          <cell r="F1423">
            <v>0</v>
          </cell>
          <cell r="G1423">
            <v>0</v>
          </cell>
        </row>
        <row r="1424">
          <cell r="F1424">
            <v>0</v>
          </cell>
          <cell r="G1424">
            <v>0</v>
          </cell>
        </row>
        <row r="1425">
          <cell r="F1425">
            <v>0</v>
          </cell>
          <cell r="G1425">
            <v>0</v>
          </cell>
        </row>
        <row r="1426">
          <cell r="F1426">
            <v>0</v>
          </cell>
          <cell r="G1426">
            <v>0</v>
          </cell>
        </row>
        <row r="1427">
          <cell r="F1427">
            <v>0</v>
          </cell>
          <cell r="G1427">
            <v>0</v>
          </cell>
        </row>
        <row r="1428">
          <cell r="F1428">
            <v>0</v>
          </cell>
          <cell r="G1428">
            <v>0</v>
          </cell>
        </row>
        <row r="1429">
          <cell r="F1429">
            <v>0</v>
          </cell>
          <cell r="G1429">
            <v>0</v>
          </cell>
        </row>
        <row r="1430">
          <cell r="F1430">
            <v>0</v>
          </cell>
          <cell r="G1430">
            <v>0</v>
          </cell>
        </row>
        <row r="1431">
          <cell r="F1431">
            <v>0</v>
          </cell>
          <cell r="G1431">
            <v>0</v>
          </cell>
        </row>
        <row r="1432">
          <cell r="F1432">
            <v>0</v>
          </cell>
          <cell r="G1432">
            <v>0</v>
          </cell>
        </row>
        <row r="1433">
          <cell r="F1433">
            <v>0</v>
          </cell>
          <cell r="G1433">
            <v>0</v>
          </cell>
        </row>
        <row r="1434">
          <cell r="F1434">
            <v>0</v>
          </cell>
          <cell r="G1434">
            <v>0</v>
          </cell>
        </row>
        <row r="1435">
          <cell r="F1435">
            <v>0</v>
          </cell>
          <cell r="G1435">
            <v>0</v>
          </cell>
        </row>
        <row r="1436">
          <cell r="F1436">
            <v>0</v>
          </cell>
          <cell r="G1436">
            <v>0</v>
          </cell>
        </row>
        <row r="1437">
          <cell r="F1437">
            <v>0</v>
          </cell>
          <cell r="G1437">
            <v>0</v>
          </cell>
        </row>
        <row r="1438">
          <cell r="F1438">
            <v>0</v>
          </cell>
          <cell r="G1438">
            <v>0</v>
          </cell>
        </row>
        <row r="1439">
          <cell r="F1439">
            <v>0</v>
          </cell>
          <cell r="G1439">
            <v>0</v>
          </cell>
        </row>
        <row r="1440">
          <cell r="F1440">
            <v>0</v>
          </cell>
          <cell r="G1440">
            <v>0</v>
          </cell>
        </row>
        <row r="1441">
          <cell r="F1441">
            <v>0</v>
          </cell>
          <cell r="G1441">
            <v>0</v>
          </cell>
        </row>
        <row r="1442">
          <cell r="F1442">
            <v>0</v>
          </cell>
          <cell r="G1442">
            <v>0</v>
          </cell>
        </row>
        <row r="1443">
          <cell r="F1443">
            <v>0</v>
          </cell>
          <cell r="G1443">
            <v>0</v>
          </cell>
        </row>
        <row r="1444">
          <cell r="F1444">
            <v>0</v>
          </cell>
          <cell r="G1444">
            <v>0</v>
          </cell>
        </row>
        <row r="1445">
          <cell r="F1445">
            <v>0</v>
          </cell>
          <cell r="G1445">
            <v>0</v>
          </cell>
        </row>
        <row r="1446">
          <cell r="F1446">
            <v>0</v>
          </cell>
          <cell r="G1446">
            <v>0</v>
          </cell>
        </row>
        <row r="1447">
          <cell r="F1447">
            <v>0</v>
          </cell>
          <cell r="G1447">
            <v>0</v>
          </cell>
        </row>
        <row r="1448">
          <cell r="F1448">
            <v>0</v>
          </cell>
          <cell r="G1448">
            <v>0</v>
          </cell>
        </row>
        <row r="1449">
          <cell r="F1449">
            <v>0</v>
          </cell>
          <cell r="G1449">
            <v>0</v>
          </cell>
        </row>
        <row r="1450">
          <cell r="F1450">
            <v>0</v>
          </cell>
          <cell r="G1450">
            <v>0</v>
          </cell>
        </row>
        <row r="1451">
          <cell r="F1451">
            <v>0</v>
          </cell>
          <cell r="G1451">
            <v>0</v>
          </cell>
        </row>
        <row r="1452">
          <cell r="F1452">
            <v>0</v>
          </cell>
          <cell r="G1452">
            <v>0</v>
          </cell>
        </row>
        <row r="1453">
          <cell r="F1453">
            <v>0</v>
          </cell>
          <cell r="G1453">
            <v>0</v>
          </cell>
        </row>
        <row r="1454">
          <cell r="F1454">
            <v>0</v>
          </cell>
          <cell r="G1454">
            <v>0</v>
          </cell>
        </row>
        <row r="1455">
          <cell r="F1455">
            <v>0</v>
          </cell>
          <cell r="G1455">
            <v>0</v>
          </cell>
        </row>
        <row r="1456">
          <cell r="F1456">
            <v>0</v>
          </cell>
          <cell r="G1456">
            <v>0</v>
          </cell>
        </row>
        <row r="1457">
          <cell r="F1457">
            <v>0</v>
          </cell>
          <cell r="G1457">
            <v>0</v>
          </cell>
        </row>
        <row r="1458">
          <cell r="F1458">
            <v>0</v>
          </cell>
          <cell r="G1458">
            <v>0</v>
          </cell>
        </row>
        <row r="1459">
          <cell r="F1459">
            <v>0</v>
          </cell>
          <cell r="G1459">
            <v>0</v>
          </cell>
        </row>
        <row r="1460">
          <cell r="F1460">
            <v>0</v>
          </cell>
          <cell r="G1460">
            <v>0</v>
          </cell>
        </row>
        <row r="1461">
          <cell r="F1461">
            <v>0</v>
          </cell>
          <cell r="G1461">
            <v>0</v>
          </cell>
        </row>
        <row r="1462">
          <cell r="F1462">
            <v>0</v>
          </cell>
          <cell r="G1462">
            <v>0</v>
          </cell>
        </row>
        <row r="1463">
          <cell r="F1463">
            <v>0</v>
          </cell>
          <cell r="G1463">
            <v>0</v>
          </cell>
        </row>
        <row r="1464">
          <cell r="F1464">
            <v>0</v>
          </cell>
          <cell r="G1464">
            <v>0</v>
          </cell>
        </row>
        <row r="1465">
          <cell r="F1465">
            <v>0</v>
          </cell>
          <cell r="G1465">
            <v>0</v>
          </cell>
        </row>
        <row r="1466">
          <cell r="F1466">
            <v>0</v>
          </cell>
          <cell r="G1466">
            <v>0</v>
          </cell>
        </row>
        <row r="1467">
          <cell r="F1467">
            <v>0</v>
          </cell>
          <cell r="G1467">
            <v>0</v>
          </cell>
        </row>
        <row r="1468">
          <cell r="F1468">
            <v>0</v>
          </cell>
          <cell r="G1468">
            <v>0</v>
          </cell>
        </row>
        <row r="1469">
          <cell r="F1469">
            <v>0</v>
          </cell>
          <cell r="G1469">
            <v>0</v>
          </cell>
        </row>
        <row r="1470">
          <cell r="F1470">
            <v>0</v>
          </cell>
          <cell r="G1470">
            <v>0</v>
          </cell>
        </row>
        <row r="1471">
          <cell r="F1471">
            <v>0</v>
          </cell>
          <cell r="G1471">
            <v>0</v>
          </cell>
        </row>
        <row r="1472">
          <cell r="F1472">
            <v>0</v>
          </cell>
          <cell r="G1472">
            <v>0</v>
          </cell>
        </row>
        <row r="1473">
          <cell r="F1473">
            <v>0</v>
          </cell>
          <cell r="G1473">
            <v>0</v>
          </cell>
        </row>
        <row r="1474">
          <cell r="F1474">
            <v>0</v>
          </cell>
          <cell r="G1474">
            <v>0</v>
          </cell>
        </row>
        <row r="1475">
          <cell r="F1475">
            <v>0</v>
          </cell>
          <cell r="G1475">
            <v>0</v>
          </cell>
        </row>
        <row r="1476">
          <cell r="F1476">
            <v>0</v>
          </cell>
          <cell r="G1476">
            <v>0</v>
          </cell>
        </row>
        <row r="1477">
          <cell r="F1477">
            <v>0</v>
          </cell>
          <cell r="G1477">
            <v>0</v>
          </cell>
        </row>
        <row r="1478">
          <cell r="F1478">
            <v>0</v>
          </cell>
          <cell r="G1478">
            <v>0</v>
          </cell>
        </row>
        <row r="1479">
          <cell r="F1479">
            <v>0</v>
          </cell>
          <cell r="G1479">
            <v>0</v>
          </cell>
        </row>
        <row r="1480">
          <cell r="F1480">
            <v>0</v>
          </cell>
          <cell r="G1480">
            <v>0</v>
          </cell>
        </row>
        <row r="1481">
          <cell r="F1481">
            <v>0</v>
          </cell>
          <cell r="G1481">
            <v>0</v>
          </cell>
        </row>
        <row r="1482">
          <cell r="F1482">
            <v>0</v>
          </cell>
          <cell r="G1482">
            <v>0</v>
          </cell>
        </row>
        <row r="1483">
          <cell r="F1483">
            <v>0</v>
          </cell>
          <cell r="G1483">
            <v>0</v>
          </cell>
        </row>
        <row r="1484">
          <cell r="F1484">
            <v>0</v>
          </cell>
          <cell r="G1484">
            <v>0</v>
          </cell>
        </row>
        <row r="1485">
          <cell r="F1485">
            <v>0</v>
          </cell>
          <cell r="G1485">
            <v>0</v>
          </cell>
        </row>
        <row r="1486">
          <cell r="F1486">
            <v>0</v>
          </cell>
          <cell r="G1486">
            <v>0</v>
          </cell>
        </row>
        <row r="1487">
          <cell r="F1487">
            <v>0</v>
          </cell>
          <cell r="G1487">
            <v>0</v>
          </cell>
        </row>
        <row r="1488">
          <cell r="F1488">
            <v>0</v>
          </cell>
          <cell r="G1488">
            <v>0</v>
          </cell>
        </row>
        <row r="1489">
          <cell r="F1489">
            <v>0</v>
          </cell>
          <cell r="G1489">
            <v>0</v>
          </cell>
        </row>
        <row r="1490">
          <cell r="F1490">
            <v>0</v>
          </cell>
          <cell r="G1490">
            <v>0</v>
          </cell>
        </row>
        <row r="1491">
          <cell r="F1491">
            <v>0</v>
          </cell>
          <cell r="G1491">
            <v>0</v>
          </cell>
        </row>
        <row r="1492">
          <cell r="F1492">
            <v>0</v>
          </cell>
          <cell r="G1492">
            <v>0</v>
          </cell>
        </row>
        <row r="1493">
          <cell r="F1493">
            <v>0</v>
          </cell>
          <cell r="G1493">
            <v>0</v>
          </cell>
        </row>
        <row r="1494">
          <cell r="F1494">
            <v>0</v>
          </cell>
          <cell r="G1494">
            <v>0</v>
          </cell>
        </row>
        <row r="1495">
          <cell r="F1495">
            <v>0</v>
          </cell>
          <cell r="G1495">
            <v>0</v>
          </cell>
        </row>
        <row r="1496">
          <cell r="F1496">
            <v>0</v>
          </cell>
          <cell r="G1496">
            <v>0</v>
          </cell>
        </row>
        <row r="1497">
          <cell r="F1497">
            <v>0</v>
          </cell>
          <cell r="G1497">
            <v>0</v>
          </cell>
        </row>
        <row r="1498">
          <cell r="F1498">
            <v>0</v>
          </cell>
          <cell r="G1498">
            <v>0</v>
          </cell>
        </row>
        <row r="1499">
          <cell r="F1499">
            <v>0</v>
          </cell>
          <cell r="G1499">
            <v>0</v>
          </cell>
        </row>
        <row r="1500">
          <cell r="F1500">
            <v>0</v>
          </cell>
          <cell r="G1500">
            <v>0</v>
          </cell>
        </row>
        <row r="1501">
          <cell r="F1501">
            <v>0</v>
          </cell>
          <cell r="G1501">
            <v>0</v>
          </cell>
        </row>
        <row r="1502">
          <cell r="F1502">
            <v>0</v>
          </cell>
          <cell r="G1502">
            <v>0</v>
          </cell>
        </row>
        <row r="1503">
          <cell r="F1503">
            <v>0</v>
          </cell>
          <cell r="G1503">
            <v>0</v>
          </cell>
        </row>
        <row r="1504">
          <cell r="F1504">
            <v>0</v>
          </cell>
          <cell r="G1504">
            <v>0</v>
          </cell>
        </row>
        <row r="1505">
          <cell r="F1505">
            <v>0</v>
          </cell>
          <cell r="G1505">
            <v>0</v>
          </cell>
        </row>
        <row r="1506">
          <cell r="F1506">
            <v>0</v>
          </cell>
          <cell r="G1506">
            <v>0</v>
          </cell>
        </row>
        <row r="1507">
          <cell r="F1507">
            <v>0</v>
          </cell>
          <cell r="G1507">
            <v>0</v>
          </cell>
        </row>
        <row r="1508">
          <cell r="F1508">
            <v>0</v>
          </cell>
          <cell r="G1508">
            <v>0</v>
          </cell>
        </row>
        <row r="1509">
          <cell r="F1509">
            <v>0</v>
          </cell>
          <cell r="G1509">
            <v>0</v>
          </cell>
        </row>
        <row r="1510">
          <cell r="F1510">
            <v>0</v>
          </cell>
          <cell r="G1510">
            <v>0</v>
          </cell>
        </row>
        <row r="1511">
          <cell r="F1511">
            <v>0</v>
          </cell>
          <cell r="G1511">
            <v>0</v>
          </cell>
        </row>
        <row r="1512">
          <cell r="F1512">
            <v>0</v>
          </cell>
          <cell r="G1512">
            <v>0</v>
          </cell>
        </row>
        <row r="1513">
          <cell r="F1513">
            <v>0</v>
          </cell>
          <cell r="G1513">
            <v>0</v>
          </cell>
        </row>
        <row r="1514">
          <cell r="F1514">
            <v>0</v>
          </cell>
          <cell r="G1514">
            <v>0</v>
          </cell>
        </row>
        <row r="1515">
          <cell r="F1515">
            <v>0</v>
          </cell>
          <cell r="G1515">
            <v>0</v>
          </cell>
        </row>
        <row r="1516">
          <cell r="F1516">
            <v>0</v>
          </cell>
          <cell r="G1516">
            <v>0</v>
          </cell>
        </row>
        <row r="1517">
          <cell r="F1517">
            <v>0</v>
          </cell>
          <cell r="G1517">
            <v>0</v>
          </cell>
        </row>
        <row r="1518">
          <cell r="F1518">
            <v>0</v>
          </cell>
          <cell r="G1518">
            <v>0</v>
          </cell>
        </row>
        <row r="1519">
          <cell r="F1519">
            <v>0</v>
          </cell>
          <cell r="G1519">
            <v>0</v>
          </cell>
        </row>
        <row r="1520">
          <cell r="F1520">
            <v>0</v>
          </cell>
          <cell r="G1520">
            <v>0</v>
          </cell>
        </row>
        <row r="1521">
          <cell r="F1521">
            <v>0</v>
          </cell>
          <cell r="G1521">
            <v>0</v>
          </cell>
        </row>
        <row r="1522">
          <cell r="F1522">
            <v>0</v>
          </cell>
          <cell r="G1522">
            <v>0</v>
          </cell>
        </row>
        <row r="1523">
          <cell r="F1523">
            <v>0</v>
          </cell>
          <cell r="G1523">
            <v>0</v>
          </cell>
        </row>
        <row r="1524">
          <cell r="F1524">
            <v>0</v>
          </cell>
          <cell r="G1524">
            <v>0</v>
          </cell>
        </row>
        <row r="1525">
          <cell r="F1525">
            <v>0</v>
          </cell>
          <cell r="G1525">
            <v>0</v>
          </cell>
        </row>
        <row r="1526">
          <cell r="F1526">
            <v>0</v>
          </cell>
          <cell r="G1526">
            <v>0</v>
          </cell>
        </row>
        <row r="1527">
          <cell r="F1527">
            <v>0</v>
          </cell>
          <cell r="G1527">
            <v>0</v>
          </cell>
        </row>
        <row r="1528">
          <cell r="F1528">
            <v>0</v>
          </cell>
          <cell r="G1528">
            <v>0</v>
          </cell>
        </row>
        <row r="1529">
          <cell r="F1529">
            <v>0</v>
          </cell>
          <cell r="G1529">
            <v>0</v>
          </cell>
        </row>
        <row r="1530">
          <cell r="F1530">
            <v>0</v>
          </cell>
          <cell r="G1530">
            <v>0</v>
          </cell>
        </row>
        <row r="1531">
          <cell r="F1531">
            <v>0</v>
          </cell>
          <cell r="G1531">
            <v>0</v>
          </cell>
        </row>
        <row r="1532">
          <cell r="F1532">
            <v>0</v>
          </cell>
          <cell r="G1532">
            <v>0</v>
          </cell>
        </row>
        <row r="1533">
          <cell r="F1533">
            <v>0</v>
          </cell>
          <cell r="G1533">
            <v>0</v>
          </cell>
        </row>
        <row r="1534">
          <cell r="F1534">
            <v>0</v>
          </cell>
          <cell r="G1534">
            <v>0</v>
          </cell>
        </row>
        <row r="1535">
          <cell r="F1535">
            <v>0</v>
          </cell>
          <cell r="G1535">
            <v>0</v>
          </cell>
        </row>
        <row r="1536">
          <cell r="F1536">
            <v>0</v>
          </cell>
          <cell r="G1536">
            <v>0</v>
          </cell>
        </row>
        <row r="1537">
          <cell r="F1537">
            <v>0</v>
          </cell>
          <cell r="G1537">
            <v>0</v>
          </cell>
        </row>
        <row r="1538">
          <cell r="F1538">
            <v>0</v>
          </cell>
          <cell r="G1538">
            <v>0</v>
          </cell>
        </row>
        <row r="1539">
          <cell r="F1539">
            <v>0</v>
          </cell>
          <cell r="G1539">
            <v>0</v>
          </cell>
        </row>
        <row r="1540">
          <cell r="F1540">
            <v>0</v>
          </cell>
          <cell r="G1540">
            <v>0</v>
          </cell>
        </row>
        <row r="1541">
          <cell r="F1541">
            <v>0</v>
          </cell>
          <cell r="G1541">
            <v>0</v>
          </cell>
        </row>
        <row r="1542">
          <cell r="F1542">
            <v>0</v>
          </cell>
          <cell r="G1542">
            <v>0</v>
          </cell>
        </row>
        <row r="1543">
          <cell r="F1543">
            <v>0</v>
          </cell>
          <cell r="G1543">
            <v>0</v>
          </cell>
        </row>
        <row r="1544">
          <cell r="F1544">
            <v>0</v>
          </cell>
          <cell r="G1544">
            <v>0</v>
          </cell>
        </row>
        <row r="1545">
          <cell r="F1545">
            <v>0</v>
          </cell>
          <cell r="G1545">
            <v>0</v>
          </cell>
        </row>
        <row r="1546">
          <cell r="F1546">
            <v>0</v>
          </cell>
          <cell r="G1546">
            <v>0</v>
          </cell>
        </row>
        <row r="1547">
          <cell r="F1547">
            <v>0</v>
          </cell>
          <cell r="G1547">
            <v>0</v>
          </cell>
        </row>
        <row r="1548">
          <cell r="F1548">
            <v>0</v>
          </cell>
          <cell r="G1548">
            <v>0</v>
          </cell>
        </row>
        <row r="1549">
          <cell r="F1549">
            <v>0</v>
          </cell>
          <cell r="G1549">
            <v>0</v>
          </cell>
        </row>
        <row r="1550">
          <cell r="F1550">
            <v>0</v>
          </cell>
          <cell r="G1550">
            <v>0</v>
          </cell>
        </row>
        <row r="1551">
          <cell r="F1551">
            <v>0</v>
          </cell>
          <cell r="G1551">
            <v>0</v>
          </cell>
        </row>
        <row r="1552">
          <cell r="F1552">
            <v>0</v>
          </cell>
          <cell r="G1552">
            <v>0</v>
          </cell>
        </row>
        <row r="1553">
          <cell r="F1553">
            <v>0</v>
          </cell>
          <cell r="G1553">
            <v>0</v>
          </cell>
        </row>
        <row r="1554">
          <cell r="F1554">
            <v>0</v>
          </cell>
          <cell r="G1554">
            <v>0</v>
          </cell>
        </row>
        <row r="1555">
          <cell r="F1555">
            <v>0</v>
          </cell>
          <cell r="G1555">
            <v>0</v>
          </cell>
        </row>
        <row r="1556">
          <cell r="F1556">
            <v>0</v>
          </cell>
          <cell r="G1556">
            <v>0</v>
          </cell>
        </row>
        <row r="1557">
          <cell r="F1557">
            <v>0</v>
          </cell>
          <cell r="G1557">
            <v>0</v>
          </cell>
        </row>
        <row r="1558">
          <cell r="F1558">
            <v>0</v>
          </cell>
          <cell r="G1558">
            <v>0</v>
          </cell>
        </row>
        <row r="1559">
          <cell r="F1559">
            <v>0</v>
          </cell>
          <cell r="G1559">
            <v>0</v>
          </cell>
        </row>
        <row r="1560">
          <cell r="F1560">
            <v>0</v>
          </cell>
          <cell r="G1560">
            <v>0</v>
          </cell>
        </row>
        <row r="1561">
          <cell r="F1561">
            <v>0</v>
          </cell>
          <cell r="G1561">
            <v>0</v>
          </cell>
        </row>
        <row r="1562">
          <cell r="F1562">
            <v>0</v>
          </cell>
          <cell r="G1562">
            <v>0</v>
          </cell>
        </row>
        <row r="1563">
          <cell r="F1563">
            <v>0</v>
          </cell>
          <cell r="G1563">
            <v>0</v>
          </cell>
        </row>
        <row r="1564">
          <cell r="F1564">
            <v>0</v>
          </cell>
          <cell r="G1564">
            <v>0</v>
          </cell>
        </row>
        <row r="1565">
          <cell r="F1565">
            <v>0</v>
          </cell>
          <cell r="G1565">
            <v>0</v>
          </cell>
        </row>
        <row r="1566">
          <cell r="F1566">
            <v>0</v>
          </cell>
          <cell r="G1566">
            <v>0</v>
          </cell>
        </row>
        <row r="1567">
          <cell r="F1567">
            <v>0</v>
          </cell>
          <cell r="G1567">
            <v>0</v>
          </cell>
        </row>
        <row r="1568">
          <cell r="F1568">
            <v>0</v>
          </cell>
          <cell r="G1568">
            <v>0</v>
          </cell>
        </row>
        <row r="1569">
          <cell r="F1569">
            <v>0</v>
          </cell>
          <cell r="G1569">
            <v>0</v>
          </cell>
        </row>
        <row r="1570">
          <cell r="F1570">
            <v>0</v>
          </cell>
          <cell r="G1570">
            <v>0</v>
          </cell>
        </row>
        <row r="1571">
          <cell r="F1571">
            <v>0</v>
          </cell>
          <cell r="G1571">
            <v>0</v>
          </cell>
        </row>
        <row r="1572">
          <cell r="F1572">
            <v>0</v>
          </cell>
          <cell r="G1572">
            <v>0</v>
          </cell>
        </row>
        <row r="1573">
          <cell r="F1573">
            <v>0</v>
          </cell>
          <cell r="G1573">
            <v>0</v>
          </cell>
        </row>
        <row r="1574">
          <cell r="F1574">
            <v>0</v>
          </cell>
          <cell r="G1574">
            <v>0</v>
          </cell>
        </row>
        <row r="1575">
          <cell r="F1575">
            <v>0</v>
          </cell>
          <cell r="G1575">
            <v>0</v>
          </cell>
        </row>
        <row r="1576">
          <cell r="F1576">
            <v>0</v>
          </cell>
          <cell r="G1576">
            <v>0</v>
          </cell>
        </row>
        <row r="1577">
          <cell r="F1577">
            <v>0</v>
          </cell>
          <cell r="G1577">
            <v>0</v>
          </cell>
        </row>
        <row r="1578">
          <cell r="F1578">
            <v>0</v>
          </cell>
          <cell r="G1578">
            <v>0</v>
          </cell>
        </row>
        <row r="1579">
          <cell r="F1579">
            <v>0</v>
          </cell>
          <cell r="G1579">
            <v>0</v>
          </cell>
        </row>
        <row r="1580">
          <cell r="F1580">
            <v>0</v>
          </cell>
          <cell r="G1580">
            <v>0</v>
          </cell>
        </row>
        <row r="1581">
          <cell r="F1581">
            <v>0</v>
          </cell>
          <cell r="G1581">
            <v>0</v>
          </cell>
        </row>
        <row r="1582">
          <cell r="F1582">
            <v>0</v>
          </cell>
          <cell r="G1582">
            <v>0</v>
          </cell>
        </row>
        <row r="1583">
          <cell r="F1583">
            <v>0</v>
          </cell>
          <cell r="G1583">
            <v>0</v>
          </cell>
        </row>
        <row r="1584">
          <cell r="F1584">
            <v>0</v>
          </cell>
          <cell r="G1584">
            <v>0</v>
          </cell>
        </row>
        <row r="1585">
          <cell r="F1585">
            <v>0</v>
          </cell>
          <cell r="G1585">
            <v>0</v>
          </cell>
        </row>
        <row r="1586">
          <cell r="F1586">
            <v>0</v>
          </cell>
          <cell r="G1586">
            <v>0</v>
          </cell>
        </row>
        <row r="1587">
          <cell r="F1587">
            <v>0</v>
          </cell>
          <cell r="G1587">
            <v>0</v>
          </cell>
        </row>
        <row r="1588">
          <cell r="F1588">
            <v>0</v>
          </cell>
          <cell r="G1588">
            <v>0</v>
          </cell>
        </row>
        <row r="1589">
          <cell r="F1589">
            <v>0</v>
          </cell>
          <cell r="G1589">
            <v>0</v>
          </cell>
        </row>
        <row r="1590">
          <cell r="F1590">
            <v>0</v>
          </cell>
          <cell r="G1590">
            <v>0</v>
          </cell>
        </row>
        <row r="1591">
          <cell r="F1591">
            <v>0</v>
          </cell>
          <cell r="G1591">
            <v>0</v>
          </cell>
        </row>
        <row r="1592">
          <cell r="F1592">
            <v>0</v>
          </cell>
          <cell r="G1592">
            <v>0</v>
          </cell>
        </row>
        <row r="1593">
          <cell r="F1593">
            <v>0</v>
          </cell>
          <cell r="G1593">
            <v>0</v>
          </cell>
        </row>
        <row r="1594">
          <cell r="F1594">
            <v>0</v>
          </cell>
          <cell r="G1594">
            <v>0</v>
          </cell>
        </row>
        <row r="1595">
          <cell r="F1595">
            <v>0</v>
          </cell>
          <cell r="G1595">
            <v>0</v>
          </cell>
        </row>
        <row r="1596">
          <cell r="F1596">
            <v>0</v>
          </cell>
          <cell r="G1596">
            <v>0</v>
          </cell>
        </row>
        <row r="1597">
          <cell r="F1597">
            <v>0</v>
          </cell>
          <cell r="G1597">
            <v>0</v>
          </cell>
        </row>
        <row r="1598">
          <cell r="F1598">
            <v>0</v>
          </cell>
          <cell r="G1598">
            <v>0</v>
          </cell>
        </row>
        <row r="1599">
          <cell r="F1599">
            <v>0</v>
          </cell>
          <cell r="G1599">
            <v>0</v>
          </cell>
        </row>
        <row r="1600">
          <cell r="F1600">
            <v>0</v>
          </cell>
          <cell r="G1600">
            <v>0</v>
          </cell>
        </row>
        <row r="1601">
          <cell r="F1601">
            <v>0</v>
          </cell>
          <cell r="G1601">
            <v>0</v>
          </cell>
        </row>
        <row r="1602">
          <cell r="F1602">
            <v>0</v>
          </cell>
          <cell r="G1602">
            <v>0</v>
          </cell>
        </row>
        <row r="1603">
          <cell r="F1603">
            <v>0</v>
          </cell>
          <cell r="G1603">
            <v>0</v>
          </cell>
        </row>
        <row r="1604">
          <cell r="F1604">
            <v>0</v>
          </cell>
          <cell r="G1604">
            <v>0</v>
          </cell>
        </row>
        <row r="1605">
          <cell r="F1605">
            <v>0</v>
          </cell>
          <cell r="G1605">
            <v>0</v>
          </cell>
        </row>
        <row r="1606">
          <cell r="F1606">
            <v>0</v>
          </cell>
          <cell r="G1606">
            <v>0</v>
          </cell>
        </row>
        <row r="1607">
          <cell r="F1607">
            <v>0</v>
          </cell>
          <cell r="G1607">
            <v>0</v>
          </cell>
        </row>
        <row r="1608">
          <cell r="F1608">
            <v>0</v>
          </cell>
          <cell r="G1608">
            <v>0</v>
          </cell>
        </row>
        <row r="1609">
          <cell r="F1609">
            <v>0</v>
          </cell>
          <cell r="G1609">
            <v>0</v>
          </cell>
        </row>
        <row r="1610">
          <cell r="F1610">
            <v>0</v>
          </cell>
          <cell r="G1610">
            <v>0</v>
          </cell>
        </row>
        <row r="1611">
          <cell r="F1611">
            <v>0</v>
          </cell>
          <cell r="G1611">
            <v>0</v>
          </cell>
        </row>
        <row r="1612">
          <cell r="F1612">
            <v>0</v>
          </cell>
          <cell r="G1612">
            <v>0</v>
          </cell>
        </row>
        <row r="1613">
          <cell r="F1613">
            <v>0</v>
          </cell>
          <cell r="G1613">
            <v>0</v>
          </cell>
        </row>
        <row r="1614">
          <cell r="F1614">
            <v>0</v>
          </cell>
          <cell r="G1614">
            <v>0</v>
          </cell>
        </row>
        <row r="1615">
          <cell r="F1615">
            <v>0</v>
          </cell>
          <cell r="G1615">
            <v>0</v>
          </cell>
        </row>
        <row r="1616">
          <cell r="F1616">
            <v>0</v>
          </cell>
          <cell r="G1616">
            <v>0</v>
          </cell>
        </row>
        <row r="1617">
          <cell r="F1617">
            <v>0</v>
          </cell>
          <cell r="G1617">
            <v>0</v>
          </cell>
        </row>
        <row r="1618">
          <cell r="F1618">
            <v>0</v>
          </cell>
          <cell r="G1618">
            <v>0</v>
          </cell>
        </row>
        <row r="1619">
          <cell r="F1619">
            <v>0</v>
          </cell>
          <cell r="G1619">
            <v>0</v>
          </cell>
        </row>
        <row r="1620">
          <cell r="F1620">
            <v>0</v>
          </cell>
          <cell r="G1620">
            <v>0</v>
          </cell>
        </row>
        <row r="1621">
          <cell r="F1621">
            <v>0</v>
          </cell>
          <cell r="G1621">
            <v>0</v>
          </cell>
        </row>
        <row r="1622">
          <cell r="F1622">
            <v>0</v>
          </cell>
          <cell r="G1622">
            <v>0</v>
          </cell>
        </row>
        <row r="1623">
          <cell r="F1623">
            <v>0</v>
          </cell>
          <cell r="G1623">
            <v>0</v>
          </cell>
        </row>
        <row r="1624">
          <cell r="F1624">
            <v>0</v>
          </cell>
          <cell r="G1624">
            <v>0</v>
          </cell>
        </row>
        <row r="1625">
          <cell r="F1625">
            <v>0</v>
          </cell>
          <cell r="G1625">
            <v>0</v>
          </cell>
        </row>
        <row r="1626">
          <cell r="F1626">
            <v>0</v>
          </cell>
          <cell r="G1626">
            <v>0</v>
          </cell>
        </row>
        <row r="1627">
          <cell r="F1627">
            <v>0</v>
          </cell>
          <cell r="G1627">
            <v>0</v>
          </cell>
        </row>
        <row r="1628">
          <cell r="F1628">
            <v>0</v>
          </cell>
          <cell r="G1628">
            <v>0</v>
          </cell>
        </row>
        <row r="1629">
          <cell r="F1629">
            <v>0</v>
          </cell>
          <cell r="G1629">
            <v>0</v>
          </cell>
        </row>
        <row r="1630">
          <cell r="F1630">
            <v>0</v>
          </cell>
          <cell r="G1630">
            <v>0</v>
          </cell>
        </row>
        <row r="1631">
          <cell r="F1631">
            <v>0</v>
          </cell>
          <cell r="G1631">
            <v>0</v>
          </cell>
        </row>
        <row r="1632">
          <cell r="F1632">
            <v>0</v>
          </cell>
          <cell r="G1632">
            <v>0</v>
          </cell>
        </row>
        <row r="1633">
          <cell r="F1633">
            <v>0</v>
          </cell>
          <cell r="G1633">
            <v>0</v>
          </cell>
        </row>
        <row r="1634">
          <cell r="F1634">
            <v>0</v>
          </cell>
          <cell r="G1634">
            <v>0</v>
          </cell>
        </row>
        <row r="1635">
          <cell r="F1635">
            <v>0</v>
          </cell>
          <cell r="G1635">
            <v>0</v>
          </cell>
        </row>
        <row r="1636">
          <cell r="F1636">
            <v>0</v>
          </cell>
          <cell r="G1636">
            <v>0</v>
          </cell>
        </row>
        <row r="1637">
          <cell r="F1637">
            <v>0</v>
          </cell>
          <cell r="G1637">
            <v>0</v>
          </cell>
        </row>
        <row r="1638">
          <cell r="F1638">
            <v>0</v>
          </cell>
          <cell r="G1638">
            <v>0</v>
          </cell>
        </row>
        <row r="1639">
          <cell r="F1639">
            <v>0</v>
          </cell>
          <cell r="G1639">
            <v>0</v>
          </cell>
        </row>
        <row r="1640">
          <cell r="F1640">
            <v>0</v>
          </cell>
          <cell r="G1640">
            <v>0</v>
          </cell>
        </row>
        <row r="1641">
          <cell r="F1641">
            <v>0</v>
          </cell>
          <cell r="G1641">
            <v>0</v>
          </cell>
        </row>
        <row r="1642">
          <cell r="F1642">
            <v>0</v>
          </cell>
          <cell r="G1642">
            <v>0</v>
          </cell>
        </row>
        <row r="1643">
          <cell r="F1643">
            <v>0</v>
          </cell>
          <cell r="G1643">
            <v>0</v>
          </cell>
        </row>
        <row r="1644">
          <cell r="F1644">
            <v>0</v>
          </cell>
          <cell r="G1644">
            <v>0</v>
          </cell>
        </row>
        <row r="1645">
          <cell r="F1645">
            <v>0</v>
          </cell>
          <cell r="G1645">
            <v>0</v>
          </cell>
        </row>
        <row r="1646">
          <cell r="F1646">
            <v>0</v>
          </cell>
          <cell r="G1646">
            <v>0</v>
          </cell>
        </row>
        <row r="1647">
          <cell r="F1647">
            <v>0</v>
          </cell>
          <cell r="G1647">
            <v>0</v>
          </cell>
        </row>
        <row r="1648">
          <cell r="F1648">
            <v>0</v>
          </cell>
          <cell r="G1648">
            <v>0</v>
          </cell>
        </row>
        <row r="1649">
          <cell r="F1649">
            <v>0</v>
          </cell>
          <cell r="G1649">
            <v>0</v>
          </cell>
        </row>
        <row r="1650">
          <cell r="F1650">
            <v>0</v>
          </cell>
          <cell r="G1650">
            <v>0</v>
          </cell>
        </row>
        <row r="1651">
          <cell r="F1651">
            <v>0</v>
          </cell>
          <cell r="G1651">
            <v>0</v>
          </cell>
        </row>
        <row r="1652">
          <cell r="F1652">
            <v>0</v>
          </cell>
          <cell r="G1652">
            <v>0</v>
          </cell>
        </row>
        <row r="1653">
          <cell r="F1653">
            <v>0</v>
          </cell>
          <cell r="G1653">
            <v>0</v>
          </cell>
        </row>
        <row r="1654">
          <cell r="F1654">
            <v>0</v>
          </cell>
          <cell r="G1654">
            <v>0</v>
          </cell>
        </row>
        <row r="1655">
          <cell r="F1655">
            <v>0</v>
          </cell>
          <cell r="G1655">
            <v>0</v>
          </cell>
        </row>
        <row r="1656">
          <cell r="F1656">
            <v>0</v>
          </cell>
          <cell r="G1656">
            <v>0</v>
          </cell>
        </row>
        <row r="1657">
          <cell r="F1657">
            <v>0</v>
          </cell>
          <cell r="G1657">
            <v>0</v>
          </cell>
        </row>
        <row r="1658">
          <cell r="F1658">
            <v>0</v>
          </cell>
          <cell r="G1658">
            <v>0</v>
          </cell>
        </row>
        <row r="1659">
          <cell r="F1659">
            <v>0</v>
          </cell>
          <cell r="G1659">
            <v>0</v>
          </cell>
        </row>
        <row r="1660">
          <cell r="F1660">
            <v>0</v>
          </cell>
          <cell r="G1660">
            <v>0</v>
          </cell>
        </row>
        <row r="1661">
          <cell r="F1661">
            <v>0</v>
          </cell>
          <cell r="G1661">
            <v>0</v>
          </cell>
        </row>
        <row r="1662">
          <cell r="F1662">
            <v>0</v>
          </cell>
          <cell r="G1662">
            <v>0</v>
          </cell>
        </row>
        <row r="1663">
          <cell r="F1663">
            <v>0</v>
          </cell>
          <cell r="G1663">
            <v>0</v>
          </cell>
        </row>
        <row r="1664">
          <cell r="F1664">
            <v>0</v>
          </cell>
          <cell r="G1664">
            <v>0</v>
          </cell>
        </row>
        <row r="1665">
          <cell r="F1665">
            <v>0</v>
          </cell>
          <cell r="G1665">
            <v>0</v>
          </cell>
        </row>
        <row r="1666">
          <cell r="F1666">
            <v>0</v>
          </cell>
          <cell r="G1666">
            <v>0</v>
          </cell>
        </row>
        <row r="1667">
          <cell r="F1667">
            <v>0</v>
          </cell>
          <cell r="G1667">
            <v>0</v>
          </cell>
        </row>
        <row r="1668">
          <cell r="F1668">
            <v>0</v>
          </cell>
          <cell r="G1668">
            <v>0</v>
          </cell>
        </row>
        <row r="1669">
          <cell r="F1669">
            <v>0</v>
          </cell>
          <cell r="G1669">
            <v>0</v>
          </cell>
        </row>
        <row r="1670">
          <cell r="F1670">
            <v>0</v>
          </cell>
          <cell r="G1670">
            <v>0</v>
          </cell>
        </row>
        <row r="1671">
          <cell r="F1671">
            <v>0</v>
          </cell>
          <cell r="G1671">
            <v>0</v>
          </cell>
        </row>
        <row r="1672">
          <cell r="F1672">
            <v>0</v>
          </cell>
          <cell r="G1672">
            <v>0</v>
          </cell>
        </row>
        <row r="1673">
          <cell r="F1673">
            <v>0</v>
          </cell>
          <cell r="G1673">
            <v>0</v>
          </cell>
        </row>
        <row r="1674">
          <cell r="F1674">
            <v>0</v>
          </cell>
          <cell r="G1674">
            <v>0</v>
          </cell>
        </row>
        <row r="1675">
          <cell r="F1675">
            <v>0</v>
          </cell>
          <cell r="G1675">
            <v>0</v>
          </cell>
        </row>
        <row r="1676">
          <cell r="F1676">
            <v>0</v>
          </cell>
          <cell r="G1676">
            <v>0</v>
          </cell>
        </row>
        <row r="1677">
          <cell r="F1677">
            <v>0</v>
          </cell>
          <cell r="G1677">
            <v>0</v>
          </cell>
        </row>
        <row r="1678">
          <cell r="F1678">
            <v>0</v>
          </cell>
          <cell r="G1678">
            <v>0</v>
          </cell>
        </row>
        <row r="1679">
          <cell r="F1679">
            <v>0</v>
          </cell>
          <cell r="G1679">
            <v>0</v>
          </cell>
        </row>
        <row r="1680">
          <cell r="F1680">
            <v>0</v>
          </cell>
          <cell r="G1680">
            <v>0</v>
          </cell>
        </row>
        <row r="1681">
          <cell r="F1681">
            <v>0</v>
          </cell>
          <cell r="G1681">
            <v>0</v>
          </cell>
        </row>
        <row r="1682">
          <cell r="F1682">
            <v>0</v>
          </cell>
          <cell r="G1682">
            <v>0</v>
          </cell>
        </row>
        <row r="1683">
          <cell r="F1683">
            <v>0</v>
          </cell>
          <cell r="G1683">
            <v>0</v>
          </cell>
        </row>
        <row r="1684">
          <cell r="F1684">
            <v>0</v>
          </cell>
          <cell r="G1684">
            <v>0</v>
          </cell>
        </row>
        <row r="1685">
          <cell r="F1685">
            <v>0</v>
          </cell>
          <cell r="G1685">
            <v>0</v>
          </cell>
        </row>
        <row r="1686">
          <cell r="F1686">
            <v>0</v>
          </cell>
          <cell r="G1686">
            <v>0</v>
          </cell>
        </row>
        <row r="1687">
          <cell r="F1687">
            <v>0</v>
          </cell>
          <cell r="G1687">
            <v>0</v>
          </cell>
        </row>
        <row r="1688">
          <cell r="F1688">
            <v>0</v>
          </cell>
          <cell r="G1688">
            <v>0</v>
          </cell>
        </row>
        <row r="1689">
          <cell r="F1689">
            <v>0</v>
          </cell>
          <cell r="G1689">
            <v>0</v>
          </cell>
        </row>
        <row r="1690">
          <cell r="F1690">
            <v>0</v>
          </cell>
          <cell r="G1690">
            <v>0</v>
          </cell>
        </row>
        <row r="1691">
          <cell r="F1691">
            <v>0</v>
          </cell>
          <cell r="G1691">
            <v>0</v>
          </cell>
        </row>
        <row r="1692">
          <cell r="F1692">
            <v>0</v>
          </cell>
          <cell r="G1692">
            <v>0</v>
          </cell>
        </row>
        <row r="1693">
          <cell r="F1693">
            <v>0</v>
          </cell>
          <cell r="G1693">
            <v>0</v>
          </cell>
        </row>
        <row r="1694">
          <cell r="F1694">
            <v>0</v>
          </cell>
          <cell r="G1694">
            <v>0</v>
          </cell>
        </row>
        <row r="1695">
          <cell r="F1695">
            <v>0</v>
          </cell>
          <cell r="G1695">
            <v>0</v>
          </cell>
        </row>
        <row r="1696">
          <cell r="F1696">
            <v>0</v>
          </cell>
          <cell r="G1696">
            <v>0</v>
          </cell>
        </row>
        <row r="1697">
          <cell r="F1697">
            <v>0</v>
          </cell>
          <cell r="G1697">
            <v>0</v>
          </cell>
        </row>
        <row r="1698">
          <cell r="F1698">
            <v>0</v>
          </cell>
          <cell r="G1698">
            <v>0</v>
          </cell>
        </row>
        <row r="1699">
          <cell r="F1699">
            <v>0</v>
          </cell>
          <cell r="G1699">
            <v>0</v>
          </cell>
        </row>
        <row r="1700">
          <cell r="F1700">
            <v>0</v>
          </cell>
          <cell r="G1700">
            <v>0</v>
          </cell>
        </row>
        <row r="1701">
          <cell r="F1701">
            <v>0</v>
          </cell>
          <cell r="G1701">
            <v>0</v>
          </cell>
        </row>
        <row r="1702">
          <cell r="F1702">
            <v>0</v>
          </cell>
          <cell r="G1702">
            <v>0</v>
          </cell>
        </row>
        <row r="1703">
          <cell r="F1703">
            <v>0</v>
          </cell>
          <cell r="G1703">
            <v>0</v>
          </cell>
        </row>
        <row r="1704">
          <cell r="F1704">
            <v>0</v>
          </cell>
          <cell r="G1704">
            <v>0</v>
          </cell>
        </row>
        <row r="1705">
          <cell r="F1705">
            <v>0</v>
          </cell>
          <cell r="G1705">
            <v>0</v>
          </cell>
        </row>
        <row r="1706">
          <cell r="F1706">
            <v>0</v>
          </cell>
          <cell r="G1706">
            <v>0</v>
          </cell>
        </row>
        <row r="1707">
          <cell r="F1707">
            <v>0</v>
          </cell>
          <cell r="G1707">
            <v>0</v>
          </cell>
        </row>
        <row r="1708">
          <cell r="F1708">
            <v>0</v>
          </cell>
          <cell r="G1708">
            <v>0</v>
          </cell>
        </row>
        <row r="1709">
          <cell r="F1709">
            <v>0</v>
          </cell>
          <cell r="G1709">
            <v>0</v>
          </cell>
        </row>
        <row r="1710">
          <cell r="F1710">
            <v>0</v>
          </cell>
          <cell r="G1710">
            <v>0</v>
          </cell>
        </row>
        <row r="1711">
          <cell r="F1711">
            <v>0</v>
          </cell>
          <cell r="G1711">
            <v>0</v>
          </cell>
        </row>
        <row r="1712">
          <cell r="F1712">
            <v>0</v>
          </cell>
          <cell r="G1712">
            <v>0</v>
          </cell>
        </row>
        <row r="1713">
          <cell r="F1713">
            <v>0</v>
          </cell>
          <cell r="G1713">
            <v>0</v>
          </cell>
        </row>
        <row r="1714">
          <cell r="F1714">
            <v>0</v>
          </cell>
          <cell r="G1714">
            <v>0</v>
          </cell>
        </row>
        <row r="1715">
          <cell r="F1715">
            <v>0</v>
          </cell>
          <cell r="G1715">
            <v>0</v>
          </cell>
        </row>
        <row r="1716">
          <cell r="F1716">
            <v>0</v>
          </cell>
          <cell r="G1716">
            <v>0</v>
          </cell>
        </row>
        <row r="1717">
          <cell r="F1717">
            <v>0</v>
          </cell>
          <cell r="G1717">
            <v>0</v>
          </cell>
        </row>
        <row r="1718">
          <cell r="F1718">
            <v>0</v>
          </cell>
          <cell r="G1718">
            <v>0</v>
          </cell>
        </row>
        <row r="1719">
          <cell r="F1719">
            <v>0</v>
          </cell>
          <cell r="G1719">
            <v>0</v>
          </cell>
        </row>
        <row r="1720">
          <cell r="F1720">
            <v>0</v>
          </cell>
          <cell r="G1720">
            <v>0</v>
          </cell>
        </row>
        <row r="1721">
          <cell r="F1721">
            <v>0</v>
          </cell>
          <cell r="G1721">
            <v>0</v>
          </cell>
        </row>
        <row r="1722">
          <cell r="F1722">
            <v>0</v>
          </cell>
          <cell r="G1722">
            <v>0</v>
          </cell>
        </row>
        <row r="1723">
          <cell r="F1723">
            <v>0</v>
          </cell>
          <cell r="G1723">
            <v>0</v>
          </cell>
        </row>
        <row r="1724">
          <cell r="F1724">
            <v>0</v>
          </cell>
          <cell r="G1724">
            <v>0</v>
          </cell>
        </row>
        <row r="1725">
          <cell r="F1725">
            <v>0</v>
          </cell>
          <cell r="G1725">
            <v>0</v>
          </cell>
        </row>
        <row r="1726">
          <cell r="F1726">
            <v>0</v>
          </cell>
          <cell r="G1726">
            <v>0</v>
          </cell>
        </row>
        <row r="1727">
          <cell r="F1727">
            <v>0</v>
          </cell>
          <cell r="G1727">
            <v>0</v>
          </cell>
        </row>
        <row r="1728">
          <cell r="F1728">
            <v>0</v>
          </cell>
          <cell r="G1728">
            <v>0</v>
          </cell>
        </row>
        <row r="1729">
          <cell r="F1729">
            <v>0</v>
          </cell>
          <cell r="G1729">
            <v>0</v>
          </cell>
        </row>
        <row r="1730">
          <cell r="F1730">
            <v>0</v>
          </cell>
          <cell r="G1730">
            <v>0</v>
          </cell>
        </row>
        <row r="1731">
          <cell r="F1731">
            <v>0</v>
          </cell>
          <cell r="G1731">
            <v>0</v>
          </cell>
        </row>
        <row r="1732">
          <cell r="F1732">
            <v>0</v>
          </cell>
          <cell r="G1732">
            <v>0</v>
          </cell>
        </row>
        <row r="1733">
          <cell r="F1733">
            <v>0</v>
          </cell>
          <cell r="G1733">
            <v>0</v>
          </cell>
        </row>
        <row r="1734">
          <cell r="F1734">
            <v>0</v>
          </cell>
          <cell r="G1734">
            <v>0</v>
          </cell>
        </row>
        <row r="1735">
          <cell r="F1735">
            <v>0</v>
          </cell>
          <cell r="G1735">
            <v>0</v>
          </cell>
        </row>
        <row r="1736">
          <cell r="F1736">
            <v>0</v>
          </cell>
          <cell r="G1736">
            <v>0</v>
          </cell>
        </row>
        <row r="1737">
          <cell r="F1737">
            <v>0</v>
          </cell>
          <cell r="G1737">
            <v>0</v>
          </cell>
        </row>
        <row r="1738">
          <cell r="F1738">
            <v>0</v>
          </cell>
          <cell r="G1738">
            <v>0</v>
          </cell>
        </row>
        <row r="1739">
          <cell r="F1739">
            <v>0</v>
          </cell>
          <cell r="G1739">
            <v>0</v>
          </cell>
        </row>
        <row r="1740">
          <cell r="F1740">
            <v>0</v>
          </cell>
          <cell r="G1740">
            <v>0</v>
          </cell>
        </row>
        <row r="1741">
          <cell r="F1741">
            <v>0</v>
          </cell>
          <cell r="G1741">
            <v>0</v>
          </cell>
        </row>
        <row r="1742">
          <cell r="F1742">
            <v>0</v>
          </cell>
          <cell r="G1742">
            <v>0</v>
          </cell>
        </row>
        <row r="1743">
          <cell r="F1743">
            <v>0</v>
          </cell>
          <cell r="G1743">
            <v>0</v>
          </cell>
        </row>
        <row r="1744">
          <cell r="F1744">
            <v>0</v>
          </cell>
          <cell r="G1744">
            <v>0</v>
          </cell>
        </row>
        <row r="1745">
          <cell r="F1745">
            <v>0</v>
          </cell>
          <cell r="G1745">
            <v>0</v>
          </cell>
        </row>
        <row r="1746">
          <cell r="F1746">
            <v>0</v>
          </cell>
          <cell r="G1746">
            <v>0</v>
          </cell>
        </row>
        <row r="1747">
          <cell r="F1747">
            <v>0</v>
          </cell>
          <cell r="G1747">
            <v>0</v>
          </cell>
        </row>
        <row r="1748">
          <cell r="F1748">
            <v>0</v>
          </cell>
          <cell r="G1748">
            <v>0</v>
          </cell>
        </row>
        <row r="1749">
          <cell r="F1749">
            <v>0</v>
          </cell>
          <cell r="G1749">
            <v>0</v>
          </cell>
        </row>
        <row r="1750">
          <cell r="F1750">
            <v>0</v>
          </cell>
          <cell r="G1750">
            <v>0</v>
          </cell>
        </row>
        <row r="1751">
          <cell r="F1751">
            <v>0</v>
          </cell>
          <cell r="G1751">
            <v>0</v>
          </cell>
        </row>
        <row r="1752">
          <cell r="F1752">
            <v>0</v>
          </cell>
          <cell r="G1752">
            <v>0</v>
          </cell>
        </row>
        <row r="1753">
          <cell r="F1753">
            <v>0</v>
          </cell>
          <cell r="G1753">
            <v>0</v>
          </cell>
        </row>
        <row r="1754">
          <cell r="F1754">
            <v>0</v>
          </cell>
          <cell r="G1754">
            <v>0</v>
          </cell>
        </row>
        <row r="1755">
          <cell r="F1755">
            <v>0</v>
          </cell>
          <cell r="G1755">
            <v>0</v>
          </cell>
        </row>
        <row r="1756">
          <cell r="F1756">
            <v>0</v>
          </cell>
          <cell r="G1756">
            <v>0</v>
          </cell>
        </row>
        <row r="1757">
          <cell r="F1757">
            <v>0</v>
          </cell>
          <cell r="G1757">
            <v>0</v>
          </cell>
        </row>
        <row r="1758">
          <cell r="F1758">
            <v>0</v>
          </cell>
          <cell r="G1758">
            <v>0</v>
          </cell>
        </row>
        <row r="1759">
          <cell r="F1759">
            <v>0</v>
          </cell>
          <cell r="G1759">
            <v>0</v>
          </cell>
        </row>
        <row r="1760">
          <cell r="F1760">
            <v>0</v>
          </cell>
          <cell r="G1760">
            <v>0</v>
          </cell>
        </row>
        <row r="1761">
          <cell r="F1761">
            <v>0</v>
          </cell>
          <cell r="G1761">
            <v>0</v>
          </cell>
        </row>
        <row r="1762">
          <cell r="F1762">
            <v>0</v>
          </cell>
          <cell r="G1762">
            <v>0</v>
          </cell>
        </row>
        <row r="1763">
          <cell r="F1763">
            <v>0</v>
          </cell>
          <cell r="G1763">
            <v>0</v>
          </cell>
        </row>
        <row r="1764">
          <cell r="F1764">
            <v>0</v>
          </cell>
          <cell r="G1764">
            <v>0</v>
          </cell>
        </row>
        <row r="1765">
          <cell r="F1765">
            <v>0</v>
          </cell>
          <cell r="G1765">
            <v>0</v>
          </cell>
        </row>
        <row r="1766">
          <cell r="F1766">
            <v>0</v>
          </cell>
          <cell r="G1766">
            <v>0</v>
          </cell>
        </row>
        <row r="1767">
          <cell r="F1767">
            <v>0</v>
          </cell>
          <cell r="G1767">
            <v>0</v>
          </cell>
        </row>
        <row r="1768">
          <cell r="F1768">
            <v>0</v>
          </cell>
          <cell r="G1768">
            <v>0</v>
          </cell>
        </row>
        <row r="1769">
          <cell r="F1769">
            <v>0</v>
          </cell>
          <cell r="G1769">
            <v>0</v>
          </cell>
        </row>
        <row r="1770">
          <cell r="F1770">
            <v>0</v>
          </cell>
          <cell r="G1770">
            <v>0</v>
          </cell>
        </row>
        <row r="1771">
          <cell r="F1771">
            <v>0</v>
          </cell>
          <cell r="G1771">
            <v>0</v>
          </cell>
        </row>
        <row r="1772">
          <cell r="F1772">
            <v>0</v>
          </cell>
          <cell r="G1772">
            <v>0</v>
          </cell>
        </row>
        <row r="1773">
          <cell r="F1773">
            <v>0</v>
          </cell>
          <cell r="G1773">
            <v>0</v>
          </cell>
        </row>
        <row r="1774">
          <cell r="F1774">
            <v>0</v>
          </cell>
          <cell r="G1774">
            <v>0</v>
          </cell>
        </row>
        <row r="1775">
          <cell r="F1775">
            <v>0</v>
          </cell>
          <cell r="G1775">
            <v>0</v>
          </cell>
        </row>
        <row r="1776">
          <cell r="F1776">
            <v>0</v>
          </cell>
          <cell r="G1776">
            <v>0</v>
          </cell>
        </row>
        <row r="1777">
          <cell r="F1777">
            <v>0</v>
          </cell>
          <cell r="G1777">
            <v>0</v>
          </cell>
        </row>
        <row r="1778">
          <cell r="F1778">
            <v>0</v>
          </cell>
          <cell r="G1778">
            <v>0</v>
          </cell>
        </row>
        <row r="1779">
          <cell r="F1779">
            <v>0</v>
          </cell>
          <cell r="G1779">
            <v>0</v>
          </cell>
        </row>
        <row r="1780">
          <cell r="F1780">
            <v>0</v>
          </cell>
          <cell r="G1780">
            <v>0</v>
          </cell>
        </row>
        <row r="1781">
          <cell r="F1781">
            <v>0</v>
          </cell>
          <cell r="G1781">
            <v>0</v>
          </cell>
        </row>
        <row r="1782">
          <cell r="F1782">
            <v>0</v>
          </cell>
          <cell r="G1782">
            <v>0</v>
          </cell>
        </row>
        <row r="1783">
          <cell r="F1783">
            <v>0</v>
          </cell>
          <cell r="G1783">
            <v>0</v>
          </cell>
        </row>
        <row r="1784">
          <cell r="F1784">
            <v>0</v>
          </cell>
          <cell r="G1784">
            <v>0</v>
          </cell>
        </row>
        <row r="1785">
          <cell r="F1785">
            <v>0</v>
          </cell>
          <cell r="G1785">
            <v>0</v>
          </cell>
        </row>
        <row r="1786">
          <cell r="F1786">
            <v>0</v>
          </cell>
          <cell r="G1786">
            <v>0</v>
          </cell>
        </row>
        <row r="1787">
          <cell r="F1787">
            <v>0</v>
          </cell>
          <cell r="G1787">
            <v>0</v>
          </cell>
        </row>
        <row r="1788">
          <cell r="F1788">
            <v>0</v>
          </cell>
          <cell r="G1788">
            <v>0</v>
          </cell>
        </row>
        <row r="1789">
          <cell r="F1789">
            <v>0</v>
          </cell>
          <cell r="G1789">
            <v>0</v>
          </cell>
        </row>
        <row r="1790">
          <cell r="F1790">
            <v>0</v>
          </cell>
          <cell r="G1790">
            <v>0</v>
          </cell>
        </row>
        <row r="1791">
          <cell r="F1791">
            <v>0</v>
          </cell>
          <cell r="G1791">
            <v>0</v>
          </cell>
        </row>
        <row r="1792">
          <cell r="F1792">
            <v>0</v>
          </cell>
          <cell r="G1792">
            <v>0</v>
          </cell>
        </row>
        <row r="1793">
          <cell r="F1793">
            <v>0</v>
          </cell>
          <cell r="G1793">
            <v>0</v>
          </cell>
        </row>
        <row r="1794">
          <cell r="F1794">
            <v>0</v>
          </cell>
          <cell r="G1794">
            <v>0</v>
          </cell>
        </row>
        <row r="1795">
          <cell r="F1795">
            <v>0</v>
          </cell>
          <cell r="G1795">
            <v>0</v>
          </cell>
        </row>
        <row r="1796">
          <cell r="F1796">
            <v>0</v>
          </cell>
          <cell r="G1796">
            <v>0</v>
          </cell>
        </row>
        <row r="1797">
          <cell r="F1797">
            <v>0</v>
          </cell>
          <cell r="G1797">
            <v>0</v>
          </cell>
        </row>
        <row r="1798">
          <cell r="F1798">
            <v>0</v>
          </cell>
          <cell r="G1798">
            <v>0</v>
          </cell>
        </row>
        <row r="1799">
          <cell r="F1799">
            <v>0</v>
          </cell>
          <cell r="G1799">
            <v>0</v>
          </cell>
        </row>
        <row r="1800">
          <cell r="F1800">
            <v>0</v>
          </cell>
          <cell r="G1800">
            <v>0</v>
          </cell>
        </row>
        <row r="1801">
          <cell r="F1801">
            <v>0</v>
          </cell>
          <cell r="G1801">
            <v>0</v>
          </cell>
        </row>
        <row r="1802">
          <cell r="F1802">
            <v>0</v>
          </cell>
          <cell r="G1802">
            <v>0</v>
          </cell>
        </row>
        <row r="1803">
          <cell r="F1803">
            <v>0</v>
          </cell>
          <cell r="G1803">
            <v>0</v>
          </cell>
        </row>
        <row r="1804">
          <cell r="F1804">
            <v>0</v>
          </cell>
          <cell r="G1804">
            <v>0</v>
          </cell>
        </row>
        <row r="1805">
          <cell r="F1805">
            <v>0</v>
          </cell>
          <cell r="G1805">
            <v>0</v>
          </cell>
        </row>
        <row r="1806">
          <cell r="F1806">
            <v>0</v>
          </cell>
          <cell r="G1806">
            <v>0</v>
          </cell>
        </row>
        <row r="1807">
          <cell r="F1807">
            <v>0</v>
          </cell>
          <cell r="G1807">
            <v>0</v>
          </cell>
        </row>
        <row r="1808">
          <cell r="F1808">
            <v>0</v>
          </cell>
          <cell r="G1808">
            <v>0</v>
          </cell>
        </row>
        <row r="1809">
          <cell r="F1809">
            <v>0</v>
          </cell>
          <cell r="G1809">
            <v>0</v>
          </cell>
        </row>
        <row r="1810">
          <cell r="F1810">
            <v>0</v>
          </cell>
          <cell r="G1810">
            <v>0</v>
          </cell>
        </row>
        <row r="1811">
          <cell r="F1811">
            <v>0</v>
          </cell>
          <cell r="G1811">
            <v>0</v>
          </cell>
        </row>
        <row r="1812">
          <cell r="F1812">
            <v>0</v>
          </cell>
          <cell r="G1812">
            <v>0</v>
          </cell>
        </row>
        <row r="1813">
          <cell r="F1813">
            <v>0</v>
          </cell>
          <cell r="G1813">
            <v>0</v>
          </cell>
        </row>
        <row r="1814">
          <cell r="F1814">
            <v>0</v>
          </cell>
          <cell r="G1814">
            <v>0</v>
          </cell>
        </row>
        <row r="1815">
          <cell r="F1815">
            <v>0</v>
          </cell>
          <cell r="G1815">
            <v>0</v>
          </cell>
        </row>
        <row r="1816">
          <cell r="F1816">
            <v>0</v>
          </cell>
          <cell r="G1816">
            <v>0</v>
          </cell>
        </row>
        <row r="1817">
          <cell r="F1817">
            <v>0</v>
          </cell>
          <cell r="G1817">
            <v>0</v>
          </cell>
        </row>
        <row r="1818">
          <cell r="F1818">
            <v>0</v>
          </cell>
          <cell r="G1818">
            <v>0</v>
          </cell>
        </row>
        <row r="1819">
          <cell r="F1819">
            <v>0</v>
          </cell>
          <cell r="G1819">
            <v>0</v>
          </cell>
        </row>
        <row r="1820">
          <cell r="F1820">
            <v>0</v>
          </cell>
          <cell r="G1820">
            <v>0</v>
          </cell>
        </row>
        <row r="1821">
          <cell r="F1821">
            <v>0</v>
          </cell>
          <cell r="G1821">
            <v>0</v>
          </cell>
        </row>
        <row r="1822">
          <cell r="F1822">
            <v>0</v>
          </cell>
          <cell r="G1822">
            <v>0</v>
          </cell>
        </row>
        <row r="1823">
          <cell r="F1823">
            <v>0</v>
          </cell>
          <cell r="G1823">
            <v>0</v>
          </cell>
        </row>
        <row r="1824">
          <cell r="F1824">
            <v>0</v>
          </cell>
          <cell r="G1824">
            <v>0</v>
          </cell>
        </row>
        <row r="1825">
          <cell r="F1825">
            <v>0</v>
          </cell>
          <cell r="G1825">
            <v>0</v>
          </cell>
        </row>
        <row r="1826">
          <cell r="F1826">
            <v>0</v>
          </cell>
          <cell r="G1826">
            <v>0</v>
          </cell>
        </row>
        <row r="1827">
          <cell r="F1827">
            <v>0</v>
          </cell>
          <cell r="G1827">
            <v>0</v>
          </cell>
        </row>
        <row r="1828">
          <cell r="F1828">
            <v>0</v>
          </cell>
          <cell r="G1828">
            <v>0</v>
          </cell>
        </row>
        <row r="1829">
          <cell r="F1829">
            <v>0</v>
          </cell>
          <cell r="G1829">
            <v>0</v>
          </cell>
        </row>
        <row r="1830">
          <cell r="F1830">
            <v>0</v>
          </cell>
          <cell r="G1830">
            <v>0</v>
          </cell>
        </row>
        <row r="1831">
          <cell r="F1831">
            <v>0</v>
          </cell>
          <cell r="G1831">
            <v>0</v>
          </cell>
        </row>
        <row r="1832">
          <cell r="F1832">
            <v>0</v>
          </cell>
          <cell r="G1832">
            <v>0</v>
          </cell>
        </row>
        <row r="1833">
          <cell r="F1833">
            <v>0</v>
          </cell>
          <cell r="G1833">
            <v>0</v>
          </cell>
        </row>
        <row r="1834">
          <cell r="F1834">
            <v>0</v>
          </cell>
          <cell r="G1834">
            <v>0</v>
          </cell>
        </row>
        <row r="1835">
          <cell r="F1835">
            <v>0</v>
          </cell>
          <cell r="G1835">
            <v>0</v>
          </cell>
        </row>
        <row r="1836">
          <cell r="F1836">
            <v>0</v>
          </cell>
          <cell r="G1836">
            <v>0</v>
          </cell>
        </row>
        <row r="1837">
          <cell r="F1837">
            <v>0</v>
          </cell>
          <cell r="G1837">
            <v>0</v>
          </cell>
        </row>
        <row r="1838">
          <cell r="F1838">
            <v>0</v>
          </cell>
          <cell r="G1838">
            <v>0</v>
          </cell>
        </row>
        <row r="1839">
          <cell r="F1839">
            <v>0</v>
          </cell>
          <cell r="G1839">
            <v>0</v>
          </cell>
        </row>
        <row r="1840">
          <cell r="F1840">
            <v>0</v>
          </cell>
          <cell r="G1840">
            <v>0</v>
          </cell>
        </row>
        <row r="1841">
          <cell r="F1841">
            <v>0</v>
          </cell>
          <cell r="G1841">
            <v>0</v>
          </cell>
        </row>
        <row r="1842">
          <cell r="F1842">
            <v>0</v>
          </cell>
          <cell r="G1842">
            <v>0</v>
          </cell>
        </row>
        <row r="1843">
          <cell r="F1843">
            <v>0</v>
          </cell>
          <cell r="G1843">
            <v>0</v>
          </cell>
        </row>
        <row r="1844">
          <cell r="F1844">
            <v>0</v>
          </cell>
          <cell r="G1844">
            <v>0</v>
          </cell>
        </row>
        <row r="1845">
          <cell r="F1845">
            <v>0</v>
          </cell>
          <cell r="G1845">
            <v>0</v>
          </cell>
        </row>
        <row r="1846">
          <cell r="F1846">
            <v>0</v>
          </cell>
          <cell r="G1846">
            <v>0</v>
          </cell>
        </row>
        <row r="1847">
          <cell r="F1847">
            <v>0</v>
          </cell>
          <cell r="G1847">
            <v>0</v>
          </cell>
        </row>
        <row r="1848">
          <cell r="F1848">
            <v>0</v>
          </cell>
          <cell r="G1848">
            <v>0</v>
          </cell>
        </row>
        <row r="1849">
          <cell r="F1849">
            <v>0</v>
          </cell>
          <cell r="G1849">
            <v>0</v>
          </cell>
        </row>
        <row r="1850">
          <cell r="F1850">
            <v>0</v>
          </cell>
          <cell r="G1850">
            <v>0</v>
          </cell>
        </row>
        <row r="1851">
          <cell r="F1851">
            <v>0</v>
          </cell>
          <cell r="G1851">
            <v>0</v>
          </cell>
        </row>
        <row r="1852">
          <cell r="F1852">
            <v>0</v>
          </cell>
          <cell r="G1852">
            <v>0</v>
          </cell>
        </row>
        <row r="1853">
          <cell r="F1853">
            <v>0</v>
          </cell>
          <cell r="G1853">
            <v>0</v>
          </cell>
        </row>
        <row r="1854">
          <cell r="F1854">
            <v>0</v>
          </cell>
          <cell r="G1854">
            <v>0</v>
          </cell>
        </row>
        <row r="1855">
          <cell r="F1855">
            <v>0</v>
          </cell>
          <cell r="G1855">
            <v>0</v>
          </cell>
        </row>
        <row r="1856">
          <cell r="F1856">
            <v>0</v>
          </cell>
          <cell r="G1856">
            <v>0</v>
          </cell>
        </row>
        <row r="1857">
          <cell r="F1857">
            <v>0</v>
          </cell>
          <cell r="G1857">
            <v>0</v>
          </cell>
        </row>
        <row r="1858">
          <cell r="F1858">
            <v>0</v>
          </cell>
          <cell r="G1858">
            <v>0</v>
          </cell>
        </row>
        <row r="1859">
          <cell r="F1859">
            <v>0</v>
          </cell>
          <cell r="G1859">
            <v>0</v>
          </cell>
        </row>
        <row r="1860">
          <cell r="F1860">
            <v>0</v>
          </cell>
          <cell r="G1860">
            <v>0</v>
          </cell>
        </row>
        <row r="1861">
          <cell r="F1861">
            <v>0</v>
          </cell>
          <cell r="G1861">
            <v>0</v>
          </cell>
        </row>
        <row r="1862">
          <cell r="F1862">
            <v>0</v>
          </cell>
          <cell r="G1862">
            <v>0</v>
          </cell>
        </row>
        <row r="1863">
          <cell r="F1863">
            <v>0</v>
          </cell>
          <cell r="G1863">
            <v>0</v>
          </cell>
        </row>
        <row r="1864">
          <cell r="F1864">
            <v>0</v>
          </cell>
          <cell r="G1864">
            <v>0</v>
          </cell>
        </row>
        <row r="1865">
          <cell r="F1865">
            <v>0</v>
          </cell>
          <cell r="G1865">
            <v>0</v>
          </cell>
        </row>
        <row r="1866">
          <cell r="F1866">
            <v>0</v>
          </cell>
          <cell r="G1866">
            <v>0</v>
          </cell>
        </row>
        <row r="1867">
          <cell r="F1867">
            <v>0</v>
          </cell>
          <cell r="G1867">
            <v>0</v>
          </cell>
        </row>
        <row r="1868">
          <cell r="F1868">
            <v>0</v>
          </cell>
          <cell r="G1868">
            <v>0</v>
          </cell>
        </row>
        <row r="1869">
          <cell r="F1869">
            <v>0</v>
          </cell>
          <cell r="G1869">
            <v>0</v>
          </cell>
        </row>
        <row r="1870">
          <cell r="F1870">
            <v>0</v>
          </cell>
          <cell r="G1870">
            <v>0</v>
          </cell>
        </row>
        <row r="1871">
          <cell r="F1871">
            <v>0</v>
          </cell>
          <cell r="G1871">
            <v>0</v>
          </cell>
        </row>
        <row r="1872">
          <cell r="F1872">
            <v>0</v>
          </cell>
          <cell r="G1872">
            <v>0</v>
          </cell>
        </row>
        <row r="1873">
          <cell r="F1873">
            <v>0</v>
          </cell>
          <cell r="G1873">
            <v>0</v>
          </cell>
        </row>
        <row r="1874">
          <cell r="F1874">
            <v>0</v>
          </cell>
          <cell r="G1874">
            <v>0</v>
          </cell>
        </row>
        <row r="1875">
          <cell r="F1875">
            <v>0</v>
          </cell>
          <cell r="G1875">
            <v>0</v>
          </cell>
        </row>
        <row r="1876">
          <cell r="F1876">
            <v>0</v>
          </cell>
          <cell r="G1876">
            <v>0</v>
          </cell>
        </row>
        <row r="1877">
          <cell r="F1877">
            <v>0</v>
          </cell>
          <cell r="G1877">
            <v>0</v>
          </cell>
        </row>
        <row r="1878">
          <cell r="F1878">
            <v>0</v>
          </cell>
          <cell r="G1878">
            <v>0</v>
          </cell>
        </row>
        <row r="1879">
          <cell r="F1879">
            <v>0</v>
          </cell>
          <cell r="G1879">
            <v>0</v>
          </cell>
        </row>
        <row r="1880">
          <cell r="F1880">
            <v>0</v>
          </cell>
          <cell r="G1880">
            <v>0</v>
          </cell>
        </row>
        <row r="1881">
          <cell r="F1881">
            <v>0</v>
          </cell>
          <cell r="G1881">
            <v>0</v>
          </cell>
        </row>
        <row r="1882">
          <cell r="F1882">
            <v>0</v>
          </cell>
          <cell r="G1882">
            <v>0</v>
          </cell>
        </row>
        <row r="1883">
          <cell r="F1883">
            <v>0</v>
          </cell>
          <cell r="G1883">
            <v>0</v>
          </cell>
        </row>
        <row r="1884">
          <cell r="F1884">
            <v>0</v>
          </cell>
          <cell r="G1884">
            <v>0</v>
          </cell>
        </row>
        <row r="1885">
          <cell r="F1885">
            <v>0</v>
          </cell>
          <cell r="G1885">
            <v>0</v>
          </cell>
        </row>
        <row r="1886">
          <cell r="F1886">
            <v>0</v>
          </cell>
          <cell r="G1886">
            <v>0</v>
          </cell>
        </row>
        <row r="1887">
          <cell r="F1887">
            <v>0</v>
          </cell>
          <cell r="G1887">
            <v>0</v>
          </cell>
        </row>
        <row r="1888">
          <cell r="F1888">
            <v>0</v>
          </cell>
          <cell r="G1888">
            <v>0</v>
          </cell>
        </row>
        <row r="1889">
          <cell r="F1889">
            <v>0</v>
          </cell>
          <cell r="G1889">
            <v>0</v>
          </cell>
        </row>
        <row r="1890">
          <cell r="F1890">
            <v>0</v>
          </cell>
          <cell r="G1890">
            <v>0</v>
          </cell>
        </row>
        <row r="1891">
          <cell r="F1891">
            <v>0</v>
          </cell>
          <cell r="G1891">
            <v>0</v>
          </cell>
        </row>
        <row r="1892">
          <cell r="F1892">
            <v>0</v>
          </cell>
          <cell r="G1892">
            <v>0</v>
          </cell>
        </row>
        <row r="1893">
          <cell r="F1893">
            <v>0</v>
          </cell>
          <cell r="G1893">
            <v>0</v>
          </cell>
        </row>
        <row r="1894">
          <cell r="F1894">
            <v>0</v>
          </cell>
          <cell r="G1894">
            <v>0</v>
          </cell>
        </row>
        <row r="1895">
          <cell r="F1895">
            <v>0</v>
          </cell>
          <cell r="G1895">
            <v>0</v>
          </cell>
        </row>
        <row r="1896">
          <cell r="F1896">
            <v>0</v>
          </cell>
          <cell r="G1896">
            <v>0</v>
          </cell>
        </row>
        <row r="1897">
          <cell r="F1897">
            <v>0</v>
          </cell>
          <cell r="G1897">
            <v>0</v>
          </cell>
        </row>
        <row r="1898">
          <cell r="F1898">
            <v>0</v>
          </cell>
          <cell r="G1898">
            <v>0</v>
          </cell>
        </row>
        <row r="1899">
          <cell r="F1899">
            <v>0</v>
          </cell>
          <cell r="G1899">
            <v>0</v>
          </cell>
        </row>
        <row r="1900">
          <cell r="F1900">
            <v>0</v>
          </cell>
          <cell r="G1900">
            <v>0</v>
          </cell>
        </row>
        <row r="1901">
          <cell r="F1901">
            <v>0</v>
          </cell>
          <cell r="G1901">
            <v>0</v>
          </cell>
        </row>
        <row r="1902">
          <cell r="F1902">
            <v>0</v>
          </cell>
          <cell r="G1902">
            <v>0</v>
          </cell>
        </row>
        <row r="1903">
          <cell r="F1903">
            <v>0</v>
          </cell>
          <cell r="G1903">
            <v>0</v>
          </cell>
        </row>
        <row r="1904">
          <cell r="F1904">
            <v>0</v>
          </cell>
          <cell r="G1904">
            <v>0</v>
          </cell>
        </row>
        <row r="1905">
          <cell r="F1905">
            <v>0</v>
          </cell>
          <cell r="G1905">
            <v>0</v>
          </cell>
        </row>
        <row r="1906">
          <cell r="F1906">
            <v>0</v>
          </cell>
          <cell r="G1906">
            <v>0</v>
          </cell>
        </row>
        <row r="1907">
          <cell r="F1907">
            <v>0</v>
          </cell>
          <cell r="G1907">
            <v>0</v>
          </cell>
        </row>
        <row r="1908">
          <cell r="F1908">
            <v>0</v>
          </cell>
          <cell r="G1908">
            <v>0</v>
          </cell>
        </row>
        <row r="1909">
          <cell r="F1909">
            <v>0</v>
          </cell>
          <cell r="G1909">
            <v>0</v>
          </cell>
        </row>
        <row r="1910">
          <cell r="F1910">
            <v>0</v>
          </cell>
          <cell r="G1910">
            <v>0</v>
          </cell>
        </row>
        <row r="1911">
          <cell r="F1911">
            <v>0</v>
          </cell>
          <cell r="G1911">
            <v>0</v>
          </cell>
        </row>
        <row r="1912">
          <cell r="F1912">
            <v>0</v>
          </cell>
          <cell r="G1912">
            <v>0</v>
          </cell>
        </row>
        <row r="1913">
          <cell r="F1913">
            <v>0</v>
          </cell>
          <cell r="G1913">
            <v>0</v>
          </cell>
        </row>
        <row r="1914">
          <cell r="F1914">
            <v>0</v>
          </cell>
          <cell r="G1914">
            <v>0</v>
          </cell>
        </row>
        <row r="1915">
          <cell r="F1915">
            <v>0</v>
          </cell>
          <cell r="G1915">
            <v>0</v>
          </cell>
        </row>
        <row r="1916">
          <cell r="F1916">
            <v>0</v>
          </cell>
          <cell r="G1916">
            <v>0</v>
          </cell>
        </row>
        <row r="1917">
          <cell r="F1917">
            <v>0</v>
          </cell>
          <cell r="G1917">
            <v>0</v>
          </cell>
        </row>
        <row r="1918">
          <cell r="F1918">
            <v>0</v>
          </cell>
          <cell r="G1918">
            <v>0</v>
          </cell>
        </row>
        <row r="1919">
          <cell r="F1919">
            <v>0</v>
          </cell>
          <cell r="G1919">
            <v>0</v>
          </cell>
        </row>
        <row r="1920">
          <cell r="F1920">
            <v>0</v>
          </cell>
          <cell r="G1920">
            <v>0</v>
          </cell>
        </row>
        <row r="1921">
          <cell r="F1921">
            <v>0</v>
          </cell>
          <cell r="G1921">
            <v>0</v>
          </cell>
        </row>
        <row r="1922">
          <cell r="F1922">
            <v>0</v>
          </cell>
          <cell r="G1922">
            <v>0</v>
          </cell>
        </row>
        <row r="1923">
          <cell r="F1923">
            <v>0</v>
          </cell>
          <cell r="G1923">
            <v>0</v>
          </cell>
        </row>
        <row r="1924">
          <cell r="F1924">
            <v>0</v>
          </cell>
          <cell r="G1924">
            <v>0</v>
          </cell>
        </row>
        <row r="1925">
          <cell r="F1925">
            <v>0</v>
          </cell>
          <cell r="G1925">
            <v>0</v>
          </cell>
        </row>
        <row r="1926">
          <cell r="F1926">
            <v>0</v>
          </cell>
          <cell r="G1926">
            <v>0</v>
          </cell>
        </row>
        <row r="1927">
          <cell r="F1927">
            <v>0</v>
          </cell>
          <cell r="G1927">
            <v>0</v>
          </cell>
        </row>
        <row r="1928">
          <cell r="F1928">
            <v>0</v>
          </cell>
          <cell r="G1928">
            <v>0</v>
          </cell>
        </row>
        <row r="1929">
          <cell r="F1929">
            <v>0</v>
          </cell>
          <cell r="G1929">
            <v>0</v>
          </cell>
        </row>
        <row r="1930">
          <cell r="F1930">
            <v>0</v>
          </cell>
          <cell r="G1930">
            <v>0</v>
          </cell>
        </row>
        <row r="1931">
          <cell r="F1931">
            <v>0</v>
          </cell>
          <cell r="G1931">
            <v>0</v>
          </cell>
        </row>
        <row r="1932">
          <cell r="F1932">
            <v>0</v>
          </cell>
          <cell r="G1932">
            <v>0</v>
          </cell>
        </row>
        <row r="1933">
          <cell r="F1933">
            <v>0</v>
          </cell>
          <cell r="G1933">
            <v>0</v>
          </cell>
        </row>
        <row r="1934">
          <cell r="F1934">
            <v>0</v>
          </cell>
          <cell r="G1934">
            <v>0</v>
          </cell>
        </row>
        <row r="1935">
          <cell r="F1935">
            <v>0</v>
          </cell>
          <cell r="G1935">
            <v>0</v>
          </cell>
        </row>
        <row r="1936">
          <cell r="F1936">
            <v>0</v>
          </cell>
          <cell r="G1936">
            <v>0</v>
          </cell>
        </row>
        <row r="1937">
          <cell r="F1937">
            <v>0</v>
          </cell>
          <cell r="G1937">
            <v>0</v>
          </cell>
        </row>
        <row r="1938">
          <cell r="F1938">
            <v>0</v>
          </cell>
          <cell r="G1938">
            <v>0</v>
          </cell>
        </row>
        <row r="1939">
          <cell r="F1939">
            <v>0</v>
          </cell>
          <cell r="G1939">
            <v>0</v>
          </cell>
        </row>
        <row r="1940">
          <cell r="F1940">
            <v>0</v>
          </cell>
          <cell r="G1940">
            <v>0</v>
          </cell>
        </row>
        <row r="1941">
          <cell r="F1941">
            <v>0</v>
          </cell>
          <cell r="G1941">
            <v>0</v>
          </cell>
        </row>
        <row r="1942">
          <cell r="F1942">
            <v>0</v>
          </cell>
          <cell r="G1942">
            <v>0</v>
          </cell>
        </row>
        <row r="1943">
          <cell r="F1943">
            <v>0</v>
          </cell>
          <cell r="G1943">
            <v>0</v>
          </cell>
        </row>
        <row r="1944">
          <cell r="F1944">
            <v>0</v>
          </cell>
          <cell r="G1944">
            <v>0</v>
          </cell>
        </row>
        <row r="1945">
          <cell r="F1945">
            <v>0</v>
          </cell>
          <cell r="G1945">
            <v>0</v>
          </cell>
        </row>
        <row r="1946">
          <cell r="F1946">
            <v>0</v>
          </cell>
          <cell r="G1946">
            <v>0</v>
          </cell>
        </row>
        <row r="1947">
          <cell r="F1947">
            <v>0</v>
          </cell>
          <cell r="G1947">
            <v>0</v>
          </cell>
        </row>
        <row r="1948">
          <cell r="F1948">
            <v>0</v>
          </cell>
          <cell r="G1948">
            <v>0</v>
          </cell>
        </row>
        <row r="1949">
          <cell r="F1949">
            <v>0</v>
          </cell>
          <cell r="G1949">
            <v>0</v>
          </cell>
        </row>
        <row r="1950">
          <cell r="F1950">
            <v>0</v>
          </cell>
          <cell r="G1950">
            <v>0</v>
          </cell>
        </row>
        <row r="1951">
          <cell r="F1951">
            <v>0</v>
          </cell>
          <cell r="G1951">
            <v>0</v>
          </cell>
        </row>
        <row r="1952">
          <cell r="F1952">
            <v>0</v>
          </cell>
          <cell r="G1952">
            <v>0</v>
          </cell>
        </row>
        <row r="1953">
          <cell r="F1953">
            <v>0</v>
          </cell>
          <cell r="G1953">
            <v>0</v>
          </cell>
        </row>
        <row r="1954">
          <cell r="F1954">
            <v>0</v>
          </cell>
          <cell r="G1954">
            <v>0</v>
          </cell>
        </row>
        <row r="1955">
          <cell r="F1955">
            <v>0</v>
          </cell>
          <cell r="G1955">
            <v>0</v>
          </cell>
        </row>
        <row r="1956">
          <cell r="F1956">
            <v>0</v>
          </cell>
          <cell r="G1956">
            <v>0</v>
          </cell>
        </row>
        <row r="1957">
          <cell r="F1957">
            <v>0</v>
          </cell>
          <cell r="G1957">
            <v>0</v>
          </cell>
        </row>
        <row r="1958">
          <cell r="F1958">
            <v>0</v>
          </cell>
          <cell r="G1958">
            <v>0</v>
          </cell>
        </row>
        <row r="1959">
          <cell r="F1959">
            <v>0</v>
          </cell>
          <cell r="G1959">
            <v>0</v>
          </cell>
        </row>
        <row r="1960">
          <cell r="F1960">
            <v>0</v>
          </cell>
          <cell r="G1960">
            <v>0</v>
          </cell>
        </row>
        <row r="1961">
          <cell r="F1961">
            <v>0</v>
          </cell>
          <cell r="G1961">
            <v>0</v>
          </cell>
        </row>
        <row r="1962">
          <cell r="F1962">
            <v>0</v>
          </cell>
          <cell r="G1962">
            <v>0</v>
          </cell>
        </row>
        <row r="1963">
          <cell r="F1963">
            <v>0</v>
          </cell>
          <cell r="G1963">
            <v>0</v>
          </cell>
        </row>
        <row r="1964">
          <cell r="F1964">
            <v>0</v>
          </cell>
          <cell r="G1964">
            <v>0</v>
          </cell>
        </row>
        <row r="1965">
          <cell r="F1965">
            <v>0</v>
          </cell>
          <cell r="G1965">
            <v>0</v>
          </cell>
        </row>
        <row r="1966">
          <cell r="F1966">
            <v>0</v>
          </cell>
          <cell r="G1966">
            <v>0</v>
          </cell>
        </row>
        <row r="1967">
          <cell r="F1967">
            <v>0</v>
          </cell>
          <cell r="G1967">
            <v>0</v>
          </cell>
        </row>
        <row r="1968">
          <cell r="F1968">
            <v>0</v>
          </cell>
          <cell r="G1968">
            <v>0</v>
          </cell>
        </row>
        <row r="1969">
          <cell r="F1969">
            <v>0</v>
          </cell>
          <cell r="G1969">
            <v>0</v>
          </cell>
        </row>
        <row r="1970">
          <cell r="F1970">
            <v>0</v>
          </cell>
          <cell r="G1970">
            <v>0</v>
          </cell>
        </row>
        <row r="1971">
          <cell r="F1971">
            <v>0</v>
          </cell>
          <cell r="G1971">
            <v>0</v>
          </cell>
        </row>
        <row r="1972">
          <cell r="F1972">
            <v>0</v>
          </cell>
          <cell r="G1972">
            <v>0</v>
          </cell>
        </row>
        <row r="1973">
          <cell r="F1973">
            <v>0</v>
          </cell>
          <cell r="G1973">
            <v>0</v>
          </cell>
        </row>
        <row r="1974">
          <cell r="F1974">
            <v>0</v>
          </cell>
          <cell r="G1974">
            <v>0</v>
          </cell>
        </row>
        <row r="1975">
          <cell r="F1975">
            <v>0</v>
          </cell>
          <cell r="G1975">
            <v>0</v>
          </cell>
        </row>
        <row r="1976">
          <cell r="F1976">
            <v>0</v>
          </cell>
          <cell r="G1976">
            <v>0</v>
          </cell>
        </row>
        <row r="1977">
          <cell r="F1977">
            <v>0</v>
          </cell>
          <cell r="G1977">
            <v>0</v>
          </cell>
        </row>
        <row r="1978">
          <cell r="F1978">
            <v>0</v>
          </cell>
          <cell r="G1978">
            <v>0</v>
          </cell>
        </row>
        <row r="1979">
          <cell r="F1979">
            <v>0</v>
          </cell>
          <cell r="G1979">
            <v>0</v>
          </cell>
        </row>
        <row r="1980">
          <cell r="F1980">
            <v>0</v>
          </cell>
          <cell r="G1980">
            <v>0</v>
          </cell>
        </row>
        <row r="1981">
          <cell r="F1981">
            <v>0</v>
          </cell>
          <cell r="G1981">
            <v>0</v>
          </cell>
        </row>
        <row r="1982">
          <cell r="F1982">
            <v>0</v>
          </cell>
          <cell r="G1982">
            <v>0</v>
          </cell>
        </row>
        <row r="1983">
          <cell r="F1983">
            <v>0</v>
          </cell>
          <cell r="G1983">
            <v>0</v>
          </cell>
        </row>
        <row r="1984">
          <cell r="F1984">
            <v>0</v>
          </cell>
          <cell r="G1984">
            <v>0</v>
          </cell>
        </row>
        <row r="1985">
          <cell r="F1985">
            <v>0</v>
          </cell>
          <cell r="G1985">
            <v>0</v>
          </cell>
        </row>
        <row r="1986">
          <cell r="F1986">
            <v>0</v>
          </cell>
          <cell r="G1986">
            <v>0</v>
          </cell>
        </row>
        <row r="1987">
          <cell r="F1987">
            <v>0</v>
          </cell>
          <cell r="G1987">
            <v>0</v>
          </cell>
        </row>
        <row r="1988">
          <cell r="F1988">
            <v>0</v>
          </cell>
          <cell r="G1988">
            <v>0</v>
          </cell>
        </row>
        <row r="1989">
          <cell r="F1989">
            <v>0</v>
          </cell>
          <cell r="G1989">
            <v>0</v>
          </cell>
        </row>
        <row r="1990">
          <cell r="F1990">
            <v>0</v>
          </cell>
          <cell r="G1990">
            <v>0</v>
          </cell>
        </row>
        <row r="1991">
          <cell r="F1991">
            <v>0</v>
          </cell>
          <cell r="G1991">
            <v>0</v>
          </cell>
        </row>
        <row r="1992">
          <cell r="F1992">
            <v>0</v>
          </cell>
          <cell r="G1992">
            <v>0</v>
          </cell>
        </row>
        <row r="1993">
          <cell r="F1993">
            <v>0</v>
          </cell>
          <cell r="G1993">
            <v>0</v>
          </cell>
        </row>
        <row r="1994">
          <cell r="F1994">
            <v>0</v>
          </cell>
          <cell r="G1994">
            <v>0</v>
          </cell>
        </row>
        <row r="1995">
          <cell r="F1995">
            <v>0</v>
          </cell>
          <cell r="G1995">
            <v>0</v>
          </cell>
        </row>
        <row r="1996">
          <cell r="F1996">
            <v>0</v>
          </cell>
          <cell r="G1996">
            <v>0</v>
          </cell>
        </row>
        <row r="1997">
          <cell r="F1997">
            <v>0</v>
          </cell>
          <cell r="G1997">
            <v>0</v>
          </cell>
        </row>
        <row r="1998">
          <cell r="F1998">
            <v>0</v>
          </cell>
          <cell r="G1998">
            <v>0</v>
          </cell>
        </row>
        <row r="1999">
          <cell r="F1999">
            <v>0</v>
          </cell>
          <cell r="G1999">
            <v>0</v>
          </cell>
        </row>
        <row r="2000">
          <cell r="F2000">
            <v>0</v>
          </cell>
          <cell r="G2000">
            <v>0</v>
          </cell>
        </row>
        <row r="2001">
          <cell r="F2001">
            <v>0</v>
          </cell>
          <cell r="G2001">
            <v>0</v>
          </cell>
        </row>
        <row r="2002">
          <cell r="F2002">
            <v>0</v>
          </cell>
          <cell r="G2002">
            <v>0</v>
          </cell>
        </row>
        <row r="2003">
          <cell r="F2003">
            <v>0</v>
          </cell>
          <cell r="G2003">
            <v>0</v>
          </cell>
        </row>
        <row r="2004">
          <cell r="F2004">
            <v>0</v>
          </cell>
          <cell r="G2004">
            <v>0</v>
          </cell>
        </row>
        <row r="2005">
          <cell r="F2005">
            <v>0</v>
          </cell>
          <cell r="G2005">
            <v>0</v>
          </cell>
        </row>
        <row r="2006">
          <cell r="F2006">
            <v>0</v>
          </cell>
          <cell r="G2006">
            <v>0</v>
          </cell>
        </row>
        <row r="2007">
          <cell r="F2007">
            <v>0</v>
          </cell>
          <cell r="G2007">
            <v>0</v>
          </cell>
        </row>
        <row r="2008">
          <cell r="F2008">
            <v>0</v>
          </cell>
          <cell r="G2008">
            <v>0</v>
          </cell>
        </row>
        <row r="2009">
          <cell r="F2009">
            <v>0</v>
          </cell>
          <cell r="G2009">
            <v>0</v>
          </cell>
        </row>
        <row r="2010">
          <cell r="F2010">
            <v>0</v>
          </cell>
          <cell r="G2010">
            <v>0</v>
          </cell>
        </row>
        <row r="2011">
          <cell r="F2011">
            <v>0</v>
          </cell>
          <cell r="G2011">
            <v>0</v>
          </cell>
        </row>
        <row r="2012">
          <cell r="F2012">
            <v>0</v>
          </cell>
          <cell r="G2012">
            <v>0</v>
          </cell>
        </row>
        <row r="2013">
          <cell r="F2013">
            <v>0</v>
          </cell>
          <cell r="G2013">
            <v>0</v>
          </cell>
        </row>
        <row r="2014">
          <cell r="F2014">
            <v>0</v>
          </cell>
          <cell r="G2014">
            <v>0</v>
          </cell>
        </row>
        <row r="2015">
          <cell r="F2015">
            <v>0</v>
          </cell>
          <cell r="G2015">
            <v>0</v>
          </cell>
        </row>
        <row r="2016">
          <cell r="F2016">
            <v>0</v>
          </cell>
          <cell r="G2016">
            <v>0</v>
          </cell>
        </row>
        <row r="2017">
          <cell r="F2017">
            <v>0</v>
          </cell>
          <cell r="G2017">
            <v>0</v>
          </cell>
        </row>
        <row r="2018">
          <cell r="F2018">
            <v>0</v>
          </cell>
          <cell r="G2018">
            <v>0</v>
          </cell>
        </row>
        <row r="2019">
          <cell r="F2019">
            <v>0</v>
          </cell>
          <cell r="G2019">
            <v>0</v>
          </cell>
        </row>
        <row r="2020">
          <cell r="F2020">
            <v>0</v>
          </cell>
          <cell r="G2020">
            <v>0</v>
          </cell>
        </row>
        <row r="2021">
          <cell r="F2021">
            <v>0</v>
          </cell>
          <cell r="G2021">
            <v>0</v>
          </cell>
        </row>
        <row r="2022">
          <cell r="F2022">
            <v>0</v>
          </cell>
          <cell r="G2022">
            <v>0</v>
          </cell>
        </row>
        <row r="2023">
          <cell r="F2023">
            <v>0</v>
          </cell>
          <cell r="G2023">
            <v>0</v>
          </cell>
        </row>
        <row r="2024">
          <cell r="F2024">
            <v>0</v>
          </cell>
          <cell r="G2024">
            <v>0</v>
          </cell>
        </row>
        <row r="2025">
          <cell r="F2025">
            <v>0</v>
          </cell>
          <cell r="G2025">
            <v>0</v>
          </cell>
        </row>
        <row r="2026">
          <cell r="F2026">
            <v>0</v>
          </cell>
          <cell r="G2026">
            <v>0</v>
          </cell>
        </row>
        <row r="2027">
          <cell r="F2027">
            <v>0</v>
          </cell>
          <cell r="G2027">
            <v>0</v>
          </cell>
        </row>
        <row r="2028">
          <cell r="F2028">
            <v>0</v>
          </cell>
          <cell r="G2028">
            <v>0</v>
          </cell>
        </row>
        <row r="2029">
          <cell r="F2029">
            <v>0</v>
          </cell>
          <cell r="G2029">
            <v>0</v>
          </cell>
        </row>
        <row r="2030">
          <cell r="F2030">
            <v>0</v>
          </cell>
          <cell r="G2030">
            <v>0</v>
          </cell>
        </row>
        <row r="2031">
          <cell r="F2031">
            <v>0</v>
          </cell>
          <cell r="G2031">
            <v>0</v>
          </cell>
        </row>
        <row r="2032">
          <cell r="F2032">
            <v>0</v>
          </cell>
          <cell r="G2032">
            <v>0</v>
          </cell>
        </row>
        <row r="2033">
          <cell r="F2033">
            <v>0</v>
          </cell>
          <cell r="G2033">
            <v>0</v>
          </cell>
        </row>
        <row r="2034">
          <cell r="F2034">
            <v>0</v>
          </cell>
          <cell r="G2034">
            <v>0</v>
          </cell>
        </row>
        <row r="2035">
          <cell r="F2035">
            <v>0</v>
          </cell>
          <cell r="G2035">
            <v>0</v>
          </cell>
        </row>
        <row r="2036">
          <cell r="F2036">
            <v>0</v>
          </cell>
          <cell r="G2036">
            <v>0</v>
          </cell>
        </row>
        <row r="2037">
          <cell r="F2037">
            <v>0</v>
          </cell>
          <cell r="G2037">
            <v>0</v>
          </cell>
        </row>
        <row r="2038">
          <cell r="F2038">
            <v>0</v>
          </cell>
          <cell r="G2038">
            <v>0</v>
          </cell>
        </row>
        <row r="2039">
          <cell r="F2039">
            <v>0</v>
          </cell>
          <cell r="G2039">
            <v>0</v>
          </cell>
        </row>
        <row r="2040">
          <cell r="F2040">
            <v>0</v>
          </cell>
          <cell r="G2040">
            <v>0</v>
          </cell>
        </row>
        <row r="2041">
          <cell r="F2041">
            <v>0</v>
          </cell>
          <cell r="G2041">
            <v>0</v>
          </cell>
        </row>
        <row r="2042">
          <cell r="F2042">
            <v>0</v>
          </cell>
          <cell r="G2042">
            <v>0</v>
          </cell>
        </row>
        <row r="2043">
          <cell r="F2043">
            <v>0</v>
          </cell>
          <cell r="G2043">
            <v>0</v>
          </cell>
        </row>
        <row r="2044">
          <cell r="F2044">
            <v>0</v>
          </cell>
          <cell r="G2044">
            <v>0</v>
          </cell>
        </row>
        <row r="2045">
          <cell r="F2045">
            <v>0</v>
          </cell>
          <cell r="G2045">
            <v>0</v>
          </cell>
        </row>
        <row r="2046">
          <cell r="F2046">
            <v>0</v>
          </cell>
          <cell r="G2046">
            <v>0</v>
          </cell>
        </row>
        <row r="2047">
          <cell r="F2047">
            <v>0</v>
          </cell>
          <cell r="G2047">
            <v>0</v>
          </cell>
        </row>
        <row r="2048">
          <cell r="F2048">
            <v>0</v>
          </cell>
          <cell r="G2048">
            <v>0</v>
          </cell>
        </row>
        <row r="2049">
          <cell r="F2049">
            <v>0</v>
          </cell>
          <cell r="G2049">
            <v>0</v>
          </cell>
        </row>
        <row r="2050">
          <cell r="F2050">
            <v>0</v>
          </cell>
          <cell r="G2050">
            <v>0</v>
          </cell>
        </row>
        <row r="2051">
          <cell r="F2051">
            <v>0</v>
          </cell>
          <cell r="G2051">
            <v>0</v>
          </cell>
        </row>
        <row r="2052">
          <cell r="F2052">
            <v>0</v>
          </cell>
          <cell r="G2052">
            <v>0</v>
          </cell>
        </row>
        <row r="2053">
          <cell r="F2053">
            <v>0</v>
          </cell>
          <cell r="G2053">
            <v>0</v>
          </cell>
        </row>
        <row r="2054">
          <cell r="F2054">
            <v>0</v>
          </cell>
          <cell r="G2054">
            <v>0</v>
          </cell>
        </row>
        <row r="2055">
          <cell r="F2055">
            <v>0</v>
          </cell>
          <cell r="G2055">
            <v>0</v>
          </cell>
        </row>
        <row r="2056">
          <cell r="F2056">
            <v>0</v>
          </cell>
          <cell r="G2056">
            <v>0</v>
          </cell>
        </row>
        <row r="2057">
          <cell r="F2057">
            <v>0</v>
          </cell>
          <cell r="G2057">
            <v>0</v>
          </cell>
        </row>
        <row r="2058">
          <cell r="F2058">
            <v>0</v>
          </cell>
          <cell r="G2058">
            <v>0</v>
          </cell>
        </row>
        <row r="2059">
          <cell r="F2059">
            <v>0</v>
          </cell>
          <cell r="G2059">
            <v>0</v>
          </cell>
        </row>
        <row r="2060">
          <cell r="F2060">
            <v>0</v>
          </cell>
          <cell r="G2060">
            <v>0</v>
          </cell>
        </row>
        <row r="2061">
          <cell r="F2061">
            <v>0</v>
          </cell>
          <cell r="G2061">
            <v>0</v>
          </cell>
        </row>
        <row r="2062">
          <cell r="F2062">
            <v>0</v>
          </cell>
          <cell r="G2062">
            <v>0</v>
          </cell>
        </row>
        <row r="2063">
          <cell r="F2063">
            <v>0</v>
          </cell>
          <cell r="G2063">
            <v>0</v>
          </cell>
        </row>
        <row r="2064">
          <cell r="F2064">
            <v>0</v>
          </cell>
          <cell r="G2064">
            <v>0</v>
          </cell>
        </row>
        <row r="2065">
          <cell r="F2065">
            <v>0</v>
          </cell>
          <cell r="G2065">
            <v>0</v>
          </cell>
        </row>
        <row r="2066">
          <cell r="F2066">
            <v>0</v>
          </cell>
          <cell r="G2066">
            <v>0</v>
          </cell>
        </row>
        <row r="2067">
          <cell r="F2067">
            <v>0</v>
          </cell>
          <cell r="G2067">
            <v>0</v>
          </cell>
        </row>
        <row r="2068">
          <cell r="F2068">
            <v>0</v>
          </cell>
          <cell r="G2068">
            <v>0</v>
          </cell>
        </row>
        <row r="2069">
          <cell r="F2069">
            <v>0</v>
          </cell>
          <cell r="G2069">
            <v>0</v>
          </cell>
        </row>
        <row r="2070">
          <cell r="F2070">
            <v>0</v>
          </cell>
          <cell r="G2070">
            <v>0</v>
          </cell>
        </row>
        <row r="2071">
          <cell r="F2071">
            <v>0</v>
          </cell>
          <cell r="G2071">
            <v>0</v>
          </cell>
        </row>
        <row r="2072">
          <cell r="F2072">
            <v>0</v>
          </cell>
          <cell r="G2072">
            <v>0</v>
          </cell>
        </row>
        <row r="2073">
          <cell r="F2073">
            <v>0</v>
          </cell>
          <cell r="G2073">
            <v>0</v>
          </cell>
        </row>
        <row r="2074">
          <cell r="F2074">
            <v>0</v>
          </cell>
          <cell r="G2074">
            <v>0</v>
          </cell>
        </row>
        <row r="2075">
          <cell r="F2075">
            <v>0</v>
          </cell>
          <cell r="G2075">
            <v>0</v>
          </cell>
        </row>
        <row r="2076">
          <cell r="F2076">
            <v>0</v>
          </cell>
          <cell r="G2076">
            <v>0</v>
          </cell>
        </row>
        <row r="2077">
          <cell r="F2077">
            <v>0</v>
          </cell>
          <cell r="G2077">
            <v>0</v>
          </cell>
        </row>
        <row r="2078">
          <cell r="F2078">
            <v>0</v>
          </cell>
          <cell r="G2078">
            <v>0</v>
          </cell>
        </row>
        <row r="2079">
          <cell r="F2079">
            <v>0</v>
          </cell>
          <cell r="G2079">
            <v>0</v>
          </cell>
        </row>
        <row r="2080">
          <cell r="F2080">
            <v>0</v>
          </cell>
          <cell r="G2080">
            <v>0</v>
          </cell>
        </row>
        <row r="2081">
          <cell r="F2081">
            <v>0</v>
          </cell>
          <cell r="G2081">
            <v>0</v>
          </cell>
        </row>
        <row r="2082">
          <cell r="F2082">
            <v>0</v>
          </cell>
          <cell r="G2082">
            <v>0</v>
          </cell>
        </row>
        <row r="2083">
          <cell r="F2083">
            <v>0</v>
          </cell>
          <cell r="G2083">
            <v>0</v>
          </cell>
        </row>
        <row r="2084">
          <cell r="F2084">
            <v>0</v>
          </cell>
          <cell r="G2084">
            <v>0</v>
          </cell>
        </row>
        <row r="2085">
          <cell r="F2085">
            <v>0</v>
          </cell>
          <cell r="G2085">
            <v>0</v>
          </cell>
        </row>
        <row r="2086">
          <cell r="F2086">
            <v>0</v>
          </cell>
          <cell r="G2086">
            <v>0</v>
          </cell>
        </row>
        <row r="2087">
          <cell r="F2087">
            <v>0</v>
          </cell>
          <cell r="G2087">
            <v>0</v>
          </cell>
        </row>
        <row r="2088">
          <cell r="F2088">
            <v>0</v>
          </cell>
          <cell r="G2088">
            <v>0</v>
          </cell>
        </row>
        <row r="2089">
          <cell r="F2089">
            <v>0</v>
          </cell>
          <cell r="G2089">
            <v>0</v>
          </cell>
        </row>
        <row r="2090">
          <cell r="F2090">
            <v>0</v>
          </cell>
          <cell r="G2090">
            <v>0</v>
          </cell>
        </row>
        <row r="2091">
          <cell r="F2091">
            <v>0</v>
          </cell>
          <cell r="G2091">
            <v>0</v>
          </cell>
        </row>
        <row r="2092">
          <cell r="F2092">
            <v>0</v>
          </cell>
          <cell r="G2092">
            <v>0</v>
          </cell>
        </row>
        <row r="2093">
          <cell r="F2093">
            <v>0</v>
          </cell>
          <cell r="G2093">
            <v>0</v>
          </cell>
        </row>
        <row r="2094">
          <cell r="F2094">
            <v>0</v>
          </cell>
          <cell r="G2094">
            <v>0</v>
          </cell>
        </row>
        <row r="2095">
          <cell r="F2095">
            <v>0</v>
          </cell>
          <cell r="G2095">
            <v>0</v>
          </cell>
        </row>
        <row r="2096">
          <cell r="F2096">
            <v>0</v>
          </cell>
          <cell r="G2096">
            <v>0</v>
          </cell>
        </row>
        <row r="2097">
          <cell r="F2097">
            <v>0</v>
          </cell>
          <cell r="G2097">
            <v>0</v>
          </cell>
        </row>
        <row r="2098">
          <cell r="F2098">
            <v>0</v>
          </cell>
          <cell r="G2098">
            <v>0</v>
          </cell>
        </row>
        <row r="2099">
          <cell r="F2099">
            <v>0</v>
          </cell>
          <cell r="G2099">
            <v>0</v>
          </cell>
        </row>
        <row r="2100">
          <cell r="F2100">
            <v>0</v>
          </cell>
          <cell r="G2100">
            <v>0</v>
          </cell>
        </row>
        <row r="2101">
          <cell r="F2101">
            <v>0</v>
          </cell>
          <cell r="G2101">
            <v>0</v>
          </cell>
        </row>
        <row r="2102">
          <cell r="F2102">
            <v>0</v>
          </cell>
          <cell r="G2102">
            <v>0</v>
          </cell>
        </row>
        <row r="2103">
          <cell r="F2103">
            <v>0</v>
          </cell>
          <cell r="G2103">
            <v>0</v>
          </cell>
        </row>
        <row r="2104">
          <cell r="F2104">
            <v>0</v>
          </cell>
          <cell r="G2104">
            <v>0</v>
          </cell>
        </row>
        <row r="2105">
          <cell r="F2105">
            <v>0</v>
          </cell>
          <cell r="G2105">
            <v>0</v>
          </cell>
        </row>
        <row r="2106">
          <cell r="F2106">
            <v>0</v>
          </cell>
          <cell r="G2106">
            <v>0</v>
          </cell>
        </row>
        <row r="2107">
          <cell r="F2107">
            <v>0</v>
          </cell>
          <cell r="G2107">
            <v>0</v>
          </cell>
        </row>
        <row r="2108">
          <cell r="F2108">
            <v>0</v>
          </cell>
          <cell r="G2108">
            <v>0</v>
          </cell>
        </row>
        <row r="2109">
          <cell r="F2109">
            <v>0</v>
          </cell>
          <cell r="G2109">
            <v>0</v>
          </cell>
        </row>
        <row r="2110">
          <cell r="F2110">
            <v>0</v>
          </cell>
          <cell r="G2110">
            <v>0</v>
          </cell>
        </row>
        <row r="2111">
          <cell r="F2111">
            <v>0</v>
          </cell>
          <cell r="G2111">
            <v>0</v>
          </cell>
        </row>
        <row r="2112">
          <cell r="F2112">
            <v>0</v>
          </cell>
          <cell r="G2112">
            <v>0</v>
          </cell>
        </row>
        <row r="2113">
          <cell r="F2113">
            <v>0</v>
          </cell>
          <cell r="G2113">
            <v>0</v>
          </cell>
        </row>
        <row r="2114">
          <cell r="F2114">
            <v>0</v>
          </cell>
          <cell r="G2114">
            <v>0</v>
          </cell>
        </row>
        <row r="2115">
          <cell r="F2115">
            <v>0</v>
          </cell>
          <cell r="G2115">
            <v>0</v>
          </cell>
        </row>
        <row r="2116">
          <cell r="F2116">
            <v>0</v>
          </cell>
          <cell r="G2116">
            <v>0</v>
          </cell>
        </row>
        <row r="2117">
          <cell r="F2117">
            <v>0</v>
          </cell>
          <cell r="G2117">
            <v>0</v>
          </cell>
        </row>
        <row r="2118">
          <cell r="F2118">
            <v>0</v>
          </cell>
          <cell r="G2118">
            <v>0</v>
          </cell>
        </row>
        <row r="2119">
          <cell r="F2119">
            <v>0</v>
          </cell>
          <cell r="G2119">
            <v>0</v>
          </cell>
        </row>
        <row r="2120">
          <cell r="F2120">
            <v>0</v>
          </cell>
          <cell r="G2120">
            <v>0</v>
          </cell>
        </row>
        <row r="2121">
          <cell r="F2121">
            <v>0</v>
          </cell>
          <cell r="G2121">
            <v>0</v>
          </cell>
        </row>
        <row r="2122">
          <cell r="F2122">
            <v>0</v>
          </cell>
          <cell r="G2122">
            <v>0</v>
          </cell>
        </row>
        <row r="2123">
          <cell r="F2123">
            <v>0</v>
          </cell>
          <cell r="G2123">
            <v>0</v>
          </cell>
        </row>
        <row r="2124">
          <cell r="F2124">
            <v>0</v>
          </cell>
          <cell r="G2124">
            <v>0</v>
          </cell>
        </row>
        <row r="2125">
          <cell r="F2125">
            <v>0</v>
          </cell>
          <cell r="G2125">
            <v>0</v>
          </cell>
        </row>
        <row r="2126">
          <cell r="F2126">
            <v>0</v>
          </cell>
          <cell r="G2126">
            <v>0</v>
          </cell>
        </row>
        <row r="2127">
          <cell r="F2127">
            <v>0</v>
          </cell>
          <cell r="G2127">
            <v>0</v>
          </cell>
        </row>
        <row r="2128">
          <cell r="F2128">
            <v>0</v>
          </cell>
          <cell r="G2128">
            <v>0</v>
          </cell>
        </row>
        <row r="2129">
          <cell r="F2129">
            <v>0</v>
          </cell>
          <cell r="G2129">
            <v>0</v>
          </cell>
        </row>
        <row r="2130">
          <cell r="F2130">
            <v>0</v>
          </cell>
          <cell r="G2130">
            <v>0</v>
          </cell>
        </row>
        <row r="2131">
          <cell r="F2131">
            <v>0</v>
          </cell>
          <cell r="G2131">
            <v>0</v>
          </cell>
        </row>
        <row r="2132">
          <cell r="F2132">
            <v>0</v>
          </cell>
          <cell r="G2132">
            <v>0</v>
          </cell>
        </row>
        <row r="2133">
          <cell r="F2133">
            <v>0</v>
          </cell>
          <cell r="G2133">
            <v>0</v>
          </cell>
        </row>
        <row r="2134">
          <cell r="F2134">
            <v>0</v>
          </cell>
          <cell r="G2134">
            <v>0</v>
          </cell>
        </row>
        <row r="2135">
          <cell r="F2135">
            <v>0</v>
          </cell>
          <cell r="G2135">
            <v>0</v>
          </cell>
        </row>
        <row r="2136">
          <cell r="F2136">
            <v>0</v>
          </cell>
          <cell r="G2136">
            <v>0</v>
          </cell>
        </row>
        <row r="2137">
          <cell r="F2137">
            <v>0</v>
          </cell>
          <cell r="G2137">
            <v>0</v>
          </cell>
        </row>
        <row r="2138">
          <cell r="F2138">
            <v>0</v>
          </cell>
          <cell r="G2138">
            <v>0</v>
          </cell>
        </row>
        <row r="2139">
          <cell r="F2139">
            <v>0</v>
          </cell>
          <cell r="G2139">
            <v>0</v>
          </cell>
        </row>
        <row r="2140">
          <cell r="F2140">
            <v>0</v>
          </cell>
          <cell r="G2140">
            <v>0</v>
          </cell>
        </row>
        <row r="2141">
          <cell r="F2141">
            <v>0</v>
          </cell>
          <cell r="G2141">
            <v>0</v>
          </cell>
        </row>
        <row r="2142">
          <cell r="F2142">
            <v>0</v>
          </cell>
          <cell r="G2142">
            <v>0</v>
          </cell>
        </row>
        <row r="2143">
          <cell r="F2143">
            <v>0</v>
          </cell>
          <cell r="G2143">
            <v>0</v>
          </cell>
        </row>
        <row r="2144">
          <cell r="F2144">
            <v>0</v>
          </cell>
          <cell r="G2144">
            <v>0</v>
          </cell>
        </row>
        <row r="2145">
          <cell r="F2145">
            <v>0</v>
          </cell>
          <cell r="G2145">
            <v>0</v>
          </cell>
        </row>
        <row r="2146">
          <cell r="F2146">
            <v>0</v>
          </cell>
          <cell r="G2146">
            <v>0</v>
          </cell>
        </row>
        <row r="2147">
          <cell r="F2147">
            <v>0</v>
          </cell>
          <cell r="G2147">
            <v>0</v>
          </cell>
        </row>
        <row r="2148">
          <cell r="F2148">
            <v>0</v>
          </cell>
          <cell r="G2148">
            <v>0</v>
          </cell>
        </row>
        <row r="2149">
          <cell r="F2149">
            <v>0</v>
          </cell>
          <cell r="G2149">
            <v>0</v>
          </cell>
        </row>
        <row r="2150">
          <cell r="F2150">
            <v>0</v>
          </cell>
          <cell r="G2150">
            <v>0</v>
          </cell>
        </row>
        <row r="2151">
          <cell r="F2151">
            <v>0</v>
          </cell>
          <cell r="G2151">
            <v>0</v>
          </cell>
        </row>
        <row r="2152">
          <cell r="F2152">
            <v>0</v>
          </cell>
          <cell r="G2152">
            <v>0</v>
          </cell>
        </row>
        <row r="2153">
          <cell r="F2153">
            <v>0</v>
          </cell>
          <cell r="G2153">
            <v>0</v>
          </cell>
        </row>
        <row r="2154">
          <cell r="F2154">
            <v>0</v>
          </cell>
          <cell r="G2154">
            <v>0</v>
          </cell>
        </row>
        <row r="2155">
          <cell r="F2155">
            <v>0</v>
          </cell>
          <cell r="G2155">
            <v>0</v>
          </cell>
        </row>
        <row r="2156">
          <cell r="F2156">
            <v>0</v>
          </cell>
          <cell r="G2156">
            <v>0</v>
          </cell>
        </row>
        <row r="2157">
          <cell r="F2157">
            <v>0</v>
          </cell>
          <cell r="G2157">
            <v>0</v>
          </cell>
        </row>
        <row r="2158">
          <cell r="F2158">
            <v>0</v>
          </cell>
          <cell r="G2158">
            <v>0</v>
          </cell>
        </row>
        <row r="2159">
          <cell r="F2159">
            <v>0</v>
          </cell>
          <cell r="G2159">
            <v>0</v>
          </cell>
        </row>
        <row r="2160">
          <cell r="F2160">
            <v>0</v>
          </cell>
          <cell r="G2160">
            <v>0</v>
          </cell>
        </row>
        <row r="2161">
          <cell r="F2161">
            <v>0</v>
          </cell>
          <cell r="G2161">
            <v>0</v>
          </cell>
        </row>
        <row r="2162">
          <cell r="F2162">
            <v>0</v>
          </cell>
          <cell r="G2162">
            <v>0</v>
          </cell>
        </row>
        <row r="2163">
          <cell r="F2163">
            <v>0</v>
          </cell>
          <cell r="G2163">
            <v>0</v>
          </cell>
        </row>
        <row r="2164">
          <cell r="F2164">
            <v>0</v>
          </cell>
          <cell r="G2164">
            <v>0</v>
          </cell>
        </row>
        <row r="2165">
          <cell r="F2165">
            <v>0</v>
          </cell>
          <cell r="G2165">
            <v>0</v>
          </cell>
        </row>
        <row r="2166">
          <cell r="F2166">
            <v>0</v>
          </cell>
          <cell r="G2166">
            <v>0</v>
          </cell>
        </row>
        <row r="2167">
          <cell r="F2167">
            <v>0</v>
          </cell>
          <cell r="G2167">
            <v>0</v>
          </cell>
        </row>
        <row r="2168">
          <cell r="F2168">
            <v>0</v>
          </cell>
          <cell r="G2168">
            <v>0</v>
          </cell>
        </row>
        <row r="2169">
          <cell r="F2169">
            <v>0</v>
          </cell>
          <cell r="G2169">
            <v>0</v>
          </cell>
        </row>
        <row r="2170">
          <cell r="F2170">
            <v>0</v>
          </cell>
          <cell r="G2170">
            <v>0</v>
          </cell>
        </row>
        <row r="2171">
          <cell r="F2171">
            <v>0</v>
          </cell>
          <cell r="G2171">
            <v>0</v>
          </cell>
        </row>
        <row r="2172">
          <cell r="F2172">
            <v>0</v>
          </cell>
          <cell r="G2172">
            <v>0</v>
          </cell>
        </row>
        <row r="2173">
          <cell r="F2173">
            <v>0</v>
          </cell>
          <cell r="G2173">
            <v>0</v>
          </cell>
        </row>
        <row r="2174">
          <cell r="F2174">
            <v>0</v>
          </cell>
          <cell r="G2174">
            <v>0</v>
          </cell>
        </row>
        <row r="2175">
          <cell r="F2175">
            <v>0</v>
          </cell>
          <cell r="G2175">
            <v>0</v>
          </cell>
        </row>
        <row r="2176">
          <cell r="F2176">
            <v>0</v>
          </cell>
          <cell r="G2176">
            <v>0</v>
          </cell>
        </row>
        <row r="2177">
          <cell r="F2177">
            <v>0</v>
          </cell>
          <cell r="G2177">
            <v>0</v>
          </cell>
        </row>
        <row r="2178">
          <cell r="F2178">
            <v>0</v>
          </cell>
          <cell r="G2178">
            <v>0</v>
          </cell>
        </row>
        <row r="2179">
          <cell r="F2179">
            <v>0</v>
          </cell>
          <cell r="G2179">
            <v>0</v>
          </cell>
        </row>
        <row r="2180">
          <cell r="F2180">
            <v>0</v>
          </cell>
          <cell r="G2180">
            <v>0</v>
          </cell>
        </row>
        <row r="2181">
          <cell r="F2181">
            <v>0</v>
          </cell>
          <cell r="G2181">
            <v>0</v>
          </cell>
        </row>
        <row r="2182">
          <cell r="F2182">
            <v>0</v>
          </cell>
          <cell r="G2182">
            <v>0</v>
          </cell>
        </row>
        <row r="2183">
          <cell r="F2183">
            <v>0</v>
          </cell>
          <cell r="G2183">
            <v>0</v>
          </cell>
        </row>
        <row r="2184">
          <cell r="F2184">
            <v>0</v>
          </cell>
          <cell r="G2184">
            <v>0</v>
          </cell>
        </row>
        <row r="2185">
          <cell r="F2185">
            <v>0</v>
          </cell>
          <cell r="G2185">
            <v>0</v>
          </cell>
        </row>
        <row r="2186">
          <cell r="F2186">
            <v>0</v>
          </cell>
          <cell r="G2186">
            <v>0</v>
          </cell>
        </row>
        <row r="2187">
          <cell r="F2187">
            <v>0</v>
          </cell>
          <cell r="G2187">
            <v>0</v>
          </cell>
        </row>
        <row r="2188">
          <cell r="F2188">
            <v>0</v>
          </cell>
          <cell r="G2188">
            <v>0</v>
          </cell>
        </row>
        <row r="2189">
          <cell r="F2189">
            <v>0</v>
          </cell>
          <cell r="G2189">
            <v>0</v>
          </cell>
        </row>
        <row r="2190">
          <cell r="F2190">
            <v>0</v>
          </cell>
          <cell r="G2190">
            <v>0</v>
          </cell>
        </row>
        <row r="2191">
          <cell r="F2191">
            <v>0</v>
          </cell>
          <cell r="G2191">
            <v>0</v>
          </cell>
        </row>
        <row r="2192">
          <cell r="F2192">
            <v>0</v>
          </cell>
          <cell r="G2192">
            <v>0</v>
          </cell>
        </row>
        <row r="2193">
          <cell r="F2193">
            <v>0</v>
          </cell>
          <cell r="G2193">
            <v>0</v>
          </cell>
        </row>
        <row r="2194">
          <cell r="F2194">
            <v>0</v>
          </cell>
          <cell r="G2194">
            <v>0</v>
          </cell>
        </row>
        <row r="2195">
          <cell r="F2195">
            <v>0</v>
          </cell>
          <cell r="G2195">
            <v>0</v>
          </cell>
        </row>
        <row r="2196">
          <cell r="F2196">
            <v>0</v>
          </cell>
          <cell r="G2196">
            <v>0</v>
          </cell>
        </row>
        <row r="2197">
          <cell r="F2197">
            <v>0</v>
          </cell>
          <cell r="G2197">
            <v>0</v>
          </cell>
        </row>
        <row r="2198">
          <cell r="F2198">
            <v>0</v>
          </cell>
          <cell r="G2198">
            <v>0</v>
          </cell>
        </row>
        <row r="2199">
          <cell r="F2199">
            <v>0</v>
          </cell>
          <cell r="G2199">
            <v>0</v>
          </cell>
        </row>
        <row r="2200">
          <cell r="F2200">
            <v>0</v>
          </cell>
          <cell r="G2200">
            <v>0</v>
          </cell>
        </row>
        <row r="2201">
          <cell r="F2201">
            <v>0</v>
          </cell>
          <cell r="G2201">
            <v>0</v>
          </cell>
        </row>
        <row r="2202">
          <cell r="F2202">
            <v>0</v>
          </cell>
          <cell r="G2202">
            <v>0</v>
          </cell>
        </row>
        <row r="2203">
          <cell r="F2203">
            <v>0</v>
          </cell>
          <cell r="G2203">
            <v>0</v>
          </cell>
        </row>
        <row r="2204">
          <cell r="F2204">
            <v>0</v>
          </cell>
          <cell r="G2204">
            <v>0</v>
          </cell>
        </row>
        <row r="2205">
          <cell r="F2205">
            <v>0</v>
          </cell>
          <cell r="G2205">
            <v>0</v>
          </cell>
        </row>
        <row r="2206">
          <cell r="F2206">
            <v>0</v>
          </cell>
          <cell r="G2206">
            <v>0</v>
          </cell>
        </row>
        <row r="2207">
          <cell r="F2207">
            <v>0</v>
          </cell>
          <cell r="G2207">
            <v>0</v>
          </cell>
        </row>
        <row r="2208">
          <cell r="F2208">
            <v>0</v>
          </cell>
          <cell r="G2208">
            <v>0</v>
          </cell>
        </row>
        <row r="2209">
          <cell r="F2209">
            <v>0</v>
          </cell>
          <cell r="G2209">
            <v>0</v>
          </cell>
        </row>
        <row r="2210">
          <cell r="F2210">
            <v>0</v>
          </cell>
          <cell r="G2210">
            <v>0</v>
          </cell>
        </row>
        <row r="2211">
          <cell r="F2211">
            <v>0</v>
          </cell>
          <cell r="G2211">
            <v>0</v>
          </cell>
        </row>
        <row r="2212">
          <cell r="F2212">
            <v>0</v>
          </cell>
          <cell r="G2212">
            <v>0</v>
          </cell>
        </row>
        <row r="2213">
          <cell r="F2213">
            <v>0</v>
          </cell>
          <cell r="G2213">
            <v>0</v>
          </cell>
        </row>
        <row r="2214">
          <cell r="F2214">
            <v>0</v>
          </cell>
          <cell r="G2214">
            <v>0</v>
          </cell>
        </row>
        <row r="2215">
          <cell r="F2215">
            <v>0</v>
          </cell>
          <cell r="G2215">
            <v>0</v>
          </cell>
        </row>
        <row r="2216">
          <cell r="F2216">
            <v>0</v>
          </cell>
          <cell r="G2216">
            <v>0</v>
          </cell>
        </row>
        <row r="2217">
          <cell r="F2217">
            <v>0</v>
          </cell>
          <cell r="G2217">
            <v>0</v>
          </cell>
        </row>
        <row r="2218">
          <cell r="F2218">
            <v>0</v>
          </cell>
          <cell r="G2218">
            <v>0</v>
          </cell>
        </row>
        <row r="2219">
          <cell r="F2219">
            <v>0</v>
          </cell>
          <cell r="G2219">
            <v>0</v>
          </cell>
        </row>
        <row r="2220">
          <cell r="F2220">
            <v>0</v>
          </cell>
          <cell r="G2220">
            <v>0</v>
          </cell>
        </row>
        <row r="2221">
          <cell r="F2221">
            <v>0</v>
          </cell>
          <cell r="G2221">
            <v>0</v>
          </cell>
        </row>
        <row r="2222">
          <cell r="F2222">
            <v>0</v>
          </cell>
          <cell r="G2222">
            <v>0</v>
          </cell>
        </row>
        <row r="2223">
          <cell r="F2223">
            <v>0</v>
          </cell>
          <cell r="G2223">
            <v>0</v>
          </cell>
        </row>
        <row r="2224">
          <cell r="F2224">
            <v>0</v>
          </cell>
          <cell r="G2224">
            <v>0</v>
          </cell>
        </row>
        <row r="2225">
          <cell r="F2225">
            <v>0</v>
          </cell>
          <cell r="G2225">
            <v>0</v>
          </cell>
        </row>
        <row r="2226">
          <cell r="F2226">
            <v>0</v>
          </cell>
          <cell r="G2226">
            <v>0</v>
          </cell>
        </row>
        <row r="2227">
          <cell r="F2227">
            <v>0</v>
          </cell>
          <cell r="G2227">
            <v>0</v>
          </cell>
        </row>
        <row r="2228">
          <cell r="F2228">
            <v>0</v>
          </cell>
          <cell r="G2228">
            <v>0</v>
          </cell>
        </row>
        <row r="2229">
          <cell r="F2229">
            <v>0</v>
          </cell>
          <cell r="G2229">
            <v>0</v>
          </cell>
        </row>
        <row r="2230">
          <cell r="F2230">
            <v>0</v>
          </cell>
          <cell r="G2230">
            <v>0</v>
          </cell>
        </row>
        <row r="2231">
          <cell r="F2231">
            <v>0</v>
          </cell>
          <cell r="G2231">
            <v>0</v>
          </cell>
        </row>
        <row r="2232">
          <cell r="F2232">
            <v>0</v>
          </cell>
          <cell r="G2232">
            <v>0</v>
          </cell>
        </row>
        <row r="2233">
          <cell r="F2233">
            <v>0</v>
          </cell>
          <cell r="G2233">
            <v>0</v>
          </cell>
        </row>
        <row r="2234">
          <cell r="F2234">
            <v>0</v>
          </cell>
          <cell r="G2234">
            <v>0</v>
          </cell>
        </row>
        <row r="2235">
          <cell r="F2235">
            <v>0</v>
          </cell>
          <cell r="G2235">
            <v>0</v>
          </cell>
        </row>
        <row r="2236">
          <cell r="F2236">
            <v>0</v>
          </cell>
          <cell r="G2236">
            <v>0</v>
          </cell>
        </row>
        <row r="2237">
          <cell r="F2237">
            <v>0</v>
          </cell>
          <cell r="G2237">
            <v>0</v>
          </cell>
        </row>
        <row r="2238">
          <cell r="F2238">
            <v>0</v>
          </cell>
          <cell r="G2238">
            <v>0</v>
          </cell>
        </row>
        <row r="2239">
          <cell r="F2239">
            <v>0</v>
          </cell>
          <cell r="G2239">
            <v>0</v>
          </cell>
        </row>
        <row r="2240">
          <cell r="F2240">
            <v>0</v>
          </cell>
          <cell r="G2240">
            <v>0</v>
          </cell>
        </row>
        <row r="2241">
          <cell r="F2241">
            <v>0</v>
          </cell>
          <cell r="G2241">
            <v>0</v>
          </cell>
        </row>
        <row r="2242">
          <cell r="F2242">
            <v>0</v>
          </cell>
          <cell r="G2242">
            <v>0</v>
          </cell>
        </row>
        <row r="2243">
          <cell r="F2243">
            <v>0</v>
          </cell>
          <cell r="G2243">
            <v>0</v>
          </cell>
        </row>
        <row r="2244">
          <cell r="F2244">
            <v>0</v>
          </cell>
          <cell r="G2244">
            <v>0</v>
          </cell>
        </row>
        <row r="2245">
          <cell r="F2245">
            <v>0</v>
          </cell>
          <cell r="G2245">
            <v>0</v>
          </cell>
        </row>
        <row r="2246">
          <cell r="F2246">
            <v>0</v>
          </cell>
          <cell r="G2246">
            <v>0</v>
          </cell>
        </row>
        <row r="2247">
          <cell r="F2247">
            <v>0</v>
          </cell>
          <cell r="G2247">
            <v>0</v>
          </cell>
        </row>
        <row r="2248">
          <cell r="F2248">
            <v>0</v>
          </cell>
          <cell r="G2248">
            <v>0</v>
          </cell>
        </row>
        <row r="2249">
          <cell r="F2249">
            <v>0</v>
          </cell>
          <cell r="G2249">
            <v>0</v>
          </cell>
        </row>
        <row r="2250">
          <cell r="F2250">
            <v>0</v>
          </cell>
          <cell r="G2250">
            <v>0</v>
          </cell>
        </row>
        <row r="2251">
          <cell r="F2251">
            <v>0</v>
          </cell>
          <cell r="G2251">
            <v>0</v>
          </cell>
        </row>
        <row r="2252">
          <cell r="F2252">
            <v>0</v>
          </cell>
          <cell r="G2252">
            <v>0</v>
          </cell>
        </row>
        <row r="2253">
          <cell r="F2253">
            <v>0</v>
          </cell>
          <cell r="G2253">
            <v>0</v>
          </cell>
        </row>
        <row r="2254">
          <cell r="F2254">
            <v>0</v>
          </cell>
          <cell r="G2254">
            <v>0</v>
          </cell>
        </row>
        <row r="2255">
          <cell r="F2255">
            <v>0</v>
          </cell>
          <cell r="G2255">
            <v>0</v>
          </cell>
        </row>
        <row r="2256">
          <cell r="F2256">
            <v>0</v>
          </cell>
          <cell r="G2256">
            <v>0</v>
          </cell>
        </row>
        <row r="2257">
          <cell r="F2257">
            <v>0</v>
          </cell>
          <cell r="G2257">
            <v>0</v>
          </cell>
        </row>
        <row r="2258">
          <cell r="F2258">
            <v>0</v>
          </cell>
          <cell r="G2258">
            <v>0</v>
          </cell>
        </row>
        <row r="2259">
          <cell r="F2259">
            <v>0</v>
          </cell>
          <cell r="G2259">
            <v>0</v>
          </cell>
        </row>
        <row r="2260">
          <cell r="F2260">
            <v>0</v>
          </cell>
          <cell r="G2260">
            <v>0</v>
          </cell>
        </row>
        <row r="2261">
          <cell r="F2261">
            <v>0</v>
          </cell>
          <cell r="G2261">
            <v>0</v>
          </cell>
        </row>
        <row r="2262">
          <cell r="F2262">
            <v>0</v>
          </cell>
          <cell r="G2262">
            <v>0</v>
          </cell>
        </row>
        <row r="2263">
          <cell r="F2263">
            <v>0</v>
          </cell>
          <cell r="G2263">
            <v>0</v>
          </cell>
        </row>
        <row r="2264">
          <cell r="F2264">
            <v>0</v>
          </cell>
          <cell r="G2264">
            <v>0</v>
          </cell>
        </row>
        <row r="2265">
          <cell r="F2265">
            <v>0</v>
          </cell>
          <cell r="G2265">
            <v>0</v>
          </cell>
        </row>
        <row r="2266">
          <cell r="F2266">
            <v>0</v>
          </cell>
          <cell r="G2266">
            <v>0</v>
          </cell>
        </row>
        <row r="2267">
          <cell r="F2267">
            <v>0</v>
          </cell>
          <cell r="G2267">
            <v>0</v>
          </cell>
        </row>
        <row r="2268">
          <cell r="F2268">
            <v>0</v>
          </cell>
          <cell r="G2268">
            <v>0</v>
          </cell>
        </row>
        <row r="2269">
          <cell r="F2269">
            <v>0</v>
          </cell>
          <cell r="G2269">
            <v>0</v>
          </cell>
        </row>
        <row r="2270">
          <cell r="F2270">
            <v>0</v>
          </cell>
          <cell r="G2270">
            <v>0</v>
          </cell>
        </row>
        <row r="2271">
          <cell r="F2271">
            <v>0</v>
          </cell>
          <cell r="G2271">
            <v>0</v>
          </cell>
        </row>
        <row r="2272">
          <cell r="F2272">
            <v>0</v>
          </cell>
          <cell r="G2272">
            <v>0</v>
          </cell>
        </row>
        <row r="2273">
          <cell r="F2273">
            <v>0</v>
          </cell>
          <cell r="G2273">
            <v>0</v>
          </cell>
        </row>
        <row r="2274">
          <cell r="F2274">
            <v>0</v>
          </cell>
          <cell r="G2274">
            <v>0</v>
          </cell>
        </row>
        <row r="2275">
          <cell r="F2275">
            <v>0</v>
          </cell>
          <cell r="G2275">
            <v>0</v>
          </cell>
        </row>
        <row r="2276">
          <cell r="F2276">
            <v>0</v>
          </cell>
          <cell r="G2276">
            <v>0</v>
          </cell>
        </row>
        <row r="2277">
          <cell r="F2277">
            <v>0</v>
          </cell>
          <cell r="G2277">
            <v>0</v>
          </cell>
        </row>
        <row r="2278">
          <cell r="F2278">
            <v>0</v>
          </cell>
          <cell r="G2278">
            <v>0</v>
          </cell>
        </row>
        <row r="2279">
          <cell r="F2279">
            <v>0</v>
          </cell>
          <cell r="G2279">
            <v>0</v>
          </cell>
        </row>
        <row r="2280">
          <cell r="F2280">
            <v>0</v>
          </cell>
          <cell r="G2280">
            <v>0</v>
          </cell>
        </row>
        <row r="2281">
          <cell r="F2281">
            <v>0</v>
          </cell>
          <cell r="G2281">
            <v>0</v>
          </cell>
        </row>
        <row r="2282">
          <cell r="F2282">
            <v>0</v>
          </cell>
          <cell r="G2282">
            <v>0</v>
          </cell>
        </row>
        <row r="2283">
          <cell r="F2283">
            <v>0</v>
          </cell>
          <cell r="G2283">
            <v>0</v>
          </cell>
        </row>
        <row r="2284">
          <cell r="F2284">
            <v>0</v>
          </cell>
          <cell r="G2284">
            <v>0</v>
          </cell>
        </row>
        <row r="2285">
          <cell r="F2285">
            <v>0</v>
          </cell>
          <cell r="G2285">
            <v>0</v>
          </cell>
        </row>
        <row r="2286">
          <cell r="F2286">
            <v>0</v>
          </cell>
          <cell r="G2286">
            <v>0</v>
          </cell>
        </row>
        <row r="2287">
          <cell r="F2287">
            <v>0</v>
          </cell>
          <cell r="G2287">
            <v>0</v>
          </cell>
        </row>
        <row r="2288">
          <cell r="F2288">
            <v>0</v>
          </cell>
          <cell r="G2288">
            <v>0</v>
          </cell>
        </row>
        <row r="2289">
          <cell r="F2289">
            <v>0</v>
          </cell>
          <cell r="G2289">
            <v>0</v>
          </cell>
        </row>
        <row r="2290">
          <cell r="F2290">
            <v>0</v>
          </cell>
          <cell r="G2290">
            <v>0</v>
          </cell>
        </row>
        <row r="2291">
          <cell r="F2291">
            <v>0</v>
          </cell>
          <cell r="G2291">
            <v>0</v>
          </cell>
        </row>
        <row r="2292">
          <cell r="F2292">
            <v>0</v>
          </cell>
          <cell r="G2292">
            <v>0</v>
          </cell>
        </row>
        <row r="2293">
          <cell r="F2293">
            <v>0</v>
          </cell>
          <cell r="G2293">
            <v>0</v>
          </cell>
        </row>
        <row r="2294">
          <cell r="F2294">
            <v>0</v>
          </cell>
          <cell r="G2294">
            <v>0</v>
          </cell>
        </row>
        <row r="2295">
          <cell r="F2295">
            <v>0</v>
          </cell>
          <cell r="G2295">
            <v>0</v>
          </cell>
        </row>
        <row r="2296">
          <cell r="F2296">
            <v>0</v>
          </cell>
          <cell r="G2296">
            <v>0</v>
          </cell>
        </row>
        <row r="2297">
          <cell r="F2297">
            <v>0</v>
          </cell>
          <cell r="G2297">
            <v>0</v>
          </cell>
        </row>
        <row r="2298">
          <cell r="F2298">
            <v>0</v>
          </cell>
          <cell r="G2298">
            <v>0</v>
          </cell>
        </row>
        <row r="2299">
          <cell r="F2299">
            <v>0</v>
          </cell>
          <cell r="G2299">
            <v>0</v>
          </cell>
        </row>
        <row r="2300">
          <cell r="F2300">
            <v>0</v>
          </cell>
          <cell r="G2300">
            <v>0</v>
          </cell>
        </row>
        <row r="2301">
          <cell r="F2301">
            <v>0</v>
          </cell>
          <cell r="G2301">
            <v>0</v>
          </cell>
        </row>
        <row r="2302">
          <cell r="F2302">
            <v>0</v>
          </cell>
          <cell r="G2302">
            <v>0</v>
          </cell>
        </row>
        <row r="2303">
          <cell r="F2303">
            <v>0</v>
          </cell>
          <cell r="G2303">
            <v>0</v>
          </cell>
        </row>
        <row r="2304">
          <cell r="F2304">
            <v>0</v>
          </cell>
          <cell r="G2304">
            <v>0</v>
          </cell>
        </row>
        <row r="2305">
          <cell r="F2305">
            <v>0</v>
          </cell>
          <cell r="G2305">
            <v>0</v>
          </cell>
        </row>
        <row r="2306">
          <cell r="F2306">
            <v>0</v>
          </cell>
          <cell r="G2306">
            <v>0</v>
          </cell>
        </row>
        <row r="2307">
          <cell r="F2307">
            <v>0</v>
          </cell>
          <cell r="G2307">
            <v>0</v>
          </cell>
        </row>
        <row r="2308">
          <cell r="F2308">
            <v>0</v>
          </cell>
          <cell r="G2308">
            <v>0</v>
          </cell>
        </row>
        <row r="2309">
          <cell r="F2309">
            <v>0</v>
          </cell>
          <cell r="G2309">
            <v>0</v>
          </cell>
        </row>
        <row r="2310">
          <cell r="F2310">
            <v>0</v>
          </cell>
          <cell r="G2310">
            <v>0</v>
          </cell>
        </row>
        <row r="2311">
          <cell r="F2311">
            <v>0</v>
          </cell>
          <cell r="G2311">
            <v>0</v>
          </cell>
        </row>
        <row r="2312">
          <cell r="F2312">
            <v>0</v>
          </cell>
          <cell r="G2312">
            <v>0</v>
          </cell>
        </row>
        <row r="2313">
          <cell r="F2313">
            <v>0</v>
          </cell>
          <cell r="G2313">
            <v>0</v>
          </cell>
        </row>
        <row r="2314">
          <cell r="F2314">
            <v>0</v>
          </cell>
          <cell r="G2314">
            <v>0</v>
          </cell>
        </row>
        <row r="2315">
          <cell r="F2315">
            <v>0</v>
          </cell>
          <cell r="G2315">
            <v>0</v>
          </cell>
        </row>
        <row r="2316">
          <cell r="F2316">
            <v>0</v>
          </cell>
          <cell r="G2316">
            <v>0</v>
          </cell>
        </row>
        <row r="2317">
          <cell r="F2317">
            <v>0</v>
          </cell>
          <cell r="G2317">
            <v>0</v>
          </cell>
        </row>
        <row r="2318">
          <cell r="F2318">
            <v>0</v>
          </cell>
          <cell r="G2318">
            <v>0</v>
          </cell>
        </row>
        <row r="2319">
          <cell r="F2319">
            <v>0</v>
          </cell>
          <cell r="G2319">
            <v>0</v>
          </cell>
        </row>
        <row r="2320">
          <cell r="F2320">
            <v>0</v>
          </cell>
          <cell r="G2320">
            <v>0</v>
          </cell>
        </row>
        <row r="2321">
          <cell r="F2321">
            <v>0</v>
          </cell>
          <cell r="G2321">
            <v>0</v>
          </cell>
        </row>
        <row r="2322">
          <cell r="F2322">
            <v>0</v>
          </cell>
          <cell r="G2322">
            <v>0</v>
          </cell>
        </row>
        <row r="2323">
          <cell r="F2323">
            <v>0</v>
          </cell>
          <cell r="G2323">
            <v>0</v>
          </cell>
        </row>
        <row r="2324">
          <cell r="F2324">
            <v>0</v>
          </cell>
          <cell r="G2324">
            <v>0</v>
          </cell>
        </row>
        <row r="2325">
          <cell r="F2325">
            <v>0</v>
          </cell>
          <cell r="G2325">
            <v>0</v>
          </cell>
        </row>
        <row r="2326">
          <cell r="F2326">
            <v>0</v>
          </cell>
          <cell r="G2326">
            <v>0</v>
          </cell>
        </row>
        <row r="2327">
          <cell r="F2327">
            <v>0</v>
          </cell>
          <cell r="G2327">
            <v>0</v>
          </cell>
        </row>
        <row r="2328">
          <cell r="F2328">
            <v>0</v>
          </cell>
          <cell r="G2328">
            <v>0</v>
          </cell>
        </row>
        <row r="2329">
          <cell r="F2329">
            <v>0</v>
          </cell>
          <cell r="G2329">
            <v>0</v>
          </cell>
        </row>
        <row r="2330">
          <cell r="F2330">
            <v>0</v>
          </cell>
          <cell r="G2330">
            <v>0</v>
          </cell>
        </row>
        <row r="2331">
          <cell r="F2331">
            <v>0</v>
          </cell>
          <cell r="G2331">
            <v>0</v>
          </cell>
        </row>
        <row r="2332">
          <cell r="F2332">
            <v>0</v>
          </cell>
          <cell r="G2332">
            <v>0</v>
          </cell>
        </row>
        <row r="2333">
          <cell r="F2333">
            <v>0</v>
          </cell>
          <cell r="G2333">
            <v>0</v>
          </cell>
        </row>
        <row r="2334">
          <cell r="F2334">
            <v>0</v>
          </cell>
          <cell r="G2334">
            <v>0</v>
          </cell>
        </row>
        <row r="2335">
          <cell r="F2335">
            <v>0</v>
          </cell>
          <cell r="G2335">
            <v>0</v>
          </cell>
        </row>
        <row r="2336">
          <cell r="F2336">
            <v>0</v>
          </cell>
          <cell r="G2336">
            <v>0</v>
          </cell>
        </row>
        <row r="2337">
          <cell r="F2337">
            <v>0</v>
          </cell>
          <cell r="G2337">
            <v>0</v>
          </cell>
        </row>
        <row r="2338">
          <cell r="F2338">
            <v>0</v>
          </cell>
          <cell r="G2338">
            <v>0</v>
          </cell>
        </row>
        <row r="2339">
          <cell r="F2339">
            <v>0</v>
          </cell>
          <cell r="G2339">
            <v>0</v>
          </cell>
        </row>
        <row r="2340">
          <cell r="F2340">
            <v>0</v>
          </cell>
          <cell r="G2340">
            <v>0</v>
          </cell>
        </row>
        <row r="2341">
          <cell r="F2341">
            <v>0</v>
          </cell>
          <cell r="G2341">
            <v>0</v>
          </cell>
        </row>
        <row r="2342">
          <cell r="F2342">
            <v>0</v>
          </cell>
          <cell r="G2342">
            <v>0</v>
          </cell>
        </row>
        <row r="2343">
          <cell r="F2343">
            <v>0</v>
          </cell>
          <cell r="G2343">
            <v>0</v>
          </cell>
        </row>
        <row r="2344">
          <cell r="F2344">
            <v>0</v>
          </cell>
          <cell r="G2344">
            <v>0</v>
          </cell>
        </row>
        <row r="2345">
          <cell r="F2345">
            <v>0</v>
          </cell>
          <cell r="G2345">
            <v>0</v>
          </cell>
        </row>
        <row r="2346">
          <cell r="F2346">
            <v>0</v>
          </cell>
          <cell r="G2346">
            <v>0</v>
          </cell>
        </row>
        <row r="2347">
          <cell r="F2347">
            <v>0</v>
          </cell>
          <cell r="G2347">
            <v>0</v>
          </cell>
        </row>
        <row r="2348">
          <cell r="F2348">
            <v>0</v>
          </cell>
          <cell r="G2348">
            <v>0</v>
          </cell>
        </row>
        <row r="2349">
          <cell r="F2349">
            <v>0</v>
          </cell>
          <cell r="G2349">
            <v>0</v>
          </cell>
        </row>
        <row r="2350">
          <cell r="F2350">
            <v>0</v>
          </cell>
          <cell r="G2350">
            <v>0</v>
          </cell>
        </row>
        <row r="2351">
          <cell r="F2351">
            <v>0</v>
          </cell>
          <cell r="G2351">
            <v>0</v>
          </cell>
        </row>
        <row r="2352">
          <cell r="F2352">
            <v>0</v>
          </cell>
          <cell r="G2352">
            <v>0</v>
          </cell>
        </row>
        <row r="2353">
          <cell r="F2353">
            <v>0</v>
          </cell>
          <cell r="G2353">
            <v>0</v>
          </cell>
        </row>
        <row r="2354">
          <cell r="F2354">
            <v>0</v>
          </cell>
          <cell r="G2354">
            <v>0</v>
          </cell>
        </row>
        <row r="2355">
          <cell r="F2355">
            <v>0</v>
          </cell>
          <cell r="G2355">
            <v>0</v>
          </cell>
        </row>
        <row r="2356">
          <cell r="F2356">
            <v>0</v>
          </cell>
          <cell r="G2356">
            <v>0</v>
          </cell>
        </row>
        <row r="2357">
          <cell r="F2357">
            <v>0</v>
          </cell>
          <cell r="G2357">
            <v>0</v>
          </cell>
        </row>
        <row r="2358">
          <cell r="F2358">
            <v>0</v>
          </cell>
          <cell r="G2358">
            <v>0</v>
          </cell>
        </row>
        <row r="2359">
          <cell r="F2359">
            <v>0</v>
          </cell>
          <cell r="G2359">
            <v>0</v>
          </cell>
        </row>
        <row r="2360">
          <cell r="F2360">
            <v>0</v>
          </cell>
          <cell r="G2360">
            <v>0</v>
          </cell>
        </row>
        <row r="2361">
          <cell r="F2361">
            <v>0</v>
          </cell>
          <cell r="G2361">
            <v>0</v>
          </cell>
        </row>
        <row r="2362">
          <cell r="F2362">
            <v>0</v>
          </cell>
          <cell r="G2362">
            <v>0</v>
          </cell>
        </row>
        <row r="2363">
          <cell r="F2363">
            <v>0</v>
          </cell>
          <cell r="G2363">
            <v>0</v>
          </cell>
        </row>
        <row r="2364">
          <cell r="F2364">
            <v>0</v>
          </cell>
          <cell r="G2364">
            <v>0</v>
          </cell>
        </row>
        <row r="2365">
          <cell r="F2365">
            <v>0</v>
          </cell>
          <cell r="G2365">
            <v>0</v>
          </cell>
        </row>
        <row r="2366">
          <cell r="F2366">
            <v>0</v>
          </cell>
          <cell r="G2366">
            <v>0</v>
          </cell>
        </row>
        <row r="2367">
          <cell r="F2367">
            <v>0</v>
          </cell>
          <cell r="G2367">
            <v>0</v>
          </cell>
        </row>
        <row r="2368">
          <cell r="F2368">
            <v>0</v>
          </cell>
          <cell r="G2368">
            <v>0</v>
          </cell>
        </row>
        <row r="2369">
          <cell r="F2369">
            <v>0</v>
          </cell>
          <cell r="G2369">
            <v>0</v>
          </cell>
        </row>
        <row r="2370">
          <cell r="F2370">
            <v>0</v>
          </cell>
          <cell r="G2370">
            <v>0</v>
          </cell>
        </row>
        <row r="2371">
          <cell r="F2371">
            <v>0</v>
          </cell>
          <cell r="G2371">
            <v>0</v>
          </cell>
        </row>
        <row r="2372">
          <cell r="F2372">
            <v>0</v>
          </cell>
          <cell r="G2372">
            <v>0</v>
          </cell>
        </row>
        <row r="2373">
          <cell r="F2373">
            <v>0</v>
          </cell>
          <cell r="G2373">
            <v>0</v>
          </cell>
        </row>
        <row r="2374">
          <cell r="F2374">
            <v>0</v>
          </cell>
          <cell r="G2374">
            <v>0</v>
          </cell>
        </row>
        <row r="2375">
          <cell r="F2375">
            <v>0</v>
          </cell>
          <cell r="G2375">
            <v>0</v>
          </cell>
        </row>
        <row r="2376">
          <cell r="F2376">
            <v>0</v>
          </cell>
          <cell r="G2376">
            <v>0</v>
          </cell>
        </row>
        <row r="2377">
          <cell r="F2377">
            <v>0</v>
          </cell>
          <cell r="G2377">
            <v>0</v>
          </cell>
        </row>
        <row r="2378">
          <cell r="F2378">
            <v>0</v>
          </cell>
          <cell r="G2378">
            <v>0</v>
          </cell>
        </row>
        <row r="2379">
          <cell r="F2379">
            <v>0</v>
          </cell>
          <cell r="G2379">
            <v>0</v>
          </cell>
        </row>
        <row r="2380">
          <cell r="F2380">
            <v>0</v>
          </cell>
          <cell r="G2380">
            <v>0</v>
          </cell>
        </row>
        <row r="2381">
          <cell r="F2381">
            <v>0</v>
          </cell>
          <cell r="G2381">
            <v>0</v>
          </cell>
        </row>
        <row r="2382">
          <cell r="F2382">
            <v>0</v>
          </cell>
          <cell r="G2382">
            <v>0</v>
          </cell>
        </row>
        <row r="2383">
          <cell r="F2383">
            <v>0</v>
          </cell>
          <cell r="G2383">
            <v>0</v>
          </cell>
        </row>
        <row r="2384">
          <cell r="F2384">
            <v>0</v>
          </cell>
          <cell r="G2384">
            <v>0</v>
          </cell>
        </row>
        <row r="2385">
          <cell r="F2385">
            <v>0</v>
          </cell>
          <cell r="G2385">
            <v>0</v>
          </cell>
        </row>
        <row r="2386">
          <cell r="F2386">
            <v>0</v>
          </cell>
          <cell r="G2386">
            <v>0</v>
          </cell>
        </row>
        <row r="2387">
          <cell r="F2387">
            <v>0</v>
          </cell>
          <cell r="G2387">
            <v>0</v>
          </cell>
        </row>
        <row r="2388">
          <cell r="F2388">
            <v>0</v>
          </cell>
          <cell r="G2388">
            <v>0</v>
          </cell>
        </row>
        <row r="2389">
          <cell r="F2389">
            <v>0</v>
          </cell>
          <cell r="G2389">
            <v>0</v>
          </cell>
        </row>
        <row r="2390">
          <cell r="F2390">
            <v>0</v>
          </cell>
          <cell r="G2390">
            <v>0</v>
          </cell>
        </row>
        <row r="2391">
          <cell r="F2391">
            <v>0</v>
          </cell>
          <cell r="G2391">
            <v>0</v>
          </cell>
        </row>
        <row r="2392">
          <cell r="F2392">
            <v>0</v>
          </cell>
          <cell r="G2392">
            <v>0</v>
          </cell>
        </row>
        <row r="2393">
          <cell r="F2393">
            <v>0</v>
          </cell>
          <cell r="G2393">
            <v>0</v>
          </cell>
        </row>
        <row r="2394">
          <cell r="F2394">
            <v>0</v>
          </cell>
          <cell r="G2394">
            <v>0</v>
          </cell>
        </row>
        <row r="2395">
          <cell r="F2395">
            <v>0</v>
          </cell>
          <cell r="G2395">
            <v>0</v>
          </cell>
        </row>
        <row r="2396">
          <cell r="F2396">
            <v>0</v>
          </cell>
          <cell r="G2396">
            <v>0</v>
          </cell>
        </row>
        <row r="2397">
          <cell r="F2397">
            <v>0</v>
          </cell>
          <cell r="G2397">
            <v>0</v>
          </cell>
        </row>
        <row r="2398">
          <cell r="F2398">
            <v>0</v>
          </cell>
          <cell r="G2398">
            <v>0</v>
          </cell>
        </row>
        <row r="2399">
          <cell r="F2399">
            <v>0</v>
          </cell>
          <cell r="G2399">
            <v>0</v>
          </cell>
        </row>
        <row r="2400">
          <cell r="F2400">
            <v>0</v>
          </cell>
          <cell r="G2400">
            <v>0</v>
          </cell>
        </row>
        <row r="2401">
          <cell r="F2401">
            <v>0</v>
          </cell>
          <cell r="G2401">
            <v>0</v>
          </cell>
        </row>
        <row r="2402">
          <cell r="F2402">
            <v>0</v>
          </cell>
          <cell r="G2402">
            <v>0</v>
          </cell>
        </row>
        <row r="2403">
          <cell r="F2403">
            <v>0</v>
          </cell>
          <cell r="G2403">
            <v>0</v>
          </cell>
        </row>
        <row r="2404">
          <cell r="F2404">
            <v>0</v>
          </cell>
          <cell r="G2404">
            <v>0</v>
          </cell>
        </row>
        <row r="2405">
          <cell r="F2405">
            <v>0</v>
          </cell>
          <cell r="G2405">
            <v>0</v>
          </cell>
        </row>
        <row r="2406">
          <cell r="F2406">
            <v>0</v>
          </cell>
          <cell r="G2406">
            <v>0</v>
          </cell>
        </row>
        <row r="2407">
          <cell r="F2407">
            <v>0</v>
          </cell>
          <cell r="G2407">
            <v>0</v>
          </cell>
        </row>
        <row r="2408">
          <cell r="F2408">
            <v>0</v>
          </cell>
          <cell r="G2408">
            <v>0</v>
          </cell>
        </row>
        <row r="2409">
          <cell r="F2409">
            <v>0</v>
          </cell>
          <cell r="G2409">
            <v>0</v>
          </cell>
        </row>
        <row r="2410">
          <cell r="F2410">
            <v>0</v>
          </cell>
          <cell r="G2410">
            <v>0</v>
          </cell>
        </row>
        <row r="2411">
          <cell r="F2411">
            <v>0</v>
          </cell>
          <cell r="G2411">
            <v>0</v>
          </cell>
        </row>
        <row r="2412">
          <cell r="F2412">
            <v>0</v>
          </cell>
          <cell r="G2412">
            <v>0</v>
          </cell>
        </row>
        <row r="2413">
          <cell r="F2413">
            <v>0</v>
          </cell>
          <cell r="G2413">
            <v>0</v>
          </cell>
        </row>
        <row r="2414">
          <cell r="F2414">
            <v>0</v>
          </cell>
          <cell r="G2414">
            <v>0</v>
          </cell>
        </row>
        <row r="2415">
          <cell r="F2415">
            <v>0</v>
          </cell>
          <cell r="G2415">
            <v>0</v>
          </cell>
        </row>
        <row r="2416">
          <cell r="F2416">
            <v>0</v>
          </cell>
          <cell r="G2416">
            <v>0</v>
          </cell>
        </row>
        <row r="2417">
          <cell r="F2417">
            <v>0</v>
          </cell>
          <cell r="G2417">
            <v>0</v>
          </cell>
        </row>
        <row r="2418">
          <cell r="F2418">
            <v>0</v>
          </cell>
          <cell r="G2418">
            <v>0</v>
          </cell>
        </row>
        <row r="2419">
          <cell r="F2419">
            <v>0</v>
          </cell>
          <cell r="G2419">
            <v>0</v>
          </cell>
        </row>
        <row r="2420">
          <cell r="F2420">
            <v>0</v>
          </cell>
          <cell r="G2420">
            <v>0</v>
          </cell>
        </row>
        <row r="2421">
          <cell r="F2421">
            <v>0</v>
          </cell>
          <cell r="G2421">
            <v>0</v>
          </cell>
        </row>
        <row r="2422">
          <cell r="F2422">
            <v>0</v>
          </cell>
          <cell r="G2422">
            <v>0</v>
          </cell>
        </row>
        <row r="2423">
          <cell r="F2423">
            <v>0</v>
          </cell>
          <cell r="G2423">
            <v>0</v>
          </cell>
        </row>
        <row r="2424">
          <cell r="F2424">
            <v>0</v>
          </cell>
          <cell r="G2424">
            <v>0</v>
          </cell>
        </row>
        <row r="2425">
          <cell r="F2425">
            <v>0</v>
          </cell>
          <cell r="G2425">
            <v>0</v>
          </cell>
        </row>
        <row r="2426">
          <cell r="F2426">
            <v>0</v>
          </cell>
          <cell r="G2426">
            <v>0</v>
          </cell>
        </row>
        <row r="2427">
          <cell r="F2427">
            <v>0</v>
          </cell>
          <cell r="G2427">
            <v>0</v>
          </cell>
        </row>
        <row r="2428">
          <cell r="F2428">
            <v>0</v>
          </cell>
          <cell r="G2428">
            <v>0</v>
          </cell>
        </row>
        <row r="2429">
          <cell r="F2429">
            <v>0</v>
          </cell>
          <cell r="G2429">
            <v>0</v>
          </cell>
        </row>
        <row r="2430">
          <cell r="F2430">
            <v>0</v>
          </cell>
          <cell r="G2430">
            <v>0</v>
          </cell>
        </row>
        <row r="2431">
          <cell r="F2431">
            <v>0</v>
          </cell>
          <cell r="G2431">
            <v>0</v>
          </cell>
        </row>
        <row r="2432">
          <cell r="F2432">
            <v>0</v>
          </cell>
          <cell r="G2432">
            <v>0</v>
          </cell>
        </row>
        <row r="2433">
          <cell r="F2433">
            <v>0</v>
          </cell>
          <cell r="G2433">
            <v>0</v>
          </cell>
        </row>
        <row r="2434">
          <cell r="F2434">
            <v>0</v>
          </cell>
          <cell r="G2434">
            <v>0</v>
          </cell>
        </row>
        <row r="2435">
          <cell r="F2435">
            <v>0</v>
          </cell>
          <cell r="G2435">
            <v>0</v>
          </cell>
        </row>
        <row r="2436">
          <cell r="F2436">
            <v>0</v>
          </cell>
          <cell r="G2436">
            <v>0</v>
          </cell>
        </row>
        <row r="2437">
          <cell r="F2437">
            <v>0</v>
          </cell>
          <cell r="G2437">
            <v>0</v>
          </cell>
        </row>
        <row r="2438">
          <cell r="F2438">
            <v>0</v>
          </cell>
          <cell r="G2438">
            <v>0</v>
          </cell>
        </row>
        <row r="2439">
          <cell r="F2439">
            <v>0</v>
          </cell>
          <cell r="G2439">
            <v>0</v>
          </cell>
        </row>
        <row r="2440">
          <cell r="F2440">
            <v>0</v>
          </cell>
          <cell r="G2440">
            <v>0</v>
          </cell>
        </row>
        <row r="2441">
          <cell r="F2441">
            <v>0</v>
          </cell>
          <cell r="G2441">
            <v>0</v>
          </cell>
        </row>
        <row r="2442">
          <cell r="F2442">
            <v>0</v>
          </cell>
          <cell r="G2442">
            <v>0</v>
          </cell>
        </row>
        <row r="2443">
          <cell r="F2443">
            <v>0</v>
          </cell>
          <cell r="G2443">
            <v>0</v>
          </cell>
        </row>
        <row r="2444">
          <cell r="F2444">
            <v>0</v>
          </cell>
          <cell r="G2444">
            <v>0</v>
          </cell>
        </row>
        <row r="2445">
          <cell r="F2445">
            <v>0</v>
          </cell>
          <cell r="G2445">
            <v>0</v>
          </cell>
        </row>
        <row r="2446">
          <cell r="F2446">
            <v>0</v>
          </cell>
          <cell r="G2446">
            <v>0</v>
          </cell>
        </row>
        <row r="2447">
          <cell r="F2447">
            <v>0</v>
          </cell>
          <cell r="G2447">
            <v>0</v>
          </cell>
        </row>
        <row r="2448">
          <cell r="F2448">
            <v>0</v>
          </cell>
          <cell r="G2448">
            <v>0</v>
          </cell>
        </row>
        <row r="2449">
          <cell r="F2449">
            <v>0</v>
          </cell>
          <cell r="G2449">
            <v>0</v>
          </cell>
        </row>
        <row r="2450">
          <cell r="F2450">
            <v>0</v>
          </cell>
          <cell r="G2450">
            <v>0</v>
          </cell>
        </row>
        <row r="2451">
          <cell r="F2451">
            <v>0</v>
          </cell>
          <cell r="G2451">
            <v>0</v>
          </cell>
        </row>
        <row r="2452">
          <cell r="F2452">
            <v>0</v>
          </cell>
          <cell r="G2452">
            <v>0</v>
          </cell>
        </row>
        <row r="2453">
          <cell r="F2453">
            <v>0</v>
          </cell>
          <cell r="G2453">
            <v>0</v>
          </cell>
        </row>
        <row r="2454">
          <cell r="F2454">
            <v>0</v>
          </cell>
          <cell r="G2454">
            <v>0</v>
          </cell>
        </row>
        <row r="2455">
          <cell r="F2455">
            <v>0</v>
          </cell>
          <cell r="G2455">
            <v>0</v>
          </cell>
        </row>
        <row r="2456">
          <cell r="F2456">
            <v>0</v>
          </cell>
          <cell r="G2456">
            <v>0</v>
          </cell>
        </row>
        <row r="2457">
          <cell r="F2457">
            <v>0</v>
          </cell>
          <cell r="G2457">
            <v>0</v>
          </cell>
        </row>
        <row r="2458">
          <cell r="F2458">
            <v>0</v>
          </cell>
          <cell r="G2458">
            <v>0</v>
          </cell>
        </row>
        <row r="2459">
          <cell r="F2459">
            <v>0</v>
          </cell>
          <cell r="G2459">
            <v>0</v>
          </cell>
        </row>
        <row r="2460">
          <cell r="F2460">
            <v>0</v>
          </cell>
          <cell r="G2460">
            <v>0</v>
          </cell>
        </row>
        <row r="2461">
          <cell r="F2461">
            <v>0</v>
          </cell>
          <cell r="G2461">
            <v>0</v>
          </cell>
        </row>
        <row r="2462">
          <cell r="F2462">
            <v>0</v>
          </cell>
          <cell r="G2462">
            <v>0</v>
          </cell>
        </row>
        <row r="2463">
          <cell r="F2463">
            <v>0</v>
          </cell>
          <cell r="G2463">
            <v>0</v>
          </cell>
        </row>
        <row r="2464">
          <cell r="F2464">
            <v>0</v>
          </cell>
          <cell r="G2464">
            <v>0</v>
          </cell>
        </row>
        <row r="2465">
          <cell r="F2465">
            <v>0</v>
          </cell>
          <cell r="G2465">
            <v>0</v>
          </cell>
        </row>
        <row r="2466">
          <cell r="F2466">
            <v>0</v>
          </cell>
          <cell r="G2466">
            <v>0</v>
          </cell>
        </row>
        <row r="2467">
          <cell r="F2467">
            <v>0</v>
          </cell>
          <cell r="G2467">
            <v>0</v>
          </cell>
        </row>
        <row r="2468">
          <cell r="F2468">
            <v>0</v>
          </cell>
          <cell r="G2468">
            <v>0</v>
          </cell>
        </row>
        <row r="2469">
          <cell r="F2469">
            <v>0</v>
          </cell>
          <cell r="G2469">
            <v>0</v>
          </cell>
        </row>
        <row r="2470">
          <cell r="F2470">
            <v>0</v>
          </cell>
          <cell r="G2470">
            <v>0</v>
          </cell>
        </row>
        <row r="2471">
          <cell r="F2471">
            <v>0</v>
          </cell>
          <cell r="G2471">
            <v>0</v>
          </cell>
        </row>
        <row r="2472">
          <cell r="F2472">
            <v>0</v>
          </cell>
          <cell r="G2472">
            <v>0</v>
          </cell>
        </row>
        <row r="2473">
          <cell r="F2473">
            <v>0</v>
          </cell>
          <cell r="G2473">
            <v>0</v>
          </cell>
        </row>
        <row r="2474">
          <cell r="F2474">
            <v>0</v>
          </cell>
          <cell r="G2474">
            <v>0</v>
          </cell>
        </row>
        <row r="2475">
          <cell r="F2475">
            <v>0</v>
          </cell>
          <cell r="G2475">
            <v>0</v>
          </cell>
        </row>
        <row r="2476">
          <cell r="F2476">
            <v>0</v>
          </cell>
          <cell r="G2476">
            <v>0</v>
          </cell>
        </row>
        <row r="2477">
          <cell r="F2477">
            <v>0</v>
          </cell>
          <cell r="G2477">
            <v>0</v>
          </cell>
        </row>
        <row r="2478">
          <cell r="F2478">
            <v>0</v>
          </cell>
          <cell r="G2478">
            <v>0</v>
          </cell>
        </row>
        <row r="2479">
          <cell r="F2479">
            <v>0</v>
          </cell>
          <cell r="G2479">
            <v>0</v>
          </cell>
        </row>
        <row r="2480">
          <cell r="F2480">
            <v>0</v>
          </cell>
          <cell r="G2480">
            <v>0</v>
          </cell>
        </row>
        <row r="2481">
          <cell r="F2481">
            <v>0</v>
          </cell>
          <cell r="G2481">
            <v>0</v>
          </cell>
        </row>
        <row r="2482">
          <cell r="F2482">
            <v>0</v>
          </cell>
          <cell r="G2482">
            <v>0</v>
          </cell>
        </row>
        <row r="2483">
          <cell r="F2483">
            <v>0</v>
          </cell>
          <cell r="G2483">
            <v>0</v>
          </cell>
        </row>
        <row r="2484">
          <cell r="F2484">
            <v>0</v>
          </cell>
          <cell r="G2484">
            <v>0</v>
          </cell>
        </row>
        <row r="2485">
          <cell r="F2485">
            <v>0</v>
          </cell>
          <cell r="G2485">
            <v>0</v>
          </cell>
        </row>
        <row r="2486">
          <cell r="F2486">
            <v>0</v>
          </cell>
          <cell r="G2486">
            <v>0</v>
          </cell>
        </row>
        <row r="2487">
          <cell r="F2487">
            <v>0</v>
          </cell>
          <cell r="G2487">
            <v>0</v>
          </cell>
        </row>
        <row r="2488">
          <cell r="F2488">
            <v>0</v>
          </cell>
          <cell r="G2488">
            <v>0</v>
          </cell>
        </row>
        <row r="2489">
          <cell r="F2489">
            <v>0</v>
          </cell>
          <cell r="G2489">
            <v>0</v>
          </cell>
        </row>
        <row r="2490">
          <cell r="F2490">
            <v>0</v>
          </cell>
          <cell r="G2490">
            <v>0</v>
          </cell>
        </row>
        <row r="2491">
          <cell r="F2491">
            <v>0</v>
          </cell>
          <cell r="G2491">
            <v>0</v>
          </cell>
        </row>
        <row r="2492">
          <cell r="F2492">
            <v>0</v>
          </cell>
          <cell r="G2492">
            <v>0</v>
          </cell>
        </row>
        <row r="2493">
          <cell r="F2493">
            <v>0</v>
          </cell>
          <cell r="G2493">
            <v>0</v>
          </cell>
        </row>
        <row r="2494">
          <cell r="F2494">
            <v>0</v>
          </cell>
          <cell r="G2494">
            <v>0</v>
          </cell>
        </row>
        <row r="2495">
          <cell r="F2495">
            <v>0</v>
          </cell>
          <cell r="G2495">
            <v>0</v>
          </cell>
        </row>
        <row r="2496">
          <cell r="F2496">
            <v>0</v>
          </cell>
          <cell r="G2496">
            <v>0</v>
          </cell>
        </row>
        <row r="2497">
          <cell r="F2497">
            <v>0</v>
          </cell>
          <cell r="G2497">
            <v>0</v>
          </cell>
        </row>
        <row r="2498">
          <cell r="F2498">
            <v>0</v>
          </cell>
          <cell r="G2498">
            <v>0</v>
          </cell>
        </row>
        <row r="2499">
          <cell r="F2499">
            <v>0</v>
          </cell>
          <cell r="G2499">
            <v>0</v>
          </cell>
        </row>
        <row r="2500">
          <cell r="F2500">
            <v>0</v>
          </cell>
          <cell r="G2500">
            <v>0</v>
          </cell>
        </row>
        <row r="2501">
          <cell r="F2501">
            <v>0</v>
          </cell>
          <cell r="G2501">
            <v>0</v>
          </cell>
        </row>
        <row r="2502">
          <cell r="F2502">
            <v>0</v>
          </cell>
          <cell r="G2502">
            <v>0</v>
          </cell>
        </row>
        <row r="2503">
          <cell r="F2503">
            <v>0</v>
          </cell>
          <cell r="G2503">
            <v>0</v>
          </cell>
        </row>
        <row r="2504">
          <cell r="F2504">
            <v>0</v>
          </cell>
          <cell r="G2504">
            <v>0</v>
          </cell>
        </row>
        <row r="2505">
          <cell r="F2505">
            <v>0</v>
          </cell>
          <cell r="G2505">
            <v>0</v>
          </cell>
        </row>
        <row r="2506">
          <cell r="F2506">
            <v>0</v>
          </cell>
          <cell r="G2506">
            <v>0</v>
          </cell>
        </row>
        <row r="2507">
          <cell r="F2507">
            <v>0</v>
          </cell>
          <cell r="G2507">
            <v>0</v>
          </cell>
        </row>
        <row r="2508">
          <cell r="F2508">
            <v>0</v>
          </cell>
          <cell r="G2508">
            <v>0</v>
          </cell>
        </row>
        <row r="2509">
          <cell r="F2509">
            <v>0</v>
          </cell>
          <cell r="G2509">
            <v>0</v>
          </cell>
        </row>
        <row r="2510">
          <cell r="F2510">
            <v>0</v>
          </cell>
          <cell r="G2510">
            <v>0</v>
          </cell>
        </row>
        <row r="2511">
          <cell r="F2511">
            <v>0</v>
          </cell>
          <cell r="G2511">
            <v>0</v>
          </cell>
        </row>
        <row r="2512">
          <cell r="F2512">
            <v>0</v>
          </cell>
          <cell r="G2512">
            <v>0</v>
          </cell>
        </row>
        <row r="2513">
          <cell r="F2513">
            <v>0</v>
          </cell>
          <cell r="G2513">
            <v>0</v>
          </cell>
        </row>
        <row r="2514">
          <cell r="F2514">
            <v>0</v>
          </cell>
          <cell r="G2514">
            <v>0</v>
          </cell>
        </row>
        <row r="2515">
          <cell r="F2515">
            <v>0</v>
          </cell>
          <cell r="G2515">
            <v>0</v>
          </cell>
        </row>
        <row r="2516">
          <cell r="F2516">
            <v>0</v>
          </cell>
          <cell r="G2516">
            <v>0</v>
          </cell>
        </row>
        <row r="2517">
          <cell r="F2517">
            <v>0</v>
          </cell>
          <cell r="G2517">
            <v>0</v>
          </cell>
        </row>
        <row r="2518">
          <cell r="F2518">
            <v>0</v>
          </cell>
          <cell r="G2518">
            <v>0</v>
          </cell>
        </row>
        <row r="2519">
          <cell r="F2519">
            <v>0</v>
          </cell>
          <cell r="G2519">
            <v>0</v>
          </cell>
        </row>
        <row r="2520">
          <cell r="F2520">
            <v>0</v>
          </cell>
          <cell r="G2520">
            <v>0</v>
          </cell>
        </row>
        <row r="2521">
          <cell r="F2521">
            <v>0</v>
          </cell>
          <cell r="G2521">
            <v>0</v>
          </cell>
        </row>
        <row r="2522">
          <cell r="F2522">
            <v>0</v>
          </cell>
          <cell r="G2522">
            <v>0</v>
          </cell>
        </row>
        <row r="2523">
          <cell r="F2523">
            <v>0</v>
          </cell>
          <cell r="G2523">
            <v>0</v>
          </cell>
        </row>
        <row r="2524">
          <cell r="F2524">
            <v>0</v>
          </cell>
          <cell r="G2524">
            <v>0</v>
          </cell>
        </row>
        <row r="2525">
          <cell r="F2525">
            <v>0</v>
          </cell>
          <cell r="G2525">
            <v>0</v>
          </cell>
        </row>
        <row r="2526">
          <cell r="F2526">
            <v>0</v>
          </cell>
          <cell r="G2526">
            <v>0</v>
          </cell>
        </row>
        <row r="2527">
          <cell r="F2527">
            <v>0</v>
          </cell>
          <cell r="G2527">
            <v>0</v>
          </cell>
        </row>
        <row r="2528">
          <cell r="F2528">
            <v>0</v>
          </cell>
          <cell r="G2528">
            <v>0</v>
          </cell>
        </row>
        <row r="2529">
          <cell r="F2529">
            <v>0</v>
          </cell>
          <cell r="G2529">
            <v>0</v>
          </cell>
        </row>
        <row r="2530">
          <cell r="F2530">
            <v>0</v>
          </cell>
          <cell r="G2530">
            <v>0</v>
          </cell>
        </row>
        <row r="2531">
          <cell r="F2531">
            <v>0</v>
          </cell>
          <cell r="G2531">
            <v>0</v>
          </cell>
        </row>
        <row r="2532">
          <cell r="F2532">
            <v>0</v>
          </cell>
          <cell r="G2532">
            <v>0</v>
          </cell>
        </row>
        <row r="2533">
          <cell r="F2533">
            <v>0</v>
          </cell>
          <cell r="G2533">
            <v>0</v>
          </cell>
        </row>
        <row r="2534">
          <cell r="F2534">
            <v>0</v>
          </cell>
          <cell r="G2534">
            <v>0</v>
          </cell>
        </row>
        <row r="2535">
          <cell r="F2535">
            <v>0</v>
          </cell>
          <cell r="G2535">
            <v>0</v>
          </cell>
        </row>
        <row r="2536">
          <cell r="F2536">
            <v>0</v>
          </cell>
          <cell r="G2536">
            <v>0</v>
          </cell>
        </row>
        <row r="2537">
          <cell r="F2537">
            <v>0</v>
          </cell>
          <cell r="G2537">
            <v>0</v>
          </cell>
        </row>
        <row r="2538">
          <cell r="F2538">
            <v>0</v>
          </cell>
          <cell r="G2538">
            <v>0</v>
          </cell>
        </row>
        <row r="2539">
          <cell r="F2539">
            <v>0</v>
          </cell>
          <cell r="G2539">
            <v>0</v>
          </cell>
        </row>
        <row r="2540">
          <cell r="F2540">
            <v>0</v>
          </cell>
          <cell r="G2540">
            <v>0</v>
          </cell>
        </row>
        <row r="2541">
          <cell r="F2541">
            <v>0</v>
          </cell>
          <cell r="G2541">
            <v>0</v>
          </cell>
        </row>
        <row r="2542">
          <cell r="F2542">
            <v>0</v>
          </cell>
          <cell r="G2542">
            <v>0</v>
          </cell>
        </row>
        <row r="2543">
          <cell r="F2543">
            <v>0</v>
          </cell>
          <cell r="G2543">
            <v>0</v>
          </cell>
        </row>
        <row r="2544">
          <cell r="F2544">
            <v>0</v>
          </cell>
          <cell r="G2544">
            <v>0</v>
          </cell>
        </row>
        <row r="2545">
          <cell r="F2545">
            <v>0</v>
          </cell>
          <cell r="G2545">
            <v>0</v>
          </cell>
        </row>
        <row r="2546">
          <cell r="F2546">
            <v>0</v>
          </cell>
          <cell r="G2546">
            <v>0</v>
          </cell>
        </row>
        <row r="2547">
          <cell r="F2547">
            <v>0</v>
          </cell>
          <cell r="G2547">
            <v>0</v>
          </cell>
        </row>
        <row r="2548">
          <cell r="F2548">
            <v>0</v>
          </cell>
          <cell r="G2548">
            <v>0</v>
          </cell>
        </row>
        <row r="2549">
          <cell r="F2549">
            <v>0</v>
          </cell>
          <cell r="G2549">
            <v>0</v>
          </cell>
        </row>
        <row r="2550">
          <cell r="F2550">
            <v>0</v>
          </cell>
          <cell r="G2550">
            <v>0</v>
          </cell>
        </row>
        <row r="2551">
          <cell r="F2551">
            <v>0</v>
          </cell>
          <cell r="G2551">
            <v>0</v>
          </cell>
        </row>
        <row r="2552">
          <cell r="F2552">
            <v>0</v>
          </cell>
          <cell r="G2552">
            <v>0</v>
          </cell>
        </row>
        <row r="2553">
          <cell r="F2553">
            <v>0</v>
          </cell>
          <cell r="G2553">
            <v>0</v>
          </cell>
        </row>
        <row r="2554">
          <cell r="F2554">
            <v>0</v>
          </cell>
          <cell r="G2554">
            <v>0</v>
          </cell>
        </row>
        <row r="2555">
          <cell r="F2555">
            <v>0</v>
          </cell>
          <cell r="G2555">
            <v>0</v>
          </cell>
        </row>
        <row r="2556">
          <cell r="F2556">
            <v>0</v>
          </cell>
          <cell r="G2556">
            <v>0</v>
          </cell>
        </row>
        <row r="2557">
          <cell r="F2557">
            <v>0</v>
          </cell>
          <cell r="G2557">
            <v>0</v>
          </cell>
        </row>
        <row r="2558">
          <cell r="F2558">
            <v>0</v>
          </cell>
          <cell r="G2558">
            <v>0</v>
          </cell>
        </row>
        <row r="2559">
          <cell r="F2559">
            <v>0</v>
          </cell>
          <cell r="G2559">
            <v>0</v>
          </cell>
        </row>
        <row r="2560">
          <cell r="F2560">
            <v>0</v>
          </cell>
          <cell r="G2560">
            <v>0</v>
          </cell>
        </row>
        <row r="2561">
          <cell r="F2561">
            <v>0</v>
          </cell>
          <cell r="G2561">
            <v>0</v>
          </cell>
        </row>
        <row r="2562">
          <cell r="F2562">
            <v>0</v>
          </cell>
          <cell r="G2562">
            <v>0</v>
          </cell>
        </row>
        <row r="2563">
          <cell r="F2563">
            <v>0</v>
          </cell>
          <cell r="G2563">
            <v>0</v>
          </cell>
        </row>
        <row r="2564">
          <cell r="F2564">
            <v>0</v>
          </cell>
          <cell r="G2564">
            <v>0</v>
          </cell>
        </row>
        <row r="2565">
          <cell r="F2565">
            <v>0</v>
          </cell>
          <cell r="G2565">
            <v>0</v>
          </cell>
        </row>
        <row r="2566">
          <cell r="F2566">
            <v>0</v>
          </cell>
          <cell r="G2566">
            <v>0</v>
          </cell>
        </row>
        <row r="2567">
          <cell r="F2567">
            <v>0</v>
          </cell>
          <cell r="G2567">
            <v>0</v>
          </cell>
        </row>
        <row r="2568">
          <cell r="F2568">
            <v>0</v>
          </cell>
          <cell r="G2568">
            <v>0</v>
          </cell>
        </row>
        <row r="2569">
          <cell r="F2569">
            <v>0</v>
          </cell>
          <cell r="G2569">
            <v>0</v>
          </cell>
        </row>
        <row r="2570">
          <cell r="F2570">
            <v>0</v>
          </cell>
          <cell r="G2570">
            <v>0</v>
          </cell>
        </row>
        <row r="2571">
          <cell r="F2571">
            <v>0</v>
          </cell>
          <cell r="G2571">
            <v>0</v>
          </cell>
        </row>
        <row r="2572">
          <cell r="F2572">
            <v>0</v>
          </cell>
          <cell r="G2572">
            <v>0</v>
          </cell>
        </row>
        <row r="2573">
          <cell r="F2573">
            <v>0</v>
          </cell>
          <cell r="G2573">
            <v>0</v>
          </cell>
        </row>
        <row r="2574">
          <cell r="F2574">
            <v>0</v>
          </cell>
          <cell r="G2574">
            <v>0</v>
          </cell>
        </row>
        <row r="2575">
          <cell r="F2575">
            <v>0</v>
          </cell>
          <cell r="G2575">
            <v>0</v>
          </cell>
        </row>
        <row r="2576">
          <cell r="F2576">
            <v>0</v>
          </cell>
          <cell r="G2576">
            <v>0</v>
          </cell>
        </row>
        <row r="2577">
          <cell r="F2577">
            <v>0</v>
          </cell>
          <cell r="G2577">
            <v>0</v>
          </cell>
        </row>
        <row r="2578">
          <cell r="F2578">
            <v>0</v>
          </cell>
          <cell r="G2578">
            <v>0</v>
          </cell>
        </row>
        <row r="2579">
          <cell r="F2579">
            <v>0</v>
          </cell>
          <cell r="G2579">
            <v>0</v>
          </cell>
        </row>
        <row r="2580">
          <cell r="F2580">
            <v>0</v>
          </cell>
          <cell r="G2580">
            <v>0</v>
          </cell>
        </row>
        <row r="2581">
          <cell r="F2581">
            <v>0</v>
          </cell>
          <cell r="G2581">
            <v>0</v>
          </cell>
        </row>
        <row r="2582">
          <cell r="F2582">
            <v>0</v>
          </cell>
          <cell r="G2582">
            <v>0</v>
          </cell>
        </row>
        <row r="2583">
          <cell r="F2583">
            <v>0</v>
          </cell>
          <cell r="G2583">
            <v>0</v>
          </cell>
        </row>
        <row r="2584">
          <cell r="F2584">
            <v>0</v>
          </cell>
          <cell r="G2584">
            <v>0</v>
          </cell>
        </row>
        <row r="2585">
          <cell r="F2585">
            <v>0</v>
          </cell>
          <cell r="G2585">
            <v>0</v>
          </cell>
        </row>
        <row r="2586">
          <cell r="F2586">
            <v>0</v>
          </cell>
          <cell r="G2586">
            <v>0</v>
          </cell>
        </row>
        <row r="2587">
          <cell r="F2587">
            <v>0</v>
          </cell>
          <cell r="G2587">
            <v>0</v>
          </cell>
        </row>
        <row r="2588">
          <cell r="F2588">
            <v>0</v>
          </cell>
          <cell r="G2588">
            <v>0</v>
          </cell>
        </row>
        <row r="2589">
          <cell r="F2589">
            <v>0</v>
          </cell>
          <cell r="G2589">
            <v>0</v>
          </cell>
        </row>
        <row r="2590">
          <cell r="F2590">
            <v>0</v>
          </cell>
          <cell r="G2590">
            <v>0</v>
          </cell>
        </row>
        <row r="2591">
          <cell r="F2591">
            <v>0</v>
          </cell>
          <cell r="G2591">
            <v>0</v>
          </cell>
        </row>
        <row r="2592">
          <cell r="F2592">
            <v>0</v>
          </cell>
          <cell r="G2592">
            <v>0</v>
          </cell>
        </row>
        <row r="2593">
          <cell r="F2593">
            <v>0</v>
          </cell>
          <cell r="G2593">
            <v>0</v>
          </cell>
        </row>
        <row r="2594">
          <cell r="F2594">
            <v>0</v>
          </cell>
          <cell r="G2594">
            <v>0</v>
          </cell>
        </row>
        <row r="2595">
          <cell r="F2595">
            <v>0</v>
          </cell>
          <cell r="G2595">
            <v>0</v>
          </cell>
        </row>
        <row r="2596">
          <cell r="F2596">
            <v>0</v>
          </cell>
          <cell r="G2596">
            <v>0</v>
          </cell>
        </row>
        <row r="2597">
          <cell r="F2597">
            <v>0</v>
          </cell>
          <cell r="G2597">
            <v>0</v>
          </cell>
        </row>
        <row r="2598">
          <cell r="F2598">
            <v>0</v>
          </cell>
          <cell r="G2598">
            <v>0</v>
          </cell>
        </row>
        <row r="2599">
          <cell r="F2599">
            <v>0</v>
          </cell>
          <cell r="G2599">
            <v>0</v>
          </cell>
        </row>
        <row r="2600">
          <cell r="F2600">
            <v>0</v>
          </cell>
          <cell r="G2600">
            <v>0</v>
          </cell>
        </row>
        <row r="2601">
          <cell r="F2601">
            <v>0</v>
          </cell>
          <cell r="G2601">
            <v>0</v>
          </cell>
        </row>
        <row r="2602">
          <cell r="F2602">
            <v>0</v>
          </cell>
          <cell r="G2602">
            <v>0</v>
          </cell>
        </row>
        <row r="2603">
          <cell r="F2603">
            <v>0</v>
          </cell>
          <cell r="G2603">
            <v>0</v>
          </cell>
        </row>
        <row r="2604">
          <cell r="F2604">
            <v>0</v>
          </cell>
          <cell r="G2604">
            <v>0</v>
          </cell>
        </row>
        <row r="2605">
          <cell r="F2605">
            <v>0</v>
          </cell>
          <cell r="G2605">
            <v>0</v>
          </cell>
        </row>
        <row r="2606">
          <cell r="F2606">
            <v>0</v>
          </cell>
          <cell r="G2606">
            <v>0</v>
          </cell>
        </row>
        <row r="2607">
          <cell r="F2607">
            <v>0</v>
          </cell>
          <cell r="G2607">
            <v>0</v>
          </cell>
        </row>
        <row r="2608">
          <cell r="F2608">
            <v>0</v>
          </cell>
          <cell r="G2608">
            <v>0</v>
          </cell>
        </row>
        <row r="2609">
          <cell r="F2609">
            <v>0</v>
          </cell>
          <cell r="G2609">
            <v>0</v>
          </cell>
        </row>
        <row r="2610">
          <cell r="F2610">
            <v>0</v>
          </cell>
          <cell r="G2610">
            <v>0</v>
          </cell>
        </row>
        <row r="2611">
          <cell r="F2611">
            <v>0</v>
          </cell>
          <cell r="G2611">
            <v>0</v>
          </cell>
        </row>
        <row r="2612">
          <cell r="F2612">
            <v>0</v>
          </cell>
          <cell r="G2612">
            <v>0</v>
          </cell>
        </row>
        <row r="2613">
          <cell r="F2613">
            <v>0</v>
          </cell>
          <cell r="G2613">
            <v>0</v>
          </cell>
        </row>
        <row r="2614">
          <cell r="F2614">
            <v>0</v>
          </cell>
          <cell r="G2614">
            <v>0</v>
          </cell>
        </row>
        <row r="2615">
          <cell r="F2615">
            <v>0</v>
          </cell>
          <cell r="G2615">
            <v>0</v>
          </cell>
        </row>
        <row r="2616">
          <cell r="F2616">
            <v>0</v>
          </cell>
          <cell r="G2616">
            <v>0</v>
          </cell>
        </row>
        <row r="2617">
          <cell r="F2617">
            <v>0</v>
          </cell>
          <cell r="G2617">
            <v>0</v>
          </cell>
        </row>
        <row r="2618">
          <cell r="F2618">
            <v>0</v>
          </cell>
          <cell r="G2618">
            <v>0</v>
          </cell>
        </row>
        <row r="2619">
          <cell r="F2619">
            <v>0</v>
          </cell>
          <cell r="G2619">
            <v>0</v>
          </cell>
        </row>
        <row r="2620">
          <cell r="F2620">
            <v>0</v>
          </cell>
          <cell r="G2620">
            <v>0</v>
          </cell>
        </row>
        <row r="2621">
          <cell r="F2621">
            <v>0</v>
          </cell>
          <cell r="G2621">
            <v>0</v>
          </cell>
        </row>
        <row r="2622">
          <cell r="F2622">
            <v>0</v>
          </cell>
          <cell r="G2622">
            <v>0</v>
          </cell>
        </row>
        <row r="2623">
          <cell r="F2623">
            <v>0</v>
          </cell>
          <cell r="G2623">
            <v>0</v>
          </cell>
        </row>
        <row r="2624">
          <cell r="F2624">
            <v>0</v>
          </cell>
          <cell r="G2624">
            <v>0</v>
          </cell>
        </row>
        <row r="2625">
          <cell r="F2625">
            <v>0</v>
          </cell>
          <cell r="G2625">
            <v>0</v>
          </cell>
        </row>
        <row r="2626">
          <cell r="F2626">
            <v>0</v>
          </cell>
          <cell r="G2626">
            <v>0</v>
          </cell>
        </row>
        <row r="2627">
          <cell r="F2627">
            <v>0</v>
          </cell>
          <cell r="G2627">
            <v>0</v>
          </cell>
        </row>
        <row r="2628">
          <cell r="F2628">
            <v>0</v>
          </cell>
          <cell r="G2628">
            <v>0</v>
          </cell>
        </row>
        <row r="2629">
          <cell r="F2629">
            <v>0</v>
          </cell>
          <cell r="G2629">
            <v>0</v>
          </cell>
        </row>
        <row r="2630">
          <cell r="F2630">
            <v>0</v>
          </cell>
          <cell r="G2630">
            <v>0</v>
          </cell>
        </row>
        <row r="2631">
          <cell r="F2631">
            <v>0</v>
          </cell>
          <cell r="G2631">
            <v>0</v>
          </cell>
        </row>
        <row r="2632">
          <cell r="F2632">
            <v>0</v>
          </cell>
          <cell r="G2632">
            <v>0</v>
          </cell>
        </row>
        <row r="2633">
          <cell r="F2633">
            <v>0</v>
          </cell>
          <cell r="G2633">
            <v>0</v>
          </cell>
        </row>
        <row r="2634">
          <cell r="F2634">
            <v>0</v>
          </cell>
          <cell r="G2634">
            <v>0</v>
          </cell>
        </row>
        <row r="2635">
          <cell r="F2635">
            <v>0</v>
          </cell>
          <cell r="G2635">
            <v>0</v>
          </cell>
        </row>
        <row r="2636">
          <cell r="F2636">
            <v>0</v>
          </cell>
          <cell r="G2636">
            <v>0</v>
          </cell>
        </row>
        <row r="2637">
          <cell r="F2637">
            <v>0</v>
          </cell>
          <cell r="G2637">
            <v>0</v>
          </cell>
        </row>
        <row r="2638">
          <cell r="F2638">
            <v>0</v>
          </cell>
          <cell r="G2638">
            <v>0</v>
          </cell>
        </row>
        <row r="2639">
          <cell r="F2639">
            <v>0</v>
          </cell>
          <cell r="G2639">
            <v>0</v>
          </cell>
        </row>
        <row r="2640">
          <cell r="F2640">
            <v>0</v>
          </cell>
          <cell r="G2640">
            <v>0</v>
          </cell>
        </row>
        <row r="2641">
          <cell r="F2641">
            <v>0</v>
          </cell>
          <cell r="G2641">
            <v>0</v>
          </cell>
        </row>
        <row r="2642">
          <cell r="F2642">
            <v>0</v>
          </cell>
          <cell r="G2642">
            <v>0</v>
          </cell>
        </row>
        <row r="2643">
          <cell r="F2643">
            <v>0</v>
          </cell>
          <cell r="G2643">
            <v>0</v>
          </cell>
        </row>
        <row r="2644">
          <cell r="F2644">
            <v>0</v>
          </cell>
          <cell r="G2644">
            <v>0</v>
          </cell>
        </row>
        <row r="2645">
          <cell r="F2645">
            <v>0</v>
          </cell>
          <cell r="G2645">
            <v>0</v>
          </cell>
        </row>
        <row r="2646">
          <cell r="F2646">
            <v>0</v>
          </cell>
          <cell r="G2646">
            <v>0</v>
          </cell>
        </row>
        <row r="2647">
          <cell r="F2647">
            <v>0</v>
          </cell>
          <cell r="G2647">
            <v>0</v>
          </cell>
        </row>
        <row r="2648">
          <cell r="F2648">
            <v>0</v>
          </cell>
          <cell r="G2648">
            <v>0</v>
          </cell>
        </row>
        <row r="2649">
          <cell r="F2649">
            <v>0</v>
          </cell>
          <cell r="G2649">
            <v>0</v>
          </cell>
        </row>
        <row r="2650">
          <cell r="F2650">
            <v>0</v>
          </cell>
          <cell r="G2650">
            <v>0</v>
          </cell>
        </row>
        <row r="2651">
          <cell r="F2651">
            <v>0</v>
          </cell>
          <cell r="G2651">
            <v>0</v>
          </cell>
        </row>
        <row r="2652">
          <cell r="F2652">
            <v>0</v>
          </cell>
          <cell r="G2652">
            <v>0</v>
          </cell>
        </row>
        <row r="2653">
          <cell r="F2653">
            <v>0</v>
          </cell>
          <cell r="G2653">
            <v>0</v>
          </cell>
        </row>
        <row r="2654">
          <cell r="F2654">
            <v>0</v>
          </cell>
          <cell r="G2654">
            <v>0</v>
          </cell>
        </row>
        <row r="2655">
          <cell r="F2655">
            <v>0</v>
          </cell>
          <cell r="G2655">
            <v>0</v>
          </cell>
        </row>
        <row r="2656">
          <cell r="F2656">
            <v>0</v>
          </cell>
          <cell r="G2656">
            <v>0</v>
          </cell>
        </row>
        <row r="2657">
          <cell r="F2657">
            <v>0</v>
          </cell>
          <cell r="G2657">
            <v>0</v>
          </cell>
        </row>
        <row r="2658">
          <cell r="F2658">
            <v>0</v>
          </cell>
          <cell r="G2658">
            <v>0</v>
          </cell>
        </row>
        <row r="2659">
          <cell r="F2659">
            <v>0</v>
          </cell>
          <cell r="G2659">
            <v>0</v>
          </cell>
        </row>
        <row r="2660">
          <cell r="F2660">
            <v>0</v>
          </cell>
          <cell r="G2660">
            <v>0</v>
          </cell>
        </row>
        <row r="2661">
          <cell r="F2661">
            <v>0</v>
          </cell>
          <cell r="G2661">
            <v>0</v>
          </cell>
        </row>
        <row r="2662">
          <cell r="F2662">
            <v>0</v>
          </cell>
          <cell r="G2662">
            <v>0</v>
          </cell>
        </row>
        <row r="2663">
          <cell r="F2663">
            <v>0</v>
          </cell>
          <cell r="G2663">
            <v>0</v>
          </cell>
        </row>
        <row r="2664">
          <cell r="F2664">
            <v>0</v>
          </cell>
          <cell r="G2664">
            <v>0</v>
          </cell>
        </row>
        <row r="2665">
          <cell r="F2665">
            <v>0</v>
          </cell>
          <cell r="G2665">
            <v>0</v>
          </cell>
        </row>
        <row r="2666">
          <cell r="F2666">
            <v>0</v>
          </cell>
          <cell r="G2666">
            <v>0</v>
          </cell>
        </row>
        <row r="2667">
          <cell r="F2667">
            <v>0</v>
          </cell>
          <cell r="G2667">
            <v>0</v>
          </cell>
        </row>
        <row r="2668">
          <cell r="F2668">
            <v>0</v>
          </cell>
          <cell r="G2668">
            <v>0</v>
          </cell>
        </row>
        <row r="2669">
          <cell r="F2669">
            <v>0</v>
          </cell>
          <cell r="G2669">
            <v>0</v>
          </cell>
        </row>
        <row r="2670">
          <cell r="F2670">
            <v>0</v>
          </cell>
          <cell r="G2670">
            <v>0</v>
          </cell>
        </row>
        <row r="2671">
          <cell r="F2671">
            <v>0</v>
          </cell>
          <cell r="G2671">
            <v>0</v>
          </cell>
        </row>
        <row r="2672">
          <cell r="F2672">
            <v>0</v>
          </cell>
          <cell r="G2672">
            <v>0</v>
          </cell>
        </row>
        <row r="2673">
          <cell r="F2673">
            <v>0</v>
          </cell>
          <cell r="G2673">
            <v>0</v>
          </cell>
        </row>
        <row r="2674">
          <cell r="F2674">
            <v>0</v>
          </cell>
          <cell r="G2674">
            <v>0</v>
          </cell>
        </row>
        <row r="2675">
          <cell r="F2675">
            <v>0</v>
          </cell>
          <cell r="G2675">
            <v>0</v>
          </cell>
        </row>
        <row r="2676">
          <cell r="F2676">
            <v>0</v>
          </cell>
          <cell r="G2676">
            <v>0</v>
          </cell>
        </row>
        <row r="2677">
          <cell r="F2677">
            <v>0</v>
          </cell>
          <cell r="G2677">
            <v>0</v>
          </cell>
        </row>
        <row r="2678">
          <cell r="F2678">
            <v>0</v>
          </cell>
          <cell r="G2678">
            <v>0</v>
          </cell>
        </row>
        <row r="2679">
          <cell r="F2679">
            <v>0</v>
          </cell>
          <cell r="G2679">
            <v>0</v>
          </cell>
        </row>
        <row r="2680">
          <cell r="F2680">
            <v>0</v>
          </cell>
          <cell r="G2680">
            <v>0</v>
          </cell>
        </row>
        <row r="2681">
          <cell r="F2681">
            <v>0</v>
          </cell>
          <cell r="G2681">
            <v>0</v>
          </cell>
        </row>
        <row r="2682">
          <cell r="F2682">
            <v>0</v>
          </cell>
          <cell r="G2682">
            <v>0</v>
          </cell>
        </row>
        <row r="2683">
          <cell r="F2683">
            <v>0</v>
          </cell>
          <cell r="G2683">
            <v>0</v>
          </cell>
        </row>
        <row r="2684">
          <cell r="F2684">
            <v>0</v>
          </cell>
          <cell r="G2684">
            <v>0</v>
          </cell>
        </row>
        <row r="2685">
          <cell r="F2685">
            <v>0</v>
          </cell>
          <cell r="G2685">
            <v>0</v>
          </cell>
        </row>
        <row r="2686">
          <cell r="F2686">
            <v>0</v>
          </cell>
          <cell r="G2686">
            <v>0</v>
          </cell>
        </row>
        <row r="2687">
          <cell r="F2687">
            <v>0</v>
          </cell>
          <cell r="G2687">
            <v>0</v>
          </cell>
        </row>
        <row r="2688">
          <cell r="F2688">
            <v>0</v>
          </cell>
          <cell r="G2688">
            <v>0</v>
          </cell>
        </row>
        <row r="2689">
          <cell r="F2689">
            <v>0</v>
          </cell>
          <cell r="G2689">
            <v>0</v>
          </cell>
        </row>
        <row r="2690">
          <cell r="F2690">
            <v>0</v>
          </cell>
          <cell r="G2690">
            <v>0</v>
          </cell>
        </row>
        <row r="2691">
          <cell r="F2691">
            <v>0</v>
          </cell>
          <cell r="G2691">
            <v>0</v>
          </cell>
        </row>
        <row r="2692">
          <cell r="F2692">
            <v>0</v>
          </cell>
          <cell r="G2692">
            <v>0</v>
          </cell>
        </row>
        <row r="2693">
          <cell r="F2693">
            <v>0</v>
          </cell>
          <cell r="G2693">
            <v>0</v>
          </cell>
        </row>
        <row r="2694">
          <cell r="F2694">
            <v>0</v>
          </cell>
          <cell r="G2694">
            <v>0</v>
          </cell>
        </row>
        <row r="2695">
          <cell r="F2695">
            <v>0</v>
          </cell>
          <cell r="G2695">
            <v>0</v>
          </cell>
        </row>
        <row r="2696">
          <cell r="F2696">
            <v>0</v>
          </cell>
          <cell r="G2696">
            <v>0</v>
          </cell>
        </row>
        <row r="2697">
          <cell r="F2697">
            <v>0</v>
          </cell>
          <cell r="G2697">
            <v>0</v>
          </cell>
        </row>
        <row r="2698">
          <cell r="F2698">
            <v>0</v>
          </cell>
          <cell r="G2698">
            <v>0</v>
          </cell>
        </row>
        <row r="2699">
          <cell r="F2699">
            <v>0</v>
          </cell>
          <cell r="G2699">
            <v>0</v>
          </cell>
        </row>
        <row r="2700">
          <cell r="F2700">
            <v>0</v>
          </cell>
          <cell r="G2700">
            <v>0</v>
          </cell>
        </row>
        <row r="2701">
          <cell r="F2701">
            <v>0</v>
          </cell>
          <cell r="G2701">
            <v>0</v>
          </cell>
        </row>
        <row r="2702">
          <cell r="F2702">
            <v>0</v>
          </cell>
          <cell r="G2702">
            <v>0</v>
          </cell>
        </row>
        <row r="2703">
          <cell r="F2703">
            <v>0</v>
          </cell>
          <cell r="G2703">
            <v>0</v>
          </cell>
        </row>
        <row r="2704">
          <cell r="F2704">
            <v>0</v>
          </cell>
          <cell r="G2704">
            <v>0</v>
          </cell>
        </row>
        <row r="2705">
          <cell r="F2705">
            <v>0</v>
          </cell>
          <cell r="G2705">
            <v>0</v>
          </cell>
        </row>
        <row r="2706">
          <cell r="F2706">
            <v>0</v>
          </cell>
          <cell r="G2706">
            <v>0</v>
          </cell>
        </row>
        <row r="2707">
          <cell r="F2707">
            <v>0</v>
          </cell>
          <cell r="G2707">
            <v>0</v>
          </cell>
        </row>
        <row r="2708">
          <cell r="F2708">
            <v>0</v>
          </cell>
          <cell r="G2708">
            <v>0</v>
          </cell>
        </row>
        <row r="2709">
          <cell r="F2709">
            <v>0</v>
          </cell>
          <cell r="G2709">
            <v>0</v>
          </cell>
        </row>
        <row r="2710">
          <cell r="F2710">
            <v>0</v>
          </cell>
          <cell r="G2710">
            <v>0</v>
          </cell>
        </row>
        <row r="2711">
          <cell r="F2711">
            <v>0</v>
          </cell>
          <cell r="G2711">
            <v>0</v>
          </cell>
        </row>
        <row r="2712">
          <cell r="F2712">
            <v>0</v>
          </cell>
          <cell r="G2712">
            <v>0</v>
          </cell>
        </row>
        <row r="2713">
          <cell r="F2713">
            <v>0</v>
          </cell>
          <cell r="G2713">
            <v>0</v>
          </cell>
        </row>
        <row r="2714">
          <cell r="F2714">
            <v>0</v>
          </cell>
          <cell r="G2714">
            <v>0</v>
          </cell>
        </row>
        <row r="2715">
          <cell r="F2715">
            <v>0</v>
          </cell>
          <cell r="G2715">
            <v>0</v>
          </cell>
        </row>
        <row r="2716">
          <cell r="F2716">
            <v>0</v>
          </cell>
          <cell r="G2716">
            <v>0</v>
          </cell>
        </row>
        <row r="2717">
          <cell r="F2717">
            <v>0</v>
          </cell>
          <cell r="G2717">
            <v>0</v>
          </cell>
        </row>
        <row r="2718">
          <cell r="F2718">
            <v>0</v>
          </cell>
          <cell r="G2718">
            <v>0</v>
          </cell>
        </row>
        <row r="2719">
          <cell r="F2719">
            <v>0</v>
          </cell>
          <cell r="G2719">
            <v>0</v>
          </cell>
        </row>
        <row r="2720">
          <cell r="F2720">
            <v>0</v>
          </cell>
          <cell r="G2720">
            <v>0</v>
          </cell>
        </row>
        <row r="2721">
          <cell r="F2721">
            <v>0</v>
          </cell>
          <cell r="G2721">
            <v>0</v>
          </cell>
        </row>
        <row r="2722">
          <cell r="F2722">
            <v>0</v>
          </cell>
          <cell r="G2722">
            <v>0</v>
          </cell>
        </row>
        <row r="2723">
          <cell r="F2723">
            <v>0</v>
          </cell>
          <cell r="G2723">
            <v>0</v>
          </cell>
        </row>
        <row r="2724">
          <cell r="F2724">
            <v>0</v>
          </cell>
          <cell r="G2724">
            <v>0</v>
          </cell>
        </row>
        <row r="2725">
          <cell r="F2725">
            <v>0</v>
          </cell>
          <cell r="G2725">
            <v>0</v>
          </cell>
        </row>
        <row r="2726">
          <cell r="F2726">
            <v>0</v>
          </cell>
          <cell r="G2726">
            <v>0</v>
          </cell>
        </row>
        <row r="2727">
          <cell r="F2727">
            <v>0</v>
          </cell>
          <cell r="G2727">
            <v>0</v>
          </cell>
        </row>
        <row r="2728">
          <cell r="F2728">
            <v>0</v>
          </cell>
          <cell r="G2728">
            <v>0</v>
          </cell>
        </row>
        <row r="2729">
          <cell r="F2729">
            <v>0</v>
          </cell>
          <cell r="G2729">
            <v>0</v>
          </cell>
        </row>
        <row r="2730">
          <cell r="F2730">
            <v>0</v>
          </cell>
          <cell r="G2730">
            <v>0</v>
          </cell>
        </row>
        <row r="2731">
          <cell r="F2731">
            <v>0</v>
          </cell>
          <cell r="G2731">
            <v>0</v>
          </cell>
        </row>
        <row r="2732">
          <cell r="F2732">
            <v>0</v>
          </cell>
          <cell r="G2732">
            <v>0</v>
          </cell>
        </row>
        <row r="2733">
          <cell r="F2733">
            <v>0</v>
          </cell>
          <cell r="G2733">
            <v>0</v>
          </cell>
        </row>
        <row r="2734">
          <cell r="F2734">
            <v>0</v>
          </cell>
          <cell r="G2734">
            <v>0</v>
          </cell>
        </row>
        <row r="2735">
          <cell r="F2735">
            <v>0</v>
          </cell>
          <cell r="G2735">
            <v>0</v>
          </cell>
        </row>
        <row r="2736">
          <cell r="F2736">
            <v>0</v>
          </cell>
          <cell r="G2736">
            <v>0</v>
          </cell>
        </row>
        <row r="2737">
          <cell r="F2737">
            <v>0</v>
          </cell>
          <cell r="G2737">
            <v>0</v>
          </cell>
        </row>
        <row r="2738">
          <cell r="F2738">
            <v>0</v>
          </cell>
          <cell r="G2738">
            <v>0</v>
          </cell>
        </row>
        <row r="2739">
          <cell r="F2739">
            <v>0</v>
          </cell>
          <cell r="G2739">
            <v>0</v>
          </cell>
        </row>
        <row r="2740">
          <cell r="F2740">
            <v>0</v>
          </cell>
          <cell r="G2740">
            <v>0</v>
          </cell>
        </row>
        <row r="2741">
          <cell r="F2741">
            <v>0</v>
          </cell>
          <cell r="G2741">
            <v>0</v>
          </cell>
        </row>
        <row r="2742">
          <cell r="F2742">
            <v>0</v>
          </cell>
          <cell r="G2742">
            <v>0</v>
          </cell>
        </row>
        <row r="2743">
          <cell r="F2743">
            <v>0</v>
          </cell>
          <cell r="G2743">
            <v>0</v>
          </cell>
        </row>
        <row r="2744">
          <cell r="F2744">
            <v>0</v>
          </cell>
          <cell r="G2744">
            <v>0</v>
          </cell>
        </row>
        <row r="2745">
          <cell r="F2745">
            <v>0</v>
          </cell>
          <cell r="G2745">
            <v>0</v>
          </cell>
        </row>
        <row r="2746">
          <cell r="F2746">
            <v>0</v>
          </cell>
          <cell r="G2746">
            <v>0</v>
          </cell>
        </row>
        <row r="2747">
          <cell r="F2747">
            <v>0</v>
          </cell>
          <cell r="G2747">
            <v>0</v>
          </cell>
        </row>
        <row r="2748">
          <cell r="F2748">
            <v>0</v>
          </cell>
          <cell r="G2748">
            <v>0</v>
          </cell>
        </row>
        <row r="2749">
          <cell r="F2749">
            <v>0</v>
          </cell>
          <cell r="G2749">
            <v>0</v>
          </cell>
        </row>
        <row r="2750">
          <cell r="F2750">
            <v>0</v>
          </cell>
          <cell r="G2750">
            <v>0</v>
          </cell>
        </row>
        <row r="2751">
          <cell r="F2751">
            <v>0</v>
          </cell>
          <cell r="G2751">
            <v>0</v>
          </cell>
        </row>
        <row r="2752">
          <cell r="F2752">
            <v>0</v>
          </cell>
          <cell r="G2752">
            <v>0</v>
          </cell>
        </row>
        <row r="2753">
          <cell r="F2753">
            <v>0</v>
          </cell>
          <cell r="G2753">
            <v>0</v>
          </cell>
        </row>
        <row r="2754">
          <cell r="F2754">
            <v>0</v>
          </cell>
          <cell r="G2754">
            <v>0</v>
          </cell>
        </row>
        <row r="2755">
          <cell r="F2755">
            <v>0</v>
          </cell>
          <cell r="G2755">
            <v>0</v>
          </cell>
        </row>
        <row r="2756">
          <cell r="F2756">
            <v>0</v>
          </cell>
          <cell r="G2756">
            <v>0</v>
          </cell>
        </row>
        <row r="2757">
          <cell r="F2757">
            <v>0</v>
          </cell>
          <cell r="G2757">
            <v>0</v>
          </cell>
        </row>
        <row r="2758">
          <cell r="F2758">
            <v>0</v>
          </cell>
          <cell r="G2758">
            <v>0</v>
          </cell>
        </row>
        <row r="2759">
          <cell r="F2759">
            <v>0</v>
          </cell>
          <cell r="G2759">
            <v>0</v>
          </cell>
        </row>
        <row r="2760">
          <cell r="F2760">
            <v>0</v>
          </cell>
          <cell r="G2760">
            <v>0</v>
          </cell>
        </row>
        <row r="2761">
          <cell r="F2761">
            <v>0</v>
          </cell>
          <cell r="G2761">
            <v>0</v>
          </cell>
        </row>
        <row r="2762">
          <cell r="F2762">
            <v>0</v>
          </cell>
          <cell r="G2762">
            <v>0</v>
          </cell>
        </row>
        <row r="2763">
          <cell r="F2763">
            <v>0</v>
          </cell>
          <cell r="G2763">
            <v>0</v>
          </cell>
        </row>
        <row r="2764">
          <cell r="F2764">
            <v>0</v>
          </cell>
          <cell r="G2764">
            <v>0</v>
          </cell>
        </row>
        <row r="2765">
          <cell r="F2765">
            <v>0</v>
          </cell>
          <cell r="G2765">
            <v>0</v>
          </cell>
        </row>
        <row r="2766">
          <cell r="F2766">
            <v>0</v>
          </cell>
          <cell r="G2766">
            <v>0</v>
          </cell>
        </row>
        <row r="2767">
          <cell r="F2767">
            <v>0</v>
          </cell>
          <cell r="G2767">
            <v>0</v>
          </cell>
        </row>
        <row r="2768">
          <cell r="F2768">
            <v>0</v>
          </cell>
          <cell r="G2768">
            <v>0</v>
          </cell>
        </row>
        <row r="2769">
          <cell r="F2769">
            <v>0</v>
          </cell>
          <cell r="G2769">
            <v>0</v>
          </cell>
        </row>
        <row r="2770">
          <cell r="F2770">
            <v>0</v>
          </cell>
          <cell r="G2770">
            <v>0</v>
          </cell>
        </row>
        <row r="2771">
          <cell r="F2771">
            <v>0</v>
          </cell>
          <cell r="G2771">
            <v>0</v>
          </cell>
        </row>
        <row r="2772">
          <cell r="F2772">
            <v>0</v>
          </cell>
          <cell r="G2772">
            <v>0</v>
          </cell>
        </row>
        <row r="2773">
          <cell r="F2773">
            <v>0</v>
          </cell>
          <cell r="G2773">
            <v>0</v>
          </cell>
        </row>
        <row r="2774">
          <cell r="F2774">
            <v>0</v>
          </cell>
          <cell r="G2774">
            <v>0</v>
          </cell>
        </row>
        <row r="2775">
          <cell r="F2775">
            <v>0</v>
          </cell>
          <cell r="G2775">
            <v>0</v>
          </cell>
        </row>
        <row r="2776">
          <cell r="F2776">
            <v>0</v>
          </cell>
          <cell r="G2776">
            <v>0</v>
          </cell>
        </row>
        <row r="2777">
          <cell r="F2777">
            <v>0</v>
          </cell>
          <cell r="G2777">
            <v>0</v>
          </cell>
        </row>
        <row r="2778">
          <cell r="F2778">
            <v>0</v>
          </cell>
          <cell r="G2778">
            <v>0</v>
          </cell>
        </row>
        <row r="2779">
          <cell r="F2779">
            <v>0</v>
          </cell>
          <cell r="G2779">
            <v>0</v>
          </cell>
        </row>
        <row r="2780">
          <cell r="F2780">
            <v>0</v>
          </cell>
          <cell r="G2780">
            <v>0</v>
          </cell>
        </row>
        <row r="2781">
          <cell r="F2781">
            <v>0</v>
          </cell>
          <cell r="G2781">
            <v>0</v>
          </cell>
        </row>
        <row r="2782">
          <cell r="F2782">
            <v>0</v>
          </cell>
          <cell r="G2782">
            <v>0</v>
          </cell>
        </row>
        <row r="2783">
          <cell r="F2783">
            <v>0</v>
          </cell>
          <cell r="G2783">
            <v>0</v>
          </cell>
        </row>
        <row r="2784">
          <cell r="F2784">
            <v>0</v>
          </cell>
          <cell r="G2784">
            <v>0</v>
          </cell>
        </row>
        <row r="2785">
          <cell r="F2785">
            <v>0</v>
          </cell>
          <cell r="G2785">
            <v>0</v>
          </cell>
        </row>
        <row r="2786">
          <cell r="F2786">
            <v>0</v>
          </cell>
          <cell r="G2786">
            <v>0</v>
          </cell>
        </row>
        <row r="2787">
          <cell r="F2787">
            <v>0</v>
          </cell>
          <cell r="G2787">
            <v>0</v>
          </cell>
        </row>
        <row r="2788">
          <cell r="F2788">
            <v>0</v>
          </cell>
          <cell r="G2788">
            <v>0</v>
          </cell>
        </row>
        <row r="2789">
          <cell r="F2789">
            <v>0</v>
          </cell>
          <cell r="G2789">
            <v>0</v>
          </cell>
        </row>
        <row r="2790">
          <cell r="F2790">
            <v>0</v>
          </cell>
          <cell r="G2790">
            <v>0</v>
          </cell>
        </row>
        <row r="2791">
          <cell r="F2791">
            <v>0</v>
          </cell>
          <cell r="G2791">
            <v>0</v>
          </cell>
        </row>
        <row r="2792">
          <cell r="F2792">
            <v>0</v>
          </cell>
          <cell r="G2792">
            <v>0</v>
          </cell>
        </row>
        <row r="2793">
          <cell r="F2793">
            <v>0</v>
          </cell>
          <cell r="G2793">
            <v>0</v>
          </cell>
        </row>
        <row r="2794">
          <cell r="F2794">
            <v>0</v>
          </cell>
          <cell r="G2794">
            <v>0</v>
          </cell>
        </row>
        <row r="2795">
          <cell r="F2795">
            <v>0</v>
          </cell>
          <cell r="G2795">
            <v>0</v>
          </cell>
        </row>
        <row r="2796">
          <cell r="F2796">
            <v>0</v>
          </cell>
          <cell r="G2796">
            <v>0</v>
          </cell>
        </row>
        <row r="2797">
          <cell r="F2797">
            <v>0</v>
          </cell>
          <cell r="G2797">
            <v>0</v>
          </cell>
        </row>
        <row r="2798">
          <cell r="F2798">
            <v>0</v>
          </cell>
          <cell r="G2798">
            <v>0</v>
          </cell>
        </row>
        <row r="2799">
          <cell r="F2799">
            <v>0</v>
          </cell>
          <cell r="G2799">
            <v>0</v>
          </cell>
        </row>
        <row r="2800">
          <cell r="F2800">
            <v>0</v>
          </cell>
          <cell r="G2800">
            <v>0</v>
          </cell>
        </row>
        <row r="2801">
          <cell r="F2801">
            <v>0</v>
          </cell>
          <cell r="G2801">
            <v>0</v>
          </cell>
        </row>
        <row r="2802">
          <cell r="F2802">
            <v>0</v>
          </cell>
          <cell r="G2802">
            <v>0</v>
          </cell>
        </row>
        <row r="2803">
          <cell r="F2803">
            <v>0</v>
          </cell>
          <cell r="G2803">
            <v>0</v>
          </cell>
        </row>
        <row r="2804">
          <cell r="F2804">
            <v>0</v>
          </cell>
          <cell r="G2804">
            <v>0</v>
          </cell>
        </row>
        <row r="2805">
          <cell r="F2805">
            <v>0</v>
          </cell>
          <cell r="G2805">
            <v>0</v>
          </cell>
        </row>
        <row r="2806">
          <cell r="F2806">
            <v>0</v>
          </cell>
          <cell r="G2806">
            <v>0</v>
          </cell>
        </row>
        <row r="2807">
          <cell r="F2807">
            <v>0</v>
          </cell>
          <cell r="G2807">
            <v>0</v>
          </cell>
        </row>
        <row r="2808">
          <cell r="F2808">
            <v>0</v>
          </cell>
          <cell r="G2808">
            <v>0</v>
          </cell>
        </row>
        <row r="2809">
          <cell r="F2809">
            <v>0</v>
          </cell>
          <cell r="G2809">
            <v>0</v>
          </cell>
        </row>
        <row r="2810">
          <cell r="F2810">
            <v>0</v>
          </cell>
          <cell r="G2810">
            <v>0</v>
          </cell>
        </row>
        <row r="2811">
          <cell r="F2811">
            <v>0</v>
          </cell>
          <cell r="G2811">
            <v>0</v>
          </cell>
        </row>
        <row r="2812">
          <cell r="F2812">
            <v>0</v>
          </cell>
          <cell r="G2812">
            <v>0</v>
          </cell>
        </row>
        <row r="2813">
          <cell r="F2813">
            <v>0</v>
          </cell>
          <cell r="G2813">
            <v>0</v>
          </cell>
        </row>
        <row r="2814">
          <cell r="F2814">
            <v>0</v>
          </cell>
          <cell r="G2814">
            <v>0</v>
          </cell>
        </row>
        <row r="2815">
          <cell r="F2815">
            <v>0</v>
          </cell>
          <cell r="G2815">
            <v>0</v>
          </cell>
        </row>
        <row r="2816">
          <cell r="F2816">
            <v>0</v>
          </cell>
          <cell r="G2816">
            <v>0</v>
          </cell>
        </row>
        <row r="2817">
          <cell r="F2817">
            <v>0</v>
          </cell>
          <cell r="G2817">
            <v>0</v>
          </cell>
        </row>
        <row r="2818">
          <cell r="F2818">
            <v>0</v>
          </cell>
          <cell r="G2818">
            <v>0</v>
          </cell>
        </row>
        <row r="2819">
          <cell r="F2819">
            <v>0</v>
          </cell>
          <cell r="G2819">
            <v>0</v>
          </cell>
        </row>
        <row r="2820">
          <cell r="F2820">
            <v>0</v>
          </cell>
          <cell r="G2820">
            <v>0</v>
          </cell>
        </row>
        <row r="2821">
          <cell r="F2821">
            <v>0</v>
          </cell>
          <cell r="G2821">
            <v>0</v>
          </cell>
        </row>
        <row r="2822">
          <cell r="F2822">
            <v>0</v>
          </cell>
          <cell r="G2822">
            <v>0</v>
          </cell>
        </row>
        <row r="2823">
          <cell r="F2823">
            <v>0</v>
          </cell>
          <cell r="G2823">
            <v>0</v>
          </cell>
        </row>
        <row r="2824">
          <cell r="F2824">
            <v>0</v>
          </cell>
          <cell r="G2824">
            <v>0</v>
          </cell>
        </row>
        <row r="2825">
          <cell r="F2825">
            <v>0</v>
          </cell>
          <cell r="G2825">
            <v>0</v>
          </cell>
        </row>
        <row r="2826">
          <cell r="F2826">
            <v>0</v>
          </cell>
          <cell r="G2826">
            <v>0</v>
          </cell>
        </row>
        <row r="2827">
          <cell r="F2827">
            <v>0</v>
          </cell>
          <cell r="G2827">
            <v>0</v>
          </cell>
        </row>
        <row r="2828">
          <cell r="F2828">
            <v>0</v>
          </cell>
          <cell r="G2828">
            <v>0</v>
          </cell>
        </row>
        <row r="2829">
          <cell r="F2829">
            <v>0</v>
          </cell>
          <cell r="G2829">
            <v>0</v>
          </cell>
        </row>
        <row r="2830">
          <cell r="F2830">
            <v>0</v>
          </cell>
          <cell r="G2830">
            <v>0</v>
          </cell>
        </row>
        <row r="2831">
          <cell r="F2831">
            <v>0</v>
          </cell>
          <cell r="G2831">
            <v>0</v>
          </cell>
        </row>
        <row r="2832">
          <cell r="F2832">
            <v>0</v>
          </cell>
          <cell r="G2832">
            <v>0</v>
          </cell>
        </row>
        <row r="2833">
          <cell r="F2833">
            <v>0</v>
          </cell>
          <cell r="G2833">
            <v>0</v>
          </cell>
        </row>
        <row r="2834">
          <cell r="F2834">
            <v>0</v>
          </cell>
          <cell r="G2834">
            <v>0</v>
          </cell>
        </row>
        <row r="2835">
          <cell r="F2835">
            <v>0</v>
          </cell>
          <cell r="G2835">
            <v>0</v>
          </cell>
        </row>
        <row r="2836">
          <cell r="F2836">
            <v>0</v>
          </cell>
          <cell r="G2836">
            <v>0</v>
          </cell>
        </row>
        <row r="2837">
          <cell r="F2837">
            <v>0</v>
          </cell>
          <cell r="G2837">
            <v>0</v>
          </cell>
        </row>
        <row r="2838">
          <cell r="F2838">
            <v>0</v>
          </cell>
          <cell r="G2838">
            <v>0</v>
          </cell>
        </row>
        <row r="2839">
          <cell r="F2839">
            <v>0</v>
          </cell>
          <cell r="G2839">
            <v>0</v>
          </cell>
        </row>
        <row r="2840">
          <cell r="F2840">
            <v>0</v>
          </cell>
          <cell r="G2840">
            <v>0</v>
          </cell>
        </row>
        <row r="2841">
          <cell r="F2841">
            <v>0</v>
          </cell>
          <cell r="G2841">
            <v>0</v>
          </cell>
        </row>
        <row r="2842">
          <cell r="F2842">
            <v>0</v>
          </cell>
          <cell r="G2842">
            <v>0</v>
          </cell>
        </row>
        <row r="2843">
          <cell r="F2843">
            <v>0</v>
          </cell>
          <cell r="G2843">
            <v>0</v>
          </cell>
        </row>
        <row r="2844">
          <cell r="F2844">
            <v>0</v>
          </cell>
          <cell r="G2844">
            <v>0</v>
          </cell>
        </row>
        <row r="2845">
          <cell r="F2845">
            <v>0</v>
          </cell>
          <cell r="G2845">
            <v>0</v>
          </cell>
        </row>
        <row r="2846">
          <cell r="F2846">
            <v>0</v>
          </cell>
          <cell r="G2846">
            <v>0</v>
          </cell>
        </row>
        <row r="2847">
          <cell r="F2847">
            <v>0</v>
          </cell>
          <cell r="G2847">
            <v>0</v>
          </cell>
        </row>
        <row r="2848">
          <cell r="F2848">
            <v>0</v>
          </cell>
          <cell r="G2848">
            <v>0</v>
          </cell>
        </row>
        <row r="2849">
          <cell r="F2849">
            <v>0</v>
          </cell>
          <cell r="G2849">
            <v>0</v>
          </cell>
        </row>
        <row r="2850">
          <cell r="F2850">
            <v>0</v>
          </cell>
          <cell r="G2850">
            <v>0</v>
          </cell>
        </row>
        <row r="2851">
          <cell r="F2851">
            <v>0</v>
          </cell>
          <cell r="G2851">
            <v>0</v>
          </cell>
        </row>
        <row r="2852">
          <cell r="F2852">
            <v>0</v>
          </cell>
          <cell r="G2852">
            <v>0</v>
          </cell>
        </row>
        <row r="2853">
          <cell r="F2853">
            <v>0</v>
          </cell>
          <cell r="G2853">
            <v>0</v>
          </cell>
        </row>
        <row r="2854">
          <cell r="F2854">
            <v>0</v>
          </cell>
          <cell r="G2854">
            <v>0</v>
          </cell>
        </row>
        <row r="2855">
          <cell r="F2855">
            <v>0</v>
          </cell>
          <cell r="G2855">
            <v>0</v>
          </cell>
        </row>
        <row r="2856">
          <cell r="F2856">
            <v>0</v>
          </cell>
          <cell r="G2856">
            <v>0</v>
          </cell>
        </row>
        <row r="2857">
          <cell r="F2857">
            <v>0</v>
          </cell>
          <cell r="G2857">
            <v>0</v>
          </cell>
        </row>
        <row r="2858">
          <cell r="F2858">
            <v>0</v>
          </cell>
          <cell r="G2858">
            <v>0</v>
          </cell>
        </row>
        <row r="2859">
          <cell r="F2859">
            <v>0</v>
          </cell>
          <cell r="G2859">
            <v>0</v>
          </cell>
        </row>
        <row r="2860">
          <cell r="F2860">
            <v>0</v>
          </cell>
          <cell r="G2860">
            <v>0</v>
          </cell>
        </row>
        <row r="2861">
          <cell r="F2861">
            <v>0</v>
          </cell>
          <cell r="G2861">
            <v>0</v>
          </cell>
        </row>
        <row r="2862">
          <cell r="F2862">
            <v>0</v>
          </cell>
          <cell r="G2862">
            <v>0</v>
          </cell>
        </row>
        <row r="2863">
          <cell r="F2863">
            <v>0</v>
          </cell>
          <cell r="G2863">
            <v>0</v>
          </cell>
        </row>
        <row r="2864">
          <cell r="F2864">
            <v>0</v>
          </cell>
          <cell r="G2864">
            <v>0</v>
          </cell>
        </row>
        <row r="2865">
          <cell r="F2865">
            <v>0</v>
          </cell>
          <cell r="G2865">
            <v>0</v>
          </cell>
        </row>
        <row r="2866">
          <cell r="F2866">
            <v>0</v>
          </cell>
          <cell r="G2866">
            <v>0</v>
          </cell>
        </row>
        <row r="2867">
          <cell r="F2867">
            <v>0</v>
          </cell>
          <cell r="G2867">
            <v>0</v>
          </cell>
        </row>
        <row r="2868">
          <cell r="F2868">
            <v>0</v>
          </cell>
          <cell r="G2868">
            <v>0</v>
          </cell>
        </row>
        <row r="2869">
          <cell r="F2869">
            <v>0</v>
          </cell>
          <cell r="G2869">
            <v>0</v>
          </cell>
        </row>
        <row r="2870">
          <cell r="F2870">
            <v>0</v>
          </cell>
          <cell r="G2870">
            <v>0</v>
          </cell>
        </row>
        <row r="2871">
          <cell r="F2871">
            <v>0</v>
          </cell>
          <cell r="G2871">
            <v>0</v>
          </cell>
        </row>
        <row r="2872">
          <cell r="F2872">
            <v>0</v>
          </cell>
          <cell r="G2872">
            <v>0</v>
          </cell>
        </row>
        <row r="2873">
          <cell r="F2873">
            <v>0</v>
          </cell>
          <cell r="G2873">
            <v>0</v>
          </cell>
        </row>
        <row r="2874">
          <cell r="F2874">
            <v>0</v>
          </cell>
          <cell r="G2874">
            <v>0</v>
          </cell>
        </row>
        <row r="2875">
          <cell r="F2875">
            <v>0</v>
          </cell>
          <cell r="G2875">
            <v>0</v>
          </cell>
        </row>
        <row r="2876">
          <cell r="F2876">
            <v>0</v>
          </cell>
          <cell r="G2876">
            <v>0</v>
          </cell>
        </row>
        <row r="2877">
          <cell r="F2877">
            <v>0</v>
          </cell>
          <cell r="G2877">
            <v>0</v>
          </cell>
        </row>
        <row r="2878">
          <cell r="F2878">
            <v>0</v>
          </cell>
          <cell r="G2878">
            <v>0</v>
          </cell>
        </row>
        <row r="2879">
          <cell r="F2879">
            <v>0</v>
          </cell>
          <cell r="G2879">
            <v>0</v>
          </cell>
        </row>
        <row r="2880">
          <cell r="F2880">
            <v>0</v>
          </cell>
          <cell r="G2880">
            <v>0</v>
          </cell>
        </row>
        <row r="2881">
          <cell r="F2881">
            <v>0</v>
          </cell>
          <cell r="G2881">
            <v>0</v>
          </cell>
        </row>
        <row r="2882">
          <cell r="F2882">
            <v>0</v>
          </cell>
          <cell r="G2882">
            <v>0</v>
          </cell>
        </row>
        <row r="2883">
          <cell r="F2883">
            <v>0</v>
          </cell>
          <cell r="G2883">
            <v>0</v>
          </cell>
        </row>
        <row r="2884">
          <cell r="F2884">
            <v>0</v>
          </cell>
          <cell r="G2884">
            <v>0</v>
          </cell>
        </row>
        <row r="2885">
          <cell r="F2885">
            <v>0</v>
          </cell>
          <cell r="G2885">
            <v>0</v>
          </cell>
        </row>
        <row r="2886">
          <cell r="F2886">
            <v>0</v>
          </cell>
          <cell r="G2886">
            <v>0</v>
          </cell>
        </row>
        <row r="2887">
          <cell r="F2887">
            <v>0</v>
          </cell>
          <cell r="G2887">
            <v>0</v>
          </cell>
        </row>
        <row r="2888">
          <cell r="F2888">
            <v>0</v>
          </cell>
          <cell r="G2888">
            <v>0</v>
          </cell>
        </row>
        <row r="2889">
          <cell r="F2889">
            <v>0</v>
          </cell>
          <cell r="G2889">
            <v>0</v>
          </cell>
        </row>
        <row r="2890">
          <cell r="F2890">
            <v>0</v>
          </cell>
          <cell r="G2890">
            <v>0</v>
          </cell>
        </row>
        <row r="2891">
          <cell r="F2891">
            <v>0</v>
          </cell>
          <cell r="G2891">
            <v>0</v>
          </cell>
        </row>
        <row r="2892">
          <cell r="F2892">
            <v>0</v>
          </cell>
          <cell r="G2892">
            <v>0</v>
          </cell>
        </row>
        <row r="2893">
          <cell r="F2893">
            <v>0</v>
          </cell>
          <cell r="G2893">
            <v>0</v>
          </cell>
        </row>
        <row r="2894">
          <cell r="F2894">
            <v>0</v>
          </cell>
          <cell r="G2894">
            <v>0</v>
          </cell>
        </row>
        <row r="2895">
          <cell r="F2895">
            <v>0</v>
          </cell>
          <cell r="G2895">
            <v>0</v>
          </cell>
        </row>
        <row r="2896">
          <cell r="F2896">
            <v>0</v>
          </cell>
          <cell r="G2896">
            <v>0</v>
          </cell>
        </row>
        <row r="2897">
          <cell r="F2897">
            <v>0</v>
          </cell>
          <cell r="G2897">
            <v>0</v>
          </cell>
        </row>
        <row r="2898">
          <cell r="F2898">
            <v>0</v>
          </cell>
          <cell r="G2898">
            <v>0</v>
          </cell>
        </row>
        <row r="2899">
          <cell r="F2899">
            <v>0</v>
          </cell>
          <cell r="G2899">
            <v>0</v>
          </cell>
        </row>
        <row r="2900">
          <cell r="F2900">
            <v>0</v>
          </cell>
          <cell r="G2900">
            <v>0</v>
          </cell>
        </row>
        <row r="2901">
          <cell r="F2901">
            <v>0</v>
          </cell>
          <cell r="G2901">
            <v>0</v>
          </cell>
        </row>
        <row r="2902">
          <cell r="F2902">
            <v>0</v>
          </cell>
          <cell r="G2902">
            <v>0</v>
          </cell>
        </row>
        <row r="2903">
          <cell r="F2903">
            <v>0</v>
          </cell>
          <cell r="G2903">
            <v>0</v>
          </cell>
        </row>
        <row r="2904">
          <cell r="F2904">
            <v>0</v>
          </cell>
          <cell r="G2904">
            <v>0</v>
          </cell>
        </row>
        <row r="2905">
          <cell r="F2905">
            <v>0</v>
          </cell>
          <cell r="G2905">
            <v>0</v>
          </cell>
        </row>
        <row r="2906">
          <cell r="F2906">
            <v>0</v>
          </cell>
          <cell r="G2906">
            <v>0</v>
          </cell>
        </row>
        <row r="2907">
          <cell r="F2907">
            <v>0</v>
          </cell>
          <cell r="G2907">
            <v>0</v>
          </cell>
        </row>
        <row r="2908">
          <cell r="F2908">
            <v>0</v>
          </cell>
          <cell r="G2908">
            <v>0</v>
          </cell>
        </row>
        <row r="2909">
          <cell r="F2909">
            <v>0</v>
          </cell>
          <cell r="G2909">
            <v>0</v>
          </cell>
        </row>
        <row r="2910">
          <cell r="F2910">
            <v>0</v>
          </cell>
          <cell r="G2910">
            <v>0</v>
          </cell>
        </row>
        <row r="2911">
          <cell r="F2911">
            <v>0</v>
          </cell>
          <cell r="G2911">
            <v>0</v>
          </cell>
        </row>
        <row r="2912">
          <cell r="F2912">
            <v>0</v>
          </cell>
          <cell r="G2912">
            <v>0</v>
          </cell>
        </row>
        <row r="2913">
          <cell r="F2913">
            <v>0</v>
          </cell>
          <cell r="G2913">
            <v>0</v>
          </cell>
        </row>
        <row r="2914">
          <cell r="F2914">
            <v>0</v>
          </cell>
          <cell r="G2914">
            <v>0</v>
          </cell>
        </row>
        <row r="2915">
          <cell r="F2915">
            <v>0</v>
          </cell>
          <cell r="G2915">
            <v>0</v>
          </cell>
        </row>
        <row r="2916">
          <cell r="F2916">
            <v>0</v>
          </cell>
          <cell r="G2916">
            <v>0</v>
          </cell>
        </row>
        <row r="2917">
          <cell r="F2917">
            <v>0</v>
          </cell>
          <cell r="G2917">
            <v>0</v>
          </cell>
        </row>
        <row r="2918">
          <cell r="F2918">
            <v>0</v>
          </cell>
          <cell r="G2918">
            <v>0</v>
          </cell>
        </row>
        <row r="2919">
          <cell r="F2919">
            <v>0</v>
          </cell>
          <cell r="G2919">
            <v>0</v>
          </cell>
        </row>
        <row r="2920">
          <cell r="F2920">
            <v>0</v>
          </cell>
          <cell r="G2920">
            <v>0</v>
          </cell>
        </row>
        <row r="2921">
          <cell r="F2921">
            <v>0</v>
          </cell>
          <cell r="G2921">
            <v>0</v>
          </cell>
        </row>
        <row r="2922">
          <cell r="F2922">
            <v>0</v>
          </cell>
          <cell r="G2922">
            <v>0</v>
          </cell>
        </row>
        <row r="2923">
          <cell r="F2923">
            <v>0</v>
          </cell>
          <cell r="G2923">
            <v>0</v>
          </cell>
        </row>
        <row r="2924">
          <cell r="F2924">
            <v>0</v>
          </cell>
          <cell r="G2924">
            <v>0</v>
          </cell>
        </row>
        <row r="2925">
          <cell r="F2925">
            <v>0</v>
          </cell>
          <cell r="G2925">
            <v>0</v>
          </cell>
        </row>
        <row r="2926">
          <cell r="F2926">
            <v>0</v>
          </cell>
          <cell r="G2926">
            <v>0</v>
          </cell>
        </row>
        <row r="2927">
          <cell r="F2927">
            <v>0</v>
          </cell>
          <cell r="G2927">
            <v>0</v>
          </cell>
        </row>
        <row r="2928">
          <cell r="F2928">
            <v>0</v>
          </cell>
          <cell r="G2928">
            <v>0</v>
          </cell>
        </row>
        <row r="2929">
          <cell r="F2929">
            <v>0</v>
          </cell>
          <cell r="G2929">
            <v>0</v>
          </cell>
        </row>
        <row r="2930">
          <cell r="F2930">
            <v>0</v>
          </cell>
          <cell r="G2930">
            <v>0</v>
          </cell>
        </row>
        <row r="2931">
          <cell r="F2931">
            <v>0</v>
          </cell>
          <cell r="G2931">
            <v>0</v>
          </cell>
        </row>
        <row r="2932">
          <cell r="F2932">
            <v>0</v>
          </cell>
          <cell r="G2932">
            <v>0</v>
          </cell>
        </row>
        <row r="2933">
          <cell r="F2933">
            <v>0</v>
          </cell>
          <cell r="G2933">
            <v>0</v>
          </cell>
        </row>
        <row r="2934">
          <cell r="F2934">
            <v>0</v>
          </cell>
          <cell r="G2934">
            <v>0</v>
          </cell>
        </row>
        <row r="2935">
          <cell r="F2935">
            <v>0</v>
          </cell>
          <cell r="G2935">
            <v>0</v>
          </cell>
        </row>
        <row r="2936">
          <cell r="F2936">
            <v>0</v>
          </cell>
          <cell r="G2936">
            <v>0</v>
          </cell>
        </row>
        <row r="2937">
          <cell r="F2937">
            <v>0</v>
          </cell>
          <cell r="G2937">
            <v>0</v>
          </cell>
        </row>
        <row r="2938">
          <cell r="F2938">
            <v>0</v>
          </cell>
          <cell r="G2938">
            <v>0</v>
          </cell>
        </row>
        <row r="2939">
          <cell r="F2939">
            <v>0</v>
          </cell>
          <cell r="G2939">
            <v>0</v>
          </cell>
        </row>
        <row r="2940">
          <cell r="F2940">
            <v>0</v>
          </cell>
          <cell r="G2940">
            <v>0</v>
          </cell>
        </row>
        <row r="2941">
          <cell r="F2941">
            <v>0</v>
          </cell>
          <cell r="G2941">
            <v>0</v>
          </cell>
        </row>
        <row r="2942">
          <cell r="F2942">
            <v>0</v>
          </cell>
          <cell r="G2942">
            <v>0</v>
          </cell>
        </row>
        <row r="2943">
          <cell r="F2943">
            <v>0</v>
          </cell>
          <cell r="G2943">
            <v>0</v>
          </cell>
        </row>
        <row r="2944">
          <cell r="F2944">
            <v>0</v>
          </cell>
          <cell r="G2944">
            <v>0</v>
          </cell>
        </row>
        <row r="2945">
          <cell r="F2945">
            <v>0</v>
          </cell>
          <cell r="G2945">
            <v>0</v>
          </cell>
        </row>
        <row r="2946">
          <cell r="F2946">
            <v>0</v>
          </cell>
          <cell r="G2946">
            <v>0</v>
          </cell>
        </row>
        <row r="2947">
          <cell r="F2947">
            <v>0</v>
          </cell>
          <cell r="G2947">
            <v>0</v>
          </cell>
        </row>
        <row r="2948">
          <cell r="F2948">
            <v>0</v>
          </cell>
          <cell r="G2948">
            <v>0</v>
          </cell>
        </row>
        <row r="2949">
          <cell r="F2949">
            <v>0</v>
          </cell>
          <cell r="G2949">
            <v>0</v>
          </cell>
        </row>
        <row r="2950">
          <cell r="F2950">
            <v>0</v>
          </cell>
          <cell r="G2950">
            <v>0</v>
          </cell>
        </row>
        <row r="2951">
          <cell r="F2951">
            <v>0</v>
          </cell>
          <cell r="G2951">
            <v>0</v>
          </cell>
        </row>
        <row r="2952">
          <cell r="F2952">
            <v>0</v>
          </cell>
          <cell r="G2952">
            <v>0</v>
          </cell>
        </row>
        <row r="2953">
          <cell r="F2953">
            <v>0</v>
          </cell>
          <cell r="G2953">
            <v>0</v>
          </cell>
        </row>
        <row r="2954">
          <cell r="F2954">
            <v>0</v>
          </cell>
          <cell r="G2954">
            <v>0</v>
          </cell>
        </row>
        <row r="2955">
          <cell r="F2955">
            <v>0</v>
          </cell>
          <cell r="G2955">
            <v>0</v>
          </cell>
        </row>
        <row r="2956">
          <cell r="F2956">
            <v>0</v>
          </cell>
          <cell r="G2956">
            <v>0</v>
          </cell>
        </row>
        <row r="2957">
          <cell r="F2957">
            <v>0</v>
          </cell>
          <cell r="G2957">
            <v>0</v>
          </cell>
        </row>
        <row r="2958">
          <cell r="F2958">
            <v>0</v>
          </cell>
          <cell r="G2958">
            <v>0</v>
          </cell>
        </row>
        <row r="2959">
          <cell r="F2959">
            <v>0</v>
          </cell>
          <cell r="G2959">
            <v>0</v>
          </cell>
        </row>
        <row r="2960">
          <cell r="F2960">
            <v>0</v>
          </cell>
          <cell r="G2960">
            <v>0</v>
          </cell>
        </row>
        <row r="2961">
          <cell r="F2961">
            <v>0</v>
          </cell>
          <cell r="G2961">
            <v>0</v>
          </cell>
        </row>
        <row r="2962">
          <cell r="F2962">
            <v>0</v>
          </cell>
          <cell r="G2962">
            <v>0</v>
          </cell>
        </row>
        <row r="2963">
          <cell r="F2963">
            <v>0</v>
          </cell>
          <cell r="G2963">
            <v>0</v>
          </cell>
        </row>
        <row r="2964">
          <cell r="F2964">
            <v>0</v>
          </cell>
          <cell r="G2964">
            <v>0</v>
          </cell>
        </row>
        <row r="2965">
          <cell r="F2965">
            <v>0</v>
          </cell>
          <cell r="G2965">
            <v>0</v>
          </cell>
        </row>
        <row r="2966">
          <cell r="F2966">
            <v>0</v>
          </cell>
          <cell r="G2966">
            <v>0</v>
          </cell>
        </row>
        <row r="2967">
          <cell r="F2967">
            <v>0</v>
          </cell>
          <cell r="G2967">
            <v>0</v>
          </cell>
        </row>
        <row r="2968">
          <cell r="F2968">
            <v>0</v>
          </cell>
          <cell r="G2968">
            <v>0</v>
          </cell>
        </row>
        <row r="2969">
          <cell r="F2969">
            <v>0</v>
          </cell>
          <cell r="G2969">
            <v>0</v>
          </cell>
        </row>
        <row r="2970">
          <cell r="F2970">
            <v>0</v>
          </cell>
          <cell r="G2970">
            <v>0</v>
          </cell>
        </row>
        <row r="2971">
          <cell r="F2971">
            <v>0</v>
          </cell>
          <cell r="G2971">
            <v>0</v>
          </cell>
        </row>
        <row r="2972">
          <cell r="F2972">
            <v>0</v>
          </cell>
          <cell r="G2972">
            <v>0</v>
          </cell>
        </row>
        <row r="2973">
          <cell r="F2973">
            <v>0</v>
          </cell>
          <cell r="G2973">
            <v>0</v>
          </cell>
        </row>
        <row r="2974">
          <cell r="F2974">
            <v>0</v>
          </cell>
          <cell r="G2974">
            <v>0</v>
          </cell>
        </row>
        <row r="2975">
          <cell r="F2975">
            <v>0</v>
          </cell>
          <cell r="G2975">
            <v>0</v>
          </cell>
        </row>
        <row r="2976">
          <cell r="F2976">
            <v>0</v>
          </cell>
          <cell r="G2976">
            <v>0</v>
          </cell>
        </row>
        <row r="2977">
          <cell r="F2977">
            <v>0</v>
          </cell>
          <cell r="G2977">
            <v>0</v>
          </cell>
        </row>
        <row r="2978">
          <cell r="F2978">
            <v>0</v>
          </cell>
          <cell r="G2978">
            <v>0</v>
          </cell>
        </row>
        <row r="2979">
          <cell r="F2979">
            <v>0</v>
          </cell>
          <cell r="G2979">
            <v>0</v>
          </cell>
        </row>
        <row r="2980">
          <cell r="F2980">
            <v>0</v>
          </cell>
          <cell r="G2980">
            <v>0</v>
          </cell>
        </row>
        <row r="2981">
          <cell r="F2981">
            <v>0</v>
          </cell>
          <cell r="G2981">
            <v>0</v>
          </cell>
        </row>
        <row r="2982">
          <cell r="F2982">
            <v>0</v>
          </cell>
          <cell r="G2982">
            <v>0</v>
          </cell>
        </row>
        <row r="2983">
          <cell r="F2983">
            <v>0</v>
          </cell>
          <cell r="G2983">
            <v>0</v>
          </cell>
        </row>
        <row r="2984">
          <cell r="F2984">
            <v>0</v>
          </cell>
          <cell r="G2984">
            <v>0</v>
          </cell>
        </row>
        <row r="2985">
          <cell r="F2985">
            <v>0</v>
          </cell>
          <cell r="G2985">
            <v>0</v>
          </cell>
        </row>
        <row r="2986">
          <cell r="F2986">
            <v>0</v>
          </cell>
          <cell r="G2986">
            <v>0</v>
          </cell>
        </row>
        <row r="2987">
          <cell r="F2987">
            <v>0</v>
          </cell>
          <cell r="G2987">
            <v>0</v>
          </cell>
        </row>
        <row r="2988">
          <cell r="F2988">
            <v>0</v>
          </cell>
          <cell r="G2988">
            <v>0</v>
          </cell>
        </row>
        <row r="2989">
          <cell r="F2989">
            <v>0</v>
          </cell>
          <cell r="G2989">
            <v>0</v>
          </cell>
        </row>
        <row r="2990">
          <cell r="F2990">
            <v>0</v>
          </cell>
          <cell r="G2990">
            <v>0</v>
          </cell>
        </row>
        <row r="2991">
          <cell r="F2991">
            <v>0</v>
          </cell>
          <cell r="G2991">
            <v>0</v>
          </cell>
        </row>
        <row r="2992">
          <cell r="F2992">
            <v>0</v>
          </cell>
          <cell r="G2992">
            <v>0</v>
          </cell>
        </row>
        <row r="2993">
          <cell r="F2993">
            <v>0</v>
          </cell>
          <cell r="G2993">
            <v>0</v>
          </cell>
        </row>
        <row r="2994">
          <cell r="F2994">
            <v>0</v>
          </cell>
          <cell r="G2994">
            <v>0</v>
          </cell>
        </row>
        <row r="2995">
          <cell r="F2995">
            <v>0</v>
          </cell>
          <cell r="G2995">
            <v>0</v>
          </cell>
        </row>
        <row r="2996">
          <cell r="F2996">
            <v>0</v>
          </cell>
          <cell r="G2996">
            <v>0</v>
          </cell>
        </row>
        <row r="2997">
          <cell r="F2997">
            <v>0</v>
          </cell>
          <cell r="G2997">
            <v>0</v>
          </cell>
        </row>
        <row r="2998">
          <cell r="F2998">
            <v>0</v>
          </cell>
          <cell r="G2998">
            <v>0</v>
          </cell>
        </row>
        <row r="2999">
          <cell r="F2999">
            <v>0</v>
          </cell>
          <cell r="G2999">
            <v>0</v>
          </cell>
        </row>
        <row r="3000">
          <cell r="F3000">
            <v>0</v>
          </cell>
          <cell r="G3000">
            <v>0</v>
          </cell>
        </row>
        <row r="3001">
          <cell r="F3001">
            <v>0</v>
          </cell>
          <cell r="G3001">
            <v>0</v>
          </cell>
        </row>
        <row r="3002">
          <cell r="F3002">
            <v>0</v>
          </cell>
          <cell r="G3002">
            <v>0</v>
          </cell>
        </row>
        <row r="3003">
          <cell r="F3003">
            <v>0</v>
          </cell>
          <cell r="G3003">
            <v>0</v>
          </cell>
        </row>
        <row r="3004">
          <cell r="F3004">
            <v>0</v>
          </cell>
          <cell r="G3004">
            <v>0</v>
          </cell>
        </row>
        <row r="3005">
          <cell r="F3005">
            <v>0</v>
          </cell>
          <cell r="G3005">
            <v>0</v>
          </cell>
        </row>
        <row r="3006">
          <cell r="F3006">
            <v>0</v>
          </cell>
          <cell r="G3006">
            <v>0</v>
          </cell>
        </row>
        <row r="3007">
          <cell r="F3007">
            <v>0</v>
          </cell>
          <cell r="G3007">
            <v>0</v>
          </cell>
        </row>
        <row r="3008">
          <cell r="F3008">
            <v>0</v>
          </cell>
          <cell r="G3008">
            <v>0</v>
          </cell>
        </row>
        <row r="3009">
          <cell r="F3009">
            <v>0</v>
          </cell>
          <cell r="G3009">
            <v>0</v>
          </cell>
        </row>
        <row r="3010">
          <cell r="F3010">
            <v>0</v>
          </cell>
          <cell r="G3010">
            <v>0</v>
          </cell>
        </row>
        <row r="3011">
          <cell r="F3011">
            <v>0</v>
          </cell>
          <cell r="G3011">
            <v>0</v>
          </cell>
        </row>
        <row r="3012">
          <cell r="F3012">
            <v>0</v>
          </cell>
          <cell r="G3012">
            <v>0</v>
          </cell>
        </row>
        <row r="3013">
          <cell r="F3013">
            <v>0</v>
          </cell>
          <cell r="G3013">
            <v>0</v>
          </cell>
        </row>
        <row r="3014">
          <cell r="F3014">
            <v>0</v>
          </cell>
          <cell r="G3014">
            <v>0</v>
          </cell>
        </row>
        <row r="3015">
          <cell r="F3015">
            <v>0</v>
          </cell>
          <cell r="G3015">
            <v>0</v>
          </cell>
        </row>
        <row r="3016">
          <cell r="F3016">
            <v>0</v>
          </cell>
          <cell r="G3016">
            <v>0</v>
          </cell>
        </row>
        <row r="3017">
          <cell r="F3017">
            <v>0</v>
          </cell>
          <cell r="G3017">
            <v>0</v>
          </cell>
        </row>
        <row r="3018">
          <cell r="F3018">
            <v>0</v>
          </cell>
          <cell r="G3018">
            <v>0</v>
          </cell>
        </row>
        <row r="3019">
          <cell r="F3019">
            <v>0</v>
          </cell>
          <cell r="G3019">
            <v>0</v>
          </cell>
        </row>
        <row r="3020">
          <cell r="F3020">
            <v>0</v>
          </cell>
          <cell r="G3020">
            <v>0</v>
          </cell>
        </row>
        <row r="3021">
          <cell r="F3021">
            <v>0</v>
          </cell>
          <cell r="G3021">
            <v>0</v>
          </cell>
        </row>
        <row r="3022">
          <cell r="F3022">
            <v>0</v>
          </cell>
          <cell r="G3022">
            <v>0</v>
          </cell>
        </row>
        <row r="3023">
          <cell r="F3023">
            <v>0</v>
          </cell>
          <cell r="G3023">
            <v>0</v>
          </cell>
        </row>
        <row r="3024">
          <cell r="F3024">
            <v>0</v>
          </cell>
          <cell r="G3024">
            <v>0</v>
          </cell>
        </row>
        <row r="3025">
          <cell r="F3025">
            <v>0</v>
          </cell>
          <cell r="G3025">
            <v>0</v>
          </cell>
        </row>
        <row r="3026">
          <cell r="F3026">
            <v>0</v>
          </cell>
          <cell r="G3026">
            <v>0</v>
          </cell>
        </row>
        <row r="3027">
          <cell r="F3027">
            <v>0</v>
          </cell>
          <cell r="G3027">
            <v>0</v>
          </cell>
        </row>
        <row r="3028">
          <cell r="F3028">
            <v>0</v>
          </cell>
          <cell r="G3028">
            <v>0</v>
          </cell>
        </row>
        <row r="3029">
          <cell r="F3029">
            <v>0</v>
          </cell>
          <cell r="G3029">
            <v>0</v>
          </cell>
        </row>
        <row r="3030">
          <cell r="F3030">
            <v>0</v>
          </cell>
          <cell r="G3030">
            <v>0</v>
          </cell>
        </row>
        <row r="3031">
          <cell r="F3031">
            <v>0</v>
          </cell>
          <cell r="G3031">
            <v>0</v>
          </cell>
        </row>
        <row r="3032">
          <cell r="F3032">
            <v>0</v>
          </cell>
          <cell r="G3032">
            <v>0</v>
          </cell>
        </row>
        <row r="3033">
          <cell r="F3033">
            <v>0</v>
          </cell>
          <cell r="G3033">
            <v>0</v>
          </cell>
        </row>
        <row r="3034">
          <cell r="F3034">
            <v>0</v>
          </cell>
          <cell r="G3034">
            <v>0</v>
          </cell>
        </row>
        <row r="3035">
          <cell r="F3035">
            <v>0</v>
          </cell>
          <cell r="G3035">
            <v>0</v>
          </cell>
        </row>
        <row r="3036">
          <cell r="F3036">
            <v>0</v>
          </cell>
          <cell r="G3036">
            <v>0</v>
          </cell>
        </row>
        <row r="3037">
          <cell r="F3037">
            <v>0</v>
          </cell>
          <cell r="G3037">
            <v>0</v>
          </cell>
        </row>
        <row r="3038">
          <cell r="F3038">
            <v>0</v>
          </cell>
          <cell r="G3038">
            <v>0</v>
          </cell>
        </row>
        <row r="3039">
          <cell r="F3039">
            <v>0</v>
          </cell>
          <cell r="G3039">
            <v>0</v>
          </cell>
        </row>
        <row r="3040">
          <cell r="F3040">
            <v>0</v>
          </cell>
          <cell r="G3040">
            <v>0</v>
          </cell>
        </row>
        <row r="3041">
          <cell r="F3041">
            <v>0</v>
          </cell>
          <cell r="G3041">
            <v>0</v>
          </cell>
        </row>
        <row r="3042">
          <cell r="F3042">
            <v>0</v>
          </cell>
          <cell r="G3042">
            <v>0</v>
          </cell>
        </row>
        <row r="3043">
          <cell r="F3043">
            <v>0</v>
          </cell>
          <cell r="G3043">
            <v>0</v>
          </cell>
        </row>
        <row r="3044">
          <cell r="F3044">
            <v>0</v>
          </cell>
          <cell r="G3044">
            <v>0</v>
          </cell>
        </row>
        <row r="3045">
          <cell r="F3045">
            <v>0</v>
          </cell>
          <cell r="G3045">
            <v>0</v>
          </cell>
        </row>
        <row r="3046">
          <cell r="F3046">
            <v>0</v>
          </cell>
          <cell r="G3046">
            <v>0</v>
          </cell>
        </row>
        <row r="3047">
          <cell r="F3047">
            <v>0</v>
          </cell>
          <cell r="G3047">
            <v>0</v>
          </cell>
        </row>
        <row r="3048">
          <cell r="F3048">
            <v>0</v>
          </cell>
          <cell r="G3048">
            <v>0</v>
          </cell>
        </row>
        <row r="3049">
          <cell r="F3049">
            <v>0</v>
          </cell>
          <cell r="G3049">
            <v>0</v>
          </cell>
        </row>
        <row r="3050">
          <cell r="F3050">
            <v>0</v>
          </cell>
          <cell r="G3050">
            <v>0</v>
          </cell>
        </row>
        <row r="3051">
          <cell r="F3051">
            <v>0</v>
          </cell>
          <cell r="G3051">
            <v>0</v>
          </cell>
        </row>
        <row r="3052">
          <cell r="F3052">
            <v>0</v>
          </cell>
          <cell r="G3052">
            <v>0</v>
          </cell>
        </row>
        <row r="3053">
          <cell r="F3053">
            <v>0</v>
          </cell>
          <cell r="G3053">
            <v>0</v>
          </cell>
        </row>
        <row r="3054">
          <cell r="F3054">
            <v>0</v>
          </cell>
          <cell r="G3054">
            <v>0</v>
          </cell>
        </row>
        <row r="3055">
          <cell r="F3055">
            <v>0</v>
          </cell>
          <cell r="G3055">
            <v>0</v>
          </cell>
        </row>
        <row r="3056">
          <cell r="F3056">
            <v>0</v>
          </cell>
          <cell r="G3056">
            <v>0</v>
          </cell>
        </row>
        <row r="3057">
          <cell r="F3057">
            <v>0</v>
          </cell>
          <cell r="G3057">
            <v>0</v>
          </cell>
        </row>
        <row r="3058">
          <cell r="F3058">
            <v>0</v>
          </cell>
          <cell r="G3058">
            <v>0</v>
          </cell>
        </row>
        <row r="3059">
          <cell r="F3059">
            <v>0</v>
          </cell>
          <cell r="G3059">
            <v>0</v>
          </cell>
        </row>
        <row r="3060">
          <cell r="F3060">
            <v>0</v>
          </cell>
          <cell r="G3060">
            <v>0</v>
          </cell>
        </row>
        <row r="3061">
          <cell r="F3061">
            <v>0</v>
          </cell>
          <cell r="G3061">
            <v>0</v>
          </cell>
        </row>
        <row r="3062">
          <cell r="F3062">
            <v>0</v>
          </cell>
          <cell r="G3062">
            <v>0</v>
          </cell>
        </row>
        <row r="3063">
          <cell r="F3063">
            <v>0</v>
          </cell>
          <cell r="G3063">
            <v>0</v>
          </cell>
        </row>
        <row r="3064">
          <cell r="F3064">
            <v>0</v>
          </cell>
          <cell r="G3064">
            <v>0</v>
          </cell>
        </row>
        <row r="3065">
          <cell r="F3065">
            <v>0</v>
          </cell>
          <cell r="G3065">
            <v>0</v>
          </cell>
        </row>
        <row r="3066">
          <cell r="F3066">
            <v>0</v>
          </cell>
          <cell r="G3066">
            <v>0</v>
          </cell>
        </row>
        <row r="3067">
          <cell r="F3067">
            <v>0</v>
          </cell>
          <cell r="G3067">
            <v>0</v>
          </cell>
        </row>
        <row r="3068">
          <cell r="F3068">
            <v>0</v>
          </cell>
          <cell r="G3068">
            <v>0</v>
          </cell>
        </row>
        <row r="3069">
          <cell r="F3069">
            <v>0</v>
          </cell>
          <cell r="G3069">
            <v>0</v>
          </cell>
        </row>
        <row r="3070">
          <cell r="F3070">
            <v>0</v>
          </cell>
          <cell r="G3070">
            <v>0</v>
          </cell>
        </row>
        <row r="3071">
          <cell r="F3071">
            <v>0</v>
          </cell>
          <cell r="G3071">
            <v>0</v>
          </cell>
        </row>
        <row r="3072">
          <cell r="F3072">
            <v>0</v>
          </cell>
          <cell r="G3072">
            <v>0</v>
          </cell>
        </row>
        <row r="3073">
          <cell r="F3073">
            <v>0</v>
          </cell>
          <cell r="G3073">
            <v>0</v>
          </cell>
        </row>
        <row r="3074">
          <cell r="F3074">
            <v>0</v>
          </cell>
          <cell r="G3074">
            <v>0</v>
          </cell>
        </row>
        <row r="3075">
          <cell r="F3075">
            <v>0</v>
          </cell>
          <cell r="G3075">
            <v>0</v>
          </cell>
        </row>
        <row r="3076">
          <cell r="F3076">
            <v>0</v>
          </cell>
          <cell r="G3076">
            <v>0</v>
          </cell>
        </row>
        <row r="3077">
          <cell r="F3077">
            <v>0</v>
          </cell>
          <cell r="G3077">
            <v>0</v>
          </cell>
        </row>
        <row r="3078">
          <cell r="F3078">
            <v>0</v>
          </cell>
          <cell r="G3078">
            <v>0</v>
          </cell>
        </row>
        <row r="3079">
          <cell r="F3079">
            <v>0</v>
          </cell>
          <cell r="G3079">
            <v>0</v>
          </cell>
        </row>
        <row r="3080">
          <cell r="F3080">
            <v>0</v>
          </cell>
          <cell r="G3080">
            <v>0</v>
          </cell>
        </row>
        <row r="3081">
          <cell r="F3081">
            <v>0</v>
          </cell>
          <cell r="G3081">
            <v>0</v>
          </cell>
        </row>
        <row r="3082">
          <cell r="F3082">
            <v>0</v>
          </cell>
          <cell r="G3082">
            <v>0</v>
          </cell>
        </row>
        <row r="3083">
          <cell r="F3083">
            <v>0</v>
          </cell>
          <cell r="G3083">
            <v>0</v>
          </cell>
        </row>
        <row r="3084">
          <cell r="F3084">
            <v>0</v>
          </cell>
          <cell r="G3084">
            <v>0</v>
          </cell>
        </row>
        <row r="3085">
          <cell r="F3085">
            <v>0</v>
          </cell>
          <cell r="G3085">
            <v>0</v>
          </cell>
        </row>
        <row r="3086">
          <cell r="F3086">
            <v>0</v>
          </cell>
          <cell r="G3086">
            <v>0</v>
          </cell>
        </row>
        <row r="3087">
          <cell r="F3087">
            <v>0</v>
          </cell>
          <cell r="G3087">
            <v>0</v>
          </cell>
        </row>
        <row r="3088">
          <cell r="F3088">
            <v>0</v>
          </cell>
          <cell r="G3088">
            <v>0</v>
          </cell>
        </row>
        <row r="3089">
          <cell r="F3089">
            <v>0</v>
          </cell>
          <cell r="G3089">
            <v>0</v>
          </cell>
        </row>
        <row r="3090">
          <cell r="F3090">
            <v>0</v>
          </cell>
          <cell r="G3090">
            <v>0</v>
          </cell>
        </row>
        <row r="3091">
          <cell r="F3091">
            <v>0</v>
          </cell>
          <cell r="G3091">
            <v>0</v>
          </cell>
        </row>
        <row r="3092">
          <cell r="F3092">
            <v>0</v>
          </cell>
          <cell r="G3092">
            <v>0</v>
          </cell>
        </row>
        <row r="3093">
          <cell r="F3093">
            <v>0</v>
          </cell>
          <cell r="G3093">
            <v>0</v>
          </cell>
        </row>
        <row r="3094">
          <cell r="F3094">
            <v>0</v>
          </cell>
          <cell r="G3094">
            <v>0</v>
          </cell>
        </row>
        <row r="3095">
          <cell r="F3095">
            <v>0</v>
          </cell>
          <cell r="G3095">
            <v>0</v>
          </cell>
        </row>
        <row r="3096">
          <cell r="F3096">
            <v>0</v>
          </cell>
          <cell r="G3096">
            <v>0</v>
          </cell>
        </row>
        <row r="3097">
          <cell r="F3097">
            <v>0</v>
          </cell>
          <cell r="G3097">
            <v>0</v>
          </cell>
        </row>
        <row r="3098">
          <cell r="F3098">
            <v>0</v>
          </cell>
          <cell r="G3098">
            <v>0</v>
          </cell>
        </row>
        <row r="3099">
          <cell r="F3099">
            <v>0</v>
          </cell>
          <cell r="G3099">
            <v>0</v>
          </cell>
        </row>
        <row r="3100">
          <cell r="F3100">
            <v>0</v>
          </cell>
          <cell r="G3100">
            <v>0</v>
          </cell>
        </row>
        <row r="3101">
          <cell r="F3101">
            <v>0</v>
          </cell>
          <cell r="G3101">
            <v>0</v>
          </cell>
        </row>
        <row r="3102">
          <cell r="F3102">
            <v>0</v>
          </cell>
          <cell r="G3102">
            <v>0</v>
          </cell>
        </row>
        <row r="3103">
          <cell r="F3103">
            <v>0</v>
          </cell>
          <cell r="G3103">
            <v>0</v>
          </cell>
        </row>
        <row r="3104">
          <cell r="F3104">
            <v>0</v>
          </cell>
          <cell r="G3104">
            <v>0</v>
          </cell>
        </row>
        <row r="3105">
          <cell r="F3105">
            <v>0</v>
          </cell>
          <cell r="G3105">
            <v>0</v>
          </cell>
        </row>
        <row r="3106">
          <cell r="F3106">
            <v>0</v>
          </cell>
          <cell r="G3106">
            <v>0</v>
          </cell>
        </row>
        <row r="3107">
          <cell r="F3107">
            <v>0</v>
          </cell>
          <cell r="G3107">
            <v>0</v>
          </cell>
        </row>
        <row r="3108">
          <cell r="F3108">
            <v>0</v>
          </cell>
          <cell r="G3108">
            <v>0</v>
          </cell>
        </row>
        <row r="3109">
          <cell r="F3109">
            <v>0</v>
          </cell>
          <cell r="G3109">
            <v>0</v>
          </cell>
        </row>
        <row r="3110">
          <cell r="F3110">
            <v>0</v>
          </cell>
          <cell r="G3110">
            <v>0</v>
          </cell>
        </row>
        <row r="3111">
          <cell r="F3111">
            <v>0</v>
          </cell>
          <cell r="G3111">
            <v>0</v>
          </cell>
        </row>
        <row r="3112">
          <cell r="F3112">
            <v>0</v>
          </cell>
          <cell r="G3112">
            <v>0</v>
          </cell>
        </row>
        <row r="3113">
          <cell r="F3113">
            <v>0</v>
          </cell>
          <cell r="G3113">
            <v>0</v>
          </cell>
        </row>
        <row r="3114">
          <cell r="F3114">
            <v>0</v>
          </cell>
          <cell r="G3114">
            <v>0</v>
          </cell>
        </row>
        <row r="3115">
          <cell r="F3115">
            <v>0</v>
          </cell>
          <cell r="G3115">
            <v>0</v>
          </cell>
        </row>
        <row r="3116">
          <cell r="F3116">
            <v>0</v>
          </cell>
          <cell r="G3116">
            <v>0</v>
          </cell>
        </row>
        <row r="3117">
          <cell r="F3117">
            <v>0</v>
          </cell>
          <cell r="G3117">
            <v>0</v>
          </cell>
        </row>
        <row r="3118">
          <cell r="F3118">
            <v>0</v>
          </cell>
          <cell r="G3118">
            <v>0</v>
          </cell>
        </row>
        <row r="3119">
          <cell r="F3119">
            <v>0</v>
          </cell>
          <cell r="G3119">
            <v>0</v>
          </cell>
        </row>
        <row r="3120">
          <cell r="F3120">
            <v>0</v>
          </cell>
          <cell r="G3120">
            <v>0</v>
          </cell>
        </row>
        <row r="3121">
          <cell r="F3121">
            <v>0</v>
          </cell>
          <cell r="G3121">
            <v>0</v>
          </cell>
        </row>
        <row r="3122">
          <cell r="F3122">
            <v>0</v>
          </cell>
          <cell r="G3122">
            <v>0</v>
          </cell>
        </row>
        <row r="3123">
          <cell r="F3123">
            <v>0</v>
          </cell>
          <cell r="G3123">
            <v>0</v>
          </cell>
        </row>
        <row r="3124">
          <cell r="F3124">
            <v>0</v>
          </cell>
          <cell r="G3124">
            <v>0</v>
          </cell>
        </row>
        <row r="3125">
          <cell r="F3125">
            <v>0</v>
          </cell>
          <cell r="G3125">
            <v>0</v>
          </cell>
        </row>
        <row r="3126">
          <cell r="F3126">
            <v>0</v>
          </cell>
          <cell r="G3126">
            <v>0</v>
          </cell>
        </row>
        <row r="3127">
          <cell r="F3127">
            <v>0</v>
          </cell>
          <cell r="G3127">
            <v>0</v>
          </cell>
        </row>
        <row r="3128">
          <cell r="F3128">
            <v>0</v>
          </cell>
          <cell r="G3128">
            <v>0</v>
          </cell>
        </row>
        <row r="3129">
          <cell r="F3129">
            <v>0</v>
          </cell>
          <cell r="G3129">
            <v>0</v>
          </cell>
        </row>
        <row r="3130">
          <cell r="F3130">
            <v>0</v>
          </cell>
          <cell r="G3130">
            <v>0</v>
          </cell>
        </row>
        <row r="3131">
          <cell r="F3131">
            <v>0</v>
          </cell>
          <cell r="G3131">
            <v>0</v>
          </cell>
        </row>
        <row r="3132">
          <cell r="F3132">
            <v>0</v>
          </cell>
          <cell r="G3132">
            <v>0</v>
          </cell>
        </row>
        <row r="3133">
          <cell r="F3133">
            <v>0</v>
          </cell>
          <cell r="G3133">
            <v>0</v>
          </cell>
        </row>
        <row r="3134">
          <cell r="F3134">
            <v>0</v>
          </cell>
          <cell r="G3134">
            <v>0</v>
          </cell>
        </row>
        <row r="3135">
          <cell r="F3135">
            <v>0</v>
          </cell>
          <cell r="G3135">
            <v>0</v>
          </cell>
        </row>
        <row r="3136">
          <cell r="F3136">
            <v>0</v>
          </cell>
          <cell r="G3136">
            <v>0</v>
          </cell>
        </row>
        <row r="3137">
          <cell r="F3137">
            <v>0</v>
          </cell>
          <cell r="G3137">
            <v>0</v>
          </cell>
        </row>
        <row r="3138">
          <cell r="F3138">
            <v>0</v>
          </cell>
          <cell r="G3138">
            <v>0</v>
          </cell>
        </row>
        <row r="3139">
          <cell r="F3139">
            <v>0</v>
          </cell>
          <cell r="G3139">
            <v>0</v>
          </cell>
        </row>
        <row r="3140">
          <cell r="F3140">
            <v>0</v>
          </cell>
          <cell r="G3140">
            <v>0</v>
          </cell>
        </row>
        <row r="3141">
          <cell r="F3141">
            <v>0</v>
          </cell>
          <cell r="G3141">
            <v>0</v>
          </cell>
        </row>
        <row r="3142">
          <cell r="F3142">
            <v>0</v>
          </cell>
          <cell r="G3142">
            <v>0</v>
          </cell>
        </row>
        <row r="3143">
          <cell r="F3143">
            <v>0</v>
          </cell>
          <cell r="G3143">
            <v>0</v>
          </cell>
        </row>
        <row r="3144">
          <cell r="F3144">
            <v>0</v>
          </cell>
          <cell r="G3144">
            <v>0</v>
          </cell>
        </row>
        <row r="3145">
          <cell r="F3145">
            <v>0</v>
          </cell>
          <cell r="G3145">
            <v>0</v>
          </cell>
        </row>
        <row r="3146">
          <cell r="F3146">
            <v>0</v>
          </cell>
          <cell r="G3146">
            <v>0</v>
          </cell>
        </row>
        <row r="3147">
          <cell r="F3147">
            <v>0</v>
          </cell>
          <cell r="G3147">
            <v>0</v>
          </cell>
        </row>
        <row r="3148">
          <cell r="F3148">
            <v>0</v>
          </cell>
          <cell r="G3148">
            <v>0</v>
          </cell>
        </row>
        <row r="3149">
          <cell r="F3149">
            <v>0</v>
          </cell>
          <cell r="G3149">
            <v>0</v>
          </cell>
        </row>
        <row r="3150">
          <cell r="F3150">
            <v>0</v>
          </cell>
          <cell r="G3150">
            <v>0</v>
          </cell>
        </row>
        <row r="3151">
          <cell r="F3151">
            <v>0</v>
          </cell>
          <cell r="G3151">
            <v>0</v>
          </cell>
        </row>
        <row r="3152">
          <cell r="F3152">
            <v>0</v>
          </cell>
          <cell r="G3152">
            <v>0</v>
          </cell>
        </row>
        <row r="3153">
          <cell r="F3153">
            <v>0</v>
          </cell>
          <cell r="G3153">
            <v>0</v>
          </cell>
        </row>
        <row r="3154">
          <cell r="F3154">
            <v>0</v>
          </cell>
          <cell r="G3154">
            <v>0</v>
          </cell>
        </row>
        <row r="3155">
          <cell r="F3155">
            <v>0</v>
          </cell>
          <cell r="G3155">
            <v>0</v>
          </cell>
        </row>
        <row r="3156">
          <cell r="F3156">
            <v>0</v>
          </cell>
          <cell r="G3156">
            <v>0</v>
          </cell>
        </row>
        <row r="3157">
          <cell r="F3157">
            <v>0</v>
          </cell>
          <cell r="G3157">
            <v>0</v>
          </cell>
        </row>
        <row r="3158">
          <cell r="F3158">
            <v>0</v>
          </cell>
          <cell r="G3158">
            <v>0</v>
          </cell>
        </row>
        <row r="3159">
          <cell r="F3159">
            <v>0</v>
          </cell>
          <cell r="G3159">
            <v>0</v>
          </cell>
        </row>
        <row r="3160">
          <cell r="F3160">
            <v>0</v>
          </cell>
          <cell r="G3160">
            <v>0</v>
          </cell>
        </row>
        <row r="3161">
          <cell r="F3161">
            <v>0</v>
          </cell>
          <cell r="G3161">
            <v>0</v>
          </cell>
        </row>
        <row r="3162">
          <cell r="F3162">
            <v>0</v>
          </cell>
          <cell r="G3162">
            <v>0</v>
          </cell>
        </row>
        <row r="3163">
          <cell r="F3163">
            <v>0</v>
          </cell>
          <cell r="G3163">
            <v>0</v>
          </cell>
        </row>
        <row r="3164">
          <cell r="F3164">
            <v>0</v>
          </cell>
          <cell r="G3164">
            <v>0</v>
          </cell>
        </row>
        <row r="3165">
          <cell r="F3165">
            <v>0</v>
          </cell>
          <cell r="G3165">
            <v>0</v>
          </cell>
        </row>
        <row r="3166">
          <cell r="F3166">
            <v>0</v>
          </cell>
          <cell r="G3166">
            <v>0</v>
          </cell>
        </row>
        <row r="3167">
          <cell r="F3167">
            <v>0</v>
          </cell>
          <cell r="G3167">
            <v>0</v>
          </cell>
        </row>
        <row r="3168">
          <cell r="F3168">
            <v>0</v>
          </cell>
          <cell r="G3168">
            <v>0</v>
          </cell>
        </row>
        <row r="3169">
          <cell r="F3169">
            <v>0</v>
          </cell>
          <cell r="G3169">
            <v>0</v>
          </cell>
        </row>
        <row r="3170">
          <cell r="F3170">
            <v>0</v>
          </cell>
          <cell r="G3170">
            <v>0</v>
          </cell>
        </row>
        <row r="3171">
          <cell r="F3171">
            <v>0</v>
          </cell>
          <cell r="G3171">
            <v>0</v>
          </cell>
        </row>
        <row r="3172">
          <cell r="F3172">
            <v>0</v>
          </cell>
          <cell r="G3172">
            <v>0</v>
          </cell>
        </row>
        <row r="3173">
          <cell r="F3173">
            <v>0</v>
          </cell>
          <cell r="G3173">
            <v>0</v>
          </cell>
        </row>
        <row r="3174">
          <cell r="F3174">
            <v>0</v>
          </cell>
          <cell r="G3174">
            <v>0</v>
          </cell>
        </row>
        <row r="3175">
          <cell r="F3175">
            <v>0</v>
          </cell>
          <cell r="G3175">
            <v>0</v>
          </cell>
        </row>
        <row r="3176">
          <cell r="F3176">
            <v>0</v>
          </cell>
          <cell r="G3176">
            <v>0</v>
          </cell>
        </row>
        <row r="3177">
          <cell r="F3177">
            <v>0</v>
          </cell>
          <cell r="G3177">
            <v>0</v>
          </cell>
        </row>
        <row r="3178">
          <cell r="F3178">
            <v>0</v>
          </cell>
          <cell r="G3178">
            <v>0</v>
          </cell>
        </row>
        <row r="3179">
          <cell r="F3179">
            <v>0</v>
          </cell>
          <cell r="G3179">
            <v>0</v>
          </cell>
        </row>
        <row r="3180">
          <cell r="F3180">
            <v>0</v>
          </cell>
          <cell r="G3180">
            <v>0</v>
          </cell>
        </row>
        <row r="3181">
          <cell r="F3181">
            <v>0</v>
          </cell>
          <cell r="G3181">
            <v>0</v>
          </cell>
        </row>
        <row r="3182">
          <cell r="F3182">
            <v>0</v>
          </cell>
          <cell r="G3182">
            <v>0</v>
          </cell>
        </row>
        <row r="3183">
          <cell r="F3183">
            <v>0</v>
          </cell>
          <cell r="G3183">
            <v>0</v>
          </cell>
        </row>
        <row r="3184">
          <cell r="F3184">
            <v>0</v>
          </cell>
          <cell r="G3184">
            <v>0</v>
          </cell>
        </row>
        <row r="3185">
          <cell r="F3185">
            <v>0</v>
          </cell>
          <cell r="G3185">
            <v>0</v>
          </cell>
        </row>
        <row r="3186">
          <cell r="F3186">
            <v>0</v>
          </cell>
          <cell r="G3186">
            <v>0</v>
          </cell>
        </row>
        <row r="3187">
          <cell r="F3187">
            <v>0</v>
          </cell>
          <cell r="G3187">
            <v>0</v>
          </cell>
        </row>
        <row r="3188">
          <cell r="F3188">
            <v>0</v>
          </cell>
          <cell r="G3188">
            <v>0</v>
          </cell>
        </row>
        <row r="3189">
          <cell r="F3189">
            <v>0</v>
          </cell>
          <cell r="G3189">
            <v>0</v>
          </cell>
        </row>
        <row r="3190">
          <cell r="F3190">
            <v>0</v>
          </cell>
          <cell r="G3190">
            <v>0</v>
          </cell>
        </row>
        <row r="3191">
          <cell r="F3191">
            <v>0</v>
          </cell>
          <cell r="G3191">
            <v>0</v>
          </cell>
        </row>
        <row r="3192">
          <cell r="F3192">
            <v>0</v>
          </cell>
          <cell r="G3192">
            <v>0</v>
          </cell>
        </row>
        <row r="3193">
          <cell r="F3193">
            <v>0</v>
          </cell>
          <cell r="G3193">
            <v>0</v>
          </cell>
        </row>
        <row r="3194">
          <cell r="F3194">
            <v>0</v>
          </cell>
          <cell r="G3194">
            <v>0</v>
          </cell>
        </row>
        <row r="3195">
          <cell r="F3195">
            <v>0</v>
          </cell>
          <cell r="G3195">
            <v>0</v>
          </cell>
        </row>
        <row r="3196">
          <cell r="F3196">
            <v>0</v>
          </cell>
          <cell r="G3196">
            <v>0</v>
          </cell>
        </row>
        <row r="3197">
          <cell r="F3197">
            <v>0</v>
          </cell>
          <cell r="G3197">
            <v>0</v>
          </cell>
        </row>
        <row r="3198">
          <cell r="F3198">
            <v>0</v>
          </cell>
          <cell r="G3198">
            <v>0</v>
          </cell>
        </row>
        <row r="3199">
          <cell r="F3199">
            <v>0</v>
          </cell>
          <cell r="G3199">
            <v>0</v>
          </cell>
        </row>
        <row r="3200">
          <cell r="F3200">
            <v>0</v>
          </cell>
          <cell r="G3200">
            <v>0</v>
          </cell>
        </row>
        <row r="3201">
          <cell r="F3201">
            <v>0</v>
          </cell>
          <cell r="G3201">
            <v>0</v>
          </cell>
        </row>
        <row r="3202">
          <cell r="F3202">
            <v>0</v>
          </cell>
          <cell r="G3202">
            <v>0</v>
          </cell>
        </row>
        <row r="3203">
          <cell r="F3203">
            <v>0</v>
          </cell>
          <cell r="G3203">
            <v>0</v>
          </cell>
        </row>
        <row r="3204">
          <cell r="F3204">
            <v>0</v>
          </cell>
          <cell r="G3204">
            <v>0</v>
          </cell>
        </row>
        <row r="3205">
          <cell r="F3205">
            <v>0</v>
          </cell>
          <cell r="G3205">
            <v>0</v>
          </cell>
        </row>
        <row r="3206">
          <cell r="F3206">
            <v>0</v>
          </cell>
          <cell r="G3206">
            <v>0</v>
          </cell>
        </row>
        <row r="3207">
          <cell r="F3207">
            <v>0</v>
          </cell>
          <cell r="G3207">
            <v>0</v>
          </cell>
        </row>
        <row r="3208">
          <cell r="F3208">
            <v>0</v>
          </cell>
          <cell r="G3208">
            <v>0</v>
          </cell>
        </row>
        <row r="3209">
          <cell r="F3209">
            <v>0</v>
          </cell>
          <cell r="G3209">
            <v>0</v>
          </cell>
        </row>
        <row r="3210">
          <cell r="F3210">
            <v>0</v>
          </cell>
          <cell r="G3210">
            <v>0</v>
          </cell>
        </row>
        <row r="3211">
          <cell r="F3211">
            <v>0</v>
          </cell>
          <cell r="G3211">
            <v>0</v>
          </cell>
        </row>
        <row r="3212">
          <cell r="F3212">
            <v>0</v>
          </cell>
          <cell r="G3212">
            <v>0</v>
          </cell>
        </row>
        <row r="3213">
          <cell r="F3213">
            <v>0</v>
          </cell>
          <cell r="G3213">
            <v>0</v>
          </cell>
        </row>
        <row r="3214">
          <cell r="F3214">
            <v>0</v>
          </cell>
          <cell r="G3214">
            <v>0</v>
          </cell>
        </row>
        <row r="3215">
          <cell r="F3215">
            <v>0</v>
          </cell>
          <cell r="G3215">
            <v>0</v>
          </cell>
        </row>
        <row r="3216">
          <cell r="F3216">
            <v>0</v>
          </cell>
          <cell r="G3216">
            <v>0</v>
          </cell>
        </row>
        <row r="3217">
          <cell r="F3217">
            <v>0</v>
          </cell>
          <cell r="G3217">
            <v>0</v>
          </cell>
        </row>
        <row r="3218">
          <cell r="F3218">
            <v>0</v>
          </cell>
          <cell r="G3218">
            <v>0</v>
          </cell>
        </row>
        <row r="3219">
          <cell r="F3219">
            <v>0</v>
          </cell>
          <cell r="G3219">
            <v>0</v>
          </cell>
        </row>
        <row r="3220">
          <cell r="F3220">
            <v>0</v>
          </cell>
          <cell r="G3220">
            <v>0</v>
          </cell>
        </row>
        <row r="3221">
          <cell r="F3221">
            <v>0</v>
          </cell>
          <cell r="G3221">
            <v>0</v>
          </cell>
        </row>
        <row r="3222">
          <cell r="F3222">
            <v>0</v>
          </cell>
          <cell r="G3222">
            <v>0</v>
          </cell>
        </row>
        <row r="3223">
          <cell r="F3223">
            <v>0</v>
          </cell>
          <cell r="G3223">
            <v>0</v>
          </cell>
        </row>
        <row r="3224">
          <cell r="F3224">
            <v>0</v>
          </cell>
          <cell r="G3224">
            <v>0</v>
          </cell>
        </row>
        <row r="3225">
          <cell r="F3225">
            <v>0</v>
          </cell>
          <cell r="G3225">
            <v>0</v>
          </cell>
        </row>
        <row r="3226">
          <cell r="F3226">
            <v>0</v>
          </cell>
          <cell r="G3226">
            <v>0</v>
          </cell>
        </row>
        <row r="3227">
          <cell r="F3227">
            <v>0</v>
          </cell>
          <cell r="G3227">
            <v>0</v>
          </cell>
        </row>
        <row r="3228">
          <cell r="F3228">
            <v>0</v>
          </cell>
          <cell r="G3228">
            <v>0</v>
          </cell>
        </row>
        <row r="3229">
          <cell r="F3229">
            <v>0</v>
          </cell>
          <cell r="G3229">
            <v>0</v>
          </cell>
        </row>
        <row r="3230">
          <cell r="F3230">
            <v>0</v>
          </cell>
          <cell r="G3230">
            <v>0</v>
          </cell>
        </row>
        <row r="3231">
          <cell r="F3231">
            <v>0</v>
          </cell>
          <cell r="G3231">
            <v>0</v>
          </cell>
        </row>
        <row r="3232">
          <cell r="F3232">
            <v>0</v>
          </cell>
          <cell r="G3232">
            <v>0</v>
          </cell>
        </row>
        <row r="3233">
          <cell r="F3233">
            <v>0</v>
          </cell>
          <cell r="G3233">
            <v>0</v>
          </cell>
        </row>
        <row r="3234">
          <cell r="F3234">
            <v>0</v>
          </cell>
          <cell r="G3234">
            <v>0</v>
          </cell>
        </row>
        <row r="3235">
          <cell r="F3235">
            <v>0</v>
          </cell>
          <cell r="G3235">
            <v>0</v>
          </cell>
        </row>
        <row r="3236">
          <cell r="F3236">
            <v>0</v>
          </cell>
          <cell r="G3236">
            <v>0</v>
          </cell>
        </row>
        <row r="3237">
          <cell r="F3237">
            <v>0</v>
          </cell>
          <cell r="G3237">
            <v>0</v>
          </cell>
        </row>
        <row r="3238">
          <cell r="F3238">
            <v>0</v>
          </cell>
          <cell r="G3238">
            <v>0</v>
          </cell>
        </row>
        <row r="3239">
          <cell r="F3239">
            <v>0</v>
          </cell>
          <cell r="G3239">
            <v>0</v>
          </cell>
        </row>
        <row r="3240">
          <cell r="F3240">
            <v>0</v>
          </cell>
          <cell r="G3240">
            <v>0</v>
          </cell>
        </row>
        <row r="3241">
          <cell r="F3241">
            <v>0</v>
          </cell>
          <cell r="G3241">
            <v>0</v>
          </cell>
        </row>
        <row r="3242">
          <cell r="F3242">
            <v>0</v>
          </cell>
          <cell r="G3242">
            <v>0</v>
          </cell>
        </row>
        <row r="3243">
          <cell r="F3243">
            <v>0</v>
          </cell>
          <cell r="G3243">
            <v>0</v>
          </cell>
        </row>
        <row r="3244">
          <cell r="F3244">
            <v>0</v>
          </cell>
          <cell r="G3244">
            <v>0</v>
          </cell>
        </row>
        <row r="3245">
          <cell r="F3245">
            <v>0</v>
          </cell>
          <cell r="G3245">
            <v>0</v>
          </cell>
        </row>
        <row r="3246">
          <cell r="F3246">
            <v>0</v>
          </cell>
          <cell r="G3246">
            <v>0</v>
          </cell>
        </row>
        <row r="3247">
          <cell r="F3247">
            <v>0</v>
          </cell>
          <cell r="G3247">
            <v>0</v>
          </cell>
        </row>
        <row r="3248">
          <cell r="F3248">
            <v>0</v>
          </cell>
          <cell r="G3248">
            <v>0</v>
          </cell>
        </row>
        <row r="3249">
          <cell r="F3249">
            <v>0</v>
          </cell>
          <cell r="G3249">
            <v>0</v>
          </cell>
        </row>
        <row r="3250">
          <cell r="F3250">
            <v>0</v>
          </cell>
          <cell r="G3250">
            <v>0</v>
          </cell>
        </row>
        <row r="3251">
          <cell r="F3251">
            <v>0</v>
          </cell>
          <cell r="G3251">
            <v>0</v>
          </cell>
        </row>
        <row r="3252">
          <cell r="F3252">
            <v>0</v>
          </cell>
          <cell r="G3252">
            <v>0</v>
          </cell>
        </row>
        <row r="3253">
          <cell r="F3253">
            <v>0</v>
          </cell>
          <cell r="G3253">
            <v>0</v>
          </cell>
        </row>
        <row r="3254">
          <cell r="F3254">
            <v>0</v>
          </cell>
          <cell r="G3254">
            <v>0</v>
          </cell>
        </row>
        <row r="3255">
          <cell r="F3255">
            <v>0</v>
          </cell>
          <cell r="G3255">
            <v>0</v>
          </cell>
        </row>
        <row r="3256">
          <cell r="F3256">
            <v>0</v>
          </cell>
          <cell r="G3256">
            <v>0</v>
          </cell>
        </row>
        <row r="3257">
          <cell r="F3257">
            <v>0</v>
          </cell>
          <cell r="G3257">
            <v>0</v>
          </cell>
        </row>
        <row r="3258">
          <cell r="F3258">
            <v>0</v>
          </cell>
          <cell r="G3258">
            <v>0</v>
          </cell>
        </row>
        <row r="3259">
          <cell r="F3259">
            <v>0</v>
          </cell>
          <cell r="G3259">
            <v>0</v>
          </cell>
        </row>
        <row r="3260">
          <cell r="F3260">
            <v>0</v>
          </cell>
          <cell r="G3260">
            <v>0</v>
          </cell>
        </row>
        <row r="3261">
          <cell r="F3261">
            <v>0</v>
          </cell>
          <cell r="G3261">
            <v>0</v>
          </cell>
        </row>
        <row r="3262">
          <cell r="F3262">
            <v>0</v>
          </cell>
          <cell r="G3262">
            <v>0</v>
          </cell>
        </row>
        <row r="3263">
          <cell r="F3263">
            <v>0</v>
          </cell>
          <cell r="G3263">
            <v>0</v>
          </cell>
        </row>
        <row r="3264">
          <cell r="F3264">
            <v>0</v>
          </cell>
          <cell r="G3264">
            <v>0</v>
          </cell>
        </row>
        <row r="3265">
          <cell r="F3265">
            <v>0</v>
          </cell>
          <cell r="G3265">
            <v>0</v>
          </cell>
        </row>
        <row r="3266">
          <cell r="F3266">
            <v>0</v>
          </cell>
          <cell r="G3266">
            <v>0</v>
          </cell>
        </row>
        <row r="3267">
          <cell r="F3267">
            <v>0</v>
          </cell>
          <cell r="G3267">
            <v>0</v>
          </cell>
        </row>
        <row r="3268">
          <cell r="F3268">
            <v>0</v>
          </cell>
          <cell r="G3268">
            <v>0</v>
          </cell>
        </row>
        <row r="3269">
          <cell r="F3269">
            <v>0</v>
          </cell>
          <cell r="G3269">
            <v>0</v>
          </cell>
        </row>
        <row r="3270">
          <cell r="F3270">
            <v>0</v>
          </cell>
          <cell r="G3270">
            <v>0</v>
          </cell>
        </row>
        <row r="3271">
          <cell r="F3271">
            <v>0</v>
          </cell>
          <cell r="G3271">
            <v>0</v>
          </cell>
        </row>
        <row r="3272">
          <cell r="F3272">
            <v>0</v>
          </cell>
          <cell r="G3272">
            <v>0</v>
          </cell>
        </row>
        <row r="3273">
          <cell r="F3273">
            <v>0</v>
          </cell>
          <cell r="G3273">
            <v>0</v>
          </cell>
        </row>
        <row r="3274">
          <cell r="F3274">
            <v>0</v>
          </cell>
          <cell r="G3274">
            <v>0</v>
          </cell>
        </row>
        <row r="3275">
          <cell r="F3275">
            <v>0</v>
          </cell>
          <cell r="G3275">
            <v>0</v>
          </cell>
        </row>
        <row r="3276">
          <cell r="F3276">
            <v>0</v>
          </cell>
          <cell r="G3276">
            <v>0</v>
          </cell>
        </row>
        <row r="3277">
          <cell r="F3277">
            <v>0</v>
          </cell>
          <cell r="G3277">
            <v>0</v>
          </cell>
        </row>
        <row r="3278">
          <cell r="F3278">
            <v>0</v>
          </cell>
          <cell r="G3278">
            <v>0</v>
          </cell>
        </row>
        <row r="3279">
          <cell r="F3279">
            <v>0</v>
          </cell>
          <cell r="G3279">
            <v>0</v>
          </cell>
        </row>
        <row r="3280">
          <cell r="F3280">
            <v>0</v>
          </cell>
          <cell r="G3280">
            <v>0</v>
          </cell>
        </row>
        <row r="3281">
          <cell r="F3281">
            <v>0</v>
          </cell>
          <cell r="G3281">
            <v>0</v>
          </cell>
        </row>
        <row r="3282">
          <cell r="F3282">
            <v>0</v>
          </cell>
          <cell r="G3282">
            <v>0</v>
          </cell>
        </row>
        <row r="3283">
          <cell r="F3283">
            <v>0</v>
          </cell>
          <cell r="G3283">
            <v>0</v>
          </cell>
        </row>
        <row r="3284">
          <cell r="F3284">
            <v>0</v>
          </cell>
          <cell r="G3284">
            <v>0</v>
          </cell>
        </row>
        <row r="3285">
          <cell r="F3285">
            <v>0</v>
          </cell>
          <cell r="G3285">
            <v>0</v>
          </cell>
        </row>
        <row r="3286">
          <cell r="F3286">
            <v>0</v>
          </cell>
          <cell r="G3286">
            <v>0</v>
          </cell>
        </row>
        <row r="3287">
          <cell r="F3287">
            <v>0</v>
          </cell>
          <cell r="G3287">
            <v>0</v>
          </cell>
        </row>
        <row r="3288">
          <cell r="F3288">
            <v>0</v>
          </cell>
          <cell r="G3288">
            <v>0</v>
          </cell>
        </row>
        <row r="3289">
          <cell r="F3289">
            <v>0</v>
          </cell>
          <cell r="G3289">
            <v>0</v>
          </cell>
        </row>
        <row r="3290">
          <cell r="F3290">
            <v>0</v>
          </cell>
          <cell r="G3290">
            <v>0</v>
          </cell>
        </row>
        <row r="3291">
          <cell r="F3291">
            <v>0</v>
          </cell>
          <cell r="G3291">
            <v>0</v>
          </cell>
        </row>
        <row r="3292">
          <cell r="F3292">
            <v>0</v>
          </cell>
          <cell r="G3292">
            <v>0</v>
          </cell>
        </row>
        <row r="3293">
          <cell r="F3293">
            <v>0</v>
          </cell>
          <cell r="G3293">
            <v>0</v>
          </cell>
        </row>
        <row r="3294">
          <cell r="F3294">
            <v>0</v>
          </cell>
          <cell r="G3294">
            <v>0</v>
          </cell>
        </row>
        <row r="3295">
          <cell r="F3295">
            <v>0</v>
          </cell>
          <cell r="G3295">
            <v>0</v>
          </cell>
        </row>
        <row r="3296">
          <cell r="F3296">
            <v>0</v>
          </cell>
          <cell r="G3296">
            <v>0</v>
          </cell>
        </row>
        <row r="3297">
          <cell r="F3297">
            <v>0</v>
          </cell>
          <cell r="G3297">
            <v>0</v>
          </cell>
        </row>
        <row r="3298">
          <cell r="F3298">
            <v>0</v>
          </cell>
          <cell r="G3298">
            <v>0</v>
          </cell>
        </row>
        <row r="3299">
          <cell r="F3299">
            <v>0</v>
          </cell>
          <cell r="G3299">
            <v>0</v>
          </cell>
        </row>
        <row r="3300">
          <cell r="F3300">
            <v>0</v>
          </cell>
          <cell r="G3300">
            <v>0</v>
          </cell>
        </row>
        <row r="3301">
          <cell r="F3301">
            <v>0</v>
          </cell>
          <cell r="G3301">
            <v>0</v>
          </cell>
        </row>
        <row r="3302">
          <cell r="F3302">
            <v>0</v>
          </cell>
          <cell r="G3302">
            <v>0</v>
          </cell>
        </row>
        <row r="3303">
          <cell r="F3303">
            <v>0</v>
          </cell>
          <cell r="G3303">
            <v>0</v>
          </cell>
        </row>
        <row r="3304">
          <cell r="F3304">
            <v>0</v>
          </cell>
          <cell r="G3304">
            <v>0</v>
          </cell>
        </row>
        <row r="3305">
          <cell r="F3305">
            <v>0</v>
          </cell>
          <cell r="G3305">
            <v>0</v>
          </cell>
        </row>
        <row r="3306">
          <cell r="F3306">
            <v>0</v>
          </cell>
          <cell r="G3306">
            <v>0</v>
          </cell>
        </row>
        <row r="3307">
          <cell r="F3307">
            <v>0</v>
          </cell>
          <cell r="G3307">
            <v>0</v>
          </cell>
        </row>
        <row r="3308">
          <cell r="F3308">
            <v>0</v>
          </cell>
          <cell r="G3308">
            <v>0</v>
          </cell>
        </row>
        <row r="3309">
          <cell r="F3309">
            <v>0</v>
          </cell>
          <cell r="G3309">
            <v>0</v>
          </cell>
        </row>
        <row r="3310">
          <cell r="F3310">
            <v>0</v>
          </cell>
          <cell r="G3310">
            <v>0</v>
          </cell>
        </row>
        <row r="3311">
          <cell r="F3311">
            <v>0</v>
          </cell>
          <cell r="G3311">
            <v>0</v>
          </cell>
        </row>
        <row r="3312">
          <cell r="F3312">
            <v>0</v>
          </cell>
          <cell r="G3312">
            <v>0</v>
          </cell>
        </row>
        <row r="3313">
          <cell r="F3313">
            <v>0</v>
          </cell>
          <cell r="G3313">
            <v>0</v>
          </cell>
        </row>
        <row r="3314">
          <cell r="F3314">
            <v>0</v>
          </cell>
          <cell r="G3314">
            <v>0</v>
          </cell>
        </row>
        <row r="3315">
          <cell r="F3315">
            <v>0</v>
          </cell>
          <cell r="G3315">
            <v>0</v>
          </cell>
        </row>
        <row r="3316">
          <cell r="F3316">
            <v>0</v>
          </cell>
          <cell r="G3316">
            <v>0</v>
          </cell>
        </row>
        <row r="3317">
          <cell r="F3317">
            <v>0</v>
          </cell>
          <cell r="G3317">
            <v>0</v>
          </cell>
        </row>
        <row r="3318">
          <cell r="F3318">
            <v>0</v>
          </cell>
          <cell r="G3318">
            <v>0</v>
          </cell>
        </row>
        <row r="3319">
          <cell r="F3319">
            <v>0</v>
          </cell>
          <cell r="G3319">
            <v>0</v>
          </cell>
        </row>
        <row r="3320">
          <cell r="F3320">
            <v>0</v>
          </cell>
          <cell r="G3320">
            <v>0</v>
          </cell>
        </row>
        <row r="3321">
          <cell r="F3321">
            <v>0</v>
          </cell>
          <cell r="G3321">
            <v>0</v>
          </cell>
        </row>
        <row r="3322">
          <cell r="F3322">
            <v>0</v>
          </cell>
          <cell r="G3322">
            <v>0</v>
          </cell>
        </row>
        <row r="3323">
          <cell r="F3323">
            <v>0</v>
          </cell>
          <cell r="G3323">
            <v>0</v>
          </cell>
        </row>
        <row r="3324">
          <cell r="F3324">
            <v>0</v>
          </cell>
          <cell r="G3324">
            <v>0</v>
          </cell>
        </row>
        <row r="3325">
          <cell r="F3325">
            <v>0</v>
          </cell>
          <cell r="G3325">
            <v>0</v>
          </cell>
        </row>
        <row r="3326">
          <cell r="F3326">
            <v>0</v>
          </cell>
          <cell r="G3326">
            <v>0</v>
          </cell>
        </row>
        <row r="3327">
          <cell r="F3327">
            <v>0</v>
          </cell>
          <cell r="G3327">
            <v>0</v>
          </cell>
        </row>
        <row r="3328">
          <cell r="F3328">
            <v>0</v>
          </cell>
          <cell r="G3328">
            <v>0</v>
          </cell>
        </row>
        <row r="3329">
          <cell r="F3329">
            <v>0</v>
          </cell>
          <cell r="G3329">
            <v>0</v>
          </cell>
        </row>
        <row r="3330">
          <cell r="F3330">
            <v>0</v>
          </cell>
          <cell r="G3330">
            <v>0</v>
          </cell>
        </row>
        <row r="3331">
          <cell r="F3331">
            <v>0</v>
          </cell>
          <cell r="G3331">
            <v>0</v>
          </cell>
        </row>
        <row r="3332">
          <cell r="F3332">
            <v>0</v>
          </cell>
          <cell r="G3332">
            <v>0</v>
          </cell>
        </row>
        <row r="3333">
          <cell r="F3333">
            <v>0</v>
          </cell>
          <cell r="G3333">
            <v>0</v>
          </cell>
        </row>
        <row r="3334">
          <cell r="F3334">
            <v>0</v>
          </cell>
          <cell r="G3334">
            <v>0</v>
          </cell>
        </row>
        <row r="3335">
          <cell r="F3335">
            <v>0</v>
          </cell>
          <cell r="G3335">
            <v>0</v>
          </cell>
        </row>
        <row r="3336">
          <cell r="F3336">
            <v>0</v>
          </cell>
          <cell r="G3336">
            <v>0</v>
          </cell>
        </row>
        <row r="3337">
          <cell r="F3337">
            <v>0</v>
          </cell>
          <cell r="G3337">
            <v>0</v>
          </cell>
        </row>
        <row r="3338">
          <cell r="F3338">
            <v>0</v>
          </cell>
          <cell r="G3338">
            <v>0</v>
          </cell>
        </row>
        <row r="3339">
          <cell r="F3339">
            <v>0</v>
          </cell>
          <cell r="G3339">
            <v>0</v>
          </cell>
        </row>
        <row r="3340">
          <cell r="F3340">
            <v>0</v>
          </cell>
          <cell r="G3340">
            <v>0</v>
          </cell>
        </row>
        <row r="3341">
          <cell r="F3341">
            <v>0</v>
          </cell>
          <cell r="G3341">
            <v>0</v>
          </cell>
        </row>
        <row r="3342">
          <cell r="F3342">
            <v>0</v>
          </cell>
          <cell r="G3342">
            <v>0</v>
          </cell>
        </row>
        <row r="3343">
          <cell r="F3343">
            <v>0</v>
          </cell>
          <cell r="G3343">
            <v>0</v>
          </cell>
        </row>
        <row r="3344">
          <cell r="F3344">
            <v>0</v>
          </cell>
          <cell r="G3344">
            <v>0</v>
          </cell>
        </row>
        <row r="3345">
          <cell r="F3345">
            <v>0</v>
          </cell>
          <cell r="G3345">
            <v>0</v>
          </cell>
        </row>
        <row r="3346">
          <cell r="F3346">
            <v>0</v>
          </cell>
          <cell r="G3346">
            <v>0</v>
          </cell>
        </row>
        <row r="3347">
          <cell r="F3347">
            <v>0</v>
          </cell>
          <cell r="G3347">
            <v>0</v>
          </cell>
        </row>
        <row r="3348">
          <cell r="F3348">
            <v>0</v>
          </cell>
          <cell r="G3348">
            <v>0</v>
          </cell>
        </row>
        <row r="3349">
          <cell r="F3349">
            <v>0</v>
          </cell>
          <cell r="G3349">
            <v>0</v>
          </cell>
        </row>
        <row r="3350">
          <cell r="F3350">
            <v>0</v>
          </cell>
          <cell r="G3350">
            <v>0</v>
          </cell>
        </row>
        <row r="3351">
          <cell r="F3351">
            <v>0</v>
          </cell>
          <cell r="G3351">
            <v>0</v>
          </cell>
        </row>
        <row r="3352">
          <cell r="F3352">
            <v>0</v>
          </cell>
          <cell r="G3352">
            <v>0</v>
          </cell>
        </row>
        <row r="3353">
          <cell r="F3353">
            <v>0</v>
          </cell>
          <cell r="G3353">
            <v>0</v>
          </cell>
        </row>
        <row r="3354">
          <cell r="F3354">
            <v>0</v>
          </cell>
          <cell r="G3354">
            <v>0</v>
          </cell>
        </row>
        <row r="3355">
          <cell r="F3355">
            <v>0</v>
          </cell>
          <cell r="G3355">
            <v>0</v>
          </cell>
        </row>
        <row r="3356">
          <cell r="F3356">
            <v>0</v>
          </cell>
          <cell r="G3356">
            <v>0</v>
          </cell>
        </row>
        <row r="3357">
          <cell r="F3357">
            <v>0</v>
          </cell>
          <cell r="G3357">
            <v>0</v>
          </cell>
        </row>
        <row r="3358">
          <cell r="F3358">
            <v>0</v>
          </cell>
          <cell r="G3358">
            <v>0</v>
          </cell>
        </row>
        <row r="3359">
          <cell r="F3359">
            <v>0</v>
          </cell>
          <cell r="G3359">
            <v>0</v>
          </cell>
        </row>
        <row r="3360">
          <cell r="F3360">
            <v>0</v>
          </cell>
          <cell r="G3360">
            <v>0</v>
          </cell>
        </row>
        <row r="3361">
          <cell r="F3361">
            <v>0</v>
          </cell>
          <cell r="G3361">
            <v>0</v>
          </cell>
        </row>
        <row r="3362">
          <cell r="F3362">
            <v>0</v>
          </cell>
          <cell r="G3362">
            <v>0</v>
          </cell>
        </row>
        <row r="3363">
          <cell r="F3363">
            <v>0</v>
          </cell>
          <cell r="G3363">
            <v>0</v>
          </cell>
        </row>
        <row r="3364">
          <cell r="F3364">
            <v>0</v>
          </cell>
          <cell r="G3364">
            <v>0</v>
          </cell>
        </row>
        <row r="3365">
          <cell r="F3365">
            <v>0</v>
          </cell>
          <cell r="G3365">
            <v>0</v>
          </cell>
        </row>
        <row r="3366">
          <cell r="F3366">
            <v>0</v>
          </cell>
          <cell r="G3366">
            <v>0</v>
          </cell>
        </row>
        <row r="3367">
          <cell r="F3367">
            <v>0</v>
          </cell>
          <cell r="G3367">
            <v>0</v>
          </cell>
        </row>
        <row r="3368">
          <cell r="F3368">
            <v>0</v>
          </cell>
          <cell r="G3368">
            <v>0</v>
          </cell>
        </row>
        <row r="3369">
          <cell r="F3369">
            <v>0</v>
          </cell>
          <cell r="G3369">
            <v>0</v>
          </cell>
        </row>
        <row r="3370">
          <cell r="F3370">
            <v>0</v>
          </cell>
          <cell r="G3370">
            <v>0</v>
          </cell>
        </row>
        <row r="3371">
          <cell r="F3371">
            <v>0</v>
          </cell>
          <cell r="G3371">
            <v>0</v>
          </cell>
        </row>
        <row r="3372">
          <cell r="F3372">
            <v>0</v>
          </cell>
          <cell r="G3372">
            <v>0</v>
          </cell>
        </row>
        <row r="3373">
          <cell r="F3373">
            <v>0</v>
          </cell>
          <cell r="G3373">
            <v>0</v>
          </cell>
        </row>
        <row r="3374">
          <cell r="F3374">
            <v>0</v>
          </cell>
          <cell r="G3374">
            <v>0</v>
          </cell>
        </row>
        <row r="3375">
          <cell r="F3375">
            <v>0</v>
          </cell>
          <cell r="G3375">
            <v>0</v>
          </cell>
        </row>
        <row r="3376">
          <cell r="F3376">
            <v>0</v>
          </cell>
          <cell r="G3376">
            <v>0</v>
          </cell>
        </row>
        <row r="3377">
          <cell r="F3377">
            <v>0</v>
          </cell>
          <cell r="G3377">
            <v>0</v>
          </cell>
        </row>
        <row r="3378">
          <cell r="F3378">
            <v>0</v>
          </cell>
          <cell r="G3378">
            <v>0</v>
          </cell>
        </row>
        <row r="3379">
          <cell r="F3379">
            <v>0</v>
          </cell>
          <cell r="G3379">
            <v>0</v>
          </cell>
        </row>
        <row r="3380">
          <cell r="F3380">
            <v>0</v>
          </cell>
          <cell r="G3380">
            <v>0</v>
          </cell>
        </row>
        <row r="3381">
          <cell r="F3381">
            <v>0</v>
          </cell>
          <cell r="G3381">
            <v>0</v>
          </cell>
        </row>
        <row r="3382">
          <cell r="F3382">
            <v>0</v>
          </cell>
          <cell r="G3382">
            <v>0</v>
          </cell>
        </row>
        <row r="3383">
          <cell r="F3383">
            <v>0</v>
          </cell>
          <cell r="G3383">
            <v>0</v>
          </cell>
        </row>
        <row r="3384">
          <cell r="F3384">
            <v>0</v>
          </cell>
          <cell r="G3384">
            <v>0</v>
          </cell>
        </row>
        <row r="3385">
          <cell r="F3385">
            <v>0</v>
          </cell>
          <cell r="G3385">
            <v>0</v>
          </cell>
        </row>
        <row r="3386">
          <cell r="F3386">
            <v>0</v>
          </cell>
          <cell r="G3386">
            <v>0</v>
          </cell>
        </row>
        <row r="3387">
          <cell r="F3387">
            <v>0</v>
          </cell>
          <cell r="G3387">
            <v>0</v>
          </cell>
        </row>
        <row r="3388">
          <cell r="F3388">
            <v>0</v>
          </cell>
          <cell r="G3388">
            <v>0</v>
          </cell>
        </row>
        <row r="3389">
          <cell r="F3389">
            <v>0</v>
          </cell>
          <cell r="G3389">
            <v>0</v>
          </cell>
        </row>
        <row r="3390">
          <cell r="F3390">
            <v>0</v>
          </cell>
          <cell r="G3390">
            <v>0</v>
          </cell>
        </row>
        <row r="3391">
          <cell r="F3391">
            <v>0</v>
          </cell>
          <cell r="G3391">
            <v>0</v>
          </cell>
        </row>
        <row r="3392">
          <cell r="F3392">
            <v>0</v>
          </cell>
          <cell r="G3392">
            <v>0</v>
          </cell>
        </row>
        <row r="3393">
          <cell r="F3393">
            <v>0</v>
          </cell>
          <cell r="G3393">
            <v>0</v>
          </cell>
        </row>
        <row r="3394">
          <cell r="F3394">
            <v>0</v>
          </cell>
          <cell r="G3394">
            <v>0</v>
          </cell>
        </row>
        <row r="3395">
          <cell r="F3395">
            <v>0</v>
          </cell>
          <cell r="G3395">
            <v>0</v>
          </cell>
        </row>
        <row r="3396">
          <cell r="F3396">
            <v>0</v>
          </cell>
          <cell r="G3396">
            <v>0</v>
          </cell>
        </row>
        <row r="3397">
          <cell r="F3397">
            <v>0</v>
          </cell>
          <cell r="G3397">
            <v>0</v>
          </cell>
        </row>
        <row r="3398">
          <cell r="F3398">
            <v>0</v>
          </cell>
          <cell r="G3398">
            <v>0</v>
          </cell>
        </row>
        <row r="3399">
          <cell r="F3399">
            <v>0</v>
          </cell>
          <cell r="G3399">
            <v>0</v>
          </cell>
        </row>
        <row r="3400">
          <cell r="F3400">
            <v>0</v>
          </cell>
          <cell r="G3400">
            <v>0</v>
          </cell>
        </row>
        <row r="3401">
          <cell r="F3401">
            <v>0</v>
          </cell>
          <cell r="G3401">
            <v>0</v>
          </cell>
        </row>
        <row r="3402">
          <cell r="F3402">
            <v>0</v>
          </cell>
          <cell r="G3402">
            <v>0</v>
          </cell>
        </row>
        <row r="3403">
          <cell r="F3403">
            <v>0</v>
          </cell>
          <cell r="G3403">
            <v>0</v>
          </cell>
        </row>
        <row r="3404">
          <cell r="F3404">
            <v>0</v>
          </cell>
          <cell r="G3404">
            <v>0</v>
          </cell>
        </row>
        <row r="3405">
          <cell r="F3405">
            <v>0</v>
          </cell>
          <cell r="G3405">
            <v>0</v>
          </cell>
        </row>
        <row r="3406">
          <cell r="F3406">
            <v>0</v>
          </cell>
          <cell r="G3406">
            <v>0</v>
          </cell>
        </row>
        <row r="3407">
          <cell r="F3407">
            <v>0</v>
          </cell>
          <cell r="G3407">
            <v>0</v>
          </cell>
        </row>
        <row r="3408">
          <cell r="F3408">
            <v>0</v>
          </cell>
          <cell r="G3408">
            <v>0</v>
          </cell>
        </row>
        <row r="3409">
          <cell r="F3409">
            <v>0</v>
          </cell>
          <cell r="G3409">
            <v>0</v>
          </cell>
        </row>
        <row r="3410">
          <cell r="F3410">
            <v>0</v>
          </cell>
          <cell r="G3410">
            <v>0</v>
          </cell>
        </row>
        <row r="3411">
          <cell r="F3411">
            <v>0</v>
          </cell>
          <cell r="G3411">
            <v>0</v>
          </cell>
        </row>
        <row r="3412">
          <cell r="F3412">
            <v>0</v>
          </cell>
          <cell r="G3412">
            <v>0</v>
          </cell>
        </row>
        <row r="3413">
          <cell r="F3413">
            <v>0</v>
          </cell>
          <cell r="G3413">
            <v>0</v>
          </cell>
        </row>
        <row r="3414">
          <cell r="F3414">
            <v>0</v>
          </cell>
          <cell r="G3414">
            <v>0</v>
          </cell>
        </row>
        <row r="3415">
          <cell r="F3415">
            <v>0</v>
          </cell>
          <cell r="G3415">
            <v>0</v>
          </cell>
        </row>
        <row r="3416">
          <cell r="F3416">
            <v>0</v>
          </cell>
          <cell r="G3416">
            <v>0</v>
          </cell>
        </row>
        <row r="3417">
          <cell r="F3417">
            <v>0</v>
          </cell>
          <cell r="G3417">
            <v>0</v>
          </cell>
        </row>
        <row r="3418">
          <cell r="F3418">
            <v>0</v>
          </cell>
          <cell r="G3418">
            <v>0</v>
          </cell>
        </row>
        <row r="3419">
          <cell r="F3419">
            <v>0</v>
          </cell>
          <cell r="G3419">
            <v>0</v>
          </cell>
        </row>
        <row r="3420">
          <cell r="F3420">
            <v>0</v>
          </cell>
          <cell r="G3420">
            <v>0</v>
          </cell>
        </row>
        <row r="3421">
          <cell r="F3421">
            <v>0</v>
          </cell>
          <cell r="G3421">
            <v>0</v>
          </cell>
        </row>
        <row r="3422">
          <cell r="F3422">
            <v>0</v>
          </cell>
          <cell r="G3422">
            <v>0</v>
          </cell>
        </row>
        <row r="3423">
          <cell r="F3423">
            <v>0</v>
          </cell>
          <cell r="G3423">
            <v>0</v>
          </cell>
        </row>
        <row r="3424">
          <cell r="F3424">
            <v>0</v>
          </cell>
          <cell r="G3424">
            <v>0</v>
          </cell>
        </row>
        <row r="3425">
          <cell r="F3425">
            <v>0</v>
          </cell>
          <cell r="G3425">
            <v>0</v>
          </cell>
        </row>
        <row r="3426">
          <cell r="F3426">
            <v>0</v>
          </cell>
          <cell r="G3426">
            <v>0</v>
          </cell>
        </row>
        <row r="3427">
          <cell r="F3427">
            <v>0</v>
          </cell>
          <cell r="G3427">
            <v>0</v>
          </cell>
        </row>
        <row r="3428">
          <cell r="F3428">
            <v>0</v>
          </cell>
          <cell r="G3428">
            <v>0</v>
          </cell>
        </row>
        <row r="3429">
          <cell r="F3429">
            <v>0</v>
          </cell>
          <cell r="G3429">
            <v>0</v>
          </cell>
        </row>
        <row r="3430">
          <cell r="F3430">
            <v>0</v>
          </cell>
          <cell r="G3430">
            <v>0</v>
          </cell>
        </row>
        <row r="3431">
          <cell r="F3431">
            <v>0</v>
          </cell>
          <cell r="G3431">
            <v>0</v>
          </cell>
        </row>
        <row r="3432">
          <cell r="F3432">
            <v>0</v>
          </cell>
          <cell r="G3432">
            <v>0</v>
          </cell>
        </row>
        <row r="3433">
          <cell r="F3433">
            <v>0</v>
          </cell>
          <cell r="G3433">
            <v>0</v>
          </cell>
        </row>
        <row r="3434">
          <cell r="F3434">
            <v>0</v>
          </cell>
          <cell r="G3434">
            <v>0</v>
          </cell>
        </row>
        <row r="3435">
          <cell r="F3435">
            <v>0</v>
          </cell>
          <cell r="G3435">
            <v>0</v>
          </cell>
        </row>
        <row r="3436">
          <cell r="F3436">
            <v>0</v>
          </cell>
          <cell r="G3436">
            <v>0</v>
          </cell>
        </row>
        <row r="3437">
          <cell r="F3437">
            <v>0</v>
          </cell>
          <cell r="G3437">
            <v>0</v>
          </cell>
        </row>
        <row r="3438">
          <cell r="F3438">
            <v>0</v>
          </cell>
          <cell r="G3438">
            <v>0</v>
          </cell>
        </row>
        <row r="3439">
          <cell r="F3439">
            <v>0</v>
          </cell>
          <cell r="G3439">
            <v>0</v>
          </cell>
        </row>
        <row r="3440">
          <cell r="F3440">
            <v>0</v>
          </cell>
          <cell r="G3440">
            <v>0</v>
          </cell>
        </row>
        <row r="3441">
          <cell r="F3441">
            <v>0</v>
          </cell>
          <cell r="G3441">
            <v>0</v>
          </cell>
        </row>
        <row r="3442">
          <cell r="F3442">
            <v>0</v>
          </cell>
          <cell r="G3442">
            <v>0</v>
          </cell>
        </row>
        <row r="3443">
          <cell r="F3443">
            <v>0</v>
          </cell>
          <cell r="G3443">
            <v>0</v>
          </cell>
        </row>
        <row r="3444">
          <cell r="F3444">
            <v>0</v>
          </cell>
          <cell r="G3444">
            <v>0</v>
          </cell>
        </row>
        <row r="3445">
          <cell r="F3445">
            <v>0</v>
          </cell>
          <cell r="G3445">
            <v>0</v>
          </cell>
        </row>
        <row r="3446">
          <cell r="F3446">
            <v>0</v>
          </cell>
          <cell r="G3446">
            <v>0</v>
          </cell>
        </row>
        <row r="3447">
          <cell r="F3447">
            <v>0</v>
          </cell>
          <cell r="G3447">
            <v>0</v>
          </cell>
        </row>
        <row r="3448">
          <cell r="F3448">
            <v>0</v>
          </cell>
          <cell r="G3448">
            <v>0</v>
          </cell>
        </row>
        <row r="3449">
          <cell r="F3449">
            <v>0</v>
          </cell>
          <cell r="G3449">
            <v>0</v>
          </cell>
        </row>
        <row r="3450">
          <cell r="F3450">
            <v>0</v>
          </cell>
          <cell r="G3450">
            <v>0</v>
          </cell>
        </row>
        <row r="3451">
          <cell r="F3451">
            <v>0</v>
          </cell>
          <cell r="G3451">
            <v>0</v>
          </cell>
        </row>
        <row r="3452">
          <cell r="F3452">
            <v>0</v>
          </cell>
          <cell r="G3452">
            <v>0</v>
          </cell>
        </row>
        <row r="3453">
          <cell r="F3453">
            <v>0</v>
          </cell>
          <cell r="G3453">
            <v>0</v>
          </cell>
        </row>
        <row r="3454">
          <cell r="F3454">
            <v>0</v>
          </cell>
          <cell r="G3454">
            <v>0</v>
          </cell>
        </row>
        <row r="3455">
          <cell r="F3455">
            <v>0</v>
          </cell>
          <cell r="G3455">
            <v>0</v>
          </cell>
        </row>
        <row r="3456">
          <cell r="F3456">
            <v>0</v>
          </cell>
          <cell r="G3456">
            <v>0</v>
          </cell>
        </row>
        <row r="3457">
          <cell r="F3457">
            <v>0</v>
          </cell>
          <cell r="G3457">
            <v>0</v>
          </cell>
        </row>
        <row r="3458">
          <cell r="F3458">
            <v>0</v>
          </cell>
          <cell r="G3458">
            <v>0</v>
          </cell>
        </row>
        <row r="3459">
          <cell r="F3459">
            <v>0</v>
          </cell>
          <cell r="G3459">
            <v>0</v>
          </cell>
        </row>
        <row r="3460">
          <cell r="F3460">
            <v>0</v>
          </cell>
          <cell r="G3460">
            <v>0</v>
          </cell>
        </row>
        <row r="3461">
          <cell r="F3461">
            <v>0</v>
          </cell>
          <cell r="G3461">
            <v>0</v>
          </cell>
        </row>
        <row r="3462">
          <cell r="F3462">
            <v>0</v>
          </cell>
          <cell r="G3462">
            <v>0</v>
          </cell>
        </row>
        <row r="3463">
          <cell r="F3463">
            <v>0</v>
          </cell>
          <cell r="G3463">
            <v>0</v>
          </cell>
        </row>
        <row r="3464">
          <cell r="F3464">
            <v>0</v>
          </cell>
          <cell r="G3464">
            <v>0</v>
          </cell>
        </row>
        <row r="3465">
          <cell r="F3465">
            <v>0</v>
          </cell>
          <cell r="G3465">
            <v>0</v>
          </cell>
        </row>
        <row r="3466">
          <cell r="F3466">
            <v>0</v>
          </cell>
          <cell r="G3466">
            <v>0</v>
          </cell>
        </row>
        <row r="3467">
          <cell r="F3467">
            <v>0</v>
          </cell>
          <cell r="G3467">
            <v>0</v>
          </cell>
        </row>
        <row r="3468">
          <cell r="F3468">
            <v>0</v>
          </cell>
          <cell r="G3468">
            <v>0</v>
          </cell>
        </row>
        <row r="3469">
          <cell r="F3469">
            <v>0</v>
          </cell>
          <cell r="G3469">
            <v>0</v>
          </cell>
        </row>
        <row r="3470">
          <cell r="F3470">
            <v>0</v>
          </cell>
          <cell r="G3470">
            <v>0</v>
          </cell>
        </row>
        <row r="3471">
          <cell r="F3471">
            <v>0</v>
          </cell>
          <cell r="G3471">
            <v>0</v>
          </cell>
        </row>
        <row r="3472">
          <cell r="F3472">
            <v>0</v>
          </cell>
          <cell r="G3472">
            <v>0</v>
          </cell>
        </row>
        <row r="3473">
          <cell r="F3473">
            <v>0</v>
          </cell>
          <cell r="G3473">
            <v>0</v>
          </cell>
        </row>
        <row r="3474">
          <cell r="F3474">
            <v>0</v>
          </cell>
          <cell r="G3474">
            <v>0</v>
          </cell>
        </row>
        <row r="3475">
          <cell r="F3475">
            <v>0</v>
          </cell>
          <cell r="G3475">
            <v>0</v>
          </cell>
        </row>
        <row r="3476">
          <cell r="F3476">
            <v>0</v>
          </cell>
          <cell r="G3476">
            <v>0</v>
          </cell>
        </row>
        <row r="3477">
          <cell r="F3477">
            <v>0</v>
          </cell>
          <cell r="G3477">
            <v>0</v>
          </cell>
        </row>
        <row r="3478">
          <cell r="F3478">
            <v>0</v>
          </cell>
          <cell r="G3478">
            <v>0</v>
          </cell>
        </row>
        <row r="3479">
          <cell r="F3479">
            <v>0</v>
          </cell>
          <cell r="G3479">
            <v>0</v>
          </cell>
        </row>
        <row r="3480">
          <cell r="F3480">
            <v>0</v>
          </cell>
          <cell r="G3480">
            <v>0</v>
          </cell>
        </row>
        <row r="3481">
          <cell r="F3481">
            <v>0</v>
          </cell>
          <cell r="G3481">
            <v>0</v>
          </cell>
        </row>
        <row r="3482">
          <cell r="F3482">
            <v>0</v>
          </cell>
          <cell r="G3482">
            <v>0</v>
          </cell>
        </row>
        <row r="3483">
          <cell r="F3483">
            <v>0</v>
          </cell>
          <cell r="G3483">
            <v>0</v>
          </cell>
        </row>
        <row r="3484">
          <cell r="F3484">
            <v>0</v>
          </cell>
          <cell r="G3484">
            <v>0</v>
          </cell>
        </row>
        <row r="3485">
          <cell r="F3485">
            <v>0</v>
          </cell>
          <cell r="G3485">
            <v>0</v>
          </cell>
        </row>
        <row r="3486">
          <cell r="F3486">
            <v>0</v>
          </cell>
          <cell r="G3486">
            <v>0</v>
          </cell>
        </row>
        <row r="3487">
          <cell r="F3487">
            <v>0</v>
          </cell>
          <cell r="G3487">
            <v>0</v>
          </cell>
        </row>
        <row r="3488">
          <cell r="F3488">
            <v>0</v>
          </cell>
          <cell r="G3488">
            <v>0</v>
          </cell>
        </row>
        <row r="3489">
          <cell r="F3489">
            <v>0</v>
          </cell>
          <cell r="G3489">
            <v>0</v>
          </cell>
        </row>
        <row r="3490">
          <cell r="F3490">
            <v>0</v>
          </cell>
          <cell r="G3490">
            <v>0</v>
          </cell>
        </row>
        <row r="3491">
          <cell r="F3491">
            <v>0</v>
          </cell>
          <cell r="G3491">
            <v>0</v>
          </cell>
        </row>
        <row r="3492">
          <cell r="F3492">
            <v>0</v>
          </cell>
          <cell r="G3492">
            <v>0</v>
          </cell>
        </row>
        <row r="3493">
          <cell r="F3493">
            <v>0</v>
          </cell>
          <cell r="G3493">
            <v>0</v>
          </cell>
        </row>
        <row r="3494">
          <cell r="F3494">
            <v>0</v>
          </cell>
          <cell r="G3494">
            <v>0</v>
          </cell>
        </row>
        <row r="3495">
          <cell r="F3495">
            <v>0</v>
          </cell>
          <cell r="G3495">
            <v>0</v>
          </cell>
        </row>
        <row r="3496">
          <cell r="F3496">
            <v>0</v>
          </cell>
          <cell r="G3496">
            <v>0</v>
          </cell>
        </row>
        <row r="3497">
          <cell r="F3497">
            <v>0</v>
          </cell>
          <cell r="G3497">
            <v>0</v>
          </cell>
        </row>
        <row r="3498">
          <cell r="F3498">
            <v>0</v>
          </cell>
          <cell r="G3498">
            <v>0</v>
          </cell>
        </row>
        <row r="3499">
          <cell r="F3499">
            <v>0</v>
          </cell>
          <cell r="G3499">
            <v>0</v>
          </cell>
        </row>
        <row r="3500">
          <cell r="F3500">
            <v>0</v>
          </cell>
          <cell r="G3500">
            <v>0</v>
          </cell>
        </row>
        <row r="3501">
          <cell r="F3501">
            <v>0</v>
          </cell>
          <cell r="G3501">
            <v>0</v>
          </cell>
        </row>
        <row r="3502">
          <cell r="F3502">
            <v>0</v>
          </cell>
          <cell r="G3502">
            <v>0</v>
          </cell>
        </row>
        <row r="3503">
          <cell r="F3503">
            <v>0</v>
          </cell>
          <cell r="G3503">
            <v>0</v>
          </cell>
        </row>
        <row r="3504">
          <cell r="F3504">
            <v>0</v>
          </cell>
          <cell r="G3504">
            <v>0</v>
          </cell>
        </row>
        <row r="3505">
          <cell r="F3505">
            <v>0</v>
          </cell>
          <cell r="G3505">
            <v>0</v>
          </cell>
        </row>
        <row r="3506">
          <cell r="F3506">
            <v>0</v>
          </cell>
          <cell r="G3506">
            <v>0</v>
          </cell>
        </row>
        <row r="3507">
          <cell r="F3507">
            <v>0</v>
          </cell>
          <cell r="G3507">
            <v>0</v>
          </cell>
        </row>
        <row r="3508">
          <cell r="F3508">
            <v>0</v>
          </cell>
          <cell r="G3508">
            <v>0</v>
          </cell>
        </row>
        <row r="3509">
          <cell r="F3509">
            <v>0</v>
          </cell>
          <cell r="G3509">
            <v>0</v>
          </cell>
        </row>
        <row r="3510">
          <cell r="F3510">
            <v>0</v>
          </cell>
          <cell r="G3510">
            <v>0</v>
          </cell>
        </row>
        <row r="3511">
          <cell r="F3511">
            <v>0</v>
          </cell>
          <cell r="G3511">
            <v>0</v>
          </cell>
        </row>
        <row r="3512">
          <cell r="F3512">
            <v>0</v>
          </cell>
          <cell r="G3512">
            <v>0</v>
          </cell>
        </row>
        <row r="3513">
          <cell r="F3513">
            <v>0</v>
          </cell>
          <cell r="G3513">
            <v>0</v>
          </cell>
        </row>
        <row r="3514">
          <cell r="F3514">
            <v>0</v>
          </cell>
          <cell r="G3514">
            <v>0</v>
          </cell>
        </row>
        <row r="3515">
          <cell r="F3515">
            <v>0</v>
          </cell>
          <cell r="G3515">
            <v>0</v>
          </cell>
        </row>
        <row r="3516">
          <cell r="F3516">
            <v>0</v>
          </cell>
          <cell r="G3516">
            <v>0</v>
          </cell>
        </row>
        <row r="3517">
          <cell r="F3517">
            <v>0</v>
          </cell>
          <cell r="G3517">
            <v>0</v>
          </cell>
        </row>
        <row r="3518">
          <cell r="F3518">
            <v>0</v>
          </cell>
          <cell r="G3518">
            <v>0</v>
          </cell>
        </row>
        <row r="3519">
          <cell r="F3519">
            <v>0</v>
          </cell>
          <cell r="G3519">
            <v>0</v>
          </cell>
        </row>
        <row r="3520">
          <cell r="F3520">
            <v>0</v>
          </cell>
          <cell r="G3520">
            <v>0</v>
          </cell>
        </row>
        <row r="3521">
          <cell r="F3521">
            <v>0</v>
          </cell>
          <cell r="G3521">
            <v>0</v>
          </cell>
        </row>
        <row r="3522">
          <cell r="F3522">
            <v>0</v>
          </cell>
          <cell r="G3522">
            <v>0</v>
          </cell>
        </row>
        <row r="3523">
          <cell r="F3523">
            <v>0</v>
          </cell>
          <cell r="G3523">
            <v>0</v>
          </cell>
        </row>
        <row r="3524">
          <cell r="F3524">
            <v>0</v>
          </cell>
          <cell r="G3524">
            <v>0</v>
          </cell>
        </row>
        <row r="3525">
          <cell r="F3525">
            <v>0</v>
          </cell>
          <cell r="G3525">
            <v>0</v>
          </cell>
        </row>
        <row r="3526">
          <cell r="F3526">
            <v>0</v>
          </cell>
          <cell r="G3526">
            <v>0</v>
          </cell>
        </row>
        <row r="3527">
          <cell r="F3527">
            <v>0</v>
          </cell>
          <cell r="G3527">
            <v>0</v>
          </cell>
        </row>
        <row r="3528">
          <cell r="F3528">
            <v>0</v>
          </cell>
          <cell r="G3528">
            <v>0</v>
          </cell>
        </row>
        <row r="3529">
          <cell r="F3529">
            <v>0</v>
          </cell>
          <cell r="G3529">
            <v>0</v>
          </cell>
        </row>
        <row r="3530">
          <cell r="F3530">
            <v>0</v>
          </cell>
          <cell r="G3530">
            <v>0</v>
          </cell>
        </row>
        <row r="3531">
          <cell r="F3531">
            <v>0</v>
          </cell>
          <cell r="G3531">
            <v>0</v>
          </cell>
        </row>
        <row r="3532">
          <cell r="F3532">
            <v>0</v>
          </cell>
          <cell r="G3532">
            <v>0</v>
          </cell>
        </row>
        <row r="3533">
          <cell r="F3533">
            <v>0</v>
          </cell>
          <cell r="G3533">
            <v>0</v>
          </cell>
        </row>
        <row r="3534">
          <cell r="F3534">
            <v>0</v>
          </cell>
          <cell r="G3534">
            <v>0</v>
          </cell>
        </row>
        <row r="3535">
          <cell r="F3535">
            <v>0</v>
          </cell>
          <cell r="G3535">
            <v>0</v>
          </cell>
        </row>
        <row r="3536">
          <cell r="F3536">
            <v>0</v>
          </cell>
          <cell r="G3536">
            <v>0</v>
          </cell>
        </row>
        <row r="3537">
          <cell r="F3537">
            <v>0</v>
          </cell>
          <cell r="G3537">
            <v>0</v>
          </cell>
        </row>
        <row r="3538">
          <cell r="F3538">
            <v>0</v>
          </cell>
          <cell r="G3538">
            <v>0</v>
          </cell>
        </row>
        <row r="3539">
          <cell r="F3539">
            <v>0</v>
          </cell>
          <cell r="G3539">
            <v>0</v>
          </cell>
        </row>
        <row r="3540">
          <cell r="F3540">
            <v>0</v>
          </cell>
          <cell r="G3540">
            <v>0</v>
          </cell>
        </row>
        <row r="3541">
          <cell r="F3541">
            <v>0</v>
          </cell>
          <cell r="G3541">
            <v>0</v>
          </cell>
        </row>
        <row r="3542">
          <cell r="F3542">
            <v>0</v>
          </cell>
          <cell r="G3542">
            <v>0</v>
          </cell>
        </row>
        <row r="3543">
          <cell r="F3543">
            <v>0</v>
          </cell>
          <cell r="G3543">
            <v>0</v>
          </cell>
        </row>
        <row r="3544">
          <cell r="F3544">
            <v>0</v>
          </cell>
          <cell r="G3544">
            <v>0</v>
          </cell>
        </row>
        <row r="3545">
          <cell r="F3545">
            <v>0</v>
          </cell>
          <cell r="G3545">
            <v>0</v>
          </cell>
        </row>
        <row r="3546">
          <cell r="F3546">
            <v>0</v>
          </cell>
          <cell r="G3546">
            <v>0</v>
          </cell>
        </row>
        <row r="3547">
          <cell r="F3547">
            <v>0</v>
          </cell>
          <cell r="G3547">
            <v>0</v>
          </cell>
        </row>
        <row r="3548">
          <cell r="F3548">
            <v>0</v>
          </cell>
          <cell r="G3548">
            <v>0</v>
          </cell>
        </row>
        <row r="3549">
          <cell r="F3549">
            <v>0</v>
          </cell>
          <cell r="G3549">
            <v>0</v>
          </cell>
        </row>
        <row r="3550">
          <cell r="F3550">
            <v>0</v>
          </cell>
          <cell r="G3550">
            <v>0</v>
          </cell>
        </row>
        <row r="3551">
          <cell r="F3551">
            <v>0</v>
          </cell>
          <cell r="G3551">
            <v>0</v>
          </cell>
        </row>
        <row r="3552">
          <cell r="F3552">
            <v>0</v>
          </cell>
          <cell r="G3552">
            <v>0</v>
          </cell>
        </row>
        <row r="3553">
          <cell r="F3553">
            <v>0</v>
          </cell>
          <cell r="G3553">
            <v>0</v>
          </cell>
        </row>
        <row r="3554">
          <cell r="F3554">
            <v>0</v>
          </cell>
          <cell r="G3554">
            <v>0</v>
          </cell>
        </row>
        <row r="3555">
          <cell r="F3555">
            <v>0</v>
          </cell>
          <cell r="G3555">
            <v>0</v>
          </cell>
        </row>
        <row r="3556">
          <cell r="F3556">
            <v>0</v>
          </cell>
          <cell r="G3556">
            <v>0</v>
          </cell>
        </row>
        <row r="3557">
          <cell r="F3557">
            <v>0</v>
          </cell>
          <cell r="G3557">
            <v>0</v>
          </cell>
        </row>
        <row r="3558">
          <cell r="F3558">
            <v>0</v>
          </cell>
          <cell r="G3558">
            <v>0</v>
          </cell>
        </row>
        <row r="3559">
          <cell r="F3559">
            <v>0</v>
          </cell>
          <cell r="G3559">
            <v>0</v>
          </cell>
        </row>
        <row r="3560">
          <cell r="F3560">
            <v>0</v>
          </cell>
          <cell r="G3560">
            <v>0</v>
          </cell>
        </row>
        <row r="3561">
          <cell r="F3561">
            <v>0</v>
          </cell>
          <cell r="G3561">
            <v>0</v>
          </cell>
        </row>
        <row r="3562">
          <cell r="F3562">
            <v>0</v>
          </cell>
          <cell r="G3562">
            <v>0</v>
          </cell>
        </row>
        <row r="3563">
          <cell r="F3563">
            <v>0</v>
          </cell>
          <cell r="G3563">
            <v>0</v>
          </cell>
        </row>
        <row r="3564">
          <cell r="F3564">
            <v>0</v>
          </cell>
          <cell r="G3564">
            <v>0</v>
          </cell>
        </row>
        <row r="3565">
          <cell r="F3565">
            <v>0</v>
          </cell>
          <cell r="G3565">
            <v>0</v>
          </cell>
        </row>
        <row r="3566">
          <cell r="F3566">
            <v>0</v>
          </cell>
          <cell r="G3566">
            <v>0</v>
          </cell>
        </row>
        <row r="3567">
          <cell r="F3567">
            <v>0</v>
          </cell>
          <cell r="G3567">
            <v>0</v>
          </cell>
        </row>
        <row r="3568">
          <cell r="F3568">
            <v>0</v>
          </cell>
          <cell r="G3568">
            <v>0</v>
          </cell>
        </row>
        <row r="3569">
          <cell r="F3569">
            <v>0</v>
          </cell>
          <cell r="G3569">
            <v>0</v>
          </cell>
        </row>
        <row r="3570">
          <cell r="F3570">
            <v>0</v>
          </cell>
          <cell r="G3570">
            <v>0</v>
          </cell>
        </row>
        <row r="3571">
          <cell r="F3571">
            <v>0</v>
          </cell>
          <cell r="G3571">
            <v>0</v>
          </cell>
        </row>
        <row r="3572">
          <cell r="F3572">
            <v>0</v>
          </cell>
          <cell r="G3572">
            <v>0</v>
          </cell>
        </row>
        <row r="3573">
          <cell r="F3573">
            <v>0</v>
          </cell>
          <cell r="G3573">
            <v>0</v>
          </cell>
        </row>
        <row r="3574">
          <cell r="F3574">
            <v>0</v>
          </cell>
          <cell r="G3574">
            <v>0</v>
          </cell>
        </row>
        <row r="3575">
          <cell r="F3575">
            <v>0</v>
          </cell>
          <cell r="G3575">
            <v>0</v>
          </cell>
        </row>
        <row r="3576">
          <cell r="F3576">
            <v>0</v>
          </cell>
          <cell r="G3576">
            <v>0</v>
          </cell>
        </row>
        <row r="3577">
          <cell r="F3577">
            <v>0</v>
          </cell>
          <cell r="G3577">
            <v>0</v>
          </cell>
        </row>
        <row r="3578">
          <cell r="F3578">
            <v>0</v>
          </cell>
          <cell r="G3578">
            <v>0</v>
          </cell>
        </row>
        <row r="3579">
          <cell r="F3579">
            <v>0</v>
          </cell>
          <cell r="G3579">
            <v>0</v>
          </cell>
        </row>
        <row r="3580">
          <cell r="F3580">
            <v>0</v>
          </cell>
          <cell r="G3580">
            <v>0</v>
          </cell>
        </row>
        <row r="3581">
          <cell r="F3581">
            <v>0</v>
          </cell>
          <cell r="G3581">
            <v>0</v>
          </cell>
        </row>
        <row r="3582">
          <cell r="F3582">
            <v>0</v>
          </cell>
          <cell r="G3582">
            <v>0</v>
          </cell>
        </row>
        <row r="3583">
          <cell r="F3583">
            <v>0</v>
          </cell>
          <cell r="G3583">
            <v>0</v>
          </cell>
        </row>
        <row r="3584">
          <cell r="F3584">
            <v>0</v>
          </cell>
          <cell r="G3584">
            <v>0</v>
          </cell>
        </row>
        <row r="3585">
          <cell r="F3585">
            <v>0</v>
          </cell>
          <cell r="G3585">
            <v>0</v>
          </cell>
        </row>
        <row r="3586">
          <cell r="F3586">
            <v>0</v>
          </cell>
          <cell r="G3586">
            <v>0</v>
          </cell>
        </row>
        <row r="3587">
          <cell r="F3587">
            <v>0</v>
          </cell>
          <cell r="G3587">
            <v>0</v>
          </cell>
        </row>
        <row r="3588">
          <cell r="F3588">
            <v>0</v>
          </cell>
          <cell r="G3588">
            <v>0</v>
          </cell>
        </row>
        <row r="3589">
          <cell r="F3589">
            <v>0</v>
          </cell>
          <cell r="G3589">
            <v>0</v>
          </cell>
        </row>
        <row r="3590">
          <cell r="F3590">
            <v>0</v>
          </cell>
          <cell r="G3590">
            <v>0</v>
          </cell>
        </row>
        <row r="3591">
          <cell r="F3591">
            <v>0</v>
          </cell>
          <cell r="G3591">
            <v>0</v>
          </cell>
        </row>
        <row r="3592">
          <cell r="F3592">
            <v>0</v>
          </cell>
          <cell r="G3592">
            <v>0</v>
          </cell>
        </row>
        <row r="3593">
          <cell r="F3593">
            <v>0</v>
          </cell>
          <cell r="G3593">
            <v>0</v>
          </cell>
        </row>
        <row r="3594">
          <cell r="F3594">
            <v>0</v>
          </cell>
          <cell r="G3594">
            <v>0</v>
          </cell>
        </row>
        <row r="3595">
          <cell r="F3595">
            <v>0</v>
          </cell>
          <cell r="G3595">
            <v>0</v>
          </cell>
        </row>
        <row r="3596">
          <cell r="F3596">
            <v>0</v>
          </cell>
          <cell r="G3596">
            <v>0</v>
          </cell>
        </row>
        <row r="3597">
          <cell r="F3597">
            <v>0</v>
          </cell>
          <cell r="G3597">
            <v>0</v>
          </cell>
        </row>
        <row r="3598">
          <cell r="F3598">
            <v>0</v>
          </cell>
          <cell r="G3598">
            <v>0</v>
          </cell>
        </row>
        <row r="3599">
          <cell r="F3599">
            <v>0</v>
          </cell>
          <cell r="G3599">
            <v>0</v>
          </cell>
        </row>
        <row r="3600">
          <cell r="F3600">
            <v>0</v>
          </cell>
          <cell r="G3600">
            <v>0</v>
          </cell>
        </row>
        <row r="3601">
          <cell r="F3601">
            <v>0</v>
          </cell>
          <cell r="G3601">
            <v>0</v>
          </cell>
        </row>
        <row r="3602">
          <cell r="F3602">
            <v>0</v>
          </cell>
          <cell r="G3602">
            <v>0</v>
          </cell>
        </row>
        <row r="3603">
          <cell r="F3603">
            <v>0</v>
          </cell>
          <cell r="G3603">
            <v>0</v>
          </cell>
        </row>
        <row r="3604">
          <cell r="F3604">
            <v>0</v>
          </cell>
          <cell r="G3604">
            <v>0</v>
          </cell>
        </row>
        <row r="3605">
          <cell r="F3605">
            <v>0</v>
          </cell>
          <cell r="G3605">
            <v>0</v>
          </cell>
        </row>
        <row r="3606">
          <cell r="F3606">
            <v>0</v>
          </cell>
          <cell r="G3606">
            <v>0</v>
          </cell>
        </row>
        <row r="3607">
          <cell r="F3607">
            <v>0</v>
          </cell>
          <cell r="G3607">
            <v>0</v>
          </cell>
        </row>
        <row r="3608">
          <cell r="F3608">
            <v>0</v>
          </cell>
          <cell r="G3608">
            <v>0</v>
          </cell>
        </row>
        <row r="3609">
          <cell r="F3609">
            <v>0</v>
          </cell>
          <cell r="G3609">
            <v>0</v>
          </cell>
        </row>
        <row r="3610">
          <cell r="F3610">
            <v>0</v>
          </cell>
          <cell r="G3610">
            <v>0</v>
          </cell>
        </row>
        <row r="3611">
          <cell r="F3611">
            <v>0</v>
          </cell>
          <cell r="G3611">
            <v>0</v>
          </cell>
        </row>
        <row r="3612">
          <cell r="F3612">
            <v>0</v>
          </cell>
          <cell r="G3612">
            <v>0</v>
          </cell>
        </row>
        <row r="3613">
          <cell r="F3613">
            <v>0</v>
          </cell>
          <cell r="G3613">
            <v>0</v>
          </cell>
        </row>
        <row r="3614">
          <cell r="F3614">
            <v>0</v>
          </cell>
          <cell r="G3614">
            <v>0</v>
          </cell>
        </row>
        <row r="3615">
          <cell r="F3615">
            <v>0</v>
          </cell>
          <cell r="G3615">
            <v>0</v>
          </cell>
        </row>
        <row r="3616">
          <cell r="F3616">
            <v>0</v>
          </cell>
          <cell r="G3616">
            <v>0</v>
          </cell>
        </row>
        <row r="3617">
          <cell r="F3617">
            <v>0</v>
          </cell>
          <cell r="G3617">
            <v>0</v>
          </cell>
        </row>
        <row r="3618">
          <cell r="F3618">
            <v>0</v>
          </cell>
          <cell r="G3618">
            <v>0</v>
          </cell>
        </row>
        <row r="3619">
          <cell r="F3619">
            <v>0</v>
          </cell>
          <cell r="G3619">
            <v>0</v>
          </cell>
        </row>
        <row r="3620">
          <cell r="F3620">
            <v>0</v>
          </cell>
          <cell r="G3620">
            <v>0</v>
          </cell>
        </row>
        <row r="3621">
          <cell r="F3621">
            <v>0</v>
          </cell>
          <cell r="G3621">
            <v>0</v>
          </cell>
        </row>
        <row r="3622">
          <cell r="F3622">
            <v>0</v>
          </cell>
          <cell r="G3622">
            <v>0</v>
          </cell>
        </row>
        <row r="3623">
          <cell r="F3623">
            <v>0</v>
          </cell>
          <cell r="G3623">
            <v>0</v>
          </cell>
        </row>
        <row r="3624">
          <cell r="F3624">
            <v>0</v>
          </cell>
          <cell r="G3624">
            <v>0</v>
          </cell>
        </row>
        <row r="3625">
          <cell r="F3625">
            <v>0</v>
          </cell>
          <cell r="G3625">
            <v>0</v>
          </cell>
        </row>
        <row r="3626">
          <cell r="F3626">
            <v>0</v>
          </cell>
          <cell r="G3626">
            <v>0</v>
          </cell>
        </row>
        <row r="3627">
          <cell r="F3627">
            <v>0</v>
          </cell>
          <cell r="G3627">
            <v>0</v>
          </cell>
        </row>
        <row r="3628">
          <cell r="F3628">
            <v>0</v>
          </cell>
          <cell r="G3628">
            <v>0</v>
          </cell>
        </row>
        <row r="3629">
          <cell r="F3629">
            <v>0</v>
          </cell>
          <cell r="G3629">
            <v>0</v>
          </cell>
        </row>
        <row r="3630">
          <cell r="F3630">
            <v>0</v>
          </cell>
          <cell r="G3630">
            <v>0</v>
          </cell>
        </row>
        <row r="3631">
          <cell r="F3631">
            <v>0</v>
          </cell>
          <cell r="G3631">
            <v>0</v>
          </cell>
        </row>
        <row r="3632">
          <cell r="F3632">
            <v>0</v>
          </cell>
          <cell r="G3632">
            <v>0</v>
          </cell>
        </row>
        <row r="3633">
          <cell r="F3633">
            <v>0</v>
          </cell>
          <cell r="G3633">
            <v>0</v>
          </cell>
        </row>
        <row r="3634">
          <cell r="F3634">
            <v>0</v>
          </cell>
          <cell r="G3634">
            <v>0</v>
          </cell>
        </row>
        <row r="3635">
          <cell r="F3635">
            <v>0</v>
          </cell>
          <cell r="G3635">
            <v>0</v>
          </cell>
        </row>
        <row r="3636">
          <cell r="F3636">
            <v>0</v>
          </cell>
          <cell r="G3636">
            <v>0</v>
          </cell>
        </row>
        <row r="3637">
          <cell r="F3637">
            <v>0</v>
          </cell>
          <cell r="G3637">
            <v>0</v>
          </cell>
        </row>
        <row r="3638">
          <cell r="F3638">
            <v>0</v>
          </cell>
          <cell r="G3638">
            <v>0</v>
          </cell>
        </row>
        <row r="3639">
          <cell r="F3639">
            <v>0</v>
          </cell>
          <cell r="G3639">
            <v>0</v>
          </cell>
        </row>
        <row r="3640">
          <cell r="F3640">
            <v>0</v>
          </cell>
          <cell r="G3640">
            <v>0</v>
          </cell>
        </row>
        <row r="3641">
          <cell r="F3641">
            <v>0</v>
          </cell>
          <cell r="G3641">
            <v>0</v>
          </cell>
        </row>
        <row r="3642">
          <cell r="F3642">
            <v>0</v>
          </cell>
          <cell r="G3642">
            <v>0</v>
          </cell>
        </row>
        <row r="3643">
          <cell r="F3643">
            <v>0</v>
          </cell>
          <cell r="G3643">
            <v>0</v>
          </cell>
        </row>
        <row r="3644">
          <cell r="F3644">
            <v>0</v>
          </cell>
          <cell r="G3644">
            <v>0</v>
          </cell>
        </row>
        <row r="3645">
          <cell r="F3645">
            <v>0</v>
          </cell>
          <cell r="G3645">
            <v>0</v>
          </cell>
        </row>
        <row r="3646">
          <cell r="F3646">
            <v>0</v>
          </cell>
          <cell r="G3646">
            <v>0</v>
          </cell>
        </row>
        <row r="3647">
          <cell r="F3647">
            <v>0</v>
          </cell>
          <cell r="G3647">
            <v>0</v>
          </cell>
        </row>
        <row r="3648">
          <cell r="F3648">
            <v>0</v>
          </cell>
          <cell r="G3648">
            <v>0</v>
          </cell>
        </row>
        <row r="3649">
          <cell r="F3649">
            <v>0</v>
          </cell>
          <cell r="G3649">
            <v>0</v>
          </cell>
        </row>
        <row r="3650">
          <cell r="F3650">
            <v>0</v>
          </cell>
          <cell r="G3650">
            <v>0</v>
          </cell>
        </row>
        <row r="3651">
          <cell r="F3651">
            <v>0</v>
          </cell>
          <cell r="G3651">
            <v>0</v>
          </cell>
        </row>
        <row r="3652">
          <cell r="F3652">
            <v>0</v>
          </cell>
          <cell r="G3652">
            <v>0</v>
          </cell>
        </row>
        <row r="3653">
          <cell r="F3653">
            <v>0</v>
          </cell>
          <cell r="G3653">
            <v>0</v>
          </cell>
        </row>
        <row r="3654">
          <cell r="F3654">
            <v>0</v>
          </cell>
          <cell r="G3654">
            <v>0</v>
          </cell>
        </row>
        <row r="3655">
          <cell r="F3655">
            <v>0</v>
          </cell>
          <cell r="G3655">
            <v>0</v>
          </cell>
        </row>
        <row r="3656">
          <cell r="F3656">
            <v>0</v>
          </cell>
          <cell r="G3656">
            <v>0</v>
          </cell>
        </row>
        <row r="3657">
          <cell r="F3657">
            <v>0</v>
          </cell>
          <cell r="G3657">
            <v>0</v>
          </cell>
        </row>
        <row r="3658">
          <cell r="F3658">
            <v>0</v>
          </cell>
          <cell r="G3658">
            <v>0</v>
          </cell>
        </row>
        <row r="3659">
          <cell r="F3659">
            <v>0</v>
          </cell>
          <cell r="G3659">
            <v>0</v>
          </cell>
        </row>
        <row r="3660">
          <cell r="F3660">
            <v>0</v>
          </cell>
          <cell r="G3660">
            <v>0</v>
          </cell>
        </row>
        <row r="3661">
          <cell r="F3661">
            <v>0</v>
          </cell>
          <cell r="G3661">
            <v>0</v>
          </cell>
        </row>
        <row r="3662">
          <cell r="F3662">
            <v>0</v>
          </cell>
          <cell r="G3662">
            <v>0</v>
          </cell>
        </row>
        <row r="3663">
          <cell r="F3663">
            <v>0</v>
          </cell>
          <cell r="G3663">
            <v>0</v>
          </cell>
        </row>
        <row r="3664">
          <cell r="F3664">
            <v>0</v>
          </cell>
          <cell r="G3664">
            <v>0</v>
          </cell>
        </row>
        <row r="3665">
          <cell r="F3665">
            <v>0</v>
          </cell>
          <cell r="G3665">
            <v>0</v>
          </cell>
        </row>
        <row r="3666">
          <cell r="F3666">
            <v>0</v>
          </cell>
          <cell r="G3666">
            <v>0</v>
          </cell>
        </row>
        <row r="3667">
          <cell r="F3667">
            <v>0</v>
          </cell>
          <cell r="G3667">
            <v>0</v>
          </cell>
        </row>
        <row r="3668">
          <cell r="F3668">
            <v>0</v>
          </cell>
          <cell r="G3668">
            <v>0</v>
          </cell>
        </row>
        <row r="3669">
          <cell r="F3669">
            <v>0</v>
          </cell>
          <cell r="G3669">
            <v>0</v>
          </cell>
        </row>
        <row r="3670">
          <cell r="F3670">
            <v>0</v>
          </cell>
          <cell r="G3670">
            <v>0</v>
          </cell>
        </row>
        <row r="3671">
          <cell r="F3671">
            <v>0</v>
          </cell>
          <cell r="G3671">
            <v>0</v>
          </cell>
        </row>
        <row r="3672">
          <cell r="F3672">
            <v>0</v>
          </cell>
          <cell r="G3672">
            <v>0</v>
          </cell>
        </row>
        <row r="3673">
          <cell r="F3673">
            <v>0</v>
          </cell>
          <cell r="G3673">
            <v>0</v>
          </cell>
        </row>
        <row r="3674">
          <cell r="F3674">
            <v>0</v>
          </cell>
          <cell r="G3674">
            <v>0</v>
          </cell>
        </row>
        <row r="3675">
          <cell r="F3675">
            <v>0</v>
          </cell>
          <cell r="G3675">
            <v>0</v>
          </cell>
        </row>
        <row r="3676">
          <cell r="F3676">
            <v>0</v>
          </cell>
          <cell r="G3676">
            <v>0</v>
          </cell>
        </row>
        <row r="3677">
          <cell r="F3677">
            <v>0</v>
          </cell>
          <cell r="G3677">
            <v>0</v>
          </cell>
        </row>
        <row r="3678">
          <cell r="F3678">
            <v>0</v>
          </cell>
          <cell r="G3678">
            <v>0</v>
          </cell>
        </row>
        <row r="3679">
          <cell r="F3679">
            <v>0</v>
          </cell>
          <cell r="G3679">
            <v>0</v>
          </cell>
        </row>
        <row r="3680">
          <cell r="F3680">
            <v>0</v>
          </cell>
          <cell r="G3680">
            <v>0</v>
          </cell>
        </row>
        <row r="3681">
          <cell r="F3681">
            <v>0</v>
          </cell>
          <cell r="G3681">
            <v>0</v>
          </cell>
        </row>
        <row r="3682">
          <cell r="F3682">
            <v>0</v>
          </cell>
          <cell r="G3682">
            <v>0</v>
          </cell>
        </row>
        <row r="3683">
          <cell r="F3683">
            <v>0</v>
          </cell>
          <cell r="G3683">
            <v>0</v>
          </cell>
        </row>
        <row r="3684">
          <cell r="F3684">
            <v>0</v>
          </cell>
          <cell r="G3684">
            <v>0</v>
          </cell>
        </row>
        <row r="3685">
          <cell r="F3685">
            <v>0</v>
          </cell>
          <cell r="G3685">
            <v>0</v>
          </cell>
        </row>
        <row r="3686">
          <cell r="F3686">
            <v>0</v>
          </cell>
          <cell r="G3686">
            <v>0</v>
          </cell>
        </row>
        <row r="3687">
          <cell r="F3687">
            <v>0</v>
          </cell>
          <cell r="G3687">
            <v>0</v>
          </cell>
        </row>
        <row r="3688">
          <cell r="F3688">
            <v>0</v>
          </cell>
          <cell r="G3688">
            <v>0</v>
          </cell>
        </row>
        <row r="3689">
          <cell r="F3689">
            <v>0</v>
          </cell>
          <cell r="G3689">
            <v>0</v>
          </cell>
        </row>
        <row r="3690">
          <cell r="F3690">
            <v>0</v>
          </cell>
          <cell r="G3690">
            <v>0</v>
          </cell>
        </row>
        <row r="3691">
          <cell r="F3691">
            <v>0</v>
          </cell>
          <cell r="G3691">
            <v>0</v>
          </cell>
        </row>
        <row r="3692">
          <cell r="F3692">
            <v>0</v>
          </cell>
          <cell r="G3692">
            <v>0</v>
          </cell>
        </row>
        <row r="3693">
          <cell r="F3693">
            <v>0</v>
          </cell>
          <cell r="G3693">
            <v>0</v>
          </cell>
        </row>
        <row r="3694">
          <cell r="F3694">
            <v>0</v>
          </cell>
          <cell r="G3694">
            <v>0</v>
          </cell>
        </row>
        <row r="3695">
          <cell r="F3695">
            <v>0</v>
          </cell>
          <cell r="G3695">
            <v>0</v>
          </cell>
        </row>
        <row r="3696">
          <cell r="F3696">
            <v>0</v>
          </cell>
          <cell r="G3696">
            <v>0</v>
          </cell>
        </row>
        <row r="3697">
          <cell r="F3697">
            <v>0</v>
          </cell>
          <cell r="G3697">
            <v>0</v>
          </cell>
        </row>
        <row r="3698">
          <cell r="F3698">
            <v>0</v>
          </cell>
          <cell r="G3698">
            <v>0</v>
          </cell>
        </row>
        <row r="3699">
          <cell r="F3699">
            <v>0</v>
          </cell>
          <cell r="G3699">
            <v>0</v>
          </cell>
        </row>
        <row r="3700">
          <cell r="F3700">
            <v>0</v>
          </cell>
          <cell r="G3700">
            <v>0</v>
          </cell>
        </row>
        <row r="3701">
          <cell r="F3701">
            <v>0</v>
          </cell>
          <cell r="G3701">
            <v>0</v>
          </cell>
        </row>
        <row r="3702">
          <cell r="F3702">
            <v>0</v>
          </cell>
          <cell r="G3702">
            <v>0</v>
          </cell>
        </row>
        <row r="3703">
          <cell r="F3703">
            <v>0</v>
          </cell>
          <cell r="G3703">
            <v>0</v>
          </cell>
        </row>
        <row r="3704">
          <cell r="F3704">
            <v>0</v>
          </cell>
          <cell r="G3704">
            <v>0</v>
          </cell>
        </row>
        <row r="3705">
          <cell r="F3705">
            <v>0</v>
          </cell>
          <cell r="G3705">
            <v>0</v>
          </cell>
        </row>
        <row r="3706">
          <cell r="F3706">
            <v>0</v>
          </cell>
          <cell r="G3706">
            <v>0</v>
          </cell>
        </row>
        <row r="3707">
          <cell r="F3707">
            <v>0</v>
          </cell>
          <cell r="G3707">
            <v>0</v>
          </cell>
        </row>
        <row r="3708">
          <cell r="F3708">
            <v>0</v>
          </cell>
          <cell r="G3708">
            <v>0</v>
          </cell>
        </row>
        <row r="3709">
          <cell r="F3709">
            <v>0</v>
          </cell>
          <cell r="G3709">
            <v>0</v>
          </cell>
        </row>
        <row r="3710">
          <cell r="F3710">
            <v>0</v>
          </cell>
          <cell r="G3710">
            <v>0</v>
          </cell>
        </row>
        <row r="3711">
          <cell r="F3711">
            <v>0</v>
          </cell>
          <cell r="G3711">
            <v>0</v>
          </cell>
        </row>
        <row r="3712">
          <cell r="F3712">
            <v>0</v>
          </cell>
          <cell r="G3712">
            <v>0</v>
          </cell>
        </row>
        <row r="3713">
          <cell r="F3713">
            <v>0</v>
          </cell>
          <cell r="G3713">
            <v>0</v>
          </cell>
        </row>
        <row r="3714">
          <cell r="F3714">
            <v>0</v>
          </cell>
          <cell r="G3714">
            <v>0</v>
          </cell>
        </row>
        <row r="3715">
          <cell r="F3715">
            <v>0</v>
          </cell>
          <cell r="G3715">
            <v>0</v>
          </cell>
        </row>
        <row r="3716">
          <cell r="F3716">
            <v>0</v>
          </cell>
          <cell r="G3716">
            <v>0</v>
          </cell>
        </row>
        <row r="3717">
          <cell r="F3717">
            <v>0</v>
          </cell>
          <cell r="G3717">
            <v>0</v>
          </cell>
        </row>
        <row r="3718">
          <cell r="F3718">
            <v>0</v>
          </cell>
          <cell r="G3718">
            <v>0</v>
          </cell>
        </row>
        <row r="3719">
          <cell r="F3719">
            <v>0</v>
          </cell>
          <cell r="G3719">
            <v>0</v>
          </cell>
        </row>
        <row r="3720">
          <cell r="F3720">
            <v>0</v>
          </cell>
          <cell r="G3720">
            <v>0</v>
          </cell>
        </row>
        <row r="3721">
          <cell r="F3721">
            <v>0</v>
          </cell>
          <cell r="G3721">
            <v>0</v>
          </cell>
        </row>
        <row r="3722">
          <cell r="F3722">
            <v>0</v>
          </cell>
          <cell r="G3722">
            <v>0</v>
          </cell>
        </row>
        <row r="3723">
          <cell r="F3723">
            <v>0</v>
          </cell>
          <cell r="G3723">
            <v>0</v>
          </cell>
        </row>
        <row r="3724">
          <cell r="F3724">
            <v>0</v>
          </cell>
          <cell r="G3724">
            <v>0</v>
          </cell>
        </row>
        <row r="3725">
          <cell r="F3725">
            <v>0</v>
          </cell>
          <cell r="G3725">
            <v>0</v>
          </cell>
        </row>
        <row r="3726">
          <cell r="F3726">
            <v>0</v>
          </cell>
          <cell r="G3726">
            <v>0</v>
          </cell>
        </row>
        <row r="3727">
          <cell r="F3727">
            <v>0</v>
          </cell>
          <cell r="G3727">
            <v>0</v>
          </cell>
        </row>
        <row r="3728">
          <cell r="F3728">
            <v>0</v>
          </cell>
          <cell r="G3728">
            <v>0</v>
          </cell>
        </row>
        <row r="3729">
          <cell r="F3729">
            <v>0</v>
          </cell>
          <cell r="G3729">
            <v>0</v>
          </cell>
        </row>
        <row r="3730">
          <cell r="F3730">
            <v>0</v>
          </cell>
          <cell r="G3730">
            <v>0</v>
          </cell>
        </row>
        <row r="3731">
          <cell r="F3731">
            <v>0</v>
          </cell>
          <cell r="G3731">
            <v>0</v>
          </cell>
        </row>
        <row r="3732">
          <cell r="F3732">
            <v>0</v>
          </cell>
          <cell r="G3732">
            <v>0</v>
          </cell>
        </row>
        <row r="3733">
          <cell r="F3733">
            <v>0</v>
          </cell>
          <cell r="G3733">
            <v>0</v>
          </cell>
        </row>
        <row r="3734">
          <cell r="F3734">
            <v>0</v>
          </cell>
          <cell r="G3734">
            <v>0</v>
          </cell>
        </row>
        <row r="3735">
          <cell r="F3735">
            <v>0</v>
          </cell>
          <cell r="G3735">
            <v>0</v>
          </cell>
        </row>
        <row r="3736">
          <cell r="F3736">
            <v>0</v>
          </cell>
          <cell r="G3736">
            <v>0</v>
          </cell>
        </row>
        <row r="3737">
          <cell r="F3737">
            <v>0</v>
          </cell>
          <cell r="G3737">
            <v>0</v>
          </cell>
        </row>
        <row r="3738">
          <cell r="F3738">
            <v>0</v>
          </cell>
          <cell r="G3738">
            <v>0</v>
          </cell>
        </row>
        <row r="3739">
          <cell r="F3739">
            <v>0</v>
          </cell>
          <cell r="G3739">
            <v>0</v>
          </cell>
        </row>
        <row r="3740">
          <cell r="F3740">
            <v>0</v>
          </cell>
          <cell r="G3740">
            <v>0</v>
          </cell>
        </row>
        <row r="3741">
          <cell r="F3741">
            <v>0</v>
          </cell>
          <cell r="G3741">
            <v>0</v>
          </cell>
        </row>
        <row r="3742">
          <cell r="F3742">
            <v>0</v>
          </cell>
          <cell r="G3742">
            <v>0</v>
          </cell>
        </row>
        <row r="3743">
          <cell r="F3743">
            <v>0</v>
          </cell>
          <cell r="G3743">
            <v>0</v>
          </cell>
        </row>
        <row r="3744">
          <cell r="F3744">
            <v>0</v>
          </cell>
          <cell r="G3744">
            <v>0</v>
          </cell>
        </row>
        <row r="3745">
          <cell r="F3745">
            <v>0</v>
          </cell>
          <cell r="G3745">
            <v>0</v>
          </cell>
        </row>
        <row r="3746">
          <cell r="F3746">
            <v>0</v>
          </cell>
          <cell r="G3746">
            <v>0</v>
          </cell>
        </row>
        <row r="3747">
          <cell r="F3747">
            <v>0</v>
          </cell>
          <cell r="G3747">
            <v>0</v>
          </cell>
        </row>
        <row r="3748">
          <cell r="F3748">
            <v>0</v>
          </cell>
          <cell r="G3748">
            <v>0</v>
          </cell>
        </row>
        <row r="3749">
          <cell r="F3749">
            <v>0</v>
          </cell>
          <cell r="G3749">
            <v>0</v>
          </cell>
        </row>
        <row r="3750">
          <cell r="F3750">
            <v>0</v>
          </cell>
          <cell r="G3750">
            <v>0</v>
          </cell>
        </row>
        <row r="3751">
          <cell r="F3751">
            <v>0</v>
          </cell>
          <cell r="G3751">
            <v>0</v>
          </cell>
        </row>
        <row r="3752">
          <cell r="F3752">
            <v>0</v>
          </cell>
          <cell r="G3752">
            <v>0</v>
          </cell>
        </row>
        <row r="3753">
          <cell r="F3753">
            <v>0</v>
          </cell>
          <cell r="G3753">
            <v>0</v>
          </cell>
        </row>
        <row r="3754">
          <cell r="F3754">
            <v>0</v>
          </cell>
          <cell r="G3754">
            <v>0</v>
          </cell>
        </row>
        <row r="3755">
          <cell r="F3755">
            <v>0</v>
          </cell>
          <cell r="G3755">
            <v>0</v>
          </cell>
        </row>
        <row r="3756">
          <cell r="F3756">
            <v>0</v>
          </cell>
          <cell r="G3756">
            <v>0</v>
          </cell>
        </row>
        <row r="3757">
          <cell r="F3757">
            <v>0</v>
          </cell>
          <cell r="G3757">
            <v>0</v>
          </cell>
        </row>
        <row r="3758">
          <cell r="F3758">
            <v>0</v>
          </cell>
          <cell r="G3758">
            <v>0</v>
          </cell>
        </row>
        <row r="3759">
          <cell r="F3759">
            <v>0</v>
          </cell>
          <cell r="G3759">
            <v>0</v>
          </cell>
        </row>
        <row r="3760">
          <cell r="F3760">
            <v>0</v>
          </cell>
          <cell r="G3760">
            <v>0</v>
          </cell>
        </row>
        <row r="3761">
          <cell r="F3761">
            <v>0</v>
          </cell>
          <cell r="G3761">
            <v>0</v>
          </cell>
        </row>
        <row r="3762">
          <cell r="F3762">
            <v>0</v>
          </cell>
          <cell r="G3762">
            <v>0</v>
          </cell>
        </row>
        <row r="3763">
          <cell r="F3763">
            <v>0</v>
          </cell>
          <cell r="G3763">
            <v>0</v>
          </cell>
        </row>
        <row r="3764">
          <cell r="F3764">
            <v>0</v>
          </cell>
          <cell r="G3764">
            <v>0</v>
          </cell>
        </row>
        <row r="3765">
          <cell r="F3765">
            <v>0</v>
          </cell>
          <cell r="G3765">
            <v>0</v>
          </cell>
        </row>
        <row r="3766">
          <cell r="F3766">
            <v>0</v>
          </cell>
          <cell r="G3766">
            <v>0</v>
          </cell>
        </row>
        <row r="3767">
          <cell r="F3767">
            <v>0</v>
          </cell>
          <cell r="G3767">
            <v>0</v>
          </cell>
        </row>
        <row r="3768">
          <cell r="F3768">
            <v>0</v>
          </cell>
          <cell r="G3768">
            <v>0</v>
          </cell>
        </row>
        <row r="3769">
          <cell r="F3769">
            <v>0</v>
          </cell>
          <cell r="G3769">
            <v>0</v>
          </cell>
        </row>
        <row r="3770">
          <cell r="F3770">
            <v>0</v>
          </cell>
          <cell r="G3770">
            <v>0</v>
          </cell>
        </row>
        <row r="3771">
          <cell r="F3771">
            <v>0</v>
          </cell>
          <cell r="G3771">
            <v>0</v>
          </cell>
        </row>
        <row r="3772">
          <cell r="F3772">
            <v>0</v>
          </cell>
          <cell r="G3772">
            <v>0</v>
          </cell>
        </row>
        <row r="3773">
          <cell r="F3773">
            <v>0</v>
          </cell>
          <cell r="G3773">
            <v>0</v>
          </cell>
        </row>
        <row r="3774">
          <cell r="F3774">
            <v>0</v>
          </cell>
          <cell r="G3774">
            <v>0</v>
          </cell>
        </row>
        <row r="3775">
          <cell r="F3775">
            <v>0</v>
          </cell>
          <cell r="G3775">
            <v>0</v>
          </cell>
        </row>
        <row r="3776">
          <cell r="F3776">
            <v>0</v>
          </cell>
          <cell r="G3776">
            <v>0</v>
          </cell>
        </row>
        <row r="3777">
          <cell r="F3777">
            <v>0</v>
          </cell>
          <cell r="G3777">
            <v>0</v>
          </cell>
        </row>
        <row r="3778">
          <cell r="F3778">
            <v>0</v>
          </cell>
          <cell r="G3778">
            <v>0</v>
          </cell>
        </row>
        <row r="3779">
          <cell r="F3779">
            <v>0</v>
          </cell>
          <cell r="G3779">
            <v>0</v>
          </cell>
        </row>
        <row r="3780">
          <cell r="F3780">
            <v>0</v>
          </cell>
          <cell r="G3780">
            <v>0</v>
          </cell>
        </row>
        <row r="3781">
          <cell r="F3781">
            <v>0</v>
          </cell>
          <cell r="G3781">
            <v>0</v>
          </cell>
        </row>
        <row r="3782">
          <cell r="F3782">
            <v>0</v>
          </cell>
          <cell r="G3782">
            <v>0</v>
          </cell>
        </row>
        <row r="3783">
          <cell r="F3783">
            <v>0</v>
          </cell>
          <cell r="G3783">
            <v>0</v>
          </cell>
        </row>
        <row r="3784">
          <cell r="F3784">
            <v>0</v>
          </cell>
          <cell r="G3784">
            <v>0</v>
          </cell>
        </row>
        <row r="3785">
          <cell r="F3785">
            <v>0</v>
          </cell>
          <cell r="G3785">
            <v>0</v>
          </cell>
        </row>
        <row r="3786">
          <cell r="F3786">
            <v>0</v>
          </cell>
          <cell r="G3786">
            <v>0</v>
          </cell>
        </row>
        <row r="3787">
          <cell r="F3787">
            <v>0</v>
          </cell>
          <cell r="G3787">
            <v>0</v>
          </cell>
        </row>
        <row r="3788">
          <cell r="F3788">
            <v>0</v>
          </cell>
          <cell r="G3788">
            <v>0</v>
          </cell>
        </row>
        <row r="3789">
          <cell r="F3789">
            <v>0</v>
          </cell>
          <cell r="G3789">
            <v>0</v>
          </cell>
        </row>
        <row r="3790">
          <cell r="F3790">
            <v>0</v>
          </cell>
          <cell r="G3790">
            <v>0</v>
          </cell>
        </row>
        <row r="3791">
          <cell r="F3791">
            <v>0</v>
          </cell>
          <cell r="G3791">
            <v>0</v>
          </cell>
        </row>
        <row r="3792">
          <cell r="F3792">
            <v>0</v>
          </cell>
          <cell r="G3792">
            <v>0</v>
          </cell>
        </row>
        <row r="3793">
          <cell r="F3793">
            <v>0</v>
          </cell>
          <cell r="G3793">
            <v>0</v>
          </cell>
        </row>
        <row r="3794">
          <cell r="F3794">
            <v>0</v>
          </cell>
          <cell r="G3794">
            <v>0</v>
          </cell>
        </row>
        <row r="3795">
          <cell r="F3795">
            <v>0</v>
          </cell>
          <cell r="G3795">
            <v>0</v>
          </cell>
        </row>
        <row r="3796">
          <cell r="F3796">
            <v>0</v>
          </cell>
          <cell r="G3796">
            <v>0</v>
          </cell>
        </row>
        <row r="3797">
          <cell r="F3797">
            <v>0</v>
          </cell>
          <cell r="G3797">
            <v>0</v>
          </cell>
        </row>
        <row r="3798">
          <cell r="F3798">
            <v>0</v>
          </cell>
          <cell r="G3798">
            <v>0</v>
          </cell>
        </row>
        <row r="3799">
          <cell r="F3799">
            <v>0</v>
          </cell>
          <cell r="G3799">
            <v>0</v>
          </cell>
        </row>
        <row r="3800">
          <cell r="F3800">
            <v>0</v>
          </cell>
          <cell r="G3800">
            <v>0</v>
          </cell>
        </row>
        <row r="3801">
          <cell r="F3801">
            <v>0</v>
          </cell>
          <cell r="G3801">
            <v>0</v>
          </cell>
        </row>
        <row r="3802">
          <cell r="F3802">
            <v>0</v>
          </cell>
          <cell r="G3802">
            <v>0</v>
          </cell>
        </row>
        <row r="3803">
          <cell r="F3803">
            <v>0</v>
          </cell>
          <cell r="G3803">
            <v>0</v>
          </cell>
        </row>
        <row r="3804">
          <cell r="F3804">
            <v>0</v>
          </cell>
          <cell r="G3804">
            <v>0</v>
          </cell>
        </row>
        <row r="3805">
          <cell r="F3805">
            <v>0</v>
          </cell>
          <cell r="G3805">
            <v>0</v>
          </cell>
        </row>
        <row r="3806">
          <cell r="F3806">
            <v>0</v>
          </cell>
          <cell r="G3806">
            <v>0</v>
          </cell>
        </row>
        <row r="3807">
          <cell r="F3807">
            <v>0</v>
          </cell>
          <cell r="G3807">
            <v>0</v>
          </cell>
        </row>
        <row r="3808">
          <cell r="F3808">
            <v>0</v>
          </cell>
          <cell r="G3808">
            <v>0</v>
          </cell>
        </row>
        <row r="3809">
          <cell r="F3809">
            <v>0</v>
          </cell>
          <cell r="G3809">
            <v>0</v>
          </cell>
        </row>
        <row r="3810">
          <cell r="F3810">
            <v>0</v>
          </cell>
          <cell r="G3810">
            <v>0</v>
          </cell>
        </row>
        <row r="3811">
          <cell r="F3811">
            <v>0</v>
          </cell>
          <cell r="G3811">
            <v>0</v>
          </cell>
        </row>
        <row r="3812">
          <cell r="F3812">
            <v>0</v>
          </cell>
          <cell r="G3812">
            <v>0</v>
          </cell>
        </row>
        <row r="3813">
          <cell r="F3813">
            <v>0</v>
          </cell>
          <cell r="G3813">
            <v>0</v>
          </cell>
        </row>
        <row r="3814">
          <cell r="F3814">
            <v>0</v>
          </cell>
          <cell r="G3814">
            <v>0</v>
          </cell>
        </row>
        <row r="3815">
          <cell r="F3815">
            <v>0</v>
          </cell>
          <cell r="G3815">
            <v>0</v>
          </cell>
        </row>
        <row r="3816">
          <cell r="F3816">
            <v>0</v>
          </cell>
          <cell r="G3816">
            <v>0</v>
          </cell>
        </row>
        <row r="3817">
          <cell r="F3817">
            <v>0</v>
          </cell>
          <cell r="G3817">
            <v>0</v>
          </cell>
        </row>
        <row r="3818">
          <cell r="F3818">
            <v>0</v>
          </cell>
          <cell r="G3818">
            <v>0</v>
          </cell>
        </row>
        <row r="3819">
          <cell r="F3819">
            <v>0</v>
          </cell>
          <cell r="G3819">
            <v>0</v>
          </cell>
        </row>
        <row r="3820">
          <cell r="F3820">
            <v>0</v>
          </cell>
          <cell r="G3820">
            <v>0</v>
          </cell>
        </row>
        <row r="3821">
          <cell r="F3821">
            <v>0</v>
          </cell>
          <cell r="G3821">
            <v>0</v>
          </cell>
        </row>
        <row r="3822">
          <cell r="F3822">
            <v>0</v>
          </cell>
          <cell r="G3822">
            <v>0</v>
          </cell>
        </row>
        <row r="3823">
          <cell r="F3823">
            <v>0</v>
          </cell>
          <cell r="G3823">
            <v>0</v>
          </cell>
        </row>
        <row r="3824">
          <cell r="F3824">
            <v>0</v>
          </cell>
          <cell r="G3824">
            <v>0</v>
          </cell>
        </row>
        <row r="3825">
          <cell r="F3825">
            <v>0</v>
          </cell>
          <cell r="G3825">
            <v>0</v>
          </cell>
        </row>
        <row r="3826">
          <cell r="F3826">
            <v>0</v>
          </cell>
          <cell r="G3826">
            <v>0</v>
          </cell>
        </row>
        <row r="3827">
          <cell r="F3827">
            <v>0</v>
          </cell>
          <cell r="G3827">
            <v>0</v>
          </cell>
        </row>
        <row r="3828">
          <cell r="F3828">
            <v>0</v>
          </cell>
          <cell r="G3828">
            <v>0</v>
          </cell>
        </row>
        <row r="3829">
          <cell r="F3829">
            <v>0</v>
          </cell>
          <cell r="G3829">
            <v>0</v>
          </cell>
        </row>
        <row r="3830">
          <cell r="F3830">
            <v>0</v>
          </cell>
          <cell r="G3830">
            <v>0</v>
          </cell>
        </row>
        <row r="3831">
          <cell r="F3831">
            <v>0</v>
          </cell>
          <cell r="G3831">
            <v>0</v>
          </cell>
        </row>
        <row r="3832">
          <cell r="F3832">
            <v>0</v>
          </cell>
          <cell r="G3832">
            <v>0</v>
          </cell>
        </row>
        <row r="3833">
          <cell r="F3833">
            <v>0</v>
          </cell>
          <cell r="G3833">
            <v>0</v>
          </cell>
        </row>
        <row r="3834">
          <cell r="F3834">
            <v>0</v>
          </cell>
          <cell r="G3834">
            <v>0</v>
          </cell>
        </row>
        <row r="3835">
          <cell r="F3835">
            <v>0</v>
          </cell>
          <cell r="G3835">
            <v>0</v>
          </cell>
        </row>
        <row r="3836">
          <cell r="F3836">
            <v>0</v>
          </cell>
          <cell r="G3836">
            <v>0</v>
          </cell>
        </row>
        <row r="3837">
          <cell r="F3837">
            <v>0</v>
          </cell>
          <cell r="G3837">
            <v>0</v>
          </cell>
        </row>
        <row r="3838">
          <cell r="F3838">
            <v>0</v>
          </cell>
          <cell r="G3838">
            <v>0</v>
          </cell>
        </row>
        <row r="3839">
          <cell r="F3839">
            <v>0</v>
          </cell>
          <cell r="G3839">
            <v>0</v>
          </cell>
        </row>
        <row r="3840">
          <cell r="F3840">
            <v>0</v>
          </cell>
          <cell r="G3840">
            <v>0</v>
          </cell>
        </row>
        <row r="3841">
          <cell r="F3841">
            <v>0</v>
          </cell>
          <cell r="G3841">
            <v>0</v>
          </cell>
        </row>
        <row r="3842">
          <cell r="F3842">
            <v>0</v>
          </cell>
          <cell r="G3842">
            <v>0</v>
          </cell>
        </row>
        <row r="3843">
          <cell r="F3843">
            <v>0</v>
          </cell>
          <cell r="G3843">
            <v>0</v>
          </cell>
        </row>
        <row r="3844">
          <cell r="F3844">
            <v>0</v>
          </cell>
          <cell r="G3844">
            <v>0</v>
          </cell>
        </row>
        <row r="3845">
          <cell r="F3845">
            <v>0</v>
          </cell>
          <cell r="G3845">
            <v>0</v>
          </cell>
        </row>
        <row r="3846">
          <cell r="F3846">
            <v>0</v>
          </cell>
          <cell r="G3846">
            <v>0</v>
          </cell>
        </row>
        <row r="3847">
          <cell r="F3847">
            <v>0</v>
          </cell>
          <cell r="G3847">
            <v>0</v>
          </cell>
        </row>
        <row r="3848">
          <cell r="F3848">
            <v>0</v>
          </cell>
          <cell r="G3848">
            <v>0</v>
          </cell>
        </row>
        <row r="3849">
          <cell r="F3849">
            <v>0</v>
          </cell>
          <cell r="G3849">
            <v>0</v>
          </cell>
        </row>
        <row r="3850">
          <cell r="F3850">
            <v>0</v>
          </cell>
          <cell r="G3850">
            <v>0</v>
          </cell>
        </row>
        <row r="3851">
          <cell r="F3851">
            <v>0</v>
          </cell>
          <cell r="G3851">
            <v>0</v>
          </cell>
        </row>
        <row r="3852">
          <cell r="F3852">
            <v>0</v>
          </cell>
          <cell r="G3852">
            <v>0</v>
          </cell>
        </row>
        <row r="3853">
          <cell r="F3853">
            <v>0</v>
          </cell>
          <cell r="G3853">
            <v>0</v>
          </cell>
        </row>
        <row r="3854">
          <cell r="F3854">
            <v>0</v>
          </cell>
          <cell r="G3854">
            <v>0</v>
          </cell>
        </row>
        <row r="3855">
          <cell r="F3855">
            <v>0</v>
          </cell>
          <cell r="G3855">
            <v>0</v>
          </cell>
        </row>
        <row r="3856">
          <cell r="F3856">
            <v>0</v>
          </cell>
          <cell r="G3856">
            <v>0</v>
          </cell>
        </row>
        <row r="3857">
          <cell r="F3857">
            <v>0</v>
          </cell>
          <cell r="G3857">
            <v>0</v>
          </cell>
        </row>
        <row r="3858">
          <cell r="F3858">
            <v>0</v>
          </cell>
          <cell r="G3858">
            <v>0</v>
          </cell>
        </row>
        <row r="3859">
          <cell r="F3859">
            <v>0</v>
          </cell>
          <cell r="G3859">
            <v>0</v>
          </cell>
        </row>
        <row r="3860">
          <cell r="F3860">
            <v>0</v>
          </cell>
          <cell r="G3860">
            <v>0</v>
          </cell>
        </row>
        <row r="3861">
          <cell r="F3861">
            <v>0</v>
          </cell>
          <cell r="G3861">
            <v>0</v>
          </cell>
        </row>
        <row r="3862">
          <cell r="F3862">
            <v>0</v>
          </cell>
          <cell r="G3862">
            <v>0</v>
          </cell>
        </row>
        <row r="3863">
          <cell r="F3863">
            <v>0</v>
          </cell>
          <cell r="G3863">
            <v>0</v>
          </cell>
        </row>
        <row r="3864">
          <cell r="F3864">
            <v>0</v>
          </cell>
          <cell r="G3864">
            <v>0</v>
          </cell>
        </row>
        <row r="3865">
          <cell r="F3865">
            <v>0</v>
          </cell>
          <cell r="G3865">
            <v>0</v>
          </cell>
        </row>
        <row r="3866">
          <cell r="F3866">
            <v>0</v>
          </cell>
          <cell r="G3866">
            <v>0</v>
          </cell>
        </row>
        <row r="3867">
          <cell r="F3867">
            <v>0</v>
          </cell>
          <cell r="G3867">
            <v>0</v>
          </cell>
        </row>
        <row r="3868">
          <cell r="F3868">
            <v>0</v>
          </cell>
          <cell r="G3868">
            <v>0</v>
          </cell>
        </row>
        <row r="3869">
          <cell r="F3869">
            <v>0</v>
          </cell>
          <cell r="G3869">
            <v>0</v>
          </cell>
        </row>
        <row r="3870">
          <cell r="F3870">
            <v>0</v>
          </cell>
          <cell r="G3870">
            <v>0</v>
          </cell>
        </row>
        <row r="3871">
          <cell r="F3871">
            <v>0</v>
          </cell>
          <cell r="G3871">
            <v>0</v>
          </cell>
        </row>
        <row r="3872">
          <cell r="F3872">
            <v>0</v>
          </cell>
          <cell r="G3872">
            <v>0</v>
          </cell>
        </row>
        <row r="3873">
          <cell r="F3873">
            <v>0</v>
          </cell>
          <cell r="G3873">
            <v>0</v>
          </cell>
        </row>
        <row r="3874">
          <cell r="F3874">
            <v>0</v>
          </cell>
          <cell r="G3874">
            <v>0</v>
          </cell>
        </row>
        <row r="3875">
          <cell r="F3875">
            <v>0</v>
          </cell>
          <cell r="G3875">
            <v>0</v>
          </cell>
        </row>
        <row r="3876">
          <cell r="F3876">
            <v>0</v>
          </cell>
          <cell r="G3876">
            <v>0</v>
          </cell>
        </row>
        <row r="3877">
          <cell r="F3877">
            <v>0</v>
          </cell>
          <cell r="G3877">
            <v>0</v>
          </cell>
        </row>
        <row r="3878">
          <cell r="F3878">
            <v>0</v>
          </cell>
          <cell r="G3878">
            <v>0</v>
          </cell>
        </row>
        <row r="3879">
          <cell r="F3879">
            <v>0</v>
          </cell>
          <cell r="G3879">
            <v>0</v>
          </cell>
        </row>
        <row r="3880">
          <cell r="F3880">
            <v>0</v>
          </cell>
          <cell r="G3880">
            <v>0</v>
          </cell>
        </row>
        <row r="3881">
          <cell r="F3881">
            <v>0</v>
          </cell>
          <cell r="G3881">
            <v>0</v>
          </cell>
        </row>
        <row r="3882">
          <cell r="F3882">
            <v>0</v>
          </cell>
          <cell r="G3882">
            <v>0</v>
          </cell>
        </row>
        <row r="3883">
          <cell r="F3883">
            <v>0</v>
          </cell>
          <cell r="G3883">
            <v>0</v>
          </cell>
        </row>
        <row r="3884">
          <cell r="F3884">
            <v>0</v>
          </cell>
          <cell r="G3884">
            <v>0</v>
          </cell>
        </row>
        <row r="3885">
          <cell r="F3885">
            <v>0</v>
          </cell>
          <cell r="G3885">
            <v>0</v>
          </cell>
        </row>
        <row r="3886">
          <cell r="F3886">
            <v>0</v>
          </cell>
          <cell r="G3886">
            <v>0</v>
          </cell>
        </row>
        <row r="3887">
          <cell r="F3887">
            <v>0</v>
          </cell>
          <cell r="G3887">
            <v>0</v>
          </cell>
        </row>
        <row r="3888">
          <cell r="F3888">
            <v>0</v>
          </cell>
          <cell r="G3888">
            <v>0</v>
          </cell>
        </row>
        <row r="3889">
          <cell r="F3889">
            <v>0</v>
          </cell>
          <cell r="G3889">
            <v>0</v>
          </cell>
        </row>
        <row r="3890">
          <cell r="F3890">
            <v>0</v>
          </cell>
          <cell r="G3890">
            <v>0</v>
          </cell>
        </row>
        <row r="3891">
          <cell r="F3891">
            <v>0</v>
          </cell>
          <cell r="G3891">
            <v>0</v>
          </cell>
        </row>
        <row r="3892">
          <cell r="F3892">
            <v>0</v>
          </cell>
          <cell r="G3892">
            <v>0</v>
          </cell>
        </row>
        <row r="3893">
          <cell r="F3893">
            <v>0</v>
          </cell>
          <cell r="G3893">
            <v>0</v>
          </cell>
        </row>
        <row r="3894">
          <cell r="F3894">
            <v>0</v>
          </cell>
          <cell r="G3894">
            <v>0</v>
          </cell>
        </row>
        <row r="3895">
          <cell r="F3895">
            <v>0</v>
          </cell>
          <cell r="G3895">
            <v>0</v>
          </cell>
        </row>
        <row r="3896">
          <cell r="F3896">
            <v>0</v>
          </cell>
          <cell r="G3896">
            <v>0</v>
          </cell>
        </row>
        <row r="3897">
          <cell r="F3897">
            <v>0</v>
          </cell>
          <cell r="G3897">
            <v>0</v>
          </cell>
        </row>
        <row r="3898">
          <cell r="F3898">
            <v>0</v>
          </cell>
          <cell r="G3898">
            <v>0</v>
          </cell>
        </row>
        <row r="3899">
          <cell r="F3899">
            <v>0</v>
          </cell>
          <cell r="G3899">
            <v>0</v>
          </cell>
        </row>
        <row r="3900">
          <cell r="F3900">
            <v>0</v>
          </cell>
          <cell r="G3900">
            <v>0</v>
          </cell>
        </row>
        <row r="3901">
          <cell r="F3901">
            <v>0</v>
          </cell>
          <cell r="G3901">
            <v>0</v>
          </cell>
        </row>
        <row r="3902">
          <cell r="F3902">
            <v>0</v>
          </cell>
          <cell r="G3902">
            <v>0</v>
          </cell>
        </row>
        <row r="3903">
          <cell r="F3903">
            <v>0</v>
          </cell>
          <cell r="G3903">
            <v>0</v>
          </cell>
        </row>
        <row r="3904">
          <cell r="F3904">
            <v>0</v>
          </cell>
          <cell r="G3904">
            <v>0</v>
          </cell>
        </row>
        <row r="3905">
          <cell r="F3905">
            <v>0</v>
          </cell>
          <cell r="G3905">
            <v>0</v>
          </cell>
        </row>
        <row r="3906">
          <cell r="F3906">
            <v>0</v>
          </cell>
          <cell r="G3906">
            <v>0</v>
          </cell>
        </row>
        <row r="3907">
          <cell r="F3907">
            <v>0</v>
          </cell>
          <cell r="G3907">
            <v>0</v>
          </cell>
        </row>
        <row r="3908">
          <cell r="F3908">
            <v>0</v>
          </cell>
          <cell r="G3908">
            <v>0</v>
          </cell>
        </row>
        <row r="3909">
          <cell r="F3909">
            <v>0</v>
          </cell>
          <cell r="G3909">
            <v>0</v>
          </cell>
        </row>
        <row r="3910">
          <cell r="F3910">
            <v>0</v>
          </cell>
          <cell r="G3910">
            <v>0</v>
          </cell>
        </row>
        <row r="3911">
          <cell r="F3911">
            <v>0</v>
          </cell>
          <cell r="G3911">
            <v>0</v>
          </cell>
        </row>
        <row r="3912">
          <cell r="F3912">
            <v>0</v>
          </cell>
          <cell r="G3912">
            <v>0</v>
          </cell>
        </row>
        <row r="3913">
          <cell r="F3913">
            <v>0</v>
          </cell>
          <cell r="G3913">
            <v>0</v>
          </cell>
        </row>
        <row r="3914">
          <cell r="F3914">
            <v>0</v>
          </cell>
          <cell r="G3914">
            <v>0</v>
          </cell>
        </row>
        <row r="3915">
          <cell r="F3915">
            <v>0</v>
          </cell>
          <cell r="G3915">
            <v>0</v>
          </cell>
        </row>
        <row r="3916">
          <cell r="F3916">
            <v>0</v>
          </cell>
          <cell r="G3916">
            <v>0</v>
          </cell>
        </row>
        <row r="3917">
          <cell r="F3917">
            <v>0</v>
          </cell>
          <cell r="G3917">
            <v>0</v>
          </cell>
        </row>
        <row r="3918">
          <cell r="F3918">
            <v>0</v>
          </cell>
          <cell r="G3918">
            <v>0</v>
          </cell>
        </row>
        <row r="3919">
          <cell r="F3919">
            <v>0</v>
          </cell>
          <cell r="G3919">
            <v>0</v>
          </cell>
        </row>
        <row r="3920">
          <cell r="F3920">
            <v>0</v>
          </cell>
          <cell r="G3920">
            <v>0</v>
          </cell>
        </row>
        <row r="3921">
          <cell r="F3921">
            <v>0</v>
          </cell>
          <cell r="G3921">
            <v>0</v>
          </cell>
        </row>
        <row r="3922">
          <cell r="F3922">
            <v>0</v>
          </cell>
          <cell r="G3922">
            <v>0</v>
          </cell>
        </row>
        <row r="3923">
          <cell r="F3923">
            <v>0</v>
          </cell>
          <cell r="G3923">
            <v>0</v>
          </cell>
        </row>
        <row r="3924">
          <cell r="F3924">
            <v>0</v>
          </cell>
          <cell r="G3924">
            <v>0</v>
          </cell>
        </row>
        <row r="3925">
          <cell r="F3925">
            <v>0</v>
          </cell>
          <cell r="G3925">
            <v>0</v>
          </cell>
        </row>
        <row r="3926">
          <cell r="F3926">
            <v>0</v>
          </cell>
          <cell r="G3926">
            <v>0</v>
          </cell>
        </row>
        <row r="3927">
          <cell r="F3927">
            <v>0</v>
          </cell>
          <cell r="G3927">
            <v>0</v>
          </cell>
        </row>
        <row r="3928">
          <cell r="F3928">
            <v>0</v>
          </cell>
          <cell r="G3928">
            <v>0</v>
          </cell>
        </row>
        <row r="3929">
          <cell r="F3929">
            <v>0</v>
          </cell>
          <cell r="G3929">
            <v>0</v>
          </cell>
        </row>
        <row r="3930">
          <cell r="F3930">
            <v>0</v>
          </cell>
          <cell r="G3930">
            <v>0</v>
          </cell>
        </row>
        <row r="3931">
          <cell r="F3931">
            <v>0</v>
          </cell>
          <cell r="G3931">
            <v>0</v>
          </cell>
        </row>
        <row r="3932">
          <cell r="F3932">
            <v>0</v>
          </cell>
          <cell r="G3932">
            <v>0</v>
          </cell>
        </row>
        <row r="3933">
          <cell r="F3933">
            <v>0</v>
          </cell>
          <cell r="G3933">
            <v>0</v>
          </cell>
        </row>
        <row r="3934">
          <cell r="F3934">
            <v>0</v>
          </cell>
          <cell r="G3934">
            <v>0</v>
          </cell>
        </row>
        <row r="3935">
          <cell r="F3935">
            <v>0</v>
          </cell>
          <cell r="G3935">
            <v>0</v>
          </cell>
        </row>
        <row r="3936">
          <cell r="F3936">
            <v>0</v>
          </cell>
          <cell r="G3936">
            <v>0</v>
          </cell>
        </row>
        <row r="3937">
          <cell r="F3937">
            <v>0</v>
          </cell>
          <cell r="G3937">
            <v>0</v>
          </cell>
        </row>
        <row r="3938">
          <cell r="F3938">
            <v>0</v>
          </cell>
          <cell r="G3938">
            <v>0</v>
          </cell>
        </row>
        <row r="3939">
          <cell r="F3939">
            <v>0</v>
          </cell>
          <cell r="G3939">
            <v>0</v>
          </cell>
        </row>
        <row r="3940">
          <cell r="F3940">
            <v>0</v>
          </cell>
          <cell r="G3940">
            <v>0</v>
          </cell>
        </row>
        <row r="3941">
          <cell r="F3941">
            <v>0</v>
          </cell>
          <cell r="G3941">
            <v>0</v>
          </cell>
        </row>
        <row r="3942">
          <cell r="F3942">
            <v>0</v>
          </cell>
          <cell r="G3942">
            <v>0</v>
          </cell>
        </row>
        <row r="3943">
          <cell r="F3943">
            <v>0</v>
          </cell>
          <cell r="G3943">
            <v>0</v>
          </cell>
        </row>
        <row r="3944">
          <cell r="F3944">
            <v>0</v>
          </cell>
          <cell r="G3944">
            <v>0</v>
          </cell>
        </row>
        <row r="3945">
          <cell r="F3945">
            <v>0</v>
          </cell>
          <cell r="G3945">
            <v>0</v>
          </cell>
        </row>
        <row r="3946">
          <cell r="F3946">
            <v>0</v>
          </cell>
          <cell r="G3946">
            <v>0</v>
          </cell>
        </row>
        <row r="3947">
          <cell r="F3947">
            <v>0</v>
          </cell>
          <cell r="G3947">
            <v>0</v>
          </cell>
        </row>
        <row r="3948">
          <cell r="F3948">
            <v>0</v>
          </cell>
          <cell r="G3948">
            <v>0</v>
          </cell>
        </row>
        <row r="3949">
          <cell r="F3949">
            <v>0</v>
          </cell>
          <cell r="G3949">
            <v>0</v>
          </cell>
        </row>
        <row r="3950">
          <cell r="F3950">
            <v>0</v>
          </cell>
          <cell r="G3950">
            <v>0</v>
          </cell>
        </row>
        <row r="3951">
          <cell r="F3951">
            <v>0</v>
          </cell>
          <cell r="G3951">
            <v>0</v>
          </cell>
        </row>
        <row r="3952">
          <cell r="F3952">
            <v>0</v>
          </cell>
          <cell r="G3952">
            <v>0</v>
          </cell>
        </row>
        <row r="3953">
          <cell r="F3953">
            <v>0</v>
          </cell>
          <cell r="G3953">
            <v>0</v>
          </cell>
        </row>
        <row r="3954">
          <cell r="F3954">
            <v>0</v>
          </cell>
          <cell r="G3954">
            <v>0</v>
          </cell>
        </row>
        <row r="3955">
          <cell r="F3955">
            <v>0</v>
          </cell>
          <cell r="G3955">
            <v>0</v>
          </cell>
        </row>
        <row r="3956">
          <cell r="F3956">
            <v>0</v>
          </cell>
          <cell r="G3956">
            <v>0</v>
          </cell>
        </row>
        <row r="3957">
          <cell r="F3957">
            <v>0</v>
          </cell>
          <cell r="G3957">
            <v>0</v>
          </cell>
        </row>
        <row r="3958">
          <cell r="F3958">
            <v>0</v>
          </cell>
          <cell r="G3958">
            <v>0</v>
          </cell>
        </row>
        <row r="3959">
          <cell r="F3959">
            <v>0</v>
          </cell>
          <cell r="G3959">
            <v>0</v>
          </cell>
        </row>
        <row r="3960">
          <cell r="F3960">
            <v>0</v>
          </cell>
          <cell r="G3960">
            <v>0</v>
          </cell>
        </row>
        <row r="3961">
          <cell r="F3961">
            <v>0</v>
          </cell>
          <cell r="G3961">
            <v>0</v>
          </cell>
        </row>
        <row r="3962">
          <cell r="F3962">
            <v>0</v>
          </cell>
          <cell r="G3962">
            <v>0</v>
          </cell>
        </row>
        <row r="3963">
          <cell r="F3963">
            <v>0</v>
          </cell>
          <cell r="G3963">
            <v>0</v>
          </cell>
        </row>
        <row r="3964">
          <cell r="F3964">
            <v>0</v>
          </cell>
          <cell r="G3964">
            <v>0</v>
          </cell>
        </row>
        <row r="3965">
          <cell r="F3965">
            <v>0</v>
          </cell>
          <cell r="G3965">
            <v>0</v>
          </cell>
        </row>
        <row r="3966">
          <cell r="F3966">
            <v>0</v>
          </cell>
          <cell r="G3966">
            <v>0</v>
          </cell>
        </row>
        <row r="3967">
          <cell r="F3967">
            <v>0</v>
          </cell>
          <cell r="G3967">
            <v>0</v>
          </cell>
        </row>
        <row r="3968">
          <cell r="F3968">
            <v>0</v>
          </cell>
          <cell r="G3968">
            <v>0</v>
          </cell>
        </row>
        <row r="3969">
          <cell r="F3969">
            <v>0</v>
          </cell>
          <cell r="G3969">
            <v>0</v>
          </cell>
        </row>
        <row r="3970">
          <cell r="F3970">
            <v>0</v>
          </cell>
          <cell r="G3970">
            <v>0</v>
          </cell>
        </row>
        <row r="3971">
          <cell r="F3971">
            <v>0</v>
          </cell>
          <cell r="G3971">
            <v>0</v>
          </cell>
        </row>
        <row r="3972">
          <cell r="F3972">
            <v>0</v>
          </cell>
          <cell r="G3972">
            <v>0</v>
          </cell>
        </row>
        <row r="3973">
          <cell r="F3973">
            <v>0</v>
          </cell>
          <cell r="G3973">
            <v>0</v>
          </cell>
        </row>
        <row r="3974">
          <cell r="F3974">
            <v>0</v>
          </cell>
          <cell r="G3974">
            <v>0</v>
          </cell>
        </row>
        <row r="3975">
          <cell r="F3975">
            <v>0</v>
          </cell>
          <cell r="G3975">
            <v>0</v>
          </cell>
        </row>
        <row r="3976">
          <cell r="F3976">
            <v>0</v>
          </cell>
          <cell r="G3976">
            <v>0</v>
          </cell>
        </row>
        <row r="3977">
          <cell r="F3977">
            <v>0</v>
          </cell>
          <cell r="G3977">
            <v>0</v>
          </cell>
        </row>
        <row r="3978">
          <cell r="F3978">
            <v>0</v>
          </cell>
          <cell r="G3978">
            <v>0</v>
          </cell>
        </row>
        <row r="3979">
          <cell r="F3979">
            <v>0</v>
          </cell>
          <cell r="G3979">
            <v>0</v>
          </cell>
        </row>
        <row r="3980">
          <cell r="F3980">
            <v>0</v>
          </cell>
          <cell r="G3980">
            <v>0</v>
          </cell>
        </row>
        <row r="3981">
          <cell r="F3981">
            <v>0</v>
          </cell>
          <cell r="G3981">
            <v>0</v>
          </cell>
        </row>
        <row r="3982">
          <cell r="F3982">
            <v>0</v>
          </cell>
          <cell r="G3982">
            <v>0</v>
          </cell>
        </row>
        <row r="3983">
          <cell r="F3983">
            <v>0</v>
          </cell>
          <cell r="G3983">
            <v>0</v>
          </cell>
        </row>
        <row r="3984">
          <cell r="F3984">
            <v>0</v>
          </cell>
          <cell r="G3984">
            <v>0</v>
          </cell>
        </row>
        <row r="3985">
          <cell r="F3985">
            <v>0</v>
          </cell>
          <cell r="G3985">
            <v>0</v>
          </cell>
        </row>
        <row r="3986">
          <cell r="F3986">
            <v>0</v>
          </cell>
          <cell r="G3986">
            <v>0</v>
          </cell>
        </row>
        <row r="3987">
          <cell r="F3987">
            <v>0</v>
          </cell>
          <cell r="G3987">
            <v>0</v>
          </cell>
        </row>
        <row r="3988">
          <cell r="F3988">
            <v>0</v>
          </cell>
          <cell r="G3988">
            <v>0</v>
          </cell>
        </row>
        <row r="3989">
          <cell r="F3989">
            <v>0</v>
          </cell>
          <cell r="G3989">
            <v>0</v>
          </cell>
        </row>
        <row r="3990">
          <cell r="F3990">
            <v>0</v>
          </cell>
          <cell r="G3990">
            <v>0</v>
          </cell>
        </row>
        <row r="3991">
          <cell r="F3991">
            <v>0</v>
          </cell>
          <cell r="G3991">
            <v>0</v>
          </cell>
        </row>
        <row r="3992">
          <cell r="F3992">
            <v>0</v>
          </cell>
          <cell r="G3992">
            <v>0</v>
          </cell>
        </row>
        <row r="3993">
          <cell r="F3993">
            <v>0</v>
          </cell>
          <cell r="G3993">
            <v>0</v>
          </cell>
        </row>
        <row r="3994">
          <cell r="F3994">
            <v>0</v>
          </cell>
          <cell r="G3994">
            <v>0</v>
          </cell>
        </row>
        <row r="3995">
          <cell r="F3995">
            <v>0</v>
          </cell>
          <cell r="G3995">
            <v>0</v>
          </cell>
        </row>
        <row r="3996">
          <cell r="F3996">
            <v>0</v>
          </cell>
          <cell r="G3996">
            <v>0</v>
          </cell>
        </row>
        <row r="3997">
          <cell r="F3997">
            <v>0</v>
          </cell>
          <cell r="G3997">
            <v>0</v>
          </cell>
        </row>
        <row r="3998">
          <cell r="F3998">
            <v>0</v>
          </cell>
          <cell r="G3998">
            <v>0</v>
          </cell>
        </row>
        <row r="3999">
          <cell r="F3999">
            <v>0</v>
          </cell>
          <cell r="G3999">
            <v>0</v>
          </cell>
        </row>
        <row r="4000">
          <cell r="F4000">
            <v>0</v>
          </cell>
          <cell r="G4000">
            <v>0</v>
          </cell>
        </row>
        <row r="4001">
          <cell r="F4001">
            <v>0</v>
          </cell>
          <cell r="G4001">
            <v>0</v>
          </cell>
        </row>
        <row r="4002">
          <cell r="F4002">
            <v>0</v>
          </cell>
          <cell r="G4002">
            <v>0</v>
          </cell>
        </row>
        <row r="4003">
          <cell r="F4003">
            <v>0</v>
          </cell>
          <cell r="G4003">
            <v>0</v>
          </cell>
        </row>
        <row r="4004">
          <cell r="F4004">
            <v>0</v>
          </cell>
          <cell r="G4004">
            <v>0</v>
          </cell>
        </row>
        <row r="4005">
          <cell r="F4005">
            <v>0</v>
          </cell>
          <cell r="G4005">
            <v>0</v>
          </cell>
        </row>
        <row r="4006">
          <cell r="F4006">
            <v>0</v>
          </cell>
          <cell r="G4006">
            <v>0</v>
          </cell>
        </row>
        <row r="4007">
          <cell r="F4007">
            <v>0</v>
          </cell>
          <cell r="G4007">
            <v>0</v>
          </cell>
        </row>
        <row r="4008">
          <cell r="F4008">
            <v>0</v>
          </cell>
          <cell r="G4008">
            <v>0</v>
          </cell>
        </row>
        <row r="4009">
          <cell r="F4009">
            <v>0</v>
          </cell>
          <cell r="G4009">
            <v>0</v>
          </cell>
        </row>
        <row r="4010">
          <cell r="F4010">
            <v>0</v>
          </cell>
          <cell r="G4010">
            <v>0</v>
          </cell>
        </row>
        <row r="4011">
          <cell r="F4011">
            <v>0</v>
          </cell>
          <cell r="G4011">
            <v>0</v>
          </cell>
        </row>
        <row r="4012">
          <cell r="F4012">
            <v>0</v>
          </cell>
          <cell r="G4012">
            <v>0</v>
          </cell>
        </row>
        <row r="4013">
          <cell r="F4013">
            <v>0</v>
          </cell>
          <cell r="G4013">
            <v>0</v>
          </cell>
        </row>
        <row r="4014">
          <cell r="F4014">
            <v>0</v>
          </cell>
          <cell r="G4014">
            <v>0</v>
          </cell>
        </row>
        <row r="4015">
          <cell r="F4015">
            <v>0</v>
          </cell>
          <cell r="G4015">
            <v>0</v>
          </cell>
        </row>
        <row r="4016">
          <cell r="F4016">
            <v>0</v>
          </cell>
          <cell r="G4016">
            <v>0</v>
          </cell>
        </row>
        <row r="4017">
          <cell r="F4017">
            <v>0</v>
          </cell>
          <cell r="G4017">
            <v>0</v>
          </cell>
        </row>
        <row r="4018">
          <cell r="F4018">
            <v>0</v>
          </cell>
          <cell r="G4018">
            <v>0</v>
          </cell>
        </row>
        <row r="4019">
          <cell r="F4019">
            <v>0</v>
          </cell>
          <cell r="G4019">
            <v>0</v>
          </cell>
        </row>
        <row r="4020">
          <cell r="F4020">
            <v>0</v>
          </cell>
          <cell r="G4020">
            <v>0</v>
          </cell>
        </row>
        <row r="4021">
          <cell r="F4021">
            <v>0</v>
          </cell>
          <cell r="G4021">
            <v>0</v>
          </cell>
        </row>
        <row r="4022">
          <cell r="F4022">
            <v>0</v>
          </cell>
          <cell r="G4022">
            <v>0</v>
          </cell>
        </row>
        <row r="4023">
          <cell r="F4023">
            <v>0</v>
          </cell>
          <cell r="G4023">
            <v>0</v>
          </cell>
        </row>
        <row r="4024">
          <cell r="F4024">
            <v>0</v>
          </cell>
          <cell r="G4024">
            <v>0</v>
          </cell>
        </row>
        <row r="4025">
          <cell r="F4025">
            <v>0</v>
          </cell>
          <cell r="G4025">
            <v>0</v>
          </cell>
        </row>
        <row r="4026">
          <cell r="F4026">
            <v>0</v>
          </cell>
          <cell r="G4026">
            <v>0</v>
          </cell>
        </row>
        <row r="4027">
          <cell r="F4027">
            <v>0</v>
          </cell>
          <cell r="G4027">
            <v>0</v>
          </cell>
        </row>
        <row r="4028">
          <cell r="F4028">
            <v>0</v>
          </cell>
          <cell r="G4028">
            <v>0</v>
          </cell>
        </row>
        <row r="4029">
          <cell r="F4029">
            <v>0</v>
          </cell>
          <cell r="G4029">
            <v>0</v>
          </cell>
        </row>
        <row r="4030">
          <cell r="F4030">
            <v>0</v>
          </cell>
          <cell r="G4030">
            <v>0</v>
          </cell>
        </row>
        <row r="4031">
          <cell r="F4031">
            <v>0</v>
          </cell>
          <cell r="G4031">
            <v>0</v>
          </cell>
        </row>
        <row r="4032">
          <cell r="F4032">
            <v>0</v>
          </cell>
          <cell r="G4032">
            <v>0</v>
          </cell>
        </row>
        <row r="4033">
          <cell r="F4033">
            <v>0</v>
          </cell>
          <cell r="G4033">
            <v>0</v>
          </cell>
        </row>
        <row r="4034">
          <cell r="F4034">
            <v>0</v>
          </cell>
          <cell r="G4034">
            <v>0</v>
          </cell>
        </row>
        <row r="4035">
          <cell r="F4035">
            <v>0</v>
          </cell>
          <cell r="G4035">
            <v>0</v>
          </cell>
        </row>
        <row r="4036">
          <cell r="F4036">
            <v>0</v>
          </cell>
          <cell r="G4036">
            <v>0</v>
          </cell>
        </row>
        <row r="4037">
          <cell r="F4037">
            <v>0</v>
          </cell>
          <cell r="G4037">
            <v>0</v>
          </cell>
        </row>
        <row r="4038">
          <cell r="F4038">
            <v>0</v>
          </cell>
          <cell r="G4038">
            <v>0</v>
          </cell>
        </row>
        <row r="4039">
          <cell r="F4039">
            <v>0</v>
          </cell>
          <cell r="G4039">
            <v>0</v>
          </cell>
        </row>
        <row r="4040">
          <cell r="F4040">
            <v>0</v>
          </cell>
          <cell r="G4040">
            <v>0</v>
          </cell>
        </row>
        <row r="4041">
          <cell r="F4041">
            <v>0</v>
          </cell>
          <cell r="G4041">
            <v>0</v>
          </cell>
        </row>
        <row r="4042">
          <cell r="F4042">
            <v>0</v>
          </cell>
          <cell r="G4042">
            <v>0</v>
          </cell>
        </row>
        <row r="4043">
          <cell r="F4043">
            <v>0</v>
          </cell>
          <cell r="G4043">
            <v>0</v>
          </cell>
        </row>
        <row r="4044">
          <cell r="F4044">
            <v>0</v>
          </cell>
          <cell r="G4044">
            <v>0</v>
          </cell>
        </row>
        <row r="4045">
          <cell r="F4045">
            <v>0</v>
          </cell>
          <cell r="G4045">
            <v>0</v>
          </cell>
        </row>
        <row r="4046">
          <cell r="F4046">
            <v>0</v>
          </cell>
          <cell r="G4046">
            <v>0</v>
          </cell>
        </row>
        <row r="4047">
          <cell r="F4047">
            <v>0</v>
          </cell>
          <cell r="G4047">
            <v>0</v>
          </cell>
        </row>
        <row r="4048">
          <cell r="F4048">
            <v>0</v>
          </cell>
          <cell r="G4048">
            <v>0</v>
          </cell>
        </row>
        <row r="4049">
          <cell r="F4049">
            <v>0</v>
          </cell>
          <cell r="G4049">
            <v>0</v>
          </cell>
        </row>
        <row r="4050">
          <cell r="F4050">
            <v>0</v>
          </cell>
          <cell r="G4050">
            <v>0</v>
          </cell>
        </row>
        <row r="4051">
          <cell r="F4051">
            <v>0</v>
          </cell>
          <cell r="G4051">
            <v>0</v>
          </cell>
        </row>
        <row r="4052">
          <cell r="F4052">
            <v>0</v>
          </cell>
          <cell r="G4052">
            <v>0</v>
          </cell>
        </row>
        <row r="4053">
          <cell r="F4053">
            <v>0</v>
          </cell>
          <cell r="G4053">
            <v>0</v>
          </cell>
        </row>
        <row r="4054">
          <cell r="F4054">
            <v>0</v>
          </cell>
          <cell r="G4054">
            <v>0</v>
          </cell>
        </row>
        <row r="4055">
          <cell r="F4055">
            <v>0</v>
          </cell>
          <cell r="G4055">
            <v>0</v>
          </cell>
        </row>
        <row r="4056">
          <cell r="F4056">
            <v>0</v>
          </cell>
          <cell r="G4056">
            <v>0</v>
          </cell>
        </row>
        <row r="4057">
          <cell r="F4057">
            <v>0</v>
          </cell>
          <cell r="G4057">
            <v>0</v>
          </cell>
        </row>
        <row r="4058">
          <cell r="F4058">
            <v>0</v>
          </cell>
          <cell r="G4058">
            <v>0</v>
          </cell>
        </row>
        <row r="4059">
          <cell r="F4059">
            <v>0</v>
          </cell>
          <cell r="G4059">
            <v>0</v>
          </cell>
        </row>
        <row r="4060">
          <cell r="F4060">
            <v>0</v>
          </cell>
          <cell r="G4060">
            <v>0</v>
          </cell>
        </row>
        <row r="4061">
          <cell r="F4061">
            <v>0</v>
          </cell>
          <cell r="G4061">
            <v>0</v>
          </cell>
        </row>
        <row r="4062">
          <cell r="F4062">
            <v>0</v>
          </cell>
          <cell r="G4062">
            <v>0</v>
          </cell>
        </row>
        <row r="4063">
          <cell r="F4063">
            <v>0</v>
          </cell>
          <cell r="G4063">
            <v>0</v>
          </cell>
        </row>
        <row r="4064">
          <cell r="F4064">
            <v>0</v>
          </cell>
          <cell r="G4064">
            <v>0</v>
          </cell>
        </row>
        <row r="4065">
          <cell r="F4065">
            <v>0</v>
          </cell>
          <cell r="G4065">
            <v>0</v>
          </cell>
        </row>
        <row r="4066">
          <cell r="F4066">
            <v>0</v>
          </cell>
          <cell r="G4066">
            <v>0</v>
          </cell>
        </row>
        <row r="4067">
          <cell r="F4067">
            <v>0</v>
          </cell>
          <cell r="G4067">
            <v>0</v>
          </cell>
        </row>
        <row r="4068">
          <cell r="F4068">
            <v>0</v>
          </cell>
          <cell r="G4068">
            <v>0</v>
          </cell>
        </row>
        <row r="4069">
          <cell r="F4069">
            <v>0</v>
          </cell>
          <cell r="G4069">
            <v>0</v>
          </cell>
        </row>
        <row r="4070">
          <cell r="F4070">
            <v>0</v>
          </cell>
          <cell r="G4070">
            <v>0</v>
          </cell>
        </row>
        <row r="4071">
          <cell r="F4071">
            <v>0</v>
          </cell>
          <cell r="G4071">
            <v>0</v>
          </cell>
        </row>
        <row r="4072">
          <cell r="F4072">
            <v>0</v>
          </cell>
          <cell r="G4072">
            <v>0</v>
          </cell>
        </row>
        <row r="4073">
          <cell r="F4073">
            <v>0</v>
          </cell>
          <cell r="G4073">
            <v>0</v>
          </cell>
        </row>
        <row r="4074">
          <cell r="F4074">
            <v>0</v>
          </cell>
          <cell r="G4074">
            <v>0</v>
          </cell>
        </row>
        <row r="4075">
          <cell r="F4075">
            <v>0</v>
          </cell>
          <cell r="G4075">
            <v>0</v>
          </cell>
        </row>
        <row r="4076">
          <cell r="F4076">
            <v>0</v>
          </cell>
          <cell r="G4076">
            <v>0</v>
          </cell>
        </row>
        <row r="4077">
          <cell r="F4077">
            <v>0</v>
          </cell>
          <cell r="G4077">
            <v>0</v>
          </cell>
        </row>
        <row r="4078">
          <cell r="F4078">
            <v>0</v>
          </cell>
          <cell r="G4078">
            <v>0</v>
          </cell>
        </row>
        <row r="4079">
          <cell r="F4079">
            <v>0</v>
          </cell>
          <cell r="G4079">
            <v>0</v>
          </cell>
        </row>
        <row r="4080">
          <cell r="F4080">
            <v>0</v>
          </cell>
          <cell r="G4080">
            <v>0</v>
          </cell>
        </row>
        <row r="4081">
          <cell r="F4081">
            <v>0</v>
          </cell>
          <cell r="G4081">
            <v>0</v>
          </cell>
        </row>
        <row r="4082">
          <cell r="F4082">
            <v>0</v>
          </cell>
          <cell r="G4082">
            <v>0</v>
          </cell>
        </row>
        <row r="4083">
          <cell r="F4083">
            <v>0</v>
          </cell>
          <cell r="G4083">
            <v>0</v>
          </cell>
        </row>
        <row r="4084">
          <cell r="F4084">
            <v>0</v>
          </cell>
          <cell r="G4084">
            <v>0</v>
          </cell>
        </row>
        <row r="4085">
          <cell r="F4085">
            <v>0</v>
          </cell>
          <cell r="G4085">
            <v>0</v>
          </cell>
        </row>
        <row r="4086">
          <cell r="F4086">
            <v>0</v>
          </cell>
          <cell r="G4086">
            <v>0</v>
          </cell>
        </row>
        <row r="4087">
          <cell r="F4087">
            <v>0</v>
          </cell>
          <cell r="G4087">
            <v>0</v>
          </cell>
        </row>
        <row r="4088">
          <cell r="F4088">
            <v>0</v>
          </cell>
          <cell r="G4088">
            <v>0</v>
          </cell>
        </row>
        <row r="4089">
          <cell r="F4089">
            <v>0</v>
          </cell>
          <cell r="G4089">
            <v>0</v>
          </cell>
        </row>
        <row r="4090">
          <cell r="F4090">
            <v>0</v>
          </cell>
          <cell r="G4090">
            <v>0</v>
          </cell>
        </row>
        <row r="4091">
          <cell r="F4091">
            <v>0</v>
          </cell>
          <cell r="G4091">
            <v>0</v>
          </cell>
        </row>
        <row r="4092">
          <cell r="F4092">
            <v>0</v>
          </cell>
          <cell r="G4092">
            <v>0</v>
          </cell>
        </row>
        <row r="4093">
          <cell r="F4093">
            <v>0</v>
          </cell>
          <cell r="G4093">
            <v>0</v>
          </cell>
        </row>
        <row r="4094">
          <cell r="F4094">
            <v>0</v>
          </cell>
          <cell r="G4094">
            <v>0</v>
          </cell>
        </row>
        <row r="4095">
          <cell r="F4095">
            <v>0</v>
          </cell>
          <cell r="G4095">
            <v>0</v>
          </cell>
        </row>
        <row r="4096">
          <cell r="F4096">
            <v>0</v>
          </cell>
          <cell r="G4096">
            <v>0</v>
          </cell>
        </row>
        <row r="4097">
          <cell r="F4097">
            <v>0</v>
          </cell>
          <cell r="G4097">
            <v>0</v>
          </cell>
        </row>
        <row r="4098">
          <cell r="F4098">
            <v>0</v>
          </cell>
          <cell r="G4098">
            <v>0</v>
          </cell>
        </row>
        <row r="4099">
          <cell r="F4099">
            <v>0</v>
          </cell>
          <cell r="G4099">
            <v>0</v>
          </cell>
        </row>
        <row r="4100">
          <cell r="F4100">
            <v>0</v>
          </cell>
          <cell r="G4100">
            <v>0</v>
          </cell>
        </row>
        <row r="4101">
          <cell r="F4101">
            <v>0</v>
          </cell>
          <cell r="G4101">
            <v>0</v>
          </cell>
        </row>
        <row r="4102">
          <cell r="F4102">
            <v>0</v>
          </cell>
          <cell r="G4102">
            <v>0</v>
          </cell>
        </row>
        <row r="4103">
          <cell r="F4103">
            <v>0</v>
          </cell>
          <cell r="G4103">
            <v>0</v>
          </cell>
        </row>
        <row r="4104">
          <cell r="F4104">
            <v>0</v>
          </cell>
          <cell r="G4104">
            <v>0</v>
          </cell>
        </row>
        <row r="4105">
          <cell r="F4105">
            <v>0</v>
          </cell>
          <cell r="G4105">
            <v>0</v>
          </cell>
        </row>
        <row r="4106">
          <cell r="F4106">
            <v>0</v>
          </cell>
          <cell r="G4106">
            <v>0</v>
          </cell>
        </row>
        <row r="4107">
          <cell r="F4107">
            <v>0</v>
          </cell>
          <cell r="G4107">
            <v>0</v>
          </cell>
        </row>
        <row r="4108">
          <cell r="F4108">
            <v>0</v>
          </cell>
          <cell r="G4108">
            <v>0</v>
          </cell>
        </row>
        <row r="4109">
          <cell r="F4109">
            <v>0</v>
          </cell>
          <cell r="G4109">
            <v>0</v>
          </cell>
        </row>
        <row r="4110">
          <cell r="F4110">
            <v>0</v>
          </cell>
          <cell r="G4110">
            <v>0</v>
          </cell>
        </row>
        <row r="4111">
          <cell r="F4111">
            <v>0</v>
          </cell>
          <cell r="G4111">
            <v>0</v>
          </cell>
        </row>
        <row r="4112">
          <cell r="F4112">
            <v>0</v>
          </cell>
          <cell r="G4112">
            <v>0</v>
          </cell>
        </row>
        <row r="4113">
          <cell r="F4113">
            <v>0</v>
          </cell>
          <cell r="G4113">
            <v>0</v>
          </cell>
        </row>
        <row r="4114">
          <cell r="F4114">
            <v>0</v>
          </cell>
          <cell r="G4114">
            <v>0</v>
          </cell>
        </row>
        <row r="4115">
          <cell r="F4115">
            <v>0</v>
          </cell>
          <cell r="G4115">
            <v>0</v>
          </cell>
        </row>
        <row r="4116">
          <cell r="F4116">
            <v>0</v>
          </cell>
          <cell r="G4116">
            <v>0</v>
          </cell>
        </row>
        <row r="4117">
          <cell r="F4117">
            <v>0</v>
          </cell>
          <cell r="G4117">
            <v>0</v>
          </cell>
        </row>
        <row r="4118">
          <cell r="F4118">
            <v>0</v>
          </cell>
          <cell r="G4118">
            <v>0</v>
          </cell>
        </row>
        <row r="4119">
          <cell r="F4119">
            <v>0</v>
          </cell>
          <cell r="G4119">
            <v>0</v>
          </cell>
        </row>
        <row r="4120">
          <cell r="F4120">
            <v>0</v>
          </cell>
          <cell r="G4120">
            <v>0</v>
          </cell>
        </row>
        <row r="4121">
          <cell r="F4121">
            <v>0</v>
          </cell>
          <cell r="G4121">
            <v>0</v>
          </cell>
        </row>
        <row r="4122">
          <cell r="F4122">
            <v>0</v>
          </cell>
          <cell r="G4122">
            <v>0</v>
          </cell>
        </row>
        <row r="4123">
          <cell r="F4123">
            <v>0</v>
          </cell>
          <cell r="G4123">
            <v>0</v>
          </cell>
        </row>
        <row r="4124">
          <cell r="F4124">
            <v>0</v>
          </cell>
          <cell r="G4124">
            <v>0</v>
          </cell>
        </row>
        <row r="4125">
          <cell r="F4125">
            <v>0</v>
          </cell>
          <cell r="G4125">
            <v>0</v>
          </cell>
        </row>
        <row r="4126">
          <cell r="F4126">
            <v>0</v>
          </cell>
          <cell r="G4126">
            <v>0</v>
          </cell>
        </row>
        <row r="4127">
          <cell r="F4127">
            <v>0</v>
          </cell>
          <cell r="G4127">
            <v>0</v>
          </cell>
        </row>
        <row r="4128">
          <cell r="F4128">
            <v>0</v>
          </cell>
          <cell r="G4128">
            <v>0</v>
          </cell>
        </row>
        <row r="4129">
          <cell r="F4129">
            <v>0</v>
          </cell>
          <cell r="G4129">
            <v>0</v>
          </cell>
        </row>
        <row r="4130">
          <cell r="F4130">
            <v>0</v>
          </cell>
          <cell r="G4130">
            <v>0</v>
          </cell>
        </row>
        <row r="4131">
          <cell r="F4131">
            <v>0</v>
          </cell>
          <cell r="G4131">
            <v>0</v>
          </cell>
        </row>
        <row r="4132">
          <cell r="F4132">
            <v>0</v>
          </cell>
          <cell r="G4132">
            <v>0</v>
          </cell>
        </row>
        <row r="4133">
          <cell r="F4133">
            <v>0</v>
          </cell>
          <cell r="G4133">
            <v>0</v>
          </cell>
        </row>
        <row r="4134">
          <cell r="F4134">
            <v>0</v>
          </cell>
          <cell r="G4134">
            <v>0</v>
          </cell>
        </row>
        <row r="4135">
          <cell r="F4135">
            <v>0</v>
          </cell>
          <cell r="G4135">
            <v>0</v>
          </cell>
        </row>
        <row r="4136">
          <cell r="F4136">
            <v>0</v>
          </cell>
          <cell r="G4136">
            <v>0</v>
          </cell>
        </row>
        <row r="4137">
          <cell r="F4137">
            <v>0</v>
          </cell>
          <cell r="G4137">
            <v>0</v>
          </cell>
        </row>
        <row r="4138">
          <cell r="F4138">
            <v>0</v>
          </cell>
          <cell r="G4138">
            <v>0</v>
          </cell>
        </row>
        <row r="4139">
          <cell r="F4139">
            <v>0</v>
          </cell>
          <cell r="G4139">
            <v>0</v>
          </cell>
        </row>
        <row r="4140">
          <cell r="F4140">
            <v>0</v>
          </cell>
          <cell r="G4140">
            <v>0</v>
          </cell>
        </row>
        <row r="4141">
          <cell r="F4141">
            <v>0</v>
          </cell>
          <cell r="G4141">
            <v>0</v>
          </cell>
        </row>
        <row r="4142">
          <cell r="F4142">
            <v>0</v>
          </cell>
          <cell r="G4142">
            <v>0</v>
          </cell>
        </row>
        <row r="4143">
          <cell r="F4143">
            <v>0</v>
          </cell>
          <cell r="G4143">
            <v>0</v>
          </cell>
        </row>
        <row r="4144">
          <cell r="F4144">
            <v>0</v>
          </cell>
          <cell r="G4144">
            <v>0</v>
          </cell>
        </row>
        <row r="4145">
          <cell r="F4145">
            <v>0</v>
          </cell>
          <cell r="G4145">
            <v>0</v>
          </cell>
        </row>
        <row r="4146">
          <cell r="F4146">
            <v>0</v>
          </cell>
          <cell r="G4146">
            <v>0</v>
          </cell>
        </row>
        <row r="4147">
          <cell r="F4147">
            <v>0</v>
          </cell>
          <cell r="G4147">
            <v>0</v>
          </cell>
        </row>
        <row r="4148">
          <cell r="F4148">
            <v>0</v>
          </cell>
          <cell r="G4148">
            <v>0</v>
          </cell>
        </row>
        <row r="4149">
          <cell r="F4149">
            <v>0</v>
          </cell>
          <cell r="G4149">
            <v>0</v>
          </cell>
        </row>
        <row r="4150">
          <cell r="F4150">
            <v>0</v>
          </cell>
          <cell r="G4150">
            <v>0</v>
          </cell>
        </row>
        <row r="4151">
          <cell r="F4151">
            <v>0</v>
          </cell>
          <cell r="G4151">
            <v>0</v>
          </cell>
        </row>
        <row r="4152">
          <cell r="F4152">
            <v>0</v>
          </cell>
          <cell r="G4152">
            <v>0</v>
          </cell>
        </row>
        <row r="4153">
          <cell r="F4153">
            <v>0</v>
          </cell>
          <cell r="G4153">
            <v>0</v>
          </cell>
        </row>
        <row r="4154">
          <cell r="F4154">
            <v>0</v>
          </cell>
          <cell r="G4154">
            <v>0</v>
          </cell>
        </row>
        <row r="4155">
          <cell r="F4155">
            <v>0</v>
          </cell>
          <cell r="G4155">
            <v>0</v>
          </cell>
        </row>
        <row r="4156">
          <cell r="F4156">
            <v>0</v>
          </cell>
          <cell r="G4156">
            <v>0</v>
          </cell>
        </row>
        <row r="4157">
          <cell r="F4157">
            <v>0</v>
          </cell>
          <cell r="G4157">
            <v>0</v>
          </cell>
        </row>
        <row r="4158">
          <cell r="F4158">
            <v>0</v>
          </cell>
          <cell r="G4158">
            <v>0</v>
          </cell>
        </row>
        <row r="4159">
          <cell r="F4159">
            <v>0</v>
          </cell>
          <cell r="G4159">
            <v>0</v>
          </cell>
        </row>
        <row r="4160">
          <cell r="F4160">
            <v>0</v>
          </cell>
          <cell r="G4160">
            <v>0</v>
          </cell>
        </row>
        <row r="4161">
          <cell r="F4161">
            <v>0</v>
          </cell>
          <cell r="G4161">
            <v>0</v>
          </cell>
        </row>
        <row r="4162">
          <cell r="F4162">
            <v>0</v>
          </cell>
          <cell r="G4162">
            <v>0</v>
          </cell>
        </row>
        <row r="4163">
          <cell r="F4163">
            <v>0</v>
          </cell>
          <cell r="G4163">
            <v>0</v>
          </cell>
        </row>
        <row r="4164">
          <cell r="F4164">
            <v>0</v>
          </cell>
          <cell r="G4164">
            <v>0</v>
          </cell>
        </row>
        <row r="4165">
          <cell r="F4165">
            <v>0</v>
          </cell>
          <cell r="G4165">
            <v>0</v>
          </cell>
        </row>
        <row r="4166">
          <cell r="F4166">
            <v>0</v>
          </cell>
          <cell r="G4166">
            <v>0</v>
          </cell>
        </row>
        <row r="4167">
          <cell r="F4167">
            <v>0</v>
          </cell>
          <cell r="G4167">
            <v>0</v>
          </cell>
        </row>
        <row r="4168">
          <cell r="F4168">
            <v>0</v>
          </cell>
          <cell r="G4168">
            <v>0</v>
          </cell>
        </row>
        <row r="4169">
          <cell r="F4169">
            <v>0</v>
          </cell>
          <cell r="G4169">
            <v>0</v>
          </cell>
        </row>
        <row r="4170">
          <cell r="F4170">
            <v>0</v>
          </cell>
          <cell r="G4170">
            <v>0</v>
          </cell>
        </row>
        <row r="4171">
          <cell r="F4171">
            <v>0</v>
          </cell>
          <cell r="G4171">
            <v>0</v>
          </cell>
        </row>
        <row r="4172">
          <cell r="F4172">
            <v>0</v>
          </cell>
          <cell r="G4172">
            <v>0</v>
          </cell>
        </row>
        <row r="4173">
          <cell r="F4173">
            <v>0</v>
          </cell>
          <cell r="G4173">
            <v>0</v>
          </cell>
        </row>
        <row r="4174">
          <cell r="F4174">
            <v>0</v>
          </cell>
          <cell r="G4174">
            <v>0</v>
          </cell>
        </row>
        <row r="4175">
          <cell r="F4175">
            <v>0</v>
          </cell>
          <cell r="G4175">
            <v>0</v>
          </cell>
        </row>
        <row r="4176">
          <cell r="F4176">
            <v>0</v>
          </cell>
          <cell r="G4176">
            <v>0</v>
          </cell>
        </row>
        <row r="4177">
          <cell r="F4177">
            <v>0</v>
          </cell>
          <cell r="G4177">
            <v>0</v>
          </cell>
        </row>
        <row r="4178">
          <cell r="F4178">
            <v>0</v>
          </cell>
          <cell r="G4178">
            <v>0</v>
          </cell>
        </row>
        <row r="4179">
          <cell r="F4179">
            <v>0</v>
          </cell>
          <cell r="G4179">
            <v>0</v>
          </cell>
        </row>
        <row r="4180">
          <cell r="F4180">
            <v>0</v>
          </cell>
          <cell r="G4180">
            <v>0</v>
          </cell>
        </row>
        <row r="4181">
          <cell r="F4181">
            <v>0</v>
          </cell>
          <cell r="G4181">
            <v>0</v>
          </cell>
        </row>
        <row r="4182">
          <cell r="F4182">
            <v>0</v>
          </cell>
          <cell r="G4182">
            <v>0</v>
          </cell>
        </row>
        <row r="4183">
          <cell r="F4183">
            <v>0</v>
          </cell>
          <cell r="G4183">
            <v>0</v>
          </cell>
        </row>
        <row r="4184">
          <cell r="F4184">
            <v>0</v>
          </cell>
          <cell r="G4184">
            <v>0</v>
          </cell>
        </row>
        <row r="4185">
          <cell r="F4185">
            <v>0</v>
          </cell>
          <cell r="G4185">
            <v>0</v>
          </cell>
        </row>
        <row r="4186">
          <cell r="F4186">
            <v>0</v>
          </cell>
          <cell r="G4186">
            <v>0</v>
          </cell>
        </row>
        <row r="4187">
          <cell r="F4187">
            <v>0</v>
          </cell>
          <cell r="G4187">
            <v>0</v>
          </cell>
        </row>
        <row r="4188">
          <cell r="F4188">
            <v>0</v>
          </cell>
          <cell r="G4188">
            <v>0</v>
          </cell>
        </row>
        <row r="4189">
          <cell r="F4189">
            <v>0</v>
          </cell>
          <cell r="G4189">
            <v>0</v>
          </cell>
        </row>
        <row r="4190">
          <cell r="F4190">
            <v>0</v>
          </cell>
          <cell r="G4190">
            <v>0</v>
          </cell>
        </row>
        <row r="4191">
          <cell r="F4191">
            <v>0</v>
          </cell>
          <cell r="G4191">
            <v>0</v>
          </cell>
        </row>
        <row r="4192">
          <cell r="F4192">
            <v>0</v>
          </cell>
          <cell r="G4192">
            <v>0</v>
          </cell>
        </row>
        <row r="4193">
          <cell r="F4193">
            <v>0</v>
          </cell>
          <cell r="G4193">
            <v>0</v>
          </cell>
        </row>
        <row r="4194">
          <cell r="F4194">
            <v>0</v>
          </cell>
          <cell r="G4194">
            <v>0</v>
          </cell>
        </row>
        <row r="4195">
          <cell r="F4195">
            <v>0</v>
          </cell>
          <cell r="G4195">
            <v>0</v>
          </cell>
        </row>
        <row r="4196">
          <cell r="F4196">
            <v>0</v>
          </cell>
          <cell r="G4196">
            <v>0</v>
          </cell>
        </row>
        <row r="4197">
          <cell r="F4197">
            <v>0</v>
          </cell>
          <cell r="G4197">
            <v>0</v>
          </cell>
        </row>
        <row r="4198">
          <cell r="F4198">
            <v>0</v>
          </cell>
          <cell r="G4198">
            <v>0</v>
          </cell>
        </row>
        <row r="4199">
          <cell r="F4199">
            <v>0</v>
          </cell>
          <cell r="G4199">
            <v>0</v>
          </cell>
        </row>
        <row r="4200">
          <cell r="F4200">
            <v>0</v>
          </cell>
          <cell r="G4200">
            <v>0</v>
          </cell>
        </row>
        <row r="4201">
          <cell r="F4201">
            <v>0</v>
          </cell>
          <cell r="G4201">
            <v>0</v>
          </cell>
        </row>
        <row r="4202">
          <cell r="F4202">
            <v>0</v>
          </cell>
          <cell r="G4202">
            <v>0</v>
          </cell>
        </row>
        <row r="4203">
          <cell r="F4203">
            <v>0</v>
          </cell>
          <cell r="G4203">
            <v>0</v>
          </cell>
        </row>
        <row r="4204">
          <cell r="F4204">
            <v>0</v>
          </cell>
          <cell r="G4204">
            <v>0</v>
          </cell>
        </row>
        <row r="4205">
          <cell r="F4205">
            <v>0</v>
          </cell>
          <cell r="G4205">
            <v>0</v>
          </cell>
        </row>
        <row r="4206">
          <cell r="F4206">
            <v>0</v>
          </cell>
          <cell r="G4206">
            <v>0</v>
          </cell>
        </row>
        <row r="4207">
          <cell r="F4207">
            <v>0</v>
          </cell>
          <cell r="G4207">
            <v>0</v>
          </cell>
        </row>
        <row r="4208">
          <cell r="F4208">
            <v>0</v>
          </cell>
          <cell r="G4208">
            <v>0</v>
          </cell>
        </row>
        <row r="4209">
          <cell r="F4209">
            <v>0</v>
          </cell>
          <cell r="G4209">
            <v>0</v>
          </cell>
        </row>
        <row r="4210">
          <cell r="F4210">
            <v>0</v>
          </cell>
          <cell r="G4210">
            <v>0</v>
          </cell>
        </row>
        <row r="4211">
          <cell r="F4211">
            <v>0</v>
          </cell>
          <cell r="G4211">
            <v>0</v>
          </cell>
        </row>
        <row r="4212">
          <cell r="F4212">
            <v>0</v>
          </cell>
          <cell r="G4212">
            <v>0</v>
          </cell>
        </row>
        <row r="4213">
          <cell r="F4213">
            <v>0</v>
          </cell>
          <cell r="G4213">
            <v>0</v>
          </cell>
        </row>
        <row r="4214">
          <cell r="F4214">
            <v>0</v>
          </cell>
          <cell r="G4214">
            <v>0</v>
          </cell>
        </row>
        <row r="4215">
          <cell r="F4215">
            <v>0</v>
          </cell>
          <cell r="G4215">
            <v>0</v>
          </cell>
        </row>
        <row r="4216">
          <cell r="F4216">
            <v>0</v>
          </cell>
          <cell r="G4216">
            <v>0</v>
          </cell>
        </row>
        <row r="4217">
          <cell r="F4217">
            <v>0</v>
          </cell>
          <cell r="G4217">
            <v>0</v>
          </cell>
        </row>
        <row r="4218">
          <cell r="F4218">
            <v>0</v>
          </cell>
          <cell r="G4218">
            <v>0</v>
          </cell>
        </row>
        <row r="4219">
          <cell r="F4219">
            <v>0</v>
          </cell>
          <cell r="G4219">
            <v>0</v>
          </cell>
        </row>
        <row r="4220">
          <cell r="F4220">
            <v>0</v>
          </cell>
          <cell r="G4220">
            <v>0</v>
          </cell>
        </row>
        <row r="4221">
          <cell r="F4221">
            <v>0</v>
          </cell>
          <cell r="G4221">
            <v>0</v>
          </cell>
        </row>
        <row r="4222">
          <cell r="F4222">
            <v>0</v>
          </cell>
          <cell r="G4222">
            <v>0</v>
          </cell>
        </row>
        <row r="4223">
          <cell r="F4223">
            <v>0</v>
          </cell>
          <cell r="G4223">
            <v>0</v>
          </cell>
        </row>
        <row r="4224">
          <cell r="F4224">
            <v>0</v>
          </cell>
          <cell r="G4224">
            <v>0</v>
          </cell>
        </row>
        <row r="4225">
          <cell r="F4225">
            <v>0</v>
          </cell>
          <cell r="G4225">
            <v>0</v>
          </cell>
        </row>
        <row r="4226">
          <cell r="F4226">
            <v>0</v>
          </cell>
          <cell r="G4226">
            <v>0</v>
          </cell>
        </row>
        <row r="4227">
          <cell r="F4227">
            <v>0</v>
          </cell>
          <cell r="G4227">
            <v>0</v>
          </cell>
        </row>
        <row r="4228">
          <cell r="F4228">
            <v>0</v>
          </cell>
          <cell r="G4228">
            <v>0</v>
          </cell>
        </row>
        <row r="4229">
          <cell r="F4229">
            <v>0</v>
          </cell>
          <cell r="G4229">
            <v>0</v>
          </cell>
        </row>
        <row r="4230">
          <cell r="F4230">
            <v>0</v>
          </cell>
          <cell r="G4230">
            <v>0</v>
          </cell>
        </row>
        <row r="4231">
          <cell r="F4231">
            <v>0</v>
          </cell>
          <cell r="G4231">
            <v>0</v>
          </cell>
        </row>
        <row r="4232">
          <cell r="F4232">
            <v>0</v>
          </cell>
          <cell r="G4232">
            <v>0</v>
          </cell>
        </row>
        <row r="4233">
          <cell r="F4233">
            <v>0</v>
          </cell>
          <cell r="G4233">
            <v>0</v>
          </cell>
        </row>
        <row r="4234">
          <cell r="F4234">
            <v>0</v>
          </cell>
          <cell r="G4234">
            <v>0</v>
          </cell>
        </row>
        <row r="4235">
          <cell r="F4235">
            <v>0</v>
          </cell>
          <cell r="G4235">
            <v>0</v>
          </cell>
        </row>
        <row r="4236">
          <cell r="F4236">
            <v>0</v>
          </cell>
          <cell r="G4236">
            <v>0</v>
          </cell>
        </row>
        <row r="4237">
          <cell r="F4237">
            <v>0</v>
          </cell>
          <cell r="G4237">
            <v>0</v>
          </cell>
        </row>
        <row r="4238">
          <cell r="F4238">
            <v>0</v>
          </cell>
          <cell r="G4238">
            <v>0</v>
          </cell>
        </row>
        <row r="4239">
          <cell r="F4239">
            <v>0</v>
          </cell>
          <cell r="G4239">
            <v>0</v>
          </cell>
        </row>
        <row r="4240">
          <cell r="F4240">
            <v>0</v>
          </cell>
          <cell r="G4240">
            <v>0</v>
          </cell>
        </row>
        <row r="4241">
          <cell r="F4241">
            <v>0</v>
          </cell>
          <cell r="G4241">
            <v>0</v>
          </cell>
        </row>
        <row r="4242">
          <cell r="F4242">
            <v>0</v>
          </cell>
          <cell r="G4242">
            <v>0</v>
          </cell>
        </row>
        <row r="4243">
          <cell r="F4243">
            <v>0</v>
          </cell>
          <cell r="G4243">
            <v>0</v>
          </cell>
        </row>
        <row r="4244">
          <cell r="F4244">
            <v>0</v>
          </cell>
          <cell r="G4244">
            <v>0</v>
          </cell>
        </row>
        <row r="4245">
          <cell r="F4245">
            <v>0</v>
          </cell>
          <cell r="G4245">
            <v>0</v>
          </cell>
        </row>
        <row r="4246">
          <cell r="F4246">
            <v>0</v>
          </cell>
          <cell r="G4246">
            <v>0</v>
          </cell>
        </row>
        <row r="4247">
          <cell r="F4247">
            <v>0</v>
          </cell>
          <cell r="G4247">
            <v>0</v>
          </cell>
        </row>
        <row r="4248">
          <cell r="F4248">
            <v>0</v>
          </cell>
          <cell r="G4248">
            <v>0</v>
          </cell>
        </row>
        <row r="4249">
          <cell r="F4249">
            <v>0</v>
          </cell>
          <cell r="G4249">
            <v>0</v>
          </cell>
        </row>
        <row r="4250">
          <cell r="F4250">
            <v>0</v>
          </cell>
          <cell r="G4250">
            <v>0</v>
          </cell>
        </row>
        <row r="4251">
          <cell r="F4251">
            <v>0</v>
          </cell>
          <cell r="G4251">
            <v>0</v>
          </cell>
        </row>
        <row r="4252">
          <cell r="F4252">
            <v>0</v>
          </cell>
          <cell r="G4252">
            <v>0</v>
          </cell>
        </row>
        <row r="4253">
          <cell r="F4253">
            <v>0</v>
          </cell>
          <cell r="G4253">
            <v>0</v>
          </cell>
        </row>
        <row r="4254">
          <cell r="F4254">
            <v>0</v>
          </cell>
          <cell r="G4254">
            <v>0</v>
          </cell>
        </row>
        <row r="4255">
          <cell r="F4255">
            <v>0</v>
          </cell>
          <cell r="G4255">
            <v>0</v>
          </cell>
        </row>
        <row r="4256">
          <cell r="F4256">
            <v>0</v>
          </cell>
          <cell r="G4256">
            <v>0</v>
          </cell>
        </row>
        <row r="4257">
          <cell r="F4257">
            <v>0</v>
          </cell>
          <cell r="G4257">
            <v>0</v>
          </cell>
        </row>
        <row r="4258">
          <cell r="F4258">
            <v>0</v>
          </cell>
          <cell r="G4258">
            <v>0</v>
          </cell>
        </row>
        <row r="4259">
          <cell r="F4259">
            <v>0</v>
          </cell>
          <cell r="G4259">
            <v>0</v>
          </cell>
        </row>
        <row r="4260">
          <cell r="F4260">
            <v>0</v>
          </cell>
          <cell r="G4260">
            <v>0</v>
          </cell>
        </row>
        <row r="4261">
          <cell r="F4261">
            <v>0</v>
          </cell>
          <cell r="G4261">
            <v>0</v>
          </cell>
        </row>
        <row r="4262">
          <cell r="F4262">
            <v>0</v>
          </cell>
          <cell r="G4262">
            <v>0</v>
          </cell>
        </row>
        <row r="4263">
          <cell r="F4263">
            <v>0</v>
          </cell>
          <cell r="G4263">
            <v>0</v>
          </cell>
        </row>
        <row r="4264">
          <cell r="F4264">
            <v>0</v>
          </cell>
          <cell r="G4264">
            <v>0</v>
          </cell>
        </row>
        <row r="4265">
          <cell r="F4265">
            <v>0</v>
          </cell>
          <cell r="G4265">
            <v>0</v>
          </cell>
        </row>
        <row r="4266">
          <cell r="F4266">
            <v>0</v>
          </cell>
          <cell r="G4266">
            <v>0</v>
          </cell>
        </row>
        <row r="4267">
          <cell r="F4267">
            <v>0</v>
          </cell>
          <cell r="G4267">
            <v>0</v>
          </cell>
        </row>
        <row r="4268">
          <cell r="F4268">
            <v>0</v>
          </cell>
          <cell r="G4268">
            <v>0</v>
          </cell>
        </row>
        <row r="4269">
          <cell r="F4269">
            <v>0</v>
          </cell>
          <cell r="G4269">
            <v>0</v>
          </cell>
        </row>
        <row r="4270">
          <cell r="F4270">
            <v>0</v>
          </cell>
          <cell r="G4270">
            <v>0</v>
          </cell>
        </row>
        <row r="4271">
          <cell r="F4271">
            <v>0</v>
          </cell>
          <cell r="G4271">
            <v>0</v>
          </cell>
        </row>
        <row r="4272">
          <cell r="F4272">
            <v>0</v>
          </cell>
          <cell r="G4272">
            <v>0</v>
          </cell>
        </row>
        <row r="4273">
          <cell r="F4273">
            <v>0</v>
          </cell>
          <cell r="G4273">
            <v>0</v>
          </cell>
        </row>
        <row r="4274">
          <cell r="F4274">
            <v>0</v>
          </cell>
          <cell r="G4274">
            <v>0</v>
          </cell>
        </row>
        <row r="4275">
          <cell r="F4275">
            <v>0</v>
          </cell>
          <cell r="G4275">
            <v>0</v>
          </cell>
        </row>
        <row r="4276">
          <cell r="F4276">
            <v>0</v>
          </cell>
          <cell r="G4276">
            <v>0</v>
          </cell>
        </row>
        <row r="4277">
          <cell r="F4277">
            <v>0</v>
          </cell>
          <cell r="G4277">
            <v>0</v>
          </cell>
        </row>
        <row r="4278">
          <cell r="F4278">
            <v>0</v>
          </cell>
          <cell r="G4278">
            <v>0</v>
          </cell>
        </row>
        <row r="4279">
          <cell r="F4279">
            <v>0</v>
          </cell>
          <cell r="G4279">
            <v>0</v>
          </cell>
        </row>
        <row r="4280">
          <cell r="F4280">
            <v>0</v>
          </cell>
          <cell r="G4280">
            <v>0</v>
          </cell>
        </row>
        <row r="4281">
          <cell r="F4281">
            <v>0</v>
          </cell>
          <cell r="G4281">
            <v>0</v>
          </cell>
        </row>
        <row r="4282">
          <cell r="F4282">
            <v>0</v>
          </cell>
          <cell r="G4282">
            <v>0</v>
          </cell>
        </row>
        <row r="4283">
          <cell r="F4283">
            <v>0</v>
          </cell>
          <cell r="G4283">
            <v>0</v>
          </cell>
        </row>
        <row r="4284">
          <cell r="F4284">
            <v>0</v>
          </cell>
          <cell r="G4284">
            <v>0</v>
          </cell>
        </row>
        <row r="4285">
          <cell r="F4285">
            <v>0</v>
          </cell>
          <cell r="G4285">
            <v>0</v>
          </cell>
        </row>
        <row r="4286">
          <cell r="F4286">
            <v>0</v>
          </cell>
          <cell r="G4286">
            <v>0</v>
          </cell>
        </row>
        <row r="4287">
          <cell r="F4287">
            <v>0</v>
          </cell>
          <cell r="G4287">
            <v>0</v>
          </cell>
        </row>
        <row r="4288">
          <cell r="F4288">
            <v>0</v>
          </cell>
          <cell r="G4288">
            <v>0</v>
          </cell>
        </row>
        <row r="4289">
          <cell r="F4289">
            <v>0</v>
          </cell>
          <cell r="G4289">
            <v>0</v>
          </cell>
        </row>
        <row r="4290">
          <cell r="F4290">
            <v>0</v>
          </cell>
          <cell r="G4290">
            <v>0</v>
          </cell>
        </row>
        <row r="4291">
          <cell r="F4291">
            <v>0</v>
          </cell>
          <cell r="G4291">
            <v>0</v>
          </cell>
        </row>
        <row r="4292">
          <cell r="F4292">
            <v>0</v>
          </cell>
          <cell r="G4292">
            <v>0</v>
          </cell>
        </row>
        <row r="4293">
          <cell r="F4293">
            <v>0</v>
          </cell>
          <cell r="G4293">
            <v>0</v>
          </cell>
        </row>
        <row r="4294">
          <cell r="F4294">
            <v>0</v>
          </cell>
          <cell r="G4294">
            <v>0</v>
          </cell>
        </row>
        <row r="4295">
          <cell r="F4295">
            <v>0</v>
          </cell>
          <cell r="G4295">
            <v>0</v>
          </cell>
        </row>
        <row r="4296">
          <cell r="F4296">
            <v>0</v>
          </cell>
          <cell r="G4296">
            <v>0</v>
          </cell>
        </row>
        <row r="4297">
          <cell r="F4297">
            <v>0</v>
          </cell>
          <cell r="G4297">
            <v>0</v>
          </cell>
        </row>
        <row r="4298">
          <cell r="F4298">
            <v>0</v>
          </cell>
          <cell r="G4298">
            <v>0</v>
          </cell>
        </row>
        <row r="4299">
          <cell r="F4299">
            <v>0</v>
          </cell>
          <cell r="G4299">
            <v>0</v>
          </cell>
        </row>
        <row r="4300">
          <cell r="F4300">
            <v>0</v>
          </cell>
          <cell r="G4300">
            <v>0</v>
          </cell>
        </row>
        <row r="4301">
          <cell r="F4301">
            <v>0</v>
          </cell>
          <cell r="G4301">
            <v>0</v>
          </cell>
        </row>
        <row r="4302">
          <cell r="F4302">
            <v>0</v>
          </cell>
          <cell r="G4302">
            <v>0</v>
          </cell>
        </row>
        <row r="4303">
          <cell r="F4303">
            <v>0</v>
          </cell>
          <cell r="G4303">
            <v>0</v>
          </cell>
        </row>
        <row r="4304">
          <cell r="F4304">
            <v>0</v>
          </cell>
          <cell r="G4304">
            <v>0</v>
          </cell>
        </row>
        <row r="4305">
          <cell r="F4305">
            <v>0</v>
          </cell>
          <cell r="G4305">
            <v>0</v>
          </cell>
        </row>
        <row r="4306">
          <cell r="F4306">
            <v>0</v>
          </cell>
          <cell r="G4306">
            <v>0</v>
          </cell>
        </row>
        <row r="4307">
          <cell r="F4307">
            <v>0</v>
          </cell>
          <cell r="G4307">
            <v>0</v>
          </cell>
        </row>
        <row r="4308">
          <cell r="F4308">
            <v>0</v>
          </cell>
          <cell r="G4308">
            <v>0</v>
          </cell>
        </row>
        <row r="4309">
          <cell r="F4309">
            <v>0</v>
          </cell>
          <cell r="G4309">
            <v>0</v>
          </cell>
        </row>
        <row r="4310">
          <cell r="F4310">
            <v>0</v>
          </cell>
          <cell r="G4310">
            <v>0</v>
          </cell>
        </row>
        <row r="4311">
          <cell r="F4311">
            <v>0</v>
          </cell>
          <cell r="G4311">
            <v>0</v>
          </cell>
        </row>
        <row r="4312">
          <cell r="F4312">
            <v>0</v>
          </cell>
          <cell r="G4312">
            <v>0</v>
          </cell>
        </row>
        <row r="4313">
          <cell r="F4313">
            <v>0</v>
          </cell>
          <cell r="G4313">
            <v>0</v>
          </cell>
        </row>
        <row r="4314">
          <cell r="F4314">
            <v>0</v>
          </cell>
          <cell r="G4314">
            <v>0</v>
          </cell>
        </row>
        <row r="4315">
          <cell r="F4315">
            <v>0</v>
          </cell>
          <cell r="G4315">
            <v>0</v>
          </cell>
        </row>
        <row r="4316">
          <cell r="F4316">
            <v>0</v>
          </cell>
          <cell r="G4316">
            <v>0</v>
          </cell>
        </row>
        <row r="4317">
          <cell r="F4317">
            <v>0</v>
          </cell>
          <cell r="G4317">
            <v>0</v>
          </cell>
        </row>
        <row r="4318">
          <cell r="F4318">
            <v>0</v>
          </cell>
          <cell r="G4318">
            <v>0</v>
          </cell>
        </row>
        <row r="4319">
          <cell r="F4319">
            <v>0</v>
          </cell>
          <cell r="G4319">
            <v>0</v>
          </cell>
        </row>
        <row r="4320">
          <cell r="F4320">
            <v>0</v>
          </cell>
          <cell r="G4320">
            <v>0</v>
          </cell>
        </row>
        <row r="4321">
          <cell r="F4321">
            <v>0</v>
          </cell>
          <cell r="G4321">
            <v>0</v>
          </cell>
        </row>
        <row r="4322">
          <cell r="F4322">
            <v>0</v>
          </cell>
          <cell r="G4322">
            <v>0</v>
          </cell>
        </row>
        <row r="4323">
          <cell r="F4323">
            <v>0</v>
          </cell>
          <cell r="G4323">
            <v>0</v>
          </cell>
        </row>
        <row r="4324">
          <cell r="F4324">
            <v>0</v>
          </cell>
          <cell r="G4324">
            <v>0</v>
          </cell>
        </row>
        <row r="4325">
          <cell r="F4325">
            <v>0</v>
          </cell>
          <cell r="G4325">
            <v>0</v>
          </cell>
        </row>
        <row r="4326">
          <cell r="F4326">
            <v>0</v>
          </cell>
          <cell r="G4326">
            <v>0</v>
          </cell>
        </row>
        <row r="4327">
          <cell r="F4327">
            <v>0</v>
          </cell>
          <cell r="G4327">
            <v>0</v>
          </cell>
        </row>
        <row r="4328">
          <cell r="F4328">
            <v>0</v>
          </cell>
          <cell r="G4328">
            <v>0</v>
          </cell>
        </row>
        <row r="4329">
          <cell r="F4329">
            <v>0</v>
          </cell>
          <cell r="G4329">
            <v>0</v>
          </cell>
        </row>
        <row r="4330">
          <cell r="F4330">
            <v>0</v>
          </cell>
          <cell r="G4330">
            <v>0</v>
          </cell>
        </row>
        <row r="4331">
          <cell r="F4331">
            <v>0</v>
          </cell>
          <cell r="G4331">
            <v>0</v>
          </cell>
        </row>
        <row r="4332">
          <cell r="F4332">
            <v>0</v>
          </cell>
          <cell r="G4332">
            <v>0</v>
          </cell>
        </row>
        <row r="4333">
          <cell r="F4333">
            <v>0</v>
          </cell>
          <cell r="G4333">
            <v>0</v>
          </cell>
        </row>
        <row r="4334">
          <cell r="F4334">
            <v>0</v>
          </cell>
          <cell r="G4334">
            <v>0</v>
          </cell>
        </row>
        <row r="4335">
          <cell r="F4335">
            <v>0</v>
          </cell>
          <cell r="G4335">
            <v>0</v>
          </cell>
        </row>
        <row r="4336">
          <cell r="F4336">
            <v>0</v>
          </cell>
          <cell r="G4336">
            <v>0</v>
          </cell>
        </row>
        <row r="4337">
          <cell r="F4337">
            <v>0</v>
          </cell>
          <cell r="G4337">
            <v>0</v>
          </cell>
        </row>
        <row r="4338">
          <cell r="F4338">
            <v>0</v>
          </cell>
          <cell r="G4338">
            <v>0</v>
          </cell>
        </row>
        <row r="4339">
          <cell r="F4339">
            <v>0</v>
          </cell>
          <cell r="G4339">
            <v>0</v>
          </cell>
        </row>
        <row r="4340">
          <cell r="F4340">
            <v>0</v>
          </cell>
          <cell r="G4340">
            <v>0</v>
          </cell>
        </row>
        <row r="4341">
          <cell r="F4341">
            <v>0</v>
          </cell>
          <cell r="G4341">
            <v>0</v>
          </cell>
        </row>
        <row r="4342">
          <cell r="F4342">
            <v>0</v>
          </cell>
          <cell r="G4342">
            <v>0</v>
          </cell>
        </row>
        <row r="4343">
          <cell r="F4343">
            <v>0</v>
          </cell>
          <cell r="G4343">
            <v>0</v>
          </cell>
        </row>
        <row r="4344">
          <cell r="F4344">
            <v>0</v>
          </cell>
          <cell r="G4344">
            <v>0</v>
          </cell>
        </row>
        <row r="4345">
          <cell r="F4345">
            <v>0</v>
          </cell>
          <cell r="G4345">
            <v>0</v>
          </cell>
        </row>
        <row r="4346">
          <cell r="F4346">
            <v>0</v>
          </cell>
          <cell r="G4346">
            <v>0</v>
          </cell>
        </row>
        <row r="4347">
          <cell r="F4347">
            <v>0</v>
          </cell>
          <cell r="G4347">
            <v>0</v>
          </cell>
        </row>
        <row r="4348">
          <cell r="F4348">
            <v>0</v>
          </cell>
          <cell r="G4348">
            <v>0</v>
          </cell>
        </row>
        <row r="4349">
          <cell r="F4349">
            <v>0</v>
          </cell>
          <cell r="G4349">
            <v>0</v>
          </cell>
        </row>
        <row r="4350">
          <cell r="F4350">
            <v>0</v>
          </cell>
          <cell r="G4350">
            <v>0</v>
          </cell>
        </row>
        <row r="4351">
          <cell r="F4351">
            <v>0</v>
          </cell>
          <cell r="G4351">
            <v>0</v>
          </cell>
        </row>
        <row r="4352">
          <cell r="F4352">
            <v>0</v>
          </cell>
          <cell r="G4352">
            <v>0</v>
          </cell>
        </row>
        <row r="4353">
          <cell r="F4353">
            <v>0</v>
          </cell>
          <cell r="G4353">
            <v>0</v>
          </cell>
        </row>
        <row r="4354">
          <cell r="F4354">
            <v>0</v>
          </cell>
          <cell r="G4354">
            <v>0</v>
          </cell>
        </row>
        <row r="4355">
          <cell r="F4355">
            <v>0</v>
          </cell>
          <cell r="G4355">
            <v>0</v>
          </cell>
        </row>
        <row r="4356">
          <cell r="F4356">
            <v>0</v>
          </cell>
          <cell r="G4356">
            <v>0</v>
          </cell>
        </row>
        <row r="4357">
          <cell r="F4357">
            <v>0</v>
          </cell>
          <cell r="G4357">
            <v>0</v>
          </cell>
        </row>
        <row r="4358">
          <cell r="F4358">
            <v>0</v>
          </cell>
          <cell r="G4358">
            <v>0</v>
          </cell>
        </row>
        <row r="4359">
          <cell r="F4359">
            <v>0</v>
          </cell>
          <cell r="G4359">
            <v>0</v>
          </cell>
        </row>
        <row r="4360">
          <cell r="F4360">
            <v>0</v>
          </cell>
          <cell r="G4360">
            <v>0</v>
          </cell>
        </row>
        <row r="4361">
          <cell r="F4361">
            <v>0</v>
          </cell>
          <cell r="G4361">
            <v>0</v>
          </cell>
        </row>
        <row r="4362">
          <cell r="F4362">
            <v>0</v>
          </cell>
          <cell r="G4362">
            <v>0</v>
          </cell>
        </row>
        <row r="4363">
          <cell r="F4363">
            <v>0</v>
          </cell>
          <cell r="G4363">
            <v>0</v>
          </cell>
        </row>
        <row r="4364">
          <cell r="F4364">
            <v>0</v>
          </cell>
          <cell r="G4364">
            <v>0</v>
          </cell>
        </row>
        <row r="4365">
          <cell r="F4365">
            <v>0</v>
          </cell>
          <cell r="G4365">
            <v>0</v>
          </cell>
        </row>
        <row r="4366">
          <cell r="F4366">
            <v>0</v>
          </cell>
          <cell r="G4366">
            <v>0</v>
          </cell>
        </row>
        <row r="4367">
          <cell r="F4367">
            <v>0</v>
          </cell>
          <cell r="G4367">
            <v>0</v>
          </cell>
        </row>
        <row r="4368">
          <cell r="F4368">
            <v>0</v>
          </cell>
          <cell r="G4368">
            <v>0</v>
          </cell>
        </row>
        <row r="4369">
          <cell r="F4369">
            <v>0</v>
          </cell>
          <cell r="G4369">
            <v>0</v>
          </cell>
        </row>
        <row r="4370">
          <cell r="F4370">
            <v>0</v>
          </cell>
          <cell r="G4370">
            <v>0</v>
          </cell>
        </row>
        <row r="4371">
          <cell r="F4371">
            <v>0</v>
          </cell>
          <cell r="G4371">
            <v>0</v>
          </cell>
        </row>
        <row r="4372">
          <cell r="F4372">
            <v>0</v>
          </cell>
          <cell r="G4372">
            <v>0</v>
          </cell>
        </row>
        <row r="4373">
          <cell r="F4373">
            <v>0</v>
          </cell>
          <cell r="G4373">
            <v>0</v>
          </cell>
        </row>
        <row r="4374">
          <cell r="F4374">
            <v>0</v>
          </cell>
          <cell r="G4374">
            <v>0</v>
          </cell>
        </row>
        <row r="4375">
          <cell r="F4375">
            <v>0</v>
          </cell>
          <cell r="G4375">
            <v>0</v>
          </cell>
        </row>
        <row r="4376">
          <cell r="F4376">
            <v>0</v>
          </cell>
          <cell r="G4376">
            <v>0</v>
          </cell>
        </row>
        <row r="4377">
          <cell r="F4377">
            <v>0</v>
          </cell>
          <cell r="G4377">
            <v>0</v>
          </cell>
        </row>
        <row r="4378">
          <cell r="F4378">
            <v>0</v>
          </cell>
          <cell r="G4378">
            <v>0</v>
          </cell>
        </row>
        <row r="4379">
          <cell r="F4379">
            <v>0</v>
          </cell>
          <cell r="G4379">
            <v>0</v>
          </cell>
        </row>
        <row r="4380">
          <cell r="F4380">
            <v>0</v>
          </cell>
          <cell r="G4380">
            <v>0</v>
          </cell>
        </row>
        <row r="4381">
          <cell r="F4381">
            <v>0</v>
          </cell>
          <cell r="G4381">
            <v>0</v>
          </cell>
        </row>
        <row r="4382">
          <cell r="F4382">
            <v>0</v>
          </cell>
          <cell r="G4382">
            <v>0</v>
          </cell>
        </row>
        <row r="4383">
          <cell r="F4383">
            <v>0</v>
          </cell>
          <cell r="G4383">
            <v>0</v>
          </cell>
        </row>
        <row r="4384">
          <cell r="F4384">
            <v>0</v>
          </cell>
          <cell r="G4384">
            <v>0</v>
          </cell>
        </row>
        <row r="4385">
          <cell r="F4385">
            <v>0</v>
          </cell>
          <cell r="G4385">
            <v>0</v>
          </cell>
        </row>
        <row r="4386">
          <cell r="F4386">
            <v>0</v>
          </cell>
          <cell r="G4386">
            <v>0</v>
          </cell>
        </row>
        <row r="4387">
          <cell r="F4387">
            <v>0</v>
          </cell>
          <cell r="G4387">
            <v>0</v>
          </cell>
        </row>
        <row r="4388">
          <cell r="F4388">
            <v>0</v>
          </cell>
          <cell r="G4388">
            <v>0</v>
          </cell>
        </row>
        <row r="4389">
          <cell r="F4389">
            <v>0</v>
          </cell>
          <cell r="G4389">
            <v>0</v>
          </cell>
        </row>
        <row r="4390">
          <cell r="F4390">
            <v>0</v>
          </cell>
          <cell r="G4390">
            <v>0</v>
          </cell>
        </row>
        <row r="4391">
          <cell r="F4391">
            <v>0</v>
          </cell>
          <cell r="G4391">
            <v>0</v>
          </cell>
        </row>
        <row r="4392">
          <cell r="F4392">
            <v>0</v>
          </cell>
          <cell r="G4392">
            <v>0</v>
          </cell>
        </row>
        <row r="4393">
          <cell r="F4393">
            <v>0</v>
          </cell>
          <cell r="G4393">
            <v>0</v>
          </cell>
        </row>
        <row r="4394">
          <cell r="F4394">
            <v>0</v>
          </cell>
          <cell r="G4394">
            <v>0</v>
          </cell>
        </row>
        <row r="4395">
          <cell r="F4395">
            <v>0</v>
          </cell>
          <cell r="G4395">
            <v>0</v>
          </cell>
          <cell r="H4395">
            <v>0</v>
          </cell>
          <cell r="I4395">
            <v>0</v>
          </cell>
        </row>
        <row r="4396">
          <cell r="F4396">
            <v>0</v>
          </cell>
          <cell r="G4396">
            <v>0</v>
          </cell>
        </row>
        <row r="4397">
          <cell r="F4397">
            <v>0</v>
          </cell>
          <cell r="G4397">
            <v>0</v>
          </cell>
        </row>
        <row r="4398">
          <cell r="F4398">
            <v>0</v>
          </cell>
          <cell r="G4398">
            <v>0</v>
          </cell>
        </row>
        <row r="4399">
          <cell r="F4399">
            <v>0</v>
          </cell>
          <cell r="G4399">
            <v>0</v>
          </cell>
        </row>
        <row r="4400">
          <cell r="F4400">
            <v>0</v>
          </cell>
          <cell r="G4400">
            <v>0</v>
          </cell>
        </row>
        <row r="4401">
          <cell r="F4401">
            <v>0</v>
          </cell>
          <cell r="G4401">
            <v>0</v>
          </cell>
        </row>
        <row r="4402">
          <cell r="F4402">
            <v>0</v>
          </cell>
          <cell r="G4402">
            <v>0</v>
          </cell>
        </row>
        <row r="4403">
          <cell r="F4403">
            <v>0</v>
          </cell>
          <cell r="G4403">
            <v>0</v>
          </cell>
        </row>
        <row r="4404">
          <cell r="F4404">
            <v>0</v>
          </cell>
          <cell r="G4404">
            <v>0</v>
          </cell>
        </row>
        <row r="4405">
          <cell r="F4405">
            <v>0</v>
          </cell>
          <cell r="G4405">
            <v>0</v>
          </cell>
        </row>
        <row r="4406">
          <cell r="F4406">
            <v>0</v>
          </cell>
          <cell r="G4406">
            <v>0</v>
          </cell>
        </row>
        <row r="4407">
          <cell r="F4407">
            <v>0</v>
          </cell>
          <cell r="G4407">
            <v>0</v>
          </cell>
        </row>
        <row r="4408">
          <cell r="F4408">
            <v>0</v>
          </cell>
          <cell r="G4408">
            <v>0</v>
          </cell>
        </row>
        <row r="4409">
          <cell r="F4409">
            <v>0</v>
          </cell>
          <cell r="G4409">
            <v>0</v>
          </cell>
        </row>
        <row r="4410">
          <cell r="F4410">
            <v>0</v>
          </cell>
          <cell r="G4410">
            <v>0</v>
          </cell>
        </row>
        <row r="4411">
          <cell r="F4411">
            <v>0</v>
          </cell>
          <cell r="G4411">
            <v>0</v>
          </cell>
        </row>
        <row r="4412">
          <cell r="F4412">
            <v>0</v>
          </cell>
          <cell r="G4412">
            <v>0</v>
          </cell>
        </row>
        <row r="4413">
          <cell r="F4413">
            <v>0</v>
          </cell>
          <cell r="G4413">
            <v>0</v>
          </cell>
        </row>
        <row r="4414">
          <cell r="F4414">
            <v>0</v>
          </cell>
          <cell r="G4414">
            <v>0</v>
          </cell>
        </row>
        <row r="4415">
          <cell r="F4415">
            <v>0</v>
          </cell>
          <cell r="G4415">
            <v>0</v>
          </cell>
        </row>
        <row r="4416">
          <cell r="F4416">
            <v>0</v>
          </cell>
          <cell r="G4416">
            <v>0</v>
          </cell>
        </row>
        <row r="4417">
          <cell r="F4417">
            <v>0</v>
          </cell>
          <cell r="G4417">
            <v>0</v>
          </cell>
        </row>
        <row r="4418">
          <cell r="F4418">
            <v>0</v>
          </cell>
          <cell r="G4418">
            <v>0</v>
          </cell>
        </row>
        <row r="4419">
          <cell r="F4419">
            <v>0</v>
          </cell>
          <cell r="G4419">
            <v>0</v>
          </cell>
        </row>
        <row r="4420">
          <cell r="F4420">
            <v>0</v>
          </cell>
          <cell r="G4420">
            <v>0</v>
          </cell>
        </row>
        <row r="4421">
          <cell r="F4421">
            <v>0</v>
          </cell>
          <cell r="G4421">
            <v>0</v>
          </cell>
        </row>
        <row r="4422">
          <cell r="F4422">
            <v>0</v>
          </cell>
          <cell r="G4422">
            <v>0</v>
          </cell>
        </row>
        <row r="4423">
          <cell r="F4423">
            <v>0</v>
          </cell>
          <cell r="G4423">
            <v>0</v>
          </cell>
        </row>
        <row r="4424">
          <cell r="F4424">
            <v>0</v>
          </cell>
          <cell r="G4424">
            <v>0</v>
          </cell>
        </row>
        <row r="4425">
          <cell r="F4425">
            <v>0</v>
          </cell>
          <cell r="G4425">
            <v>0</v>
          </cell>
        </row>
        <row r="4426">
          <cell r="F4426">
            <v>0</v>
          </cell>
          <cell r="G4426">
            <v>0</v>
          </cell>
        </row>
        <row r="4427">
          <cell r="F4427">
            <v>0</v>
          </cell>
          <cell r="G4427">
            <v>0</v>
          </cell>
        </row>
        <row r="4428">
          <cell r="F4428">
            <v>0</v>
          </cell>
          <cell r="G4428">
            <v>0</v>
          </cell>
        </row>
        <row r="4429">
          <cell r="F4429">
            <v>0</v>
          </cell>
          <cell r="G4429">
            <v>0</v>
          </cell>
        </row>
        <row r="4430">
          <cell r="F4430">
            <v>0</v>
          </cell>
          <cell r="G4430">
            <v>0</v>
          </cell>
        </row>
        <row r="4431">
          <cell r="F4431">
            <v>0</v>
          </cell>
          <cell r="G4431">
            <v>0</v>
          </cell>
        </row>
        <row r="4432">
          <cell r="F4432">
            <v>0</v>
          </cell>
          <cell r="G4432">
            <v>0</v>
          </cell>
        </row>
        <row r="4433">
          <cell r="F4433">
            <v>0</v>
          </cell>
          <cell r="G4433">
            <v>0</v>
          </cell>
        </row>
        <row r="4434">
          <cell r="F4434">
            <v>0</v>
          </cell>
          <cell r="G4434">
            <v>0</v>
          </cell>
        </row>
        <row r="4435">
          <cell r="F4435">
            <v>0</v>
          </cell>
          <cell r="G4435">
            <v>0</v>
          </cell>
        </row>
        <row r="4436">
          <cell r="F4436">
            <v>0</v>
          </cell>
          <cell r="G4436">
            <v>0</v>
          </cell>
        </row>
        <row r="4437">
          <cell r="F4437">
            <v>0</v>
          </cell>
          <cell r="G4437">
            <v>0</v>
          </cell>
        </row>
        <row r="4438">
          <cell r="F4438">
            <v>0</v>
          </cell>
          <cell r="G4438">
            <v>0</v>
          </cell>
        </row>
        <row r="4439">
          <cell r="F4439">
            <v>0</v>
          </cell>
          <cell r="G4439">
            <v>0</v>
          </cell>
        </row>
        <row r="4440">
          <cell r="F4440">
            <v>0</v>
          </cell>
          <cell r="G4440">
            <v>0</v>
          </cell>
        </row>
        <row r="4441">
          <cell r="F4441">
            <v>0</v>
          </cell>
          <cell r="G4441">
            <v>0</v>
          </cell>
        </row>
        <row r="4442">
          <cell r="F4442">
            <v>0</v>
          </cell>
          <cell r="G4442">
            <v>0</v>
          </cell>
        </row>
        <row r="4443">
          <cell r="F4443">
            <v>0</v>
          </cell>
          <cell r="G4443">
            <v>0</v>
          </cell>
        </row>
        <row r="4444">
          <cell r="F4444">
            <v>0</v>
          </cell>
          <cell r="G4444">
            <v>0</v>
          </cell>
        </row>
        <row r="4445">
          <cell r="F4445">
            <v>0</v>
          </cell>
          <cell r="G4445">
            <v>0</v>
          </cell>
        </row>
        <row r="4446">
          <cell r="F4446">
            <v>0</v>
          </cell>
          <cell r="G4446">
            <v>0</v>
          </cell>
        </row>
        <row r="4447">
          <cell r="F4447">
            <v>0</v>
          </cell>
          <cell r="G4447">
            <v>0</v>
          </cell>
        </row>
        <row r="4448">
          <cell r="F4448">
            <v>0</v>
          </cell>
          <cell r="G4448">
            <v>0</v>
          </cell>
        </row>
        <row r="4449">
          <cell r="F4449">
            <v>0</v>
          </cell>
          <cell r="G4449">
            <v>0</v>
          </cell>
        </row>
        <row r="4450">
          <cell r="F4450">
            <v>0</v>
          </cell>
          <cell r="G4450">
            <v>0</v>
          </cell>
        </row>
        <row r="4451">
          <cell r="F4451">
            <v>0</v>
          </cell>
          <cell r="G4451">
            <v>0</v>
          </cell>
        </row>
        <row r="4452">
          <cell r="F4452">
            <v>0</v>
          </cell>
          <cell r="G4452">
            <v>0</v>
          </cell>
        </row>
        <row r="4453">
          <cell r="F4453">
            <v>0</v>
          </cell>
          <cell r="G4453">
            <v>0</v>
          </cell>
        </row>
        <row r="4454">
          <cell r="F4454">
            <v>0</v>
          </cell>
          <cell r="G4454">
            <v>0</v>
          </cell>
        </row>
        <row r="4455">
          <cell r="F4455">
            <v>0</v>
          </cell>
          <cell r="G4455">
            <v>0</v>
          </cell>
        </row>
        <row r="4456">
          <cell r="F4456">
            <v>0</v>
          </cell>
          <cell r="G4456">
            <v>0</v>
          </cell>
        </row>
        <row r="4457">
          <cell r="F4457">
            <v>0</v>
          </cell>
          <cell r="G4457">
            <v>0</v>
          </cell>
        </row>
        <row r="4458">
          <cell r="F4458">
            <v>0</v>
          </cell>
          <cell r="G4458">
            <v>0</v>
          </cell>
        </row>
        <row r="4459">
          <cell r="F4459">
            <v>0</v>
          </cell>
          <cell r="G4459">
            <v>0</v>
          </cell>
        </row>
        <row r="4460">
          <cell r="F4460">
            <v>0</v>
          </cell>
          <cell r="G4460">
            <v>0</v>
          </cell>
        </row>
        <row r="4461">
          <cell r="F4461">
            <v>0</v>
          </cell>
          <cell r="G4461">
            <v>0</v>
          </cell>
        </row>
        <row r="4462">
          <cell r="F4462">
            <v>0</v>
          </cell>
          <cell r="G4462">
            <v>0</v>
          </cell>
        </row>
        <row r="4463">
          <cell r="F4463">
            <v>0</v>
          </cell>
          <cell r="G4463">
            <v>0</v>
          </cell>
        </row>
        <row r="4464">
          <cell r="F4464">
            <v>0</v>
          </cell>
          <cell r="G4464">
            <v>0</v>
          </cell>
        </row>
        <row r="4465">
          <cell r="F4465">
            <v>0</v>
          </cell>
          <cell r="G4465">
            <v>0</v>
          </cell>
        </row>
        <row r="4466">
          <cell r="F4466">
            <v>0</v>
          </cell>
          <cell r="G4466">
            <v>0</v>
          </cell>
        </row>
        <row r="4467">
          <cell r="F4467">
            <v>0</v>
          </cell>
          <cell r="G4467">
            <v>0</v>
          </cell>
        </row>
        <row r="4468">
          <cell r="F4468">
            <v>0</v>
          </cell>
          <cell r="G4468">
            <v>0</v>
          </cell>
        </row>
        <row r="4469">
          <cell r="F4469">
            <v>0</v>
          </cell>
          <cell r="G4469">
            <v>0</v>
          </cell>
        </row>
        <row r="4470">
          <cell r="F4470">
            <v>0</v>
          </cell>
          <cell r="G4470">
            <v>0</v>
          </cell>
        </row>
        <row r="4471">
          <cell r="F4471">
            <v>0</v>
          </cell>
          <cell r="G4471">
            <v>0</v>
          </cell>
        </row>
        <row r="4472">
          <cell r="F4472">
            <v>0</v>
          </cell>
          <cell r="G4472">
            <v>0</v>
          </cell>
        </row>
        <row r="4473">
          <cell r="F4473">
            <v>0</v>
          </cell>
          <cell r="G4473">
            <v>0</v>
          </cell>
        </row>
        <row r="4474">
          <cell r="F4474">
            <v>0</v>
          </cell>
          <cell r="G4474">
            <v>0</v>
          </cell>
        </row>
        <row r="4475">
          <cell r="F4475">
            <v>0</v>
          </cell>
          <cell r="G4475">
            <v>0</v>
          </cell>
        </row>
        <row r="4476">
          <cell r="F4476">
            <v>0</v>
          </cell>
          <cell r="G4476">
            <v>0</v>
          </cell>
        </row>
        <row r="4477">
          <cell r="F4477">
            <v>0</v>
          </cell>
          <cell r="G4477">
            <v>0</v>
          </cell>
        </row>
        <row r="4478">
          <cell r="F4478">
            <v>0</v>
          </cell>
          <cell r="G4478">
            <v>0</v>
          </cell>
        </row>
        <row r="4479">
          <cell r="F4479">
            <v>0</v>
          </cell>
          <cell r="G4479">
            <v>0</v>
          </cell>
        </row>
        <row r="4480">
          <cell r="F4480">
            <v>0</v>
          </cell>
          <cell r="G4480">
            <v>0</v>
          </cell>
        </row>
        <row r="4481">
          <cell r="F4481">
            <v>0</v>
          </cell>
          <cell r="G4481">
            <v>0</v>
          </cell>
        </row>
        <row r="4482">
          <cell r="F4482">
            <v>0</v>
          </cell>
          <cell r="G4482">
            <v>0</v>
          </cell>
        </row>
        <row r="4483">
          <cell r="F4483">
            <v>0</v>
          </cell>
          <cell r="G4483">
            <v>0</v>
          </cell>
        </row>
        <row r="4484">
          <cell r="F4484">
            <v>0</v>
          </cell>
          <cell r="G4484">
            <v>0</v>
          </cell>
        </row>
        <row r="4485">
          <cell r="F4485">
            <v>0</v>
          </cell>
          <cell r="G4485">
            <v>0</v>
          </cell>
        </row>
        <row r="4486">
          <cell r="F4486">
            <v>0</v>
          </cell>
          <cell r="G4486">
            <v>0</v>
          </cell>
        </row>
        <row r="4487">
          <cell r="F4487">
            <v>0</v>
          </cell>
          <cell r="G4487">
            <v>0</v>
          </cell>
        </row>
        <row r="4488">
          <cell r="F4488">
            <v>0</v>
          </cell>
          <cell r="G4488">
            <v>0</v>
          </cell>
        </row>
        <row r="4489">
          <cell r="F4489">
            <v>0</v>
          </cell>
          <cell r="G4489">
            <v>0</v>
          </cell>
        </row>
        <row r="4490">
          <cell r="F4490">
            <v>0</v>
          </cell>
          <cell r="G4490">
            <v>0</v>
          </cell>
        </row>
        <row r="4491">
          <cell r="F4491">
            <v>0</v>
          </cell>
          <cell r="G4491">
            <v>0</v>
          </cell>
        </row>
        <row r="4492">
          <cell r="F4492">
            <v>0</v>
          </cell>
          <cell r="G4492">
            <v>0</v>
          </cell>
        </row>
        <row r="4493">
          <cell r="F4493">
            <v>0</v>
          </cell>
          <cell r="G4493">
            <v>0</v>
          </cell>
        </row>
        <row r="4494">
          <cell r="F4494">
            <v>0</v>
          </cell>
          <cell r="G4494">
            <v>0</v>
          </cell>
        </row>
        <row r="4495">
          <cell r="F4495">
            <v>0</v>
          </cell>
          <cell r="G4495">
            <v>0</v>
          </cell>
        </row>
        <row r="4496">
          <cell r="F4496">
            <v>0</v>
          </cell>
          <cell r="G4496">
            <v>0</v>
          </cell>
        </row>
        <row r="4497">
          <cell r="F4497">
            <v>0</v>
          </cell>
          <cell r="G4497">
            <v>0</v>
          </cell>
        </row>
        <row r="4498">
          <cell r="F4498">
            <v>0</v>
          </cell>
          <cell r="G4498">
            <v>0</v>
          </cell>
        </row>
        <row r="4499">
          <cell r="F4499">
            <v>0</v>
          </cell>
          <cell r="G4499">
            <v>0</v>
          </cell>
        </row>
        <row r="4500">
          <cell r="F4500">
            <v>0</v>
          </cell>
          <cell r="G4500">
            <v>0</v>
          </cell>
        </row>
        <row r="4501">
          <cell r="F4501">
            <v>0</v>
          </cell>
          <cell r="G4501">
            <v>0</v>
          </cell>
        </row>
        <row r="4502">
          <cell r="F4502">
            <v>0</v>
          </cell>
          <cell r="G4502">
            <v>0</v>
          </cell>
        </row>
        <row r="4503">
          <cell r="F4503">
            <v>0</v>
          </cell>
          <cell r="G4503">
            <v>0</v>
          </cell>
        </row>
        <row r="4504">
          <cell r="F4504">
            <v>0</v>
          </cell>
          <cell r="G4504">
            <v>0</v>
          </cell>
        </row>
        <row r="4505">
          <cell r="F4505">
            <v>0</v>
          </cell>
          <cell r="G4505">
            <v>0</v>
          </cell>
        </row>
        <row r="4506">
          <cell r="F4506">
            <v>0</v>
          </cell>
          <cell r="G4506">
            <v>0</v>
          </cell>
        </row>
        <row r="4507">
          <cell r="F4507">
            <v>0</v>
          </cell>
          <cell r="G4507">
            <v>0</v>
          </cell>
        </row>
        <row r="4508">
          <cell r="F4508">
            <v>0</v>
          </cell>
          <cell r="G4508">
            <v>0</v>
          </cell>
        </row>
        <row r="4509">
          <cell r="F4509">
            <v>0</v>
          </cell>
          <cell r="G4509">
            <v>0</v>
          </cell>
        </row>
        <row r="4510">
          <cell r="F4510">
            <v>0</v>
          </cell>
          <cell r="G4510">
            <v>0</v>
          </cell>
        </row>
        <row r="4511">
          <cell r="F4511">
            <v>0</v>
          </cell>
          <cell r="G4511">
            <v>0</v>
          </cell>
        </row>
        <row r="4512">
          <cell r="F4512">
            <v>0</v>
          </cell>
          <cell r="G4512">
            <v>0</v>
          </cell>
        </row>
        <row r="4513">
          <cell r="F4513">
            <v>0</v>
          </cell>
          <cell r="G4513">
            <v>0</v>
          </cell>
        </row>
        <row r="4514">
          <cell r="F4514">
            <v>0</v>
          </cell>
          <cell r="G4514">
            <v>0</v>
          </cell>
        </row>
        <row r="4515">
          <cell r="F4515">
            <v>0</v>
          </cell>
          <cell r="G4515">
            <v>0</v>
          </cell>
        </row>
        <row r="4516">
          <cell r="F4516">
            <v>0</v>
          </cell>
          <cell r="G4516">
            <v>0</v>
          </cell>
        </row>
        <row r="4517">
          <cell r="F4517">
            <v>0</v>
          </cell>
          <cell r="G4517">
            <v>0</v>
          </cell>
        </row>
        <row r="4518">
          <cell r="F4518">
            <v>0</v>
          </cell>
          <cell r="G4518">
            <v>0</v>
          </cell>
        </row>
        <row r="4519">
          <cell r="F4519">
            <v>0</v>
          </cell>
          <cell r="G4519">
            <v>0</v>
          </cell>
        </row>
        <row r="4520">
          <cell r="F4520">
            <v>0</v>
          </cell>
          <cell r="G4520">
            <v>0</v>
          </cell>
        </row>
        <row r="4521">
          <cell r="F4521">
            <v>0</v>
          </cell>
          <cell r="G4521">
            <v>0</v>
          </cell>
        </row>
        <row r="4522">
          <cell r="F4522">
            <v>0</v>
          </cell>
          <cell r="G4522">
            <v>0</v>
          </cell>
        </row>
        <row r="4523">
          <cell r="F4523">
            <v>0</v>
          </cell>
          <cell r="G4523">
            <v>0</v>
          </cell>
        </row>
        <row r="4524">
          <cell r="F4524">
            <v>0</v>
          </cell>
          <cell r="G4524">
            <v>0</v>
          </cell>
        </row>
        <row r="4525">
          <cell r="F4525">
            <v>0</v>
          </cell>
          <cell r="G4525">
            <v>0</v>
          </cell>
        </row>
        <row r="4526">
          <cell r="F4526">
            <v>0</v>
          </cell>
          <cell r="G4526">
            <v>0</v>
          </cell>
        </row>
        <row r="4527">
          <cell r="F4527">
            <v>0</v>
          </cell>
          <cell r="G4527">
            <v>0</v>
          </cell>
        </row>
        <row r="4528">
          <cell r="F4528">
            <v>0</v>
          </cell>
          <cell r="G4528">
            <v>0</v>
          </cell>
        </row>
        <row r="4529">
          <cell r="F4529">
            <v>0</v>
          </cell>
          <cell r="G4529">
            <v>0</v>
          </cell>
        </row>
        <row r="4530">
          <cell r="F4530">
            <v>0</v>
          </cell>
          <cell r="G4530">
            <v>0</v>
          </cell>
        </row>
        <row r="4531">
          <cell r="F4531">
            <v>0</v>
          </cell>
          <cell r="G4531">
            <v>0</v>
          </cell>
        </row>
        <row r="4532">
          <cell r="F4532">
            <v>0</v>
          </cell>
          <cell r="G4532">
            <v>0</v>
          </cell>
        </row>
        <row r="4533">
          <cell r="F4533">
            <v>0</v>
          </cell>
          <cell r="G4533">
            <v>0</v>
          </cell>
        </row>
        <row r="4534">
          <cell r="F4534">
            <v>0</v>
          </cell>
          <cell r="G4534">
            <v>0</v>
          </cell>
        </row>
        <row r="4535">
          <cell r="F4535">
            <v>0</v>
          </cell>
          <cell r="G4535">
            <v>0</v>
          </cell>
        </row>
        <row r="4536">
          <cell r="F4536">
            <v>0</v>
          </cell>
          <cell r="G4536">
            <v>0</v>
          </cell>
        </row>
        <row r="4537">
          <cell r="F4537">
            <v>0</v>
          </cell>
          <cell r="G4537">
            <v>0</v>
          </cell>
        </row>
        <row r="4538">
          <cell r="F4538">
            <v>0</v>
          </cell>
          <cell r="G4538">
            <v>0</v>
          </cell>
        </row>
        <row r="4539">
          <cell r="F4539">
            <v>0</v>
          </cell>
          <cell r="G4539">
            <v>0</v>
          </cell>
        </row>
        <row r="4540">
          <cell r="F4540">
            <v>0</v>
          </cell>
          <cell r="G4540">
            <v>0</v>
          </cell>
        </row>
        <row r="4541">
          <cell r="F4541">
            <v>0</v>
          </cell>
          <cell r="G4541">
            <v>0</v>
          </cell>
        </row>
        <row r="4542">
          <cell r="F4542">
            <v>0</v>
          </cell>
          <cell r="G4542">
            <v>0</v>
          </cell>
        </row>
        <row r="4543">
          <cell r="F4543">
            <v>0</v>
          </cell>
          <cell r="G4543">
            <v>0</v>
          </cell>
        </row>
        <row r="4544">
          <cell r="F4544">
            <v>0</v>
          </cell>
          <cell r="G4544">
            <v>0</v>
          </cell>
        </row>
        <row r="4545">
          <cell r="F4545">
            <v>0</v>
          </cell>
          <cell r="G4545">
            <v>0</v>
          </cell>
        </row>
        <row r="4546">
          <cell r="F4546">
            <v>0</v>
          </cell>
          <cell r="G4546">
            <v>0</v>
          </cell>
        </row>
        <row r="4547">
          <cell r="F4547">
            <v>0</v>
          </cell>
          <cell r="G4547">
            <v>0</v>
          </cell>
        </row>
        <row r="4548">
          <cell r="F4548">
            <v>0</v>
          </cell>
          <cell r="G4548">
            <v>0</v>
          </cell>
        </row>
        <row r="4549">
          <cell r="F4549">
            <v>0</v>
          </cell>
          <cell r="G4549">
            <v>0</v>
          </cell>
        </row>
        <row r="4550">
          <cell r="F4550">
            <v>0</v>
          </cell>
          <cell r="G4550">
            <v>0</v>
          </cell>
        </row>
        <row r="4551">
          <cell r="F4551">
            <v>0</v>
          </cell>
          <cell r="G4551">
            <v>0</v>
          </cell>
        </row>
        <row r="4552">
          <cell r="F4552">
            <v>0</v>
          </cell>
          <cell r="G4552">
            <v>0</v>
          </cell>
        </row>
        <row r="4553">
          <cell r="F4553">
            <v>0</v>
          </cell>
          <cell r="G4553">
            <v>0</v>
          </cell>
        </row>
        <row r="4554">
          <cell r="F4554">
            <v>0</v>
          </cell>
          <cell r="G4554">
            <v>0</v>
          </cell>
        </row>
        <row r="4555">
          <cell r="F4555">
            <v>0</v>
          </cell>
          <cell r="G4555">
            <v>0</v>
          </cell>
        </row>
        <row r="4556">
          <cell r="F4556">
            <v>0</v>
          </cell>
          <cell r="G4556">
            <v>0</v>
          </cell>
        </row>
        <row r="4557">
          <cell r="F4557">
            <v>0</v>
          </cell>
          <cell r="G4557">
            <v>0</v>
          </cell>
        </row>
        <row r="4558">
          <cell r="F4558">
            <v>0</v>
          </cell>
          <cell r="G4558">
            <v>0</v>
          </cell>
        </row>
        <row r="4559">
          <cell r="F4559">
            <v>0</v>
          </cell>
          <cell r="G4559">
            <v>0</v>
          </cell>
        </row>
        <row r="4560">
          <cell r="F4560">
            <v>0</v>
          </cell>
          <cell r="G4560">
            <v>0</v>
          </cell>
        </row>
        <row r="4561">
          <cell r="F4561">
            <v>0</v>
          </cell>
          <cell r="G4561">
            <v>0</v>
          </cell>
        </row>
        <row r="4562">
          <cell r="F4562">
            <v>0</v>
          </cell>
          <cell r="G4562">
            <v>0</v>
          </cell>
        </row>
        <row r="4563">
          <cell r="F4563">
            <v>0</v>
          </cell>
          <cell r="G4563">
            <v>0</v>
          </cell>
        </row>
        <row r="4564">
          <cell r="F4564">
            <v>0</v>
          </cell>
          <cell r="G4564">
            <v>0</v>
          </cell>
        </row>
        <row r="4565">
          <cell r="F4565">
            <v>0</v>
          </cell>
          <cell r="G4565">
            <v>0</v>
          </cell>
        </row>
        <row r="4566">
          <cell r="F4566">
            <v>0</v>
          </cell>
          <cell r="G4566">
            <v>0</v>
          </cell>
        </row>
        <row r="4567">
          <cell r="F4567">
            <v>0</v>
          </cell>
          <cell r="G4567">
            <v>0</v>
          </cell>
        </row>
        <row r="4568">
          <cell r="F4568">
            <v>0</v>
          </cell>
          <cell r="G4568">
            <v>0</v>
          </cell>
        </row>
        <row r="4569">
          <cell r="F4569">
            <v>0</v>
          </cell>
          <cell r="G4569">
            <v>0</v>
          </cell>
        </row>
        <row r="4570">
          <cell r="F4570">
            <v>0</v>
          </cell>
          <cell r="G4570">
            <v>0</v>
          </cell>
        </row>
        <row r="4571">
          <cell r="F4571">
            <v>0</v>
          </cell>
          <cell r="G4571">
            <v>0</v>
          </cell>
        </row>
        <row r="4572">
          <cell r="F4572">
            <v>0</v>
          </cell>
          <cell r="G4572">
            <v>0</v>
          </cell>
        </row>
        <row r="4573">
          <cell r="F4573">
            <v>0</v>
          </cell>
          <cell r="G4573">
            <v>0</v>
          </cell>
        </row>
        <row r="4574">
          <cell r="F4574">
            <v>0</v>
          </cell>
          <cell r="G4574">
            <v>0</v>
          </cell>
        </row>
        <row r="4575">
          <cell r="F4575">
            <v>0</v>
          </cell>
          <cell r="G4575">
            <v>0</v>
          </cell>
        </row>
        <row r="4576">
          <cell r="F4576">
            <v>0</v>
          </cell>
          <cell r="G4576">
            <v>0</v>
          </cell>
        </row>
        <row r="4577">
          <cell r="F4577">
            <v>0</v>
          </cell>
          <cell r="G4577">
            <v>0</v>
          </cell>
        </row>
        <row r="4578">
          <cell r="F4578">
            <v>0</v>
          </cell>
          <cell r="G4578">
            <v>0</v>
          </cell>
        </row>
        <row r="4579">
          <cell r="F4579">
            <v>0</v>
          </cell>
          <cell r="G4579">
            <v>0</v>
          </cell>
        </row>
        <row r="4580">
          <cell r="F4580">
            <v>0</v>
          </cell>
          <cell r="G4580">
            <v>0</v>
          </cell>
        </row>
        <row r="4581">
          <cell r="F4581">
            <v>0</v>
          </cell>
          <cell r="G4581">
            <v>0</v>
          </cell>
        </row>
        <row r="4582">
          <cell r="F4582">
            <v>0</v>
          </cell>
          <cell r="G4582">
            <v>0</v>
          </cell>
        </row>
        <row r="4583">
          <cell r="F4583">
            <v>0</v>
          </cell>
          <cell r="G4583">
            <v>0</v>
          </cell>
        </row>
      </sheetData>
      <sheetData sheetId="2"/>
      <sheetData sheetId="3"/>
      <sheetData sheetId="4"/>
      <sheetData sheetId="5"/>
      <sheetData sheetId="6"/>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营业费用-装卸费"/>
      <sheetName val="营业费用-其他"/>
      <sheetName val="营业费用-运输费"/>
      <sheetName val="生产成本明细数据"/>
      <sheetName val="预提费用明细"/>
      <sheetName val="营业外收入明细数据_8-8查询"/>
      <sheetName val="其他业务收入明细数据_8-7查询"/>
      <sheetName val="应收帐款明细数据_8-6查询"/>
      <sheetName val="应交税金-应交城建税明细数据_7-31查询"/>
      <sheetName val="应交税金-进项税额明细数据_8-4查询"/>
      <sheetName val="应交税金明细数据"/>
      <sheetName val="应交税金-进项税额转出明细数据_8-4查询"/>
      <sheetName val="其他应交款明细数据"/>
      <sheetName val="应交税金-应交企业所得税明细数据_8-15查询"/>
      <sheetName val="营业外收入明细数据_8-14查询"/>
      <sheetName val="Sheet1"/>
      <sheetName val="Sheet4"/>
      <sheetName val="索引"/>
      <sheetName val="询证函清单"/>
      <sheetName val="函证客户地址"/>
      <sheetName val="分录"/>
      <sheetName val="余额表"/>
      <sheetName val="应收票据-银行承兑汇票明细数据"/>
      <sheetName val="应收票据Cx"/>
      <sheetName val="应收票据Dy"/>
      <sheetName val="应收票据Mx"/>
      <sheetName val="应收票据Pz"/>
      <sheetName val="应收账款Cx"/>
      <sheetName val="应收账款Dy"/>
      <sheetName val="回函分析"/>
      <sheetName val="预收账款Cx"/>
      <sheetName val="预收账款Dy"/>
      <sheetName val="坏账准备_应收账款Cx"/>
      <sheetName val="坏账准备_应收账款Dy"/>
      <sheetName val="坏账准备_应收账款Mx"/>
      <sheetName val="应收账款Mx"/>
      <sheetName val="应收账款Mx1"/>
      <sheetName val="应收账款Mx2"/>
      <sheetName val="应收账款Mx3"/>
      <sheetName val="应收账款Mx4"/>
      <sheetName val="应收账款Mx5"/>
      <sheetName val="应收账款Pz"/>
      <sheetName val="应交税金Cx"/>
      <sheetName val="应交税金Dy"/>
      <sheetName val="应交税金Mx"/>
      <sheetName val="应交税金Pz"/>
      <sheetName val="其他应交款Cx"/>
      <sheetName val="其他应交款Dy"/>
      <sheetName val="其他应交款Mx"/>
      <sheetName val="主营业务收入Cx"/>
      <sheetName val="主营业务收入Dy"/>
      <sheetName val="主营业务收入Mx"/>
      <sheetName val="主营业务收入_3"/>
      <sheetName val="主营业务收入Pz"/>
      <sheetName val="收入01 (2)"/>
      <sheetName val="收入12 (2)"/>
      <sheetName val="收入01"/>
      <sheetName val="收入12"/>
      <sheetName val="尿素"/>
      <sheetName val="液氨"/>
      <sheetName val="食用CO2"/>
      <sheetName val="散装尿素"/>
      <sheetName val="氮素融熔液"/>
      <sheetName val="主营业务税金及附加Cx"/>
      <sheetName val="主营业务税金及附加Dy"/>
      <sheetName val="主营业务税金及附加Mx"/>
      <sheetName val="其他业务利润Cx"/>
      <sheetName val="其他业务利润Dy"/>
      <sheetName val="其他业务收入-房屋租赁费"/>
      <sheetName val="其他业务利润Mx"/>
      <sheetName val="其他业务利润Pz"/>
      <sheetName val="营业费用Cx"/>
      <sheetName val="营业费用Dy"/>
      <sheetName val="营业费用Mx"/>
      <sheetName val="营业费用Pz"/>
      <sheetName val="所得税Cx"/>
      <sheetName val="所得税Dy"/>
      <sheetName val="所得税Mx"/>
      <sheetName val="所得税_3 (2)"/>
      <sheetName val="所得税_3"/>
      <sheetName val="补贴收入Cx"/>
      <sheetName val="补贴收入Dy"/>
      <sheetName val="补贴收入Mx"/>
      <sheetName val="补贴收入Pz"/>
      <sheetName val="补贴收入明细"/>
      <sheetName val="未分配利润Cx"/>
      <sheetName val="未分配利润Dy"/>
      <sheetName val="未分配利润Mx"/>
      <sheetName val="以前年度损益调整Cx"/>
      <sheetName val="以前年度损益调整Mx"/>
      <sheetName val="以前年度损益调整Pz"/>
      <sheetName val="资本公积Cx"/>
      <sheetName val="资本公积Dy"/>
      <sheetName val="资本公积Mx"/>
      <sheetName val="资本公积Pz"/>
      <sheetName val="盈余公积Cx"/>
      <sheetName val="盈余公积Dy"/>
      <sheetName val="盈余公积Mx"/>
      <sheetName val="递延税款Cx"/>
      <sheetName val="递延税款Dy"/>
      <sheetName val="递延税款Mx"/>
      <sheetName val="应付股利Cx"/>
      <sheetName val="应付股利Dy"/>
      <sheetName val="应付股利Mx"/>
      <sheetName val="应付股利Pz"/>
      <sheetName val="所得税_3-重新测算"/>
      <sheetName val="所得税_3 (3)"/>
      <sheetName val="标本-资产"/>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Page"/>
      <sheetName val="CheckSheet"/>
      <sheetName val="Data_Entry"/>
      <sheetName val="M1S"/>
      <sheetName val="M3"/>
      <sheetName val="M5A_M5B"/>
      <sheetName val="M6"/>
      <sheetName val="M5_M6 Summary"/>
      <sheetName val="M7"/>
      <sheetName val="M7B"/>
      <sheetName val="M8"/>
      <sheetName val="M8A"/>
      <sheetName val="M9"/>
      <sheetName val="AF1"/>
      <sheetName val="MD1"/>
      <sheetName val="MD2"/>
      <sheetName val="FC1"/>
      <sheetName val="FC2"/>
      <sheetName val="W1"/>
      <sheetName val="Dialogs"/>
      <sheetName val="Macros"/>
      <sheetName val="AutoData"/>
      <sheetName val="上报资产负债表"/>
      <sheetName val="上报损益表"/>
      <sheetName val="现金流量表（月报）"/>
      <sheetName val="补充表"/>
      <sheetName val="sour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300-长期应付款"/>
      <sheetName val="Q400-专项应付款"/>
      <sheetName val="Q500-其他长期负债"/>
      <sheetName val="S100-资本承诺-合同已签署"/>
      <sheetName val="S110-资本承诺-合同未签署"/>
      <sheetName val="S200-租赁承担及经营租约承担"/>
      <sheetName val="S300-或有负债"/>
      <sheetName val="T100-股本"/>
      <sheetName val="T100-资本公积"/>
      <sheetName val="T100-盈余公积"/>
      <sheetName val="T1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W300-关连交易明细表"/>
      <sheetName val="W400-利率风险"/>
      <sheetName val="master"/>
    </sheetNames>
    <sheetDataSet>
      <sheetData sheetId="0">
        <row r="2">
          <cell r="B2" t="str">
            <v>上海电气(集团)总公司</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填写指南"/>
      <sheetName val="控制汇总表"/>
      <sheetName val="Group list"/>
      <sheetName val="Source"/>
      <sheetName val="合营及联营公司清单"/>
      <sheetName val="准则差异指南"/>
      <sheetName val="财务公司科目对照表"/>
      <sheetName val="A100-检查清单"/>
      <sheetName val="A300-试算平衡表"/>
      <sheetName val="C100-货币资金"/>
      <sheetName val="D100-短期投资"/>
      <sheetName val="E100-应收票据"/>
      <sheetName val="E200-应收股利"/>
      <sheetName val="E300-应收帐款"/>
      <sheetName val="E310-应收帐款 "/>
      <sheetName val="F100-存货"/>
      <sheetName val="G100-其他应收款"/>
      <sheetName val="G200-预付账款"/>
      <sheetName val="G300-待摊费用"/>
      <sheetName val="G400-应收补贴款及应收出口退税"/>
      <sheetName val="H100-长期投资"/>
      <sheetName val="H200-联营公司-PRC"/>
      <sheetName val="H400-非合并子公司-PRC"/>
      <sheetName val="H500-合并价差-PRC"/>
      <sheetName val="H600-股票投资-PRC"/>
      <sheetName val="H700-其他股权投资-PRC"/>
      <sheetName val="H800-债券投资-PRC"/>
      <sheetName val="H900-其他债权投资-PRC"/>
      <sheetName val="H910-长期委托贷款-PRC"/>
      <sheetName val="H1000-长期投资-HK"/>
      <sheetName val="H1010-合并子公司基本情况汇总"/>
      <sheetName val="H1100-对联营公司投资-HK"/>
      <sheetName val="H1110- 对联营公司投资汇总-HK"/>
      <sheetName val="H1200-合营公司-HK"/>
      <sheetName val="H1210-对合营公司投资汇总-HK"/>
      <sheetName val="H1300-sub move-HK（仅适用于本部）"/>
      <sheetName val="H1400-商誉-HK"/>
      <sheetName val="H1500-非合并子公司-HK"/>
      <sheetName val="H1510-非合并子公司汇总-HK"/>
      <sheetName val="H1600-其它股票投资-HK"/>
      <sheetName val="H1610-其它股权投资-HK"/>
      <sheetName val="H1700-债券投资-HK"/>
      <sheetName val="H1710-其他债权投资-HK"/>
      <sheetName val="I100-内部往来"/>
      <sheetName val="I110财务公司往来"/>
      <sheetName val="I200-内部交易"/>
      <sheetName val="I300-未实现利润"/>
      <sheetName val="K100-在建工程、固定资产(PRC 04)"/>
      <sheetName val="K110-在建工程、固定资产 (HK 04)"/>
      <sheetName val="K200-在建工程-PRC"/>
      <sheetName val="K300-融资租入固定资产增减变动(PRC)"/>
      <sheetName val="K310-融资租入固定资产增减变动(HK) "/>
      <sheetName val="L100-无形资产 (PRC 04)"/>
      <sheetName val="L110-无形资产 (HK 04)"/>
      <sheetName val="L200-长期待摊费用"/>
      <sheetName val="L300-其他长期资产"/>
      <sheetName val="M100-短期借款"/>
      <sheetName val="N100-应付票据"/>
      <sheetName val="N200-应付帐款"/>
      <sheetName val="O100-应交税金"/>
      <sheetName val="O200-递延税款"/>
      <sheetName val="P100-预收货款"/>
      <sheetName val="P200-应付工资、福利费"/>
      <sheetName val="P300-应付股利"/>
      <sheetName val="P400-其他应交款"/>
      <sheetName val="P500-其他应付款"/>
      <sheetName val="P600-预提费用"/>
      <sheetName val="P700-预计负债"/>
      <sheetName val="P800-其他流动负债"/>
      <sheetName val="P900-一年内到期的长期负债"/>
      <sheetName val="Q100-长期借款"/>
      <sheetName val="Q200-长期应付款"/>
      <sheetName val="Q300-专项应付款"/>
      <sheetName val="Q400-其他长期负债"/>
      <sheetName val="S100-资本承诺"/>
      <sheetName val="S200-经营租赁"/>
      <sheetName val="S300-其他或有负债"/>
      <sheetName val="S400-法律诉讼"/>
      <sheetName val="T100-所有者权益变动表 "/>
      <sheetName val="T200少数股东权益"/>
      <sheetName val="U100-主营业务收支"/>
      <sheetName val="U110-销售成本倒轧表 "/>
      <sheetName val="U120-制造费用明细"/>
      <sheetName val="U200其他业务收支"/>
      <sheetName val="U210其它营运费用(HK)"/>
      <sheetName val="U300-销售费用"/>
      <sheetName val="U400-管理费用"/>
      <sheetName val="U500-财务费用"/>
      <sheetName val="U600-投资收益"/>
      <sheetName val="U700补贴收入"/>
      <sheetName val="U800-营业外收支"/>
      <sheetName val="W100关联方往来"/>
      <sheetName val="W200关联方交易"/>
      <sheetName val="W510-现金流量表附注1"/>
      <sheetName val="W520-现金流量表附注2"/>
      <sheetName val="W530-现金流量表附注3"/>
      <sheetName val="W600-HK Notes"/>
      <sheetName val="少数股东权益 -H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总汇"/>
      <sheetName val="页面"/>
      <sheetName val="历史数据客编表完成日期"/>
      <sheetName val="客户填表注意事项"/>
      <sheetName val="银行存款"/>
      <sheetName val="其他货币资金"/>
      <sheetName val="短期投资"/>
      <sheetName val="应收票据"/>
      <sheetName val="应收票据2"/>
      <sheetName val="应收账款"/>
      <sheetName val="应收账款期后回款"/>
      <sheetName val="应收股利"/>
      <sheetName val="预付账款"/>
      <sheetName val="其它应收帐款"/>
      <sheetName val="应收补贴款 "/>
      <sheetName val="存货"/>
      <sheetName val="期后发货"/>
      <sheetName val="内部采购存货 "/>
      <sheetName val="已开票未发货"/>
      <sheetName val="已发货未开票清单"/>
      <sheetName val="暂估入库"/>
      <sheetName val="固定资产 "/>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
      <sheetName val="无形资产"/>
      <sheetName val="其它资产"/>
      <sheetName val="长期投资汇总"/>
      <sheetName val="长期投资-对联营公司"/>
      <sheetName val="长期投资-对合营公司"/>
      <sheetName val="长期投资-对子公司"/>
      <sheetName val="长期投资-股票投资或股权投资"/>
      <sheetName val="长期投资-债券投资"/>
      <sheetName val="长期投资-其他投资"/>
      <sheetName val="集团内公司清单"/>
      <sheetName val="source"/>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总余额表"/>
      <sheetName val="CF底稿"/>
      <sheetName val="preCF"/>
      <sheetName val="preCE"/>
      <sheetName val="TB"/>
      <sheetName val="BS"/>
      <sheetName val="IS"/>
      <sheetName val="CF"/>
      <sheetName val="CE"/>
      <sheetName val="AJE"/>
      <sheetName val="所得税计算表"/>
      <sheetName val="CFJE"/>
      <sheetName val="UJE"/>
      <sheetName val="AJE1"/>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6">
          <cell r="U6" t="str">
            <v>前1期</v>
          </cell>
        </row>
        <row r="8">
          <cell r="T8" t="str">
            <v>itemID</v>
          </cell>
          <cell r="U8" t="str">
            <v>调整后金额</v>
          </cell>
        </row>
        <row r="9">
          <cell r="T9">
            <v>1</v>
          </cell>
        </row>
        <row r="10">
          <cell r="T10">
            <v>1000</v>
          </cell>
        </row>
        <row r="11">
          <cell r="T11">
            <v>1015</v>
          </cell>
          <cell r="U11">
            <v>810994.17</v>
          </cell>
        </row>
        <row r="12">
          <cell r="T12">
            <v>1021</v>
          </cell>
          <cell r="U12">
            <v>0</v>
          </cell>
        </row>
        <row r="13">
          <cell r="T13">
            <v>1302</v>
          </cell>
          <cell r="U13">
            <v>0</v>
          </cell>
        </row>
        <row r="14">
          <cell r="T14">
            <v>1101</v>
          </cell>
          <cell r="U14">
            <v>0</v>
          </cell>
        </row>
        <row r="15">
          <cell r="T15">
            <v>1115</v>
          </cell>
          <cell r="U15">
            <v>0</v>
          </cell>
        </row>
        <row r="16">
          <cell r="T16">
            <v>1121</v>
          </cell>
          <cell r="U16">
            <v>0</v>
          </cell>
        </row>
        <row r="17">
          <cell r="T17">
            <v>1122</v>
          </cell>
          <cell r="U17">
            <v>0</v>
          </cell>
        </row>
        <row r="18">
          <cell r="T18">
            <v>1125</v>
          </cell>
          <cell r="U18">
            <v>0</v>
          </cell>
        </row>
        <row r="19">
          <cell r="T19">
            <v>1127</v>
          </cell>
          <cell r="U19">
            <v>0</v>
          </cell>
        </row>
        <row r="20">
          <cell r="T20">
            <v>1211</v>
          </cell>
          <cell r="U20">
            <v>0</v>
          </cell>
        </row>
        <row r="21">
          <cell r="T21">
            <v>1212</v>
          </cell>
          <cell r="U21">
            <v>0</v>
          </cell>
        </row>
        <row r="22">
          <cell r="T22">
            <v>1132</v>
          </cell>
          <cell r="U22">
            <v>0</v>
          </cell>
        </row>
        <row r="23">
          <cell r="T23">
            <v>1131</v>
          </cell>
          <cell r="U23">
            <v>0</v>
          </cell>
        </row>
        <row r="24">
          <cell r="T24">
            <v>1221</v>
          </cell>
          <cell r="U24">
            <v>2000000</v>
          </cell>
        </row>
        <row r="25">
          <cell r="T25">
            <v>1111</v>
          </cell>
          <cell r="U25">
            <v>0</v>
          </cell>
        </row>
        <row r="26">
          <cell r="T26">
            <v>1400</v>
          </cell>
          <cell r="U26">
            <v>441</v>
          </cell>
        </row>
        <row r="27">
          <cell r="T27">
            <v>1315</v>
          </cell>
          <cell r="U27">
            <v>0</v>
          </cell>
        </row>
        <row r="28">
          <cell r="T28">
            <v>1495</v>
          </cell>
          <cell r="U28">
            <v>0</v>
          </cell>
        </row>
        <row r="29">
          <cell r="T29">
            <v>1496</v>
          </cell>
          <cell r="U29">
            <v>0</v>
          </cell>
        </row>
        <row r="30">
          <cell r="T30">
            <v>1498</v>
          </cell>
          <cell r="U30">
            <v>2811435.17</v>
          </cell>
        </row>
        <row r="31">
          <cell r="T31">
            <v>1500</v>
          </cell>
        </row>
        <row r="32">
          <cell r="T32">
            <v>1600</v>
          </cell>
          <cell r="U32">
            <v>0</v>
          </cell>
        </row>
        <row r="33">
          <cell r="T33">
            <v>1503</v>
          </cell>
          <cell r="U33">
            <v>0</v>
          </cell>
        </row>
        <row r="34">
          <cell r="T34">
            <v>1501</v>
          </cell>
          <cell r="U34">
            <v>0</v>
          </cell>
        </row>
        <row r="35">
          <cell r="T35">
            <v>1531</v>
          </cell>
          <cell r="U35">
            <v>0</v>
          </cell>
        </row>
        <row r="36">
          <cell r="T36">
            <v>1515</v>
          </cell>
          <cell r="U36">
            <v>0</v>
          </cell>
        </row>
        <row r="37">
          <cell r="T37">
            <v>1511</v>
          </cell>
          <cell r="U37">
            <v>0</v>
          </cell>
        </row>
        <row r="38">
          <cell r="T38">
            <v>1521</v>
          </cell>
          <cell r="U38">
            <v>0</v>
          </cell>
        </row>
        <row r="39">
          <cell r="T39">
            <v>1601</v>
          </cell>
          <cell r="U39">
            <v>3069.22</v>
          </cell>
        </row>
        <row r="40">
          <cell r="T40">
            <v>1604</v>
          </cell>
          <cell r="U40">
            <v>0</v>
          </cell>
        </row>
        <row r="41">
          <cell r="T41">
            <v>1605</v>
          </cell>
          <cell r="U41">
            <v>0</v>
          </cell>
        </row>
        <row r="42">
          <cell r="T42">
            <v>1606</v>
          </cell>
          <cell r="U42">
            <v>0</v>
          </cell>
        </row>
        <row r="43">
          <cell r="T43">
            <v>1621</v>
          </cell>
          <cell r="U43">
            <v>0</v>
          </cell>
        </row>
        <row r="44">
          <cell r="T44">
            <v>1631</v>
          </cell>
          <cell r="U44">
            <v>0</v>
          </cell>
        </row>
        <row r="45">
          <cell r="T45">
            <v>1701</v>
          </cell>
          <cell r="U45">
            <v>0</v>
          </cell>
        </row>
        <row r="46">
          <cell r="T46">
            <v>1700</v>
          </cell>
          <cell r="U46">
            <v>0</v>
          </cell>
        </row>
        <row r="47">
          <cell r="T47">
            <v>1711</v>
          </cell>
          <cell r="U47">
            <v>0</v>
          </cell>
        </row>
        <row r="48">
          <cell r="T48">
            <v>1801</v>
          </cell>
          <cell r="U48">
            <v>0</v>
          </cell>
        </row>
        <row r="49">
          <cell r="T49">
            <v>1811</v>
          </cell>
          <cell r="U49">
            <v>0</v>
          </cell>
        </row>
        <row r="50">
          <cell r="T50">
            <v>1996</v>
          </cell>
          <cell r="U50">
            <v>0</v>
          </cell>
        </row>
        <row r="51">
          <cell r="T51">
            <v>1998</v>
          </cell>
          <cell r="U51">
            <v>3069.22</v>
          </cell>
        </row>
        <row r="52">
          <cell r="T52">
            <v>1999</v>
          </cell>
          <cell r="U52">
            <v>2814504.39</v>
          </cell>
        </row>
        <row r="53">
          <cell r="T53">
            <v>2000</v>
          </cell>
          <cell r="U53">
            <v>0</v>
          </cell>
        </row>
        <row r="54">
          <cell r="T54">
            <v>2001</v>
          </cell>
          <cell r="U54">
            <v>0</v>
          </cell>
        </row>
        <row r="55">
          <cell r="T55">
            <v>2004</v>
          </cell>
          <cell r="U55">
            <v>0</v>
          </cell>
        </row>
        <row r="56">
          <cell r="T56">
            <v>2010</v>
          </cell>
          <cell r="U56">
            <v>0</v>
          </cell>
        </row>
        <row r="57">
          <cell r="T57">
            <v>2003</v>
          </cell>
          <cell r="U57">
            <v>0</v>
          </cell>
        </row>
        <row r="58">
          <cell r="T58">
            <v>2101</v>
          </cell>
          <cell r="U58">
            <v>0</v>
          </cell>
        </row>
        <row r="59">
          <cell r="T59">
            <v>2115</v>
          </cell>
          <cell r="U59">
            <v>0</v>
          </cell>
        </row>
        <row r="60">
          <cell r="T60">
            <v>2201</v>
          </cell>
          <cell r="U60">
            <v>0</v>
          </cell>
        </row>
        <row r="61">
          <cell r="T61">
            <v>2202</v>
          </cell>
          <cell r="U61">
            <v>500</v>
          </cell>
        </row>
        <row r="62">
          <cell r="T62">
            <v>2205</v>
          </cell>
          <cell r="U62">
            <v>3517858.15</v>
          </cell>
        </row>
        <row r="63">
          <cell r="T63">
            <v>2111</v>
          </cell>
          <cell r="U63">
            <v>0</v>
          </cell>
        </row>
        <row r="64">
          <cell r="T64">
            <v>2240</v>
          </cell>
          <cell r="U64">
            <v>0</v>
          </cell>
        </row>
        <row r="65">
          <cell r="T65">
            <v>2211</v>
          </cell>
          <cell r="U65">
            <v>114360.65</v>
          </cell>
        </row>
        <row r="66">
          <cell r="T66">
            <v>2221</v>
          </cell>
          <cell r="U66">
            <v>1518410.75</v>
          </cell>
        </row>
        <row r="67">
          <cell r="T67">
            <v>2231</v>
          </cell>
          <cell r="U67">
            <v>0</v>
          </cell>
        </row>
        <row r="68">
          <cell r="T68">
            <v>2232</v>
          </cell>
          <cell r="U68">
            <v>0</v>
          </cell>
        </row>
        <row r="69">
          <cell r="T69">
            <v>2241</v>
          </cell>
          <cell r="U69">
            <v>0</v>
          </cell>
        </row>
        <row r="70">
          <cell r="T70">
            <v>2261</v>
          </cell>
          <cell r="U70">
            <v>0</v>
          </cell>
        </row>
        <row r="71">
          <cell r="T71">
            <v>2310</v>
          </cell>
          <cell r="U71">
            <v>0</v>
          </cell>
        </row>
        <row r="72">
          <cell r="T72">
            <v>2311</v>
          </cell>
          <cell r="U72">
            <v>0</v>
          </cell>
        </row>
        <row r="73">
          <cell r="T73">
            <v>2312</v>
          </cell>
          <cell r="U73">
            <v>0</v>
          </cell>
        </row>
        <row r="74">
          <cell r="T74">
            <v>2315</v>
          </cell>
          <cell r="U74">
            <v>0</v>
          </cell>
        </row>
        <row r="75">
          <cell r="T75">
            <v>2395</v>
          </cell>
          <cell r="U75">
            <v>0</v>
          </cell>
        </row>
        <row r="76">
          <cell r="T76">
            <v>2396</v>
          </cell>
          <cell r="U76">
            <v>0</v>
          </cell>
        </row>
        <row r="77">
          <cell r="T77">
            <v>2498</v>
          </cell>
          <cell r="U77">
            <v>5151129.55</v>
          </cell>
        </row>
        <row r="78">
          <cell r="T78">
            <v>2500</v>
          </cell>
        </row>
        <row r="79">
          <cell r="T79">
            <v>2501</v>
          </cell>
          <cell r="U79">
            <v>0</v>
          </cell>
        </row>
        <row r="80">
          <cell r="T80">
            <v>2502</v>
          </cell>
          <cell r="U80">
            <v>0</v>
          </cell>
        </row>
        <row r="81">
          <cell r="T81">
            <v>2502.11</v>
          </cell>
          <cell r="U81">
            <v>0</v>
          </cell>
        </row>
        <row r="82">
          <cell r="T82">
            <v>2502.31</v>
          </cell>
          <cell r="U82">
            <v>0</v>
          </cell>
        </row>
        <row r="83">
          <cell r="T83">
            <v>2701</v>
          </cell>
          <cell r="U83">
            <v>0</v>
          </cell>
        </row>
        <row r="84">
          <cell r="T84">
            <v>2715</v>
          </cell>
          <cell r="U84">
            <v>0</v>
          </cell>
        </row>
        <row r="85">
          <cell r="T85">
            <v>2711</v>
          </cell>
          <cell r="U85">
            <v>0</v>
          </cell>
        </row>
        <row r="86">
          <cell r="T86">
            <v>2801</v>
          </cell>
          <cell r="U86">
            <v>0</v>
          </cell>
        </row>
        <row r="87">
          <cell r="T87">
            <v>2401</v>
          </cell>
          <cell r="U87">
            <v>0</v>
          </cell>
        </row>
        <row r="88">
          <cell r="T88">
            <v>2901</v>
          </cell>
          <cell r="U88">
            <v>0</v>
          </cell>
        </row>
        <row r="89">
          <cell r="T89">
            <v>2996</v>
          </cell>
          <cell r="U89">
            <v>0</v>
          </cell>
        </row>
        <row r="90">
          <cell r="T90">
            <v>2998</v>
          </cell>
          <cell r="U90">
            <v>0</v>
          </cell>
        </row>
        <row r="91">
          <cell r="T91">
            <v>2999</v>
          </cell>
          <cell r="U91">
            <v>5151129.55</v>
          </cell>
        </row>
        <row r="92">
          <cell r="T92">
            <v>4000</v>
          </cell>
        </row>
        <row r="93">
          <cell r="T93">
            <v>4001</v>
          </cell>
          <cell r="U93">
            <v>1000000</v>
          </cell>
        </row>
        <row r="94">
          <cell r="T94">
            <v>4015</v>
          </cell>
          <cell r="U94">
            <v>0</v>
          </cell>
        </row>
        <row r="95">
          <cell r="T95">
            <v>4015.11</v>
          </cell>
          <cell r="U95">
            <v>0</v>
          </cell>
        </row>
        <row r="96">
          <cell r="T96">
            <v>4015.31</v>
          </cell>
          <cell r="U96">
            <v>0</v>
          </cell>
        </row>
        <row r="97">
          <cell r="T97">
            <v>4002</v>
          </cell>
          <cell r="U97">
            <v>0</v>
          </cell>
        </row>
        <row r="98">
          <cell r="T98">
            <v>4201</v>
          </cell>
          <cell r="U98">
            <v>0</v>
          </cell>
        </row>
        <row r="99">
          <cell r="T99">
            <v>4215</v>
          </cell>
          <cell r="U99">
            <v>0</v>
          </cell>
        </row>
        <row r="100">
          <cell r="T100">
            <v>4301</v>
          </cell>
          <cell r="U100">
            <v>0</v>
          </cell>
        </row>
        <row r="101">
          <cell r="T101">
            <v>4101</v>
          </cell>
          <cell r="U101">
            <v>1063325.6200000001</v>
          </cell>
        </row>
        <row r="102">
          <cell r="T102">
            <v>4102</v>
          </cell>
          <cell r="U102">
            <v>0</v>
          </cell>
        </row>
        <row r="103">
          <cell r="T103">
            <v>4200</v>
          </cell>
          <cell r="U103">
            <v>-4399950.78</v>
          </cell>
        </row>
        <row r="104">
          <cell r="T104">
            <v>4210</v>
          </cell>
          <cell r="U104">
            <v>0</v>
          </cell>
        </row>
        <row r="105">
          <cell r="T105">
            <v>4298</v>
          </cell>
          <cell r="U105">
            <v>-2336625.16</v>
          </cell>
        </row>
        <row r="106">
          <cell r="T106">
            <v>4398</v>
          </cell>
          <cell r="U106">
            <v>0</v>
          </cell>
        </row>
        <row r="107">
          <cell r="T107">
            <v>4999</v>
          </cell>
          <cell r="U107">
            <v>-2336625.16</v>
          </cell>
        </row>
        <row r="108">
          <cell r="T108">
            <v>5000</v>
          </cell>
          <cell r="U108">
            <v>2814504.39</v>
          </cell>
        </row>
        <row r="109">
          <cell r="T109">
            <v>6</v>
          </cell>
        </row>
        <row r="110">
          <cell r="T110">
            <v>6098</v>
          </cell>
          <cell r="U110">
            <v>11314546.42</v>
          </cell>
        </row>
        <row r="111">
          <cell r="T111">
            <v>6001</v>
          </cell>
          <cell r="U111">
            <v>11314546.42</v>
          </cell>
        </row>
        <row r="112">
          <cell r="T112">
            <v>6011</v>
          </cell>
          <cell r="U112">
            <v>0</v>
          </cell>
        </row>
        <row r="113">
          <cell r="T113">
            <v>6030</v>
          </cell>
          <cell r="U113">
            <v>0</v>
          </cell>
        </row>
        <row r="114">
          <cell r="T114">
            <v>6021</v>
          </cell>
          <cell r="U114">
            <v>0</v>
          </cell>
        </row>
        <row r="115">
          <cell r="T115">
            <v>6598</v>
          </cell>
          <cell r="U115">
            <v>1060406.17</v>
          </cell>
        </row>
        <row r="116">
          <cell r="T116">
            <v>6401</v>
          </cell>
          <cell r="U116">
            <v>50</v>
          </cell>
        </row>
        <row r="117">
          <cell r="T117">
            <v>6411</v>
          </cell>
          <cell r="U117">
            <v>0</v>
          </cell>
        </row>
        <row r="118">
          <cell r="T118">
            <v>6421</v>
          </cell>
          <cell r="U118">
            <v>0</v>
          </cell>
        </row>
        <row r="119">
          <cell r="T119">
            <v>6531</v>
          </cell>
          <cell r="U119">
            <v>0</v>
          </cell>
        </row>
        <row r="120">
          <cell r="T120">
            <v>6510</v>
          </cell>
          <cell r="U120">
            <v>0</v>
          </cell>
        </row>
        <row r="121">
          <cell r="T121">
            <v>6505</v>
          </cell>
          <cell r="U121">
            <v>0</v>
          </cell>
        </row>
        <row r="122">
          <cell r="T122">
            <v>6521</v>
          </cell>
          <cell r="U122">
            <v>0</v>
          </cell>
        </row>
        <row r="123">
          <cell r="T123">
            <v>6542</v>
          </cell>
          <cell r="U123">
            <v>0</v>
          </cell>
        </row>
        <row r="124">
          <cell r="T124">
            <v>6600</v>
          </cell>
          <cell r="U124">
            <v>183617.68</v>
          </cell>
        </row>
        <row r="125">
          <cell r="T125">
            <v>6601</v>
          </cell>
          <cell r="U125">
            <v>2510</v>
          </cell>
        </row>
        <row r="126">
          <cell r="T126">
            <v>6602</v>
          </cell>
          <cell r="U126">
            <v>882859.39</v>
          </cell>
        </row>
        <row r="127">
          <cell r="T127">
            <v>6603</v>
          </cell>
          <cell r="U127">
            <v>-8630.9</v>
          </cell>
        </row>
        <row r="128">
          <cell r="T128">
            <v>6671</v>
          </cell>
          <cell r="U128">
            <v>0</v>
          </cell>
        </row>
        <row r="129">
          <cell r="T129">
            <v>6101</v>
          </cell>
          <cell r="U129">
            <v>0</v>
          </cell>
        </row>
        <row r="130">
          <cell r="T130">
            <v>6111</v>
          </cell>
          <cell r="U130">
            <v>0</v>
          </cell>
        </row>
        <row r="131">
          <cell r="T131">
            <v>6111.01</v>
          </cell>
          <cell r="U131">
            <v>0</v>
          </cell>
        </row>
        <row r="132">
          <cell r="T132">
            <v>6161</v>
          </cell>
          <cell r="U132">
            <v>0</v>
          </cell>
        </row>
        <row r="133">
          <cell r="T133">
            <v>6171</v>
          </cell>
          <cell r="U133">
            <v>0</v>
          </cell>
        </row>
        <row r="134">
          <cell r="T134">
            <v>6181</v>
          </cell>
          <cell r="U134">
            <v>0</v>
          </cell>
        </row>
        <row r="135">
          <cell r="T135">
            <v>6689</v>
          </cell>
          <cell r="U135">
            <v>10254140.25</v>
          </cell>
        </row>
        <row r="136">
          <cell r="T136">
            <v>6710</v>
          </cell>
          <cell r="U136">
            <v>1796768.84</v>
          </cell>
        </row>
        <row r="137">
          <cell r="T137">
            <v>6711</v>
          </cell>
          <cell r="U137">
            <v>0</v>
          </cell>
        </row>
        <row r="138">
          <cell r="T138">
            <v>6788</v>
          </cell>
          <cell r="U138">
            <v>12050909.09</v>
          </cell>
        </row>
        <row r="139">
          <cell r="T139">
            <v>6791</v>
          </cell>
          <cell r="U139">
            <v>1506363.64</v>
          </cell>
        </row>
        <row r="140">
          <cell r="T140">
            <v>6799</v>
          </cell>
          <cell r="U140">
            <v>10544545.449999999</v>
          </cell>
        </row>
        <row r="141">
          <cell r="T141">
            <v>6835</v>
          </cell>
        </row>
        <row r="142">
          <cell r="T142">
            <v>6816</v>
          </cell>
        </row>
        <row r="143">
          <cell r="T143">
            <v>6817</v>
          </cell>
        </row>
        <row r="144">
          <cell r="T144">
            <v>6830</v>
          </cell>
        </row>
        <row r="145">
          <cell r="T145">
            <v>6812</v>
          </cell>
          <cell r="U145">
            <v>0</v>
          </cell>
        </row>
        <row r="146">
          <cell r="T146">
            <v>6811</v>
          </cell>
          <cell r="U146">
            <v>10544545.449999999</v>
          </cell>
        </row>
        <row r="147">
          <cell r="T147">
            <v>6829</v>
          </cell>
          <cell r="U147">
            <v>0</v>
          </cell>
        </row>
        <row r="148">
          <cell r="T148">
            <v>6829.2</v>
          </cell>
          <cell r="U148">
            <v>0</v>
          </cell>
        </row>
        <row r="149">
          <cell r="T149">
            <v>6829.21</v>
          </cell>
          <cell r="U149">
            <v>0</v>
          </cell>
        </row>
        <row r="150">
          <cell r="T150">
            <v>6829.2110000000002</v>
          </cell>
          <cell r="U150">
            <v>0</v>
          </cell>
        </row>
        <row r="151">
          <cell r="T151">
            <v>6829.2120000000004</v>
          </cell>
          <cell r="U151">
            <v>0</v>
          </cell>
        </row>
        <row r="152">
          <cell r="T152">
            <v>6829.2190000000001</v>
          </cell>
          <cell r="U152">
            <v>0</v>
          </cell>
        </row>
        <row r="153">
          <cell r="T153">
            <v>6829.23</v>
          </cell>
          <cell r="U153">
            <v>0</v>
          </cell>
        </row>
        <row r="154">
          <cell r="T154">
            <v>6829.2309999999998</v>
          </cell>
          <cell r="U154">
            <v>0</v>
          </cell>
        </row>
        <row r="155">
          <cell r="T155">
            <v>6829.232</v>
          </cell>
          <cell r="U155">
            <v>0</v>
          </cell>
        </row>
        <row r="156">
          <cell r="T156">
            <v>6829.2330000000002</v>
          </cell>
          <cell r="U156">
            <v>0</v>
          </cell>
        </row>
        <row r="157">
          <cell r="T157">
            <v>6829.2340000000004</v>
          </cell>
          <cell r="U157">
            <v>0</v>
          </cell>
        </row>
        <row r="158">
          <cell r="T158">
            <v>6829.2349999999997</v>
          </cell>
          <cell r="U158">
            <v>0</v>
          </cell>
        </row>
        <row r="159">
          <cell r="T159">
            <v>6829.2359999999999</v>
          </cell>
          <cell r="U159">
            <v>0</v>
          </cell>
        </row>
        <row r="160">
          <cell r="T160">
            <v>6829.2370000000001</v>
          </cell>
          <cell r="U160">
            <v>0</v>
          </cell>
        </row>
        <row r="161">
          <cell r="T161">
            <v>6829.2389999999996</v>
          </cell>
          <cell r="U161">
            <v>0</v>
          </cell>
        </row>
        <row r="162">
          <cell r="T162">
            <v>6829.5</v>
          </cell>
          <cell r="U162">
            <v>0</v>
          </cell>
        </row>
        <row r="163">
          <cell r="T163">
            <v>6839</v>
          </cell>
          <cell r="U163">
            <v>10544545.449999999</v>
          </cell>
        </row>
        <row r="164">
          <cell r="T164">
            <v>6841</v>
          </cell>
          <cell r="U164">
            <v>10544545.449999999</v>
          </cell>
        </row>
        <row r="165">
          <cell r="T165">
            <v>6842</v>
          </cell>
          <cell r="U165">
            <v>0</v>
          </cell>
        </row>
        <row r="166">
          <cell r="T166">
            <v>6820</v>
          </cell>
        </row>
        <row r="167">
          <cell r="T167">
            <v>6821</v>
          </cell>
        </row>
        <row r="168">
          <cell r="T168">
            <v>6822</v>
          </cell>
        </row>
        <row r="169">
          <cell r="T169">
            <v>6710.11</v>
          </cell>
        </row>
        <row r="170">
          <cell r="T170">
            <v>6711.01</v>
          </cell>
        </row>
        <row r="171">
          <cell r="T171">
            <v>6805</v>
          </cell>
        </row>
        <row r="172">
          <cell r="T172">
            <v>8</v>
          </cell>
        </row>
        <row r="173">
          <cell r="T173">
            <v>8000</v>
          </cell>
        </row>
        <row r="174">
          <cell r="T174">
            <v>8001</v>
          </cell>
          <cell r="U174">
            <v>19118829.390000001</v>
          </cell>
        </row>
        <row r="175">
          <cell r="T175">
            <v>8002</v>
          </cell>
          <cell r="U175">
            <v>0</v>
          </cell>
        </row>
        <row r="176">
          <cell r="T176">
            <v>8003</v>
          </cell>
          <cell r="U176">
            <v>0</v>
          </cell>
        </row>
        <row r="177">
          <cell r="T177">
            <v>8004</v>
          </cell>
          <cell r="U177">
            <v>0</v>
          </cell>
        </row>
        <row r="178">
          <cell r="T178">
            <v>8009</v>
          </cell>
          <cell r="U178">
            <v>0</v>
          </cell>
        </row>
        <row r="179">
          <cell r="T179">
            <v>8010</v>
          </cell>
          <cell r="U179">
            <v>19118829.390000001</v>
          </cell>
        </row>
        <row r="180">
          <cell r="T180">
            <v>8090</v>
          </cell>
          <cell r="U180">
            <v>-21455454.550000001</v>
          </cell>
        </row>
        <row r="181">
          <cell r="T181">
            <v>8021</v>
          </cell>
          <cell r="U181">
            <v>10544545.449999999</v>
          </cell>
        </row>
        <row r="182">
          <cell r="T182">
            <v>8030</v>
          </cell>
          <cell r="U182">
            <v>0</v>
          </cell>
        </row>
        <row r="183">
          <cell r="T183">
            <v>8040</v>
          </cell>
          <cell r="U183">
            <v>10544545.449999999</v>
          </cell>
        </row>
        <row r="184">
          <cell r="T184">
            <v>8050</v>
          </cell>
          <cell r="U184">
            <v>0</v>
          </cell>
        </row>
        <row r="185">
          <cell r="T185">
            <v>8051</v>
          </cell>
          <cell r="U185">
            <v>0</v>
          </cell>
        </row>
        <row r="186">
          <cell r="T186">
            <v>8053</v>
          </cell>
          <cell r="U186">
            <v>0</v>
          </cell>
        </row>
        <row r="187">
          <cell r="T187">
            <v>8052</v>
          </cell>
          <cell r="U187">
            <v>0</v>
          </cell>
        </row>
        <row r="188">
          <cell r="T188">
            <v>8056</v>
          </cell>
          <cell r="U188">
            <v>0</v>
          </cell>
        </row>
        <row r="189">
          <cell r="T189">
            <v>8060</v>
          </cell>
          <cell r="U189">
            <v>-32000000</v>
          </cell>
        </row>
        <row r="190">
          <cell r="T190">
            <v>8061</v>
          </cell>
          <cell r="U190">
            <v>0</v>
          </cell>
        </row>
        <row r="191">
          <cell r="T191">
            <v>8062</v>
          </cell>
          <cell r="U191">
            <v>0</v>
          </cell>
        </row>
        <row r="192">
          <cell r="T192">
            <v>8063</v>
          </cell>
          <cell r="U192">
            <v>-32000000</v>
          </cell>
        </row>
        <row r="193">
          <cell r="T193">
            <v>8066</v>
          </cell>
          <cell r="U193">
            <v>0</v>
          </cell>
        </row>
        <row r="194">
          <cell r="T194">
            <v>8070</v>
          </cell>
          <cell r="U194">
            <v>0</v>
          </cell>
        </row>
        <row r="195">
          <cell r="T195">
            <v>8071</v>
          </cell>
          <cell r="U195">
            <v>0</v>
          </cell>
        </row>
        <row r="196">
          <cell r="T196">
            <v>8072</v>
          </cell>
          <cell r="U196">
            <v>0</v>
          </cell>
        </row>
        <row r="197">
          <cell r="T197">
            <v>8073</v>
          </cell>
          <cell r="U197">
            <v>0</v>
          </cell>
        </row>
        <row r="198">
          <cell r="T198">
            <v>8075</v>
          </cell>
          <cell r="U198">
            <v>0</v>
          </cell>
        </row>
        <row r="199">
          <cell r="T199">
            <v>8076</v>
          </cell>
          <cell r="U199">
            <v>0</v>
          </cell>
        </row>
        <row r="200">
          <cell r="T200">
            <v>8080</v>
          </cell>
          <cell r="U200">
            <v>0</v>
          </cell>
        </row>
        <row r="201">
          <cell r="T201">
            <v>8081</v>
          </cell>
          <cell r="U201">
            <v>0</v>
          </cell>
        </row>
        <row r="202">
          <cell r="T202">
            <v>8082</v>
          </cell>
          <cell r="U202">
            <v>0</v>
          </cell>
        </row>
        <row r="203">
          <cell r="T203">
            <v>8096</v>
          </cell>
          <cell r="U203">
            <v>0</v>
          </cell>
        </row>
        <row r="204">
          <cell r="T204">
            <v>8099</v>
          </cell>
          <cell r="U204">
            <v>-2336625.16</v>
          </cell>
        </row>
        <row r="205">
          <cell r="T205">
            <v>8100</v>
          </cell>
        </row>
        <row r="206">
          <cell r="T206">
            <v>8101</v>
          </cell>
          <cell r="U206">
            <v>1000000</v>
          </cell>
        </row>
        <row r="207">
          <cell r="T207">
            <v>8102</v>
          </cell>
          <cell r="U207">
            <v>0</v>
          </cell>
        </row>
        <row r="208">
          <cell r="T208">
            <v>8103</v>
          </cell>
          <cell r="U208">
            <v>0</v>
          </cell>
        </row>
        <row r="209">
          <cell r="T209">
            <v>8104</v>
          </cell>
          <cell r="U209">
            <v>0</v>
          </cell>
        </row>
        <row r="210">
          <cell r="T210">
            <v>8109</v>
          </cell>
          <cell r="U210">
            <v>0</v>
          </cell>
        </row>
        <row r="211">
          <cell r="T211">
            <v>8110</v>
          </cell>
          <cell r="U211">
            <v>1000000</v>
          </cell>
        </row>
        <row r="212">
          <cell r="T212">
            <v>8190</v>
          </cell>
          <cell r="U212">
            <v>0</v>
          </cell>
        </row>
        <row r="213">
          <cell r="T213">
            <v>8121</v>
          </cell>
          <cell r="U213">
            <v>0</v>
          </cell>
        </row>
        <row r="214">
          <cell r="T214">
            <v>8130</v>
          </cell>
          <cell r="U214">
            <v>0</v>
          </cell>
        </row>
        <row r="215">
          <cell r="T215">
            <v>8140</v>
          </cell>
          <cell r="U215">
            <v>0</v>
          </cell>
        </row>
        <row r="216">
          <cell r="T216">
            <v>8150</v>
          </cell>
          <cell r="U216">
            <v>0</v>
          </cell>
        </row>
        <row r="217">
          <cell r="T217">
            <v>8151</v>
          </cell>
          <cell r="U217">
            <v>0</v>
          </cell>
        </row>
        <row r="218">
          <cell r="T218">
            <v>8153</v>
          </cell>
          <cell r="U218">
            <v>0</v>
          </cell>
        </row>
        <row r="219">
          <cell r="T219">
            <v>8152</v>
          </cell>
          <cell r="U219">
            <v>0</v>
          </cell>
        </row>
        <row r="220">
          <cell r="T220">
            <v>8156</v>
          </cell>
          <cell r="U220">
            <v>0</v>
          </cell>
        </row>
        <row r="221">
          <cell r="T221">
            <v>8160</v>
          </cell>
          <cell r="U221">
            <v>0</v>
          </cell>
        </row>
        <row r="222">
          <cell r="T222">
            <v>8161</v>
          </cell>
          <cell r="U222">
            <v>0</v>
          </cell>
        </row>
        <row r="223">
          <cell r="T223">
            <v>8162</v>
          </cell>
          <cell r="U223">
            <v>0</v>
          </cell>
        </row>
        <row r="224">
          <cell r="T224">
            <v>8163</v>
          </cell>
          <cell r="U224">
            <v>0</v>
          </cell>
        </row>
        <row r="225">
          <cell r="T225">
            <v>8166</v>
          </cell>
          <cell r="U225">
            <v>0</v>
          </cell>
        </row>
        <row r="226">
          <cell r="T226">
            <v>8170</v>
          </cell>
          <cell r="U226">
            <v>0</v>
          </cell>
        </row>
        <row r="227">
          <cell r="T227">
            <v>8171</v>
          </cell>
          <cell r="U227">
            <v>0</v>
          </cell>
        </row>
        <row r="228">
          <cell r="T228">
            <v>8172</v>
          </cell>
          <cell r="U228">
            <v>0</v>
          </cell>
        </row>
        <row r="229">
          <cell r="T229">
            <v>8173</v>
          </cell>
          <cell r="U229">
            <v>0</v>
          </cell>
        </row>
        <row r="230">
          <cell r="T230">
            <v>8175</v>
          </cell>
          <cell r="U230">
            <v>0</v>
          </cell>
        </row>
        <row r="231">
          <cell r="T231">
            <v>8176</v>
          </cell>
          <cell r="U231">
            <v>0</v>
          </cell>
        </row>
        <row r="232">
          <cell r="T232">
            <v>8180</v>
          </cell>
          <cell r="U232">
            <v>0</v>
          </cell>
        </row>
        <row r="233">
          <cell r="T233">
            <v>8181</v>
          </cell>
          <cell r="U233">
            <v>0</v>
          </cell>
        </row>
        <row r="234">
          <cell r="T234">
            <v>8182</v>
          </cell>
          <cell r="U234">
            <v>0</v>
          </cell>
        </row>
        <row r="235">
          <cell r="T235">
            <v>8196</v>
          </cell>
          <cell r="U235">
            <v>0</v>
          </cell>
        </row>
        <row r="236">
          <cell r="T236">
            <v>8199</v>
          </cell>
          <cell r="U236">
            <v>1000000</v>
          </cell>
        </row>
        <row r="237">
          <cell r="T237" t="str">
            <v>8b00</v>
          </cell>
        </row>
        <row r="238">
          <cell r="T238" t="str">
            <v>8b01</v>
          </cell>
          <cell r="U238">
            <v>0</v>
          </cell>
        </row>
        <row r="239">
          <cell r="T239" t="str">
            <v>8b02</v>
          </cell>
          <cell r="U239">
            <v>0</v>
          </cell>
        </row>
        <row r="240">
          <cell r="T240" t="str">
            <v>8b03</v>
          </cell>
          <cell r="U240">
            <v>0</v>
          </cell>
        </row>
        <row r="241">
          <cell r="T241" t="str">
            <v>8b04</v>
          </cell>
          <cell r="U241">
            <v>0</v>
          </cell>
        </row>
        <row r="242">
          <cell r="T242" t="str">
            <v>8b09</v>
          </cell>
          <cell r="U242">
            <v>0</v>
          </cell>
        </row>
        <row r="243">
          <cell r="T243" t="str">
            <v>8b10</v>
          </cell>
          <cell r="U243">
            <v>0</v>
          </cell>
        </row>
        <row r="244">
          <cell r="T244" t="str">
            <v>8b90</v>
          </cell>
          <cell r="U244">
            <v>0</v>
          </cell>
        </row>
        <row r="245">
          <cell r="T245" t="str">
            <v>8b40</v>
          </cell>
          <cell r="U245">
            <v>0</v>
          </cell>
        </row>
        <row r="246">
          <cell r="T246" t="str">
            <v>8b50</v>
          </cell>
          <cell r="U246">
            <v>0</v>
          </cell>
        </row>
        <row r="247">
          <cell r="T247" t="str">
            <v>8b51</v>
          </cell>
          <cell r="U247">
            <v>0</v>
          </cell>
        </row>
        <row r="248">
          <cell r="T248" t="str">
            <v>8b53</v>
          </cell>
          <cell r="U248">
            <v>0</v>
          </cell>
        </row>
        <row r="249">
          <cell r="T249" t="str">
            <v>8b52</v>
          </cell>
          <cell r="U249">
            <v>0</v>
          </cell>
        </row>
        <row r="250">
          <cell r="T250" t="str">
            <v>8b56</v>
          </cell>
          <cell r="U250">
            <v>0</v>
          </cell>
        </row>
        <row r="251">
          <cell r="T251" t="str">
            <v>8b60</v>
          </cell>
          <cell r="U251">
            <v>0</v>
          </cell>
        </row>
        <row r="252">
          <cell r="T252" t="str">
            <v>8b61</v>
          </cell>
          <cell r="U252">
            <v>0</v>
          </cell>
        </row>
        <row r="253">
          <cell r="T253" t="str">
            <v>8b62</v>
          </cell>
          <cell r="U253">
            <v>0</v>
          </cell>
        </row>
        <row r="254">
          <cell r="T254" t="str">
            <v>8b63</v>
          </cell>
          <cell r="U254">
            <v>0</v>
          </cell>
        </row>
        <row r="255">
          <cell r="T255" t="str">
            <v>8b66</v>
          </cell>
          <cell r="U255">
            <v>0</v>
          </cell>
        </row>
        <row r="256">
          <cell r="T256" t="str">
            <v>8b70</v>
          </cell>
          <cell r="U256">
            <v>0</v>
          </cell>
        </row>
        <row r="257">
          <cell r="T257" t="str">
            <v>8b71</v>
          </cell>
          <cell r="U257">
            <v>0</v>
          </cell>
        </row>
        <row r="258">
          <cell r="T258" t="str">
            <v>8b72</v>
          </cell>
          <cell r="U258">
            <v>0</v>
          </cell>
        </row>
        <row r="259">
          <cell r="T259" t="str">
            <v>8b73</v>
          </cell>
          <cell r="U259">
            <v>0</v>
          </cell>
        </row>
        <row r="260">
          <cell r="T260" t="str">
            <v>8b75</v>
          </cell>
          <cell r="U260">
            <v>0</v>
          </cell>
        </row>
        <row r="261">
          <cell r="T261" t="str">
            <v>8b76</v>
          </cell>
          <cell r="U261">
            <v>0</v>
          </cell>
        </row>
        <row r="262">
          <cell r="T262" t="str">
            <v>8b80</v>
          </cell>
          <cell r="U262">
            <v>0</v>
          </cell>
        </row>
        <row r="263">
          <cell r="T263" t="str">
            <v>8b81</v>
          </cell>
          <cell r="U263">
            <v>0</v>
          </cell>
        </row>
        <row r="264">
          <cell r="T264" t="str">
            <v>8b82</v>
          </cell>
          <cell r="U264">
            <v>0</v>
          </cell>
        </row>
        <row r="265">
          <cell r="T265" t="str">
            <v>8b96</v>
          </cell>
          <cell r="U265">
            <v>0</v>
          </cell>
        </row>
        <row r="266">
          <cell r="T266" t="str">
            <v>8b99</v>
          </cell>
          <cell r="U266">
            <v>0</v>
          </cell>
        </row>
        <row r="267">
          <cell r="T267" t="str">
            <v>8c00</v>
          </cell>
        </row>
        <row r="268">
          <cell r="T268" t="str">
            <v>8c01</v>
          </cell>
          <cell r="U268">
            <v>0</v>
          </cell>
        </row>
        <row r="269">
          <cell r="T269" t="str">
            <v>8c02</v>
          </cell>
          <cell r="U269">
            <v>0</v>
          </cell>
        </row>
        <row r="270">
          <cell r="T270" t="str">
            <v>8c03</v>
          </cell>
          <cell r="U270">
            <v>0</v>
          </cell>
        </row>
        <row r="271">
          <cell r="T271" t="str">
            <v>8c04</v>
          </cell>
          <cell r="U271">
            <v>0</v>
          </cell>
        </row>
        <row r="272">
          <cell r="T272" t="str">
            <v>8c09</v>
          </cell>
          <cell r="U272">
            <v>0</v>
          </cell>
        </row>
        <row r="273">
          <cell r="T273" t="str">
            <v>8c10</v>
          </cell>
          <cell r="U273">
            <v>0</v>
          </cell>
        </row>
        <row r="274">
          <cell r="T274" t="str">
            <v>8c90</v>
          </cell>
          <cell r="U274">
            <v>0</v>
          </cell>
        </row>
        <row r="275">
          <cell r="T275" t="str">
            <v>8c40</v>
          </cell>
          <cell r="U275">
            <v>0</v>
          </cell>
        </row>
        <row r="276">
          <cell r="T276" t="str">
            <v>8c50</v>
          </cell>
          <cell r="U276">
            <v>0</v>
          </cell>
        </row>
        <row r="277">
          <cell r="T277" t="str">
            <v>8c51</v>
          </cell>
          <cell r="U277">
            <v>0</v>
          </cell>
        </row>
        <row r="278">
          <cell r="T278" t="str">
            <v>8c53</v>
          </cell>
          <cell r="U278">
            <v>0</v>
          </cell>
        </row>
        <row r="279">
          <cell r="T279" t="str">
            <v>8c52</v>
          </cell>
          <cell r="U279">
            <v>0</v>
          </cell>
        </row>
        <row r="280">
          <cell r="T280" t="str">
            <v>8c56</v>
          </cell>
          <cell r="U280">
            <v>0</v>
          </cell>
        </row>
        <row r="281">
          <cell r="T281" t="str">
            <v>8c60</v>
          </cell>
          <cell r="U281">
            <v>0</v>
          </cell>
        </row>
        <row r="282">
          <cell r="T282" t="str">
            <v>8c61</v>
          </cell>
          <cell r="U282">
            <v>0</v>
          </cell>
        </row>
        <row r="283">
          <cell r="T283" t="str">
            <v>8c62</v>
          </cell>
          <cell r="U283">
            <v>0</v>
          </cell>
        </row>
        <row r="284">
          <cell r="T284" t="str">
            <v>8c63</v>
          </cell>
          <cell r="U284">
            <v>0</v>
          </cell>
        </row>
        <row r="285">
          <cell r="T285" t="str">
            <v>8c66</v>
          </cell>
          <cell r="U285">
            <v>0</v>
          </cell>
        </row>
        <row r="286">
          <cell r="T286" t="str">
            <v>8c70</v>
          </cell>
          <cell r="U286">
            <v>0</v>
          </cell>
        </row>
        <row r="287">
          <cell r="T287" t="str">
            <v>8c71</v>
          </cell>
          <cell r="U287">
            <v>0</v>
          </cell>
        </row>
        <row r="288">
          <cell r="T288" t="str">
            <v>8c72</v>
          </cell>
          <cell r="U288">
            <v>0</v>
          </cell>
        </row>
        <row r="289">
          <cell r="T289" t="str">
            <v>8c73</v>
          </cell>
          <cell r="U289">
            <v>0</v>
          </cell>
        </row>
        <row r="290">
          <cell r="T290" t="str">
            <v>8c75</v>
          </cell>
          <cell r="U290">
            <v>0</v>
          </cell>
        </row>
        <row r="291">
          <cell r="T291" t="str">
            <v>8c76</v>
          </cell>
          <cell r="U291">
            <v>0</v>
          </cell>
        </row>
        <row r="292">
          <cell r="T292" t="str">
            <v>8c80</v>
          </cell>
          <cell r="U292">
            <v>0</v>
          </cell>
        </row>
        <row r="293">
          <cell r="T293" t="str">
            <v>8c81</v>
          </cell>
          <cell r="U293">
            <v>0</v>
          </cell>
        </row>
        <row r="294">
          <cell r="T294" t="str">
            <v>8c82</v>
          </cell>
          <cell r="U294">
            <v>0</v>
          </cell>
        </row>
        <row r="295">
          <cell r="T295" t="str">
            <v>8c96</v>
          </cell>
          <cell r="U295">
            <v>0</v>
          </cell>
        </row>
        <row r="296">
          <cell r="T296" t="str">
            <v>8c99</v>
          </cell>
          <cell r="U296">
            <v>0</v>
          </cell>
        </row>
        <row r="297">
          <cell r="T297" t="str">
            <v>8d00</v>
          </cell>
        </row>
        <row r="298">
          <cell r="T298" t="str">
            <v>8d01</v>
          </cell>
          <cell r="U298">
            <v>0</v>
          </cell>
        </row>
        <row r="299">
          <cell r="T299" t="str">
            <v>8d02</v>
          </cell>
          <cell r="U299">
            <v>0</v>
          </cell>
        </row>
        <row r="300">
          <cell r="T300" t="str">
            <v>8d03</v>
          </cell>
          <cell r="U300">
            <v>0</v>
          </cell>
        </row>
        <row r="301">
          <cell r="T301" t="str">
            <v>8d04</v>
          </cell>
          <cell r="U301">
            <v>0</v>
          </cell>
        </row>
        <row r="302">
          <cell r="T302" t="str">
            <v>8d09</v>
          </cell>
          <cell r="U302">
            <v>0</v>
          </cell>
        </row>
        <row r="303">
          <cell r="T303" t="str">
            <v>8d10</v>
          </cell>
          <cell r="U303">
            <v>0</v>
          </cell>
        </row>
        <row r="304">
          <cell r="T304" t="str">
            <v>8d90</v>
          </cell>
          <cell r="U304">
            <v>0</v>
          </cell>
        </row>
        <row r="305">
          <cell r="T305" t="str">
            <v>8d40</v>
          </cell>
          <cell r="U305">
            <v>0</v>
          </cell>
        </row>
        <row r="306">
          <cell r="T306" t="str">
            <v>8d50</v>
          </cell>
          <cell r="U306">
            <v>0</v>
          </cell>
        </row>
        <row r="307">
          <cell r="T307" t="str">
            <v>8d51</v>
          </cell>
          <cell r="U307">
            <v>0</v>
          </cell>
        </row>
        <row r="308">
          <cell r="T308" t="str">
            <v>8d53</v>
          </cell>
          <cell r="U308">
            <v>0</v>
          </cell>
        </row>
        <row r="309">
          <cell r="T309" t="str">
            <v>8d52</v>
          </cell>
          <cell r="U309">
            <v>0</v>
          </cell>
        </row>
        <row r="310">
          <cell r="T310" t="str">
            <v>8d56</v>
          </cell>
          <cell r="U310">
            <v>0</v>
          </cell>
        </row>
        <row r="311">
          <cell r="T311" t="str">
            <v>8d60</v>
          </cell>
          <cell r="U311">
            <v>0</v>
          </cell>
        </row>
        <row r="312">
          <cell r="T312" t="str">
            <v>8d61</v>
          </cell>
          <cell r="U312">
            <v>0</v>
          </cell>
        </row>
        <row r="313">
          <cell r="T313" t="str">
            <v>8d62</v>
          </cell>
          <cell r="U313">
            <v>0</v>
          </cell>
        </row>
        <row r="314">
          <cell r="T314" t="str">
            <v>8d63</v>
          </cell>
          <cell r="U314">
            <v>0</v>
          </cell>
        </row>
        <row r="315">
          <cell r="T315" t="str">
            <v>8d66</v>
          </cell>
          <cell r="U315">
            <v>0</v>
          </cell>
        </row>
        <row r="316">
          <cell r="T316" t="str">
            <v>8d70</v>
          </cell>
          <cell r="U316">
            <v>0</v>
          </cell>
        </row>
        <row r="317">
          <cell r="T317" t="str">
            <v>8d71</v>
          </cell>
          <cell r="U317">
            <v>0</v>
          </cell>
        </row>
        <row r="318">
          <cell r="T318" t="str">
            <v>8d72</v>
          </cell>
          <cell r="U318">
            <v>0</v>
          </cell>
        </row>
        <row r="319">
          <cell r="T319" t="str">
            <v>8d73</v>
          </cell>
          <cell r="U319">
            <v>0</v>
          </cell>
        </row>
        <row r="320">
          <cell r="T320" t="str">
            <v>8d75</v>
          </cell>
          <cell r="U320">
            <v>0</v>
          </cell>
        </row>
        <row r="321">
          <cell r="T321" t="str">
            <v>8d76</v>
          </cell>
          <cell r="U321">
            <v>0</v>
          </cell>
        </row>
        <row r="322">
          <cell r="T322" t="str">
            <v>8d80</v>
          </cell>
          <cell r="U322">
            <v>0</v>
          </cell>
        </row>
        <row r="323">
          <cell r="T323" t="str">
            <v>8d81</v>
          </cell>
          <cell r="U323">
            <v>0</v>
          </cell>
        </row>
        <row r="324">
          <cell r="T324" t="str">
            <v>8d82</v>
          </cell>
          <cell r="U324">
            <v>0</v>
          </cell>
        </row>
        <row r="325">
          <cell r="T325" t="str">
            <v>8d96</v>
          </cell>
          <cell r="U325">
            <v>0</v>
          </cell>
        </row>
        <row r="326">
          <cell r="T326" t="str">
            <v>8d99</v>
          </cell>
          <cell r="U326">
            <v>0</v>
          </cell>
        </row>
        <row r="327">
          <cell r="T327">
            <v>8200</v>
          </cell>
          <cell r="U327">
            <v>0</v>
          </cell>
        </row>
        <row r="328">
          <cell r="T328">
            <v>8201</v>
          </cell>
          <cell r="U328">
            <v>0</v>
          </cell>
        </row>
        <row r="329">
          <cell r="T329">
            <v>8202</v>
          </cell>
          <cell r="U329">
            <v>0</v>
          </cell>
        </row>
        <row r="330">
          <cell r="T330">
            <v>8203</v>
          </cell>
          <cell r="U330">
            <v>0</v>
          </cell>
        </row>
        <row r="331">
          <cell r="T331">
            <v>8204</v>
          </cell>
          <cell r="U331">
            <v>0</v>
          </cell>
        </row>
        <row r="332">
          <cell r="T332">
            <v>8209</v>
          </cell>
          <cell r="U332">
            <v>0</v>
          </cell>
        </row>
        <row r="333">
          <cell r="T333">
            <v>8210</v>
          </cell>
          <cell r="U333">
            <v>0</v>
          </cell>
        </row>
        <row r="334">
          <cell r="T334">
            <v>8290</v>
          </cell>
          <cell r="U334">
            <v>0</v>
          </cell>
        </row>
        <row r="335">
          <cell r="T335">
            <v>8221</v>
          </cell>
          <cell r="U335">
            <v>0</v>
          </cell>
        </row>
        <row r="336">
          <cell r="T336">
            <v>8230</v>
          </cell>
          <cell r="U336">
            <v>0</v>
          </cell>
        </row>
        <row r="337">
          <cell r="T337">
            <v>8240</v>
          </cell>
          <cell r="U337">
            <v>0</v>
          </cell>
        </row>
        <row r="338">
          <cell r="T338">
            <v>8250</v>
          </cell>
          <cell r="U338">
            <v>0</v>
          </cell>
        </row>
        <row r="339">
          <cell r="T339">
            <v>8251</v>
          </cell>
          <cell r="U339">
            <v>0</v>
          </cell>
        </row>
        <row r="340">
          <cell r="T340">
            <v>8253</v>
          </cell>
          <cell r="U340">
            <v>0</v>
          </cell>
        </row>
        <row r="341">
          <cell r="T341">
            <v>8252</v>
          </cell>
          <cell r="U341">
            <v>0</v>
          </cell>
        </row>
        <row r="342">
          <cell r="T342">
            <v>8256</v>
          </cell>
          <cell r="U342">
            <v>0</v>
          </cell>
        </row>
        <row r="343">
          <cell r="T343">
            <v>8260</v>
          </cell>
          <cell r="U343">
            <v>0</v>
          </cell>
        </row>
        <row r="344">
          <cell r="T344">
            <v>8261</v>
          </cell>
          <cell r="U344">
            <v>0</v>
          </cell>
        </row>
        <row r="345">
          <cell r="T345">
            <v>8262</v>
          </cell>
          <cell r="U345">
            <v>0</v>
          </cell>
        </row>
        <row r="346">
          <cell r="T346">
            <v>8263</v>
          </cell>
          <cell r="U346">
            <v>0</v>
          </cell>
        </row>
        <row r="347">
          <cell r="T347">
            <v>8266</v>
          </cell>
          <cell r="U347">
            <v>0</v>
          </cell>
        </row>
        <row r="348">
          <cell r="T348">
            <v>8270</v>
          </cell>
          <cell r="U348">
            <v>0</v>
          </cell>
        </row>
        <row r="349">
          <cell r="T349">
            <v>8271</v>
          </cell>
          <cell r="U349">
            <v>0</v>
          </cell>
        </row>
        <row r="350">
          <cell r="T350">
            <v>8272</v>
          </cell>
          <cell r="U350">
            <v>0</v>
          </cell>
        </row>
        <row r="351">
          <cell r="T351">
            <v>8273</v>
          </cell>
          <cell r="U351">
            <v>0</v>
          </cell>
        </row>
        <row r="352">
          <cell r="T352">
            <v>8275</v>
          </cell>
          <cell r="U352">
            <v>0</v>
          </cell>
        </row>
        <row r="353">
          <cell r="T353">
            <v>8276</v>
          </cell>
          <cell r="U353">
            <v>0</v>
          </cell>
        </row>
        <row r="354">
          <cell r="T354">
            <v>8280</v>
          </cell>
          <cell r="U354">
            <v>0</v>
          </cell>
        </row>
        <row r="355">
          <cell r="T355">
            <v>8281</v>
          </cell>
          <cell r="U355">
            <v>0</v>
          </cell>
        </row>
        <row r="356">
          <cell r="T356">
            <v>8282</v>
          </cell>
          <cell r="U356">
            <v>0</v>
          </cell>
        </row>
        <row r="357">
          <cell r="T357">
            <v>8296</v>
          </cell>
          <cell r="U357">
            <v>0</v>
          </cell>
        </row>
        <row r="358">
          <cell r="T358">
            <v>8299</v>
          </cell>
          <cell r="U358">
            <v>0</v>
          </cell>
        </row>
        <row r="359">
          <cell r="T359">
            <v>8300</v>
          </cell>
          <cell r="U359">
            <v>0</v>
          </cell>
        </row>
        <row r="360">
          <cell r="T360">
            <v>8301</v>
          </cell>
          <cell r="U360">
            <v>0</v>
          </cell>
        </row>
        <row r="361">
          <cell r="T361">
            <v>8302</v>
          </cell>
          <cell r="U361">
            <v>0</v>
          </cell>
        </row>
        <row r="362">
          <cell r="T362">
            <v>8303</v>
          </cell>
          <cell r="U362">
            <v>0</v>
          </cell>
        </row>
        <row r="363">
          <cell r="T363">
            <v>8304</v>
          </cell>
          <cell r="U363">
            <v>0</v>
          </cell>
        </row>
        <row r="364">
          <cell r="T364">
            <v>8309</v>
          </cell>
          <cell r="U364">
            <v>0</v>
          </cell>
        </row>
        <row r="365">
          <cell r="T365">
            <v>8310</v>
          </cell>
          <cell r="U365">
            <v>0</v>
          </cell>
        </row>
        <row r="366">
          <cell r="T366">
            <v>8390</v>
          </cell>
          <cell r="U366">
            <v>0</v>
          </cell>
        </row>
        <row r="367">
          <cell r="T367">
            <v>8321</v>
          </cell>
          <cell r="U367">
            <v>0</v>
          </cell>
        </row>
        <row r="368">
          <cell r="T368">
            <v>8330</v>
          </cell>
          <cell r="U368">
            <v>0</v>
          </cell>
        </row>
        <row r="369">
          <cell r="T369">
            <v>8340</v>
          </cell>
          <cell r="U369">
            <v>0</v>
          </cell>
        </row>
        <row r="370">
          <cell r="T370">
            <v>8350</v>
          </cell>
          <cell r="U370">
            <v>0</v>
          </cell>
        </row>
        <row r="371">
          <cell r="T371">
            <v>8351</v>
          </cell>
          <cell r="U371">
            <v>0</v>
          </cell>
        </row>
        <row r="372">
          <cell r="T372">
            <v>8353</v>
          </cell>
          <cell r="U372">
            <v>0</v>
          </cell>
        </row>
        <row r="373">
          <cell r="T373">
            <v>8352</v>
          </cell>
          <cell r="U373">
            <v>0</v>
          </cell>
        </row>
        <row r="374">
          <cell r="T374">
            <v>8356</v>
          </cell>
          <cell r="U374">
            <v>0</v>
          </cell>
        </row>
        <row r="375">
          <cell r="T375">
            <v>8360</v>
          </cell>
          <cell r="U375">
            <v>0</v>
          </cell>
        </row>
        <row r="376">
          <cell r="T376">
            <v>8361</v>
          </cell>
          <cell r="U376">
            <v>0</v>
          </cell>
        </row>
        <row r="377">
          <cell r="T377">
            <v>8362</v>
          </cell>
          <cell r="U377">
            <v>0</v>
          </cell>
        </row>
        <row r="378">
          <cell r="T378">
            <v>8363</v>
          </cell>
          <cell r="U378">
            <v>0</v>
          </cell>
        </row>
        <row r="379">
          <cell r="T379">
            <v>8366</v>
          </cell>
          <cell r="U379">
            <v>0</v>
          </cell>
        </row>
        <row r="380">
          <cell r="T380">
            <v>8370</v>
          </cell>
          <cell r="U380">
            <v>0</v>
          </cell>
        </row>
        <row r="381">
          <cell r="T381">
            <v>8371</v>
          </cell>
          <cell r="U381">
            <v>0</v>
          </cell>
        </row>
        <row r="382">
          <cell r="T382">
            <v>8372</v>
          </cell>
          <cell r="U382">
            <v>0</v>
          </cell>
        </row>
        <row r="383">
          <cell r="T383">
            <v>8373</v>
          </cell>
          <cell r="U383">
            <v>0</v>
          </cell>
        </row>
        <row r="384">
          <cell r="T384">
            <v>8375</v>
          </cell>
          <cell r="U384">
            <v>0</v>
          </cell>
        </row>
        <row r="385">
          <cell r="T385">
            <v>8376</v>
          </cell>
          <cell r="U385">
            <v>0</v>
          </cell>
        </row>
        <row r="386">
          <cell r="T386">
            <v>8380</v>
          </cell>
          <cell r="U386">
            <v>0</v>
          </cell>
        </row>
        <row r="387">
          <cell r="T387">
            <v>8381</v>
          </cell>
          <cell r="U387">
            <v>0</v>
          </cell>
        </row>
        <row r="388">
          <cell r="T388">
            <v>8382</v>
          </cell>
          <cell r="U388">
            <v>0</v>
          </cell>
        </row>
        <row r="389">
          <cell r="T389">
            <v>8396</v>
          </cell>
          <cell r="U389">
            <v>0</v>
          </cell>
        </row>
        <row r="390">
          <cell r="T390">
            <v>8399</v>
          </cell>
          <cell r="U390">
            <v>0</v>
          </cell>
        </row>
        <row r="391">
          <cell r="T391" t="str">
            <v>8g00</v>
          </cell>
        </row>
        <row r="392">
          <cell r="T392" t="str">
            <v>8g01</v>
          </cell>
          <cell r="U392">
            <v>0</v>
          </cell>
        </row>
        <row r="393">
          <cell r="T393" t="str">
            <v>8g02</v>
          </cell>
          <cell r="U393">
            <v>0</v>
          </cell>
        </row>
        <row r="394">
          <cell r="T394" t="str">
            <v>8g03</v>
          </cell>
          <cell r="U394">
            <v>0</v>
          </cell>
        </row>
        <row r="395">
          <cell r="T395" t="str">
            <v>8g04</v>
          </cell>
          <cell r="U395">
            <v>0</v>
          </cell>
        </row>
        <row r="396">
          <cell r="T396" t="str">
            <v>8g09</v>
          </cell>
          <cell r="U396">
            <v>0</v>
          </cell>
        </row>
        <row r="397">
          <cell r="T397" t="str">
            <v>8g10</v>
          </cell>
          <cell r="U397">
            <v>0</v>
          </cell>
        </row>
        <row r="398">
          <cell r="T398" t="str">
            <v>8g90</v>
          </cell>
          <cell r="U398">
            <v>0</v>
          </cell>
        </row>
        <row r="399">
          <cell r="T399" t="str">
            <v>8g40</v>
          </cell>
          <cell r="U399">
            <v>0</v>
          </cell>
        </row>
        <row r="400">
          <cell r="T400" t="str">
            <v>8g50</v>
          </cell>
          <cell r="U400">
            <v>0</v>
          </cell>
        </row>
        <row r="401">
          <cell r="T401" t="str">
            <v>8g51</v>
          </cell>
          <cell r="U401">
            <v>0</v>
          </cell>
        </row>
        <row r="402">
          <cell r="T402" t="str">
            <v>8g53</v>
          </cell>
          <cell r="U402">
            <v>0</v>
          </cell>
        </row>
        <row r="403">
          <cell r="T403" t="str">
            <v>8g52</v>
          </cell>
          <cell r="U403">
            <v>0</v>
          </cell>
        </row>
        <row r="404">
          <cell r="T404" t="str">
            <v>8g56</v>
          </cell>
          <cell r="U404">
            <v>0</v>
          </cell>
        </row>
        <row r="405">
          <cell r="T405" t="str">
            <v>8g60</v>
          </cell>
          <cell r="U405">
            <v>0</v>
          </cell>
        </row>
        <row r="406">
          <cell r="T406" t="str">
            <v>8g61</v>
          </cell>
          <cell r="U406">
            <v>0</v>
          </cell>
        </row>
        <row r="407">
          <cell r="T407" t="str">
            <v>8g62</v>
          </cell>
          <cell r="U407">
            <v>0</v>
          </cell>
        </row>
        <row r="408">
          <cell r="T408" t="str">
            <v>8g63</v>
          </cell>
          <cell r="U408">
            <v>0</v>
          </cell>
        </row>
        <row r="409">
          <cell r="T409" t="str">
            <v>8g66</v>
          </cell>
          <cell r="U409">
            <v>0</v>
          </cell>
        </row>
        <row r="410">
          <cell r="T410" t="str">
            <v>8g70</v>
          </cell>
          <cell r="U410">
            <v>0</v>
          </cell>
        </row>
        <row r="411">
          <cell r="T411" t="str">
            <v>8g71</v>
          </cell>
          <cell r="U411">
            <v>0</v>
          </cell>
        </row>
        <row r="412">
          <cell r="T412" t="str">
            <v>8g72</v>
          </cell>
          <cell r="U412">
            <v>0</v>
          </cell>
        </row>
        <row r="413">
          <cell r="T413" t="str">
            <v>8g73</v>
          </cell>
          <cell r="U413">
            <v>0</v>
          </cell>
        </row>
        <row r="414">
          <cell r="T414" t="str">
            <v>8g75</v>
          </cell>
          <cell r="U414">
            <v>0</v>
          </cell>
        </row>
        <row r="415">
          <cell r="T415" t="str">
            <v>8g76</v>
          </cell>
          <cell r="U415">
            <v>0</v>
          </cell>
        </row>
        <row r="416">
          <cell r="T416" t="str">
            <v>8g80</v>
          </cell>
          <cell r="U416">
            <v>0</v>
          </cell>
        </row>
        <row r="417">
          <cell r="T417" t="str">
            <v>8g81</v>
          </cell>
          <cell r="U417">
            <v>0</v>
          </cell>
        </row>
        <row r="418">
          <cell r="T418" t="str">
            <v>8g82</v>
          </cell>
          <cell r="U418">
            <v>0</v>
          </cell>
        </row>
        <row r="419">
          <cell r="T419" t="str">
            <v>8g96</v>
          </cell>
          <cell r="U419">
            <v>0</v>
          </cell>
        </row>
        <row r="420">
          <cell r="T420" t="str">
            <v>8g99</v>
          </cell>
          <cell r="U420">
            <v>0</v>
          </cell>
        </row>
        <row r="421">
          <cell r="T421">
            <v>8400</v>
          </cell>
          <cell r="U421">
            <v>0</v>
          </cell>
        </row>
        <row r="422">
          <cell r="T422">
            <v>8401</v>
          </cell>
          <cell r="U422">
            <v>0</v>
          </cell>
        </row>
        <row r="423">
          <cell r="T423">
            <v>8402</v>
          </cell>
          <cell r="U423">
            <v>0</v>
          </cell>
        </row>
        <row r="424">
          <cell r="T424">
            <v>8403</v>
          </cell>
          <cell r="U424">
            <v>0</v>
          </cell>
        </row>
        <row r="425">
          <cell r="T425">
            <v>8404</v>
          </cell>
          <cell r="U425">
            <v>0</v>
          </cell>
        </row>
        <row r="426">
          <cell r="T426">
            <v>8409</v>
          </cell>
          <cell r="U426">
            <v>0</v>
          </cell>
        </row>
        <row r="427">
          <cell r="T427">
            <v>8410</v>
          </cell>
          <cell r="U427">
            <v>0</v>
          </cell>
        </row>
        <row r="428">
          <cell r="T428">
            <v>8490</v>
          </cell>
          <cell r="U428">
            <v>0</v>
          </cell>
        </row>
        <row r="429">
          <cell r="T429">
            <v>8421</v>
          </cell>
          <cell r="U429">
            <v>0</v>
          </cell>
        </row>
        <row r="430">
          <cell r="T430">
            <v>8430</v>
          </cell>
          <cell r="U430">
            <v>0</v>
          </cell>
        </row>
        <row r="431">
          <cell r="T431">
            <v>8440</v>
          </cell>
          <cell r="U431">
            <v>0</v>
          </cell>
        </row>
        <row r="432">
          <cell r="T432">
            <v>8450</v>
          </cell>
          <cell r="U432">
            <v>0</v>
          </cell>
        </row>
        <row r="433">
          <cell r="T433">
            <v>8451</v>
          </cell>
          <cell r="U433">
            <v>0</v>
          </cell>
        </row>
        <row r="434">
          <cell r="T434">
            <v>8453</v>
          </cell>
          <cell r="U434">
            <v>0</v>
          </cell>
        </row>
        <row r="435">
          <cell r="T435">
            <v>8452</v>
          </cell>
          <cell r="U435">
            <v>0</v>
          </cell>
        </row>
        <row r="436">
          <cell r="T436">
            <v>8456</v>
          </cell>
          <cell r="U436">
            <v>0</v>
          </cell>
        </row>
        <row r="437">
          <cell r="T437">
            <v>8460</v>
          </cell>
          <cell r="U437">
            <v>0</v>
          </cell>
        </row>
        <row r="438">
          <cell r="T438">
            <v>8461</v>
          </cell>
          <cell r="U438">
            <v>0</v>
          </cell>
        </row>
        <row r="439">
          <cell r="T439">
            <v>8462</v>
          </cell>
          <cell r="U439">
            <v>0</v>
          </cell>
        </row>
        <row r="440">
          <cell r="T440">
            <v>8463</v>
          </cell>
          <cell r="U440">
            <v>0</v>
          </cell>
        </row>
        <row r="441">
          <cell r="T441">
            <v>8466</v>
          </cell>
          <cell r="U441">
            <v>0</v>
          </cell>
        </row>
        <row r="442">
          <cell r="T442">
            <v>8470</v>
          </cell>
          <cell r="U442">
            <v>0</v>
          </cell>
        </row>
        <row r="443">
          <cell r="T443">
            <v>8471</v>
          </cell>
          <cell r="U443">
            <v>0</v>
          </cell>
        </row>
        <row r="444">
          <cell r="T444">
            <v>8472</v>
          </cell>
          <cell r="U444">
            <v>0</v>
          </cell>
        </row>
        <row r="445">
          <cell r="T445">
            <v>8473</v>
          </cell>
          <cell r="U445">
            <v>0</v>
          </cell>
        </row>
        <row r="446">
          <cell r="T446">
            <v>8475</v>
          </cell>
          <cell r="U446">
            <v>0</v>
          </cell>
        </row>
        <row r="447">
          <cell r="T447">
            <v>8476</v>
          </cell>
          <cell r="U447">
            <v>0</v>
          </cell>
        </row>
        <row r="448">
          <cell r="T448">
            <v>8480</v>
          </cell>
          <cell r="U448">
            <v>0</v>
          </cell>
        </row>
        <row r="449">
          <cell r="T449">
            <v>8481</v>
          </cell>
          <cell r="U449">
            <v>0</v>
          </cell>
        </row>
        <row r="450">
          <cell r="T450">
            <v>8482</v>
          </cell>
          <cell r="U450">
            <v>0</v>
          </cell>
        </row>
        <row r="451">
          <cell r="T451">
            <v>8496</v>
          </cell>
          <cell r="U451">
            <v>0</v>
          </cell>
        </row>
        <row r="452">
          <cell r="T452">
            <v>8499</v>
          </cell>
          <cell r="U452">
            <v>0</v>
          </cell>
        </row>
        <row r="453">
          <cell r="T453">
            <v>8500</v>
          </cell>
          <cell r="U453">
            <v>0</v>
          </cell>
        </row>
        <row r="454">
          <cell r="T454">
            <v>8501</v>
          </cell>
          <cell r="U454">
            <v>1063325.6200000001</v>
          </cell>
        </row>
        <row r="455">
          <cell r="T455">
            <v>8502</v>
          </cell>
          <cell r="U455">
            <v>0</v>
          </cell>
        </row>
        <row r="456">
          <cell r="T456">
            <v>8503</v>
          </cell>
          <cell r="U456">
            <v>0</v>
          </cell>
        </row>
        <row r="457">
          <cell r="T457">
            <v>8504</v>
          </cell>
          <cell r="U457">
            <v>0</v>
          </cell>
        </row>
        <row r="458">
          <cell r="T458">
            <v>8509</v>
          </cell>
          <cell r="U458">
            <v>0</v>
          </cell>
        </row>
        <row r="459">
          <cell r="T459">
            <v>8510</v>
          </cell>
          <cell r="U459">
            <v>1063325.6200000001</v>
          </cell>
        </row>
        <row r="460">
          <cell r="T460">
            <v>8590</v>
          </cell>
          <cell r="U460">
            <v>0</v>
          </cell>
        </row>
        <row r="461">
          <cell r="T461">
            <v>8521</v>
          </cell>
          <cell r="U461">
            <v>0</v>
          </cell>
        </row>
        <row r="462">
          <cell r="T462">
            <v>8530</v>
          </cell>
          <cell r="U462">
            <v>0</v>
          </cell>
        </row>
        <row r="463">
          <cell r="T463">
            <v>8540</v>
          </cell>
          <cell r="U463">
            <v>0</v>
          </cell>
        </row>
        <row r="464">
          <cell r="T464">
            <v>8550</v>
          </cell>
          <cell r="U464">
            <v>0</v>
          </cell>
        </row>
        <row r="465">
          <cell r="T465">
            <v>8551</v>
          </cell>
          <cell r="U465">
            <v>0</v>
          </cell>
        </row>
        <row r="466">
          <cell r="T466">
            <v>8553</v>
          </cell>
          <cell r="U466">
            <v>0</v>
          </cell>
        </row>
        <row r="467">
          <cell r="T467">
            <v>8552</v>
          </cell>
          <cell r="U467">
            <v>0</v>
          </cell>
        </row>
        <row r="468">
          <cell r="T468">
            <v>8556</v>
          </cell>
          <cell r="U468">
            <v>0</v>
          </cell>
        </row>
        <row r="469">
          <cell r="T469">
            <v>8560</v>
          </cell>
          <cell r="U469">
            <v>0</v>
          </cell>
        </row>
        <row r="470">
          <cell r="T470">
            <v>8561</v>
          </cell>
          <cell r="U470">
            <v>0</v>
          </cell>
        </row>
        <row r="471">
          <cell r="T471">
            <v>8562</v>
          </cell>
          <cell r="U471">
            <v>0</v>
          </cell>
        </row>
        <row r="472">
          <cell r="T472">
            <v>8563</v>
          </cell>
          <cell r="U472">
            <v>0</v>
          </cell>
        </row>
        <row r="473">
          <cell r="T473">
            <v>8566</v>
          </cell>
          <cell r="U473">
            <v>0</v>
          </cell>
        </row>
        <row r="474">
          <cell r="T474">
            <v>8570</v>
          </cell>
          <cell r="U474">
            <v>0</v>
          </cell>
        </row>
        <row r="475">
          <cell r="T475">
            <v>8571</v>
          </cell>
          <cell r="U475">
            <v>0</v>
          </cell>
        </row>
        <row r="476">
          <cell r="T476">
            <v>8572</v>
          </cell>
          <cell r="U476">
            <v>0</v>
          </cell>
        </row>
        <row r="477">
          <cell r="T477">
            <v>8573</v>
          </cell>
          <cell r="U477">
            <v>0</v>
          </cell>
        </row>
        <row r="478">
          <cell r="T478">
            <v>8575</v>
          </cell>
          <cell r="U478">
            <v>0</v>
          </cell>
        </row>
        <row r="479">
          <cell r="T479">
            <v>8576</v>
          </cell>
          <cell r="U479">
            <v>0</v>
          </cell>
        </row>
        <row r="480">
          <cell r="T480">
            <v>8580</v>
          </cell>
          <cell r="U480">
            <v>0</v>
          </cell>
        </row>
        <row r="481">
          <cell r="T481">
            <v>8581</v>
          </cell>
          <cell r="U481">
            <v>0</v>
          </cell>
        </row>
        <row r="482">
          <cell r="T482">
            <v>8582</v>
          </cell>
          <cell r="U482">
            <v>0</v>
          </cell>
        </row>
        <row r="483">
          <cell r="T483">
            <v>8596</v>
          </cell>
          <cell r="U483">
            <v>0</v>
          </cell>
        </row>
        <row r="484">
          <cell r="T484">
            <v>8599</v>
          </cell>
          <cell r="U484">
            <v>1063325.6200000001</v>
          </cell>
        </row>
        <row r="485">
          <cell r="T485">
            <v>8600</v>
          </cell>
          <cell r="U485">
            <v>0</v>
          </cell>
        </row>
        <row r="486">
          <cell r="T486">
            <v>8601</v>
          </cell>
          <cell r="U486">
            <v>0</v>
          </cell>
        </row>
        <row r="487">
          <cell r="T487">
            <v>8602</v>
          </cell>
          <cell r="U487">
            <v>0</v>
          </cell>
        </row>
        <row r="488">
          <cell r="T488">
            <v>8603</v>
          </cell>
          <cell r="U488">
            <v>0</v>
          </cell>
        </row>
        <row r="489">
          <cell r="T489">
            <v>8604</v>
          </cell>
          <cell r="U489">
            <v>0</v>
          </cell>
        </row>
        <row r="490">
          <cell r="T490">
            <v>8609</v>
          </cell>
          <cell r="U490">
            <v>0</v>
          </cell>
        </row>
        <row r="491">
          <cell r="T491">
            <v>8610</v>
          </cell>
          <cell r="U491">
            <v>0</v>
          </cell>
        </row>
        <row r="492">
          <cell r="T492">
            <v>8690</v>
          </cell>
          <cell r="U492">
            <v>0</v>
          </cell>
        </row>
        <row r="493">
          <cell r="T493">
            <v>8621</v>
          </cell>
          <cell r="U493">
            <v>0</v>
          </cell>
        </row>
        <row r="494">
          <cell r="T494">
            <v>8630</v>
          </cell>
          <cell r="U494">
            <v>0</v>
          </cell>
        </row>
        <row r="495">
          <cell r="T495">
            <v>8640</v>
          </cell>
          <cell r="U495">
            <v>0</v>
          </cell>
        </row>
        <row r="496">
          <cell r="T496">
            <v>8650</v>
          </cell>
          <cell r="U496">
            <v>0</v>
          </cell>
        </row>
        <row r="497">
          <cell r="T497">
            <v>8651</v>
          </cell>
          <cell r="U497">
            <v>0</v>
          </cell>
        </row>
        <row r="498">
          <cell r="T498">
            <v>8653</v>
          </cell>
          <cell r="U498">
            <v>0</v>
          </cell>
        </row>
        <row r="499">
          <cell r="T499">
            <v>8652</v>
          </cell>
          <cell r="U499">
            <v>0</v>
          </cell>
        </row>
        <row r="500">
          <cell r="T500">
            <v>8656</v>
          </cell>
          <cell r="U500">
            <v>0</v>
          </cell>
        </row>
        <row r="501">
          <cell r="T501">
            <v>8660</v>
          </cell>
          <cell r="U501">
            <v>0</v>
          </cell>
        </row>
        <row r="502">
          <cell r="T502">
            <v>8661</v>
          </cell>
          <cell r="U502">
            <v>0</v>
          </cell>
        </row>
        <row r="503">
          <cell r="T503">
            <v>8662</v>
          </cell>
          <cell r="U503">
            <v>0</v>
          </cell>
        </row>
        <row r="504">
          <cell r="T504">
            <v>8663</v>
          </cell>
          <cell r="U504">
            <v>0</v>
          </cell>
        </row>
        <row r="505">
          <cell r="T505">
            <v>8666</v>
          </cell>
          <cell r="U505">
            <v>0</v>
          </cell>
        </row>
        <row r="506">
          <cell r="T506">
            <v>8670</v>
          </cell>
          <cell r="U506">
            <v>0</v>
          </cell>
        </row>
        <row r="507">
          <cell r="T507">
            <v>8671</v>
          </cell>
          <cell r="U507">
            <v>0</v>
          </cell>
        </row>
        <row r="508">
          <cell r="T508">
            <v>8672</v>
          </cell>
          <cell r="U508">
            <v>0</v>
          </cell>
        </row>
        <row r="509">
          <cell r="T509">
            <v>8673</v>
          </cell>
          <cell r="U509">
            <v>0</v>
          </cell>
        </row>
        <row r="510">
          <cell r="T510">
            <v>8675</v>
          </cell>
          <cell r="U510">
            <v>0</v>
          </cell>
        </row>
        <row r="511">
          <cell r="T511">
            <v>8676</v>
          </cell>
          <cell r="U511">
            <v>0</v>
          </cell>
        </row>
        <row r="512">
          <cell r="T512">
            <v>8680</v>
          </cell>
          <cell r="U512">
            <v>0</v>
          </cell>
        </row>
        <row r="513">
          <cell r="T513">
            <v>8681</v>
          </cell>
          <cell r="U513">
            <v>0</v>
          </cell>
        </row>
        <row r="514">
          <cell r="T514">
            <v>8682</v>
          </cell>
          <cell r="U514">
            <v>0</v>
          </cell>
        </row>
        <row r="515">
          <cell r="T515">
            <v>8696</v>
          </cell>
          <cell r="U515">
            <v>0</v>
          </cell>
        </row>
        <row r="516">
          <cell r="T516">
            <v>8699</v>
          </cell>
          <cell r="U516">
            <v>0</v>
          </cell>
        </row>
        <row r="517">
          <cell r="T517">
            <v>8700</v>
          </cell>
          <cell r="U517">
            <v>0</v>
          </cell>
        </row>
        <row r="518">
          <cell r="T518">
            <v>8701</v>
          </cell>
          <cell r="U518">
            <v>17055503.77</v>
          </cell>
        </row>
        <row r="519">
          <cell r="T519">
            <v>8702</v>
          </cell>
          <cell r="U519">
            <v>0</v>
          </cell>
        </row>
        <row r="520">
          <cell r="T520">
            <v>8703</v>
          </cell>
          <cell r="U520">
            <v>0</v>
          </cell>
        </row>
        <row r="521">
          <cell r="T521">
            <v>8704</v>
          </cell>
          <cell r="U521">
            <v>0</v>
          </cell>
        </row>
        <row r="522">
          <cell r="T522">
            <v>8709</v>
          </cell>
          <cell r="U522">
            <v>0</v>
          </cell>
        </row>
        <row r="523">
          <cell r="T523">
            <v>8710</v>
          </cell>
          <cell r="U523">
            <v>17055503.77</v>
          </cell>
        </row>
        <row r="524">
          <cell r="T524">
            <v>8790</v>
          </cell>
          <cell r="U524">
            <v>-21455454.550000001</v>
          </cell>
        </row>
        <row r="525">
          <cell r="T525">
            <v>8721</v>
          </cell>
          <cell r="U525">
            <v>10544545.449999999</v>
          </cell>
        </row>
        <row r="526">
          <cell r="T526">
            <v>8730</v>
          </cell>
        </row>
        <row r="527">
          <cell r="T527">
            <v>8740</v>
          </cell>
          <cell r="U527">
            <v>10544545.449999999</v>
          </cell>
        </row>
        <row r="528">
          <cell r="T528">
            <v>8750</v>
          </cell>
          <cell r="U528">
            <v>0</v>
          </cell>
        </row>
        <row r="529">
          <cell r="T529">
            <v>8751</v>
          </cell>
          <cell r="U529">
            <v>0</v>
          </cell>
        </row>
        <row r="530">
          <cell r="T530">
            <v>8753</v>
          </cell>
          <cell r="U530">
            <v>0</v>
          </cell>
        </row>
        <row r="531">
          <cell r="T531">
            <v>8752</v>
          </cell>
          <cell r="U531">
            <v>0</v>
          </cell>
        </row>
        <row r="532">
          <cell r="T532">
            <v>8756</v>
          </cell>
          <cell r="U532">
            <v>0</v>
          </cell>
        </row>
        <row r="533">
          <cell r="T533">
            <v>8760</v>
          </cell>
          <cell r="U533">
            <v>-32000000</v>
          </cell>
        </row>
        <row r="534">
          <cell r="T534">
            <v>8761</v>
          </cell>
          <cell r="U534">
            <v>0</v>
          </cell>
        </row>
        <row r="535">
          <cell r="T535">
            <v>8762</v>
          </cell>
          <cell r="U535">
            <v>0</v>
          </cell>
        </row>
        <row r="536">
          <cell r="T536">
            <v>8763</v>
          </cell>
          <cell r="U536">
            <v>-32000000</v>
          </cell>
        </row>
        <row r="537">
          <cell r="T537">
            <v>8766</v>
          </cell>
          <cell r="U537">
            <v>0</v>
          </cell>
        </row>
        <row r="538">
          <cell r="T538">
            <v>8770</v>
          </cell>
          <cell r="U538">
            <v>0</v>
          </cell>
        </row>
        <row r="539">
          <cell r="T539">
            <v>8771</v>
          </cell>
          <cell r="U539">
            <v>0</v>
          </cell>
        </row>
        <row r="540">
          <cell r="T540">
            <v>8772</v>
          </cell>
          <cell r="U540">
            <v>0</v>
          </cell>
        </row>
        <row r="541">
          <cell r="T541">
            <v>8773</v>
          </cell>
          <cell r="U541">
            <v>0</v>
          </cell>
        </row>
        <row r="542">
          <cell r="T542">
            <v>8775</v>
          </cell>
          <cell r="U542">
            <v>0</v>
          </cell>
        </row>
        <row r="543">
          <cell r="T543">
            <v>8776</v>
          </cell>
          <cell r="U543">
            <v>0</v>
          </cell>
        </row>
        <row r="544">
          <cell r="T544">
            <v>8780</v>
          </cell>
          <cell r="U544">
            <v>0</v>
          </cell>
        </row>
        <row r="545">
          <cell r="T545">
            <v>8781</v>
          </cell>
          <cell r="U545">
            <v>0</v>
          </cell>
        </row>
        <row r="546">
          <cell r="T546">
            <v>8782</v>
          </cell>
          <cell r="U546">
            <v>0</v>
          </cell>
        </row>
        <row r="547">
          <cell r="T547">
            <v>8796</v>
          </cell>
          <cell r="U547">
            <v>0</v>
          </cell>
        </row>
        <row r="548">
          <cell r="T548">
            <v>8799</v>
          </cell>
          <cell r="U548">
            <v>-4399950.78</v>
          </cell>
        </row>
        <row r="549">
          <cell r="T549">
            <v>8800</v>
          </cell>
          <cell r="U549">
            <v>0</v>
          </cell>
        </row>
        <row r="550">
          <cell r="T550">
            <v>8801</v>
          </cell>
          <cell r="U550">
            <v>0</v>
          </cell>
        </row>
        <row r="551">
          <cell r="T551">
            <v>8802</v>
          </cell>
          <cell r="U551">
            <v>0</v>
          </cell>
        </row>
        <row r="552">
          <cell r="T552">
            <v>8803</v>
          </cell>
          <cell r="U552">
            <v>0</v>
          </cell>
        </row>
        <row r="553">
          <cell r="T553">
            <v>8804</v>
          </cell>
          <cell r="U553">
            <v>0</v>
          </cell>
        </row>
        <row r="554">
          <cell r="T554">
            <v>8809</v>
          </cell>
          <cell r="U554">
            <v>0</v>
          </cell>
        </row>
        <row r="555">
          <cell r="T555">
            <v>8810</v>
          </cell>
          <cell r="U555">
            <v>0</v>
          </cell>
        </row>
        <row r="556">
          <cell r="T556">
            <v>8890</v>
          </cell>
          <cell r="U556">
            <v>0</v>
          </cell>
        </row>
        <row r="557">
          <cell r="T557">
            <v>8821</v>
          </cell>
          <cell r="U557">
            <v>0</v>
          </cell>
        </row>
        <row r="558">
          <cell r="T558">
            <v>8830</v>
          </cell>
          <cell r="U558">
            <v>0</v>
          </cell>
        </row>
        <row r="559">
          <cell r="T559">
            <v>8840</v>
          </cell>
          <cell r="U559">
            <v>0</v>
          </cell>
        </row>
        <row r="560">
          <cell r="T560">
            <v>8850</v>
          </cell>
          <cell r="U560">
            <v>0</v>
          </cell>
        </row>
        <row r="561">
          <cell r="T561">
            <v>8851</v>
          </cell>
          <cell r="U561">
            <v>0</v>
          </cell>
        </row>
        <row r="562">
          <cell r="T562">
            <v>8853</v>
          </cell>
          <cell r="U562">
            <v>0</v>
          </cell>
        </row>
        <row r="563">
          <cell r="T563">
            <v>8852</v>
          </cell>
          <cell r="U563">
            <v>0</v>
          </cell>
        </row>
        <row r="564">
          <cell r="T564">
            <v>8856</v>
          </cell>
          <cell r="U564">
            <v>0</v>
          </cell>
        </row>
        <row r="565">
          <cell r="T565">
            <v>8860</v>
          </cell>
          <cell r="U565">
            <v>0</v>
          </cell>
        </row>
        <row r="566">
          <cell r="T566">
            <v>8861</v>
          </cell>
          <cell r="U566">
            <v>0</v>
          </cell>
        </row>
        <row r="567">
          <cell r="T567">
            <v>8862</v>
          </cell>
          <cell r="U567">
            <v>0</v>
          </cell>
        </row>
        <row r="568">
          <cell r="T568">
            <v>8863</v>
          </cell>
          <cell r="U568">
            <v>0</v>
          </cell>
        </row>
        <row r="569">
          <cell r="T569">
            <v>8866</v>
          </cell>
          <cell r="U569">
            <v>0</v>
          </cell>
        </row>
        <row r="570">
          <cell r="T570">
            <v>8870</v>
          </cell>
          <cell r="U570">
            <v>0</v>
          </cell>
        </row>
        <row r="571">
          <cell r="T571">
            <v>8871</v>
          </cell>
          <cell r="U571">
            <v>0</v>
          </cell>
        </row>
        <row r="572">
          <cell r="T572">
            <v>8872</v>
          </cell>
          <cell r="U572">
            <v>0</v>
          </cell>
        </row>
        <row r="573">
          <cell r="T573">
            <v>8873</v>
          </cell>
          <cell r="U573">
            <v>0</v>
          </cell>
        </row>
        <row r="574">
          <cell r="T574">
            <v>8875</v>
          </cell>
          <cell r="U574">
            <v>0</v>
          </cell>
        </row>
        <row r="575">
          <cell r="T575">
            <v>8876</v>
          </cell>
          <cell r="U575">
            <v>0</v>
          </cell>
        </row>
        <row r="576">
          <cell r="T576">
            <v>8880</v>
          </cell>
          <cell r="U576">
            <v>0</v>
          </cell>
        </row>
        <row r="577">
          <cell r="T577">
            <v>8881</v>
          </cell>
          <cell r="U577">
            <v>0</v>
          </cell>
        </row>
        <row r="578">
          <cell r="T578">
            <v>8882</v>
          </cell>
          <cell r="U578">
            <v>0</v>
          </cell>
        </row>
        <row r="579">
          <cell r="T579">
            <v>8896</v>
          </cell>
          <cell r="U579">
            <v>0</v>
          </cell>
        </row>
        <row r="580">
          <cell r="T580">
            <v>8899</v>
          </cell>
          <cell r="U580">
            <v>0</v>
          </cell>
        </row>
        <row r="581">
          <cell r="T581">
            <v>8900</v>
          </cell>
          <cell r="U581">
            <v>0</v>
          </cell>
        </row>
        <row r="582">
          <cell r="T582">
            <v>8901</v>
          </cell>
          <cell r="U582">
            <v>0</v>
          </cell>
        </row>
        <row r="583">
          <cell r="T583">
            <v>8902</v>
          </cell>
          <cell r="U583">
            <v>0</v>
          </cell>
        </row>
        <row r="584">
          <cell r="T584">
            <v>8903</v>
          </cell>
          <cell r="U584">
            <v>0</v>
          </cell>
        </row>
        <row r="585">
          <cell r="T585">
            <v>8904</v>
          </cell>
          <cell r="U585">
            <v>0</v>
          </cell>
        </row>
        <row r="586">
          <cell r="T586">
            <v>8909</v>
          </cell>
          <cell r="U586">
            <v>0</v>
          </cell>
        </row>
        <row r="587">
          <cell r="T587">
            <v>8910</v>
          </cell>
          <cell r="U587">
            <v>0</v>
          </cell>
        </row>
        <row r="588">
          <cell r="T588">
            <v>8990</v>
          </cell>
          <cell r="U588">
            <v>0</v>
          </cell>
        </row>
        <row r="589">
          <cell r="T589">
            <v>8921</v>
          </cell>
          <cell r="U589">
            <v>0</v>
          </cell>
        </row>
        <row r="590">
          <cell r="T590">
            <v>8930</v>
          </cell>
          <cell r="U590">
            <v>0</v>
          </cell>
        </row>
        <row r="591">
          <cell r="T591">
            <v>8940</v>
          </cell>
          <cell r="U591">
            <v>0</v>
          </cell>
        </row>
        <row r="592">
          <cell r="T592">
            <v>8950</v>
          </cell>
          <cell r="U592">
            <v>0</v>
          </cell>
        </row>
        <row r="593">
          <cell r="T593">
            <v>8951</v>
          </cell>
          <cell r="U593">
            <v>0</v>
          </cell>
        </row>
        <row r="594">
          <cell r="T594">
            <v>8953</v>
          </cell>
          <cell r="U594">
            <v>0</v>
          </cell>
        </row>
        <row r="595">
          <cell r="T595">
            <v>8952</v>
          </cell>
          <cell r="U595">
            <v>0</v>
          </cell>
        </row>
        <row r="596">
          <cell r="T596">
            <v>8956</v>
          </cell>
          <cell r="U596">
            <v>0</v>
          </cell>
        </row>
        <row r="597">
          <cell r="T597">
            <v>8960</v>
          </cell>
          <cell r="U597">
            <v>0</v>
          </cell>
        </row>
        <row r="598">
          <cell r="T598">
            <v>8961</v>
          </cell>
          <cell r="U598">
            <v>0</v>
          </cell>
        </row>
        <row r="599">
          <cell r="T599">
            <v>8962</v>
          </cell>
          <cell r="U599">
            <v>0</v>
          </cell>
        </row>
        <row r="600">
          <cell r="T600">
            <v>8963</v>
          </cell>
          <cell r="U600">
            <v>0</v>
          </cell>
        </row>
        <row r="601">
          <cell r="T601">
            <v>8966</v>
          </cell>
          <cell r="U601">
            <v>0</v>
          </cell>
        </row>
        <row r="602">
          <cell r="T602">
            <v>8970</v>
          </cell>
          <cell r="U602">
            <v>0</v>
          </cell>
        </row>
        <row r="603">
          <cell r="T603">
            <v>8971</v>
          </cell>
          <cell r="U603">
            <v>0</v>
          </cell>
        </row>
        <row r="604">
          <cell r="T604">
            <v>8972</v>
          </cell>
          <cell r="U604">
            <v>0</v>
          </cell>
        </row>
        <row r="605">
          <cell r="T605">
            <v>8973</v>
          </cell>
          <cell r="U605">
            <v>0</v>
          </cell>
        </row>
        <row r="606">
          <cell r="T606">
            <v>8975</v>
          </cell>
          <cell r="U606">
            <v>0</v>
          </cell>
        </row>
        <row r="607">
          <cell r="T607">
            <v>8976</v>
          </cell>
          <cell r="U607">
            <v>0</v>
          </cell>
        </row>
        <row r="608">
          <cell r="T608">
            <v>8980</v>
          </cell>
          <cell r="U608">
            <v>0</v>
          </cell>
        </row>
        <row r="609">
          <cell r="T609">
            <v>8981</v>
          </cell>
          <cell r="U609">
            <v>0</v>
          </cell>
        </row>
        <row r="610">
          <cell r="T610">
            <v>8982</v>
          </cell>
          <cell r="U610">
            <v>0</v>
          </cell>
        </row>
        <row r="611">
          <cell r="T611">
            <v>8996</v>
          </cell>
          <cell r="U611">
            <v>0</v>
          </cell>
        </row>
        <row r="612">
          <cell r="T612">
            <v>8999</v>
          </cell>
          <cell r="U612">
            <v>0</v>
          </cell>
        </row>
        <row r="613">
          <cell r="T613">
            <v>7</v>
          </cell>
        </row>
        <row r="614">
          <cell r="T614">
            <v>7000</v>
          </cell>
        </row>
        <row r="615">
          <cell r="T615">
            <v>7001</v>
          </cell>
          <cell r="U615">
            <v>484595</v>
          </cell>
        </row>
        <row r="616">
          <cell r="T616">
            <v>7011</v>
          </cell>
          <cell r="U616">
            <v>0</v>
          </cell>
        </row>
        <row r="617">
          <cell r="T617">
            <v>7012</v>
          </cell>
          <cell r="U617">
            <v>0</v>
          </cell>
        </row>
        <row r="618">
          <cell r="T618">
            <v>7013</v>
          </cell>
          <cell r="U618">
            <v>0</v>
          </cell>
        </row>
        <row r="619">
          <cell r="T619">
            <v>7014</v>
          </cell>
          <cell r="U619">
            <v>0</v>
          </cell>
        </row>
        <row r="620">
          <cell r="T620">
            <v>7015</v>
          </cell>
          <cell r="U620">
            <v>0</v>
          </cell>
        </row>
        <row r="621">
          <cell r="T621">
            <v>7016</v>
          </cell>
          <cell r="U621">
            <v>0</v>
          </cell>
        </row>
        <row r="622">
          <cell r="T622">
            <v>7021</v>
          </cell>
          <cell r="U622">
            <v>0</v>
          </cell>
        </row>
        <row r="623">
          <cell r="T623">
            <v>7023</v>
          </cell>
          <cell r="U623">
            <v>0</v>
          </cell>
        </row>
        <row r="624">
          <cell r="T624">
            <v>7025</v>
          </cell>
          <cell r="U624">
            <v>0</v>
          </cell>
        </row>
        <row r="625">
          <cell r="T625">
            <v>7026</v>
          </cell>
          <cell r="U625">
            <v>0</v>
          </cell>
        </row>
        <row r="626">
          <cell r="T626">
            <v>7031</v>
          </cell>
          <cell r="U626">
            <v>2706199.79</v>
          </cell>
        </row>
        <row r="627">
          <cell r="T627">
            <v>7046</v>
          </cell>
          <cell r="U627">
            <v>13259.93</v>
          </cell>
        </row>
        <row r="628">
          <cell r="T628">
            <v>7048</v>
          </cell>
          <cell r="U628">
            <v>3204054.72</v>
          </cell>
        </row>
        <row r="629">
          <cell r="T629">
            <v>7051</v>
          </cell>
          <cell r="U629">
            <v>0</v>
          </cell>
        </row>
        <row r="630">
          <cell r="T630">
            <v>7053</v>
          </cell>
          <cell r="U630">
            <v>0</v>
          </cell>
        </row>
        <row r="631">
          <cell r="T631">
            <v>7054</v>
          </cell>
          <cell r="U631">
            <v>0</v>
          </cell>
        </row>
        <row r="632">
          <cell r="T632">
            <v>7055</v>
          </cell>
          <cell r="U632">
            <v>0</v>
          </cell>
        </row>
        <row r="633">
          <cell r="T633">
            <v>7056</v>
          </cell>
          <cell r="U633">
            <v>0</v>
          </cell>
        </row>
        <row r="634">
          <cell r="T634">
            <v>7057</v>
          </cell>
          <cell r="U634">
            <v>0</v>
          </cell>
        </row>
        <row r="635">
          <cell r="T635">
            <v>7061</v>
          </cell>
          <cell r="U635">
            <v>821956.82</v>
          </cell>
        </row>
        <row r="636">
          <cell r="T636">
            <v>7071</v>
          </cell>
          <cell r="U636">
            <v>3239494.12</v>
          </cell>
        </row>
        <row r="637">
          <cell r="T637">
            <v>7096</v>
          </cell>
          <cell r="U637">
            <v>2284016.2599999998</v>
          </cell>
        </row>
        <row r="638">
          <cell r="T638">
            <v>7098</v>
          </cell>
          <cell r="U638">
            <v>6345467.2000000002</v>
          </cell>
        </row>
        <row r="639">
          <cell r="T639">
            <v>7099</v>
          </cell>
          <cell r="U639">
            <v>-3141412.48</v>
          </cell>
        </row>
        <row r="640">
          <cell r="T640">
            <v>7100</v>
          </cell>
          <cell r="U640">
            <v>0</v>
          </cell>
        </row>
        <row r="641">
          <cell r="T641">
            <v>7101</v>
          </cell>
          <cell r="U641">
            <v>0</v>
          </cell>
        </row>
        <row r="642">
          <cell r="T642">
            <v>7105</v>
          </cell>
          <cell r="U642">
            <v>0</v>
          </cell>
        </row>
        <row r="643">
          <cell r="T643">
            <v>7111</v>
          </cell>
          <cell r="U643">
            <v>0</v>
          </cell>
        </row>
        <row r="644">
          <cell r="T644">
            <v>7121</v>
          </cell>
          <cell r="U644">
            <v>0</v>
          </cell>
        </row>
        <row r="645">
          <cell r="T645">
            <v>7146</v>
          </cell>
          <cell r="U645">
            <v>0</v>
          </cell>
        </row>
        <row r="646">
          <cell r="T646">
            <v>7148</v>
          </cell>
          <cell r="U646">
            <v>0</v>
          </cell>
        </row>
        <row r="647">
          <cell r="T647">
            <v>7151</v>
          </cell>
          <cell r="U647">
            <v>0</v>
          </cell>
        </row>
        <row r="648">
          <cell r="T648">
            <v>7161</v>
          </cell>
          <cell r="U648">
            <v>0</v>
          </cell>
        </row>
        <row r="649">
          <cell r="T649">
            <v>7165</v>
          </cell>
          <cell r="U649">
            <v>0</v>
          </cell>
        </row>
        <row r="650">
          <cell r="T650">
            <v>7171</v>
          </cell>
          <cell r="U650">
            <v>0</v>
          </cell>
        </row>
        <row r="651">
          <cell r="T651">
            <v>7196</v>
          </cell>
          <cell r="U651">
            <v>0</v>
          </cell>
        </row>
        <row r="652">
          <cell r="T652">
            <v>7198</v>
          </cell>
          <cell r="U652">
            <v>0</v>
          </cell>
        </row>
        <row r="653">
          <cell r="T653">
            <v>7199</v>
          </cell>
          <cell r="U653">
            <v>0</v>
          </cell>
        </row>
        <row r="654">
          <cell r="T654">
            <v>7200</v>
          </cell>
          <cell r="U654">
            <v>0</v>
          </cell>
        </row>
        <row r="655">
          <cell r="T655">
            <v>7201</v>
          </cell>
          <cell r="U655">
            <v>0</v>
          </cell>
        </row>
        <row r="656">
          <cell r="T656">
            <v>7201.01</v>
          </cell>
          <cell r="U656">
            <v>0</v>
          </cell>
        </row>
        <row r="657">
          <cell r="T657">
            <v>7211</v>
          </cell>
          <cell r="U657">
            <v>0</v>
          </cell>
        </row>
        <row r="658">
          <cell r="T658">
            <v>7221</v>
          </cell>
          <cell r="U658">
            <v>0</v>
          </cell>
        </row>
        <row r="659">
          <cell r="T659">
            <v>7246</v>
          </cell>
          <cell r="U659">
            <v>0</v>
          </cell>
        </row>
        <row r="660">
          <cell r="T660">
            <v>7248</v>
          </cell>
          <cell r="U660">
            <v>0</v>
          </cell>
        </row>
        <row r="661">
          <cell r="T661">
            <v>7251</v>
          </cell>
          <cell r="U661">
            <v>0</v>
          </cell>
        </row>
        <row r="662">
          <cell r="T662">
            <v>7261</v>
          </cell>
          <cell r="U662">
            <v>0</v>
          </cell>
        </row>
        <row r="663">
          <cell r="T663">
            <v>7261.01</v>
          </cell>
          <cell r="U663">
            <v>0</v>
          </cell>
        </row>
        <row r="664">
          <cell r="T664">
            <v>7296</v>
          </cell>
          <cell r="U664">
            <v>0</v>
          </cell>
        </row>
        <row r="665">
          <cell r="T665">
            <v>7296.11</v>
          </cell>
          <cell r="U665">
            <v>0</v>
          </cell>
        </row>
        <row r="666">
          <cell r="T666">
            <v>7298</v>
          </cell>
          <cell r="U666">
            <v>0</v>
          </cell>
        </row>
        <row r="667">
          <cell r="T667">
            <v>7299</v>
          </cell>
          <cell r="U667">
            <v>0</v>
          </cell>
        </row>
        <row r="668">
          <cell r="T668">
            <v>7309</v>
          </cell>
          <cell r="U668">
            <v>0</v>
          </cell>
        </row>
        <row r="669">
          <cell r="T669">
            <v>7348</v>
          </cell>
          <cell r="U669">
            <v>-3141412.48</v>
          </cell>
        </row>
        <row r="670">
          <cell r="T670">
            <v>7349</v>
          </cell>
          <cell r="U670">
            <v>3952406.65</v>
          </cell>
        </row>
        <row r="671">
          <cell r="T671">
            <v>7399</v>
          </cell>
          <cell r="U671">
            <v>810994.17</v>
          </cell>
        </row>
        <row r="672">
          <cell r="T672">
            <v>19</v>
          </cell>
        </row>
        <row r="673">
          <cell r="T673">
            <v>1122.1231</v>
          </cell>
          <cell r="U673">
            <v>0</v>
          </cell>
        </row>
        <row r="674">
          <cell r="T674">
            <v>1125.1231</v>
          </cell>
          <cell r="U674">
            <v>0</v>
          </cell>
        </row>
        <row r="675">
          <cell r="T675">
            <v>1221.1231</v>
          </cell>
          <cell r="U675">
            <v>0</v>
          </cell>
        </row>
        <row r="676">
          <cell r="T676">
            <v>1400.1470999999999</v>
          </cell>
          <cell r="U676">
            <v>0</v>
          </cell>
        </row>
        <row r="677">
          <cell r="T677">
            <v>1503.1504</v>
          </cell>
          <cell r="U677">
            <v>0</v>
          </cell>
        </row>
        <row r="678">
          <cell r="T678">
            <v>1501.1502</v>
          </cell>
          <cell r="U678">
            <v>0</v>
          </cell>
        </row>
        <row r="679">
          <cell r="T679">
            <v>1511.1512</v>
          </cell>
          <cell r="U679">
            <v>0</v>
          </cell>
        </row>
        <row r="680">
          <cell r="T680">
            <v>1521.1522</v>
          </cell>
          <cell r="U680">
            <v>0</v>
          </cell>
        </row>
        <row r="681">
          <cell r="T681">
            <v>1601.1603</v>
          </cell>
          <cell r="U681">
            <v>0</v>
          </cell>
        </row>
        <row r="682">
          <cell r="T682">
            <v>1605.1608000000001</v>
          </cell>
          <cell r="U682">
            <v>0</v>
          </cell>
        </row>
        <row r="683">
          <cell r="T683">
            <v>1604.1606999999999</v>
          </cell>
          <cell r="U683">
            <v>0</v>
          </cell>
        </row>
        <row r="684">
          <cell r="T684">
            <v>1621.1623999999999</v>
          </cell>
          <cell r="U684">
            <v>0</v>
          </cell>
        </row>
        <row r="685">
          <cell r="T685">
            <v>1631.1632999999999</v>
          </cell>
          <cell r="U685">
            <v>0</v>
          </cell>
        </row>
        <row r="686">
          <cell r="T686">
            <v>1701.1703</v>
          </cell>
          <cell r="U686">
            <v>0</v>
          </cell>
        </row>
        <row r="687">
          <cell r="T687">
            <v>1711.1712</v>
          </cell>
          <cell r="U687">
            <v>0</v>
          </cell>
        </row>
        <row r="688">
          <cell r="T688">
            <v>1991.1992</v>
          </cell>
          <cell r="U688">
            <v>0</v>
          </cell>
        </row>
        <row r="689">
          <cell r="T689">
            <v>1991</v>
          </cell>
          <cell r="U689">
            <v>0</v>
          </cell>
        </row>
        <row r="690">
          <cell r="T690">
            <v>7500</v>
          </cell>
        </row>
        <row r="691">
          <cell r="T691">
            <v>7501</v>
          </cell>
        </row>
        <row r="692">
          <cell r="T692">
            <v>7502</v>
          </cell>
          <cell r="U692">
            <v>10252108.630000001</v>
          </cell>
        </row>
        <row r="693">
          <cell r="T693">
            <v>7503</v>
          </cell>
          <cell r="U693">
            <v>0</v>
          </cell>
        </row>
        <row r="694">
          <cell r="T694">
            <v>7505</v>
          </cell>
          <cell r="U694">
            <v>1463.64</v>
          </cell>
        </row>
        <row r="695">
          <cell r="T695">
            <v>7506</v>
          </cell>
          <cell r="U695">
            <v>0</v>
          </cell>
        </row>
        <row r="696">
          <cell r="T696">
            <v>7507</v>
          </cell>
          <cell r="U696">
            <v>0</v>
          </cell>
        </row>
        <row r="697">
          <cell r="T697">
            <v>7508</v>
          </cell>
          <cell r="U697">
            <v>0</v>
          </cell>
        </row>
        <row r="698">
          <cell r="T698">
            <v>7509</v>
          </cell>
          <cell r="U698">
            <v>0</v>
          </cell>
        </row>
        <row r="699">
          <cell r="T699">
            <v>7510</v>
          </cell>
          <cell r="U699">
            <v>0</v>
          </cell>
        </row>
        <row r="700">
          <cell r="T700">
            <v>7511</v>
          </cell>
          <cell r="U700">
            <v>0</v>
          </cell>
        </row>
        <row r="701">
          <cell r="T701">
            <v>7512</v>
          </cell>
          <cell r="U701">
            <v>0</v>
          </cell>
        </row>
        <row r="702">
          <cell r="T702">
            <v>7515</v>
          </cell>
          <cell r="U702">
            <v>0</v>
          </cell>
        </row>
        <row r="703">
          <cell r="T703">
            <v>7516</v>
          </cell>
          <cell r="U703">
            <v>0</v>
          </cell>
        </row>
        <row r="704">
          <cell r="T704">
            <v>7517</v>
          </cell>
          <cell r="U704">
            <v>50</v>
          </cell>
        </row>
        <row r="705">
          <cell r="T705">
            <v>7518</v>
          </cell>
          <cell r="U705">
            <v>-17311058.77</v>
          </cell>
        </row>
        <row r="706">
          <cell r="T706">
            <v>7519</v>
          </cell>
          <cell r="U706">
            <v>3623587.2</v>
          </cell>
        </row>
        <row r="707">
          <cell r="T707">
            <v>7523</v>
          </cell>
          <cell r="U707">
            <v>0</v>
          </cell>
        </row>
        <row r="708">
          <cell r="T708">
            <v>7525</v>
          </cell>
          <cell r="U708">
            <v>-3433849.3</v>
          </cell>
        </row>
        <row r="709">
          <cell r="T709">
            <v>7526</v>
          </cell>
        </row>
        <row r="710">
          <cell r="T710">
            <v>7527</v>
          </cell>
          <cell r="U710">
            <v>0</v>
          </cell>
        </row>
        <row r="711">
          <cell r="T711">
            <v>7528</v>
          </cell>
          <cell r="U711">
            <v>0</v>
          </cell>
        </row>
        <row r="712">
          <cell r="T712">
            <v>7529</v>
          </cell>
          <cell r="U712">
            <v>0</v>
          </cell>
        </row>
        <row r="713">
          <cell r="T713">
            <v>7533</v>
          </cell>
        </row>
        <row r="714">
          <cell r="T714">
            <v>7535</v>
          </cell>
          <cell r="U714">
            <v>810994.17</v>
          </cell>
        </row>
        <row r="715">
          <cell r="T715">
            <v>7536</v>
          </cell>
          <cell r="U715">
            <v>3952406.65</v>
          </cell>
        </row>
        <row r="716">
          <cell r="T716">
            <v>7537</v>
          </cell>
          <cell r="U716">
            <v>0</v>
          </cell>
        </row>
        <row r="717">
          <cell r="T717">
            <v>7538</v>
          </cell>
          <cell r="U717">
            <v>0</v>
          </cell>
        </row>
        <row r="718">
          <cell r="T718">
            <v>7539</v>
          </cell>
          <cell r="U718">
            <v>-3141412.48</v>
          </cell>
        </row>
        <row r="719">
          <cell r="T719">
            <v>6829.5110000000004</v>
          </cell>
          <cell r="U719">
            <v>0</v>
          </cell>
        </row>
        <row r="720">
          <cell r="T720">
            <v>6829.5119999999997</v>
          </cell>
          <cell r="U720">
            <v>0</v>
          </cell>
        </row>
        <row r="721">
          <cell r="T721">
            <v>6829.5190000000002</v>
          </cell>
          <cell r="U721">
            <v>0</v>
          </cell>
        </row>
        <row r="722">
          <cell r="T722">
            <v>6829.5309999999999</v>
          </cell>
          <cell r="U722">
            <v>0</v>
          </cell>
        </row>
        <row r="723">
          <cell r="T723">
            <v>6829.5320000000002</v>
          </cell>
          <cell r="U723">
            <v>0</v>
          </cell>
        </row>
        <row r="724">
          <cell r="T724">
            <v>6829.5330000000004</v>
          </cell>
          <cell r="U724">
            <v>0</v>
          </cell>
        </row>
        <row r="725">
          <cell r="T725">
            <v>6829.5339999999997</v>
          </cell>
          <cell r="U725">
            <v>0</v>
          </cell>
        </row>
        <row r="726">
          <cell r="T726">
            <v>6829.5349999999999</v>
          </cell>
          <cell r="U726">
            <v>0</v>
          </cell>
        </row>
        <row r="727">
          <cell r="T727">
            <v>6829.5360000000001</v>
          </cell>
          <cell r="U727">
            <v>0</v>
          </cell>
        </row>
        <row r="728">
          <cell r="T728">
            <v>6829.5370000000003</v>
          </cell>
          <cell r="U728">
            <v>0</v>
          </cell>
        </row>
        <row r="729">
          <cell r="T729">
            <v>6829.5389999999998</v>
          </cell>
          <cell r="U729">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Menu"/>
      <sheetName val="noteChecks"/>
      <sheetName val="Checks"/>
      <sheetName val="Units"/>
      <sheetName val="conWP"/>
      <sheetName val="conBS"/>
      <sheetName val="conIS"/>
      <sheetName val="conCF"/>
      <sheetName val="conCE"/>
      <sheetName val="报告SC"/>
      <sheetName val="少数股东勾稽"/>
      <sheetName val="AEE"/>
      <sheetName val="CFEE"/>
      <sheetName val="Notes抵销"/>
      <sheetName val="conNotes"/>
      <sheetName val="conCFWP2"/>
      <sheetName val="STATDATA"/>
      <sheetName val="MERGDATA"/>
      <sheetName val="TBSPIVOT"/>
      <sheetName val="NOTEPIVO2"/>
      <sheetName val="NOTEPIVO"/>
      <sheetName val="NOTEPIVO3"/>
      <sheetName val="报表分析"/>
      <sheetName val="财务指标分析"/>
      <sheetName val="非财务信息"/>
    </sheetNames>
    <sheetDataSet>
      <sheetData sheetId="0">
        <row r="1">
          <cell r="B1" t="str">
            <v>itemID</v>
          </cell>
        </row>
      </sheetData>
      <sheetData sheetId="1">
        <row r="5">
          <cell r="F5">
            <v>42004</v>
          </cell>
        </row>
        <row r="16">
          <cell r="C16" t="str">
            <v>昆山百润</v>
          </cell>
        </row>
        <row r="17">
          <cell r="C17" t="str">
            <v>广州百成</v>
          </cell>
        </row>
        <row r="18">
          <cell r="C18" t="str">
            <v>南京百润城</v>
          </cell>
        </row>
        <row r="19">
          <cell r="C19" t="str">
            <v>常州百润</v>
          </cell>
        </row>
        <row r="20">
          <cell r="C20" t="str">
            <v>山西百成</v>
          </cell>
        </row>
        <row r="21">
          <cell r="C21" t="str">
            <v>百润百成</v>
          </cell>
        </row>
        <row r="22">
          <cell r="C22" t="str">
            <v>成都百润百成</v>
          </cell>
        </row>
        <row r="23">
          <cell r="C23" t="str">
            <v>广州亿本</v>
          </cell>
        </row>
      </sheetData>
      <sheetData sheetId="2"/>
      <sheetData sheetId="3"/>
      <sheetData sheetId="4"/>
      <sheetData sheetId="5">
        <row r="6">
          <cell r="F6" t="str">
            <v>本期</v>
          </cell>
        </row>
      </sheetData>
      <sheetData sheetId="6">
        <row r="6">
          <cell r="C6" t="str">
            <v>ItemId1</v>
          </cell>
        </row>
      </sheetData>
      <sheetData sheetId="7">
        <row r="6">
          <cell r="B6" t="str">
            <v>ItemId1</v>
          </cell>
        </row>
      </sheetData>
      <sheetData sheetId="8">
        <row r="6">
          <cell r="B6" t="str">
            <v>ItemId1</v>
          </cell>
        </row>
      </sheetData>
      <sheetData sheetId="9">
        <row r="2">
          <cell r="D2" t="str">
            <v>81</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1.1-12"/>
      <sheetName val="XREF"/>
      <sheetName val="Tickmarks"/>
      <sheetName val="#REF!"/>
      <sheetName val="F100-存货"/>
      <sheetName val="U_dis"/>
      <sheetName val="Source"/>
      <sheetName val="Sheet1"/>
      <sheetName val="#511BkRec"/>
      <sheetName val="F1"/>
      <sheetName val="E1020"/>
      <sheetName val="Test of Beginning"/>
      <sheetName val="BPR"/>
      <sheetName val="BALANCE SHEET"/>
      <sheetName val="master"/>
      <sheetName val="Key Data"/>
      <sheetName val="运煤预算"/>
      <sheetName val="SAP download"/>
      <sheetName val="PLAC"/>
      <sheetName val="AFA_O.A.B"/>
      <sheetName val="Tax movement"/>
      <sheetName val="Details"/>
      <sheetName val="Flow"/>
      <sheetName val="ws9"/>
      <sheetName val="2003-H300"/>
      <sheetName val="2002-H300"/>
      <sheetName val="2001-H300"/>
      <sheetName val="XL4Poppy"/>
      <sheetName val="ISO Code"/>
      <sheetName val="Balance-M"/>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Notice"/>
      <sheetName val="Mapping"/>
      <sheetName val="Notice-mapping"/>
      <sheetName val="mapping-财务公司"/>
      <sheetName val="A100-checklist PRC"/>
      <sheetName val="A110-checklist IAS"/>
      <sheetName val="A300-BS-PRC"/>
      <sheetName val="A310-PL-PRC"/>
      <sheetName val="A320-BS-IAS"/>
      <sheetName val="A330-PL-IAS"/>
      <sheetName val="A500-PRC adj"/>
      <sheetName val="mapping-general"/>
      <sheetName val="A510-IAS Adj"/>
      <sheetName val="C100-cash and bank"/>
      <sheetName val="C110-cash and bank"/>
      <sheetName val="D-ST invest"/>
      <sheetName val="E100-note rec"/>
      <sheetName val="E200-AR aging"/>
      <sheetName val="E210-AR "/>
      <sheetName val="E220-AR subseq sett"/>
      <sheetName val="F100-inventory"/>
      <sheetName val="F110-prov breakdown"/>
      <sheetName val="F200-sub usage"/>
      <sheetName val="G100-OR"/>
      <sheetName val="G110-OR 明细表"/>
      <sheetName val="G111-OR-其他"/>
      <sheetName val="G120-OR 关联方"/>
      <sheetName val="G130-OR-subseq sett"/>
      <sheetName val="G200-prepay"/>
      <sheetName val="G210-OR 关联方"/>
      <sheetName val="G220-prepay-subseq sett"/>
      <sheetName val="G300-ST deferred assets"/>
      <sheetName val="G400-subsidy rec"/>
      <sheetName val="H100-LT investment"/>
      <sheetName val="H200-associate move"/>
      <sheetName val="H210-JCE mov"/>
      <sheetName val="H220-unconcol move"/>
      <sheetName val="H230-sub move"/>
      <sheetName val="H300-goodwill"/>
      <sheetName val="H400-other stocks"/>
      <sheetName val="H410-others invest"/>
      <sheetName val="H500-bond invest"/>
      <sheetName val="H510-other debt invest"/>
      <sheetName val="H600-provision"/>
      <sheetName val="H700-pur of sub"/>
      <sheetName val="H710-sale of sub"/>
      <sheetName val="H800-basic info"/>
      <sheetName val="I100-intercom mapping"/>
      <sheetName val="J100-CIP"/>
      <sheetName val="J200-CIP project"/>
      <sheetName val="K100-fixed assets-PRC"/>
      <sheetName val="K110-fixed assets-IAS"/>
      <sheetName val="L100-intangible-PRC"/>
      <sheetName val="L110-intangible-IAS"/>
      <sheetName val="L200-LT deferred assets"/>
      <sheetName val="M-ST loan"/>
      <sheetName val="N100-note pay"/>
      <sheetName val="N200-AP"/>
      <sheetName val="N210-AP subseq sett"/>
      <sheetName val="O100-tax pay"/>
      <sheetName val="O200-deferred tax"/>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sheetName val="U210-surtax-其他"/>
      <sheetName val="U300-other revenue"/>
      <sheetName val="U310-其他业务收入-其他"/>
      <sheetName val="U320-其他业务支出-其他"/>
      <sheetName val="U400-selling exp"/>
      <sheetName val="U410-selling exp-其他"/>
      <sheetName val="U500-admin exp"/>
      <sheetName val="U510-admin exp-其他"/>
      <sheetName val="U600-finance exp"/>
      <sheetName val="U610-finance exp-其他"/>
      <sheetName val="U700-invest income"/>
      <sheetName val="U800-subsidy income"/>
      <sheetName val="U900-non-op income exp"/>
      <sheetName val="U910-non-op income-其他"/>
      <sheetName val="U920-non-op exp-其他"/>
      <sheetName val="U1000-MFG OH"/>
      <sheetName val="W100-R&amp;D by nature"/>
      <sheetName val="W110-R&amp;D by project"/>
      <sheetName val="W200-top 10 customers"/>
      <sheetName val="W210-top 10 suppliers"/>
      <sheetName val="W220-top 5 AR"/>
      <sheetName val="W230-top 5 AP"/>
      <sheetName val="W300-inter-co "/>
      <sheetName val="W310-related parties bal"/>
      <sheetName val="W400-RPT "/>
      <sheetName val="W410-related parties trans"/>
      <sheetName val="W500-财务公司往来"/>
      <sheetName val="W510-与财务公司贷款情况"/>
      <sheetName val="W600-cashflow info"/>
      <sheetName val="W610－cashflow"/>
      <sheetName val="W700-segment BS-PRC"/>
      <sheetName val="W710-segment BS-IAS"/>
      <sheetName val="W720-segement PL-PRC"/>
      <sheetName val="W730-segement PL-IAS"/>
      <sheetName val="mapping-²ÆÎñ¹«Ë¾"/>
      <sheetName val="G110-OR Ã÷Ï¸±í"/>
      <sheetName val="G111-OR-ÆäËû"/>
      <sheetName val="G120-OR ¹ØÁª·½"/>
      <sheetName val="G210-OR ¹ØÁª·½"/>
      <sheetName val="P200Ó¦¸¶¹¤×Ê"/>
      <sheetName val="P300Ó¦¸¶¸£Àû·Ñ"/>
      <sheetName val="P610-OP-ÆäËû"/>
      <sheetName val="P710-Ô¤Ìá·ÑÓÃÃ÷Ï¸-ÆäËû"/>
      <sheetName val="p800-Ô¤¼Æ¸ºÕ®"/>
      <sheetName val="P810-Ô¤¼Æ¸ºÕ®Ã÷Ï¸-ÆäËû"/>
      <sheetName val="P1000ÆäËûÁ÷¶¯¸ºÕ®"/>
      <sheetName val="Q300×¨ÏîÓ¦¸¶¿î"/>
      <sheetName val="Q400ÆäËû³¤ÆÚ¸ºÕ®"/>
      <sheetName val="Q500·ÇÁ÷¶¯¼ÆÏ¢½è¿î"/>
      <sheetName val="Q600·ÇÁ÷¶¯²»¼ÆÏ¢½è¿î"/>
      <sheetName val="U110-revenue-ÆäËû"/>
      <sheetName val="U120-COS-ÆäËû"/>
      <sheetName val="U210-surtax-ÆäËû"/>
      <sheetName val="U310-ÆäËûÒµÎñÊÕÈë-ÆäËû"/>
      <sheetName val="U320-ÆäËûÒµÎñÖ§³ö-ÆäËû"/>
      <sheetName val="U410-selling exp-ÆäËû"/>
      <sheetName val="U510-admin exp-ÆäËû"/>
      <sheetName val="U610-finance exp-ÆäËû"/>
      <sheetName val="U910-non-op income-ÆäËû"/>
      <sheetName val="U920-non-op exp-ÆäËû"/>
      <sheetName val="W500-²ÆÎñ¹«Ë¾ÍùÀ´"/>
      <sheetName val="W510-Óë²ÆÎñ¹«Ë¾´û¿îÇé¿ö"/>
      <sheetName val="W610£­cashflow"/>
      <sheetName val="XL4Poppy"/>
      <sheetName val="Master"/>
      <sheetName val="F101"/>
      <sheetName val="B"/>
      <sheetName val="M-5C"/>
      <sheetName val="企业表一"/>
      <sheetName val="M-5A"/>
      <sheetName val="02"/>
      <sheetName val="G102"/>
      <sheetName val="E302"/>
      <sheetName val="CY sales report"/>
      <sheetName val="劳保备件"/>
      <sheetName val="危险"/>
      <sheetName val="资产负债表"/>
      <sheetName val="初始设定"/>
      <sheetName val="U610-投资收益"/>
      <sheetName val="固定资产处理情况表"/>
      <sheetName val="固定资产清单"/>
      <sheetName val="DF consol package-2004-07-01(ta"/>
      <sheetName val="个人欠款账龄分析表"/>
      <sheetName val="2004、12"/>
      <sheetName val="2004、01"/>
      <sheetName val="account"/>
      <sheetName val="F102-RM Loss"/>
      <sheetName val="F101-RM Gain"/>
      <sheetName val="Namelist"/>
      <sheetName val="流资汇总"/>
      <sheetName val="Validation source"/>
      <sheetName val="A.R 01"/>
      <sheetName val="_x0000__x0000__x0000__x0000__x0000__x0000__x0000__x0000_"/>
      <sheetName val="K200-FA list (2)"/>
      <sheetName val="运煤预算"/>
      <sheetName val="G200"/>
      <sheetName val="K110"/>
      <sheetName val="G210"/>
      <sheetName val="O111"/>
      <sheetName val="表六 "/>
      <sheetName val="产成品品名"/>
      <sheetName val="U211B"/>
      <sheetName val="设备部房屋"/>
      <sheetName val="填写指南"/>
      <sheetName val="10-2121"/>
      <sheetName val="表二十九1（01）"/>
      <sheetName val="Profile"/>
      <sheetName val="制造费用"/>
      <sheetName val="U600-投资收益"/>
      <sheetName val="Sheet2"/>
      <sheetName val="cover_sheet"/>
      <sheetName val="A100-checklist_PRC"/>
      <sheetName val="A110-checklist_IAS"/>
      <sheetName val="A500-PRC_adj"/>
      <sheetName val="A510-IAS_Adj"/>
      <sheetName val="C100-cash_and_bank"/>
      <sheetName val="C110-cash_and_bank"/>
      <sheetName val="D-ST_invest"/>
      <sheetName val="E100-note_rec"/>
      <sheetName val="E200-AR_aging"/>
      <sheetName val="E210-AR_"/>
      <sheetName val="E220-AR_subseq_sett"/>
      <sheetName val="F110-prov_breakdown"/>
      <sheetName val="F200-sub_usage"/>
      <sheetName val="G110-OR_明细表"/>
      <sheetName val="G120-OR_关联方"/>
      <sheetName val="G130-OR-subseq_sett"/>
      <sheetName val="G210-OR_关联方"/>
      <sheetName val="G220-prepay-subseq_sett"/>
      <sheetName val="G300-ST_deferred_assets"/>
      <sheetName val="G400-subsidy_rec"/>
      <sheetName val="H100-LT_investment"/>
      <sheetName val="H200-associate_move"/>
      <sheetName val="H210-JCE_mov"/>
      <sheetName val="H220-unconcol_move"/>
      <sheetName val="H230-sub_move"/>
      <sheetName val="H400-other_stocks"/>
      <sheetName val="H410-others_invest"/>
      <sheetName val="H500-bond_invest"/>
      <sheetName val="H510-other_debt_invest"/>
      <sheetName val="H700-pur_of_sub"/>
      <sheetName val="H710-sale_of_sub"/>
      <sheetName val="H800-basic_info"/>
      <sheetName val="I100-intercom_mapping"/>
      <sheetName val="J200-CIP_project"/>
      <sheetName val="K100-fixed_assets-PRC"/>
      <sheetName val="K110-fixed_assets-IAS"/>
      <sheetName val="L200-LT_deferred_assets"/>
      <sheetName val="M-ST_loan"/>
      <sheetName val="N100-note_pay"/>
      <sheetName val="N210-AP_subseq_sett"/>
      <sheetName val="O100-tax_pay"/>
      <sheetName val="O200-deferred_tax"/>
      <sheetName val="P100-receipt_in_advance"/>
      <sheetName val="P400-dividend_pay"/>
      <sheetName val="P500-other_levies_pay"/>
      <sheetName val="P900-LT_liab_due_&lt;1_year"/>
      <sheetName val="Q100-LT_loan"/>
      <sheetName val="Q200-LT_pay"/>
      <sheetName val="S100-lease_commitment"/>
      <sheetName val="S200-capital_commitment-contrac"/>
      <sheetName val="S210-capital_commitment-appro"/>
      <sheetName val="T100-share_capital"/>
      <sheetName val="T200-capital_reserve"/>
      <sheetName val="T400-profit_appro"/>
      <sheetName val="U300-other_revenue"/>
      <sheetName val="U400-selling_exp"/>
      <sheetName val="U410-selling_exp-其他"/>
      <sheetName val="U500-admin_exp"/>
      <sheetName val="U510-admin_exp-其他"/>
      <sheetName val="U600-finance_exp"/>
      <sheetName val="U610-finance_exp-其他"/>
      <sheetName val="U700-invest_income"/>
      <sheetName val="U800-subsidy_income"/>
      <sheetName val="U900-non-op_income_exp"/>
      <sheetName val="U910-non-op_income-其他"/>
      <sheetName val="U920-non-op_exp-其他"/>
      <sheetName val="U1000-MFG_OH"/>
      <sheetName val="W100-R&amp;D_by_nature"/>
      <sheetName val="W110-R&amp;D_by_project"/>
      <sheetName val="W200-top_10_customers"/>
      <sheetName val="W210-top_10_suppliers"/>
      <sheetName val="W220-top_5_AR"/>
      <sheetName val="W230-top_5_AP"/>
      <sheetName val="W300-inter-co_"/>
      <sheetName val="W310-related_parties_bal"/>
      <sheetName val="W400-RPT_"/>
      <sheetName val="W410-related_parties_trans"/>
      <sheetName val="W600-cashflow_info"/>
      <sheetName val="W700-segment_BS-PRC"/>
      <sheetName val="W710-segment_BS-IAS"/>
      <sheetName val="W720-segement_PL-PRC"/>
      <sheetName val="W730-segement_PL-IAS"/>
      <sheetName val="G110-OR_Ã÷Ï¸±í"/>
      <sheetName val="G120-OR_¹ØÁª·½"/>
      <sheetName val="G210-OR_¹ØÁª·½"/>
      <sheetName val="U410-selling_exp-ÆäËû"/>
      <sheetName val="U510-admin_exp-ÆäËû"/>
      <sheetName val="U610-finance_exp-ÆäËû"/>
      <sheetName val="U910-non-op_income-ÆäËû"/>
      <sheetName val="U920-non-op_exp-ÆäËû"/>
      <sheetName val="科目表"/>
      <sheetName val="SFS(BUDGET)"/>
      <sheetName val="_x005f_x0000__x005f_x0000__x005f_x0000__x005f_x0000__x0"/>
      <sheetName val="ｺｽﾄｾﾝﾀｰ符号表"/>
      <sheetName val="主要规划指标"/>
      <sheetName val="财务费用明细表"/>
      <sheetName val="长期待摊费用明细表"/>
      <sheetName val="WIP"/>
      <sheetName val="5 Analysis"/>
      <sheetName val="管理费用明细"/>
      <sheetName val="资产负债表验证表"/>
      <sheetName val="Parameters"/>
      <sheetName val="选择报表"/>
      <sheetName val="Sheet1"/>
      <sheetName val="名称"/>
      <sheetName val="III-1-8"/>
      <sheetName val="III-1-4"/>
      <sheetName val="III-1-10"/>
      <sheetName val="III-1-9"/>
      <sheetName val="III-1-2-1"/>
      <sheetName val="III-1-6"/>
      <sheetName val="III-1-7"/>
      <sheetName val="III-1-5"/>
      <sheetName val="应收票据(关联方)"/>
      <sheetName val="KKKKKKKK"/>
      <sheetName val="成本"/>
      <sheetName val="_x0000__x0000__x0000__x0000__x0"/>
      <sheetName val="预收"/>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
      <sheetName val="E100"/>
      <sheetName val="E200"/>
      <sheetName val="#REF!"/>
      <sheetName val="A.R 01"/>
      <sheetName val="UFPrn20021113090847"/>
      <sheetName val="K110"/>
      <sheetName val="G210"/>
      <sheetName val="O111"/>
      <sheetName val="Sheet1"/>
      <sheetName val="source"/>
      <sheetName val="A_R_01"/>
      <sheetName val="2weeeks All  Excess and Shortag"/>
      <sheetName val="F101"/>
      <sheetName val="坏帐准备"/>
      <sheetName val="U100sales ARP"/>
      <sheetName val="附表6"/>
      <sheetName val="B"/>
      <sheetName val="ARP-U301"/>
      <sheetName val="U411"/>
      <sheetName val="N20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需补充资料清单"/>
      <sheetName val="填写指南"/>
      <sheetName val="准则差异指南"/>
      <sheetName val="财务公司科目对照表"/>
      <sheetName val="检查清单"/>
      <sheetName val="试算平衡表"/>
      <sheetName val="现金流量表"/>
      <sheetName val="现金流量表附注1"/>
      <sheetName val="现金流量表附注2"/>
      <sheetName val="现金流量表附注3"/>
      <sheetName val="PRC调整分录"/>
      <sheetName val="HK调整分录"/>
      <sheetName val="货币资金"/>
      <sheetName val="短期投资"/>
      <sheetName val="应收票据"/>
      <sheetName val="应收股利"/>
      <sheetName val="应收帐款"/>
      <sheetName val="存货"/>
      <sheetName val="其他应收款"/>
      <sheetName val="预付账款"/>
      <sheetName val="待摊费用"/>
      <sheetName val="应收补贴款及应收出口退税"/>
      <sheetName val="长期投资"/>
      <sheetName val="联营公司"/>
      <sheetName val="合营公司"/>
      <sheetName val="非合并子公司"/>
      <sheetName val="合并价差"/>
      <sheetName val="股票投资"/>
      <sheetName val="其他股权投资"/>
      <sheetName val="债券投资"/>
      <sheetName val="其他债权投资"/>
      <sheetName val="长期委托贷款"/>
      <sheetName val="内部往来"/>
      <sheetName val="内部交易"/>
      <sheetName val="未实现利润"/>
      <sheetName val="在建工程、固定资产"/>
      <sheetName val="在建工程"/>
      <sheetName val="固定资产清理"/>
      <sheetName val="无形资产"/>
      <sheetName val="长期待摊费用"/>
      <sheetName val="其他长期资产"/>
      <sheetName val="短期借款"/>
      <sheetName val="应付票据"/>
      <sheetName val="应付帐款"/>
      <sheetName val="应交税金"/>
      <sheetName val="递延税款"/>
      <sheetName val="预收货款"/>
      <sheetName val="应付工资、福利费"/>
      <sheetName val="应付股利"/>
      <sheetName val="其他应交款"/>
      <sheetName val="其他应付款"/>
      <sheetName val="预提费用"/>
      <sheetName val="预计负债"/>
      <sheetName val="其他流动负债"/>
      <sheetName val="长期借款"/>
      <sheetName val="长期应付款"/>
      <sheetName val="专项应付款"/>
      <sheetName val="其他长期负债"/>
      <sheetName val="资本承诺"/>
      <sheetName val="经营租赁"/>
      <sheetName val="其他或有负债"/>
      <sheetName val="法律诉讼"/>
      <sheetName val="所有者权益变动表"/>
      <sheetName val="主营业务收支"/>
      <sheetName val="其他业务收支"/>
      <sheetName val="销售费用"/>
      <sheetName val="管理费用"/>
      <sheetName val="财务费用"/>
      <sheetName val="投资收益"/>
      <sheetName val="补贴收入"/>
      <sheetName val="营业外收支"/>
      <sheetName val="关联方往来"/>
      <sheetName val="关联方交易"/>
      <sheetName val="财务公司往来"/>
      <sheetName val="HK Notes"/>
    </sheetNames>
    <sheetDataSet>
      <sheetData sheetId="0" refreshError="1">
        <row r="20">
          <cell r="D20" t="str">
            <v>存货的采购/(销售)</v>
          </cell>
        </row>
        <row r="21">
          <cell r="D21" t="str">
            <v>劳务的接受/(提供)</v>
          </cell>
        </row>
        <row r="22">
          <cell r="D22" t="str">
            <v>固定资产的采购/(销售)</v>
          </cell>
        </row>
        <row r="23">
          <cell r="D23" t="str">
            <v>其他业务往来-买/(卖)</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U210' "/>
      <sheetName val="Source"/>
      <sheetName val="选择报表"/>
      <sheetName val="资产负债表"/>
      <sheetName val="中山低值"/>
      <sheetName val="ZLR1"/>
      <sheetName val="加工费"/>
      <sheetName val="E1020"/>
      <sheetName val="master"/>
      <sheetName val="K110"/>
      <sheetName val="G210"/>
      <sheetName val="O111"/>
      <sheetName val="AGRO-DATA"/>
      <sheetName val="成本"/>
      <sheetName val="FF-4"/>
      <sheetName val="补贴收入( other income)"/>
      <sheetName val="企业表一"/>
      <sheetName val="M-5C"/>
      <sheetName val="M-5A"/>
      <sheetName val="科目余额表"/>
      <sheetName val="利润表"/>
      <sheetName val="试算平衡表"/>
      <sheetName val="明细号"/>
      <sheetName val="Parameters"/>
      <sheetName val="Exp.-04"/>
      <sheetName val="2008"/>
      <sheetName val="存货跌价明细"/>
      <sheetName val="U210'_"/>
      <sheetName val="审核2"/>
      <sheetName val="Pile径1m･27"/>
      <sheetName val="Validation source"/>
      <sheetName val="Third party"/>
      <sheetName val="财务费用明细表"/>
      <sheetName val="长期待摊费用明细表"/>
      <sheetName val="Sheet3"/>
      <sheetName val="6月"/>
      <sheetName val="设备部房屋"/>
      <sheetName val="M_1_1"/>
      <sheetName val="TAX"/>
      <sheetName val="TAX COM"/>
      <sheetName val="XL4Poppy"/>
      <sheetName val="F300"/>
      <sheetName val="Ideal World A3"/>
      <sheetName val="ws9"/>
      <sheetName val="Sheet2"/>
      <sheetName val="loan database"/>
      <sheetName val="Transl"/>
      <sheetName val="科目余额表_应付_全年"/>
      <sheetName val="科目余额表_应付_下半年"/>
      <sheetName val="科目余额表_应收_全年"/>
      <sheetName val="科目余额表_应收_下半年"/>
      <sheetName val="科目余额表_预付_全年"/>
      <sheetName val="科目余额表_预付_下半年"/>
      <sheetName val="科目余额表_预收_全年"/>
      <sheetName val="科目余额表_预收_下半年"/>
      <sheetName val="TOP10"/>
      <sheetName val="合并底稿-自营"/>
      <sheetName val="ZKA2_lista"/>
      <sheetName val="管理费用明细"/>
      <sheetName val="4月回款"/>
      <sheetName val="4月销售"/>
      <sheetName val="Price List"/>
      <sheetName val="item master"/>
      <sheetName val="首页"/>
      <sheetName val="其他业务利润明细表"/>
      <sheetName val="投资收益明细表"/>
      <sheetName val="未交税金明细表"/>
      <sheetName val="Be_x0000__x0000__x0000__x0000__x0000__x0000__x0000__x0000__x0000__x0000__x0000__x0000__x0000__x0000__x0000__x0000__x0000__x0000_"/>
      <sheetName val="Bgሀြ0슌沅_x0000__x0000_舤殉腼殉ㅏ怆 ɂሀ"/>
      <sheetName val="Bgैာ4슌櫂_x0000__x0000_舤槆腼槆ॽᔒ@Ʉ_xd980_ै_xd980_"/>
      <sheetName val="基本信息输入"/>
      <sheetName val="資料"/>
      <sheetName val="Inventory"/>
      <sheetName val="Aging-ARSum"/>
      <sheetName val="SAD Conclusion"/>
      <sheetName val="台账"/>
      <sheetName val="M_5C"/>
      <sheetName val="M_5A"/>
      <sheetName val="审计分工配置表"/>
      <sheetName val="Bgሀြ0슌沅"/>
      <sheetName val="Bgैာ4슌櫂"/>
      <sheetName val="索引"/>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down"/>
      <sheetName val="2004"/>
      <sheetName val="test on帐面补差"/>
      <sheetName val="XREF"/>
      <sheetName val="Tickmarks"/>
      <sheetName val="企业表一"/>
      <sheetName val="M-5C"/>
      <sheetName val="M-5A"/>
      <sheetName val="表头（请先填写+核心提示）"/>
      <sheetName val="索引"/>
      <sheetName val="标本-资产"/>
      <sheetName val="STATPARA"/>
      <sheetName val="Lead"/>
      <sheetName val="CF"/>
      <sheetName val="preBS"/>
      <sheetName val="preCF"/>
      <sheetName val="preIS"/>
      <sheetName val="preCE"/>
      <sheetName val="TB"/>
      <sheetName val="科目表"/>
      <sheetName val="机关财务营业费用"/>
      <sheetName val="存栏2"/>
      <sheetName val="生产成本账"/>
      <sheetName val="系统参数设置"/>
      <sheetName val="固定资产清单"/>
      <sheetName val="示范99tzfl"/>
      <sheetName val="#REF!"/>
      <sheetName val="主营业务成本Dy"/>
      <sheetName val="分录"/>
      <sheetName val="存货_包装物"/>
      <sheetName val="存货_库存商品mx"/>
      <sheetName val="存货_生产成本mx1"/>
      <sheetName val="存货_委托加工物资mx"/>
      <sheetName val="存货_制造费用Mx"/>
      <sheetName val="工程物资Dy"/>
      <sheetName val="索引表"/>
      <sheetName val="应收账款"/>
      <sheetName val="预付账款Dy"/>
      <sheetName val="B"/>
      <sheetName val="35.1租赁明细"/>
      <sheetName val="本期报表"/>
      <sheetName val="现金明细（勿删）"/>
      <sheetName val="明细科目余额表"/>
      <sheetName val="XL4Poppy"/>
      <sheetName val="制造成本表"/>
      <sheetName val="银行存款Dy"/>
      <sheetName val="应收利息Dy"/>
      <sheetName val="短期投资Dy"/>
      <sheetName val="货币资金Dy"/>
      <sheetName val="参数"/>
      <sheetName val="无形资产年末数构成"/>
      <sheetName val="基本参数"/>
      <sheetName val="Raw materials"/>
      <sheetName val="Investment Property"/>
      <sheetName val="1"/>
      <sheetName val="2"/>
      <sheetName val="3"/>
      <sheetName val="4"/>
      <sheetName val="5"/>
      <sheetName val="6"/>
      <sheetName val="7"/>
      <sheetName val="8"/>
      <sheetName val="9"/>
      <sheetName val="10"/>
      <sheetName val="11"/>
      <sheetName val="12"/>
      <sheetName val="1-12"/>
      <sheetName val="3 (2)"/>
      <sheetName val="4 (2)"/>
      <sheetName val="5 (2)"/>
      <sheetName val="6 (2)"/>
      <sheetName val="7 (2)"/>
      <sheetName val="8 (2)"/>
      <sheetName val="9 (2)"/>
      <sheetName val="10 (2)"/>
      <sheetName val="11 (2)"/>
      <sheetName val="12 (2)"/>
      <sheetName val="1 (2)"/>
      <sheetName val="2 (2)"/>
      <sheetName val="KKKKKKKK"/>
      <sheetName val="PER SALES ORG"/>
      <sheetName val="Bilanz Aktiva"/>
      <sheetName val="Bil.Zu-Abgang"/>
      <sheetName val="Cash Flow"/>
      <sheetName val="GuV"/>
      <sheetName val="Bilanz Passiva"/>
      <sheetName val="差异调整97"/>
      <sheetName val="差异调整95"/>
      <sheetName val="差异调整96"/>
      <sheetName val="1－5月余额表"/>
      <sheetName val="1－10月余额表"/>
      <sheetName val="Source"/>
      <sheetName val="Bal Sheet"/>
      <sheetName val="DATA"/>
      <sheetName val="UFPrn20061113135115"/>
      <sheetName val="基本信息"/>
      <sheetName val="&lt;原报&gt;资产负债表"/>
      <sheetName val="W"/>
      <sheetName val="生产成本"/>
      <sheetName val="三兴2"/>
      <sheetName val="coding"/>
      <sheetName val="基础数据"/>
      <sheetName val="Toolbox"/>
      <sheetName val="Appendix"/>
      <sheetName val="PRC BS"/>
      <sheetName val="完"/>
      <sheetName val="인사현황(부서)"/>
      <sheetName val="Cover"/>
      <sheetName val="营业费用测试"/>
      <sheetName val="PTC"/>
      <sheetName val="Summary"/>
      <sheetName val="9000"/>
      <sheetName val="9747"/>
      <sheetName val="9577"/>
      <sheetName val="COS breakdown"/>
      <sheetName val="Erection"/>
      <sheetName val="目錄"/>
      <sheetName val="Plan"/>
      <sheetName val="A"/>
      <sheetName val="递延税款Dy"/>
      <sheetName val="所得税Dy"/>
      <sheetName val="股本Dy"/>
      <sheetName val="资本公积Dy"/>
      <sheetName val="盈余公积Dy"/>
      <sheetName val="投资收益Dy"/>
      <sheetName val="长期股权投资Dy"/>
      <sheetName val="Payroll"/>
      <sheetName val="导引表"/>
      <sheetName val="Control"/>
      <sheetName val="表头"/>
      <sheetName val="P12 TB SZ"/>
      <sheetName val="YS02-02"/>
      <sheetName val="选择键"/>
      <sheetName val="产销存"/>
      <sheetName val="1-6累计销售"/>
      <sheetName val="收入个月"/>
      <sheetName val="累计产销存"/>
      <sheetName val="AGRO-DATA"/>
      <sheetName val="有效性"/>
      <sheetName val="总成本"/>
      <sheetName val="UFPrn20030731121657"/>
      <sheetName val="合并清单"/>
      <sheetName val="Ex Diff"/>
      <sheetName val="应收账款余额表"/>
      <sheetName val="所得税明细表"/>
      <sheetName val="账面外销"/>
      <sheetName val="BALANCE SHEET"/>
      <sheetName val="报表科目"/>
      <sheetName val="应收账款贷方余额表"/>
      <sheetName val="应收账款借方余额表"/>
      <sheetName val="_x0000__x0000__x0000__x0000__x0000__x0000__x0000__x0000_"/>
      <sheetName val="2-1主营业务收入查证表1"/>
      <sheetName val="审计说明"/>
      <sheetName val="FA-2"/>
      <sheetName val="短期投资股票投资.dbf"/>
      <sheetName val="短期投资国债投资.dbf"/>
      <sheetName val="股票投资收益.dbf"/>
      <sheetName val="其他货币海通.dbf"/>
      <sheetName val="其他货币零领路.dbf"/>
      <sheetName val="投资收益债券.dbf"/>
      <sheetName val="长投测试"/>
      <sheetName val="E1020"/>
      <sheetName val="_x005f_x0000__x005f_x0000__x005f_x0000__x005f_x0000__x0"/>
      <sheetName val="营业外支出"/>
      <sheetName val="Consolidation"/>
      <sheetName val="申友"/>
      <sheetName val="Printing cost breakdown"/>
      <sheetName val="COS SAR"/>
      <sheetName val="Purchase"/>
      <sheetName val="Excess Calc for ref"/>
      <sheetName val="Breakdown 2005.12"/>
      <sheetName val="Sales Jul 99"/>
      <sheetName val="RESULT"/>
      <sheetName val="基本信息输入"/>
      <sheetName val="Sheet1"/>
      <sheetName val="GP ratio"/>
      <sheetName val="GP ratio Analysis"/>
      <sheetName val="审计分工配置表"/>
      <sheetName val="UFPrn2003其他"/>
      <sheetName val="Excess Calc"/>
      <sheetName val="2005"/>
      <sheetName val="2003"/>
      <sheetName val="2002"/>
      <sheetName val="2001"/>
      <sheetName val="Summary-返利"/>
      <sheetName val="返利收入青岛"/>
      <sheetName val="返利收入-淄博"/>
      <sheetName val="COS"/>
      <sheetName val="SAR"/>
      <sheetName val="PIT-cost"/>
      <sheetName val="Major FG analysis"/>
      <sheetName val="#REF"/>
      <sheetName val="营业外收入Dy"/>
      <sheetName val="固定资产Dy"/>
      <sheetName val="累计折旧Dy"/>
      <sheetName val="封面"/>
      <sheetName val="分产品销售收入、成本分析表"/>
      <sheetName val="FX"/>
      <sheetName val="Input_Hide"/>
      <sheetName val="Oct"/>
      <sheetName val="每月資料"/>
      <sheetName val="T.B."/>
      <sheetName val="dep08"/>
      <sheetName val="财务费用Dy"/>
      <sheetName val="折旧表2006年1-6月"/>
      <sheetName val="其他应收款Dy"/>
      <sheetName val="坏账准备_其他应收款Dy"/>
      <sheetName val="其他应付款Dy"/>
      <sheetName val="其他应收款Mx"/>
      <sheetName val="界面"/>
      <sheetName val="Inhalt"/>
      <sheetName val="2008.02T.B."/>
      <sheetName val="1999TL"/>
      <sheetName val="PL配賦明細"/>
      <sheetName val="whw5r"/>
      <sheetName val="06"/>
      <sheetName val="10-12"/>
      <sheetName val="附表6"/>
      <sheetName val="其他应收款分录表"/>
      <sheetName val="Pre-operating Exp"/>
      <sheetName val="Miscellaneous Exp."/>
      <sheetName val="Rental 2002"/>
      <sheetName val="Rental 2001"/>
      <sheetName val="披露表(国资)"/>
      <sheetName val="科目名称表"/>
      <sheetName val="sell"/>
      <sheetName val="fin"/>
      <sheetName val="base"/>
      <sheetName val="J&amp;Q"/>
      <sheetName val="Spreadsheet"/>
      <sheetName val="Index"/>
      <sheetName val="MasterList"/>
      <sheetName val="天合与太阳时代的往来余额(天合账面)"/>
      <sheetName val="3库存"/>
      <sheetName val="3收入"/>
      <sheetName val="3成本"/>
      <sheetName val="委托加工物资明细"/>
      <sheetName val="专项买的固定资产"/>
      <sheetName val="关联交易-存款"/>
      <sheetName val="param"/>
      <sheetName val="cov"/>
      <sheetName val="2005余额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y"/>
      <sheetName val="SampleData"/>
      <sheetName val="KLHT"/>
      <sheetName val="SampleData.xls"/>
      <sheetName val="__-BLDG"/>
      <sheetName val="B"/>
    </sheetNames>
    <definedNames>
      <definedName name="Year" refersTo="='Company'!$B$72:$G$72"/>
      <definedName name="Year_End" refersTo="='Company'!$B$16" sheetId="0"/>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客户填表注意事项"/>
      <sheetName val="页面"/>
      <sheetName val="预收货款明细"/>
      <sheetName val="一年内到期的长期负债"/>
      <sheetName val="长期应付款"/>
      <sheetName val="长期借款"/>
      <sheetName val="短期借款"/>
      <sheetName val="应付票据"/>
      <sheetName val="应付帐款"/>
      <sheetName val="增值税"/>
      <sheetName val="预计负债"/>
      <sheetName val="其他应付款"/>
      <sheetName val="应交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补贴收入"/>
      <sheetName val="营业外收支"/>
      <sheetName val="投资收益"/>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集团内公司清单"/>
      <sheetName val="mas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未审SC"/>
      <sheetName val="校对"/>
      <sheetName val="注释"/>
      <sheetName val="现流表底稿"/>
      <sheetName val="调整分录"/>
      <sheetName val="CF调整分录"/>
      <sheetName val="试算平衡表"/>
      <sheetName val="审定BS"/>
      <sheetName val="审定IS"/>
      <sheetName val="审定CF"/>
      <sheetName val="参数"/>
      <sheetName val="审定SC"/>
      <sheetName val="废料收入"/>
      <sheetName val="毛利分析"/>
      <sheetName val="报表分析"/>
      <sheetName val="所得税费用"/>
    </sheetNames>
    <sheetDataSet>
      <sheetData sheetId="0"/>
      <sheetData sheetId="1">
        <row r="44">
          <cell r="I44">
            <v>2798698.18</v>
          </cell>
        </row>
      </sheetData>
      <sheetData sheetId="2"/>
      <sheetData sheetId="3"/>
      <sheetData sheetId="4"/>
      <sheetData sheetId="5"/>
      <sheetData sheetId="6"/>
      <sheetData sheetId="7"/>
      <sheetData sheetId="8">
        <row r="4">
          <cell r="G4" t="str">
            <v/>
          </cell>
        </row>
      </sheetData>
      <sheetData sheetId="9"/>
      <sheetData sheetId="10"/>
      <sheetData sheetId="11"/>
      <sheetData sheetId="12"/>
      <sheetData sheetId="13"/>
      <sheetData sheetId="14">
        <row r="69">
          <cell r="L69" t="str">
            <v>现金</v>
          </cell>
        </row>
        <row r="70">
          <cell r="L70" t="str">
            <v>银行存款</v>
          </cell>
        </row>
        <row r="71">
          <cell r="L71" t="str">
            <v>其他货币资金</v>
          </cell>
        </row>
        <row r="72">
          <cell r="L72" t="str">
            <v>结算备付金</v>
          </cell>
        </row>
        <row r="73">
          <cell r="L73" t="str">
            <v>拆出资金</v>
          </cell>
        </row>
        <row r="74">
          <cell r="L74" t="str">
            <v>交易性金融资产</v>
          </cell>
        </row>
        <row r="75">
          <cell r="L75" t="str">
            <v>应收票据</v>
          </cell>
        </row>
        <row r="76">
          <cell r="L76" t="str">
            <v>应收账款</v>
          </cell>
        </row>
        <row r="77">
          <cell r="L77" t="str">
            <v>坏账准备_应收账款</v>
          </cell>
        </row>
        <row r="78">
          <cell r="L78" t="str">
            <v>预付款项</v>
          </cell>
        </row>
        <row r="79">
          <cell r="L79" t="str">
            <v>应收保费</v>
          </cell>
        </row>
        <row r="80">
          <cell r="L80" t="str">
            <v>应收分保账款</v>
          </cell>
        </row>
        <row r="81">
          <cell r="L81" t="str">
            <v>应收分保合同准备金</v>
          </cell>
        </row>
        <row r="82">
          <cell r="L82" t="str">
            <v>应收利息</v>
          </cell>
        </row>
        <row r="83">
          <cell r="L83" t="str">
            <v>应收股利</v>
          </cell>
        </row>
        <row r="84">
          <cell r="L84" t="str">
            <v>其他应收款</v>
          </cell>
        </row>
        <row r="85">
          <cell r="L85" t="str">
            <v>坏账准备_其他应收款</v>
          </cell>
        </row>
        <row r="86">
          <cell r="L86" t="str">
            <v xml:space="preserve">买入返售金融资产 </v>
          </cell>
        </row>
        <row r="87">
          <cell r="L87" t="str">
            <v>存货</v>
          </cell>
        </row>
        <row r="88">
          <cell r="L88" t="str">
            <v>存货跌价准备</v>
          </cell>
        </row>
        <row r="89">
          <cell r="L89" t="str">
            <v>一年内到期的非流动资产</v>
          </cell>
        </row>
        <row r="90">
          <cell r="L90" t="str">
            <v>其他流动资产</v>
          </cell>
        </row>
        <row r="91">
          <cell r="L91" t="str">
            <v>发放贷款及垫款</v>
          </cell>
        </row>
        <row r="92">
          <cell r="L92" t="str">
            <v>可供出售金融资产</v>
          </cell>
        </row>
        <row r="93">
          <cell r="L93" t="str">
            <v>持有至到期投资</v>
          </cell>
        </row>
        <row r="94">
          <cell r="L94" t="str">
            <v>长期应收款</v>
          </cell>
        </row>
        <row r="95">
          <cell r="L95" t="str">
            <v>坏账准备_长期应收款</v>
          </cell>
        </row>
        <row r="96">
          <cell r="L96" t="str">
            <v>长期股权投资</v>
          </cell>
        </row>
        <row r="97">
          <cell r="L97" t="str">
            <v>长期股权投资减值准备</v>
          </cell>
        </row>
        <row r="98">
          <cell r="L98" t="str">
            <v>投资性房地产</v>
          </cell>
        </row>
        <row r="99">
          <cell r="L99" t="str">
            <v>固定资产</v>
          </cell>
        </row>
        <row r="100">
          <cell r="L100" t="str">
            <v>累计折旧</v>
          </cell>
        </row>
        <row r="101">
          <cell r="L101" t="str">
            <v>固定资产减值准备</v>
          </cell>
        </row>
        <row r="102">
          <cell r="L102" t="str">
            <v>在建工程</v>
          </cell>
        </row>
        <row r="103">
          <cell r="L103" t="str">
            <v>在建工程减值准备</v>
          </cell>
        </row>
        <row r="104">
          <cell r="L104" t="str">
            <v>工程物资</v>
          </cell>
        </row>
        <row r="105">
          <cell r="L105" t="str">
            <v>固定资产清理</v>
          </cell>
        </row>
        <row r="106">
          <cell r="L106" t="str">
            <v>生产性生物资产</v>
          </cell>
        </row>
        <row r="107">
          <cell r="L107" t="str">
            <v>生产性生物资产累计折旧</v>
          </cell>
        </row>
        <row r="108">
          <cell r="L108" t="str">
            <v>油气资产</v>
          </cell>
        </row>
        <row r="109">
          <cell r="L109" t="str">
            <v>累计折耗</v>
          </cell>
        </row>
        <row r="110">
          <cell r="L110" t="str">
            <v>无形资产</v>
          </cell>
        </row>
        <row r="111">
          <cell r="L111" t="str">
            <v>累计摊销</v>
          </cell>
        </row>
        <row r="112">
          <cell r="L112" t="str">
            <v>无形资产减值准备</v>
          </cell>
        </row>
        <row r="113">
          <cell r="L113" t="str">
            <v>开发支出</v>
          </cell>
        </row>
        <row r="114">
          <cell r="L114" t="str">
            <v>商誉</v>
          </cell>
        </row>
        <row r="115">
          <cell r="L115" t="str">
            <v>长期待摊费用</v>
          </cell>
        </row>
        <row r="116">
          <cell r="L116" t="str">
            <v>递延所得税资产</v>
          </cell>
        </row>
        <row r="117">
          <cell r="L117" t="str">
            <v>其他非流动资产</v>
          </cell>
        </row>
        <row r="118">
          <cell r="L118" t="str">
            <v>短期借款</v>
          </cell>
        </row>
        <row r="119">
          <cell r="L119" t="str">
            <v>向中央银行借款</v>
          </cell>
        </row>
        <row r="120">
          <cell r="L120" t="str">
            <v>吸收存款及同业存放</v>
          </cell>
        </row>
        <row r="121">
          <cell r="L121" t="str">
            <v>拆入资金</v>
          </cell>
        </row>
        <row r="122">
          <cell r="L122" t="str">
            <v>交易性金融负债</v>
          </cell>
        </row>
        <row r="123">
          <cell r="L123" t="str">
            <v>应付票据</v>
          </cell>
        </row>
        <row r="124">
          <cell r="L124" t="str">
            <v>应付账款</v>
          </cell>
        </row>
        <row r="125">
          <cell r="L125" t="str">
            <v>预收款项</v>
          </cell>
        </row>
        <row r="126">
          <cell r="L126" t="str">
            <v>应付职工薪酬</v>
          </cell>
        </row>
        <row r="127">
          <cell r="L127" t="str">
            <v>卖出回购金融资产款</v>
          </cell>
        </row>
        <row r="128">
          <cell r="L128" t="str">
            <v>应付手续费及佣金</v>
          </cell>
        </row>
        <row r="129">
          <cell r="L129" t="str">
            <v>应交税费</v>
          </cell>
        </row>
        <row r="130">
          <cell r="L130" t="str">
            <v>应付利息</v>
          </cell>
        </row>
        <row r="131">
          <cell r="L131" t="str">
            <v>应付股利</v>
          </cell>
        </row>
        <row r="132">
          <cell r="L132" t="str">
            <v>其他应付款</v>
          </cell>
        </row>
        <row r="133">
          <cell r="L133" t="str">
            <v>应付分保账款</v>
          </cell>
        </row>
        <row r="134">
          <cell r="L134" t="str">
            <v>保险合同准备金</v>
          </cell>
        </row>
        <row r="135">
          <cell r="L135" t="str">
            <v>代理买卖证券款</v>
          </cell>
        </row>
        <row r="136">
          <cell r="L136" t="str">
            <v>代理承销证券款</v>
          </cell>
        </row>
        <row r="137">
          <cell r="L137" t="str">
            <v>一年内到期的非流动负债</v>
          </cell>
        </row>
        <row r="138">
          <cell r="L138" t="str">
            <v>其他流动负债</v>
          </cell>
        </row>
        <row r="139">
          <cell r="L139" t="str">
            <v>长期借款</v>
          </cell>
        </row>
        <row r="140">
          <cell r="L140" t="str">
            <v>应付债券</v>
          </cell>
        </row>
        <row r="141">
          <cell r="L141" t="str">
            <v>长期应付款</v>
          </cell>
        </row>
        <row r="142">
          <cell r="L142" t="str">
            <v>专项应付款</v>
          </cell>
        </row>
        <row r="143">
          <cell r="L143" t="str">
            <v>预计负债</v>
          </cell>
        </row>
        <row r="144">
          <cell r="L144" t="str">
            <v>递延所得税负债</v>
          </cell>
        </row>
        <row r="145">
          <cell r="L145" t="str">
            <v>其他非流动负债</v>
          </cell>
        </row>
        <row r="146">
          <cell r="L146" t="str">
            <v>股本_上年年末余额*</v>
          </cell>
        </row>
        <row r="147">
          <cell r="L147" t="str">
            <v>股本_会计政策变更</v>
          </cell>
        </row>
        <row r="148">
          <cell r="L148" t="str">
            <v>股本_前期差错更正</v>
          </cell>
        </row>
        <row r="149">
          <cell r="L149" t="str">
            <v>股本_所有者投入资本</v>
          </cell>
        </row>
        <row r="150">
          <cell r="L150" t="str">
            <v>股本_股份支付计入所有者权益的金额</v>
          </cell>
        </row>
        <row r="151">
          <cell r="L151" t="str">
            <v>股本_资本公积转增资本</v>
          </cell>
        </row>
        <row r="152">
          <cell r="L152" t="str">
            <v>股本_盈余公积转增资本</v>
          </cell>
        </row>
        <row r="153">
          <cell r="L153" t="str">
            <v>股本_其他</v>
          </cell>
        </row>
        <row r="154">
          <cell r="L154" t="str">
            <v>资本公积_上年年末余额*</v>
          </cell>
        </row>
        <row r="155">
          <cell r="L155" t="str">
            <v>资本公积_会计政策变更</v>
          </cell>
        </row>
        <row r="156">
          <cell r="L156" t="str">
            <v>资本公积_前期差错更正</v>
          </cell>
        </row>
        <row r="157">
          <cell r="L157" t="str">
            <v>资本公积_可供出售金融资产公允价值变动净额</v>
          </cell>
        </row>
        <row r="158">
          <cell r="L158" t="str">
            <v>资本公积_权益法下被投资单位其他所有者权益变动的影响</v>
          </cell>
        </row>
        <row r="159">
          <cell r="L159" t="str">
            <v>资本公积_与计入所有者权益项目相关的所得税影响</v>
          </cell>
        </row>
        <row r="160">
          <cell r="L160" t="str">
            <v>资本公积_所有者投入资本</v>
          </cell>
        </row>
        <row r="161">
          <cell r="L161" t="str">
            <v>资本公积_资本公积转增资本</v>
          </cell>
        </row>
        <row r="162">
          <cell r="L162" t="str">
            <v>资本公积_其他</v>
          </cell>
        </row>
        <row r="163">
          <cell r="L163" t="str">
            <v>库存股_上年年末余额*</v>
          </cell>
        </row>
        <row r="164">
          <cell r="L164" t="str">
            <v>库存股_会计政策变更</v>
          </cell>
        </row>
        <row r="165">
          <cell r="L165" t="str">
            <v>库存股_前期差错更正</v>
          </cell>
        </row>
        <row r="166">
          <cell r="L166" t="str">
            <v>库存股_其他</v>
          </cell>
        </row>
        <row r="167">
          <cell r="L167" t="str">
            <v>专项储备</v>
          </cell>
        </row>
        <row r="168">
          <cell r="L168" t="str">
            <v>盈余公积_上年年末余额*</v>
          </cell>
        </row>
        <row r="169">
          <cell r="L169" t="str">
            <v>盈余公积_会计政策变更</v>
          </cell>
        </row>
        <row r="170">
          <cell r="L170" t="str">
            <v>盈余公积_前期差错更正</v>
          </cell>
        </row>
        <row r="171">
          <cell r="L171" t="str">
            <v>盈余公积_提取盈余公积</v>
          </cell>
        </row>
        <row r="172">
          <cell r="L172" t="str">
            <v>盈余公积_盈余公积转增资本</v>
          </cell>
        </row>
        <row r="173">
          <cell r="L173" t="str">
            <v>盈余公积_盈余公积弥补亏损</v>
          </cell>
        </row>
        <row r="174">
          <cell r="L174" t="str">
            <v>盈余公积_提取任意盈余公积</v>
          </cell>
        </row>
        <row r="175">
          <cell r="L175" t="str">
            <v>一般风险准备_上年年末余额*</v>
          </cell>
        </row>
        <row r="176">
          <cell r="L176" t="str">
            <v>一般风险准备_其他</v>
          </cell>
        </row>
        <row r="177">
          <cell r="L177" t="str">
            <v>未分配利润_年初未分配利润</v>
          </cell>
        </row>
        <row r="178">
          <cell r="L178" t="str">
            <v>未分配利润_会计政策变更</v>
          </cell>
        </row>
        <row r="179">
          <cell r="L179" t="str">
            <v>未分配利润_前期差错更正</v>
          </cell>
        </row>
        <row r="180">
          <cell r="L180" t="str">
            <v>未分配利润__提取盈余公积</v>
          </cell>
        </row>
        <row r="181">
          <cell r="L181" t="str">
            <v>未分配利润__提取一般风险准备</v>
          </cell>
        </row>
        <row r="182">
          <cell r="L182" t="str">
            <v>未分配利润__对所有者（或股东）的分配</v>
          </cell>
        </row>
        <row r="183">
          <cell r="L183" t="str">
            <v>未分配利润__盈余公积弥补亏损</v>
          </cell>
        </row>
        <row r="184">
          <cell r="L184" t="str">
            <v>未分配利润_其他</v>
          </cell>
        </row>
        <row r="185">
          <cell r="L185" t="str">
            <v>外币报表折算差额</v>
          </cell>
        </row>
        <row r="186">
          <cell r="L186" t="str">
            <v>少数股东权益_上年年末余额*</v>
          </cell>
        </row>
        <row r="187">
          <cell r="L187" t="str">
            <v>少数股东权益_会计政策变更</v>
          </cell>
        </row>
        <row r="188">
          <cell r="L188" t="str">
            <v>少数股东权益_前期差错更正</v>
          </cell>
        </row>
        <row r="189">
          <cell r="L189" t="str">
            <v>少数股东权益_净利润</v>
          </cell>
        </row>
        <row r="190">
          <cell r="L190" t="str">
            <v>少数股东权益_所有者投入资本</v>
          </cell>
        </row>
        <row r="191">
          <cell r="L191" t="str">
            <v>少数股东权益_对所有者（或股东）的分配</v>
          </cell>
        </row>
        <row r="192">
          <cell r="L192" t="str">
            <v>少数股东权益_其他</v>
          </cell>
        </row>
        <row r="193">
          <cell r="L193" t="str">
            <v>营业收入</v>
          </cell>
        </row>
        <row r="194">
          <cell r="L194" t="str">
            <v>营业成本</v>
          </cell>
        </row>
        <row r="195">
          <cell r="L195" t="str">
            <v>营业税金及附加</v>
          </cell>
        </row>
        <row r="196">
          <cell r="L196" t="str">
            <v>销售费用</v>
          </cell>
        </row>
        <row r="197">
          <cell r="L197" t="str">
            <v>管理费用</v>
          </cell>
        </row>
        <row r="198">
          <cell r="L198" t="str">
            <v>财务费用</v>
          </cell>
        </row>
        <row r="199">
          <cell r="L199" t="str">
            <v>资产减值损失</v>
          </cell>
        </row>
        <row r="200">
          <cell r="L200" t="str">
            <v>公允价值变动收益</v>
          </cell>
        </row>
        <row r="201">
          <cell r="L201" t="str">
            <v>投资收益</v>
          </cell>
        </row>
        <row r="202">
          <cell r="L202" t="str">
            <v>投资收益_对联营企业和合营企业的投资收益</v>
          </cell>
        </row>
        <row r="203">
          <cell r="L203" t="str">
            <v>营业外收入</v>
          </cell>
        </row>
        <row r="204">
          <cell r="L204" t="str">
            <v>营业外支出</v>
          </cell>
        </row>
        <row r="205">
          <cell r="L205" t="str">
            <v>营业外支出_非流动资产处置损失</v>
          </cell>
        </row>
        <row r="206">
          <cell r="L206" t="str">
            <v>所得税费用</v>
          </cell>
        </row>
        <row r="207">
          <cell r="L207" t="str">
            <v>少数股东损益</v>
          </cell>
        </row>
        <row r="208">
          <cell r="L208" t="str">
            <v>被合并方在合并前实现的净利润</v>
          </cell>
        </row>
      </sheetData>
      <sheetData sheetId="15"/>
      <sheetData sheetId="16"/>
      <sheetData sheetId="17"/>
      <sheetData sheetId="18"/>
      <sheetData sheetId="19"/>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F"/>
      <sheetName val="preCE"/>
      <sheetName val="TB"/>
      <sheetName val="BS"/>
      <sheetName val="IS"/>
      <sheetName val="CF"/>
      <sheetName val="CE"/>
      <sheetName val="调整事项"/>
      <sheetName val="AJE"/>
      <sheetName val="AJE1"/>
      <sheetName val="2009-2014缴费凭证"/>
      <sheetName val="CFJE"/>
      <sheetName val="UJE"/>
      <sheetName val="noteChecks"/>
      <sheetName val="Notes"/>
      <sheetName val="CFWP1"/>
      <sheetName val="CFWP2"/>
      <sheetName val="STATDATA"/>
      <sheetName val="TBSPIVOT"/>
      <sheetName val="NOTEPIVO2"/>
      <sheetName val="NOTEPIVO"/>
      <sheetName val="未审报表分析"/>
      <sheetName val="未审财务指标分析"/>
      <sheetName val="已审报表分析"/>
      <sheetName val="现流表比较说明"/>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noteChecks"/>
      <sheetName val="preBS"/>
      <sheetName val="preIS"/>
      <sheetName val="preCF"/>
      <sheetName val="preCE"/>
      <sheetName val="TB"/>
      <sheetName val="BS"/>
      <sheetName val="IS"/>
      <sheetName val="CF"/>
      <sheetName val="CE"/>
      <sheetName val="余额Db"/>
      <sheetName val="CF底稿"/>
      <sheetName val="调整分录计算"/>
      <sheetName val="应交税费明细"/>
      <sheetName val="2009-2014缴税凭证"/>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s>
    <sheetDataSet>
      <sheetData sheetId="0">
        <row r="1">
          <cell r="M1" t="str">
            <v>货币资金</v>
          </cell>
        </row>
        <row r="2">
          <cell r="M2" t="str">
            <v>库存现金</v>
          </cell>
        </row>
        <row r="3">
          <cell r="M3" t="str">
            <v>银行存款</v>
          </cell>
        </row>
        <row r="4">
          <cell r="M4" t="str">
            <v>其他货币资金</v>
          </cell>
        </row>
        <row r="5">
          <cell r="M5" t="str">
            <v>交易性金融资产</v>
          </cell>
        </row>
        <row r="6">
          <cell r="M6" t="str">
            <v>应收票据</v>
          </cell>
        </row>
        <row r="7">
          <cell r="M7" t="str">
            <v>应收账款</v>
          </cell>
        </row>
        <row r="8">
          <cell r="M8" t="str">
            <v>应收账款坏账准备</v>
          </cell>
        </row>
        <row r="9">
          <cell r="M9" t="str">
            <v>预付款项</v>
          </cell>
        </row>
        <row r="10">
          <cell r="M10" t="str">
            <v>预付款项坏账准备</v>
          </cell>
        </row>
        <row r="11">
          <cell r="M11" t="str">
            <v>应收利息</v>
          </cell>
        </row>
        <row r="12">
          <cell r="M12" t="str">
            <v>应收股利</v>
          </cell>
        </row>
        <row r="13">
          <cell r="M13" t="str">
            <v>其他应收款</v>
          </cell>
        </row>
        <row r="14">
          <cell r="M14" t="str">
            <v>其他应收款坏账准备</v>
          </cell>
        </row>
        <row r="15">
          <cell r="M15" t="str">
            <v>存货</v>
          </cell>
        </row>
        <row r="16">
          <cell r="M16" t="str">
            <v>存货跌价准备</v>
          </cell>
        </row>
        <row r="17">
          <cell r="M17" t="str">
            <v>材料采购</v>
          </cell>
        </row>
        <row r="18">
          <cell r="M18" t="str">
            <v>在途物资</v>
          </cell>
        </row>
        <row r="19">
          <cell r="M19" t="str">
            <v>原材料</v>
          </cell>
        </row>
        <row r="20">
          <cell r="M20" t="str">
            <v>材料成本差异</v>
          </cell>
        </row>
        <row r="21">
          <cell r="M21" t="str">
            <v>库存商品</v>
          </cell>
        </row>
        <row r="22">
          <cell r="M22" t="str">
            <v>发出商品</v>
          </cell>
        </row>
        <row r="23">
          <cell r="M23" t="str">
            <v>商品进销差价</v>
          </cell>
        </row>
        <row r="24">
          <cell r="M24" t="str">
            <v>委托加工物资</v>
          </cell>
        </row>
        <row r="25">
          <cell r="M25" t="str">
            <v>周转材料</v>
          </cell>
        </row>
        <row r="26">
          <cell r="M26" t="str">
            <v>生产成本</v>
          </cell>
        </row>
        <row r="27">
          <cell r="M27" t="str">
            <v>制造费用</v>
          </cell>
        </row>
        <row r="28">
          <cell r="M28" t="str">
            <v>工程施工</v>
          </cell>
        </row>
        <row r="29">
          <cell r="M29" t="str">
            <v>消耗性生物资产</v>
          </cell>
        </row>
        <row r="30">
          <cell r="M30" t="str">
            <v>一年内到期的非流动资产</v>
          </cell>
        </row>
        <row r="31">
          <cell r="M31" t="str">
            <v>其他流动资产</v>
          </cell>
        </row>
        <row r="32">
          <cell r="M32" t="str">
            <v>可供出售金融资产</v>
          </cell>
        </row>
        <row r="33">
          <cell r="M33" t="str">
            <v>可供出售金融资产减值准备</v>
          </cell>
        </row>
        <row r="34">
          <cell r="M34" t="str">
            <v>持有至到期投资</v>
          </cell>
        </row>
        <row r="35">
          <cell r="M35" t="str">
            <v>持有至到期投资减值准备</v>
          </cell>
        </row>
        <row r="36">
          <cell r="M36" t="str">
            <v>长期应收款</v>
          </cell>
        </row>
        <row r="37">
          <cell r="M37" t="str">
            <v>长期股权投资</v>
          </cell>
        </row>
        <row r="38">
          <cell r="M38" t="str">
            <v>长期股权投资减值准备</v>
          </cell>
        </row>
        <row r="39">
          <cell r="M39" t="str">
            <v>投资性房地产</v>
          </cell>
        </row>
        <row r="40">
          <cell r="M40" t="str">
            <v>投资性房地产减值准备</v>
          </cell>
        </row>
        <row r="41">
          <cell r="M41" t="str">
            <v>固定资产</v>
          </cell>
        </row>
        <row r="42">
          <cell r="M42" t="str">
            <v>累计折旧</v>
          </cell>
        </row>
        <row r="43">
          <cell r="M43" t="str">
            <v>固定资产减值准备</v>
          </cell>
        </row>
        <row r="44">
          <cell r="M44" t="str">
            <v>在建工程</v>
          </cell>
        </row>
        <row r="45">
          <cell r="M45" t="str">
            <v>在建工程减值准备</v>
          </cell>
        </row>
        <row r="46">
          <cell r="M46" t="str">
            <v>工程物资</v>
          </cell>
        </row>
        <row r="47">
          <cell r="M47" t="str">
            <v>工程物资减值准备</v>
          </cell>
        </row>
        <row r="48">
          <cell r="M48" t="str">
            <v>固定资产清理</v>
          </cell>
        </row>
        <row r="49">
          <cell r="M49" t="str">
            <v>生产性生物资产</v>
          </cell>
        </row>
        <row r="50">
          <cell r="M50" t="str">
            <v>生产性生物资产累计折旧</v>
          </cell>
        </row>
        <row r="51">
          <cell r="M51" t="str">
            <v>生产性生物资产减值准备</v>
          </cell>
        </row>
        <row r="52">
          <cell r="M52" t="str">
            <v>油气资产</v>
          </cell>
        </row>
        <row r="53">
          <cell r="M53" t="str">
            <v>累计折耗</v>
          </cell>
        </row>
        <row r="54">
          <cell r="M54" t="str">
            <v>油气资产减值准备</v>
          </cell>
        </row>
        <row r="55">
          <cell r="M55" t="str">
            <v>无形资产</v>
          </cell>
        </row>
        <row r="56">
          <cell r="M56" t="str">
            <v>累计摊销</v>
          </cell>
        </row>
        <row r="57">
          <cell r="M57" t="str">
            <v>无形资产减值准备</v>
          </cell>
        </row>
        <row r="58">
          <cell r="M58" t="str">
            <v>开发支出</v>
          </cell>
        </row>
        <row r="59">
          <cell r="M59" t="str">
            <v>商誉</v>
          </cell>
        </row>
        <row r="60">
          <cell r="M60" t="str">
            <v>商誉减值准备</v>
          </cell>
        </row>
        <row r="61">
          <cell r="M61" t="str">
            <v>长期待摊费用</v>
          </cell>
        </row>
        <row r="62">
          <cell r="M62" t="str">
            <v>递延所得税资产</v>
          </cell>
        </row>
        <row r="63">
          <cell r="M63" t="str">
            <v>其他非流动资产</v>
          </cell>
        </row>
        <row r="64">
          <cell r="M64" t="str">
            <v>公益性生物资产</v>
          </cell>
        </row>
        <row r="65">
          <cell r="M65" t="str">
            <v>短期借款</v>
          </cell>
        </row>
        <row r="66">
          <cell r="M66" t="str">
            <v>交易性金融负债</v>
          </cell>
        </row>
        <row r="67">
          <cell r="M67" t="str">
            <v>应付票据</v>
          </cell>
        </row>
        <row r="68">
          <cell r="M68" t="str">
            <v>应付账款</v>
          </cell>
        </row>
        <row r="69">
          <cell r="M69" t="str">
            <v>预收款项</v>
          </cell>
        </row>
        <row r="70">
          <cell r="M70" t="str">
            <v>应付职工薪酬</v>
          </cell>
        </row>
        <row r="71">
          <cell r="M71" t="str">
            <v>应交税费</v>
          </cell>
        </row>
        <row r="72">
          <cell r="M72" t="str">
            <v>应付利息</v>
          </cell>
        </row>
        <row r="73">
          <cell r="M73" t="str">
            <v>应付股利</v>
          </cell>
        </row>
        <row r="74">
          <cell r="M74" t="str">
            <v>其他应付款</v>
          </cell>
        </row>
        <row r="75">
          <cell r="M75" t="str">
            <v>一年内到期的非流动负债</v>
          </cell>
        </row>
        <row r="76">
          <cell r="M76" t="str">
            <v>其他流动负债</v>
          </cell>
        </row>
        <row r="77">
          <cell r="M77" t="str">
            <v>长期借款</v>
          </cell>
        </row>
        <row r="78">
          <cell r="M78" t="str">
            <v>应付债券</v>
          </cell>
        </row>
        <row r="79">
          <cell r="M79" t="str">
            <v>长期应付款</v>
          </cell>
        </row>
        <row r="80">
          <cell r="M80" t="str">
            <v>专项应付款</v>
          </cell>
        </row>
        <row r="81">
          <cell r="M81" t="str">
            <v>预计负债</v>
          </cell>
        </row>
        <row r="82">
          <cell r="M82" t="str">
            <v>递延所得税负债</v>
          </cell>
        </row>
        <row r="83">
          <cell r="M83" t="str">
            <v>其他非流动负债</v>
          </cell>
        </row>
        <row r="84">
          <cell r="M84" t="str">
            <v>营业收入</v>
          </cell>
        </row>
        <row r="85">
          <cell r="M85" t="str">
            <v>营业成本</v>
          </cell>
        </row>
        <row r="86">
          <cell r="M86" t="str">
            <v>营业税金及附加</v>
          </cell>
        </row>
        <row r="87">
          <cell r="M87" t="str">
            <v>销售费用</v>
          </cell>
        </row>
        <row r="88">
          <cell r="M88" t="str">
            <v>管理费用</v>
          </cell>
        </row>
        <row r="89">
          <cell r="M89" t="str">
            <v>财务费用</v>
          </cell>
        </row>
        <row r="90">
          <cell r="M90" t="str">
            <v>资产减值损失</v>
          </cell>
        </row>
        <row r="91">
          <cell r="M91" t="str">
            <v>公允价值变动收益</v>
          </cell>
        </row>
        <row r="92">
          <cell r="M92" t="str">
            <v>投资收益</v>
          </cell>
        </row>
        <row r="93">
          <cell r="M93" t="str">
            <v>对联营企业和合营企业的投资收益</v>
          </cell>
        </row>
        <row r="94">
          <cell r="M94" t="str">
            <v>营业外收入</v>
          </cell>
        </row>
        <row r="95">
          <cell r="M95" t="str">
            <v>营业外支出</v>
          </cell>
        </row>
        <row r="96">
          <cell r="M96" t="str">
            <v>非流动资产处置损失</v>
          </cell>
        </row>
        <row r="97">
          <cell r="M97" t="str">
            <v>所得税费用</v>
          </cell>
        </row>
        <row r="98">
          <cell r="M98" t="str">
            <v>少数股东损益</v>
          </cell>
        </row>
        <row r="99">
          <cell r="M99" t="str">
            <v>实收资本_上年年末余额</v>
          </cell>
        </row>
        <row r="100">
          <cell r="M100" t="str">
            <v>实收资本_前期差错更正调整上年年末余额</v>
          </cell>
        </row>
        <row r="101">
          <cell r="M101" t="str">
            <v>实收资本_所有者投入资本</v>
          </cell>
        </row>
        <row r="102">
          <cell r="M102" t="str">
            <v>实收资本_资本公积转增</v>
          </cell>
        </row>
        <row r="103">
          <cell r="M103" t="str">
            <v>实收资本_盈余公积转增</v>
          </cell>
        </row>
        <row r="104">
          <cell r="M104" t="str">
            <v>资本公积_上年年末余额</v>
          </cell>
        </row>
        <row r="105">
          <cell r="M105" t="str">
            <v>资本公积_会计政策变更调整上年年末余额</v>
          </cell>
        </row>
        <row r="106">
          <cell r="M106" t="str">
            <v>资本公积_前期差错更正调整上年年末余额</v>
          </cell>
        </row>
        <row r="107">
          <cell r="M107" t="str">
            <v>资本公积_其他原因调整上年年末余额</v>
          </cell>
        </row>
        <row r="108">
          <cell r="M108" t="str">
            <v>资本公积_其他综合收益</v>
          </cell>
        </row>
        <row r="109">
          <cell r="M109" t="str">
            <v>资本公积_所有者投入资本</v>
          </cell>
        </row>
        <row r="110">
          <cell r="M110" t="str">
            <v>资本公积_股份支付</v>
          </cell>
        </row>
        <row r="111">
          <cell r="M111" t="str">
            <v>资本公积_所有者其他投入和减少资本</v>
          </cell>
        </row>
        <row r="112">
          <cell r="M112" t="str">
            <v>资本公积_其他利润分配</v>
          </cell>
        </row>
        <row r="113">
          <cell r="M113" t="str">
            <v>资本公积_转增资本</v>
          </cell>
        </row>
        <row r="114">
          <cell r="M114" t="str">
            <v>资本公积_本期其他增减变动</v>
          </cell>
        </row>
        <row r="115">
          <cell r="M115" t="str">
            <v>库存股_上年年末余额</v>
          </cell>
        </row>
        <row r="116">
          <cell r="M116" t="str">
            <v>库存股_会计政策变更调整上年年末余额</v>
          </cell>
        </row>
        <row r="117">
          <cell r="M117" t="str">
            <v>库存股_前期差错更正调整上年年末余额</v>
          </cell>
        </row>
        <row r="118">
          <cell r="M118" t="str">
            <v>库存股_所有者投入资本</v>
          </cell>
        </row>
        <row r="119">
          <cell r="M119" t="str">
            <v>库存股_所有者权益其他内部结转</v>
          </cell>
        </row>
        <row r="120">
          <cell r="M120" t="str">
            <v>专项储备_上年年末余额</v>
          </cell>
        </row>
        <row r="121">
          <cell r="M121" t="str">
            <v>专项储备_会计政策变更调整上年年末余额</v>
          </cell>
        </row>
        <row r="122">
          <cell r="M122" t="str">
            <v>专项储备_前期差错更正调整上年年末余额</v>
          </cell>
        </row>
        <row r="123">
          <cell r="M123" t="str">
            <v>专项储备_本期提取</v>
          </cell>
        </row>
        <row r="124">
          <cell r="M124" t="str">
            <v>专项储备_本期使用</v>
          </cell>
        </row>
        <row r="125">
          <cell r="M125" t="str">
            <v>盈余公积_上年年末余额</v>
          </cell>
        </row>
        <row r="126">
          <cell r="M126" t="str">
            <v>盈余公积_会计政策变更调整上年年末余额</v>
          </cell>
        </row>
        <row r="127">
          <cell r="M127" t="str">
            <v>盈余公积_前期差错更正调整上年年末余额</v>
          </cell>
        </row>
        <row r="128">
          <cell r="M128" t="str">
            <v>盈余公积_其他原因调整上年年末余额</v>
          </cell>
        </row>
        <row r="129">
          <cell r="M129" t="str">
            <v>盈余公积_提取</v>
          </cell>
        </row>
        <row r="130">
          <cell r="M130" t="str">
            <v>盈余公积_对所有者的分配</v>
          </cell>
        </row>
        <row r="131">
          <cell r="M131" t="str">
            <v>盈余公积_其他利润分配</v>
          </cell>
        </row>
        <row r="132">
          <cell r="M132" t="str">
            <v>盈余公积_转增资本</v>
          </cell>
        </row>
        <row r="133">
          <cell r="M133" t="str">
            <v>盈余公积_弥补亏损</v>
          </cell>
        </row>
        <row r="134">
          <cell r="M134" t="str">
            <v>一般风险准备_上年年末余额</v>
          </cell>
        </row>
        <row r="135">
          <cell r="M135" t="str">
            <v>一般风险准备_会计政策变更调整上年年末余额</v>
          </cell>
        </row>
        <row r="136">
          <cell r="M136" t="str">
            <v>一般风险准备_前期差错更正调整上年年末余额</v>
          </cell>
        </row>
        <row r="137">
          <cell r="M137" t="str">
            <v>一般风险准备_提取</v>
          </cell>
        </row>
        <row r="138">
          <cell r="M138" t="str">
            <v>一般风险准备_所有者权益其他内部结转</v>
          </cell>
        </row>
        <row r="139">
          <cell r="M139" t="str">
            <v>未分配利润_上年年末余额</v>
          </cell>
        </row>
        <row r="140">
          <cell r="M140" t="str">
            <v>未分配利润_会计政策变更调整上年年末余额</v>
          </cell>
        </row>
        <row r="141">
          <cell r="M141" t="str">
            <v>未分配利润_前期差错更正调整上年年末余额</v>
          </cell>
        </row>
        <row r="142">
          <cell r="M142" t="str">
            <v>未分配利润_其他原因调整上年年末余额</v>
          </cell>
        </row>
        <row r="143">
          <cell r="M143" t="str">
            <v>未分配利润_所有者其他投入和减少资本</v>
          </cell>
        </row>
        <row r="144">
          <cell r="M144" t="str">
            <v>未分配利润_提取盈余公积</v>
          </cell>
        </row>
        <row r="145">
          <cell r="M145" t="str">
            <v>未分配利润_提取一般风险准备</v>
          </cell>
        </row>
        <row r="146">
          <cell r="M146" t="str">
            <v>未分配利润_对所有者的分配</v>
          </cell>
        </row>
        <row r="147">
          <cell r="M147" t="str">
            <v>未分配利润_其他利润分配</v>
          </cell>
        </row>
        <row r="148">
          <cell r="M148" t="str">
            <v>未分配利润_盈余公积弥补亏损</v>
          </cell>
        </row>
        <row r="149">
          <cell r="M149" t="str">
            <v>未分配利润_所有者权益其他内部结转</v>
          </cell>
        </row>
        <row r="150">
          <cell r="M150" t="str">
            <v>其他归属于母公司权益_上年年末余额</v>
          </cell>
        </row>
        <row r="151">
          <cell r="M151" t="str">
            <v>其他归属于母公司权益_会计政策变更调整上年年末余额</v>
          </cell>
        </row>
        <row r="152">
          <cell r="M152" t="str">
            <v>其他归属于母公司权益_前期差错更正调整上年年末余额</v>
          </cell>
        </row>
        <row r="153">
          <cell r="M153" t="str">
            <v>其他归属于母公司权益_其他原因调整上年年末余额</v>
          </cell>
        </row>
        <row r="154">
          <cell r="M154" t="str">
            <v>其他归属于母公司权益_净利润增加权益</v>
          </cell>
        </row>
        <row r="155">
          <cell r="M155" t="str">
            <v>其他归属于母公司权益_其他综合收益</v>
          </cell>
        </row>
        <row r="156">
          <cell r="M156" t="str">
            <v>其他归属于母公司权益_所有者投入资本</v>
          </cell>
        </row>
        <row r="157">
          <cell r="M157" t="str">
            <v>其他归属于母公司权益_股份支付</v>
          </cell>
        </row>
        <row r="158">
          <cell r="M158" t="str">
            <v>其他归属于母公司权益_所有者其他投入和减少资本</v>
          </cell>
        </row>
        <row r="159">
          <cell r="M159" t="str">
            <v>其他归属于母公司权益_提取盈余公积</v>
          </cell>
        </row>
        <row r="160">
          <cell r="M160" t="str">
            <v>其他归属于母公司权益_提取一般风险准备</v>
          </cell>
        </row>
        <row r="161">
          <cell r="M161" t="str">
            <v>其他归属于母公司权益_对所有者的分配</v>
          </cell>
        </row>
        <row r="162">
          <cell r="M162" t="str">
            <v>其他归属于母公司权益_其他利润分配</v>
          </cell>
        </row>
        <row r="163">
          <cell r="M163" t="str">
            <v>其他归属于母公司权益_资本公积转增资本</v>
          </cell>
        </row>
        <row r="164">
          <cell r="M164" t="str">
            <v>其他归属于母公司权益_盈余公积转增资本</v>
          </cell>
        </row>
        <row r="165">
          <cell r="M165" t="str">
            <v>其他归属于母公司权益_盈余公积弥补亏损</v>
          </cell>
        </row>
        <row r="166">
          <cell r="M166" t="str">
            <v>其他归属于母公司权益_所有者权益其他内部结转</v>
          </cell>
        </row>
        <row r="167">
          <cell r="M167" t="str">
            <v>其他归属于母公司权益_专项储备本期提取</v>
          </cell>
        </row>
        <row r="168">
          <cell r="M168" t="str">
            <v>其他归属于母公司权益_专项储备本期使用</v>
          </cell>
        </row>
        <row r="169">
          <cell r="M169" t="str">
            <v>其他归属于母公司权益_本期其他增减变动</v>
          </cell>
        </row>
        <row r="170">
          <cell r="M170" t="str">
            <v>少数股东权益_上年年末余额</v>
          </cell>
        </row>
        <row r="171">
          <cell r="M171" t="str">
            <v>少数股东权益_会计政策变更调整上年年末余额</v>
          </cell>
        </row>
        <row r="172">
          <cell r="M172" t="str">
            <v>少数股东权益_前期差错更正调整上年年末余额</v>
          </cell>
        </row>
        <row r="173">
          <cell r="M173" t="str">
            <v>少数股东权益_其他原因调整上年年末余额</v>
          </cell>
        </row>
        <row r="174">
          <cell r="M174" t="str">
            <v>少数股东权益_净利润</v>
          </cell>
        </row>
        <row r="175">
          <cell r="M175" t="str">
            <v>少数股东权益_其他综合收益</v>
          </cell>
        </row>
        <row r="176">
          <cell r="M176" t="str">
            <v>少数股东权益_所有者投入资本</v>
          </cell>
        </row>
        <row r="177">
          <cell r="M177" t="str">
            <v>少数股东权益_股份支付</v>
          </cell>
        </row>
        <row r="178">
          <cell r="M178" t="str">
            <v>少数股东权益_所有者其他投入和减少资本</v>
          </cell>
        </row>
        <row r="179">
          <cell r="M179" t="str">
            <v>少数股东权益_对所有者的分配</v>
          </cell>
        </row>
        <row r="180">
          <cell r="M180" t="str">
            <v>少数股东权益_其他利润分配</v>
          </cell>
        </row>
        <row r="181">
          <cell r="M181" t="str">
            <v>少数股东权益_专项储备本期提取</v>
          </cell>
        </row>
        <row r="182">
          <cell r="M182" t="str">
            <v>少数股东权益_专项储备本期使用</v>
          </cell>
        </row>
        <row r="183">
          <cell r="M183" t="str">
            <v>少数股东权益_本期其他增减变动</v>
          </cell>
        </row>
        <row r="184">
          <cell r="M184" t="str">
            <v>结算备付金</v>
          </cell>
        </row>
        <row r="185">
          <cell r="M185" t="str">
            <v>拆出资金</v>
          </cell>
        </row>
        <row r="186">
          <cell r="M186" t="str">
            <v>应收保费</v>
          </cell>
        </row>
        <row r="187">
          <cell r="M187" t="str">
            <v>应收分保账款</v>
          </cell>
        </row>
        <row r="188">
          <cell r="M188" t="str">
            <v>应收分保合同准备金</v>
          </cell>
        </row>
        <row r="189">
          <cell r="M189" t="str">
            <v>买入返售金融资产</v>
          </cell>
        </row>
        <row r="190">
          <cell r="M190" t="str">
            <v>发放委托贷款及垫款</v>
          </cell>
        </row>
        <row r="191">
          <cell r="M191" t="str">
            <v>向中央银行借款</v>
          </cell>
        </row>
        <row r="192">
          <cell r="M192" t="str">
            <v>吸收存款及同业存放</v>
          </cell>
        </row>
        <row r="193">
          <cell r="M193" t="str">
            <v>拆入资金</v>
          </cell>
        </row>
        <row r="194">
          <cell r="M194" t="str">
            <v>卖出回购金融资产款</v>
          </cell>
        </row>
        <row r="195">
          <cell r="M195" t="str">
            <v>应付手续费及佣金</v>
          </cell>
        </row>
        <row r="196">
          <cell r="M196" t="str">
            <v>应付分保账款</v>
          </cell>
        </row>
        <row r="197">
          <cell r="M197" t="str">
            <v>保险合同准备金</v>
          </cell>
        </row>
        <row r="198">
          <cell r="M198" t="str">
            <v>代理买卖证券款</v>
          </cell>
        </row>
        <row r="199">
          <cell r="M199" t="str">
            <v>代理承销证券款</v>
          </cell>
        </row>
        <row r="200">
          <cell r="M200" t="str">
            <v>利息收入</v>
          </cell>
        </row>
        <row r="201">
          <cell r="M201" t="str">
            <v>已赚保费</v>
          </cell>
        </row>
        <row r="202">
          <cell r="M202" t="str">
            <v>手续费及佣金收入</v>
          </cell>
        </row>
        <row r="203">
          <cell r="M203" t="str">
            <v>利息支出</v>
          </cell>
        </row>
        <row r="204">
          <cell r="M204" t="str">
            <v>手续费及佣金支出</v>
          </cell>
        </row>
        <row r="205">
          <cell r="M205" t="str">
            <v>退保金</v>
          </cell>
        </row>
        <row r="206">
          <cell r="M206" t="str">
            <v>赔付支出净额</v>
          </cell>
        </row>
        <row r="207">
          <cell r="M207" t="str">
            <v>提取保险合同准备金净额</v>
          </cell>
        </row>
        <row r="208">
          <cell r="M208" t="str">
            <v>保单红利支出</v>
          </cell>
        </row>
        <row r="209">
          <cell r="M209" t="str">
            <v>分保费用</v>
          </cell>
        </row>
        <row r="210">
          <cell r="M210" t="str">
            <v>汇兑收益</v>
          </cell>
        </row>
        <row r="211">
          <cell r="M211" t="str">
            <v>实收资本_会计政策变更调整上年年末余额</v>
          </cell>
        </row>
        <row r="212">
          <cell r="M212" t="str">
            <v>实收资本_其他原因调整上年年末余额</v>
          </cell>
        </row>
        <row r="213">
          <cell r="M213" t="str">
            <v>实收资本_所有者其他投入和减少资本</v>
          </cell>
        </row>
        <row r="214">
          <cell r="M214" t="str">
            <v>实收资本_所有者权益其他内部结转</v>
          </cell>
        </row>
        <row r="215">
          <cell r="M215" t="str">
            <v>实收资本_本期其他增减变动</v>
          </cell>
        </row>
        <row r="216">
          <cell r="M216" t="str">
            <v>资本公积_所有者权益其他内部结转</v>
          </cell>
        </row>
        <row r="217">
          <cell r="M217" t="str">
            <v>库存股_其他原因调整上年年末余额</v>
          </cell>
        </row>
        <row r="218">
          <cell r="M218" t="str">
            <v>库存股_股份支付</v>
          </cell>
        </row>
        <row r="219">
          <cell r="M219" t="str">
            <v>库存股_所有者其他投入和减少资本</v>
          </cell>
        </row>
        <row r="220">
          <cell r="M220" t="str">
            <v>库存股_对所有者的分配</v>
          </cell>
        </row>
        <row r="221">
          <cell r="M221" t="str">
            <v>库存股_其他利润分配</v>
          </cell>
        </row>
        <row r="222">
          <cell r="M222" t="str">
            <v>库存股_本期其他增减变动</v>
          </cell>
        </row>
        <row r="223">
          <cell r="M223" t="str">
            <v>专项储备_其他原因调整上年年末余额</v>
          </cell>
        </row>
        <row r="224">
          <cell r="M224" t="str">
            <v>专项储备_本期其他增减变动</v>
          </cell>
        </row>
        <row r="225">
          <cell r="M225" t="str">
            <v>盈余公积_所有者权益其他内部结转</v>
          </cell>
        </row>
        <row r="226">
          <cell r="M226" t="str">
            <v>盈余公积_本期其他增减变动</v>
          </cell>
        </row>
        <row r="227">
          <cell r="M227" t="str">
            <v>一般风险准备_其他原因调整上年年末余额</v>
          </cell>
        </row>
        <row r="228">
          <cell r="M228" t="str">
            <v>一般风险准备_所有者其他投入和减少资本</v>
          </cell>
        </row>
        <row r="229">
          <cell r="M229" t="str">
            <v>一般风险准备_其他利润分配</v>
          </cell>
        </row>
        <row r="230">
          <cell r="M230" t="str">
            <v>一般风险准备_本期其他增减变动</v>
          </cell>
        </row>
        <row r="231">
          <cell r="M231" t="str">
            <v>未分配利润_专项储备本期提取</v>
          </cell>
        </row>
        <row r="232">
          <cell r="M232" t="str">
            <v>未分配利润_专项储备本期使用</v>
          </cell>
        </row>
        <row r="233">
          <cell r="M233" t="str">
            <v>未分配利润_本期其他增减变动</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sheetData>
      <sheetData sheetId="1"/>
      <sheetData sheetId="2"/>
      <sheetData sheetId="3"/>
      <sheetData sheetId="4"/>
      <sheetData sheetId="5"/>
      <sheetData sheetId="6"/>
      <sheetData sheetId="7"/>
      <sheetData sheetId="8"/>
      <sheetData sheetId="9">
        <row r="36">
          <cell r="L36">
            <v>6532725.4500000002</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索引"/>
      <sheetName val="其他应收款Dy"/>
      <sheetName val="其他应收款Mx"/>
      <sheetName val="其他应收款Pz"/>
      <sheetName val="预付款项Dy"/>
      <sheetName val="预付款项Mx"/>
      <sheetName val="预付款项Pz"/>
      <sheetName val="固定资产Dy"/>
      <sheetName val="固定资产Mx"/>
      <sheetName val="固定资产Pz"/>
      <sheetName val="固定资产_3"/>
      <sheetName val="固定资产_31"/>
      <sheetName val="其他应付款Dy"/>
      <sheetName val="其他应付款Mx"/>
      <sheetName val="其他应付款Pz"/>
      <sheetName val="分录"/>
      <sheetName val="标本-资产"/>
      <sheetName val="B"/>
      <sheetName val="YS02-02"/>
      <sheetName val="应付福利费"/>
    </sheetNames>
    <sheetDataSet>
      <sheetData sheetId="0" refreshError="1">
        <row r="7">
          <cell r="C7" t="str">
            <v>2008年</v>
          </cell>
          <cell r="D7" t="str">
            <v>1-9月</v>
          </cell>
        </row>
        <row r="13">
          <cell r="D13" t="str">
            <v>工    作    底    稿</v>
          </cell>
          <cell r="E13" t="str">
            <v>审计人员</v>
          </cell>
        </row>
        <row r="14">
          <cell r="D14" t="str">
            <v/>
          </cell>
          <cell r="E14" t="str">
            <v/>
          </cell>
          <cell r="F14" t="str">
            <v/>
          </cell>
        </row>
        <row r="15">
          <cell r="D15" t="str">
            <v>其他应收款</v>
          </cell>
          <cell r="E15" t="str">
            <v>毕然</v>
          </cell>
          <cell r="F15">
            <v>1221</v>
          </cell>
        </row>
        <row r="16">
          <cell r="E16" t="str">
            <v/>
          </cell>
          <cell r="F16" t="str">
            <v/>
          </cell>
        </row>
        <row r="17">
          <cell r="E17" t="str">
            <v/>
          </cell>
          <cell r="F17" t="str">
            <v/>
          </cell>
        </row>
        <row r="18">
          <cell r="E18" t="str">
            <v/>
          </cell>
          <cell r="F18" t="str">
            <v/>
          </cell>
        </row>
        <row r="19">
          <cell r="E19" t="str">
            <v/>
          </cell>
          <cell r="F19" t="str">
            <v/>
          </cell>
        </row>
        <row r="20">
          <cell r="E20" t="str">
            <v/>
          </cell>
          <cell r="F20" t="str">
            <v/>
          </cell>
        </row>
        <row r="21">
          <cell r="E21" t="str">
            <v/>
          </cell>
          <cell r="F21" t="str">
            <v/>
          </cell>
        </row>
        <row r="22">
          <cell r="E22" t="str">
            <v/>
          </cell>
          <cell r="F22" t="str">
            <v/>
          </cell>
        </row>
        <row r="23">
          <cell r="E23" t="str">
            <v/>
          </cell>
          <cell r="F23" t="str">
            <v/>
          </cell>
        </row>
        <row r="24">
          <cell r="E24" t="str">
            <v/>
          </cell>
          <cell r="F24" t="str">
            <v/>
          </cell>
        </row>
        <row r="25">
          <cell r="E25" t="str">
            <v/>
          </cell>
          <cell r="F25" t="str">
            <v/>
          </cell>
        </row>
        <row r="26">
          <cell r="E26" t="str">
            <v/>
          </cell>
          <cell r="F26" t="str">
            <v/>
          </cell>
        </row>
        <row r="27">
          <cell r="E27" t="str">
            <v/>
          </cell>
          <cell r="F27" t="str">
            <v/>
          </cell>
        </row>
        <row r="28">
          <cell r="E28" t="str">
            <v/>
          </cell>
          <cell r="F28" t="str">
            <v/>
          </cell>
        </row>
        <row r="29">
          <cell r="E29" t="str">
            <v/>
          </cell>
          <cell r="F29" t="str">
            <v/>
          </cell>
        </row>
        <row r="30">
          <cell r="E30" t="str">
            <v/>
          </cell>
          <cell r="F30" t="str">
            <v/>
          </cell>
        </row>
        <row r="31">
          <cell r="E31" t="str">
            <v/>
          </cell>
          <cell r="F31" t="str">
            <v/>
          </cell>
        </row>
        <row r="32">
          <cell r="E32" t="str">
            <v/>
          </cell>
          <cell r="F32" t="str">
            <v/>
          </cell>
        </row>
        <row r="33">
          <cell r="E33" t="str">
            <v/>
          </cell>
          <cell r="F33" t="str">
            <v/>
          </cell>
        </row>
        <row r="34">
          <cell r="E34" t="str">
            <v/>
          </cell>
          <cell r="F34" t="str">
            <v/>
          </cell>
        </row>
        <row r="35">
          <cell r="E35" t="str">
            <v/>
          </cell>
          <cell r="F35" t="str">
            <v/>
          </cell>
        </row>
        <row r="36">
          <cell r="E36" t="str">
            <v/>
          </cell>
          <cell r="F36" t="str">
            <v/>
          </cell>
        </row>
        <row r="37">
          <cell r="E37" t="str">
            <v/>
          </cell>
          <cell r="F37" t="str">
            <v/>
          </cell>
        </row>
        <row r="38">
          <cell r="E38" t="str">
            <v/>
          </cell>
          <cell r="F38" t="str">
            <v/>
          </cell>
        </row>
        <row r="39">
          <cell r="E39" t="str">
            <v/>
          </cell>
          <cell r="F39" t="str">
            <v/>
          </cell>
        </row>
        <row r="40">
          <cell r="E40" t="str">
            <v/>
          </cell>
          <cell r="F40" t="str">
            <v/>
          </cell>
        </row>
        <row r="41">
          <cell r="E41" t="str">
            <v/>
          </cell>
          <cell r="F41" t="str">
            <v/>
          </cell>
        </row>
        <row r="42">
          <cell r="E42" t="str">
            <v/>
          </cell>
          <cell r="F42" t="str">
            <v/>
          </cell>
        </row>
        <row r="43">
          <cell r="E43" t="str">
            <v/>
          </cell>
          <cell r="F43" t="str">
            <v/>
          </cell>
        </row>
        <row r="44">
          <cell r="E44" t="str">
            <v/>
          </cell>
          <cell r="F44" t="str">
            <v/>
          </cell>
        </row>
        <row r="45">
          <cell r="E45" t="str">
            <v/>
          </cell>
          <cell r="F45" t="str">
            <v/>
          </cell>
        </row>
        <row r="46">
          <cell r="E46" t="str">
            <v/>
          </cell>
          <cell r="F46" t="str">
            <v/>
          </cell>
        </row>
        <row r="47">
          <cell r="E47" t="str">
            <v/>
          </cell>
          <cell r="F47" t="str">
            <v/>
          </cell>
        </row>
        <row r="48">
          <cell r="E48" t="str">
            <v/>
          </cell>
          <cell r="F48" t="str">
            <v/>
          </cell>
        </row>
        <row r="49">
          <cell r="E49" t="str">
            <v/>
          </cell>
          <cell r="F49" t="str">
            <v/>
          </cell>
        </row>
        <row r="50">
          <cell r="E50" t="str">
            <v/>
          </cell>
          <cell r="F50" t="str">
            <v/>
          </cell>
        </row>
        <row r="51">
          <cell r="E51" t="str">
            <v/>
          </cell>
          <cell r="F51" t="str">
            <v/>
          </cell>
        </row>
        <row r="52">
          <cell r="E52" t="str">
            <v/>
          </cell>
          <cell r="F52" t="str">
            <v/>
          </cell>
        </row>
        <row r="53">
          <cell r="E53" t="str">
            <v/>
          </cell>
          <cell r="F53" t="str">
            <v/>
          </cell>
        </row>
        <row r="54">
          <cell r="E54" t="str">
            <v/>
          </cell>
          <cell r="F54" t="str">
            <v/>
          </cell>
        </row>
        <row r="55">
          <cell r="E55" t="str">
            <v/>
          </cell>
          <cell r="F55" t="str">
            <v/>
          </cell>
        </row>
        <row r="56">
          <cell r="E56" t="str">
            <v/>
          </cell>
          <cell r="F56" t="str">
            <v/>
          </cell>
        </row>
        <row r="57">
          <cell r="E57" t="str">
            <v/>
          </cell>
          <cell r="F57" t="str">
            <v/>
          </cell>
        </row>
        <row r="58">
          <cell r="E58" t="str">
            <v/>
          </cell>
          <cell r="F58" t="str">
            <v/>
          </cell>
        </row>
        <row r="59">
          <cell r="E59" t="str">
            <v/>
          </cell>
          <cell r="F59" t="str">
            <v/>
          </cell>
        </row>
        <row r="60">
          <cell r="E60" t="str">
            <v/>
          </cell>
          <cell r="F60" t="str">
            <v/>
          </cell>
        </row>
        <row r="61">
          <cell r="E61" t="str">
            <v/>
          </cell>
          <cell r="F61" t="str">
            <v/>
          </cell>
        </row>
        <row r="62">
          <cell r="E62" t="str">
            <v/>
          </cell>
          <cell r="F62" t="str">
            <v/>
          </cell>
        </row>
        <row r="63">
          <cell r="E63" t="str">
            <v/>
          </cell>
          <cell r="F63" t="str">
            <v/>
          </cell>
        </row>
        <row r="64">
          <cell r="E64" t="str">
            <v/>
          </cell>
          <cell r="F64" t="str">
            <v/>
          </cell>
        </row>
        <row r="65">
          <cell r="E65" t="str">
            <v/>
          </cell>
          <cell r="F65" t="str">
            <v/>
          </cell>
        </row>
        <row r="66">
          <cell r="E66" t="str">
            <v/>
          </cell>
          <cell r="F66" t="str">
            <v/>
          </cell>
        </row>
        <row r="67">
          <cell r="E67" t="str">
            <v/>
          </cell>
          <cell r="F67" t="str">
            <v/>
          </cell>
        </row>
        <row r="68">
          <cell r="E68" t="str">
            <v/>
          </cell>
          <cell r="F68" t="str">
            <v/>
          </cell>
        </row>
        <row r="69">
          <cell r="E69" t="str">
            <v/>
          </cell>
          <cell r="F69" t="str">
            <v/>
          </cell>
        </row>
        <row r="70">
          <cell r="E70" t="str">
            <v/>
          </cell>
          <cell r="F70" t="str">
            <v/>
          </cell>
        </row>
        <row r="71">
          <cell r="E71" t="str">
            <v/>
          </cell>
          <cell r="F71" t="str">
            <v/>
          </cell>
        </row>
        <row r="72">
          <cell r="E72" t="str">
            <v/>
          </cell>
          <cell r="F72" t="str">
            <v/>
          </cell>
        </row>
        <row r="73">
          <cell r="E73" t="str">
            <v/>
          </cell>
          <cell r="F73" t="str">
            <v/>
          </cell>
        </row>
        <row r="74">
          <cell r="E74" t="str">
            <v/>
          </cell>
          <cell r="F74" t="str">
            <v/>
          </cell>
        </row>
        <row r="75">
          <cell r="E75" t="str">
            <v/>
          </cell>
          <cell r="F75" t="str">
            <v/>
          </cell>
        </row>
        <row r="76">
          <cell r="E76" t="str">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未审CF"/>
      <sheetName val="现流表底稿"/>
      <sheetName val="未审SC"/>
      <sheetName val="校对"/>
      <sheetName val="注释"/>
      <sheetName val="调整分录"/>
      <sheetName val="CF调整分录"/>
      <sheetName val="试算平衡表"/>
      <sheetName val="审定BS"/>
      <sheetName val="审定IS"/>
      <sheetName val="审定CF"/>
      <sheetName val="参数"/>
      <sheetName val="审定SC"/>
    </sheetNames>
    <sheetDataSet>
      <sheetData sheetId="0">
        <row r="4">
          <cell r="B4" t="str">
            <v>江苏传艺科技有限公司</v>
          </cell>
        </row>
        <row r="42">
          <cell r="A42" t="str">
            <v>法定代表人：</v>
          </cell>
        </row>
        <row r="43">
          <cell r="A43" t="str">
            <v>主管会计工作负责人：</v>
          </cell>
        </row>
        <row r="44">
          <cell r="A44" t="str">
            <v>会计机构负责人：</v>
          </cell>
        </row>
      </sheetData>
      <sheetData sheetId="1">
        <row r="7">
          <cell r="E7">
            <v>37404821.780000001</v>
          </cell>
        </row>
      </sheetData>
      <sheetData sheetId="2">
        <row r="7">
          <cell r="E7">
            <v>153308102.27000001</v>
          </cell>
        </row>
      </sheetData>
      <sheetData sheetId="3"/>
      <sheetData sheetId="4"/>
      <sheetData sheetId="5"/>
      <sheetData sheetId="6"/>
      <sheetData sheetId="7"/>
      <sheetData sheetId="8"/>
      <sheetData sheetId="9"/>
      <sheetData sheetId="10">
        <row r="1">
          <cell r="B1" t="str">
            <v>试算平衡表</v>
          </cell>
        </row>
        <row r="2">
          <cell r="B2" t="str">
            <v>2012年度</v>
          </cell>
        </row>
        <row r="4">
          <cell r="B4" t="str">
            <v>编制单位：江苏传艺科技有限公司</v>
          </cell>
        </row>
        <row r="5">
          <cell r="A5" t="str">
            <v>编码</v>
          </cell>
          <cell r="B5" t="str">
            <v>项       目</v>
          </cell>
          <cell r="C5" t="str">
            <v>调整前金额</v>
          </cell>
          <cell r="D5" t="str">
            <v>调整金额</v>
          </cell>
          <cell r="F5" t="str">
            <v>调整后金额</v>
          </cell>
        </row>
        <row r="6">
          <cell r="D6" t="str">
            <v>借方</v>
          </cell>
          <cell r="E6" t="str">
            <v xml:space="preserve">贷方 </v>
          </cell>
        </row>
        <row r="7">
          <cell r="A7">
            <v>0</v>
          </cell>
          <cell r="B7" t="str">
            <v>流动资产：</v>
          </cell>
        </row>
        <row r="8">
          <cell r="A8" t="str">
            <v>Z01</v>
          </cell>
          <cell r="B8" t="str">
            <v>货币资金</v>
          </cell>
          <cell r="C8">
            <v>11226269.73</v>
          </cell>
          <cell r="D8">
            <v>40000</v>
          </cell>
          <cell r="E8">
            <v>0</v>
          </cell>
          <cell r="F8">
            <v>11266269.73</v>
          </cell>
        </row>
        <row r="9">
          <cell r="A9" t="str">
            <v>Z53</v>
          </cell>
          <cell r="B9" t="str">
            <v>结算备付金</v>
          </cell>
          <cell r="C9">
            <v>0</v>
          </cell>
          <cell r="D9">
            <v>0</v>
          </cell>
          <cell r="E9">
            <v>0</v>
          </cell>
          <cell r="F9">
            <v>0</v>
          </cell>
        </row>
        <row r="10">
          <cell r="A10" t="str">
            <v>Z54</v>
          </cell>
          <cell r="B10" t="str">
            <v>拆出资金</v>
          </cell>
          <cell r="C10">
            <v>0</v>
          </cell>
          <cell r="D10">
            <v>0</v>
          </cell>
          <cell r="E10">
            <v>0</v>
          </cell>
          <cell r="F10">
            <v>0</v>
          </cell>
        </row>
        <row r="11">
          <cell r="A11" t="str">
            <v>Z02</v>
          </cell>
          <cell r="B11" t="str">
            <v>交易性金融资产</v>
          </cell>
          <cell r="C11">
            <v>0</v>
          </cell>
          <cell r="D11">
            <v>0</v>
          </cell>
          <cell r="E11">
            <v>0</v>
          </cell>
          <cell r="F11">
            <v>0</v>
          </cell>
        </row>
        <row r="12">
          <cell r="A12" t="str">
            <v>Z03</v>
          </cell>
          <cell r="B12" t="str">
            <v>应收票据</v>
          </cell>
          <cell r="C12">
            <v>0</v>
          </cell>
          <cell r="D12">
            <v>0</v>
          </cell>
          <cell r="E12">
            <v>0</v>
          </cell>
          <cell r="F12">
            <v>0</v>
          </cell>
        </row>
        <row r="13">
          <cell r="A13" t="str">
            <v>Z04</v>
          </cell>
          <cell r="B13" t="str">
            <v>应收账款</v>
          </cell>
          <cell r="C13">
            <v>78869640.560000002</v>
          </cell>
          <cell r="D13">
            <v>289346.13</v>
          </cell>
          <cell r="E13">
            <v>15650764.68</v>
          </cell>
          <cell r="F13">
            <v>63508222.009999998</v>
          </cell>
        </row>
        <row r="14">
          <cell r="A14" t="str">
            <v>Z05</v>
          </cell>
          <cell r="B14" t="str">
            <v>预付款项</v>
          </cell>
          <cell r="C14">
            <v>0</v>
          </cell>
          <cell r="D14">
            <v>4742930.8600000003</v>
          </cell>
          <cell r="E14">
            <v>0</v>
          </cell>
          <cell r="F14">
            <v>4742930.8600000003</v>
          </cell>
        </row>
        <row r="15">
          <cell r="A15" t="str">
            <v>Z55</v>
          </cell>
          <cell r="B15" t="str">
            <v>应收保费</v>
          </cell>
          <cell r="C15">
            <v>0</v>
          </cell>
          <cell r="D15">
            <v>0</v>
          </cell>
          <cell r="E15">
            <v>0</v>
          </cell>
          <cell r="F15">
            <v>0</v>
          </cell>
        </row>
        <row r="16">
          <cell r="A16" t="str">
            <v>Z56</v>
          </cell>
          <cell r="B16" t="str">
            <v>应收分保账款</v>
          </cell>
          <cell r="C16">
            <v>0</v>
          </cell>
          <cell r="D16">
            <v>0</v>
          </cell>
          <cell r="E16">
            <v>0</v>
          </cell>
          <cell r="F16">
            <v>0</v>
          </cell>
        </row>
        <row r="17">
          <cell r="A17" t="str">
            <v>Z59</v>
          </cell>
          <cell r="B17" t="str">
            <v>应收分保合同准备金</v>
          </cell>
          <cell r="C17">
            <v>0</v>
          </cell>
          <cell r="D17">
            <v>0</v>
          </cell>
          <cell r="E17">
            <v>0</v>
          </cell>
          <cell r="F17">
            <v>0</v>
          </cell>
        </row>
        <row r="18">
          <cell r="A18" t="str">
            <v>Z06</v>
          </cell>
          <cell r="B18" t="str">
            <v>应收利息</v>
          </cell>
          <cell r="C18">
            <v>0</v>
          </cell>
          <cell r="D18">
            <v>0</v>
          </cell>
          <cell r="E18">
            <v>0</v>
          </cell>
          <cell r="F18">
            <v>0</v>
          </cell>
        </row>
        <row r="19">
          <cell r="A19" t="str">
            <v>Z07</v>
          </cell>
          <cell r="B19" t="str">
            <v>应收股利</v>
          </cell>
          <cell r="C19">
            <v>0</v>
          </cell>
          <cell r="D19">
            <v>0</v>
          </cell>
          <cell r="E19">
            <v>0</v>
          </cell>
          <cell r="F19">
            <v>0</v>
          </cell>
        </row>
        <row r="20">
          <cell r="A20" t="str">
            <v>Z08</v>
          </cell>
          <cell r="B20" t="str">
            <v>其他应收款</v>
          </cell>
          <cell r="C20">
            <v>10237646.130000001</v>
          </cell>
          <cell r="D20">
            <v>996251.15</v>
          </cell>
          <cell r="E20">
            <v>5523508.6299999999</v>
          </cell>
          <cell r="F20">
            <v>5710388.6500000004</v>
          </cell>
        </row>
        <row r="21">
          <cell r="A21" t="str">
            <v>Z57</v>
          </cell>
          <cell r="B21" t="str">
            <v xml:space="preserve">买入返售金融资产 </v>
          </cell>
          <cell r="C21">
            <v>0</v>
          </cell>
          <cell r="D21">
            <v>0</v>
          </cell>
          <cell r="E21">
            <v>0</v>
          </cell>
          <cell r="F21">
            <v>0</v>
          </cell>
        </row>
        <row r="22">
          <cell r="A22" t="str">
            <v>Z09</v>
          </cell>
          <cell r="B22" t="str">
            <v>存货</v>
          </cell>
          <cell r="C22">
            <v>30576715.620000001</v>
          </cell>
          <cell r="D22">
            <v>36659375.520000003</v>
          </cell>
          <cell r="E22">
            <v>26053674.18</v>
          </cell>
          <cell r="F22">
            <v>41182416.960000001</v>
          </cell>
        </row>
        <row r="23">
          <cell r="A23" t="str">
            <v>Z10</v>
          </cell>
          <cell r="B23" t="str">
            <v>一年内到期的非流动资产</v>
          </cell>
          <cell r="C23">
            <v>0</v>
          </cell>
          <cell r="D23">
            <v>0</v>
          </cell>
          <cell r="E23">
            <v>0</v>
          </cell>
          <cell r="F23">
            <v>0</v>
          </cell>
        </row>
        <row r="24">
          <cell r="A24" t="str">
            <v>Z11</v>
          </cell>
          <cell r="B24" t="str">
            <v>其他流动资产</v>
          </cell>
          <cell r="C24">
            <v>0</v>
          </cell>
          <cell r="D24">
            <v>6554742.5999999996</v>
          </cell>
          <cell r="E24">
            <v>0</v>
          </cell>
          <cell r="F24">
            <v>6554742.5999999996</v>
          </cell>
        </row>
        <row r="25">
          <cell r="A25" t="str">
            <v>Z50</v>
          </cell>
          <cell r="B25" t="str">
            <v>流动资产合计</v>
          </cell>
          <cell r="C25">
            <v>130910272.04000001</v>
          </cell>
          <cell r="D25">
            <v>49282646.259999998</v>
          </cell>
          <cell r="E25">
            <v>47227947.490000002</v>
          </cell>
          <cell r="F25">
            <v>132964970.81</v>
          </cell>
        </row>
        <row r="26">
          <cell r="A26">
            <v>0</v>
          </cell>
          <cell r="B26" t="str">
            <v>非流动资产：</v>
          </cell>
          <cell r="D26">
            <v>0</v>
          </cell>
          <cell r="E26">
            <v>0</v>
          </cell>
          <cell r="F26">
            <v>0</v>
          </cell>
        </row>
        <row r="27">
          <cell r="A27" t="str">
            <v>Z58</v>
          </cell>
          <cell r="B27" t="str">
            <v>发放贷款及垫款</v>
          </cell>
          <cell r="C27">
            <v>0</v>
          </cell>
          <cell r="D27">
            <v>0</v>
          </cell>
          <cell r="E27">
            <v>0</v>
          </cell>
          <cell r="F27">
            <v>0</v>
          </cell>
        </row>
        <row r="28">
          <cell r="A28" t="str">
            <v>Z12</v>
          </cell>
          <cell r="B28" t="str">
            <v>可供出售金融资产</v>
          </cell>
          <cell r="C28">
            <v>0</v>
          </cell>
          <cell r="D28">
            <v>0</v>
          </cell>
          <cell r="E28">
            <v>0</v>
          </cell>
          <cell r="F28">
            <v>0</v>
          </cell>
        </row>
        <row r="29">
          <cell r="A29" t="str">
            <v>Z13</v>
          </cell>
          <cell r="B29" t="str">
            <v>持有至到期投资</v>
          </cell>
          <cell r="C29">
            <v>0</v>
          </cell>
          <cell r="D29">
            <v>0</v>
          </cell>
          <cell r="E29">
            <v>0</v>
          </cell>
          <cell r="F29">
            <v>0</v>
          </cell>
        </row>
        <row r="30">
          <cell r="A30" t="str">
            <v>Z14</v>
          </cell>
          <cell r="B30" t="str">
            <v>长期应收款</v>
          </cell>
          <cell r="C30">
            <v>0</v>
          </cell>
          <cell r="D30">
            <v>0</v>
          </cell>
          <cell r="E30">
            <v>0</v>
          </cell>
          <cell r="F30">
            <v>0</v>
          </cell>
        </row>
        <row r="31">
          <cell r="A31" t="str">
            <v>Z15</v>
          </cell>
          <cell r="B31" t="str">
            <v>长期股权投资</v>
          </cell>
          <cell r="C31">
            <v>10906800</v>
          </cell>
          <cell r="D31">
            <v>0</v>
          </cell>
          <cell r="E31">
            <v>0</v>
          </cell>
          <cell r="F31">
            <v>10906800</v>
          </cell>
        </row>
        <row r="32">
          <cell r="A32" t="str">
            <v>Z16</v>
          </cell>
          <cell r="B32" t="str">
            <v>投资性房地产</v>
          </cell>
          <cell r="C32">
            <v>0</v>
          </cell>
          <cell r="D32">
            <v>0</v>
          </cell>
          <cell r="E32">
            <v>0</v>
          </cell>
          <cell r="F32">
            <v>0</v>
          </cell>
        </row>
        <row r="33">
          <cell r="A33" t="str">
            <v>Z17</v>
          </cell>
          <cell r="B33" t="str">
            <v>固定资产</v>
          </cell>
          <cell r="C33">
            <v>57281772.950000003</v>
          </cell>
          <cell r="D33">
            <v>521164.35</v>
          </cell>
          <cell r="E33">
            <v>3709860.81</v>
          </cell>
          <cell r="F33">
            <v>54093076.490000002</v>
          </cell>
        </row>
        <row r="34">
          <cell r="A34" t="str">
            <v>Z18</v>
          </cell>
          <cell r="B34" t="str">
            <v>在建工程</v>
          </cell>
          <cell r="C34">
            <v>0</v>
          </cell>
          <cell r="D34">
            <v>0</v>
          </cell>
          <cell r="E34">
            <v>0</v>
          </cell>
          <cell r="F34">
            <v>0</v>
          </cell>
        </row>
        <row r="35">
          <cell r="A35" t="str">
            <v>Z19</v>
          </cell>
          <cell r="B35" t="str">
            <v>工程物资</v>
          </cell>
          <cell r="C35">
            <v>0</v>
          </cell>
          <cell r="D35">
            <v>0</v>
          </cell>
          <cell r="E35">
            <v>0</v>
          </cell>
          <cell r="F35">
            <v>0</v>
          </cell>
        </row>
        <row r="36">
          <cell r="A36" t="str">
            <v>Z20</v>
          </cell>
          <cell r="B36" t="str">
            <v>固定资产清理</v>
          </cell>
          <cell r="C36">
            <v>0</v>
          </cell>
          <cell r="D36">
            <v>0</v>
          </cell>
          <cell r="E36">
            <v>0</v>
          </cell>
          <cell r="F36">
            <v>0</v>
          </cell>
        </row>
        <row r="37">
          <cell r="A37" t="str">
            <v>Z21</v>
          </cell>
          <cell r="B37" t="str">
            <v>生产性生物资产</v>
          </cell>
          <cell r="C37">
            <v>0</v>
          </cell>
          <cell r="D37">
            <v>0</v>
          </cell>
          <cell r="E37">
            <v>0</v>
          </cell>
          <cell r="F37">
            <v>0</v>
          </cell>
        </row>
        <row r="38">
          <cell r="A38" t="str">
            <v>Z22</v>
          </cell>
          <cell r="B38" t="str">
            <v>油气资产</v>
          </cell>
          <cell r="C38">
            <v>0</v>
          </cell>
          <cell r="D38">
            <v>0</v>
          </cell>
          <cell r="E38">
            <v>0</v>
          </cell>
          <cell r="F38">
            <v>0</v>
          </cell>
        </row>
        <row r="39">
          <cell r="A39" t="str">
            <v>Z23</v>
          </cell>
          <cell r="B39" t="str">
            <v>无形资产</v>
          </cell>
          <cell r="C39">
            <v>2638232.0499999998</v>
          </cell>
          <cell r="D39">
            <v>381834.25</v>
          </cell>
          <cell r="E39">
            <v>415914.76</v>
          </cell>
          <cell r="F39">
            <v>2604151.54</v>
          </cell>
        </row>
        <row r="40">
          <cell r="A40" t="str">
            <v>Z24</v>
          </cell>
          <cell r="B40" t="str">
            <v>开发支出</v>
          </cell>
          <cell r="C40">
            <v>0</v>
          </cell>
          <cell r="D40">
            <v>0</v>
          </cell>
          <cell r="E40">
            <v>0</v>
          </cell>
          <cell r="F40">
            <v>0</v>
          </cell>
        </row>
        <row r="41">
          <cell r="A41" t="str">
            <v>Z25</v>
          </cell>
          <cell r="B41" t="str">
            <v>商誉</v>
          </cell>
          <cell r="C41">
            <v>0</v>
          </cell>
          <cell r="D41">
            <v>0</v>
          </cell>
          <cell r="E41">
            <v>0</v>
          </cell>
          <cell r="F41">
            <v>0</v>
          </cell>
        </row>
        <row r="42">
          <cell r="A42" t="str">
            <v>Z26</v>
          </cell>
          <cell r="B42" t="str">
            <v>长期待摊费用</v>
          </cell>
          <cell r="C42">
            <v>0</v>
          </cell>
          <cell r="D42">
            <v>0</v>
          </cell>
          <cell r="E42">
            <v>0</v>
          </cell>
          <cell r="F42">
            <v>0</v>
          </cell>
        </row>
        <row r="43">
          <cell r="A43" t="str">
            <v>Z27</v>
          </cell>
          <cell r="B43" t="str">
            <v>递延所得税资产</v>
          </cell>
          <cell r="C43">
            <v>0</v>
          </cell>
          <cell r="D43">
            <v>387878.40000000002</v>
          </cell>
          <cell r="E43">
            <v>0</v>
          </cell>
          <cell r="F43">
            <v>387878.40000000002</v>
          </cell>
        </row>
        <row r="44">
          <cell r="A44" t="str">
            <v>Z28</v>
          </cell>
          <cell r="B44" t="str">
            <v>其他非流动资产</v>
          </cell>
          <cell r="C44">
            <v>0</v>
          </cell>
          <cell r="D44">
            <v>0</v>
          </cell>
          <cell r="E44">
            <v>0</v>
          </cell>
          <cell r="F44">
            <v>0</v>
          </cell>
        </row>
        <row r="45">
          <cell r="F45">
            <v>0</v>
          </cell>
        </row>
        <row r="46">
          <cell r="F46">
            <v>0</v>
          </cell>
        </row>
        <row r="47">
          <cell r="A47" t="str">
            <v>Z51</v>
          </cell>
          <cell r="B47" t="str">
            <v>非流动资产合计</v>
          </cell>
          <cell r="C47">
            <v>70826805</v>
          </cell>
          <cell r="D47">
            <v>1290877</v>
          </cell>
          <cell r="E47">
            <v>4125775.57</v>
          </cell>
          <cell r="F47">
            <v>67991906.430000007</v>
          </cell>
        </row>
        <row r="48">
          <cell r="A48" t="str">
            <v>Z52</v>
          </cell>
          <cell r="B48" t="str">
            <v>资产总计</v>
          </cell>
          <cell r="C48">
            <v>201737077.03999999</v>
          </cell>
          <cell r="D48">
            <v>50573523.259999998</v>
          </cell>
          <cell r="E48">
            <v>51353723.060000002</v>
          </cell>
          <cell r="F48">
            <v>200956877.24000001</v>
          </cell>
        </row>
        <row r="49">
          <cell r="A49">
            <v>0</v>
          </cell>
          <cell r="B49" t="str">
            <v>流动负债：</v>
          </cell>
        </row>
        <row r="50">
          <cell r="A50" t="str">
            <v>F01</v>
          </cell>
          <cell r="B50" t="str">
            <v>短期借款</v>
          </cell>
          <cell r="C50">
            <v>39107404.950000003</v>
          </cell>
          <cell r="D50">
            <v>40356</v>
          </cell>
          <cell r="E50">
            <v>0</v>
          </cell>
          <cell r="F50">
            <v>39067048.950000003</v>
          </cell>
        </row>
        <row r="51">
          <cell r="A51" t="str">
            <v>F53</v>
          </cell>
          <cell r="B51" t="str">
            <v>向中央银行借款</v>
          </cell>
          <cell r="C51">
            <v>0</v>
          </cell>
          <cell r="D51">
            <v>0</v>
          </cell>
          <cell r="E51">
            <v>0</v>
          </cell>
          <cell r="F51">
            <v>0</v>
          </cell>
        </row>
        <row r="52">
          <cell r="A52" t="str">
            <v>F54</v>
          </cell>
          <cell r="B52" t="str">
            <v>吸收存款及同业存放</v>
          </cell>
          <cell r="C52">
            <v>0</v>
          </cell>
          <cell r="D52">
            <v>0</v>
          </cell>
          <cell r="E52">
            <v>0</v>
          </cell>
          <cell r="F52">
            <v>0</v>
          </cell>
        </row>
        <row r="53">
          <cell r="A53" t="str">
            <v>F55</v>
          </cell>
          <cell r="B53" t="str">
            <v>拆入资金</v>
          </cell>
          <cell r="C53">
            <v>0</v>
          </cell>
          <cell r="D53">
            <v>0</v>
          </cell>
          <cell r="E53">
            <v>0</v>
          </cell>
          <cell r="F53">
            <v>0</v>
          </cell>
        </row>
        <row r="54">
          <cell r="A54" t="str">
            <v>F02</v>
          </cell>
          <cell r="B54" t="str">
            <v>交易性金融负债</v>
          </cell>
          <cell r="C54">
            <v>0</v>
          </cell>
          <cell r="D54">
            <v>0</v>
          </cell>
          <cell r="E54">
            <v>0</v>
          </cell>
          <cell r="F54">
            <v>0</v>
          </cell>
        </row>
        <row r="55">
          <cell r="A55" t="str">
            <v>F03</v>
          </cell>
          <cell r="B55" t="str">
            <v>应付票据</v>
          </cell>
          <cell r="C55">
            <v>0</v>
          </cell>
          <cell r="D55">
            <v>0</v>
          </cell>
          <cell r="E55">
            <v>0</v>
          </cell>
          <cell r="F55">
            <v>0</v>
          </cell>
        </row>
        <row r="56">
          <cell r="A56" t="str">
            <v>F04</v>
          </cell>
          <cell r="B56" t="str">
            <v>应付账款</v>
          </cell>
          <cell r="C56">
            <v>27191150.5</v>
          </cell>
          <cell r="D56">
            <v>419771.82</v>
          </cell>
          <cell r="E56">
            <v>2015723.45</v>
          </cell>
          <cell r="F56">
            <v>28787102.129999999</v>
          </cell>
        </row>
        <row r="57">
          <cell r="A57" t="str">
            <v>F05</v>
          </cell>
          <cell r="B57" t="str">
            <v>预收款项</v>
          </cell>
          <cell r="C57">
            <v>0</v>
          </cell>
          <cell r="D57">
            <v>0</v>
          </cell>
          <cell r="E57">
            <v>0</v>
          </cell>
          <cell r="F57">
            <v>0</v>
          </cell>
        </row>
        <row r="58">
          <cell r="A58" t="str">
            <v>F56</v>
          </cell>
          <cell r="B58" t="str">
            <v>卖出回购金融资产款</v>
          </cell>
          <cell r="C58">
            <v>0</v>
          </cell>
          <cell r="D58">
            <v>0</v>
          </cell>
          <cell r="E58">
            <v>0</v>
          </cell>
          <cell r="F58">
            <v>0</v>
          </cell>
        </row>
        <row r="59">
          <cell r="A59" t="str">
            <v>F57</v>
          </cell>
          <cell r="B59" t="str">
            <v>应付手续费及佣金</v>
          </cell>
          <cell r="C59">
            <v>0</v>
          </cell>
          <cell r="D59">
            <v>0</v>
          </cell>
          <cell r="E59">
            <v>0</v>
          </cell>
          <cell r="F59">
            <v>0</v>
          </cell>
        </row>
        <row r="60">
          <cell r="A60" t="str">
            <v>F06</v>
          </cell>
          <cell r="B60" t="str">
            <v>应付职工薪酬</v>
          </cell>
          <cell r="C60">
            <v>4870000</v>
          </cell>
          <cell r="D60">
            <v>0</v>
          </cell>
          <cell r="E60">
            <v>990367.08</v>
          </cell>
          <cell r="F60">
            <v>5860367.0800000001</v>
          </cell>
        </row>
        <row r="61">
          <cell r="A61" t="str">
            <v>F07</v>
          </cell>
          <cell r="B61" t="str">
            <v>应交税费</v>
          </cell>
          <cell r="C61">
            <v>153292.13</v>
          </cell>
          <cell r="D61">
            <v>0</v>
          </cell>
          <cell r="E61">
            <v>3298495.46</v>
          </cell>
          <cell r="F61">
            <v>3451787.59</v>
          </cell>
        </row>
        <row r="62">
          <cell r="A62" t="str">
            <v>F08</v>
          </cell>
          <cell r="B62" t="str">
            <v>应付利息</v>
          </cell>
          <cell r="C62">
            <v>0</v>
          </cell>
          <cell r="D62">
            <v>0</v>
          </cell>
          <cell r="E62">
            <v>0</v>
          </cell>
          <cell r="F62">
            <v>0</v>
          </cell>
        </row>
        <row r="63">
          <cell r="A63" t="str">
            <v>F09</v>
          </cell>
          <cell r="B63" t="str">
            <v>应付股利</v>
          </cell>
          <cell r="C63">
            <v>0</v>
          </cell>
          <cell r="D63">
            <v>0</v>
          </cell>
          <cell r="E63">
            <v>0</v>
          </cell>
          <cell r="F63">
            <v>0</v>
          </cell>
        </row>
        <row r="64">
          <cell r="A64" t="str">
            <v>F10</v>
          </cell>
          <cell r="B64" t="str">
            <v>其他应付款</v>
          </cell>
          <cell r="C64">
            <v>5108271.7</v>
          </cell>
          <cell r="D64">
            <v>3657074.14</v>
          </cell>
          <cell r="E64">
            <v>261246.4</v>
          </cell>
          <cell r="F64">
            <v>1712443.96</v>
          </cell>
        </row>
        <row r="65">
          <cell r="A65" t="str">
            <v>F58</v>
          </cell>
          <cell r="B65" t="str">
            <v>应付分保账款</v>
          </cell>
          <cell r="C65">
            <v>0</v>
          </cell>
          <cell r="D65">
            <v>0</v>
          </cell>
          <cell r="E65">
            <v>0</v>
          </cell>
          <cell r="F65">
            <v>0</v>
          </cell>
        </row>
        <row r="66">
          <cell r="A66" t="str">
            <v>F59</v>
          </cell>
          <cell r="B66" t="str">
            <v>保险合同准备金</v>
          </cell>
          <cell r="C66">
            <v>0</v>
          </cell>
          <cell r="D66">
            <v>0</v>
          </cell>
          <cell r="E66">
            <v>0</v>
          </cell>
          <cell r="F66">
            <v>0</v>
          </cell>
        </row>
        <row r="67">
          <cell r="A67" t="str">
            <v>F60</v>
          </cell>
          <cell r="B67" t="str">
            <v>代理买卖证券款</v>
          </cell>
          <cell r="C67">
            <v>0</v>
          </cell>
          <cell r="D67">
            <v>0</v>
          </cell>
          <cell r="E67">
            <v>0</v>
          </cell>
          <cell r="F67">
            <v>0</v>
          </cell>
        </row>
        <row r="68">
          <cell r="A68" t="str">
            <v>F61</v>
          </cell>
          <cell r="B68" t="str">
            <v>代理承销证券款</v>
          </cell>
          <cell r="C68">
            <v>0</v>
          </cell>
          <cell r="D68">
            <v>0</v>
          </cell>
          <cell r="E68">
            <v>0</v>
          </cell>
          <cell r="F68">
            <v>0</v>
          </cell>
        </row>
        <row r="69">
          <cell r="A69" t="str">
            <v>F11</v>
          </cell>
          <cell r="B69" t="str">
            <v>一年内到期的非流动负债</v>
          </cell>
          <cell r="C69">
            <v>0</v>
          </cell>
          <cell r="D69">
            <v>0</v>
          </cell>
          <cell r="E69">
            <v>0</v>
          </cell>
          <cell r="F69">
            <v>0</v>
          </cell>
        </row>
        <row r="70">
          <cell r="A70" t="str">
            <v>F12</v>
          </cell>
          <cell r="B70" t="str">
            <v>其他流动负债</v>
          </cell>
          <cell r="C70">
            <v>0</v>
          </cell>
          <cell r="D70">
            <v>0</v>
          </cell>
          <cell r="E70">
            <v>0</v>
          </cell>
          <cell r="F70">
            <v>0</v>
          </cell>
        </row>
        <row r="71">
          <cell r="A71" t="str">
            <v>F39</v>
          </cell>
          <cell r="B71" t="str">
            <v>流动负债合计</v>
          </cell>
          <cell r="C71">
            <v>76430119.280000001</v>
          </cell>
          <cell r="D71">
            <v>4117201.96</v>
          </cell>
          <cell r="E71">
            <v>6565832.3899999997</v>
          </cell>
          <cell r="F71">
            <v>78878749.709999993</v>
          </cell>
        </row>
        <row r="72">
          <cell r="A72">
            <v>0</v>
          </cell>
          <cell r="B72" t="str">
            <v>非流动负债：</v>
          </cell>
          <cell r="D72">
            <v>0</v>
          </cell>
          <cell r="E72">
            <v>0</v>
          </cell>
          <cell r="F72">
            <v>0</v>
          </cell>
        </row>
        <row r="73">
          <cell r="A73" t="str">
            <v>F13</v>
          </cell>
          <cell r="B73" t="str">
            <v>长期借款</v>
          </cell>
          <cell r="C73">
            <v>0</v>
          </cell>
          <cell r="D73">
            <v>0</v>
          </cell>
          <cell r="E73">
            <v>0</v>
          </cell>
          <cell r="F73">
            <v>0</v>
          </cell>
        </row>
        <row r="74">
          <cell r="A74" t="str">
            <v>F14</v>
          </cell>
          <cell r="B74" t="str">
            <v>应付债券</v>
          </cell>
          <cell r="C74">
            <v>0</v>
          </cell>
          <cell r="D74">
            <v>0</v>
          </cell>
          <cell r="E74">
            <v>0</v>
          </cell>
          <cell r="F74">
            <v>0</v>
          </cell>
        </row>
        <row r="75">
          <cell r="A75" t="str">
            <v>F15</v>
          </cell>
          <cell r="B75" t="str">
            <v>长期应付款</v>
          </cell>
          <cell r="C75">
            <v>0</v>
          </cell>
          <cell r="D75">
            <v>0</v>
          </cell>
          <cell r="E75">
            <v>0</v>
          </cell>
          <cell r="F75">
            <v>0</v>
          </cell>
        </row>
        <row r="76">
          <cell r="A76" t="str">
            <v>F16</v>
          </cell>
          <cell r="B76" t="str">
            <v>专项应付款</v>
          </cell>
          <cell r="C76">
            <v>0</v>
          </cell>
          <cell r="D76">
            <v>0</v>
          </cell>
          <cell r="E76">
            <v>0</v>
          </cell>
          <cell r="F76">
            <v>0</v>
          </cell>
        </row>
        <row r="77">
          <cell r="A77" t="str">
            <v>F17</v>
          </cell>
          <cell r="B77" t="str">
            <v>预计负债</v>
          </cell>
          <cell r="C77">
            <v>0</v>
          </cell>
          <cell r="D77">
            <v>0</v>
          </cell>
          <cell r="E77">
            <v>0</v>
          </cell>
          <cell r="F77">
            <v>0</v>
          </cell>
        </row>
        <row r="78">
          <cell r="A78" t="str">
            <v>F18</v>
          </cell>
          <cell r="B78" t="str">
            <v>递延所得税负债</v>
          </cell>
          <cell r="C78">
            <v>0</v>
          </cell>
          <cell r="D78">
            <v>0</v>
          </cell>
          <cell r="E78">
            <v>0</v>
          </cell>
          <cell r="F78">
            <v>0</v>
          </cell>
        </row>
        <row r="79">
          <cell r="A79" t="str">
            <v>F19</v>
          </cell>
          <cell r="B79" t="str">
            <v>其他非流动负债</v>
          </cell>
          <cell r="C79">
            <v>0</v>
          </cell>
          <cell r="D79">
            <v>0</v>
          </cell>
          <cell r="E79">
            <v>0</v>
          </cell>
          <cell r="F79">
            <v>0</v>
          </cell>
        </row>
        <row r="80">
          <cell r="A80" t="str">
            <v>F40</v>
          </cell>
          <cell r="B80" t="str">
            <v>非流动负债合计</v>
          </cell>
          <cell r="C80">
            <v>0</v>
          </cell>
          <cell r="D80">
            <v>0</v>
          </cell>
          <cell r="E80">
            <v>0</v>
          </cell>
          <cell r="F80">
            <v>0</v>
          </cell>
        </row>
        <row r="81">
          <cell r="A81" t="str">
            <v>F41</v>
          </cell>
          <cell r="B81" t="str">
            <v>负债合计</v>
          </cell>
          <cell r="C81">
            <v>76430119.280000001</v>
          </cell>
          <cell r="D81">
            <v>4117201.96</v>
          </cell>
          <cell r="E81">
            <v>6565832.3899999997</v>
          </cell>
          <cell r="F81">
            <v>78878749.709999993</v>
          </cell>
        </row>
        <row r="82">
          <cell r="A82">
            <v>0</v>
          </cell>
          <cell r="B82" t="str">
            <v>股东权益：</v>
          </cell>
          <cell r="D82">
            <v>0</v>
          </cell>
          <cell r="E82">
            <v>0</v>
          </cell>
          <cell r="F82">
            <v>0</v>
          </cell>
        </row>
        <row r="83">
          <cell r="A83" t="str">
            <v>F20</v>
          </cell>
          <cell r="B83" t="str">
            <v>股本</v>
          </cell>
          <cell r="C83">
            <v>75000000</v>
          </cell>
          <cell r="D83">
            <v>0</v>
          </cell>
          <cell r="E83">
            <v>0</v>
          </cell>
          <cell r="F83">
            <v>75000000</v>
          </cell>
        </row>
        <row r="84">
          <cell r="A84" t="str">
            <v>F21</v>
          </cell>
          <cell r="B84" t="str">
            <v>资本公积</v>
          </cell>
          <cell r="C84">
            <v>0</v>
          </cell>
          <cell r="D84">
            <v>0</v>
          </cell>
          <cell r="E84">
            <v>0</v>
          </cell>
          <cell r="F84">
            <v>0</v>
          </cell>
        </row>
        <row r="85">
          <cell r="A85" t="str">
            <v>F22</v>
          </cell>
          <cell r="B85" t="str">
            <v>减：库存股</v>
          </cell>
          <cell r="C85">
            <v>0</v>
          </cell>
          <cell r="D85">
            <v>0</v>
          </cell>
          <cell r="E85">
            <v>0</v>
          </cell>
          <cell r="F85">
            <v>0</v>
          </cell>
        </row>
        <row r="86">
          <cell r="A86" t="str">
            <v>F23</v>
          </cell>
          <cell r="B86" t="str">
            <v>盈余公积</v>
          </cell>
          <cell r="C86">
            <v>5436619.3300000001</v>
          </cell>
          <cell r="D86">
            <v>0</v>
          </cell>
          <cell r="E86">
            <v>4146786.97</v>
          </cell>
          <cell r="F86">
            <v>9583406.3000000007</v>
          </cell>
        </row>
        <row r="87">
          <cell r="A87" t="str">
            <v>F62</v>
          </cell>
          <cell r="B87" t="str">
            <v>一般风险准备</v>
          </cell>
          <cell r="C87">
            <v>0</v>
          </cell>
          <cell r="D87">
            <v>0</v>
          </cell>
          <cell r="E87">
            <v>0</v>
          </cell>
          <cell r="F87">
            <v>0</v>
          </cell>
        </row>
        <row r="88">
          <cell r="A88" t="str">
            <v>F24</v>
          </cell>
          <cell r="B88" t="str">
            <v>未分配利润</v>
          </cell>
          <cell r="C88">
            <v>44870338.43</v>
          </cell>
          <cell r="D88">
            <v>21462508.460000001</v>
          </cell>
          <cell r="E88">
            <v>14086891.26</v>
          </cell>
          <cell r="F88">
            <v>37494721.229999997</v>
          </cell>
        </row>
        <row r="89">
          <cell r="A89" t="str">
            <v>F25</v>
          </cell>
          <cell r="B89" t="str">
            <v>外币报表折算差额</v>
          </cell>
          <cell r="C89">
            <v>0</v>
          </cell>
          <cell r="D89">
            <v>0</v>
          </cell>
          <cell r="E89">
            <v>0</v>
          </cell>
          <cell r="F89">
            <v>0</v>
          </cell>
        </row>
        <row r="90">
          <cell r="A90" t="str">
            <v>F42</v>
          </cell>
          <cell r="B90" t="str">
            <v>归属于母公司所有者权益合计</v>
          </cell>
          <cell r="C90">
            <v>125306957.76000001</v>
          </cell>
          <cell r="D90">
            <v>21462508.460000001</v>
          </cell>
          <cell r="E90">
            <v>18233678.23</v>
          </cell>
          <cell r="F90">
            <v>122078127.53</v>
          </cell>
        </row>
        <row r="91">
          <cell r="A91" t="str">
            <v>F26</v>
          </cell>
          <cell r="B91" t="str">
            <v>少数股东权益</v>
          </cell>
          <cell r="C91">
            <v>0</v>
          </cell>
          <cell r="D91">
            <v>0</v>
          </cell>
          <cell r="E91">
            <v>0</v>
          </cell>
          <cell r="F91">
            <v>0</v>
          </cell>
        </row>
        <row r="92">
          <cell r="A92" t="str">
            <v>F43</v>
          </cell>
          <cell r="B92" t="str">
            <v>股东权益合计</v>
          </cell>
          <cell r="C92">
            <v>125306957.76000001</v>
          </cell>
          <cell r="D92">
            <v>21462508.460000001</v>
          </cell>
          <cell r="E92">
            <v>18233678.23</v>
          </cell>
          <cell r="F92">
            <v>122078127.53</v>
          </cell>
        </row>
        <row r="93">
          <cell r="A93" t="str">
            <v>F44</v>
          </cell>
          <cell r="B93" t="str">
            <v>负债和股东权益总计</v>
          </cell>
          <cell r="C93">
            <v>201737077.03999999</v>
          </cell>
          <cell r="D93">
            <v>25579710.420000002</v>
          </cell>
          <cell r="E93">
            <v>24799510.620000001</v>
          </cell>
          <cell r="F93">
            <v>200956877.24000001</v>
          </cell>
        </row>
        <row r="94">
          <cell r="A94" t="str">
            <v>F27</v>
          </cell>
          <cell r="B94" t="str">
            <v xml:space="preserve">营业总收入 </v>
          </cell>
          <cell r="C94">
            <v>205913783.05000001</v>
          </cell>
          <cell r="D94">
            <v>14731484.609999999</v>
          </cell>
          <cell r="E94">
            <v>-866723.38</v>
          </cell>
          <cell r="F94">
            <v>190315575.06</v>
          </cell>
        </row>
        <row r="95">
          <cell r="A95" t="str">
            <v>F28</v>
          </cell>
          <cell r="B95" t="str">
            <v xml:space="preserve">营业收入 </v>
          </cell>
          <cell r="C95">
            <v>205913783.05000001</v>
          </cell>
          <cell r="D95">
            <v>14731484.609999999</v>
          </cell>
          <cell r="E95">
            <v>-866723.38</v>
          </cell>
          <cell r="F95">
            <v>190315575.06</v>
          </cell>
        </row>
        <row r="96">
          <cell r="A96" t="str">
            <v>F29</v>
          </cell>
          <cell r="B96" t="str">
            <v xml:space="preserve">利息收入 </v>
          </cell>
          <cell r="C96">
            <v>0</v>
          </cell>
          <cell r="D96">
            <v>0</v>
          </cell>
          <cell r="E96">
            <v>0</v>
          </cell>
          <cell r="F96">
            <v>0</v>
          </cell>
        </row>
        <row r="97">
          <cell r="A97" t="str">
            <v>F30</v>
          </cell>
          <cell r="B97" t="str">
            <v xml:space="preserve">已赚保费 </v>
          </cell>
          <cell r="C97">
            <v>0</v>
          </cell>
          <cell r="D97">
            <v>0</v>
          </cell>
          <cell r="E97">
            <v>0</v>
          </cell>
          <cell r="F97">
            <v>0</v>
          </cell>
        </row>
        <row r="98">
          <cell r="A98" t="str">
            <v>F31</v>
          </cell>
          <cell r="B98" t="str">
            <v xml:space="preserve">手续费及佣金收入 </v>
          </cell>
          <cell r="C98">
            <v>0</v>
          </cell>
          <cell r="D98">
            <v>0</v>
          </cell>
          <cell r="E98">
            <v>0</v>
          </cell>
          <cell r="F98">
            <v>0</v>
          </cell>
        </row>
        <row r="99">
          <cell r="A99" t="str">
            <v>Z29</v>
          </cell>
          <cell r="B99" t="str">
            <v xml:space="preserve">营业总成本 </v>
          </cell>
          <cell r="C99">
            <v>174598120.97999999</v>
          </cell>
          <cell r="D99">
            <v>-852579.77</v>
          </cell>
          <cell r="E99">
            <v>12452364.02</v>
          </cell>
          <cell r="F99">
            <v>161293177.19</v>
          </cell>
        </row>
        <row r="100">
          <cell r="A100" t="str">
            <v>Z30</v>
          </cell>
          <cell r="B100" t="str">
            <v xml:space="preserve">营业成本 </v>
          </cell>
          <cell r="C100">
            <v>153875883.11000001</v>
          </cell>
          <cell r="D100">
            <v>-340223</v>
          </cell>
          <cell r="E100">
            <v>9402199.7799999993</v>
          </cell>
          <cell r="F100">
            <v>144133460.33000001</v>
          </cell>
        </row>
        <row r="101">
          <cell r="A101" t="str">
            <v>Z31</v>
          </cell>
          <cell r="B101" t="str">
            <v xml:space="preserve">利息支出 </v>
          </cell>
          <cell r="C101">
            <v>0</v>
          </cell>
          <cell r="D101">
            <v>0</v>
          </cell>
          <cell r="E101">
            <v>0</v>
          </cell>
          <cell r="F101">
            <v>0</v>
          </cell>
        </row>
        <row r="102">
          <cell r="A102" t="str">
            <v>Z32</v>
          </cell>
          <cell r="B102" t="str">
            <v xml:space="preserve">手续费及佣金支出 </v>
          </cell>
          <cell r="C102">
            <v>0</v>
          </cell>
          <cell r="D102">
            <v>0</v>
          </cell>
          <cell r="E102">
            <v>0</v>
          </cell>
          <cell r="F102">
            <v>0</v>
          </cell>
        </row>
        <row r="103">
          <cell r="A103" t="str">
            <v>Z33</v>
          </cell>
          <cell r="B103" t="str">
            <v xml:space="preserve">退保金 </v>
          </cell>
          <cell r="C103">
            <v>0</v>
          </cell>
          <cell r="D103">
            <v>0</v>
          </cell>
          <cell r="E103">
            <v>0</v>
          </cell>
          <cell r="F103">
            <v>0</v>
          </cell>
        </row>
        <row r="104">
          <cell r="A104" t="str">
            <v>Z34</v>
          </cell>
          <cell r="B104" t="str">
            <v xml:space="preserve">赔付支出净额 </v>
          </cell>
          <cell r="C104">
            <v>0</v>
          </cell>
          <cell r="D104">
            <v>0</v>
          </cell>
          <cell r="E104">
            <v>0</v>
          </cell>
          <cell r="F104">
            <v>0</v>
          </cell>
        </row>
        <row r="105">
          <cell r="A105" t="str">
            <v>Z35</v>
          </cell>
          <cell r="B105" t="str">
            <v xml:space="preserve">提取保险合同准备金净额 </v>
          </cell>
          <cell r="C105">
            <v>0</v>
          </cell>
          <cell r="D105">
            <v>0</v>
          </cell>
          <cell r="E105">
            <v>0</v>
          </cell>
          <cell r="F105">
            <v>0</v>
          </cell>
        </row>
        <row r="106">
          <cell r="A106" t="str">
            <v>Z36</v>
          </cell>
          <cell r="B106" t="str">
            <v xml:space="preserve">保单红利支出 </v>
          </cell>
          <cell r="C106">
            <v>0</v>
          </cell>
          <cell r="D106">
            <v>0</v>
          </cell>
          <cell r="E106">
            <v>0</v>
          </cell>
          <cell r="F106">
            <v>0</v>
          </cell>
        </row>
        <row r="107">
          <cell r="A107" t="str">
            <v>Z37</v>
          </cell>
          <cell r="B107" t="str">
            <v xml:space="preserve">分保费用 </v>
          </cell>
          <cell r="C107">
            <v>0</v>
          </cell>
          <cell r="D107">
            <v>0</v>
          </cell>
          <cell r="E107">
            <v>0</v>
          </cell>
          <cell r="F107">
            <v>0</v>
          </cell>
        </row>
        <row r="108">
          <cell r="A108" t="str">
            <v>Z38</v>
          </cell>
          <cell r="B108" t="str">
            <v xml:space="preserve">营业税金及附加 </v>
          </cell>
          <cell r="C108">
            <v>578688.17000000004</v>
          </cell>
          <cell r="D108">
            <v>133015.94</v>
          </cell>
          <cell r="E108">
            <v>0</v>
          </cell>
          <cell r="F108">
            <v>711704.11</v>
          </cell>
        </row>
        <row r="109">
          <cell r="A109" t="str">
            <v>Z39</v>
          </cell>
          <cell r="B109" t="str">
            <v xml:space="preserve">销售费用 </v>
          </cell>
          <cell r="C109">
            <v>954457.88</v>
          </cell>
          <cell r="D109">
            <v>2394704.61</v>
          </cell>
          <cell r="E109">
            <v>0</v>
          </cell>
          <cell r="F109">
            <v>3349162.49</v>
          </cell>
        </row>
        <row r="110">
          <cell r="A110" t="str">
            <v>Z40</v>
          </cell>
          <cell r="B110" t="str">
            <v xml:space="preserve">管理费用 </v>
          </cell>
          <cell r="C110">
            <v>17993372.640000001</v>
          </cell>
          <cell r="D110">
            <v>-2664259.37</v>
          </cell>
          <cell r="E110">
            <v>3010514.93</v>
          </cell>
          <cell r="F110">
            <v>12318598.34</v>
          </cell>
        </row>
        <row r="111">
          <cell r="A111" t="str">
            <v>Z41</v>
          </cell>
          <cell r="B111" t="str">
            <v>财务费用</v>
          </cell>
          <cell r="C111">
            <v>1195719.18</v>
          </cell>
          <cell r="D111">
            <v>46432.85</v>
          </cell>
          <cell r="E111">
            <v>39649.31</v>
          </cell>
          <cell r="F111">
            <v>1202502.72</v>
          </cell>
        </row>
        <row r="112">
          <cell r="A112" t="str">
            <v>Z42</v>
          </cell>
          <cell r="B112" t="str">
            <v xml:space="preserve">资产减值损失 </v>
          </cell>
          <cell r="C112">
            <v>0</v>
          </cell>
          <cell r="D112">
            <v>-422250.8</v>
          </cell>
          <cell r="E112">
            <v>0</v>
          </cell>
          <cell r="F112">
            <v>-422250.8</v>
          </cell>
        </row>
        <row r="113">
          <cell r="A113" t="str">
            <v>F32</v>
          </cell>
          <cell r="B113" t="str">
            <v>公允价值变动收益</v>
          </cell>
          <cell r="C113">
            <v>0</v>
          </cell>
          <cell r="D113">
            <v>0</v>
          </cell>
          <cell r="E113">
            <v>0</v>
          </cell>
          <cell r="F113">
            <v>0</v>
          </cell>
        </row>
        <row r="114">
          <cell r="A114" t="str">
            <v>F33</v>
          </cell>
          <cell r="B114" t="str">
            <v>投资收益</v>
          </cell>
          <cell r="C114">
            <v>0</v>
          </cell>
          <cell r="D114">
            <v>0</v>
          </cell>
          <cell r="E114">
            <v>0</v>
          </cell>
          <cell r="F114">
            <v>0</v>
          </cell>
        </row>
        <row r="115">
          <cell r="A115" t="str">
            <v>F3302</v>
          </cell>
          <cell r="B115" t="str">
            <v xml:space="preserve">对联营企业和合营企业的投资收益 </v>
          </cell>
          <cell r="C115">
            <v>0</v>
          </cell>
          <cell r="D115">
            <v>0</v>
          </cell>
          <cell r="E115">
            <v>0</v>
          </cell>
          <cell r="F115">
            <v>0</v>
          </cell>
        </row>
        <row r="116">
          <cell r="A116" t="str">
            <v>F35</v>
          </cell>
          <cell r="B116" t="str">
            <v>汇兑收益</v>
          </cell>
          <cell r="C116">
            <v>0</v>
          </cell>
          <cell r="D116">
            <v>0</v>
          </cell>
          <cell r="E116">
            <v>0</v>
          </cell>
          <cell r="F116">
            <v>0</v>
          </cell>
        </row>
        <row r="117">
          <cell r="A117" t="str">
            <v>F36</v>
          </cell>
          <cell r="B117" t="str">
            <v xml:space="preserve">三、营业利润（亏损以“－”号填列） </v>
          </cell>
          <cell r="C117">
            <v>31315662.07</v>
          </cell>
          <cell r="D117">
            <v>13878904.84</v>
          </cell>
          <cell r="E117">
            <v>11585640.640000001</v>
          </cell>
          <cell r="F117">
            <v>29022397.870000001</v>
          </cell>
        </row>
        <row r="118">
          <cell r="A118" t="str">
            <v>F37</v>
          </cell>
          <cell r="B118" t="str">
            <v>营业外收入</v>
          </cell>
          <cell r="C118">
            <v>459700</v>
          </cell>
          <cell r="D118">
            <v>0</v>
          </cell>
          <cell r="E118">
            <v>0</v>
          </cell>
          <cell r="F118">
            <v>459700</v>
          </cell>
        </row>
        <row r="119">
          <cell r="A119" t="str">
            <v>Z43</v>
          </cell>
          <cell r="B119" t="str">
            <v xml:space="preserve">营业外支出 </v>
          </cell>
          <cell r="C119">
            <v>165450</v>
          </cell>
          <cell r="D119">
            <v>0</v>
          </cell>
          <cell r="E119">
            <v>0</v>
          </cell>
          <cell r="F119">
            <v>165450</v>
          </cell>
        </row>
        <row r="120">
          <cell r="A120" t="str">
            <v>Z44</v>
          </cell>
          <cell r="B120" t="str">
            <v xml:space="preserve">非流动资产处置损失 </v>
          </cell>
          <cell r="C120">
            <v>0</v>
          </cell>
          <cell r="D120">
            <v>0</v>
          </cell>
          <cell r="E120">
            <v>0</v>
          </cell>
          <cell r="F120">
            <v>0</v>
          </cell>
        </row>
        <row r="121">
          <cell r="A121" t="str">
            <v>F38</v>
          </cell>
          <cell r="B121" t="str">
            <v xml:space="preserve">四、利润总额（亏损总额以“－”号填列） </v>
          </cell>
          <cell r="C121">
            <v>31609912.07</v>
          </cell>
          <cell r="D121">
            <v>13878904.84</v>
          </cell>
          <cell r="E121">
            <v>11585640.640000001</v>
          </cell>
          <cell r="F121">
            <v>29316647.870000001</v>
          </cell>
        </row>
        <row r="122">
          <cell r="A122" t="str">
            <v>Z45</v>
          </cell>
          <cell r="B122" t="str">
            <v xml:space="preserve">所得税费用 </v>
          </cell>
          <cell r="C122">
            <v>4655154.9800000004</v>
          </cell>
          <cell r="D122">
            <v>1131379.48</v>
          </cell>
          <cell r="E122">
            <v>-63337.62</v>
          </cell>
          <cell r="F122">
            <v>5849872.0800000001</v>
          </cell>
        </row>
        <row r="123">
          <cell r="A123" t="str">
            <v>Z46</v>
          </cell>
          <cell r="B123" t="str">
            <v xml:space="preserve">五、净利润（净亏损以“－”号填列） </v>
          </cell>
          <cell r="C123">
            <v>26954757.09</v>
          </cell>
          <cell r="D123">
            <v>15010284.32</v>
          </cell>
          <cell r="E123">
            <v>11522303.02</v>
          </cell>
          <cell r="F123">
            <v>23466775.789999999</v>
          </cell>
        </row>
        <row r="124">
          <cell r="A124" t="str">
            <v>Z47</v>
          </cell>
          <cell r="B124" t="str">
            <v xml:space="preserve">归属于母公司所有者的净利润 </v>
          </cell>
          <cell r="C124">
            <v>0</v>
          </cell>
          <cell r="D124">
            <v>15010284.32</v>
          </cell>
          <cell r="E124">
            <v>11522303.02</v>
          </cell>
          <cell r="F124">
            <v>3487981.3</v>
          </cell>
        </row>
        <row r="125">
          <cell r="A125" t="str">
            <v>Z48</v>
          </cell>
          <cell r="B125" t="str">
            <v xml:space="preserve">少数股东损益 </v>
          </cell>
          <cell r="C125">
            <v>0</v>
          </cell>
          <cell r="D125">
            <v>0</v>
          </cell>
          <cell r="E125">
            <v>0</v>
          </cell>
          <cell r="F125">
            <v>0</v>
          </cell>
        </row>
        <row r="126">
          <cell r="A126" t="str">
            <v>Z49</v>
          </cell>
          <cell r="B126" t="str">
            <v>被合并方在合并前实现的净利润</v>
          </cell>
          <cell r="C126">
            <v>0</v>
          </cell>
          <cell r="F126">
            <v>0</v>
          </cell>
        </row>
        <row r="127">
          <cell r="A127">
            <v>0</v>
          </cell>
          <cell r="B127" t="str">
            <v xml:space="preserve">六、每股收益： </v>
          </cell>
          <cell r="F127">
            <v>0</v>
          </cell>
        </row>
        <row r="128">
          <cell r="A128" t="str">
            <v>Z50</v>
          </cell>
          <cell r="B128" t="str">
            <v xml:space="preserve">（一）基本每股收益 </v>
          </cell>
          <cell r="C128">
            <v>0</v>
          </cell>
          <cell r="F128">
            <v>0</v>
          </cell>
        </row>
        <row r="129">
          <cell r="A129" t="str">
            <v>Z51</v>
          </cell>
          <cell r="B129" t="str">
            <v xml:space="preserve">（二）稀释每股收益 </v>
          </cell>
          <cell r="C129">
            <v>0</v>
          </cell>
          <cell r="F129">
            <v>0</v>
          </cell>
        </row>
        <row r="130">
          <cell r="A130">
            <v>0</v>
          </cell>
          <cell r="B130" t="str">
            <v>一、经营活动产生的现金流量：</v>
          </cell>
        </row>
        <row r="131">
          <cell r="A131" t="str">
            <v>C01</v>
          </cell>
          <cell r="B131" t="str">
            <v xml:space="preserve">销售商品、提供劳务收到的现金 </v>
          </cell>
          <cell r="C131">
            <v>180612034.5</v>
          </cell>
          <cell r="D131">
            <v>0</v>
          </cell>
          <cell r="E131">
            <v>0</v>
          </cell>
          <cell r="F131">
            <v>180612034.5</v>
          </cell>
        </row>
        <row r="132">
          <cell r="A132" t="str">
            <v>C02</v>
          </cell>
          <cell r="B132" t="str">
            <v xml:space="preserve">客户存款和同业存放款项净增加额 </v>
          </cell>
          <cell r="C132">
            <v>0</v>
          </cell>
          <cell r="D132">
            <v>0</v>
          </cell>
          <cell r="E132">
            <v>0</v>
          </cell>
          <cell r="F132">
            <v>0</v>
          </cell>
        </row>
        <row r="133">
          <cell r="A133" t="str">
            <v>C03</v>
          </cell>
          <cell r="B133" t="str">
            <v xml:space="preserve">向中央银行借款净增加额 </v>
          </cell>
          <cell r="C133">
            <v>0</v>
          </cell>
          <cell r="D133">
            <v>0</v>
          </cell>
          <cell r="E133">
            <v>0</v>
          </cell>
          <cell r="F133">
            <v>0</v>
          </cell>
        </row>
        <row r="134">
          <cell r="A134" t="str">
            <v>C04</v>
          </cell>
          <cell r="B134" t="str">
            <v xml:space="preserve">向其他金融机构拆入资金净增加额 </v>
          </cell>
          <cell r="C134">
            <v>0</v>
          </cell>
          <cell r="D134">
            <v>0</v>
          </cell>
          <cell r="E134">
            <v>0</v>
          </cell>
          <cell r="F134">
            <v>0</v>
          </cell>
        </row>
        <row r="135">
          <cell r="A135" t="str">
            <v>C05</v>
          </cell>
          <cell r="B135" t="str">
            <v xml:space="preserve">收到原保险合同保费取得的现金 </v>
          </cell>
          <cell r="C135">
            <v>0</v>
          </cell>
          <cell r="D135">
            <v>0</v>
          </cell>
          <cell r="E135">
            <v>0</v>
          </cell>
          <cell r="F135">
            <v>0</v>
          </cell>
        </row>
        <row r="136">
          <cell r="A136" t="str">
            <v>C06</v>
          </cell>
          <cell r="B136" t="str">
            <v xml:space="preserve">收到再保险业务现金净额 </v>
          </cell>
          <cell r="C136">
            <v>0</v>
          </cell>
          <cell r="D136">
            <v>0</v>
          </cell>
          <cell r="E136">
            <v>0</v>
          </cell>
          <cell r="F136">
            <v>0</v>
          </cell>
        </row>
        <row r="137">
          <cell r="A137" t="str">
            <v>C07</v>
          </cell>
          <cell r="B137" t="str">
            <v xml:space="preserve">保户储金及投资款净增加额 </v>
          </cell>
          <cell r="C137">
            <v>0</v>
          </cell>
          <cell r="D137">
            <v>0</v>
          </cell>
          <cell r="E137">
            <v>0</v>
          </cell>
          <cell r="F137">
            <v>0</v>
          </cell>
        </row>
        <row r="138">
          <cell r="A138" t="str">
            <v>C08</v>
          </cell>
          <cell r="B138" t="str">
            <v xml:space="preserve">处置交易性金融资产净增加额 </v>
          </cell>
          <cell r="C138">
            <v>0</v>
          </cell>
          <cell r="D138">
            <v>0</v>
          </cell>
          <cell r="E138">
            <v>0</v>
          </cell>
          <cell r="F138">
            <v>0</v>
          </cell>
        </row>
        <row r="139">
          <cell r="A139" t="str">
            <v>C09</v>
          </cell>
          <cell r="B139" t="str">
            <v xml:space="preserve">收取利息、手续费及佣金的现金 </v>
          </cell>
          <cell r="C139">
            <v>0</v>
          </cell>
          <cell r="D139">
            <v>0</v>
          </cell>
          <cell r="E139">
            <v>0</v>
          </cell>
          <cell r="F139">
            <v>0</v>
          </cell>
        </row>
        <row r="140">
          <cell r="A140" t="str">
            <v>C10</v>
          </cell>
          <cell r="B140" t="str">
            <v xml:space="preserve">拆入资金净增加额 </v>
          </cell>
          <cell r="C140">
            <v>0</v>
          </cell>
          <cell r="D140">
            <v>0</v>
          </cell>
          <cell r="E140">
            <v>0</v>
          </cell>
          <cell r="F140">
            <v>0</v>
          </cell>
        </row>
        <row r="141">
          <cell r="A141" t="str">
            <v>C11</v>
          </cell>
          <cell r="B141" t="str">
            <v xml:space="preserve">回购业务资金净增加额 </v>
          </cell>
          <cell r="C141">
            <v>0</v>
          </cell>
          <cell r="D141">
            <v>0</v>
          </cell>
          <cell r="E141">
            <v>0</v>
          </cell>
          <cell r="F141">
            <v>0</v>
          </cell>
        </row>
        <row r="142">
          <cell r="A142" t="str">
            <v>C12</v>
          </cell>
          <cell r="B142" t="str">
            <v xml:space="preserve">收到的税费返还 </v>
          </cell>
          <cell r="C142">
            <v>3211145.2</v>
          </cell>
          <cell r="D142">
            <v>0</v>
          </cell>
          <cell r="E142">
            <v>0</v>
          </cell>
          <cell r="F142">
            <v>3211145.2</v>
          </cell>
        </row>
        <row r="143">
          <cell r="A143" t="str">
            <v>C13</v>
          </cell>
          <cell r="B143" t="str">
            <v xml:space="preserve">收到其他与经营活动有关的现金 </v>
          </cell>
          <cell r="C143">
            <v>2807321.64</v>
          </cell>
          <cell r="D143">
            <v>0</v>
          </cell>
          <cell r="E143">
            <v>0</v>
          </cell>
          <cell r="F143">
            <v>2807321.64</v>
          </cell>
        </row>
        <row r="144">
          <cell r="A144">
            <v>0</v>
          </cell>
          <cell r="B144" t="str">
            <v xml:space="preserve">经营活动现金流入小计 </v>
          </cell>
          <cell r="C144">
            <v>186630501.34</v>
          </cell>
          <cell r="D144">
            <v>0</v>
          </cell>
          <cell r="E144">
            <v>0</v>
          </cell>
          <cell r="F144">
            <v>186630501.34</v>
          </cell>
        </row>
        <row r="145">
          <cell r="A145" t="str">
            <v>C14</v>
          </cell>
          <cell r="B145" t="str">
            <v xml:space="preserve">购买商品、接受劳务支付的现金 </v>
          </cell>
          <cell r="C145">
            <v>110395267.39</v>
          </cell>
          <cell r="D145">
            <v>0</v>
          </cell>
          <cell r="E145">
            <v>0</v>
          </cell>
          <cell r="F145">
            <v>110395267.39</v>
          </cell>
        </row>
        <row r="146">
          <cell r="A146" t="str">
            <v>C15</v>
          </cell>
          <cell r="B146" t="str">
            <v xml:space="preserve">客户贷款及垫款净增加额 </v>
          </cell>
          <cell r="C146">
            <v>0</v>
          </cell>
          <cell r="D146">
            <v>0</v>
          </cell>
          <cell r="E146">
            <v>0</v>
          </cell>
          <cell r="F146">
            <v>0</v>
          </cell>
        </row>
        <row r="147">
          <cell r="A147" t="str">
            <v>C16</v>
          </cell>
          <cell r="B147" t="str">
            <v xml:space="preserve">存放中央银行和同业款项净增加额 </v>
          </cell>
          <cell r="C147">
            <v>0</v>
          </cell>
          <cell r="D147">
            <v>0</v>
          </cell>
          <cell r="E147">
            <v>0</v>
          </cell>
          <cell r="F147">
            <v>0</v>
          </cell>
        </row>
        <row r="148">
          <cell r="A148" t="str">
            <v>C17</v>
          </cell>
          <cell r="B148" t="str">
            <v xml:space="preserve">支付原保险合同赔付款项的现金 </v>
          </cell>
          <cell r="C148">
            <v>0</v>
          </cell>
          <cell r="D148">
            <v>0</v>
          </cell>
          <cell r="E148">
            <v>0</v>
          </cell>
          <cell r="F148">
            <v>0</v>
          </cell>
        </row>
        <row r="149">
          <cell r="A149" t="str">
            <v>C18</v>
          </cell>
          <cell r="B149" t="str">
            <v xml:space="preserve">支付利息、手续费及佣金的现金 </v>
          </cell>
          <cell r="C149">
            <v>0</v>
          </cell>
          <cell r="D149">
            <v>0</v>
          </cell>
          <cell r="E149">
            <v>0</v>
          </cell>
          <cell r="F149">
            <v>0</v>
          </cell>
        </row>
        <row r="150">
          <cell r="A150" t="str">
            <v>C19</v>
          </cell>
          <cell r="B150" t="str">
            <v xml:space="preserve">支付保单红利的现金 </v>
          </cell>
          <cell r="C150">
            <v>0</v>
          </cell>
          <cell r="D150">
            <v>0</v>
          </cell>
          <cell r="E150">
            <v>0</v>
          </cell>
          <cell r="F150">
            <v>0</v>
          </cell>
        </row>
        <row r="151">
          <cell r="A151" t="str">
            <v>C20</v>
          </cell>
          <cell r="B151" t="str">
            <v xml:space="preserve">支付给职工以及为职工支付的现金 </v>
          </cell>
          <cell r="C151">
            <v>51476125.020000003</v>
          </cell>
          <cell r="D151">
            <v>0</v>
          </cell>
          <cell r="E151">
            <v>0</v>
          </cell>
          <cell r="F151">
            <v>51476125.020000003</v>
          </cell>
        </row>
        <row r="152">
          <cell r="A152" t="str">
            <v>C21</v>
          </cell>
          <cell r="B152" t="str">
            <v xml:space="preserve">支付的各项税费 </v>
          </cell>
          <cell r="C152">
            <v>9554365.5</v>
          </cell>
          <cell r="D152">
            <v>0</v>
          </cell>
          <cell r="E152">
            <v>0</v>
          </cell>
          <cell r="F152">
            <v>9554365.5</v>
          </cell>
        </row>
        <row r="153">
          <cell r="A153" t="str">
            <v>C22</v>
          </cell>
          <cell r="B153" t="str">
            <v xml:space="preserve">支付其他与经营活动有关的现金 </v>
          </cell>
          <cell r="C153">
            <v>10471464.439999999</v>
          </cell>
          <cell r="D153">
            <v>0</v>
          </cell>
          <cell r="E153">
            <v>0</v>
          </cell>
          <cell r="F153">
            <v>10471464.439999999</v>
          </cell>
        </row>
        <row r="154">
          <cell r="A154">
            <v>0</v>
          </cell>
          <cell r="B154" t="str">
            <v xml:space="preserve">经营活动现金流出小计 </v>
          </cell>
          <cell r="C154">
            <v>181897222.34999999</v>
          </cell>
          <cell r="D154">
            <v>0</v>
          </cell>
          <cell r="E154">
            <v>0</v>
          </cell>
          <cell r="F154">
            <v>181897222.34999999</v>
          </cell>
        </row>
        <row r="155">
          <cell r="A155">
            <v>0</v>
          </cell>
          <cell r="B155" t="str">
            <v xml:space="preserve">经营活动产生的现金流量净额 </v>
          </cell>
          <cell r="C155">
            <v>4733278.99</v>
          </cell>
          <cell r="D155">
            <v>0</v>
          </cell>
          <cell r="E155">
            <v>0</v>
          </cell>
          <cell r="F155">
            <v>4733278.99</v>
          </cell>
        </row>
        <row r="156">
          <cell r="A156">
            <v>0</v>
          </cell>
          <cell r="B156" t="str">
            <v>二、投资活动产生的现金流量：</v>
          </cell>
          <cell r="F156">
            <v>0</v>
          </cell>
        </row>
        <row r="157">
          <cell r="A157" t="str">
            <v>C23</v>
          </cell>
          <cell r="B157" t="str">
            <v xml:space="preserve">收回投资收到的现金 </v>
          </cell>
          <cell r="C157">
            <v>0</v>
          </cell>
          <cell r="D157">
            <v>0</v>
          </cell>
          <cell r="E157">
            <v>0</v>
          </cell>
          <cell r="F157">
            <v>0</v>
          </cell>
        </row>
        <row r="158">
          <cell r="A158" t="str">
            <v>C24</v>
          </cell>
          <cell r="B158" t="str">
            <v xml:space="preserve">取得投资收益收到的现金 </v>
          </cell>
          <cell r="C158">
            <v>0</v>
          </cell>
          <cell r="D158">
            <v>0</v>
          </cell>
          <cell r="E158">
            <v>0</v>
          </cell>
          <cell r="F158">
            <v>0</v>
          </cell>
        </row>
        <row r="159">
          <cell r="A159" t="str">
            <v>C25</v>
          </cell>
          <cell r="B159" t="str">
            <v xml:space="preserve">处置固定资产、无形资产和其他长期资产收回的现金净额 </v>
          </cell>
          <cell r="C159">
            <v>0</v>
          </cell>
          <cell r="D159">
            <v>0</v>
          </cell>
          <cell r="E159">
            <v>0</v>
          </cell>
          <cell r="F159">
            <v>0</v>
          </cell>
        </row>
        <row r="160">
          <cell r="A160" t="str">
            <v>C26</v>
          </cell>
          <cell r="B160" t="str">
            <v xml:space="preserve">处置子公司及其他营业单位收到的现金净额 </v>
          </cell>
          <cell r="C160">
            <v>0</v>
          </cell>
          <cell r="D160">
            <v>0</v>
          </cell>
          <cell r="E160">
            <v>0</v>
          </cell>
          <cell r="F160">
            <v>0</v>
          </cell>
        </row>
        <row r="161">
          <cell r="A161" t="str">
            <v>C27</v>
          </cell>
          <cell r="B161" t="str">
            <v xml:space="preserve">收到其他与投资活动有关的现金 </v>
          </cell>
          <cell r="C161">
            <v>0</v>
          </cell>
          <cell r="D161">
            <v>0</v>
          </cell>
          <cell r="E161">
            <v>0</v>
          </cell>
          <cell r="F161">
            <v>0</v>
          </cell>
        </row>
        <row r="162">
          <cell r="A162">
            <v>0</v>
          </cell>
          <cell r="B162" t="str">
            <v xml:space="preserve">﻿投资活动现金流入小计 </v>
          </cell>
          <cell r="C162">
            <v>0</v>
          </cell>
          <cell r="D162">
            <v>0</v>
          </cell>
          <cell r="E162">
            <v>0</v>
          </cell>
          <cell r="F162">
            <v>0</v>
          </cell>
        </row>
        <row r="163">
          <cell r="A163" t="str">
            <v>C28</v>
          </cell>
          <cell r="B163" t="str">
            <v xml:space="preserve">购建固定资产、无形资产和其他长期资产支付的现金 </v>
          </cell>
          <cell r="C163">
            <v>5644158.7400000002</v>
          </cell>
          <cell r="D163">
            <v>0</v>
          </cell>
          <cell r="E163">
            <v>0</v>
          </cell>
          <cell r="F163">
            <v>5644158.7400000002</v>
          </cell>
        </row>
        <row r="164">
          <cell r="A164" t="str">
            <v>C29</v>
          </cell>
          <cell r="B164" t="str">
            <v xml:space="preserve">投资支付的现金 </v>
          </cell>
          <cell r="C164">
            <v>10906800</v>
          </cell>
          <cell r="D164">
            <v>0</v>
          </cell>
          <cell r="E164">
            <v>0</v>
          </cell>
          <cell r="F164">
            <v>10906800</v>
          </cell>
        </row>
        <row r="165">
          <cell r="A165" t="str">
            <v>C30</v>
          </cell>
          <cell r="B165" t="str">
            <v xml:space="preserve">质押贷款净增加额 </v>
          </cell>
          <cell r="C165">
            <v>0</v>
          </cell>
          <cell r="D165">
            <v>0</v>
          </cell>
          <cell r="E165">
            <v>0</v>
          </cell>
          <cell r="F165">
            <v>0</v>
          </cell>
        </row>
        <row r="166">
          <cell r="A166" t="str">
            <v>C31</v>
          </cell>
          <cell r="B166" t="str">
            <v xml:space="preserve">取得子公司及其他营业单位支付的现金净额 </v>
          </cell>
          <cell r="C166">
            <v>0</v>
          </cell>
          <cell r="D166">
            <v>0</v>
          </cell>
          <cell r="E166">
            <v>0</v>
          </cell>
          <cell r="F166">
            <v>0</v>
          </cell>
        </row>
        <row r="167">
          <cell r="A167" t="str">
            <v>C32</v>
          </cell>
          <cell r="B167" t="str">
            <v xml:space="preserve">支付其他与投资活动有关的现金 </v>
          </cell>
          <cell r="C167">
            <v>0</v>
          </cell>
          <cell r="D167">
            <v>0</v>
          </cell>
          <cell r="E167">
            <v>0</v>
          </cell>
          <cell r="F167">
            <v>0</v>
          </cell>
        </row>
        <row r="168">
          <cell r="A168">
            <v>0</v>
          </cell>
          <cell r="B168" t="str">
            <v xml:space="preserve">投资活动现金流出小计 </v>
          </cell>
          <cell r="C168">
            <v>16550958.74</v>
          </cell>
          <cell r="D168">
            <v>0</v>
          </cell>
          <cell r="E168">
            <v>0</v>
          </cell>
          <cell r="F168">
            <v>16550958.74</v>
          </cell>
        </row>
        <row r="169">
          <cell r="A169">
            <v>0</v>
          </cell>
          <cell r="B169" t="str">
            <v xml:space="preserve">投资活动产生的现金流量净额 </v>
          </cell>
          <cell r="C169">
            <v>-16550958.74</v>
          </cell>
          <cell r="D169">
            <v>0</v>
          </cell>
          <cell r="E169">
            <v>0</v>
          </cell>
          <cell r="F169">
            <v>-16550958.74</v>
          </cell>
        </row>
        <row r="170">
          <cell r="A170">
            <v>0</v>
          </cell>
          <cell r="B170" t="str">
            <v>三、筹资活动产生的现金流量：</v>
          </cell>
          <cell r="F170">
            <v>0</v>
          </cell>
        </row>
        <row r="171">
          <cell r="A171" t="str">
            <v>C33</v>
          </cell>
          <cell r="B171" t="str">
            <v xml:space="preserve">吸收投资收到的现金 </v>
          </cell>
          <cell r="C171">
            <v>0</v>
          </cell>
          <cell r="D171">
            <v>0</v>
          </cell>
          <cell r="E171">
            <v>0</v>
          </cell>
          <cell r="F171">
            <v>0</v>
          </cell>
        </row>
        <row r="172">
          <cell r="A172" t="str">
            <v>C34</v>
          </cell>
          <cell r="B172" t="str">
            <v xml:space="preserve">其中：子公司吸收少数股东投资收到的现金 </v>
          </cell>
          <cell r="C172">
            <v>0</v>
          </cell>
          <cell r="D172">
            <v>0</v>
          </cell>
          <cell r="E172">
            <v>0</v>
          </cell>
          <cell r="F172">
            <v>0</v>
          </cell>
        </row>
        <row r="173">
          <cell r="A173" t="str">
            <v>C35</v>
          </cell>
          <cell r="B173" t="str">
            <v xml:space="preserve">取得借款收到的现金 </v>
          </cell>
          <cell r="C173">
            <v>151918077.31</v>
          </cell>
          <cell r="D173">
            <v>0</v>
          </cell>
          <cell r="E173">
            <v>0</v>
          </cell>
          <cell r="F173">
            <v>151918077.31</v>
          </cell>
        </row>
        <row r="174">
          <cell r="A174" t="str">
            <v>C36</v>
          </cell>
          <cell r="B174" t="str">
            <v xml:space="preserve">发行债券收到的现金 </v>
          </cell>
          <cell r="C174">
            <v>0</v>
          </cell>
          <cell r="D174">
            <v>0</v>
          </cell>
          <cell r="E174">
            <v>0</v>
          </cell>
          <cell r="F174">
            <v>0</v>
          </cell>
        </row>
        <row r="175">
          <cell r="A175" t="str">
            <v>C37</v>
          </cell>
          <cell r="B175" t="str">
            <v xml:space="preserve">收到其他与筹资活动有关的现金 </v>
          </cell>
          <cell r="C175">
            <v>0</v>
          </cell>
          <cell r="D175">
            <v>0</v>
          </cell>
          <cell r="E175">
            <v>0</v>
          </cell>
          <cell r="F175">
            <v>0</v>
          </cell>
        </row>
        <row r="176">
          <cell r="A176">
            <v>0</v>
          </cell>
          <cell r="B176" t="str">
            <v xml:space="preserve">筹资活动现金流入小计 </v>
          </cell>
          <cell r="C176">
            <v>151918077.31</v>
          </cell>
          <cell r="D176">
            <v>0</v>
          </cell>
          <cell r="E176">
            <v>0</v>
          </cell>
          <cell r="F176">
            <v>151918077.31</v>
          </cell>
        </row>
        <row r="177">
          <cell r="A177" t="str">
            <v>C39</v>
          </cell>
          <cell r="B177" t="str">
            <v xml:space="preserve">偿还债务支付的现金 </v>
          </cell>
          <cell r="C177">
            <v>152181889.66</v>
          </cell>
          <cell r="D177">
            <v>0</v>
          </cell>
          <cell r="E177">
            <v>0</v>
          </cell>
          <cell r="F177">
            <v>152181889.66</v>
          </cell>
        </row>
        <row r="178">
          <cell r="A178" t="str">
            <v>C40</v>
          </cell>
          <cell r="B178" t="str">
            <v xml:space="preserve">分配股利、利润或偿付利息支付的现金 </v>
          </cell>
          <cell r="C178">
            <v>13646235.529999999</v>
          </cell>
          <cell r="D178">
            <v>0</v>
          </cell>
          <cell r="E178">
            <v>0</v>
          </cell>
          <cell r="F178">
            <v>13646235.529999999</v>
          </cell>
        </row>
        <row r="179">
          <cell r="A179" t="str">
            <v>C41</v>
          </cell>
          <cell r="B179" t="str">
            <v xml:space="preserve">其中：子公司支付给少数股东的股利、利润 </v>
          </cell>
          <cell r="C179">
            <v>0</v>
          </cell>
          <cell r="D179">
            <v>0</v>
          </cell>
          <cell r="E179">
            <v>0</v>
          </cell>
          <cell r="F179">
            <v>0</v>
          </cell>
        </row>
        <row r="180">
          <cell r="A180" t="str">
            <v>C42</v>
          </cell>
          <cell r="B180" t="str">
            <v xml:space="preserve">支付其他与筹资活动有关的现金 </v>
          </cell>
          <cell r="C180">
            <v>0</v>
          </cell>
          <cell r="D180">
            <v>0</v>
          </cell>
          <cell r="E180">
            <v>0</v>
          </cell>
          <cell r="F180">
            <v>0</v>
          </cell>
        </row>
        <row r="181">
          <cell r="A181">
            <v>0</v>
          </cell>
          <cell r="B181" t="str">
            <v xml:space="preserve">筹资活动现金流出小计 </v>
          </cell>
          <cell r="C181">
            <v>165828125.19</v>
          </cell>
          <cell r="D181">
            <v>0</v>
          </cell>
          <cell r="E181">
            <v>0</v>
          </cell>
          <cell r="F181">
            <v>165828125.19</v>
          </cell>
        </row>
        <row r="182">
          <cell r="A182">
            <v>0</v>
          </cell>
          <cell r="B182" t="str">
            <v xml:space="preserve">筹资活动产生的现金流量净额 </v>
          </cell>
          <cell r="C182">
            <v>-13910047.880000001</v>
          </cell>
          <cell r="D182">
            <v>0</v>
          </cell>
          <cell r="E182">
            <v>0</v>
          </cell>
          <cell r="F182">
            <v>-13910047.880000001</v>
          </cell>
        </row>
        <row r="183">
          <cell r="A183" t="str">
            <v>C45</v>
          </cell>
          <cell r="B183" t="str">
            <v>汇率变动对现金及现金等价物的影响</v>
          </cell>
          <cell r="C183">
            <v>-390824.42</v>
          </cell>
          <cell r="D183">
            <v>0</v>
          </cell>
          <cell r="E183">
            <v>0</v>
          </cell>
          <cell r="F183">
            <v>-390824.42</v>
          </cell>
        </row>
        <row r="184">
          <cell r="A184">
            <v>0</v>
          </cell>
          <cell r="B184" t="str">
            <v>五、现金及现金等价物净增加额</v>
          </cell>
          <cell r="C184">
            <v>-26118552.050000001</v>
          </cell>
          <cell r="D184">
            <v>0</v>
          </cell>
          <cell r="E184">
            <v>0</v>
          </cell>
          <cell r="F184">
            <v>-26118552.050000001</v>
          </cell>
        </row>
        <row r="185">
          <cell r="A185" t="str">
            <v>C46</v>
          </cell>
          <cell r="B185" t="str">
            <v xml:space="preserve">加：期初现金及现金等价物余额 </v>
          </cell>
          <cell r="C185">
            <v>37344821.780000001</v>
          </cell>
          <cell r="D185">
            <v>0</v>
          </cell>
          <cell r="E185">
            <v>0</v>
          </cell>
          <cell r="F185">
            <v>37344821.780000001</v>
          </cell>
        </row>
        <row r="186">
          <cell r="A186" t="str">
            <v>C47</v>
          </cell>
          <cell r="B186" t="str">
            <v>六、期末现金及现金等价物余额</v>
          </cell>
          <cell r="C186">
            <v>11226269.73</v>
          </cell>
          <cell r="D186">
            <v>0</v>
          </cell>
          <cell r="E186">
            <v>0</v>
          </cell>
          <cell r="F186">
            <v>11226269.73</v>
          </cell>
        </row>
        <row r="187">
          <cell r="A187">
            <v>0</v>
          </cell>
          <cell r="F187">
            <v>0</v>
          </cell>
        </row>
        <row r="188">
          <cell r="A188">
            <v>0</v>
          </cell>
          <cell r="B188">
            <v>0</v>
          </cell>
          <cell r="F188">
            <v>0</v>
          </cell>
        </row>
        <row r="189">
          <cell r="A189">
            <v>0</v>
          </cell>
          <cell r="B189" t="str">
            <v>补充资料</v>
          </cell>
          <cell r="F189">
            <v>0</v>
          </cell>
        </row>
        <row r="190">
          <cell r="A190">
            <v>0</v>
          </cell>
          <cell r="B190" t="str">
            <v>1．将净利润调节为经营活动现金流量：</v>
          </cell>
          <cell r="F190">
            <v>0</v>
          </cell>
        </row>
        <row r="191">
          <cell r="A191" t="str">
            <v>C48</v>
          </cell>
          <cell r="B191" t="str">
            <v>净利润</v>
          </cell>
          <cell r="C191">
            <v>26954757.09</v>
          </cell>
          <cell r="D191">
            <v>0</v>
          </cell>
          <cell r="E191">
            <v>0</v>
          </cell>
          <cell r="F191">
            <v>26954757.09</v>
          </cell>
        </row>
        <row r="192">
          <cell r="A192" t="str">
            <v>C49</v>
          </cell>
          <cell r="B192" t="str">
            <v xml:space="preserve">资产减值准备 </v>
          </cell>
          <cell r="C192">
            <v>-422250.8</v>
          </cell>
          <cell r="D192">
            <v>0</v>
          </cell>
          <cell r="E192">
            <v>0</v>
          </cell>
          <cell r="F192">
            <v>-422250.8</v>
          </cell>
        </row>
        <row r="193">
          <cell r="A193" t="str">
            <v>C50</v>
          </cell>
          <cell r="B193" t="str">
            <v xml:space="preserve">固定资产折旧、油气资产折耗、生产性生物资产折旧 </v>
          </cell>
          <cell r="C193">
            <v>4921773.68</v>
          </cell>
          <cell r="D193">
            <v>0</v>
          </cell>
          <cell r="E193">
            <v>0</v>
          </cell>
          <cell r="F193">
            <v>4921773.68</v>
          </cell>
        </row>
        <row r="194">
          <cell r="A194" t="str">
            <v>C51</v>
          </cell>
          <cell r="B194" t="str">
            <v xml:space="preserve">无形资产摊销 </v>
          </cell>
          <cell r="C194">
            <v>110212.98</v>
          </cell>
          <cell r="D194">
            <v>0</v>
          </cell>
          <cell r="E194">
            <v>0</v>
          </cell>
          <cell r="F194">
            <v>110212.98</v>
          </cell>
        </row>
        <row r="195">
          <cell r="A195" t="str">
            <v>C52</v>
          </cell>
          <cell r="B195" t="str">
            <v xml:space="preserve">长期待摊费用摊销 </v>
          </cell>
          <cell r="C195">
            <v>0</v>
          </cell>
          <cell r="D195">
            <v>0</v>
          </cell>
          <cell r="E195">
            <v>0</v>
          </cell>
          <cell r="F195">
            <v>0</v>
          </cell>
        </row>
        <row r="196">
          <cell r="A196" t="str">
            <v>C53</v>
          </cell>
          <cell r="B196" t="str">
            <v xml:space="preserve">处置固定资产、无形资产和其他长期资产的损失（收益以“－”号填列） </v>
          </cell>
          <cell r="C196">
            <v>0</v>
          </cell>
          <cell r="D196">
            <v>0</v>
          </cell>
          <cell r="E196">
            <v>0</v>
          </cell>
          <cell r="F196">
            <v>0</v>
          </cell>
        </row>
        <row r="197">
          <cell r="A197" t="str">
            <v>C54</v>
          </cell>
          <cell r="B197" t="str">
            <v xml:space="preserve">固定资产报废损失（收益以“－”号填﻿列） </v>
          </cell>
          <cell r="C197">
            <v>0</v>
          </cell>
          <cell r="D197">
            <v>0</v>
          </cell>
          <cell r="E197">
            <v>0</v>
          </cell>
          <cell r="F197">
            <v>0</v>
          </cell>
        </row>
        <row r="198">
          <cell r="A198" t="str">
            <v>C55</v>
          </cell>
          <cell r="B198" t="str">
            <v xml:space="preserve">公允价值变动损失（收益以“－”号填列） </v>
          </cell>
          <cell r="C198">
            <v>0</v>
          </cell>
          <cell r="D198">
            <v>0</v>
          </cell>
          <cell r="E198">
            <v>0</v>
          </cell>
          <cell r="F198">
            <v>0</v>
          </cell>
        </row>
        <row r="199">
          <cell r="A199" t="str">
            <v>C56</v>
          </cell>
          <cell r="B199" t="str">
            <v xml:space="preserve">财务费用（收益以“－”号填列） </v>
          </cell>
          <cell r="C199">
            <v>2524753.88</v>
          </cell>
          <cell r="D199">
            <v>0</v>
          </cell>
          <cell r="E199">
            <v>0</v>
          </cell>
          <cell r="F199">
            <v>2524753.88</v>
          </cell>
        </row>
        <row r="200">
          <cell r="A200" t="str">
            <v>C57</v>
          </cell>
          <cell r="B200" t="str">
            <v xml:space="preserve">投资损失（收益以“－”号填列） </v>
          </cell>
          <cell r="C200">
            <v>0</v>
          </cell>
          <cell r="D200">
            <v>0</v>
          </cell>
          <cell r="E200">
            <v>0</v>
          </cell>
          <cell r="F200">
            <v>0</v>
          </cell>
        </row>
        <row r="201">
          <cell r="A201" t="str">
            <v>C58</v>
          </cell>
          <cell r="B201" t="str">
            <v xml:space="preserve">递延所得税资产减少（增加以“－”号填列） </v>
          </cell>
          <cell r="C201">
            <v>63337.62</v>
          </cell>
          <cell r="D201">
            <v>0</v>
          </cell>
          <cell r="E201">
            <v>0</v>
          </cell>
          <cell r="F201">
            <v>63337.62</v>
          </cell>
        </row>
        <row r="202">
          <cell r="A202" t="str">
            <v>C59</v>
          </cell>
          <cell r="B202" t="str">
            <v xml:space="preserve">递延所得税负债增加（减少以“－”号填列） </v>
          </cell>
          <cell r="C202">
            <v>0</v>
          </cell>
          <cell r="D202">
            <v>0</v>
          </cell>
          <cell r="E202">
            <v>0</v>
          </cell>
          <cell r="F202">
            <v>0</v>
          </cell>
        </row>
        <row r="203">
          <cell r="A203" t="str">
            <v>C60</v>
          </cell>
          <cell r="B203" t="str">
            <v xml:space="preserve">存货的减少（增加以“－”号填列） </v>
          </cell>
          <cell r="C203">
            <v>-23525004.670000002</v>
          </cell>
          <cell r="D203">
            <v>0</v>
          </cell>
          <cell r="E203">
            <v>0</v>
          </cell>
          <cell r="F203">
            <v>-23525004.670000002</v>
          </cell>
        </row>
        <row r="204">
          <cell r="A204" t="str">
            <v>C61</v>
          </cell>
          <cell r="B204" t="str">
            <v xml:space="preserve">经营性应收项目的减少（增加以“－”号填列） </v>
          </cell>
          <cell r="C204">
            <v>-13782603.25</v>
          </cell>
          <cell r="D204">
            <v>0</v>
          </cell>
          <cell r="E204">
            <v>0</v>
          </cell>
          <cell r="F204">
            <v>-13782603.25</v>
          </cell>
        </row>
        <row r="205">
          <cell r="A205" t="str">
            <v>C62</v>
          </cell>
          <cell r="B205" t="str">
            <v xml:space="preserve">经营性应付项目的增加（减少以“－”号填列） </v>
          </cell>
          <cell r="C205">
            <v>11376283.76</v>
          </cell>
          <cell r="D205">
            <v>0</v>
          </cell>
          <cell r="E205">
            <v>0</v>
          </cell>
          <cell r="F205">
            <v>11376283.76</v>
          </cell>
        </row>
        <row r="206">
          <cell r="A206" t="str">
            <v>C63</v>
          </cell>
          <cell r="B206" t="str">
            <v xml:space="preserve">其他 </v>
          </cell>
          <cell r="C206">
            <v>0</v>
          </cell>
          <cell r="D206">
            <v>0</v>
          </cell>
          <cell r="E206">
            <v>0</v>
          </cell>
          <cell r="F206">
            <v>0</v>
          </cell>
        </row>
        <row r="207">
          <cell r="A207">
            <v>0</v>
          </cell>
          <cell r="B207" t="str">
            <v xml:space="preserve">经营活动产生的现金流量净额 </v>
          </cell>
          <cell r="C207">
            <v>8221260.29</v>
          </cell>
          <cell r="D207">
            <v>0</v>
          </cell>
          <cell r="E207">
            <v>0</v>
          </cell>
          <cell r="F207">
            <v>8221260.29</v>
          </cell>
        </row>
        <row r="208">
          <cell r="A208">
            <v>0</v>
          </cell>
          <cell r="B208" t="str">
            <v>2．不涉及现金收支的重大投资和筹资活动：</v>
          </cell>
        </row>
        <row r="209">
          <cell r="A209">
            <v>0</v>
          </cell>
          <cell r="B209" t="str">
            <v xml:space="preserve">债务转为资本 </v>
          </cell>
        </row>
        <row r="210">
          <cell r="A210">
            <v>0</v>
          </cell>
          <cell r="B210" t="str">
            <v xml:space="preserve">一年内到期的可转换公司债券 </v>
          </cell>
        </row>
        <row r="211">
          <cell r="A211">
            <v>0</v>
          </cell>
          <cell r="B211" t="str">
            <v xml:space="preserve">融资租入固定资产 </v>
          </cell>
        </row>
        <row r="212">
          <cell r="A212">
            <v>0</v>
          </cell>
          <cell r="B212" t="str">
            <v>3．现金及现金等价物净变动情况：</v>
          </cell>
        </row>
        <row r="213">
          <cell r="A213" t="str">
            <v>C68</v>
          </cell>
          <cell r="B213" t="str">
            <v xml:space="preserve">现金的期末余额 </v>
          </cell>
          <cell r="C213">
            <v>11226269.73</v>
          </cell>
          <cell r="D213">
            <v>0</v>
          </cell>
          <cell r="E213">
            <v>0</v>
          </cell>
          <cell r="F213">
            <v>11226269.73</v>
          </cell>
        </row>
        <row r="214">
          <cell r="A214" t="str">
            <v>C69</v>
          </cell>
          <cell r="B214" t="str">
            <v xml:space="preserve">现金的期初余额 </v>
          </cell>
          <cell r="C214">
            <v>37344821.780000001</v>
          </cell>
          <cell r="D214">
            <v>0</v>
          </cell>
          <cell r="E214">
            <v>0</v>
          </cell>
          <cell r="F214">
            <v>37344821.780000001</v>
          </cell>
        </row>
        <row r="215">
          <cell r="A215" t="str">
            <v>C70</v>
          </cell>
          <cell r="B215" t="str">
            <v xml:space="preserve">现金等价物的期末余额 </v>
          </cell>
          <cell r="C215">
            <v>0</v>
          </cell>
          <cell r="D215">
            <v>0</v>
          </cell>
          <cell r="E215">
            <v>0</v>
          </cell>
          <cell r="F215">
            <v>0</v>
          </cell>
        </row>
        <row r="216">
          <cell r="A216" t="str">
            <v>C71</v>
          </cell>
          <cell r="B216" t="str">
            <v xml:space="preserve">现金等价物的期初余额 </v>
          </cell>
          <cell r="C216">
            <v>0</v>
          </cell>
          <cell r="D216">
            <v>0</v>
          </cell>
          <cell r="E216">
            <v>0</v>
          </cell>
          <cell r="F216">
            <v>0</v>
          </cell>
        </row>
        <row r="217">
          <cell r="A217">
            <v>0</v>
          </cell>
          <cell r="B217" t="str">
            <v xml:space="preserve">现金及现金等价物净增加额 </v>
          </cell>
          <cell r="C217">
            <v>-26118552.050000001</v>
          </cell>
          <cell r="D217">
            <v>0</v>
          </cell>
          <cell r="E217">
            <v>0</v>
          </cell>
          <cell r="F217">
            <v>-26118552.050000001</v>
          </cell>
        </row>
        <row r="218">
          <cell r="A218">
            <v>0</v>
          </cell>
          <cell r="B218" t="str">
            <v>实收资本</v>
          </cell>
          <cell r="D218">
            <v>0</v>
          </cell>
          <cell r="E218">
            <v>0</v>
          </cell>
          <cell r="F218">
            <v>0</v>
          </cell>
        </row>
        <row r="219">
          <cell r="A219" t="str">
            <v>F2006</v>
          </cell>
          <cell r="B219" t="str">
            <v>一、上年年末余额</v>
          </cell>
          <cell r="C219">
            <v>75000000</v>
          </cell>
          <cell r="D219">
            <v>0</v>
          </cell>
          <cell r="E219">
            <v>0</v>
          </cell>
          <cell r="F219">
            <v>75000000</v>
          </cell>
        </row>
        <row r="220">
          <cell r="A220" t="str">
            <v>F2007</v>
          </cell>
          <cell r="B220" t="str">
            <v>会计政策变更</v>
          </cell>
          <cell r="C220">
            <v>0</v>
          </cell>
          <cell r="D220">
            <v>0</v>
          </cell>
          <cell r="E220">
            <v>0</v>
          </cell>
          <cell r="F220">
            <v>0</v>
          </cell>
        </row>
        <row r="221">
          <cell r="A221" t="str">
            <v>F2008</v>
          </cell>
          <cell r="B221" t="str">
            <v>前期差错更正</v>
          </cell>
          <cell r="C221">
            <v>0</v>
          </cell>
          <cell r="D221">
            <v>0</v>
          </cell>
          <cell r="E221">
            <v>0</v>
          </cell>
          <cell r="F221">
            <v>0</v>
          </cell>
        </row>
        <row r="222">
          <cell r="B222" t="str">
            <v>二、本年年初余额</v>
          </cell>
          <cell r="C222">
            <v>75000000</v>
          </cell>
          <cell r="D222">
            <v>0</v>
          </cell>
          <cell r="E222">
            <v>0</v>
          </cell>
          <cell r="F222">
            <v>75000000</v>
          </cell>
        </row>
        <row r="223">
          <cell r="B223" t="str">
            <v>三、本年增减变动金额（减少以“-”号填列）</v>
          </cell>
          <cell r="C223">
            <v>0</v>
          </cell>
          <cell r="D223">
            <v>0</v>
          </cell>
          <cell r="E223">
            <v>0</v>
          </cell>
          <cell r="F223">
            <v>0</v>
          </cell>
        </row>
        <row r="224">
          <cell r="B224" t="str">
            <v>（一）净利润</v>
          </cell>
          <cell r="C224">
            <v>0</v>
          </cell>
          <cell r="F224">
            <v>0</v>
          </cell>
        </row>
        <row r="225">
          <cell r="B225" t="str">
            <v>（二）直接计入所有者权益的利得和损失</v>
          </cell>
          <cell r="C225">
            <v>0</v>
          </cell>
          <cell r="D225">
            <v>0</v>
          </cell>
          <cell r="E225">
            <v>0</v>
          </cell>
          <cell r="F225">
            <v>0</v>
          </cell>
        </row>
        <row r="226">
          <cell r="B226" t="str">
            <v>可供出售金融资产公允价值变动净额</v>
          </cell>
          <cell r="C226">
            <v>0</v>
          </cell>
          <cell r="F226">
            <v>0</v>
          </cell>
        </row>
        <row r="227">
          <cell r="B227" t="str">
            <v>权益法下被投资单位其他所有者权益变动的影响</v>
          </cell>
          <cell r="C227">
            <v>0</v>
          </cell>
          <cell r="F227">
            <v>0</v>
          </cell>
        </row>
        <row r="228">
          <cell r="B228" t="str">
            <v>与计入所有者权益项目相关的所得税影响</v>
          </cell>
          <cell r="C228">
            <v>0</v>
          </cell>
          <cell r="F228">
            <v>0</v>
          </cell>
        </row>
        <row r="229">
          <cell r="B229" t="str">
            <v>其他</v>
          </cell>
          <cell r="C229">
            <v>0</v>
          </cell>
          <cell r="F229">
            <v>0</v>
          </cell>
        </row>
        <row r="230">
          <cell r="B230" t="str">
            <v>上述（一）和（二）小计</v>
          </cell>
          <cell r="C230">
            <v>0</v>
          </cell>
          <cell r="D230">
            <v>0</v>
          </cell>
          <cell r="E230">
            <v>0</v>
          </cell>
          <cell r="F230">
            <v>0</v>
          </cell>
        </row>
        <row r="231">
          <cell r="B231" t="str">
            <v>（三）所有者投入和减少资本</v>
          </cell>
          <cell r="C231">
            <v>0</v>
          </cell>
          <cell r="D231">
            <v>0</v>
          </cell>
          <cell r="E231">
            <v>0</v>
          </cell>
          <cell r="F231">
            <v>0</v>
          </cell>
        </row>
        <row r="232">
          <cell r="A232" t="str">
            <v>F2001</v>
          </cell>
          <cell r="B232" t="str">
            <v>所有者投入资本</v>
          </cell>
          <cell r="C232">
            <v>0</v>
          </cell>
          <cell r="D232">
            <v>0</v>
          </cell>
          <cell r="E232">
            <v>0</v>
          </cell>
          <cell r="F232">
            <v>0</v>
          </cell>
        </row>
        <row r="233">
          <cell r="A233" t="str">
            <v>F2002</v>
          </cell>
          <cell r="B233" t="str">
            <v>股份支付计入所有者权益的金额</v>
          </cell>
          <cell r="C233">
            <v>0</v>
          </cell>
          <cell r="D233">
            <v>0</v>
          </cell>
          <cell r="E233">
            <v>0</v>
          </cell>
          <cell r="F233">
            <v>0</v>
          </cell>
        </row>
        <row r="234">
          <cell r="A234" t="str">
            <v>F2005</v>
          </cell>
          <cell r="B234" t="str">
            <v>其他</v>
          </cell>
          <cell r="C234">
            <v>0</v>
          </cell>
          <cell r="D234">
            <v>0</v>
          </cell>
          <cell r="E234">
            <v>0</v>
          </cell>
          <cell r="F234">
            <v>0</v>
          </cell>
        </row>
        <row r="235">
          <cell r="B235" t="str">
            <v>（四）利润分配</v>
          </cell>
          <cell r="C235">
            <v>0</v>
          </cell>
          <cell r="D235">
            <v>0</v>
          </cell>
          <cell r="E235">
            <v>0</v>
          </cell>
          <cell r="F235">
            <v>0</v>
          </cell>
        </row>
        <row r="236">
          <cell r="B236" t="str">
            <v xml:space="preserve">提取盈余公积 </v>
          </cell>
          <cell r="C236">
            <v>0</v>
          </cell>
          <cell r="F236">
            <v>0</v>
          </cell>
        </row>
        <row r="237">
          <cell r="B237" t="str">
            <v>提取一般风险准备</v>
          </cell>
          <cell r="C237">
            <v>0</v>
          </cell>
          <cell r="F237">
            <v>0</v>
          </cell>
        </row>
        <row r="238">
          <cell r="B238" t="str">
            <v>对所有者（或股东）的分配</v>
          </cell>
          <cell r="C238">
            <v>0</v>
          </cell>
          <cell r="F238">
            <v>0</v>
          </cell>
        </row>
        <row r="239">
          <cell r="B239" t="str">
            <v>其他</v>
          </cell>
          <cell r="C239">
            <v>0</v>
          </cell>
          <cell r="F239">
            <v>0</v>
          </cell>
        </row>
        <row r="240">
          <cell r="B240" t="str">
            <v>（五）所有者权益内部结转</v>
          </cell>
          <cell r="C240">
            <v>0</v>
          </cell>
          <cell r="D240">
            <v>0</v>
          </cell>
          <cell r="E240">
            <v>0</v>
          </cell>
          <cell r="F240">
            <v>0</v>
          </cell>
        </row>
        <row r="241">
          <cell r="A241" t="str">
            <v>F2003</v>
          </cell>
          <cell r="B241" t="str">
            <v>资本公积转增资本</v>
          </cell>
          <cell r="C241">
            <v>0</v>
          </cell>
          <cell r="D241">
            <v>0</v>
          </cell>
          <cell r="E241">
            <v>0</v>
          </cell>
          <cell r="F241">
            <v>0</v>
          </cell>
        </row>
        <row r="242">
          <cell r="A242" t="str">
            <v>F2004</v>
          </cell>
          <cell r="B242" t="str">
            <v>盈余公积转增资本</v>
          </cell>
          <cell r="C242">
            <v>0</v>
          </cell>
          <cell r="D242">
            <v>0</v>
          </cell>
          <cell r="E242">
            <v>0</v>
          </cell>
          <cell r="F242">
            <v>0</v>
          </cell>
        </row>
        <row r="243">
          <cell r="B243" t="str">
            <v>盈余公积弥补亏损</v>
          </cell>
          <cell r="C243">
            <v>0</v>
          </cell>
          <cell r="F243">
            <v>0</v>
          </cell>
        </row>
        <row r="244">
          <cell r="B244" t="str">
            <v>其他</v>
          </cell>
          <cell r="C244">
            <v>0</v>
          </cell>
          <cell r="F244">
            <v>0</v>
          </cell>
        </row>
        <row r="245">
          <cell r="B245" t="str">
            <v>四、本年年末余额</v>
          </cell>
          <cell r="C245">
            <v>75000000</v>
          </cell>
          <cell r="D245">
            <v>0</v>
          </cell>
          <cell r="E245">
            <v>0</v>
          </cell>
          <cell r="F245">
            <v>75000000</v>
          </cell>
        </row>
        <row r="246">
          <cell r="B246" t="str">
            <v>资本公积</v>
          </cell>
        </row>
        <row r="247">
          <cell r="A247" t="str">
            <v>F2107</v>
          </cell>
          <cell r="B247" t="str">
            <v>一、上年年末余额</v>
          </cell>
          <cell r="C247">
            <v>0</v>
          </cell>
          <cell r="D247">
            <v>0</v>
          </cell>
          <cell r="E247">
            <v>0</v>
          </cell>
          <cell r="F247">
            <v>0</v>
          </cell>
        </row>
        <row r="248">
          <cell r="A248" t="str">
            <v>F2108</v>
          </cell>
          <cell r="B248" t="str">
            <v>会计政策变更</v>
          </cell>
          <cell r="C248">
            <v>0</v>
          </cell>
          <cell r="D248">
            <v>0</v>
          </cell>
          <cell r="E248">
            <v>0</v>
          </cell>
          <cell r="F248">
            <v>0</v>
          </cell>
        </row>
        <row r="249">
          <cell r="A249" t="str">
            <v>F2109</v>
          </cell>
          <cell r="B249" t="str">
            <v>前期差错更正</v>
          </cell>
          <cell r="C249">
            <v>0</v>
          </cell>
          <cell r="D249">
            <v>0</v>
          </cell>
          <cell r="E249">
            <v>0</v>
          </cell>
          <cell r="F249">
            <v>0</v>
          </cell>
        </row>
        <row r="250">
          <cell r="B250" t="str">
            <v>二、本年年初余额</v>
          </cell>
          <cell r="C250">
            <v>0</v>
          </cell>
          <cell r="D250">
            <v>0</v>
          </cell>
          <cell r="E250">
            <v>0</v>
          </cell>
          <cell r="F250">
            <v>0</v>
          </cell>
        </row>
        <row r="251">
          <cell r="B251" t="str">
            <v>三、本年增减变动金额（减少以“-”号填列）</v>
          </cell>
          <cell r="C251">
            <v>0</v>
          </cell>
          <cell r="D251">
            <v>0</v>
          </cell>
          <cell r="E251">
            <v>0</v>
          </cell>
          <cell r="F251">
            <v>0</v>
          </cell>
        </row>
        <row r="252">
          <cell r="B252" t="str">
            <v>（一）净利润</v>
          </cell>
          <cell r="C252">
            <v>0</v>
          </cell>
          <cell r="F252">
            <v>0</v>
          </cell>
        </row>
        <row r="253">
          <cell r="B253" t="str">
            <v>（二）直接计入所有者权益的利得和损失</v>
          </cell>
          <cell r="C253">
            <v>0</v>
          </cell>
          <cell r="D253">
            <v>0</v>
          </cell>
          <cell r="E253">
            <v>0</v>
          </cell>
          <cell r="F253">
            <v>0</v>
          </cell>
        </row>
        <row r="254">
          <cell r="A254" t="str">
            <v>F2101</v>
          </cell>
          <cell r="B254" t="str">
            <v>可供出售金融资产公允价值变动净额</v>
          </cell>
          <cell r="C254">
            <v>0</v>
          </cell>
          <cell r="D254">
            <v>0</v>
          </cell>
          <cell r="E254">
            <v>0</v>
          </cell>
          <cell r="F254">
            <v>0</v>
          </cell>
        </row>
        <row r="255">
          <cell r="A255" t="str">
            <v>F2102</v>
          </cell>
          <cell r="B255" t="str">
            <v>权益法下被投资单位其他所有者权益变动的影响</v>
          </cell>
          <cell r="C255">
            <v>0</v>
          </cell>
          <cell r="D255">
            <v>0</v>
          </cell>
          <cell r="E255">
            <v>0</v>
          </cell>
          <cell r="F255">
            <v>0</v>
          </cell>
        </row>
        <row r="256">
          <cell r="A256" t="str">
            <v>F2103</v>
          </cell>
          <cell r="B256" t="str">
            <v>与计入所有者权益项目相关的所得税影响</v>
          </cell>
          <cell r="C256">
            <v>0</v>
          </cell>
          <cell r="D256">
            <v>0</v>
          </cell>
          <cell r="E256">
            <v>0</v>
          </cell>
          <cell r="F256">
            <v>0</v>
          </cell>
        </row>
        <row r="257">
          <cell r="A257" t="str">
            <v>F2106</v>
          </cell>
          <cell r="B257" t="str">
            <v>其他</v>
          </cell>
          <cell r="C257">
            <v>0</v>
          </cell>
          <cell r="D257">
            <v>0</v>
          </cell>
          <cell r="E257">
            <v>0</v>
          </cell>
          <cell r="F257">
            <v>0</v>
          </cell>
        </row>
        <row r="258">
          <cell r="B258" t="str">
            <v>上述（一）和（二）小计</v>
          </cell>
          <cell r="C258">
            <v>0</v>
          </cell>
          <cell r="D258">
            <v>0</v>
          </cell>
          <cell r="E258">
            <v>0</v>
          </cell>
          <cell r="F258">
            <v>0</v>
          </cell>
        </row>
        <row r="259">
          <cell r="B259" t="str">
            <v>（三）所有者投入和减少资本</v>
          </cell>
          <cell r="C259">
            <v>0</v>
          </cell>
          <cell r="D259">
            <v>0</v>
          </cell>
          <cell r="E259">
            <v>0</v>
          </cell>
          <cell r="F259">
            <v>0</v>
          </cell>
        </row>
        <row r="260">
          <cell r="A260" t="str">
            <v>F2104</v>
          </cell>
          <cell r="B260" t="str">
            <v>所有者投入资本</v>
          </cell>
          <cell r="C260">
            <v>0</v>
          </cell>
          <cell r="D260">
            <v>0</v>
          </cell>
          <cell r="E260">
            <v>0</v>
          </cell>
          <cell r="F260">
            <v>0</v>
          </cell>
        </row>
        <row r="261">
          <cell r="B261" t="str">
            <v>股份支付计入所有者权益的金额</v>
          </cell>
          <cell r="C261">
            <v>0</v>
          </cell>
          <cell r="F261">
            <v>0</v>
          </cell>
        </row>
        <row r="262">
          <cell r="B262" t="str">
            <v>其他</v>
          </cell>
          <cell r="C262">
            <v>0</v>
          </cell>
          <cell r="F262">
            <v>0</v>
          </cell>
        </row>
        <row r="263">
          <cell r="B263" t="str">
            <v>（四）利润分配</v>
          </cell>
          <cell r="C263">
            <v>0</v>
          </cell>
          <cell r="D263">
            <v>0</v>
          </cell>
          <cell r="E263">
            <v>0</v>
          </cell>
          <cell r="F263">
            <v>0</v>
          </cell>
        </row>
        <row r="264">
          <cell r="B264" t="str">
            <v xml:space="preserve">提取盈余公积 </v>
          </cell>
          <cell r="C264">
            <v>0</v>
          </cell>
          <cell r="F264">
            <v>0</v>
          </cell>
        </row>
        <row r="265">
          <cell r="B265" t="str">
            <v>提取一般风险准备</v>
          </cell>
          <cell r="C265">
            <v>0</v>
          </cell>
          <cell r="F265">
            <v>0</v>
          </cell>
        </row>
        <row r="266">
          <cell r="B266" t="str">
            <v>对所有者（或股东）的分配</v>
          </cell>
          <cell r="C266">
            <v>0</v>
          </cell>
          <cell r="F266">
            <v>0</v>
          </cell>
        </row>
        <row r="267">
          <cell r="B267" t="str">
            <v>其他</v>
          </cell>
          <cell r="C267">
            <v>0</v>
          </cell>
          <cell r="F267">
            <v>0</v>
          </cell>
        </row>
        <row r="268">
          <cell r="B268" t="str">
            <v>（五）所有者权益内部结转</v>
          </cell>
          <cell r="C268">
            <v>0</v>
          </cell>
          <cell r="D268">
            <v>0</v>
          </cell>
          <cell r="E268">
            <v>0</v>
          </cell>
          <cell r="F268">
            <v>0</v>
          </cell>
        </row>
        <row r="269">
          <cell r="A269" t="str">
            <v>F2105</v>
          </cell>
          <cell r="B269" t="str">
            <v>资本公积转增资本</v>
          </cell>
          <cell r="C269">
            <v>0</v>
          </cell>
          <cell r="D269">
            <v>0</v>
          </cell>
          <cell r="E269">
            <v>0</v>
          </cell>
          <cell r="F269">
            <v>0</v>
          </cell>
        </row>
        <row r="270">
          <cell r="B270" t="str">
            <v>盈余公积转增资本</v>
          </cell>
          <cell r="C270">
            <v>0</v>
          </cell>
          <cell r="F270">
            <v>0</v>
          </cell>
        </row>
        <row r="271">
          <cell r="B271" t="str">
            <v>盈余公积弥补亏损</v>
          </cell>
          <cell r="C271">
            <v>0</v>
          </cell>
          <cell r="F271">
            <v>0</v>
          </cell>
        </row>
        <row r="272">
          <cell r="B272" t="str">
            <v>其他</v>
          </cell>
          <cell r="C272">
            <v>0</v>
          </cell>
          <cell r="F272">
            <v>0</v>
          </cell>
        </row>
        <row r="273">
          <cell r="B273" t="str">
            <v>四、本年年末余额</v>
          </cell>
          <cell r="C273">
            <v>0</v>
          </cell>
          <cell r="D273">
            <v>0</v>
          </cell>
          <cell r="E273">
            <v>0</v>
          </cell>
          <cell r="F273">
            <v>0</v>
          </cell>
        </row>
        <row r="274">
          <cell r="B274" t="str">
            <v>减：库存股</v>
          </cell>
        </row>
        <row r="275">
          <cell r="A275" t="str">
            <v>F2202</v>
          </cell>
          <cell r="B275" t="str">
            <v>一、上年年末余额</v>
          </cell>
          <cell r="C275">
            <v>0</v>
          </cell>
          <cell r="D275">
            <v>0</v>
          </cell>
          <cell r="E275">
            <v>0</v>
          </cell>
          <cell r="F275">
            <v>0</v>
          </cell>
        </row>
        <row r="276">
          <cell r="A276" t="str">
            <v>F2203</v>
          </cell>
          <cell r="B276" t="str">
            <v>会计政策变更</v>
          </cell>
          <cell r="C276">
            <v>0</v>
          </cell>
          <cell r="D276">
            <v>0</v>
          </cell>
          <cell r="E276">
            <v>0</v>
          </cell>
          <cell r="F276">
            <v>0</v>
          </cell>
        </row>
        <row r="277">
          <cell r="A277" t="str">
            <v>F2204</v>
          </cell>
          <cell r="B277" t="str">
            <v>前期差错更正</v>
          </cell>
          <cell r="C277">
            <v>0</v>
          </cell>
          <cell r="D277">
            <v>0</v>
          </cell>
          <cell r="E277">
            <v>0</v>
          </cell>
          <cell r="F277">
            <v>0</v>
          </cell>
        </row>
        <row r="278">
          <cell r="B278" t="str">
            <v>二、本年年初余额</v>
          </cell>
          <cell r="C278">
            <v>0</v>
          </cell>
          <cell r="D278">
            <v>0</v>
          </cell>
          <cell r="E278">
            <v>0</v>
          </cell>
          <cell r="F278">
            <v>0</v>
          </cell>
        </row>
        <row r="279">
          <cell r="B279" t="str">
            <v>三、本年增减变动金额（减少以“-”号填列）</v>
          </cell>
          <cell r="C279">
            <v>0</v>
          </cell>
          <cell r="D279">
            <v>0</v>
          </cell>
          <cell r="E279">
            <v>0</v>
          </cell>
          <cell r="F279">
            <v>0</v>
          </cell>
        </row>
        <row r="280">
          <cell r="B280" t="str">
            <v>（一）净利润</v>
          </cell>
          <cell r="C280">
            <v>0</v>
          </cell>
          <cell r="F280">
            <v>0</v>
          </cell>
        </row>
        <row r="281">
          <cell r="B281" t="str">
            <v>（二）直接计入所有者权益的利得和损失</v>
          </cell>
          <cell r="C281">
            <v>0</v>
          </cell>
          <cell r="D281">
            <v>0</v>
          </cell>
          <cell r="E281">
            <v>0</v>
          </cell>
          <cell r="F281">
            <v>0</v>
          </cell>
        </row>
        <row r="282">
          <cell r="B282" t="str">
            <v>可供出售金融资产公允价值变动净额</v>
          </cell>
          <cell r="C282">
            <v>0</v>
          </cell>
          <cell r="F282">
            <v>0</v>
          </cell>
        </row>
        <row r="283">
          <cell r="B283" t="str">
            <v>权益法下被投资单位其他所有者权益变动的影响</v>
          </cell>
          <cell r="C283">
            <v>0</v>
          </cell>
          <cell r="F283">
            <v>0</v>
          </cell>
        </row>
        <row r="284">
          <cell r="B284" t="str">
            <v>与计入所有者权益项目相关的所得税影响</v>
          </cell>
          <cell r="C284">
            <v>0</v>
          </cell>
          <cell r="F284">
            <v>0</v>
          </cell>
        </row>
        <row r="285">
          <cell r="B285" t="str">
            <v>其他</v>
          </cell>
          <cell r="C285">
            <v>0</v>
          </cell>
          <cell r="F285">
            <v>0</v>
          </cell>
        </row>
        <row r="286">
          <cell r="B286" t="str">
            <v>上述（一）和（二）小计</v>
          </cell>
          <cell r="C286">
            <v>0</v>
          </cell>
          <cell r="D286">
            <v>0</v>
          </cell>
          <cell r="E286">
            <v>0</v>
          </cell>
          <cell r="F286">
            <v>0</v>
          </cell>
        </row>
        <row r="287">
          <cell r="B287" t="str">
            <v>（三）所有者投入和减少资本</v>
          </cell>
          <cell r="C287">
            <v>0</v>
          </cell>
          <cell r="D287">
            <v>0</v>
          </cell>
          <cell r="E287">
            <v>0</v>
          </cell>
          <cell r="F287">
            <v>0</v>
          </cell>
        </row>
        <row r="288">
          <cell r="B288" t="str">
            <v>所有者投入资本</v>
          </cell>
          <cell r="C288">
            <v>0</v>
          </cell>
          <cell r="F288">
            <v>0</v>
          </cell>
        </row>
        <row r="289">
          <cell r="B289" t="str">
            <v>股份支付计入所有者权益的金额</v>
          </cell>
          <cell r="C289">
            <v>0</v>
          </cell>
          <cell r="F289">
            <v>0</v>
          </cell>
        </row>
        <row r="290">
          <cell r="A290" t="str">
            <v>F2201</v>
          </cell>
          <cell r="B290" t="str">
            <v>其他</v>
          </cell>
          <cell r="C290">
            <v>0</v>
          </cell>
          <cell r="D290">
            <v>0</v>
          </cell>
          <cell r="E290">
            <v>0</v>
          </cell>
          <cell r="F290">
            <v>0</v>
          </cell>
        </row>
        <row r="291">
          <cell r="B291" t="str">
            <v>（四）利润分配</v>
          </cell>
          <cell r="C291">
            <v>0</v>
          </cell>
          <cell r="D291">
            <v>0</v>
          </cell>
          <cell r="E291">
            <v>0</v>
          </cell>
          <cell r="F291">
            <v>0</v>
          </cell>
        </row>
        <row r="292">
          <cell r="B292" t="str">
            <v xml:space="preserve">提取盈余公积 </v>
          </cell>
          <cell r="C292">
            <v>0</v>
          </cell>
          <cell r="F292">
            <v>0</v>
          </cell>
        </row>
        <row r="293">
          <cell r="B293" t="str">
            <v>提取一般风险准备</v>
          </cell>
          <cell r="C293">
            <v>0</v>
          </cell>
          <cell r="F293">
            <v>0</v>
          </cell>
        </row>
        <row r="294">
          <cell r="B294" t="str">
            <v>对所有者（或股东）的分配</v>
          </cell>
          <cell r="C294">
            <v>0</v>
          </cell>
          <cell r="F294">
            <v>0</v>
          </cell>
        </row>
        <row r="295">
          <cell r="B295" t="str">
            <v>其他</v>
          </cell>
          <cell r="C295">
            <v>0</v>
          </cell>
          <cell r="F295">
            <v>0</v>
          </cell>
        </row>
        <row r="296">
          <cell r="B296" t="str">
            <v>（五）所有者权益内部结转</v>
          </cell>
          <cell r="C296">
            <v>0</v>
          </cell>
          <cell r="D296">
            <v>0</v>
          </cell>
          <cell r="E296">
            <v>0</v>
          </cell>
          <cell r="F296">
            <v>0</v>
          </cell>
        </row>
        <row r="297">
          <cell r="B297" t="str">
            <v>资本公积转增资本</v>
          </cell>
          <cell r="C297">
            <v>0</v>
          </cell>
          <cell r="F297">
            <v>0</v>
          </cell>
        </row>
        <row r="298">
          <cell r="B298" t="str">
            <v>盈余公积转增资本</v>
          </cell>
          <cell r="C298">
            <v>0</v>
          </cell>
          <cell r="F298">
            <v>0</v>
          </cell>
        </row>
        <row r="299">
          <cell r="B299" t="str">
            <v>盈余公积弥补亏损</v>
          </cell>
          <cell r="C299">
            <v>0</v>
          </cell>
          <cell r="F299">
            <v>0</v>
          </cell>
        </row>
        <row r="300">
          <cell r="B300" t="str">
            <v>其他</v>
          </cell>
          <cell r="C300">
            <v>0</v>
          </cell>
          <cell r="F300">
            <v>0</v>
          </cell>
        </row>
        <row r="301">
          <cell r="B301" t="str">
            <v>四、本年年末余额</v>
          </cell>
          <cell r="C301">
            <v>0</v>
          </cell>
          <cell r="D301">
            <v>0</v>
          </cell>
          <cell r="E301">
            <v>0</v>
          </cell>
          <cell r="F301">
            <v>0</v>
          </cell>
        </row>
        <row r="302">
          <cell r="B302" t="str">
            <v>盈余公积</v>
          </cell>
        </row>
        <row r="303">
          <cell r="A303" t="str">
            <v>F2305</v>
          </cell>
          <cell r="B303" t="str">
            <v>一、上年年末余额</v>
          </cell>
          <cell r="C303">
            <v>2798698.18</v>
          </cell>
          <cell r="D303">
            <v>0</v>
          </cell>
          <cell r="E303">
            <v>0</v>
          </cell>
          <cell r="F303">
            <v>2798698.18</v>
          </cell>
        </row>
        <row r="304">
          <cell r="A304" t="str">
            <v>F2306</v>
          </cell>
          <cell r="B304" t="str">
            <v>会计政策变更</v>
          </cell>
          <cell r="C304">
            <v>0</v>
          </cell>
          <cell r="D304">
            <v>0</v>
          </cell>
          <cell r="E304">
            <v>0</v>
          </cell>
          <cell r="F304">
            <v>0</v>
          </cell>
        </row>
        <row r="305">
          <cell r="A305" t="str">
            <v>F2307</v>
          </cell>
          <cell r="B305" t="str">
            <v>前期差错更正</v>
          </cell>
          <cell r="C305">
            <v>0</v>
          </cell>
          <cell r="D305">
            <v>0</v>
          </cell>
          <cell r="E305">
            <v>0</v>
          </cell>
          <cell r="F305">
            <v>0</v>
          </cell>
        </row>
        <row r="306">
          <cell r="B306" t="str">
            <v>二、本年年初余额</v>
          </cell>
          <cell r="C306">
            <v>2798698.18</v>
          </cell>
          <cell r="D306">
            <v>0</v>
          </cell>
          <cell r="E306">
            <v>0</v>
          </cell>
          <cell r="F306">
            <v>2798698.18</v>
          </cell>
        </row>
        <row r="307">
          <cell r="B307" t="str">
            <v>三、本年增减变动金额（减少以“-”号填列）</v>
          </cell>
          <cell r="C307">
            <v>0</v>
          </cell>
          <cell r="D307">
            <v>0</v>
          </cell>
          <cell r="E307">
            <v>412759.7</v>
          </cell>
          <cell r="F307">
            <v>412759.7</v>
          </cell>
        </row>
        <row r="308">
          <cell r="B308" t="str">
            <v>（一）净利润</v>
          </cell>
          <cell r="C308">
            <v>0</v>
          </cell>
          <cell r="F308">
            <v>0</v>
          </cell>
        </row>
        <row r="309">
          <cell r="B309" t="str">
            <v>（二）直接计入所有者权益的利得和损失</v>
          </cell>
          <cell r="C309">
            <v>0</v>
          </cell>
          <cell r="D309">
            <v>0</v>
          </cell>
          <cell r="E309">
            <v>0</v>
          </cell>
          <cell r="F309">
            <v>0</v>
          </cell>
        </row>
        <row r="310">
          <cell r="B310" t="str">
            <v>可供出售金融资产公允价值变动净额</v>
          </cell>
          <cell r="C310">
            <v>0</v>
          </cell>
          <cell r="F310">
            <v>0</v>
          </cell>
        </row>
        <row r="311">
          <cell r="B311" t="str">
            <v>权益法下被投资单位其他所有者权益变动的影响</v>
          </cell>
          <cell r="C311">
            <v>0</v>
          </cell>
          <cell r="F311">
            <v>0</v>
          </cell>
        </row>
        <row r="312">
          <cell r="B312" t="str">
            <v>与计入所有者权益项目相关的所得税影响</v>
          </cell>
          <cell r="C312">
            <v>0</v>
          </cell>
          <cell r="F312">
            <v>0</v>
          </cell>
        </row>
        <row r="313">
          <cell r="B313" t="str">
            <v>其他</v>
          </cell>
          <cell r="C313">
            <v>0</v>
          </cell>
          <cell r="F313">
            <v>0</v>
          </cell>
        </row>
        <row r="314">
          <cell r="B314" t="str">
            <v>上述（一）和（二）小计</v>
          </cell>
          <cell r="C314">
            <v>0</v>
          </cell>
          <cell r="D314">
            <v>0</v>
          </cell>
          <cell r="E314">
            <v>0</v>
          </cell>
          <cell r="F314">
            <v>0</v>
          </cell>
        </row>
        <row r="315">
          <cell r="B315" t="str">
            <v>（三）所有者投入和减少资本</v>
          </cell>
          <cell r="C315">
            <v>0</v>
          </cell>
          <cell r="D315">
            <v>0</v>
          </cell>
          <cell r="E315">
            <v>0</v>
          </cell>
          <cell r="F315">
            <v>0</v>
          </cell>
        </row>
        <row r="316">
          <cell r="B316" t="str">
            <v>所有者投入资本</v>
          </cell>
          <cell r="C316">
            <v>0</v>
          </cell>
          <cell r="F316">
            <v>0</v>
          </cell>
        </row>
        <row r="317">
          <cell r="B317" t="str">
            <v>股份支付计入所有者权益的金额</v>
          </cell>
          <cell r="C317">
            <v>0</v>
          </cell>
          <cell r="F317">
            <v>0</v>
          </cell>
        </row>
        <row r="318">
          <cell r="B318" t="str">
            <v>其他</v>
          </cell>
          <cell r="C318">
            <v>0</v>
          </cell>
          <cell r="F318">
            <v>0</v>
          </cell>
        </row>
        <row r="319">
          <cell r="B319" t="str">
            <v>（四）利润分配</v>
          </cell>
          <cell r="C319">
            <v>0</v>
          </cell>
          <cell r="D319">
            <v>0</v>
          </cell>
          <cell r="E319">
            <v>412759.7</v>
          </cell>
          <cell r="F319">
            <v>412759.7</v>
          </cell>
        </row>
        <row r="320">
          <cell r="A320" t="str">
            <v>F4504</v>
          </cell>
          <cell r="B320" t="str">
            <v xml:space="preserve">提取盈余公积 </v>
          </cell>
          <cell r="C320">
            <v>0</v>
          </cell>
          <cell r="D320">
            <v>0</v>
          </cell>
          <cell r="E320">
            <v>412759.7</v>
          </cell>
          <cell r="F320">
            <v>412759.7</v>
          </cell>
        </row>
        <row r="321">
          <cell r="B321" t="str">
            <v>提取一般风险准备</v>
          </cell>
          <cell r="C321">
            <v>0</v>
          </cell>
          <cell r="F321">
            <v>0</v>
          </cell>
        </row>
        <row r="322">
          <cell r="B322" t="str">
            <v>对所有者（或股东）的分配</v>
          </cell>
          <cell r="C322">
            <v>0</v>
          </cell>
          <cell r="F322">
            <v>0</v>
          </cell>
        </row>
        <row r="323">
          <cell r="B323" t="str">
            <v>其他</v>
          </cell>
          <cell r="C323">
            <v>0</v>
          </cell>
          <cell r="F323">
            <v>0</v>
          </cell>
        </row>
        <row r="324">
          <cell r="B324" t="str">
            <v>（五）所有者权益内部结转</v>
          </cell>
          <cell r="C324">
            <v>0</v>
          </cell>
          <cell r="D324">
            <v>0</v>
          </cell>
          <cell r="E324">
            <v>0</v>
          </cell>
          <cell r="F324">
            <v>0</v>
          </cell>
        </row>
        <row r="325">
          <cell r="B325" t="str">
            <v>资本公积转增资本</v>
          </cell>
          <cell r="C325">
            <v>0</v>
          </cell>
          <cell r="F325">
            <v>0</v>
          </cell>
        </row>
        <row r="326">
          <cell r="A326" t="str">
            <v>F2302</v>
          </cell>
          <cell r="B326" t="str">
            <v>盈余公积转增资本</v>
          </cell>
          <cell r="C326">
            <v>0</v>
          </cell>
          <cell r="D326">
            <v>0</v>
          </cell>
          <cell r="E326">
            <v>0</v>
          </cell>
          <cell r="F326">
            <v>0</v>
          </cell>
        </row>
        <row r="327">
          <cell r="A327" t="str">
            <v>F2303</v>
          </cell>
          <cell r="B327" t="str">
            <v>盈余公积弥补亏损</v>
          </cell>
          <cell r="C327">
            <v>0</v>
          </cell>
          <cell r="D327">
            <v>0</v>
          </cell>
          <cell r="E327">
            <v>0</v>
          </cell>
          <cell r="F327">
            <v>0</v>
          </cell>
        </row>
        <row r="328">
          <cell r="B328" t="str">
            <v>其他</v>
          </cell>
          <cell r="C328">
            <v>0</v>
          </cell>
          <cell r="F328">
            <v>0</v>
          </cell>
        </row>
        <row r="329">
          <cell r="B329" t="str">
            <v>四、本年年末余额</v>
          </cell>
          <cell r="C329">
            <v>2798698.18</v>
          </cell>
          <cell r="D329">
            <v>0</v>
          </cell>
          <cell r="E329">
            <v>412759.7</v>
          </cell>
          <cell r="F329">
            <v>3211457.88</v>
          </cell>
        </row>
        <row r="330">
          <cell r="A330" t="str">
            <v>F2403</v>
          </cell>
          <cell r="B330" t="str">
            <v>未分配利润</v>
          </cell>
        </row>
        <row r="331">
          <cell r="A331" t="str">
            <v>F4501</v>
          </cell>
          <cell r="B331" t="str">
            <v>一、上年年末余额</v>
          </cell>
          <cell r="C331">
            <v>35804021.280000001</v>
          </cell>
          <cell r="D331">
            <v>6039464.4400000004</v>
          </cell>
          <cell r="E331">
            <v>2564588.2400000002</v>
          </cell>
          <cell r="F331">
            <v>32329145.079999998</v>
          </cell>
        </row>
        <row r="332">
          <cell r="A332" t="str">
            <v>F4502</v>
          </cell>
          <cell r="B332" t="str">
            <v>会计政策变更</v>
          </cell>
          <cell r="C332">
            <v>0</v>
          </cell>
          <cell r="D332">
            <v>0</v>
          </cell>
          <cell r="E332">
            <v>0</v>
          </cell>
          <cell r="F332">
            <v>0</v>
          </cell>
        </row>
        <row r="333">
          <cell r="A333" t="str">
            <v>F4503</v>
          </cell>
          <cell r="B333" t="str">
            <v>前期差错更正</v>
          </cell>
          <cell r="C333">
            <v>0</v>
          </cell>
          <cell r="D333">
            <v>0</v>
          </cell>
          <cell r="E333">
            <v>0</v>
          </cell>
          <cell r="F333">
            <v>0</v>
          </cell>
        </row>
        <row r="334">
          <cell r="B334" t="str">
            <v>二、本年年初余额</v>
          </cell>
          <cell r="C334">
            <v>35804021.280000001</v>
          </cell>
          <cell r="D334">
            <v>6039464.4400000004</v>
          </cell>
          <cell r="E334">
            <v>2564588.2400000002</v>
          </cell>
          <cell r="F334">
            <v>32329145.079999998</v>
          </cell>
        </row>
        <row r="335">
          <cell r="B335" t="str">
            <v>三、本年增减变动金额（减少以“-”号填列）</v>
          </cell>
          <cell r="C335">
            <v>13314374.5</v>
          </cell>
          <cell r="D335">
            <v>15423044.02</v>
          </cell>
          <cell r="E335">
            <v>11522303.02</v>
          </cell>
          <cell r="F335">
            <v>9413633.5</v>
          </cell>
        </row>
        <row r="336">
          <cell r="B336" t="str">
            <v>（一）净利润</v>
          </cell>
          <cell r="C336">
            <v>26954757.09</v>
          </cell>
          <cell r="D336">
            <v>15010284.32</v>
          </cell>
          <cell r="E336">
            <v>11522303.02</v>
          </cell>
          <cell r="F336">
            <v>23466775.789999999</v>
          </cell>
        </row>
        <row r="337">
          <cell r="B337" t="str">
            <v>（二）直接计入所有者权益的利得和损失</v>
          </cell>
          <cell r="C337">
            <v>0</v>
          </cell>
          <cell r="D337">
            <v>0</v>
          </cell>
          <cell r="E337">
            <v>0</v>
          </cell>
          <cell r="F337">
            <v>0</v>
          </cell>
        </row>
        <row r="338">
          <cell r="B338" t="str">
            <v>可供出售金融资产公允价值变动净额</v>
          </cell>
          <cell r="C338">
            <v>0</v>
          </cell>
          <cell r="F338">
            <v>0</v>
          </cell>
        </row>
        <row r="339">
          <cell r="B339" t="str">
            <v>权益法下被投资单位其他所有者权益变动的影响</v>
          </cell>
          <cell r="C339">
            <v>0</v>
          </cell>
          <cell r="F339">
            <v>0</v>
          </cell>
        </row>
        <row r="340">
          <cell r="B340" t="str">
            <v>与计入所有者权益项目相关的所得税影响</v>
          </cell>
          <cell r="C340">
            <v>0</v>
          </cell>
          <cell r="F340">
            <v>0</v>
          </cell>
        </row>
        <row r="341">
          <cell r="B341" t="str">
            <v>其他</v>
          </cell>
          <cell r="C341">
            <v>0</v>
          </cell>
          <cell r="F341">
            <v>0</v>
          </cell>
        </row>
        <row r="342">
          <cell r="B342" t="str">
            <v>上述（一）和（二）小计</v>
          </cell>
          <cell r="C342">
            <v>26954757.09</v>
          </cell>
          <cell r="D342">
            <v>15010284.32</v>
          </cell>
          <cell r="E342">
            <v>11522303.02</v>
          </cell>
          <cell r="F342">
            <v>23466775.789999999</v>
          </cell>
        </row>
        <row r="343">
          <cell r="B343" t="str">
            <v>（三）所有者投入和减少资本</v>
          </cell>
          <cell r="C343">
            <v>0</v>
          </cell>
          <cell r="D343">
            <v>0</v>
          </cell>
          <cell r="E343">
            <v>0</v>
          </cell>
          <cell r="F343">
            <v>0</v>
          </cell>
        </row>
        <row r="344">
          <cell r="B344" t="str">
            <v>所有者投入资本</v>
          </cell>
          <cell r="C344">
            <v>0</v>
          </cell>
          <cell r="F344">
            <v>0</v>
          </cell>
        </row>
        <row r="345">
          <cell r="B345" t="str">
            <v>股份支付计入所有者权益的金额</v>
          </cell>
          <cell r="C345">
            <v>0</v>
          </cell>
          <cell r="F345">
            <v>0</v>
          </cell>
        </row>
        <row r="346">
          <cell r="B346" t="str">
            <v>其他</v>
          </cell>
          <cell r="C346">
            <v>0</v>
          </cell>
          <cell r="F346">
            <v>0</v>
          </cell>
        </row>
        <row r="347">
          <cell r="B347" t="str">
            <v>（四）利润分配</v>
          </cell>
          <cell r="C347">
            <v>-13640382.59</v>
          </cell>
          <cell r="D347">
            <v>412759.7</v>
          </cell>
          <cell r="E347">
            <v>0</v>
          </cell>
          <cell r="F347">
            <v>-14053142.289999999</v>
          </cell>
        </row>
        <row r="348">
          <cell r="A348" t="str">
            <v>F4504</v>
          </cell>
          <cell r="B348" t="str">
            <v xml:space="preserve">提取盈余公积 </v>
          </cell>
          <cell r="C348">
            <v>0</v>
          </cell>
          <cell r="D348">
            <v>412759.7</v>
          </cell>
          <cell r="E348">
            <v>0</v>
          </cell>
          <cell r="F348">
            <v>-412759.7</v>
          </cell>
        </row>
        <row r="349">
          <cell r="A349" t="str">
            <v>F4508</v>
          </cell>
          <cell r="B349" t="str">
            <v>提取一般风险准备</v>
          </cell>
          <cell r="C349">
            <v>0</v>
          </cell>
          <cell r="D349">
            <v>0</v>
          </cell>
          <cell r="E349">
            <v>0</v>
          </cell>
          <cell r="F349">
            <v>0</v>
          </cell>
        </row>
        <row r="350">
          <cell r="A350" t="str">
            <v>F4505</v>
          </cell>
          <cell r="B350" t="str">
            <v>对所有者（或股东）的分配</v>
          </cell>
          <cell r="C350">
            <v>-13640382.59</v>
          </cell>
          <cell r="D350">
            <v>0</v>
          </cell>
          <cell r="E350">
            <v>0</v>
          </cell>
          <cell r="F350">
            <v>-13640382.59</v>
          </cell>
        </row>
        <row r="351">
          <cell r="A351" t="str">
            <v>F4507</v>
          </cell>
          <cell r="B351" t="str">
            <v>其他</v>
          </cell>
          <cell r="C351">
            <v>0</v>
          </cell>
          <cell r="D351">
            <v>0</v>
          </cell>
          <cell r="E351">
            <v>0</v>
          </cell>
          <cell r="F351">
            <v>0</v>
          </cell>
        </row>
        <row r="352">
          <cell r="B352" t="str">
            <v>（五）所有者权益内部结转</v>
          </cell>
          <cell r="C352">
            <v>0</v>
          </cell>
          <cell r="D352">
            <v>0</v>
          </cell>
          <cell r="E352">
            <v>0</v>
          </cell>
          <cell r="F352">
            <v>0</v>
          </cell>
        </row>
        <row r="353">
          <cell r="B353" t="str">
            <v>资本公积转增资本</v>
          </cell>
          <cell r="C353">
            <v>0</v>
          </cell>
          <cell r="F353">
            <v>0</v>
          </cell>
        </row>
        <row r="354">
          <cell r="B354" t="str">
            <v>盈余公积转增资本</v>
          </cell>
          <cell r="C354">
            <v>0</v>
          </cell>
          <cell r="F354">
            <v>0</v>
          </cell>
        </row>
        <row r="355">
          <cell r="A355" t="str">
            <v>F4506</v>
          </cell>
          <cell r="B355" t="str">
            <v>盈余公积弥补亏损</v>
          </cell>
          <cell r="C355">
            <v>0</v>
          </cell>
          <cell r="D355">
            <v>0</v>
          </cell>
          <cell r="E355">
            <v>0</v>
          </cell>
          <cell r="F355">
            <v>0</v>
          </cell>
        </row>
        <row r="356">
          <cell r="B356" t="str">
            <v>其他</v>
          </cell>
          <cell r="C356">
            <v>0</v>
          </cell>
          <cell r="F356">
            <v>0</v>
          </cell>
        </row>
        <row r="357">
          <cell r="B357" t="str">
            <v>四、本年年末余额</v>
          </cell>
          <cell r="C357">
            <v>49118395.780000001</v>
          </cell>
          <cell r="D357">
            <v>21462508.460000001</v>
          </cell>
          <cell r="E357">
            <v>14086891.26</v>
          </cell>
          <cell r="F357">
            <v>41742778.579999998</v>
          </cell>
        </row>
        <row r="358">
          <cell r="B358" t="str">
            <v>少数股东权益</v>
          </cell>
        </row>
        <row r="359">
          <cell r="A359" t="str">
            <v>F2602</v>
          </cell>
          <cell r="B359" t="str">
            <v>一、上年年末余额</v>
          </cell>
          <cell r="C359">
            <v>0</v>
          </cell>
          <cell r="D359">
            <v>0</v>
          </cell>
          <cell r="E359">
            <v>0</v>
          </cell>
          <cell r="F359">
            <v>0</v>
          </cell>
        </row>
        <row r="360">
          <cell r="A360" t="str">
            <v>F2603</v>
          </cell>
          <cell r="B360" t="str">
            <v>会计政策变更</v>
          </cell>
          <cell r="C360">
            <v>0</v>
          </cell>
          <cell r="D360">
            <v>0</v>
          </cell>
          <cell r="E360">
            <v>0</v>
          </cell>
          <cell r="F360">
            <v>0</v>
          </cell>
        </row>
        <row r="361">
          <cell r="A361" t="str">
            <v>F2604</v>
          </cell>
          <cell r="B361" t="str">
            <v>前期差错更正</v>
          </cell>
          <cell r="C361">
            <v>0</v>
          </cell>
          <cell r="D361">
            <v>0</v>
          </cell>
          <cell r="E361">
            <v>0</v>
          </cell>
          <cell r="F361">
            <v>0</v>
          </cell>
        </row>
        <row r="362">
          <cell r="B362" t="str">
            <v>二、本年年初余额</v>
          </cell>
          <cell r="C362">
            <v>0</v>
          </cell>
          <cell r="F362">
            <v>0</v>
          </cell>
        </row>
        <row r="363">
          <cell r="B363" t="str">
            <v>三、本年增减变动金额（减少以“-”号填列）</v>
          </cell>
          <cell r="C363">
            <v>0</v>
          </cell>
          <cell r="F363">
            <v>0</v>
          </cell>
        </row>
        <row r="364">
          <cell r="A364" t="str">
            <v>F2601</v>
          </cell>
          <cell r="B364" t="str">
            <v>（一）净利润</v>
          </cell>
          <cell r="C364">
            <v>0</v>
          </cell>
          <cell r="D364">
            <v>0</v>
          </cell>
          <cell r="E364">
            <v>0</v>
          </cell>
          <cell r="F364">
            <v>0</v>
          </cell>
        </row>
        <row r="365">
          <cell r="B365" t="str">
            <v>（二）直接计入所有者权益的利得和损失</v>
          </cell>
          <cell r="C365">
            <v>0</v>
          </cell>
          <cell r="F365">
            <v>0</v>
          </cell>
        </row>
        <row r="366">
          <cell r="B366" t="str">
            <v>可供出售金融资产公允价值变动净额</v>
          </cell>
          <cell r="C366">
            <v>0</v>
          </cell>
          <cell r="F366">
            <v>0</v>
          </cell>
        </row>
        <row r="367">
          <cell r="B367" t="str">
            <v>权益法下被投资单位其他所有者权益变动的影响</v>
          </cell>
          <cell r="C367">
            <v>0</v>
          </cell>
          <cell r="F367">
            <v>0</v>
          </cell>
        </row>
        <row r="368">
          <cell r="B368" t="str">
            <v>与计入所有者权益项目相关的所得税影响</v>
          </cell>
          <cell r="C368">
            <v>0</v>
          </cell>
          <cell r="F368">
            <v>0</v>
          </cell>
        </row>
        <row r="369">
          <cell r="A369" t="str">
            <v>F2605</v>
          </cell>
          <cell r="B369" t="str">
            <v>其他</v>
          </cell>
          <cell r="C369">
            <v>0</v>
          </cell>
          <cell r="D369">
            <v>0</v>
          </cell>
          <cell r="E369">
            <v>0</v>
          </cell>
          <cell r="F369">
            <v>0</v>
          </cell>
        </row>
        <row r="370">
          <cell r="B370" t="str">
            <v>上述（一）和（二）小计</v>
          </cell>
          <cell r="C370">
            <v>0</v>
          </cell>
          <cell r="F370">
            <v>0</v>
          </cell>
        </row>
        <row r="371">
          <cell r="B371" t="str">
            <v>（三）所有者投入和减少资本</v>
          </cell>
          <cell r="C371">
            <v>0</v>
          </cell>
          <cell r="F371">
            <v>0</v>
          </cell>
        </row>
        <row r="372">
          <cell r="A372" t="str">
            <v>F2606</v>
          </cell>
          <cell r="B372" t="str">
            <v>所有者投入资本</v>
          </cell>
          <cell r="C372">
            <v>0</v>
          </cell>
          <cell r="D372">
            <v>0</v>
          </cell>
          <cell r="E372">
            <v>0</v>
          </cell>
          <cell r="F372">
            <v>0</v>
          </cell>
        </row>
        <row r="373">
          <cell r="B373" t="str">
            <v>股份支付计入所有者权益的金额</v>
          </cell>
          <cell r="C373">
            <v>0</v>
          </cell>
          <cell r="F373">
            <v>0</v>
          </cell>
        </row>
        <row r="374">
          <cell r="B374" t="str">
            <v>其他</v>
          </cell>
          <cell r="C374">
            <v>0</v>
          </cell>
          <cell r="F374">
            <v>0</v>
          </cell>
        </row>
        <row r="375">
          <cell r="B375" t="str">
            <v>（四）利润分配</v>
          </cell>
          <cell r="C375">
            <v>0</v>
          </cell>
          <cell r="F375">
            <v>0</v>
          </cell>
        </row>
        <row r="376">
          <cell r="B376" t="str">
            <v xml:space="preserve">提取盈余公积 </v>
          </cell>
          <cell r="C376">
            <v>0</v>
          </cell>
          <cell r="F376">
            <v>0</v>
          </cell>
        </row>
        <row r="377">
          <cell r="B377" t="str">
            <v>提取一般风险准备</v>
          </cell>
          <cell r="C377">
            <v>0</v>
          </cell>
          <cell r="F377">
            <v>0</v>
          </cell>
        </row>
        <row r="378">
          <cell r="A378" t="str">
            <v>F2607</v>
          </cell>
          <cell r="B378" t="str">
            <v>对所有者（或股东）的分配</v>
          </cell>
          <cell r="C378">
            <v>0</v>
          </cell>
          <cell r="D378">
            <v>0</v>
          </cell>
          <cell r="E378">
            <v>0</v>
          </cell>
          <cell r="F378">
            <v>0</v>
          </cell>
        </row>
        <row r="379">
          <cell r="B379" t="str">
            <v>其他</v>
          </cell>
          <cell r="C379">
            <v>0</v>
          </cell>
          <cell r="F379">
            <v>0</v>
          </cell>
        </row>
        <row r="380">
          <cell r="B380" t="str">
            <v>（五）所有者权益内部结转</v>
          </cell>
          <cell r="C380">
            <v>0</v>
          </cell>
          <cell r="F380">
            <v>0</v>
          </cell>
        </row>
        <row r="381">
          <cell r="B381" t="str">
            <v>资本公积转增资本</v>
          </cell>
          <cell r="C381">
            <v>0</v>
          </cell>
          <cell r="F381">
            <v>0</v>
          </cell>
        </row>
        <row r="382">
          <cell r="B382" t="str">
            <v>盈余公积转增资本</v>
          </cell>
          <cell r="C382">
            <v>0</v>
          </cell>
          <cell r="F382">
            <v>0</v>
          </cell>
        </row>
        <row r="383">
          <cell r="B383" t="str">
            <v>盈余公积弥补亏损</v>
          </cell>
          <cell r="C383">
            <v>0</v>
          </cell>
          <cell r="F383">
            <v>0</v>
          </cell>
        </row>
        <row r="384">
          <cell r="B384" t="str">
            <v>其他</v>
          </cell>
          <cell r="C384">
            <v>0</v>
          </cell>
          <cell r="F384">
            <v>0</v>
          </cell>
        </row>
        <row r="385">
          <cell r="B385" t="str">
            <v>四、本年年末余额</v>
          </cell>
          <cell r="C385">
            <v>0</v>
          </cell>
          <cell r="F385">
            <v>0</v>
          </cell>
        </row>
        <row r="386">
          <cell r="B386" t="str">
            <v xml:space="preserve">一般风险准备 </v>
          </cell>
        </row>
        <row r="387">
          <cell r="B387" t="str">
            <v>一、上年年末余额</v>
          </cell>
          <cell r="C387">
            <v>0</v>
          </cell>
          <cell r="F387">
            <v>0</v>
          </cell>
        </row>
        <row r="388">
          <cell r="B388" t="str">
            <v>会计政策变更</v>
          </cell>
          <cell r="C388">
            <v>0</v>
          </cell>
          <cell r="F388">
            <v>0</v>
          </cell>
        </row>
        <row r="389">
          <cell r="B389" t="str">
            <v>前期差错更正</v>
          </cell>
          <cell r="C389">
            <v>0</v>
          </cell>
          <cell r="F389">
            <v>0</v>
          </cell>
        </row>
        <row r="390">
          <cell r="B390" t="str">
            <v>二、本年年初余额</v>
          </cell>
          <cell r="C390">
            <v>0</v>
          </cell>
          <cell r="F390">
            <v>0</v>
          </cell>
        </row>
        <row r="391">
          <cell r="B391" t="str">
            <v>三、本年增减变动金额（减少以“-”号填列）</v>
          </cell>
          <cell r="C391">
            <v>0</v>
          </cell>
          <cell r="F391">
            <v>0</v>
          </cell>
        </row>
        <row r="392">
          <cell r="B392" t="str">
            <v>（一）净利润</v>
          </cell>
          <cell r="C392">
            <v>0</v>
          </cell>
          <cell r="F392">
            <v>0</v>
          </cell>
        </row>
        <row r="393">
          <cell r="B393" t="str">
            <v>（二）直接计入所有者权益的利得和损失</v>
          </cell>
          <cell r="C393">
            <v>0</v>
          </cell>
          <cell r="F393">
            <v>0</v>
          </cell>
        </row>
        <row r="394">
          <cell r="B394" t="str">
            <v>可供出售金融资产公允价值变动净额</v>
          </cell>
          <cell r="C394">
            <v>0</v>
          </cell>
          <cell r="F394">
            <v>0</v>
          </cell>
        </row>
        <row r="395">
          <cell r="B395" t="str">
            <v>权益法下被投资单位其他所有者权益变动的影响</v>
          </cell>
          <cell r="C395">
            <v>0</v>
          </cell>
          <cell r="F395">
            <v>0</v>
          </cell>
        </row>
        <row r="396">
          <cell r="B396" t="str">
            <v>与计入所有者权益项目相关的所得税影响</v>
          </cell>
          <cell r="C396">
            <v>0</v>
          </cell>
          <cell r="F396">
            <v>0</v>
          </cell>
        </row>
        <row r="397">
          <cell r="B397" t="str">
            <v>其他</v>
          </cell>
          <cell r="C397">
            <v>0</v>
          </cell>
          <cell r="F397">
            <v>0</v>
          </cell>
        </row>
        <row r="398">
          <cell r="B398" t="str">
            <v>上述（一）和（二）小计</v>
          </cell>
          <cell r="C398">
            <v>0</v>
          </cell>
          <cell r="F398">
            <v>0</v>
          </cell>
        </row>
        <row r="399">
          <cell r="B399" t="str">
            <v>（三）所有者投入和减少资本</v>
          </cell>
          <cell r="C399">
            <v>0</v>
          </cell>
          <cell r="F399">
            <v>0</v>
          </cell>
        </row>
        <row r="400">
          <cell r="B400" t="str">
            <v>所有者投入资本</v>
          </cell>
          <cell r="C400">
            <v>0</v>
          </cell>
          <cell r="F400">
            <v>0</v>
          </cell>
        </row>
        <row r="401">
          <cell r="B401" t="str">
            <v>股份支付计入所有者权益的金额</v>
          </cell>
          <cell r="C401">
            <v>0</v>
          </cell>
          <cell r="F401">
            <v>0</v>
          </cell>
        </row>
        <row r="402">
          <cell r="B402" t="str">
            <v>其他</v>
          </cell>
          <cell r="C402">
            <v>0</v>
          </cell>
          <cell r="F402">
            <v>0</v>
          </cell>
        </row>
        <row r="403">
          <cell r="B403" t="str">
            <v>（四）利润分配</v>
          </cell>
          <cell r="C403">
            <v>0</v>
          </cell>
          <cell r="F403">
            <v>0</v>
          </cell>
        </row>
        <row r="404">
          <cell r="B404" t="str">
            <v xml:space="preserve">提取盈余公积 </v>
          </cell>
          <cell r="C404">
            <v>0</v>
          </cell>
          <cell r="F404">
            <v>0</v>
          </cell>
        </row>
        <row r="405">
          <cell r="A405" t="str">
            <v>F4508</v>
          </cell>
          <cell r="B405" t="str">
            <v>提取一般风险准备</v>
          </cell>
          <cell r="C405">
            <v>0</v>
          </cell>
          <cell r="D405">
            <v>0</v>
          </cell>
          <cell r="E405">
            <v>0</v>
          </cell>
          <cell r="F405">
            <v>0</v>
          </cell>
        </row>
        <row r="406">
          <cell r="B406" t="str">
            <v>对所有者（或股东）的分配</v>
          </cell>
          <cell r="C406">
            <v>0</v>
          </cell>
          <cell r="F406">
            <v>0</v>
          </cell>
        </row>
        <row r="407">
          <cell r="B407" t="str">
            <v>其他</v>
          </cell>
          <cell r="C407">
            <v>0</v>
          </cell>
          <cell r="F407">
            <v>0</v>
          </cell>
        </row>
        <row r="408">
          <cell r="B408" t="str">
            <v>（五）所有者权益内部结转</v>
          </cell>
          <cell r="C408">
            <v>0</v>
          </cell>
          <cell r="F408">
            <v>0</v>
          </cell>
        </row>
        <row r="409">
          <cell r="B409" t="str">
            <v>资本公积转增资本</v>
          </cell>
          <cell r="C409">
            <v>0</v>
          </cell>
          <cell r="F409">
            <v>0</v>
          </cell>
        </row>
        <row r="410">
          <cell r="B410" t="str">
            <v>盈余公积转增资本</v>
          </cell>
          <cell r="C410">
            <v>0</v>
          </cell>
          <cell r="F410">
            <v>0</v>
          </cell>
        </row>
        <row r="411">
          <cell r="B411" t="str">
            <v>盈余公积弥补亏损</v>
          </cell>
          <cell r="C411">
            <v>0</v>
          </cell>
          <cell r="F411">
            <v>0</v>
          </cell>
        </row>
        <row r="412">
          <cell r="B412" t="str">
            <v>其他</v>
          </cell>
          <cell r="C412">
            <v>0</v>
          </cell>
          <cell r="F412">
            <v>0</v>
          </cell>
        </row>
        <row r="413">
          <cell r="B413" t="str">
            <v>四、本年年末余额</v>
          </cell>
          <cell r="C413">
            <v>0</v>
          </cell>
          <cell r="F413">
            <v>0</v>
          </cell>
        </row>
        <row r="414">
          <cell r="B414" t="str">
            <v>其他</v>
          </cell>
        </row>
        <row r="415">
          <cell r="B415" t="str">
            <v>一、上年年末余额</v>
          </cell>
          <cell r="C415">
            <v>0</v>
          </cell>
          <cell r="F415">
            <v>0</v>
          </cell>
        </row>
        <row r="416">
          <cell r="B416" t="str">
            <v>会计政策变更</v>
          </cell>
          <cell r="C416">
            <v>0</v>
          </cell>
          <cell r="F416">
            <v>0</v>
          </cell>
        </row>
        <row r="417">
          <cell r="B417" t="str">
            <v>前期差错更正</v>
          </cell>
          <cell r="C417">
            <v>0</v>
          </cell>
          <cell r="F417">
            <v>0</v>
          </cell>
        </row>
        <row r="418">
          <cell r="B418" t="str">
            <v>二、本年年初余额</v>
          </cell>
          <cell r="C418">
            <v>0</v>
          </cell>
          <cell r="F418">
            <v>0</v>
          </cell>
        </row>
        <row r="419">
          <cell r="B419" t="str">
            <v>三、本年增减变动金额（减少以“-”号填列）</v>
          </cell>
          <cell r="C419">
            <v>0</v>
          </cell>
          <cell r="F419">
            <v>0</v>
          </cell>
        </row>
        <row r="420">
          <cell r="B420" t="str">
            <v>（一）净利润</v>
          </cell>
          <cell r="C420">
            <v>0</v>
          </cell>
          <cell r="F420">
            <v>0</v>
          </cell>
        </row>
        <row r="421">
          <cell r="B421" t="str">
            <v>（二）直接计入所有者权益的利得和损失</v>
          </cell>
          <cell r="C421">
            <v>0</v>
          </cell>
          <cell r="F421">
            <v>0</v>
          </cell>
        </row>
        <row r="422">
          <cell r="B422" t="str">
            <v>可供出售金融资产公允价值变动净额</v>
          </cell>
          <cell r="C422">
            <v>0</v>
          </cell>
          <cell r="F422">
            <v>0</v>
          </cell>
        </row>
        <row r="423">
          <cell r="B423" t="str">
            <v>权益法下被投资单位其他所有者权益变动的影响</v>
          </cell>
          <cell r="C423">
            <v>0</v>
          </cell>
          <cell r="F423">
            <v>0</v>
          </cell>
        </row>
        <row r="424">
          <cell r="B424" t="str">
            <v>与计入所有者权益项目相关的所得税影响</v>
          </cell>
          <cell r="C424">
            <v>0</v>
          </cell>
          <cell r="F424">
            <v>0</v>
          </cell>
        </row>
        <row r="425">
          <cell r="B425" t="str">
            <v>其他</v>
          </cell>
          <cell r="C425">
            <v>0</v>
          </cell>
          <cell r="F425">
            <v>0</v>
          </cell>
        </row>
        <row r="426">
          <cell r="B426" t="str">
            <v>上述（一）和（二）小计</v>
          </cell>
          <cell r="C426">
            <v>0</v>
          </cell>
          <cell r="F426">
            <v>0</v>
          </cell>
        </row>
        <row r="427">
          <cell r="B427" t="str">
            <v>（三）所有者投入和减少资本</v>
          </cell>
          <cell r="C427">
            <v>0</v>
          </cell>
          <cell r="F427">
            <v>0</v>
          </cell>
        </row>
        <row r="428">
          <cell r="B428" t="str">
            <v>所有者投入资本</v>
          </cell>
          <cell r="C428">
            <v>0</v>
          </cell>
          <cell r="F428">
            <v>0</v>
          </cell>
        </row>
        <row r="429">
          <cell r="B429" t="str">
            <v>股份支付计入所有者权益的金额</v>
          </cell>
          <cell r="C429">
            <v>0</v>
          </cell>
          <cell r="F429">
            <v>0</v>
          </cell>
        </row>
        <row r="430">
          <cell r="B430" t="str">
            <v>其他</v>
          </cell>
          <cell r="C430">
            <v>0</v>
          </cell>
          <cell r="F430">
            <v>0</v>
          </cell>
        </row>
        <row r="431">
          <cell r="B431" t="str">
            <v>（四）利润分配</v>
          </cell>
          <cell r="C431">
            <v>0</v>
          </cell>
          <cell r="F431">
            <v>0</v>
          </cell>
        </row>
        <row r="432">
          <cell r="B432" t="str">
            <v xml:space="preserve">提取盈余公积 </v>
          </cell>
          <cell r="C432">
            <v>0</v>
          </cell>
          <cell r="F432">
            <v>0</v>
          </cell>
        </row>
        <row r="433">
          <cell r="B433" t="str">
            <v>提取一般风险准备</v>
          </cell>
          <cell r="C433">
            <v>0</v>
          </cell>
          <cell r="F433">
            <v>0</v>
          </cell>
        </row>
        <row r="434">
          <cell r="B434" t="str">
            <v>对所有者（或股东）的分配</v>
          </cell>
          <cell r="C434">
            <v>0</v>
          </cell>
          <cell r="F434">
            <v>0</v>
          </cell>
        </row>
        <row r="435">
          <cell r="B435" t="str">
            <v>其他</v>
          </cell>
          <cell r="C435">
            <v>0</v>
          </cell>
          <cell r="F435">
            <v>0</v>
          </cell>
        </row>
        <row r="436">
          <cell r="B436" t="str">
            <v>（五）所有者权益内部结转</v>
          </cell>
          <cell r="C436">
            <v>0</v>
          </cell>
          <cell r="F436">
            <v>0</v>
          </cell>
        </row>
        <row r="437">
          <cell r="B437" t="str">
            <v>资本公积转增资本</v>
          </cell>
          <cell r="C437">
            <v>0</v>
          </cell>
          <cell r="F437">
            <v>0</v>
          </cell>
        </row>
        <row r="438">
          <cell r="B438" t="str">
            <v>盈余公积转增资本</v>
          </cell>
          <cell r="C438">
            <v>0</v>
          </cell>
          <cell r="F438">
            <v>0</v>
          </cell>
        </row>
        <row r="439">
          <cell r="B439" t="str">
            <v>盈余公积弥补亏损</v>
          </cell>
          <cell r="C439">
            <v>0</v>
          </cell>
          <cell r="F439">
            <v>0</v>
          </cell>
        </row>
        <row r="440">
          <cell r="B440" t="str">
            <v>其他</v>
          </cell>
          <cell r="C440">
            <v>0</v>
          </cell>
          <cell r="F440">
            <v>0</v>
          </cell>
        </row>
        <row r="441">
          <cell r="B441" t="str">
            <v>四、本年年末余额</v>
          </cell>
          <cell r="C441">
            <v>0</v>
          </cell>
          <cell r="F441">
            <v>0</v>
          </cell>
        </row>
        <row r="442">
          <cell r="B442" t="str">
            <v>所有者权益变动表上年数</v>
          </cell>
        </row>
        <row r="443">
          <cell r="B443" t="str">
            <v>实收资本</v>
          </cell>
        </row>
        <row r="444">
          <cell r="B444" t="str">
            <v>一、上年年末余额</v>
          </cell>
          <cell r="C444">
            <v>75000000</v>
          </cell>
          <cell r="F444">
            <v>75000000</v>
          </cell>
        </row>
        <row r="445">
          <cell r="B445" t="str">
            <v>会计政策变更</v>
          </cell>
          <cell r="C445">
            <v>0</v>
          </cell>
          <cell r="F445">
            <v>0</v>
          </cell>
        </row>
        <row r="446">
          <cell r="B446" t="str">
            <v>前期差错更正</v>
          </cell>
          <cell r="C446">
            <v>0</v>
          </cell>
          <cell r="F446">
            <v>0</v>
          </cell>
        </row>
        <row r="447">
          <cell r="B447" t="str">
            <v>二、本年年初余额</v>
          </cell>
          <cell r="C447">
            <v>75000000</v>
          </cell>
          <cell r="F447">
            <v>75000000</v>
          </cell>
        </row>
        <row r="448">
          <cell r="B448" t="str">
            <v>三、本年增减变动金额（减少以“-”号填列）</v>
          </cell>
          <cell r="C448">
            <v>0</v>
          </cell>
          <cell r="F448">
            <v>0</v>
          </cell>
        </row>
        <row r="449">
          <cell r="B449" t="str">
            <v>（一）净利润</v>
          </cell>
          <cell r="C449">
            <v>0</v>
          </cell>
          <cell r="F449">
            <v>0</v>
          </cell>
        </row>
        <row r="450">
          <cell r="B450" t="str">
            <v>（二）直接计入所有者权益的利得和损失</v>
          </cell>
          <cell r="C450">
            <v>0</v>
          </cell>
          <cell r="F450">
            <v>0</v>
          </cell>
        </row>
        <row r="451">
          <cell r="B451" t="str">
            <v>可供出售金融资产公允价值变动净额</v>
          </cell>
          <cell r="C451">
            <v>0</v>
          </cell>
          <cell r="F451">
            <v>0</v>
          </cell>
        </row>
        <row r="452">
          <cell r="B452" t="str">
            <v>权益法下被投资单位其他所有者权益变动的影响</v>
          </cell>
          <cell r="C452">
            <v>0</v>
          </cell>
          <cell r="F452">
            <v>0</v>
          </cell>
        </row>
        <row r="453">
          <cell r="B453" t="str">
            <v>与计入所有者权益项目相关的所得税影响</v>
          </cell>
          <cell r="C453">
            <v>0</v>
          </cell>
          <cell r="F453">
            <v>0</v>
          </cell>
        </row>
        <row r="454">
          <cell r="B454" t="str">
            <v>其他</v>
          </cell>
          <cell r="C454">
            <v>0</v>
          </cell>
          <cell r="F454">
            <v>0</v>
          </cell>
        </row>
        <row r="455">
          <cell r="B455" t="str">
            <v>上述（一）和（二）小计</v>
          </cell>
          <cell r="C455">
            <v>0</v>
          </cell>
          <cell r="F455">
            <v>0</v>
          </cell>
        </row>
        <row r="456">
          <cell r="B456" t="str">
            <v>（三）所有者投入和减少资本</v>
          </cell>
          <cell r="C456">
            <v>0</v>
          </cell>
          <cell r="F456">
            <v>0</v>
          </cell>
        </row>
        <row r="457">
          <cell r="B457" t="str">
            <v>所有者投入资本</v>
          </cell>
          <cell r="C457">
            <v>0</v>
          </cell>
          <cell r="F457">
            <v>0</v>
          </cell>
        </row>
        <row r="458">
          <cell r="B458" t="str">
            <v>股份支付计入所有者权益的金额</v>
          </cell>
          <cell r="C458">
            <v>0</v>
          </cell>
          <cell r="F458">
            <v>0</v>
          </cell>
        </row>
        <row r="459">
          <cell r="B459" t="str">
            <v>其他</v>
          </cell>
          <cell r="C459">
            <v>0</v>
          </cell>
          <cell r="F459">
            <v>0</v>
          </cell>
        </row>
        <row r="460">
          <cell r="B460" t="str">
            <v>（四）利润分配</v>
          </cell>
          <cell r="C460">
            <v>0</v>
          </cell>
          <cell r="F460">
            <v>0</v>
          </cell>
        </row>
        <row r="461">
          <cell r="B461" t="str">
            <v xml:space="preserve">提取盈余公积 </v>
          </cell>
          <cell r="C461">
            <v>0</v>
          </cell>
          <cell r="F461">
            <v>0</v>
          </cell>
        </row>
        <row r="462">
          <cell r="B462" t="str">
            <v>提取一般风险准备</v>
          </cell>
          <cell r="C462">
            <v>0</v>
          </cell>
          <cell r="F462">
            <v>0</v>
          </cell>
        </row>
        <row r="463">
          <cell r="B463" t="str">
            <v>对所有者（或股东）的分配</v>
          </cell>
          <cell r="C463">
            <v>0</v>
          </cell>
          <cell r="F463">
            <v>0</v>
          </cell>
        </row>
        <row r="464">
          <cell r="B464" t="str">
            <v>其他</v>
          </cell>
          <cell r="C464">
            <v>0</v>
          </cell>
          <cell r="F464">
            <v>0</v>
          </cell>
        </row>
        <row r="465">
          <cell r="B465" t="str">
            <v>（五）所有者权益内部结转</v>
          </cell>
          <cell r="C465">
            <v>0</v>
          </cell>
          <cell r="F465">
            <v>0</v>
          </cell>
        </row>
        <row r="466">
          <cell r="B466" t="str">
            <v>资本公积转增资本</v>
          </cell>
          <cell r="C466">
            <v>0</v>
          </cell>
          <cell r="F466">
            <v>0</v>
          </cell>
        </row>
        <row r="467">
          <cell r="B467" t="str">
            <v>盈余公积转增资本</v>
          </cell>
          <cell r="C467">
            <v>0</v>
          </cell>
          <cell r="F467">
            <v>0</v>
          </cell>
        </row>
        <row r="468">
          <cell r="B468" t="str">
            <v>盈余公积弥补亏损</v>
          </cell>
          <cell r="C468">
            <v>0</v>
          </cell>
          <cell r="F468">
            <v>0</v>
          </cell>
        </row>
        <row r="469">
          <cell r="B469" t="str">
            <v>其他</v>
          </cell>
          <cell r="C469">
            <v>0</v>
          </cell>
          <cell r="F469">
            <v>0</v>
          </cell>
        </row>
        <row r="470">
          <cell r="B470" t="str">
            <v>四、本年年末余额</v>
          </cell>
          <cell r="C470">
            <v>75000000</v>
          </cell>
          <cell r="F470">
            <v>75000000</v>
          </cell>
        </row>
        <row r="471">
          <cell r="B471" t="str">
            <v>资本公积</v>
          </cell>
          <cell r="F471">
            <v>0</v>
          </cell>
        </row>
        <row r="472">
          <cell r="B472" t="str">
            <v>一、上年年末余额</v>
          </cell>
          <cell r="C472">
            <v>0</v>
          </cell>
          <cell r="F472">
            <v>0</v>
          </cell>
        </row>
        <row r="473">
          <cell r="B473" t="str">
            <v>会计政策变更</v>
          </cell>
          <cell r="C473">
            <v>0</v>
          </cell>
          <cell r="F473">
            <v>0</v>
          </cell>
        </row>
        <row r="474">
          <cell r="B474" t="str">
            <v>前期差错更正</v>
          </cell>
          <cell r="C474">
            <v>0</v>
          </cell>
          <cell r="F474">
            <v>0</v>
          </cell>
        </row>
        <row r="475">
          <cell r="B475" t="str">
            <v>二、本年年初余额</v>
          </cell>
          <cell r="C475">
            <v>0</v>
          </cell>
          <cell r="F475">
            <v>0</v>
          </cell>
        </row>
        <row r="476">
          <cell r="B476" t="str">
            <v>三、本年增减变动金额（减少以“-”号填列）</v>
          </cell>
          <cell r="C476">
            <v>0</v>
          </cell>
          <cell r="F476">
            <v>0</v>
          </cell>
        </row>
        <row r="477">
          <cell r="B477" t="str">
            <v>（一）净利润</v>
          </cell>
          <cell r="C477">
            <v>0</v>
          </cell>
          <cell r="F477">
            <v>0</v>
          </cell>
        </row>
        <row r="478">
          <cell r="B478" t="str">
            <v>（二）直接计入所有者权益的利得和损失</v>
          </cell>
          <cell r="C478">
            <v>0</v>
          </cell>
          <cell r="F478">
            <v>0</v>
          </cell>
        </row>
        <row r="479">
          <cell r="B479" t="str">
            <v>可供出售金融资产公允价值变动净额</v>
          </cell>
          <cell r="C479">
            <v>0</v>
          </cell>
          <cell r="F479">
            <v>0</v>
          </cell>
        </row>
        <row r="480">
          <cell r="B480" t="str">
            <v>权益法下被投资单位其他所有者权益变动的影响</v>
          </cell>
          <cell r="C480">
            <v>0</v>
          </cell>
          <cell r="F480">
            <v>0</v>
          </cell>
        </row>
        <row r="481">
          <cell r="B481" t="str">
            <v>与计入所有者权益项目相关的所得税影响</v>
          </cell>
          <cell r="C481">
            <v>0</v>
          </cell>
          <cell r="F481">
            <v>0</v>
          </cell>
        </row>
        <row r="482">
          <cell r="B482" t="str">
            <v>其他</v>
          </cell>
          <cell r="C482">
            <v>0</v>
          </cell>
          <cell r="F482">
            <v>0</v>
          </cell>
        </row>
        <row r="483">
          <cell r="B483" t="str">
            <v>上述（一）和（二）小计</v>
          </cell>
          <cell r="C483">
            <v>0</v>
          </cell>
          <cell r="F483">
            <v>0</v>
          </cell>
        </row>
        <row r="484">
          <cell r="B484" t="str">
            <v>（三）所有者投入和减少资本</v>
          </cell>
          <cell r="C484">
            <v>0</v>
          </cell>
          <cell r="F484">
            <v>0</v>
          </cell>
        </row>
        <row r="485">
          <cell r="B485" t="str">
            <v>所有者投入资本</v>
          </cell>
          <cell r="C485">
            <v>0</v>
          </cell>
          <cell r="F485">
            <v>0</v>
          </cell>
        </row>
        <row r="486">
          <cell r="B486" t="str">
            <v>股份支付计入所有者权益的金额</v>
          </cell>
          <cell r="C486">
            <v>0</v>
          </cell>
          <cell r="F486">
            <v>0</v>
          </cell>
        </row>
        <row r="487">
          <cell r="B487" t="str">
            <v>其他</v>
          </cell>
          <cell r="C487">
            <v>0</v>
          </cell>
          <cell r="F487">
            <v>0</v>
          </cell>
        </row>
        <row r="488">
          <cell r="B488" t="str">
            <v>（四）利润分配</v>
          </cell>
          <cell r="C488">
            <v>0</v>
          </cell>
          <cell r="F488">
            <v>0</v>
          </cell>
        </row>
        <row r="489">
          <cell r="B489" t="str">
            <v xml:space="preserve">提取盈余公积 </v>
          </cell>
          <cell r="C489">
            <v>0</v>
          </cell>
          <cell r="F489">
            <v>0</v>
          </cell>
        </row>
        <row r="490">
          <cell r="B490" t="str">
            <v>提取一般风险准备</v>
          </cell>
          <cell r="C490">
            <v>0</v>
          </cell>
          <cell r="F490">
            <v>0</v>
          </cell>
        </row>
        <row r="491">
          <cell r="B491" t="str">
            <v>对所有者（或股东）的分配</v>
          </cell>
          <cell r="C491">
            <v>0</v>
          </cell>
          <cell r="F491">
            <v>0</v>
          </cell>
        </row>
        <row r="492">
          <cell r="B492" t="str">
            <v>其他</v>
          </cell>
          <cell r="C492">
            <v>0</v>
          </cell>
          <cell r="F492">
            <v>0</v>
          </cell>
        </row>
        <row r="493">
          <cell r="B493" t="str">
            <v>（五）所有者权益内部结转</v>
          </cell>
          <cell r="C493">
            <v>0</v>
          </cell>
          <cell r="F493">
            <v>0</v>
          </cell>
        </row>
        <row r="494">
          <cell r="B494" t="str">
            <v>资本公积转增资本</v>
          </cell>
          <cell r="C494">
            <v>0</v>
          </cell>
          <cell r="F494">
            <v>0</v>
          </cell>
        </row>
        <row r="495">
          <cell r="B495" t="str">
            <v>盈余公积转增资本</v>
          </cell>
          <cell r="C495">
            <v>0</v>
          </cell>
          <cell r="F495">
            <v>0</v>
          </cell>
        </row>
        <row r="496">
          <cell r="B496" t="str">
            <v>盈余公积弥补亏损</v>
          </cell>
          <cell r="C496">
            <v>0</v>
          </cell>
          <cell r="F496">
            <v>0</v>
          </cell>
        </row>
        <row r="497">
          <cell r="B497" t="str">
            <v>其他</v>
          </cell>
          <cell r="C497">
            <v>0</v>
          </cell>
          <cell r="F497">
            <v>0</v>
          </cell>
        </row>
        <row r="498">
          <cell r="B498" t="str">
            <v>四、本年年末余额</v>
          </cell>
          <cell r="C498">
            <v>0</v>
          </cell>
          <cell r="F498">
            <v>0</v>
          </cell>
        </row>
        <row r="499">
          <cell r="B499" t="str">
            <v>减：库存股</v>
          </cell>
          <cell r="F499">
            <v>0</v>
          </cell>
        </row>
        <row r="500">
          <cell r="B500" t="str">
            <v>一、上年年末余额</v>
          </cell>
          <cell r="C500">
            <v>0</v>
          </cell>
          <cell r="F500">
            <v>0</v>
          </cell>
        </row>
        <row r="501">
          <cell r="B501" t="str">
            <v>会计政策变更</v>
          </cell>
          <cell r="C501">
            <v>0</v>
          </cell>
          <cell r="F501">
            <v>0</v>
          </cell>
        </row>
        <row r="502">
          <cell r="B502" t="str">
            <v>前期差错更正</v>
          </cell>
          <cell r="C502">
            <v>0</v>
          </cell>
          <cell r="F502">
            <v>0</v>
          </cell>
        </row>
        <row r="503">
          <cell r="B503" t="str">
            <v>二、本年年初余额</v>
          </cell>
          <cell r="C503">
            <v>0</v>
          </cell>
          <cell r="F503">
            <v>0</v>
          </cell>
        </row>
        <row r="504">
          <cell r="B504" t="str">
            <v>三、本年增减变动金额（减少以“-”号填列）</v>
          </cell>
          <cell r="C504">
            <v>0</v>
          </cell>
          <cell r="F504">
            <v>0</v>
          </cell>
        </row>
        <row r="505">
          <cell r="B505" t="str">
            <v>（一）净利润</v>
          </cell>
          <cell r="C505">
            <v>0</v>
          </cell>
          <cell r="F505">
            <v>0</v>
          </cell>
        </row>
        <row r="506">
          <cell r="B506" t="str">
            <v>（二）直接计入所有者权益的利得和损失</v>
          </cell>
          <cell r="C506">
            <v>0</v>
          </cell>
          <cell r="F506">
            <v>0</v>
          </cell>
        </row>
        <row r="507">
          <cell r="B507" t="str">
            <v>可供出售金融资产公允价值变动净额</v>
          </cell>
          <cell r="C507">
            <v>0</v>
          </cell>
          <cell r="F507">
            <v>0</v>
          </cell>
        </row>
        <row r="508">
          <cell r="B508" t="str">
            <v>权益法下被投资单位其他所有者权益变动的影响</v>
          </cell>
          <cell r="C508">
            <v>0</v>
          </cell>
          <cell r="F508">
            <v>0</v>
          </cell>
        </row>
        <row r="509">
          <cell r="B509" t="str">
            <v>与计入所有者权益项目相关的所得税影响</v>
          </cell>
          <cell r="C509">
            <v>0</v>
          </cell>
          <cell r="F509">
            <v>0</v>
          </cell>
        </row>
        <row r="510">
          <cell r="B510" t="str">
            <v>其他</v>
          </cell>
          <cell r="C510">
            <v>0</v>
          </cell>
          <cell r="F510">
            <v>0</v>
          </cell>
        </row>
        <row r="511">
          <cell r="B511" t="str">
            <v>上述（一）和（二）小计</v>
          </cell>
          <cell r="C511">
            <v>0</v>
          </cell>
          <cell r="F511">
            <v>0</v>
          </cell>
        </row>
        <row r="512">
          <cell r="B512" t="str">
            <v>（三）所有者投入和减少资本</v>
          </cell>
          <cell r="C512">
            <v>0</v>
          </cell>
          <cell r="F512">
            <v>0</v>
          </cell>
        </row>
        <row r="513">
          <cell r="B513" t="str">
            <v>所有者投入资本</v>
          </cell>
          <cell r="C513">
            <v>0</v>
          </cell>
          <cell r="F513">
            <v>0</v>
          </cell>
        </row>
        <row r="514">
          <cell r="B514" t="str">
            <v>股份支付计入所有者权益的金额</v>
          </cell>
          <cell r="C514">
            <v>0</v>
          </cell>
          <cell r="F514">
            <v>0</v>
          </cell>
        </row>
        <row r="515">
          <cell r="B515" t="str">
            <v>其他</v>
          </cell>
          <cell r="C515">
            <v>0</v>
          </cell>
          <cell r="F515">
            <v>0</v>
          </cell>
        </row>
        <row r="516">
          <cell r="B516" t="str">
            <v>（四）利润分配</v>
          </cell>
          <cell r="C516">
            <v>0</v>
          </cell>
          <cell r="F516">
            <v>0</v>
          </cell>
        </row>
        <row r="517">
          <cell r="B517" t="str">
            <v xml:space="preserve">提取盈余公积 </v>
          </cell>
          <cell r="C517">
            <v>0</v>
          </cell>
          <cell r="F517">
            <v>0</v>
          </cell>
        </row>
        <row r="518">
          <cell r="B518" t="str">
            <v>提取一般风险准备</v>
          </cell>
          <cell r="C518">
            <v>0</v>
          </cell>
          <cell r="F518">
            <v>0</v>
          </cell>
        </row>
        <row r="519">
          <cell r="B519" t="str">
            <v>对所有者（或股东）的分配</v>
          </cell>
          <cell r="C519">
            <v>0</v>
          </cell>
          <cell r="F519">
            <v>0</v>
          </cell>
        </row>
        <row r="520">
          <cell r="B520" t="str">
            <v>其他</v>
          </cell>
          <cell r="C520">
            <v>0</v>
          </cell>
          <cell r="F520">
            <v>0</v>
          </cell>
        </row>
        <row r="521">
          <cell r="B521" t="str">
            <v>（五）所有者权益内部结转</v>
          </cell>
          <cell r="C521">
            <v>0</v>
          </cell>
          <cell r="F521">
            <v>0</v>
          </cell>
        </row>
        <row r="522">
          <cell r="B522" t="str">
            <v>资本公积转增资本</v>
          </cell>
          <cell r="C522">
            <v>0</v>
          </cell>
          <cell r="F522">
            <v>0</v>
          </cell>
        </row>
        <row r="523">
          <cell r="B523" t="str">
            <v>盈余公积转增资本</v>
          </cell>
          <cell r="C523">
            <v>0</v>
          </cell>
          <cell r="F523">
            <v>0</v>
          </cell>
        </row>
        <row r="524">
          <cell r="B524" t="str">
            <v>盈余公积弥补亏损</v>
          </cell>
          <cell r="C524">
            <v>0</v>
          </cell>
          <cell r="F524">
            <v>0</v>
          </cell>
        </row>
        <row r="525">
          <cell r="B525" t="str">
            <v>其他</v>
          </cell>
          <cell r="C525">
            <v>0</v>
          </cell>
          <cell r="F525">
            <v>0</v>
          </cell>
        </row>
        <row r="526">
          <cell r="B526" t="str">
            <v>四、本年年末余额</v>
          </cell>
          <cell r="C526">
            <v>0</v>
          </cell>
          <cell r="F526">
            <v>0</v>
          </cell>
        </row>
        <row r="527">
          <cell r="B527" t="str">
            <v>盈余公积</v>
          </cell>
          <cell r="F527">
            <v>0</v>
          </cell>
        </row>
        <row r="528">
          <cell r="B528" t="str">
            <v>一、上年年末余额</v>
          </cell>
          <cell r="C528">
            <v>6532725.4500000002</v>
          </cell>
          <cell r="F528">
            <v>6532725.4500000002</v>
          </cell>
        </row>
        <row r="529">
          <cell r="B529" t="str">
            <v>会计政策变更</v>
          </cell>
          <cell r="C529">
            <v>0</v>
          </cell>
          <cell r="F529">
            <v>0</v>
          </cell>
        </row>
        <row r="530">
          <cell r="B530" t="str">
            <v>前期差错更正</v>
          </cell>
          <cell r="C530">
            <v>0</v>
          </cell>
          <cell r="F530">
            <v>0</v>
          </cell>
        </row>
        <row r="531">
          <cell r="B531" t="str">
            <v>二、本年年初余额</v>
          </cell>
          <cell r="C531">
            <v>6532725.4500000002</v>
          </cell>
          <cell r="F531">
            <v>6532725.4500000002</v>
          </cell>
        </row>
        <row r="532">
          <cell r="B532" t="str">
            <v>三、本年增减变动金额（减少以“-”号填列）</v>
          </cell>
          <cell r="C532">
            <v>0</v>
          </cell>
          <cell r="F532">
            <v>0</v>
          </cell>
        </row>
        <row r="533">
          <cell r="B533" t="str">
            <v>（一）净利润</v>
          </cell>
          <cell r="C533">
            <v>0</v>
          </cell>
          <cell r="F533">
            <v>0</v>
          </cell>
        </row>
        <row r="534">
          <cell r="B534" t="str">
            <v>（二）直接计入所有者权益的利得和损失</v>
          </cell>
          <cell r="C534">
            <v>0</v>
          </cell>
          <cell r="F534">
            <v>0</v>
          </cell>
        </row>
        <row r="535">
          <cell r="B535" t="str">
            <v>可供出售金融资产公允价值变动净额</v>
          </cell>
          <cell r="C535">
            <v>0</v>
          </cell>
          <cell r="F535">
            <v>0</v>
          </cell>
        </row>
        <row r="536">
          <cell r="B536" t="str">
            <v>权益法下被投资单位其他所有者权益变动的影响</v>
          </cell>
          <cell r="C536">
            <v>0</v>
          </cell>
          <cell r="F536">
            <v>0</v>
          </cell>
        </row>
        <row r="537">
          <cell r="B537" t="str">
            <v>与计入所有者权益项目相关的所得税影响</v>
          </cell>
          <cell r="C537">
            <v>0</v>
          </cell>
          <cell r="F537">
            <v>0</v>
          </cell>
        </row>
        <row r="538">
          <cell r="B538" t="str">
            <v>其他</v>
          </cell>
          <cell r="C538">
            <v>0</v>
          </cell>
          <cell r="F538">
            <v>0</v>
          </cell>
        </row>
        <row r="539">
          <cell r="B539" t="str">
            <v>上述（一）和（二）小计</v>
          </cell>
          <cell r="C539">
            <v>0</v>
          </cell>
          <cell r="F539">
            <v>0</v>
          </cell>
        </row>
        <row r="540">
          <cell r="B540" t="str">
            <v>（三）所有者投入和减少资本</v>
          </cell>
          <cell r="C540">
            <v>0</v>
          </cell>
          <cell r="F540">
            <v>0</v>
          </cell>
        </row>
        <row r="541">
          <cell r="B541" t="str">
            <v>所有者投入资本</v>
          </cell>
          <cell r="C541">
            <v>0</v>
          </cell>
          <cell r="F541">
            <v>0</v>
          </cell>
        </row>
        <row r="542">
          <cell r="B542" t="str">
            <v>股份支付计入所有者权益的金额</v>
          </cell>
          <cell r="C542">
            <v>0</v>
          </cell>
          <cell r="F542">
            <v>0</v>
          </cell>
        </row>
        <row r="543">
          <cell r="B543" t="str">
            <v>其他</v>
          </cell>
          <cell r="C543">
            <v>0</v>
          </cell>
          <cell r="F543">
            <v>0</v>
          </cell>
        </row>
        <row r="544">
          <cell r="B544" t="str">
            <v>（四）利润分配</v>
          </cell>
          <cell r="C544">
            <v>0</v>
          </cell>
          <cell r="F544">
            <v>0</v>
          </cell>
        </row>
        <row r="545">
          <cell r="B545" t="str">
            <v xml:space="preserve">提取盈余公积 </v>
          </cell>
          <cell r="C545">
            <v>0</v>
          </cell>
          <cell r="F545">
            <v>0</v>
          </cell>
        </row>
        <row r="546">
          <cell r="B546" t="str">
            <v>提取一般风险准备</v>
          </cell>
          <cell r="C546">
            <v>0</v>
          </cell>
          <cell r="F546">
            <v>0</v>
          </cell>
        </row>
        <row r="547">
          <cell r="B547" t="str">
            <v>对所有者（或股东）的分配</v>
          </cell>
          <cell r="C547">
            <v>0</v>
          </cell>
          <cell r="F547">
            <v>0</v>
          </cell>
        </row>
        <row r="548">
          <cell r="B548" t="str">
            <v>其他</v>
          </cell>
          <cell r="C548">
            <v>0</v>
          </cell>
          <cell r="F548">
            <v>0</v>
          </cell>
        </row>
        <row r="549">
          <cell r="B549" t="str">
            <v>（五）所有者权益内部结转</v>
          </cell>
          <cell r="C549">
            <v>0</v>
          </cell>
          <cell r="F549">
            <v>0</v>
          </cell>
        </row>
        <row r="550">
          <cell r="B550" t="str">
            <v>资本公积转增资本</v>
          </cell>
          <cell r="C550">
            <v>0</v>
          </cell>
          <cell r="F550">
            <v>0</v>
          </cell>
        </row>
        <row r="551">
          <cell r="B551" t="str">
            <v>盈余公积转增资本</v>
          </cell>
          <cell r="C551">
            <v>0</v>
          </cell>
          <cell r="F551">
            <v>0</v>
          </cell>
        </row>
        <row r="552">
          <cell r="B552" t="str">
            <v>盈余公积弥补亏损</v>
          </cell>
          <cell r="C552">
            <v>0</v>
          </cell>
          <cell r="F552">
            <v>0</v>
          </cell>
        </row>
        <row r="553">
          <cell r="B553" t="str">
            <v>其他</v>
          </cell>
          <cell r="C553">
            <v>0</v>
          </cell>
          <cell r="F553">
            <v>0</v>
          </cell>
        </row>
        <row r="554">
          <cell r="B554" t="str">
            <v>四、本年年末余额</v>
          </cell>
          <cell r="C554">
            <v>2798698.18</v>
          </cell>
          <cell r="F554">
            <v>2798698.18</v>
          </cell>
        </row>
        <row r="555">
          <cell r="B555" t="str">
            <v xml:space="preserve">一般风险准备 </v>
          </cell>
          <cell r="F555">
            <v>0</v>
          </cell>
        </row>
        <row r="556">
          <cell r="B556" t="str">
            <v>一、上年年末余额</v>
          </cell>
          <cell r="C556">
            <v>0</v>
          </cell>
          <cell r="F556">
            <v>0</v>
          </cell>
        </row>
        <row r="557">
          <cell r="B557" t="str">
            <v>会计政策变更</v>
          </cell>
          <cell r="C557">
            <v>0</v>
          </cell>
          <cell r="F557">
            <v>0</v>
          </cell>
        </row>
        <row r="558">
          <cell r="B558" t="str">
            <v>前期差错更正</v>
          </cell>
          <cell r="C558">
            <v>0</v>
          </cell>
          <cell r="F558">
            <v>0</v>
          </cell>
        </row>
        <row r="559">
          <cell r="B559" t="str">
            <v>二、本年年初余额</v>
          </cell>
          <cell r="C559">
            <v>0</v>
          </cell>
          <cell r="F559">
            <v>0</v>
          </cell>
        </row>
        <row r="560">
          <cell r="B560" t="str">
            <v>三、本年增减变动金额（减少以“-”号填列）</v>
          </cell>
          <cell r="C560">
            <v>0</v>
          </cell>
          <cell r="F560">
            <v>0</v>
          </cell>
        </row>
        <row r="561">
          <cell r="B561" t="str">
            <v>（一）净利润</v>
          </cell>
          <cell r="C561">
            <v>0</v>
          </cell>
          <cell r="F561">
            <v>0</v>
          </cell>
        </row>
        <row r="562">
          <cell r="B562" t="str">
            <v>（二）直接计入所有者权益的利得和损失</v>
          </cell>
          <cell r="C562">
            <v>0</v>
          </cell>
          <cell r="F562">
            <v>0</v>
          </cell>
        </row>
        <row r="563">
          <cell r="B563" t="str">
            <v>可供出售金融资产公允价值变动净额</v>
          </cell>
          <cell r="C563">
            <v>0</v>
          </cell>
          <cell r="F563">
            <v>0</v>
          </cell>
        </row>
        <row r="564">
          <cell r="B564" t="str">
            <v>权益法下被投资单位其他所有者权益变动的影响</v>
          </cell>
          <cell r="C564">
            <v>0</v>
          </cell>
          <cell r="F564">
            <v>0</v>
          </cell>
        </row>
        <row r="565">
          <cell r="B565" t="str">
            <v>与计入所有者权益项目相关的所得税影响</v>
          </cell>
          <cell r="C565">
            <v>0</v>
          </cell>
          <cell r="F565">
            <v>0</v>
          </cell>
        </row>
        <row r="566">
          <cell r="B566" t="str">
            <v>其他</v>
          </cell>
          <cell r="C566">
            <v>0</v>
          </cell>
          <cell r="F566">
            <v>0</v>
          </cell>
        </row>
        <row r="567">
          <cell r="B567" t="str">
            <v>上述（一）和（二）小计</v>
          </cell>
          <cell r="C567">
            <v>0</v>
          </cell>
          <cell r="F567">
            <v>0</v>
          </cell>
        </row>
        <row r="568">
          <cell r="B568" t="str">
            <v>（三）所有者投入和减少资本</v>
          </cell>
          <cell r="C568">
            <v>0</v>
          </cell>
          <cell r="F568">
            <v>0</v>
          </cell>
        </row>
        <row r="569">
          <cell r="B569" t="str">
            <v>所有者投入资本</v>
          </cell>
          <cell r="C569">
            <v>0</v>
          </cell>
          <cell r="F569">
            <v>0</v>
          </cell>
        </row>
        <row r="570">
          <cell r="B570" t="str">
            <v>股份支付计入所有者权益的金额</v>
          </cell>
          <cell r="C570">
            <v>0</v>
          </cell>
          <cell r="F570">
            <v>0</v>
          </cell>
        </row>
        <row r="571">
          <cell r="B571" t="str">
            <v>其他</v>
          </cell>
          <cell r="C571">
            <v>0</v>
          </cell>
          <cell r="F571">
            <v>0</v>
          </cell>
        </row>
        <row r="572">
          <cell r="B572" t="str">
            <v>（四）利润分配</v>
          </cell>
          <cell r="C572">
            <v>0</v>
          </cell>
          <cell r="F572">
            <v>0</v>
          </cell>
        </row>
        <row r="573">
          <cell r="B573" t="str">
            <v xml:space="preserve">提取盈余公积 </v>
          </cell>
          <cell r="C573">
            <v>0</v>
          </cell>
          <cell r="F573">
            <v>0</v>
          </cell>
        </row>
        <row r="574">
          <cell r="B574" t="str">
            <v>提取一般风险准备</v>
          </cell>
          <cell r="C574">
            <v>0</v>
          </cell>
          <cell r="F574">
            <v>0</v>
          </cell>
        </row>
        <row r="575">
          <cell r="B575" t="str">
            <v>对所有者（或股东）的分配</v>
          </cell>
          <cell r="C575">
            <v>0</v>
          </cell>
          <cell r="F575">
            <v>0</v>
          </cell>
        </row>
        <row r="576">
          <cell r="B576" t="str">
            <v>其他</v>
          </cell>
          <cell r="C576">
            <v>0</v>
          </cell>
          <cell r="F576">
            <v>0</v>
          </cell>
        </row>
        <row r="577">
          <cell r="B577" t="str">
            <v>（五）所有者权益内部结转</v>
          </cell>
          <cell r="C577">
            <v>0</v>
          </cell>
          <cell r="F577">
            <v>0</v>
          </cell>
        </row>
        <row r="578">
          <cell r="B578" t="str">
            <v>资本公积转增资本</v>
          </cell>
          <cell r="C578">
            <v>0</v>
          </cell>
          <cell r="F578">
            <v>0</v>
          </cell>
        </row>
        <row r="579">
          <cell r="B579" t="str">
            <v>盈余公积转增资本</v>
          </cell>
          <cell r="C579">
            <v>0</v>
          </cell>
          <cell r="F579">
            <v>0</v>
          </cell>
        </row>
        <row r="580">
          <cell r="B580" t="str">
            <v>盈余公积弥补亏损</v>
          </cell>
          <cell r="C580">
            <v>0</v>
          </cell>
          <cell r="F580">
            <v>0</v>
          </cell>
        </row>
        <row r="581">
          <cell r="B581" t="str">
            <v>其他</v>
          </cell>
          <cell r="C581">
            <v>0</v>
          </cell>
          <cell r="F581">
            <v>0</v>
          </cell>
        </row>
        <row r="582">
          <cell r="B582" t="str">
            <v>四、本年年末余额</v>
          </cell>
          <cell r="C582">
            <v>0</v>
          </cell>
          <cell r="F582">
            <v>0</v>
          </cell>
        </row>
        <row r="583">
          <cell r="B583" t="str">
            <v>未分配利润</v>
          </cell>
          <cell r="F583">
            <v>0</v>
          </cell>
        </row>
        <row r="584">
          <cell r="B584" t="str">
            <v>一、上年年末余额</v>
          </cell>
          <cell r="C584">
            <v>0</v>
          </cell>
          <cell r="F584">
            <v>0</v>
          </cell>
        </row>
        <row r="585">
          <cell r="B585" t="str">
            <v>会计政策变更</v>
          </cell>
          <cell r="C585">
            <v>0</v>
          </cell>
          <cell r="F585">
            <v>0</v>
          </cell>
        </row>
        <row r="586">
          <cell r="B586" t="str">
            <v>前期差错更正</v>
          </cell>
          <cell r="C586">
            <v>0</v>
          </cell>
          <cell r="F586">
            <v>0</v>
          </cell>
        </row>
        <row r="587">
          <cell r="B587" t="str">
            <v>二、本年年初余额</v>
          </cell>
          <cell r="C587">
            <v>0</v>
          </cell>
          <cell r="F587">
            <v>0</v>
          </cell>
        </row>
        <row r="588">
          <cell r="B588" t="str">
            <v>三、本年增减变动金额（减少以“-”号填列）</v>
          </cell>
          <cell r="C588">
            <v>19107126.48</v>
          </cell>
          <cell r="F588">
            <v>19107126.48</v>
          </cell>
        </row>
        <row r="589">
          <cell r="B589" t="str">
            <v>（一）净利润</v>
          </cell>
          <cell r="C589">
            <v>19107126.48</v>
          </cell>
          <cell r="F589">
            <v>19107126.48</v>
          </cell>
        </row>
        <row r="590">
          <cell r="B590" t="str">
            <v>（二）直接计入所有者权益的利得和损失</v>
          </cell>
          <cell r="C590">
            <v>0</v>
          </cell>
          <cell r="F590">
            <v>0</v>
          </cell>
        </row>
        <row r="591">
          <cell r="B591" t="str">
            <v>可供出售金融资产公允价值变动净额</v>
          </cell>
          <cell r="C591">
            <v>0</v>
          </cell>
          <cell r="F591">
            <v>0</v>
          </cell>
        </row>
        <row r="592">
          <cell r="B592" t="str">
            <v>权益法下被投资单位其他所有者权益变动的影响</v>
          </cell>
          <cell r="C592">
            <v>0</v>
          </cell>
          <cell r="F592">
            <v>0</v>
          </cell>
        </row>
        <row r="593">
          <cell r="B593" t="str">
            <v>与计入所有者权益项目相关的所得税影响</v>
          </cell>
          <cell r="C593">
            <v>0</v>
          </cell>
          <cell r="F593">
            <v>0</v>
          </cell>
        </row>
        <row r="594">
          <cell r="B594" t="str">
            <v>其他</v>
          </cell>
          <cell r="C594">
            <v>0</v>
          </cell>
          <cell r="F594">
            <v>0</v>
          </cell>
        </row>
        <row r="595">
          <cell r="B595" t="str">
            <v>上述（一）和（二）小计</v>
          </cell>
          <cell r="C595">
            <v>19107126.48</v>
          </cell>
          <cell r="F595">
            <v>19107126.48</v>
          </cell>
        </row>
        <row r="596">
          <cell r="B596" t="str">
            <v>（三）所有者投入和减少资本</v>
          </cell>
          <cell r="C596">
            <v>0</v>
          </cell>
          <cell r="F596">
            <v>0</v>
          </cell>
        </row>
        <row r="597">
          <cell r="B597" t="str">
            <v>所有者投入资本</v>
          </cell>
          <cell r="C597">
            <v>0</v>
          </cell>
          <cell r="F597">
            <v>0</v>
          </cell>
        </row>
        <row r="598">
          <cell r="B598" t="str">
            <v>股份支付计入所有者权益的金额</v>
          </cell>
          <cell r="C598">
            <v>0</v>
          </cell>
          <cell r="F598">
            <v>0</v>
          </cell>
        </row>
        <row r="599">
          <cell r="B599" t="str">
            <v>其他</v>
          </cell>
          <cell r="C599">
            <v>0</v>
          </cell>
          <cell r="F599">
            <v>0</v>
          </cell>
        </row>
        <row r="600">
          <cell r="B600" t="str">
            <v>（四）利润分配</v>
          </cell>
          <cell r="C600">
            <v>0</v>
          </cell>
          <cell r="F600">
            <v>0</v>
          </cell>
        </row>
        <row r="601">
          <cell r="B601" t="str">
            <v xml:space="preserve">提取盈余公积 </v>
          </cell>
          <cell r="C601">
            <v>0</v>
          </cell>
          <cell r="F601">
            <v>0</v>
          </cell>
        </row>
        <row r="602">
          <cell r="B602" t="str">
            <v>提取一般风险准备</v>
          </cell>
          <cell r="C602">
            <v>0</v>
          </cell>
          <cell r="F602">
            <v>0</v>
          </cell>
        </row>
        <row r="603">
          <cell r="B603" t="str">
            <v>对所有者（或股东）的分配</v>
          </cell>
          <cell r="C603">
            <v>0</v>
          </cell>
          <cell r="F603">
            <v>0</v>
          </cell>
        </row>
        <row r="604">
          <cell r="B604" t="str">
            <v>其他</v>
          </cell>
          <cell r="C604">
            <v>0</v>
          </cell>
          <cell r="F604">
            <v>0</v>
          </cell>
        </row>
        <row r="605">
          <cell r="B605" t="str">
            <v>（五）所有者权益内部结转</v>
          </cell>
          <cell r="C605">
            <v>0</v>
          </cell>
          <cell r="F605">
            <v>0</v>
          </cell>
        </row>
        <row r="606">
          <cell r="B606" t="str">
            <v>资本公积转增资本</v>
          </cell>
          <cell r="C606">
            <v>0</v>
          </cell>
          <cell r="F606">
            <v>0</v>
          </cell>
        </row>
        <row r="607">
          <cell r="B607" t="str">
            <v>盈余公积转增资本</v>
          </cell>
          <cell r="C607">
            <v>0</v>
          </cell>
          <cell r="F607">
            <v>0</v>
          </cell>
        </row>
        <row r="608">
          <cell r="B608" t="str">
            <v>盈余公积弥补亏损</v>
          </cell>
          <cell r="C608">
            <v>0</v>
          </cell>
          <cell r="F608">
            <v>0</v>
          </cell>
        </row>
        <row r="609">
          <cell r="B609" t="str">
            <v>其他</v>
          </cell>
          <cell r="C609">
            <v>0</v>
          </cell>
          <cell r="F609">
            <v>0</v>
          </cell>
        </row>
        <row r="610">
          <cell r="B610" t="str">
            <v>四、本年年末余额</v>
          </cell>
          <cell r="C610">
            <v>35804021.280000001</v>
          </cell>
          <cell r="F610">
            <v>35804021.280000001</v>
          </cell>
        </row>
        <row r="611">
          <cell r="B611" t="str">
            <v>其他</v>
          </cell>
          <cell r="F611">
            <v>0</v>
          </cell>
        </row>
        <row r="612">
          <cell r="B612" t="str">
            <v>一、上年年末余额</v>
          </cell>
          <cell r="C612">
            <v>0</v>
          </cell>
          <cell r="F612">
            <v>0</v>
          </cell>
        </row>
        <row r="613">
          <cell r="B613" t="str">
            <v>会计政策变更</v>
          </cell>
          <cell r="C613">
            <v>0</v>
          </cell>
          <cell r="F613">
            <v>0</v>
          </cell>
        </row>
        <row r="614">
          <cell r="B614" t="str">
            <v>前期差错更正</v>
          </cell>
          <cell r="C614">
            <v>0</v>
          </cell>
          <cell r="F614">
            <v>0</v>
          </cell>
        </row>
        <row r="615">
          <cell r="B615" t="str">
            <v>二、本年年初余额</v>
          </cell>
          <cell r="C615">
            <v>0</v>
          </cell>
          <cell r="F615">
            <v>0</v>
          </cell>
        </row>
        <row r="616">
          <cell r="B616" t="str">
            <v>三、本年增减变动金额（减少以“-”号填列）</v>
          </cell>
          <cell r="C616">
            <v>0</v>
          </cell>
          <cell r="F616">
            <v>0</v>
          </cell>
        </row>
        <row r="617">
          <cell r="B617" t="str">
            <v>（一）净利润</v>
          </cell>
          <cell r="C617">
            <v>0</v>
          </cell>
          <cell r="F617">
            <v>0</v>
          </cell>
        </row>
        <row r="618">
          <cell r="B618" t="str">
            <v>（二）直接计入所有者权益的利得和损失</v>
          </cell>
          <cell r="C618">
            <v>0</v>
          </cell>
          <cell r="F618">
            <v>0</v>
          </cell>
        </row>
        <row r="619">
          <cell r="B619" t="str">
            <v>可供出售金融资产公允价值变动净额</v>
          </cell>
          <cell r="C619">
            <v>0</v>
          </cell>
          <cell r="F619">
            <v>0</v>
          </cell>
        </row>
        <row r="620">
          <cell r="B620" t="str">
            <v>权益法下被投资单位其他所有者权益变动的影响</v>
          </cell>
          <cell r="C620">
            <v>0</v>
          </cell>
          <cell r="F620">
            <v>0</v>
          </cell>
        </row>
        <row r="621">
          <cell r="B621" t="str">
            <v>与计入所有者权益项目相关的所得税影响</v>
          </cell>
          <cell r="C621">
            <v>0</v>
          </cell>
          <cell r="F621">
            <v>0</v>
          </cell>
        </row>
        <row r="622">
          <cell r="B622" t="str">
            <v>其他</v>
          </cell>
          <cell r="C622">
            <v>0</v>
          </cell>
          <cell r="F622">
            <v>0</v>
          </cell>
        </row>
        <row r="623">
          <cell r="B623" t="str">
            <v>上述（一）和（二）小计</v>
          </cell>
          <cell r="C623">
            <v>0</v>
          </cell>
          <cell r="F623">
            <v>0</v>
          </cell>
        </row>
        <row r="624">
          <cell r="B624" t="str">
            <v>（三）所有者投入和减少资本</v>
          </cell>
          <cell r="C624">
            <v>0</v>
          </cell>
          <cell r="F624">
            <v>0</v>
          </cell>
        </row>
        <row r="625">
          <cell r="B625" t="str">
            <v>所有者投入资本</v>
          </cell>
          <cell r="C625">
            <v>0</v>
          </cell>
          <cell r="F625">
            <v>0</v>
          </cell>
        </row>
        <row r="626">
          <cell r="B626" t="str">
            <v>股份支付计入所有者权益的金额</v>
          </cell>
          <cell r="C626">
            <v>0</v>
          </cell>
          <cell r="F626">
            <v>0</v>
          </cell>
        </row>
        <row r="627">
          <cell r="B627" t="str">
            <v>其他</v>
          </cell>
          <cell r="C627">
            <v>0</v>
          </cell>
          <cell r="F627">
            <v>0</v>
          </cell>
        </row>
        <row r="628">
          <cell r="B628" t="str">
            <v>（四）利润分配</v>
          </cell>
          <cell r="C628">
            <v>0</v>
          </cell>
          <cell r="F628">
            <v>0</v>
          </cell>
        </row>
        <row r="629">
          <cell r="B629" t="str">
            <v xml:space="preserve">提取盈余公积 </v>
          </cell>
          <cell r="C629">
            <v>0</v>
          </cell>
          <cell r="F629">
            <v>0</v>
          </cell>
        </row>
        <row r="630">
          <cell r="B630" t="str">
            <v>提取一般风险准备</v>
          </cell>
          <cell r="C630">
            <v>0</v>
          </cell>
          <cell r="F630">
            <v>0</v>
          </cell>
        </row>
        <row r="631">
          <cell r="B631" t="str">
            <v>对所有者（或股东）的分配</v>
          </cell>
          <cell r="C631">
            <v>0</v>
          </cell>
          <cell r="F631">
            <v>0</v>
          </cell>
        </row>
        <row r="632">
          <cell r="B632" t="str">
            <v>其他</v>
          </cell>
          <cell r="C632">
            <v>0</v>
          </cell>
          <cell r="F632">
            <v>0</v>
          </cell>
        </row>
        <row r="633">
          <cell r="B633" t="str">
            <v>（五）所有者权益内部结转</v>
          </cell>
          <cell r="C633">
            <v>0</v>
          </cell>
          <cell r="F633">
            <v>0</v>
          </cell>
        </row>
        <row r="634">
          <cell r="B634" t="str">
            <v>资本公积转增资本</v>
          </cell>
          <cell r="C634">
            <v>0</v>
          </cell>
          <cell r="F634">
            <v>0</v>
          </cell>
        </row>
        <row r="635">
          <cell r="B635" t="str">
            <v>盈余公积转增资本</v>
          </cell>
          <cell r="C635">
            <v>0</v>
          </cell>
          <cell r="F635">
            <v>0</v>
          </cell>
        </row>
        <row r="636">
          <cell r="B636" t="str">
            <v>盈余公积弥补亏损</v>
          </cell>
          <cell r="C636">
            <v>0</v>
          </cell>
          <cell r="F636">
            <v>0</v>
          </cell>
        </row>
        <row r="637">
          <cell r="B637" t="str">
            <v>其他</v>
          </cell>
          <cell r="C637">
            <v>0</v>
          </cell>
          <cell r="F637">
            <v>0</v>
          </cell>
        </row>
        <row r="638">
          <cell r="B638" t="str">
            <v>四、本年年末余额</v>
          </cell>
          <cell r="C638">
            <v>0</v>
          </cell>
          <cell r="F638">
            <v>0</v>
          </cell>
        </row>
        <row r="639">
          <cell r="B639" t="str">
            <v>少数股东权益</v>
          </cell>
          <cell r="F639">
            <v>0</v>
          </cell>
        </row>
        <row r="640">
          <cell r="B640" t="str">
            <v>一、上年年末余额</v>
          </cell>
          <cell r="C640">
            <v>0</v>
          </cell>
          <cell r="F640">
            <v>0</v>
          </cell>
        </row>
        <row r="641">
          <cell r="B641" t="str">
            <v>会计政策变更</v>
          </cell>
          <cell r="C641">
            <v>0</v>
          </cell>
          <cell r="F641">
            <v>0</v>
          </cell>
        </row>
        <row r="642">
          <cell r="B642" t="str">
            <v>前期差错更正</v>
          </cell>
          <cell r="C642">
            <v>0</v>
          </cell>
          <cell r="F642">
            <v>0</v>
          </cell>
        </row>
        <row r="643">
          <cell r="B643" t="str">
            <v>二、本年年初余额</v>
          </cell>
          <cell r="C643">
            <v>0</v>
          </cell>
          <cell r="F643">
            <v>0</v>
          </cell>
        </row>
        <row r="644">
          <cell r="B644" t="str">
            <v>三、本年增减变动金额（减少以“-”号填列）</v>
          </cell>
          <cell r="C644">
            <v>0</v>
          </cell>
          <cell r="F644">
            <v>0</v>
          </cell>
        </row>
        <row r="645">
          <cell r="B645" t="str">
            <v>（一）净利润</v>
          </cell>
          <cell r="C645">
            <v>0</v>
          </cell>
          <cell r="F645">
            <v>0</v>
          </cell>
        </row>
        <row r="646">
          <cell r="B646" t="str">
            <v>（二）直接计入所有者权益的利得和损失</v>
          </cell>
          <cell r="C646">
            <v>0</v>
          </cell>
          <cell r="F646">
            <v>0</v>
          </cell>
        </row>
        <row r="647">
          <cell r="B647" t="str">
            <v>可供出售金融资产公允价值变动净额</v>
          </cell>
          <cell r="C647">
            <v>0</v>
          </cell>
          <cell r="F647">
            <v>0</v>
          </cell>
        </row>
        <row r="648">
          <cell r="B648" t="str">
            <v>权益法下被投资单位其他所有者权益变动的影响</v>
          </cell>
          <cell r="C648">
            <v>0</v>
          </cell>
          <cell r="F648">
            <v>0</v>
          </cell>
        </row>
        <row r="649">
          <cell r="B649" t="str">
            <v>与计入所有者权益项目相关的所得税影响</v>
          </cell>
          <cell r="C649">
            <v>0</v>
          </cell>
          <cell r="F649">
            <v>0</v>
          </cell>
        </row>
        <row r="650">
          <cell r="B650" t="str">
            <v>其他</v>
          </cell>
          <cell r="C650">
            <v>0</v>
          </cell>
          <cell r="F650">
            <v>0</v>
          </cell>
        </row>
        <row r="651">
          <cell r="B651" t="str">
            <v>上述（一）和（二）小计</v>
          </cell>
          <cell r="C651">
            <v>0</v>
          </cell>
          <cell r="F651">
            <v>0</v>
          </cell>
        </row>
        <row r="652">
          <cell r="B652" t="str">
            <v>（三）所有者投入和减少资本</v>
          </cell>
          <cell r="C652">
            <v>0</v>
          </cell>
          <cell r="F652">
            <v>0</v>
          </cell>
        </row>
        <row r="653">
          <cell r="B653" t="str">
            <v>所有者投入资本</v>
          </cell>
          <cell r="C653">
            <v>0</v>
          </cell>
          <cell r="F653">
            <v>0</v>
          </cell>
        </row>
        <row r="654">
          <cell r="B654" t="str">
            <v>股份支付计入所有者权益的金额</v>
          </cell>
          <cell r="C654">
            <v>0</v>
          </cell>
          <cell r="F654">
            <v>0</v>
          </cell>
        </row>
        <row r="655">
          <cell r="B655" t="str">
            <v>其他</v>
          </cell>
          <cell r="C655">
            <v>0</v>
          </cell>
          <cell r="F655">
            <v>0</v>
          </cell>
        </row>
        <row r="656">
          <cell r="B656" t="str">
            <v>（四）利润分配</v>
          </cell>
          <cell r="C656">
            <v>0</v>
          </cell>
          <cell r="F656">
            <v>0</v>
          </cell>
        </row>
        <row r="657">
          <cell r="B657" t="str">
            <v xml:space="preserve">提取盈余公积 </v>
          </cell>
          <cell r="C657">
            <v>0</v>
          </cell>
          <cell r="F657">
            <v>0</v>
          </cell>
        </row>
        <row r="658">
          <cell r="B658" t="str">
            <v>提取一般风险准备</v>
          </cell>
          <cell r="C658">
            <v>0</v>
          </cell>
          <cell r="F658">
            <v>0</v>
          </cell>
        </row>
        <row r="659">
          <cell r="B659" t="str">
            <v>对所有者（或股东）的分配</v>
          </cell>
          <cell r="C659">
            <v>0</v>
          </cell>
          <cell r="F659">
            <v>0</v>
          </cell>
        </row>
        <row r="660">
          <cell r="B660" t="str">
            <v>其他</v>
          </cell>
          <cell r="C660">
            <v>0</v>
          </cell>
          <cell r="F660">
            <v>0</v>
          </cell>
        </row>
        <row r="661">
          <cell r="B661" t="str">
            <v>（五）所有者权益内部结转</v>
          </cell>
          <cell r="C661">
            <v>0</v>
          </cell>
          <cell r="F661">
            <v>0</v>
          </cell>
        </row>
        <row r="662">
          <cell r="B662" t="str">
            <v>资本公积转增资本</v>
          </cell>
          <cell r="C662">
            <v>0</v>
          </cell>
          <cell r="F662">
            <v>0</v>
          </cell>
        </row>
        <row r="663">
          <cell r="B663" t="str">
            <v>盈余公积转增资本</v>
          </cell>
          <cell r="C663">
            <v>0</v>
          </cell>
          <cell r="F663">
            <v>0</v>
          </cell>
        </row>
        <row r="664">
          <cell r="B664" t="str">
            <v>盈余公积弥补亏损</v>
          </cell>
          <cell r="C664">
            <v>0</v>
          </cell>
          <cell r="F664">
            <v>0</v>
          </cell>
        </row>
        <row r="665">
          <cell r="B665" t="str">
            <v>其他</v>
          </cell>
          <cell r="C665">
            <v>0</v>
          </cell>
          <cell r="F665">
            <v>0</v>
          </cell>
        </row>
        <row r="666">
          <cell r="B666" t="str">
            <v>四、本年年末余额</v>
          </cell>
          <cell r="C666">
            <v>0</v>
          </cell>
          <cell r="F666">
            <v>0</v>
          </cell>
        </row>
        <row r="667">
          <cell r="B667" t="str">
            <v>2009年12月新增项目</v>
          </cell>
        </row>
        <row r="668">
          <cell r="A668" t="str">
            <v>F70</v>
          </cell>
          <cell r="B668" t="str">
            <v>专项储备</v>
          </cell>
          <cell r="C668">
            <v>0</v>
          </cell>
          <cell r="D668">
            <v>0</v>
          </cell>
          <cell r="E668">
            <v>0</v>
          </cell>
          <cell r="F668">
            <v>0</v>
          </cell>
        </row>
      </sheetData>
      <sheetData sheetId="11"/>
      <sheetData sheetId="12"/>
      <sheetData sheetId="13"/>
      <sheetData sheetId="14">
        <row r="68">
          <cell r="E68" t="str">
            <v>垃圾指标</v>
          </cell>
          <cell r="G68" t="str">
            <v>Z01</v>
          </cell>
        </row>
        <row r="69">
          <cell r="D69" t="str">
            <v>C01</v>
          </cell>
          <cell r="E69" t="str">
            <v xml:space="preserve">销售商品、提供劳务收到的现金 </v>
          </cell>
          <cell r="F69" t="str">
            <v>C01</v>
          </cell>
          <cell r="G69" t="str">
            <v>Z53</v>
          </cell>
          <cell r="L69" t="str">
            <v>现金</v>
          </cell>
          <cell r="M69" t="str">
            <v>Z0101</v>
          </cell>
        </row>
        <row r="70">
          <cell r="D70" t="str">
            <v>C02</v>
          </cell>
          <cell r="E70" t="str">
            <v xml:space="preserve">客户存款和同业存放款项净增加额 </v>
          </cell>
          <cell r="F70" t="str">
            <v>C02</v>
          </cell>
          <cell r="G70" t="str">
            <v>Z54</v>
          </cell>
          <cell r="L70" t="str">
            <v>银行存款</v>
          </cell>
          <cell r="M70" t="str">
            <v>Z0102</v>
          </cell>
        </row>
        <row r="71">
          <cell r="D71" t="str">
            <v>C03</v>
          </cell>
          <cell r="E71" t="str">
            <v xml:space="preserve">向中央银行借款净增加额 </v>
          </cell>
          <cell r="F71" t="str">
            <v>C03</v>
          </cell>
          <cell r="G71" t="str">
            <v>Z02</v>
          </cell>
          <cell r="L71" t="str">
            <v>其他货币资金</v>
          </cell>
          <cell r="M71" t="str">
            <v>Z0103</v>
          </cell>
        </row>
        <row r="72">
          <cell r="D72" t="str">
            <v>C04</v>
          </cell>
          <cell r="E72" t="str">
            <v xml:space="preserve">向其他金融机构拆入资金净增加额 </v>
          </cell>
          <cell r="F72" t="str">
            <v>C04</v>
          </cell>
          <cell r="G72" t="str">
            <v>Z03</v>
          </cell>
          <cell r="L72" t="str">
            <v>结算备付金</v>
          </cell>
          <cell r="M72" t="str">
            <v>Z5301</v>
          </cell>
        </row>
        <row r="73">
          <cell r="D73" t="str">
            <v>C05</v>
          </cell>
          <cell r="E73" t="str">
            <v xml:space="preserve">收到原保险合同保费取得的现金 </v>
          </cell>
          <cell r="F73" t="str">
            <v>C05</v>
          </cell>
          <cell r="G73" t="str">
            <v>Z04</v>
          </cell>
          <cell r="L73" t="str">
            <v>拆出资金</v>
          </cell>
          <cell r="M73" t="str">
            <v>Z5401</v>
          </cell>
        </row>
        <row r="74">
          <cell r="D74" t="str">
            <v>C06</v>
          </cell>
          <cell r="E74" t="str">
            <v xml:space="preserve">收到再保险业务现金净额 </v>
          </cell>
          <cell r="F74" t="str">
            <v>C06</v>
          </cell>
          <cell r="G74" t="str">
            <v>Z05</v>
          </cell>
          <cell r="L74" t="str">
            <v>交易性金融资产</v>
          </cell>
          <cell r="M74" t="str">
            <v>Z0201</v>
          </cell>
        </row>
        <row r="75">
          <cell r="D75" t="str">
            <v>C07</v>
          </cell>
          <cell r="E75" t="str">
            <v xml:space="preserve">保户储金及投资款净增加额 </v>
          </cell>
          <cell r="F75" t="str">
            <v>C07</v>
          </cell>
          <cell r="G75" t="str">
            <v>Z55</v>
          </cell>
          <cell r="L75" t="str">
            <v>应收票据</v>
          </cell>
          <cell r="M75" t="str">
            <v>Z0301</v>
          </cell>
        </row>
        <row r="76">
          <cell r="D76" t="str">
            <v>C08</v>
          </cell>
          <cell r="E76" t="str">
            <v xml:space="preserve">处置交易性金融资产净增加额 </v>
          </cell>
          <cell r="F76" t="str">
            <v>C08</v>
          </cell>
          <cell r="G76" t="str">
            <v>Z56</v>
          </cell>
          <cell r="L76" t="str">
            <v>应收账款</v>
          </cell>
          <cell r="M76" t="str">
            <v>Z0401</v>
          </cell>
        </row>
        <row r="77">
          <cell r="D77" t="str">
            <v>C09</v>
          </cell>
          <cell r="E77" t="str">
            <v xml:space="preserve">收取利息、手续费及佣金的现金 </v>
          </cell>
          <cell r="F77" t="str">
            <v>C09</v>
          </cell>
          <cell r="G77" t="str">
            <v>Z59</v>
          </cell>
          <cell r="L77" t="str">
            <v>坏账准备_应收账款</v>
          </cell>
          <cell r="M77" t="str">
            <v>Z0402</v>
          </cell>
        </row>
        <row r="78">
          <cell r="D78" t="str">
            <v>C10</v>
          </cell>
          <cell r="E78" t="str">
            <v xml:space="preserve">拆入资金净增加额 </v>
          </cell>
          <cell r="F78" t="str">
            <v>C10</v>
          </cell>
          <cell r="G78" t="str">
            <v>Z06</v>
          </cell>
          <cell r="L78" t="str">
            <v>预付款项</v>
          </cell>
          <cell r="M78" t="str">
            <v>Z0501</v>
          </cell>
        </row>
        <row r="79">
          <cell r="D79" t="str">
            <v>C11</v>
          </cell>
          <cell r="E79" t="str">
            <v xml:space="preserve">回购业务资金净增加额 </v>
          </cell>
          <cell r="F79" t="str">
            <v>C11</v>
          </cell>
          <cell r="G79" t="str">
            <v>Z07</v>
          </cell>
          <cell r="L79" t="str">
            <v>应收保费</v>
          </cell>
          <cell r="M79" t="str">
            <v>Z5501</v>
          </cell>
        </row>
        <row r="80">
          <cell r="D80" t="str">
            <v>C12</v>
          </cell>
          <cell r="E80" t="str">
            <v xml:space="preserve">收到的税费返还 </v>
          </cell>
          <cell r="F80" t="str">
            <v>C12</v>
          </cell>
          <cell r="G80" t="str">
            <v>Z08</v>
          </cell>
          <cell r="L80" t="str">
            <v>应收分保账款</v>
          </cell>
          <cell r="M80" t="str">
            <v>Z5601</v>
          </cell>
        </row>
        <row r="81">
          <cell r="D81" t="str">
            <v>C13</v>
          </cell>
          <cell r="E81" t="str">
            <v xml:space="preserve">收到其他与经营活动有关的现金 </v>
          </cell>
          <cell r="F81" t="str">
            <v>C13</v>
          </cell>
          <cell r="G81" t="str">
            <v>Z57</v>
          </cell>
          <cell r="L81" t="str">
            <v>应收分保合同准备金</v>
          </cell>
          <cell r="M81" t="str">
            <v>Z5901</v>
          </cell>
        </row>
        <row r="82">
          <cell r="D82" t="str">
            <v>C14</v>
          </cell>
          <cell r="E82" t="str">
            <v xml:space="preserve">购买商品、接受劳务支付的现金 </v>
          </cell>
          <cell r="F82" t="str">
            <v>C14</v>
          </cell>
          <cell r="G82" t="str">
            <v>Z09</v>
          </cell>
          <cell r="L82" t="str">
            <v>应收利息</v>
          </cell>
          <cell r="M82" t="str">
            <v>Z0601</v>
          </cell>
        </row>
        <row r="83">
          <cell r="D83" t="str">
            <v>C15</v>
          </cell>
          <cell r="E83" t="str">
            <v xml:space="preserve">客户贷款及垫款净增加额 </v>
          </cell>
          <cell r="F83" t="str">
            <v>C15</v>
          </cell>
          <cell r="G83" t="str">
            <v>Z10</v>
          </cell>
          <cell r="L83" t="str">
            <v>应收股利</v>
          </cell>
          <cell r="M83" t="str">
            <v>Z0701</v>
          </cell>
        </row>
        <row r="84">
          <cell r="D84" t="str">
            <v>C16</v>
          </cell>
          <cell r="E84" t="str">
            <v xml:space="preserve">存放中央银行和同业款项净增加额 </v>
          </cell>
          <cell r="F84" t="str">
            <v>C16</v>
          </cell>
          <cell r="G84" t="str">
            <v>Z11</v>
          </cell>
          <cell r="L84" t="str">
            <v>其他应收款</v>
          </cell>
          <cell r="M84" t="str">
            <v>Z0801</v>
          </cell>
        </row>
        <row r="85">
          <cell r="D85" t="str">
            <v>C17</v>
          </cell>
          <cell r="E85" t="str">
            <v xml:space="preserve">支付原保险合同赔付款项的现金 </v>
          </cell>
          <cell r="F85" t="str">
            <v>C17</v>
          </cell>
          <cell r="G85" t="str">
            <v>Z58</v>
          </cell>
          <cell r="L85" t="str">
            <v>坏账准备_其他应收款</v>
          </cell>
          <cell r="M85" t="str">
            <v>Z0802</v>
          </cell>
        </row>
        <row r="86">
          <cell r="D86" t="str">
            <v>C18</v>
          </cell>
          <cell r="E86" t="str">
            <v xml:space="preserve">支付利息、手续费及佣金的现金 </v>
          </cell>
          <cell r="F86" t="str">
            <v>C18</v>
          </cell>
          <cell r="G86" t="str">
            <v>Z12</v>
          </cell>
          <cell r="L86" t="str">
            <v xml:space="preserve">买入返售金融资产 </v>
          </cell>
          <cell r="M86" t="str">
            <v>Z5701</v>
          </cell>
        </row>
        <row r="87">
          <cell r="D87" t="str">
            <v>C19</v>
          </cell>
          <cell r="E87" t="str">
            <v xml:space="preserve">支付保单红利的现金 </v>
          </cell>
          <cell r="F87" t="str">
            <v>C19</v>
          </cell>
          <cell r="G87" t="str">
            <v>Z13</v>
          </cell>
          <cell r="L87" t="str">
            <v>存货</v>
          </cell>
          <cell r="M87" t="str">
            <v>Z0901</v>
          </cell>
        </row>
        <row r="88">
          <cell r="D88" t="str">
            <v>C20</v>
          </cell>
          <cell r="E88" t="str">
            <v xml:space="preserve">支付给职工以及为职工支付的现金 </v>
          </cell>
          <cell r="F88" t="str">
            <v>C20</v>
          </cell>
          <cell r="G88" t="str">
            <v>Z14</v>
          </cell>
          <cell r="L88" t="str">
            <v>存货跌价准备</v>
          </cell>
          <cell r="M88" t="str">
            <v>Z0902</v>
          </cell>
        </row>
        <row r="89">
          <cell r="D89" t="str">
            <v>C21</v>
          </cell>
          <cell r="E89" t="str">
            <v xml:space="preserve">支付的各项税费 </v>
          </cell>
          <cell r="F89" t="str">
            <v>C21</v>
          </cell>
          <cell r="G89" t="str">
            <v>Z15</v>
          </cell>
          <cell r="L89" t="str">
            <v>一年内到期的非流动资产</v>
          </cell>
          <cell r="M89" t="str">
            <v>Z1001</v>
          </cell>
        </row>
        <row r="90">
          <cell r="D90" t="str">
            <v>C22</v>
          </cell>
          <cell r="E90" t="str">
            <v xml:space="preserve">支付其他与经营活动有关的现金 </v>
          </cell>
          <cell r="F90" t="str">
            <v>C22</v>
          </cell>
          <cell r="G90" t="str">
            <v>Z16</v>
          </cell>
          <cell r="L90" t="str">
            <v>其他流动资产</v>
          </cell>
          <cell r="M90" t="str">
            <v>Z1101</v>
          </cell>
        </row>
        <row r="91">
          <cell r="D91" t="str">
            <v>C23</v>
          </cell>
          <cell r="E91" t="str">
            <v xml:space="preserve">收回投资收到的现金 </v>
          </cell>
          <cell r="F91" t="str">
            <v>C23</v>
          </cell>
          <cell r="G91" t="str">
            <v>Z17</v>
          </cell>
          <cell r="L91" t="str">
            <v>发放贷款及垫款</v>
          </cell>
          <cell r="M91" t="str">
            <v>Z5801</v>
          </cell>
        </row>
        <row r="92">
          <cell r="D92" t="str">
            <v>C24</v>
          </cell>
          <cell r="E92" t="str">
            <v xml:space="preserve">取得投资收益收到的现金 </v>
          </cell>
          <cell r="F92" t="str">
            <v>C24</v>
          </cell>
          <cell r="G92" t="str">
            <v>Z18</v>
          </cell>
          <cell r="L92" t="str">
            <v>可供出售金融资产</v>
          </cell>
          <cell r="M92" t="str">
            <v>Z1201</v>
          </cell>
        </row>
        <row r="93">
          <cell r="D93" t="str">
            <v>C25</v>
          </cell>
          <cell r="E93" t="str">
            <v xml:space="preserve">处置固定资产、无形资产和其他长期资产收回的现金净额 </v>
          </cell>
          <cell r="F93" t="str">
            <v>C25</v>
          </cell>
          <cell r="G93" t="str">
            <v>Z19</v>
          </cell>
          <cell r="L93" t="str">
            <v>持有至到期投资</v>
          </cell>
          <cell r="M93" t="str">
            <v>Z1301</v>
          </cell>
        </row>
        <row r="94">
          <cell r="D94" t="str">
            <v>C26</v>
          </cell>
          <cell r="E94" t="str">
            <v xml:space="preserve">处置子公司及其他营业单位收到的现金净额 </v>
          </cell>
          <cell r="F94" t="str">
            <v>C26</v>
          </cell>
          <cell r="G94" t="str">
            <v>Z20</v>
          </cell>
          <cell r="L94" t="str">
            <v>长期应收款</v>
          </cell>
          <cell r="M94" t="str">
            <v>Z1401</v>
          </cell>
        </row>
        <row r="95">
          <cell r="D95" t="str">
            <v>C27</v>
          </cell>
          <cell r="E95" t="str">
            <v xml:space="preserve">收到其他与投资活动有关的现金 </v>
          </cell>
          <cell r="F95" t="str">
            <v>C27</v>
          </cell>
          <cell r="G95" t="str">
            <v>Z21</v>
          </cell>
          <cell r="L95" t="str">
            <v>坏账准备_长期应收款</v>
          </cell>
          <cell r="M95" t="str">
            <v>Z1402</v>
          </cell>
        </row>
        <row r="96">
          <cell r="D96" t="str">
            <v>C28</v>
          </cell>
          <cell r="E96" t="str">
            <v xml:space="preserve">购建固定资产、无形资产和其他长期资产支付的现金 </v>
          </cell>
          <cell r="F96" t="str">
            <v>C28</v>
          </cell>
          <cell r="G96" t="str">
            <v>Z22</v>
          </cell>
          <cell r="L96" t="str">
            <v>长期股权投资</v>
          </cell>
          <cell r="M96" t="str">
            <v>Z1501</v>
          </cell>
        </row>
        <row r="97">
          <cell r="D97" t="str">
            <v>C29</v>
          </cell>
          <cell r="E97" t="str">
            <v xml:space="preserve">投资支付的现金 </v>
          </cell>
          <cell r="F97" t="str">
            <v>C29</v>
          </cell>
          <cell r="G97" t="str">
            <v>Z23</v>
          </cell>
          <cell r="L97" t="str">
            <v>长期股权投资减值准备</v>
          </cell>
          <cell r="M97" t="str">
            <v>Z1502</v>
          </cell>
        </row>
        <row r="98">
          <cell r="D98" t="str">
            <v>C30</v>
          </cell>
          <cell r="E98" t="str">
            <v xml:space="preserve">质押贷款净增加额 </v>
          </cell>
          <cell r="F98" t="str">
            <v>C30</v>
          </cell>
          <cell r="G98" t="str">
            <v>Z24</v>
          </cell>
          <cell r="L98" t="str">
            <v>投资性房地产</v>
          </cell>
          <cell r="M98" t="str">
            <v>Z1601</v>
          </cell>
        </row>
        <row r="99">
          <cell r="D99" t="str">
            <v>C31</v>
          </cell>
          <cell r="E99" t="str">
            <v xml:space="preserve">取得子公司及其他营业单位支付的现金净额 </v>
          </cell>
          <cell r="F99" t="str">
            <v>C31</v>
          </cell>
          <cell r="G99" t="str">
            <v>Z25</v>
          </cell>
          <cell r="L99" t="str">
            <v>固定资产</v>
          </cell>
          <cell r="M99" t="str">
            <v>Z1701</v>
          </cell>
        </row>
        <row r="100">
          <cell r="D100" t="str">
            <v>C32</v>
          </cell>
          <cell r="E100" t="str">
            <v xml:space="preserve">支付其他与投资活动有关的现金 </v>
          </cell>
          <cell r="F100" t="str">
            <v>C32</v>
          </cell>
          <cell r="G100" t="str">
            <v>Z26</v>
          </cell>
          <cell r="L100" t="str">
            <v>累计折旧</v>
          </cell>
          <cell r="M100" t="str">
            <v>Z1702</v>
          </cell>
        </row>
        <row r="101">
          <cell r="D101" t="str">
            <v>C33</v>
          </cell>
          <cell r="E101" t="str">
            <v xml:space="preserve">吸收投资收到的现金 </v>
          </cell>
          <cell r="F101" t="str">
            <v>C33</v>
          </cell>
          <cell r="G101" t="str">
            <v>Z27</v>
          </cell>
          <cell r="L101" t="str">
            <v>固定资产减值准备</v>
          </cell>
          <cell r="M101" t="str">
            <v>Z1703</v>
          </cell>
        </row>
        <row r="102">
          <cell r="D102" t="str">
            <v>C34</v>
          </cell>
          <cell r="E102" t="str">
            <v xml:space="preserve">其中：子公司吸收少数股东投资收到的现金 </v>
          </cell>
          <cell r="F102" t="str">
            <v>C34</v>
          </cell>
          <cell r="G102" t="str">
            <v>Z28</v>
          </cell>
          <cell r="L102" t="str">
            <v>在建工程</v>
          </cell>
          <cell r="M102" t="str">
            <v>Z1801</v>
          </cell>
        </row>
        <row r="103">
          <cell r="D103" t="str">
            <v>C35</v>
          </cell>
          <cell r="E103" t="str">
            <v xml:space="preserve">取得借款收到的现金 </v>
          </cell>
          <cell r="F103" t="str">
            <v>C35</v>
          </cell>
          <cell r="G103" t="str">
            <v>F01</v>
          </cell>
          <cell r="L103" t="str">
            <v>在建工程减值准备</v>
          </cell>
          <cell r="M103" t="str">
            <v>Z1802</v>
          </cell>
        </row>
        <row r="104">
          <cell r="D104" t="str">
            <v>C36</v>
          </cell>
          <cell r="E104" t="str">
            <v xml:space="preserve">发行债券收到的现金 </v>
          </cell>
          <cell r="F104" t="str">
            <v>C36</v>
          </cell>
          <cell r="G104" t="str">
            <v>F53</v>
          </cell>
          <cell r="L104" t="str">
            <v>工程物资</v>
          </cell>
          <cell r="M104" t="str">
            <v>Z1901</v>
          </cell>
        </row>
        <row r="105">
          <cell r="D105" t="str">
            <v>C37</v>
          </cell>
          <cell r="E105" t="str">
            <v xml:space="preserve">收到其他与筹资活动有关的现金 </v>
          </cell>
          <cell r="F105" t="str">
            <v>C37</v>
          </cell>
          <cell r="G105" t="str">
            <v>F54</v>
          </cell>
          <cell r="L105" t="str">
            <v>固定资产清理</v>
          </cell>
          <cell r="M105" t="str">
            <v>Z2001</v>
          </cell>
        </row>
        <row r="106">
          <cell r="D106" t="str">
            <v>C38</v>
          </cell>
          <cell r="E106" t="str">
            <v xml:space="preserve">筹资活动现金流入小计 </v>
          </cell>
          <cell r="F106" t="str">
            <v>C38</v>
          </cell>
          <cell r="G106" t="str">
            <v>F55</v>
          </cell>
          <cell r="L106" t="str">
            <v>生产性生物资产</v>
          </cell>
          <cell r="M106" t="str">
            <v>Z2101</v>
          </cell>
        </row>
        <row r="107">
          <cell r="D107" t="str">
            <v>C39</v>
          </cell>
          <cell r="E107" t="str">
            <v xml:space="preserve">偿还债务支付的现金 </v>
          </cell>
          <cell r="F107" t="str">
            <v>C39</v>
          </cell>
          <cell r="G107" t="str">
            <v>F02</v>
          </cell>
          <cell r="L107" t="str">
            <v>生产性生物资产累计折旧</v>
          </cell>
          <cell r="M107" t="str">
            <v>Z2102</v>
          </cell>
        </row>
        <row r="108">
          <cell r="D108" t="str">
            <v>C40</v>
          </cell>
          <cell r="E108" t="str">
            <v xml:space="preserve">分配股利、利润或偿付利息支付的现金 </v>
          </cell>
          <cell r="F108" t="str">
            <v>C40</v>
          </cell>
          <cell r="G108" t="str">
            <v>F03</v>
          </cell>
          <cell r="L108" t="str">
            <v>油气资产</v>
          </cell>
          <cell r="M108" t="str">
            <v>Z2201</v>
          </cell>
        </row>
        <row r="109">
          <cell r="D109" t="str">
            <v>C41</v>
          </cell>
          <cell r="E109" t="str">
            <v xml:space="preserve">其中：子公司支付给少数股东的股利、利润 </v>
          </cell>
          <cell r="F109" t="str">
            <v>C41</v>
          </cell>
          <cell r="G109" t="str">
            <v>F04</v>
          </cell>
          <cell r="L109" t="str">
            <v>累计折耗</v>
          </cell>
          <cell r="M109" t="str">
            <v>Z2202</v>
          </cell>
        </row>
        <row r="110">
          <cell r="D110" t="str">
            <v>C42</v>
          </cell>
          <cell r="E110" t="str">
            <v xml:space="preserve">支付其他与筹资活动有关的现金 </v>
          </cell>
          <cell r="F110" t="str">
            <v>C42</v>
          </cell>
          <cell r="G110" t="str">
            <v>F05</v>
          </cell>
          <cell r="L110" t="str">
            <v>无形资产</v>
          </cell>
          <cell r="M110" t="str">
            <v>Z2301</v>
          </cell>
        </row>
        <row r="111">
          <cell r="D111" t="str">
            <v>C43</v>
          </cell>
          <cell r="E111" t="str">
            <v xml:space="preserve">筹资活动现金流出小计 </v>
          </cell>
          <cell r="F111" t="str">
            <v>C43</v>
          </cell>
          <cell r="G111" t="str">
            <v>F56</v>
          </cell>
          <cell r="L111" t="str">
            <v>累计摊销</v>
          </cell>
          <cell r="M111" t="str">
            <v>Z2302</v>
          </cell>
        </row>
        <row r="112">
          <cell r="D112" t="str">
            <v>C44</v>
          </cell>
          <cell r="E112" t="str">
            <v xml:space="preserve">筹资活动产生的现金流量净额 </v>
          </cell>
          <cell r="F112" t="str">
            <v>C44</v>
          </cell>
          <cell r="G112" t="str">
            <v>F57</v>
          </cell>
          <cell r="L112" t="str">
            <v>无形资产减值准备</v>
          </cell>
          <cell r="M112" t="str">
            <v>Z2303</v>
          </cell>
        </row>
        <row r="113">
          <cell r="D113" t="str">
            <v>C45</v>
          </cell>
          <cell r="E113" t="str">
            <v>汇率变动对现金及现金等价物的影响</v>
          </cell>
          <cell r="F113" t="str">
            <v>C45</v>
          </cell>
          <cell r="G113" t="str">
            <v>F06</v>
          </cell>
          <cell r="L113" t="str">
            <v>开发支出</v>
          </cell>
          <cell r="M113" t="str">
            <v>Z2401</v>
          </cell>
        </row>
        <row r="114">
          <cell r="D114" t="str">
            <v>C46</v>
          </cell>
          <cell r="E114" t="str">
            <v xml:space="preserve">加：期初现金及现金等价物余额 </v>
          </cell>
          <cell r="F114" t="str">
            <v>C46</v>
          </cell>
          <cell r="G114" t="str">
            <v>F07</v>
          </cell>
          <cell r="L114" t="str">
            <v>商誉</v>
          </cell>
          <cell r="M114" t="str">
            <v>Z2501</v>
          </cell>
        </row>
        <row r="115">
          <cell r="D115" t="str">
            <v>C47</v>
          </cell>
          <cell r="E115" t="str">
            <v>六、期末现金及现金等价物余额</v>
          </cell>
          <cell r="F115" t="str">
            <v>C47</v>
          </cell>
          <cell r="G115" t="str">
            <v>F08</v>
          </cell>
          <cell r="L115" t="str">
            <v>长期待摊费用</v>
          </cell>
          <cell r="M115" t="str">
            <v>Z2601</v>
          </cell>
        </row>
        <row r="116">
          <cell r="D116" t="str">
            <v>C48</v>
          </cell>
          <cell r="E116" t="str">
            <v xml:space="preserve">净利润 </v>
          </cell>
          <cell r="F116" t="str">
            <v>C48</v>
          </cell>
          <cell r="G116" t="str">
            <v>F09</v>
          </cell>
          <cell r="L116" t="str">
            <v>递延所得税资产</v>
          </cell>
          <cell r="M116" t="str">
            <v>Z2701</v>
          </cell>
        </row>
        <row r="117">
          <cell r="D117" t="str">
            <v>C49</v>
          </cell>
          <cell r="E117" t="str">
            <v xml:space="preserve">资产减值准备 </v>
          </cell>
          <cell r="F117" t="str">
            <v>C49</v>
          </cell>
          <cell r="G117" t="str">
            <v>F10</v>
          </cell>
          <cell r="L117" t="str">
            <v>其他非流动资产</v>
          </cell>
          <cell r="M117" t="str">
            <v>Z2801</v>
          </cell>
        </row>
        <row r="118">
          <cell r="D118" t="str">
            <v>C50</v>
          </cell>
          <cell r="E118" t="str">
            <v xml:space="preserve">固定资产折旧、油气资产折耗、生产性生物资产折旧 </v>
          </cell>
          <cell r="F118" t="str">
            <v>C50</v>
          </cell>
          <cell r="G118" t="str">
            <v>F58</v>
          </cell>
          <cell r="L118" t="str">
            <v>短期借款</v>
          </cell>
          <cell r="M118" t="str">
            <v>F0101</v>
          </cell>
        </row>
        <row r="119">
          <cell r="D119" t="str">
            <v>C51</v>
          </cell>
          <cell r="E119" t="str">
            <v xml:space="preserve">无形资产摊销 </v>
          </cell>
          <cell r="F119" t="str">
            <v>C51</v>
          </cell>
          <cell r="G119" t="str">
            <v>F59</v>
          </cell>
          <cell r="L119" t="str">
            <v>向中央银行借款</v>
          </cell>
          <cell r="M119" t="str">
            <v>F5301</v>
          </cell>
        </row>
        <row r="120">
          <cell r="D120" t="str">
            <v>C52</v>
          </cell>
          <cell r="E120" t="str">
            <v xml:space="preserve">长期待摊费用摊销 </v>
          </cell>
          <cell r="F120" t="str">
            <v>C52</v>
          </cell>
          <cell r="G120" t="str">
            <v>F60</v>
          </cell>
          <cell r="L120" t="str">
            <v>吸收存款及同业存放</v>
          </cell>
          <cell r="M120" t="str">
            <v>F5401</v>
          </cell>
        </row>
        <row r="121">
          <cell r="D121" t="str">
            <v>C53</v>
          </cell>
          <cell r="E121" t="str">
            <v xml:space="preserve">处置固定资产、无形资产和其他长期资产的损失（收益以“－”号填列） </v>
          </cell>
          <cell r="F121" t="str">
            <v>C53</v>
          </cell>
          <cell r="G121" t="str">
            <v>F61</v>
          </cell>
          <cell r="L121" t="str">
            <v>拆入资金</v>
          </cell>
          <cell r="M121" t="str">
            <v>F5501</v>
          </cell>
        </row>
        <row r="122">
          <cell r="D122" t="str">
            <v>C54</v>
          </cell>
          <cell r="E122" t="str">
            <v xml:space="preserve">固定资产报废损失（收益以“－”号填﻿列） </v>
          </cell>
          <cell r="F122" t="str">
            <v>C54</v>
          </cell>
          <cell r="G122" t="str">
            <v>F11</v>
          </cell>
          <cell r="L122" t="str">
            <v>交易性金融负债</v>
          </cell>
          <cell r="M122" t="str">
            <v>F0201</v>
          </cell>
        </row>
        <row r="123">
          <cell r="D123" t="str">
            <v>C55</v>
          </cell>
          <cell r="E123" t="str">
            <v xml:space="preserve">公允价值变动损失（收益以“－”号填列） </v>
          </cell>
          <cell r="F123" t="str">
            <v>C55</v>
          </cell>
          <cell r="G123" t="str">
            <v>F12</v>
          </cell>
          <cell r="L123" t="str">
            <v>应付票据</v>
          </cell>
          <cell r="M123" t="str">
            <v>F0301</v>
          </cell>
        </row>
        <row r="124">
          <cell r="D124" t="str">
            <v>C56</v>
          </cell>
          <cell r="E124" t="str">
            <v xml:space="preserve">财务费用（收益以“－”号填列） </v>
          </cell>
          <cell r="F124" t="str">
            <v>C56</v>
          </cell>
          <cell r="G124" t="str">
            <v>F13</v>
          </cell>
          <cell r="L124" t="str">
            <v>应付账款</v>
          </cell>
          <cell r="M124" t="str">
            <v>F0401</v>
          </cell>
        </row>
        <row r="125">
          <cell r="D125" t="str">
            <v>C57</v>
          </cell>
          <cell r="E125" t="str">
            <v xml:space="preserve">投资损失（收益以“－”号填列） </v>
          </cell>
          <cell r="F125" t="str">
            <v>C57</v>
          </cell>
          <cell r="G125" t="str">
            <v>F14</v>
          </cell>
          <cell r="L125" t="str">
            <v>预收款项</v>
          </cell>
          <cell r="M125" t="str">
            <v>F0501</v>
          </cell>
        </row>
        <row r="126">
          <cell r="D126" t="str">
            <v>C58</v>
          </cell>
          <cell r="E126" t="str">
            <v xml:space="preserve">递延所得税资产减少（增加以“－”号填列） </v>
          </cell>
          <cell r="F126" t="str">
            <v>C58</v>
          </cell>
          <cell r="G126" t="str">
            <v>F15</v>
          </cell>
          <cell r="L126" t="str">
            <v>应付职工薪酬</v>
          </cell>
          <cell r="M126" t="str">
            <v>F0601</v>
          </cell>
        </row>
        <row r="127">
          <cell r="D127" t="str">
            <v>C59</v>
          </cell>
          <cell r="E127" t="str">
            <v xml:space="preserve">递延所得税负债增加（减少以“－”号填列） </v>
          </cell>
          <cell r="F127" t="str">
            <v>C59</v>
          </cell>
          <cell r="G127" t="str">
            <v>F16</v>
          </cell>
          <cell r="L127" t="str">
            <v>卖出回购金融资产款</v>
          </cell>
          <cell r="M127" t="str">
            <v>F5601</v>
          </cell>
        </row>
        <row r="128">
          <cell r="D128" t="str">
            <v>C60</v>
          </cell>
          <cell r="E128" t="str">
            <v xml:space="preserve">存货的减少（增加以“－”号填列） </v>
          </cell>
          <cell r="F128" t="str">
            <v>C60</v>
          </cell>
          <cell r="G128" t="str">
            <v>F17</v>
          </cell>
          <cell r="L128" t="str">
            <v>应付手续费及佣金</v>
          </cell>
          <cell r="M128" t="str">
            <v>F5701</v>
          </cell>
        </row>
        <row r="129">
          <cell r="D129" t="str">
            <v>C61</v>
          </cell>
          <cell r="E129" t="str">
            <v xml:space="preserve">经营性应收项目的减少（增加以“－”号填列） </v>
          </cell>
          <cell r="F129" t="str">
            <v>C61</v>
          </cell>
          <cell r="G129" t="str">
            <v>F18</v>
          </cell>
          <cell r="L129" t="str">
            <v>应交税费</v>
          </cell>
          <cell r="M129" t="str">
            <v>F0701</v>
          </cell>
        </row>
        <row r="130">
          <cell r="D130" t="str">
            <v>C62</v>
          </cell>
          <cell r="E130" t="str">
            <v xml:space="preserve">经营性应付项目的增加（减少以“－”号填列） </v>
          </cell>
          <cell r="F130" t="str">
            <v>C62</v>
          </cell>
          <cell r="G130" t="str">
            <v>F19</v>
          </cell>
          <cell r="L130" t="str">
            <v>应付利息</v>
          </cell>
          <cell r="M130" t="str">
            <v>F0801</v>
          </cell>
        </row>
        <row r="131">
          <cell r="D131" t="str">
            <v>C63</v>
          </cell>
          <cell r="E131" t="str">
            <v xml:space="preserve">其他 </v>
          </cell>
          <cell r="F131" t="str">
            <v>C63</v>
          </cell>
          <cell r="G131" t="str">
            <v>F20</v>
          </cell>
          <cell r="L131" t="str">
            <v>应付股利</v>
          </cell>
          <cell r="M131" t="str">
            <v>F0901</v>
          </cell>
        </row>
        <row r="132">
          <cell r="D132" t="str">
            <v>C64</v>
          </cell>
          <cell r="E132" t="str">
            <v xml:space="preserve">经营活动产生的现金流量净额 </v>
          </cell>
          <cell r="F132" t="str">
            <v>C64</v>
          </cell>
          <cell r="G132" t="str">
            <v>F21</v>
          </cell>
          <cell r="L132" t="str">
            <v>其他应付款</v>
          </cell>
          <cell r="M132" t="str">
            <v>F1001</v>
          </cell>
        </row>
        <row r="133">
          <cell r="D133" t="str">
            <v>C65</v>
          </cell>
          <cell r="E133" t="str">
            <v xml:space="preserve">债务转为资本 </v>
          </cell>
          <cell r="F133" t="str">
            <v>C65</v>
          </cell>
          <cell r="G133" t="str">
            <v>F22</v>
          </cell>
          <cell r="L133" t="str">
            <v>应付分保账款</v>
          </cell>
          <cell r="M133" t="str">
            <v>F5801</v>
          </cell>
        </row>
        <row r="134">
          <cell r="D134" t="str">
            <v>C66</v>
          </cell>
          <cell r="E134" t="str">
            <v xml:space="preserve">一年内到期的可转换公司债券 </v>
          </cell>
          <cell r="F134" t="str">
            <v>C66</v>
          </cell>
          <cell r="G134" t="str">
            <v>F70</v>
          </cell>
          <cell r="L134" t="str">
            <v>保险合同准备金</v>
          </cell>
          <cell r="M134" t="str">
            <v>F5901</v>
          </cell>
        </row>
        <row r="135">
          <cell r="D135" t="str">
            <v>C67</v>
          </cell>
          <cell r="E135" t="str">
            <v xml:space="preserve">融资租入固定资产 </v>
          </cell>
          <cell r="F135" t="str">
            <v>C67</v>
          </cell>
          <cell r="G135" t="str">
            <v>F23</v>
          </cell>
          <cell r="L135" t="str">
            <v>代理买卖证券款</v>
          </cell>
          <cell r="M135" t="str">
            <v>F6001</v>
          </cell>
        </row>
        <row r="136">
          <cell r="D136" t="str">
            <v>C68</v>
          </cell>
          <cell r="E136" t="str">
            <v xml:space="preserve">现金的期末余额 </v>
          </cell>
          <cell r="F136" t="str">
            <v>C68</v>
          </cell>
          <cell r="G136" t="str">
            <v>F62</v>
          </cell>
          <cell r="L136" t="str">
            <v>代理承销证券款</v>
          </cell>
          <cell r="M136" t="str">
            <v>F6101</v>
          </cell>
        </row>
        <row r="137">
          <cell r="D137" t="str">
            <v>C69</v>
          </cell>
          <cell r="E137" t="str">
            <v xml:space="preserve">现金的期初余额 </v>
          </cell>
          <cell r="F137" t="str">
            <v>C69</v>
          </cell>
          <cell r="G137" t="str">
            <v>F24</v>
          </cell>
          <cell r="L137" t="str">
            <v>一年内到期的非流动负债</v>
          </cell>
          <cell r="M137" t="str">
            <v>F1101</v>
          </cell>
        </row>
        <row r="138">
          <cell r="D138" t="str">
            <v>C70</v>
          </cell>
          <cell r="E138" t="str">
            <v xml:space="preserve">现金等价物的期末余额 </v>
          </cell>
          <cell r="F138" t="str">
            <v>C70</v>
          </cell>
          <cell r="G138" t="str">
            <v>F25</v>
          </cell>
          <cell r="L138" t="str">
            <v>其他流动负债</v>
          </cell>
          <cell r="M138" t="str">
            <v>F1201</v>
          </cell>
        </row>
        <row r="139">
          <cell r="D139" t="str">
            <v>C71</v>
          </cell>
          <cell r="E139" t="str">
            <v xml:space="preserve">现金等价物的期初余额 </v>
          </cell>
          <cell r="F139" t="str">
            <v>C71</v>
          </cell>
          <cell r="G139" t="str">
            <v>F26</v>
          </cell>
          <cell r="L139" t="str">
            <v>长期借款</v>
          </cell>
          <cell r="M139" t="str">
            <v>F1301</v>
          </cell>
        </row>
        <row r="140">
          <cell r="G140" t="str">
            <v>F27</v>
          </cell>
          <cell r="L140" t="str">
            <v>应付债券</v>
          </cell>
          <cell r="M140" t="str">
            <v>F1401</v>
          </cell>
        </row>
        <row r="141">
          <cell r="G141" t="str">
            <v>F28</v>
          </cell>
          <cell r="L141" t="str">
            <v>长期应付款</v>
          </cell>
          <cell r="M141" t="str">
            <v>F1501</v>
          </cell>
        </row>
        <row r="142">
          <cell r="G142" t="str">
            <v>F29</v>
          </cell>
          <cell r="L142" t="str">
            <v>专项应付款</v>
          </cell>
          <cell r="M142" t="str">
            <v>F1601</v>
          </cell>
        </row>
        <row r="143">
          <cell r="G143" t="str">
            <v>F30</v>
          </cell>
          <cell r="L143" t="str">
            <v>预计负债</v>
          </cell>
          <cell r="M143" t="str">
            <v>F1701</v>
          </cell>
        </row>
        <row r="144">
          <cell r="G144" t="str">
            <v>F31</v>
          </cell>
          <cell r="L144" t="str">
            <v>递延所得税负债</v>
          </cell>
          <cell r="M144" t="str">
            <v>F1801</v>
          </cell>
        </row>
        <row r="145">
          <cell r="G145" t="str">
            <v>Z29</v>
          </cell>
          <cell r="L145" t="str">
            <v>其他非流动负债</v>
          </cell>
          <cell r="M145" t="str">
            <v>F1901</v>
          </cell>
        </row>
        <row r="146">
          <cell r="G146" t="str">
            <v>Z30</v>
          </cell>
          <cell r="L146" t="str">
            <v>股本_上年年末余额*</v>
          </cell>
          <cell r="M146" t="str">
            <v>F2006</v>
          </cell>
        </row>
        <row r="147">
          <cell r="G147" t="str">
            <v>Z31</v>
          </cell>
          <cell r="L147" t="str">
            <v>股本_会计政策变更</v>
          </cell>
          <cell r="M147" t="str">
            <v>F2007</v>
          </cell>
        </row>
        <row r="148">
          <cell r="G148" t="str">
            <v>Z32</v>
          </cell>
          <cell r="L148" t="str">
            <v>股本_前期差错更正</v>
          </cell>
          <cell r="M148" t="str">
            <v>F2008</v>
          </cell>
        </row>
        <row r="149">
          <cell r="G149" t="str">
            <v>Z33</v>
          </cell>
          <cell r="L149" t="str">
            <v>股本_所有者投入资本</v>
          </cell>
          <cell r="M149" t="str">
            <v>F2001</v>
          </cell>
        </row>
        <row r="150">
          <cell r="G150" t="str">
            <v>Z34</v>
          </cell>
          <cell r="L150" t="str">
            <v>股本_股份支付计入所有者权益的金额</v>
          </cell>
          <cell r="M150" t="str">
            <v>F2002</v>
          </cell>
        </row>
        <row r="151">
          <cell r="G151" t="str">
            <v>Z35</v>
          </cell>
          <cell r="L151" t="str">
            <v>股本_资本公积转增资本</v>
          </cell>
          <cell r="M151" t="str">
            <v>F2003</v>
          </cell>
        </row>
        <row r="152">
          <cell r="G152" t="str">
            <v>Z36</v>
          </cell>
          <cell r="L152" t="str">
            <v>股本_盈余公积转增资本</v>
          </cell>
          <cell r="M152" t="str">
            <v>F2004</v>
          </cell>
        </row>
        <row r="153">
          <cell r="G153" t="str">
            <v>Z37</v>
          </cell>
          <cell r="L153" t="str">
            <v>股本_其他</v>
          </cell>
          <cell r="M153" t="str">
            <v>F2005</v>
          </cell>
        </row>
        <row r="154">
          <cell r="G154" t="str">
            <v>Z38</v>
          </cell>
          <cell r="L154" t="str">
            <v>资本公积_上年年末余额*</v>
          </cell>
          <cell r="M154" t="str">
            <v>F2107</v>
          </cell>
        </row>
        <row r="155">
          <cell r="G155" t="str">
            <v>Z39</v>
          </cell>
          <cell r="L155" t="str">
            <v>资本公积_会计政策变更</v>
          </cell>
          <cell r="M155" t="str">
            <v>F2108</v>
          </cell>
        </row>
        <row r="156">
          <cell r="G156" t="str">
            <v>Z40</v>
          </cell>
          <cell r="L156" t="str">
            <v>资本公积_前期差错更正</v>
          </cell>
          <cell r="M156" t="str">
            <v>F2109</v>
          </cell>
        </row>
        <row r="157">
          <cell r="G157" t="str">
            <v>Z41</v>
          </cell>
          <cell r="L157" t="str">
            <v>资本公积_可供出售金融资产公允价值变动净额</v>
          </cell>
          <cell r="M157" t="str">
            <v>F2101</v>
          </cell>
        </row>
        <row r="158">
          <cell r="G158" t="str">
            <v>Z42</v>
          </cell>
          <cell r="L158" t="str">
            <v>资本公积_权益法下被投资单位其他所有者权益变动的影响</v>
          </cell>
          <cell r="M158" t="str">
            <v>F2102</v>
          </cell>
        </row>
        <row r="159">
          <cell r="G159" t="str">
            <v>F32</v>
          </cell>
          <cell r="L159" t="str">
            <v>资本公积_与计入所有者权益项目相关的所得税影响</v>
          </cell>
          <cell r="M159" t="str">
            <v>F2103</v>
          </cell>
        </row>
        <row r="160">
          <cell r="G160" t="str">
            <v>F33</v>
          </cell>
          <cell r="L160" t="str">
            <v>资本公积_所有者投入资本</v>
          </cell>
          <cell r="M160" t="str">
            <v>F2104</v>
          </cell>
        </row>
        <row r="161">
          <cell r="G161" t="str">
            <v>F34</v>
          </cell>
          <cell r="L161" t="str">
            <v>资本公积_资本公积转增资本</v>
          </cell>
          <cell r="M161" t="str">
            <v>F2105</v>
          </cell>
        </row>
        <row r="162">
          <cell r="G162" t="str">
            <v>F35</v>
          </cell>
          <cell r="L162" t="str">
            <v>资本公积_其他</v>
          </cell>
          <cell r="M162" t="str">
            <v>F2106</v>
          </cell>
        </row>
        <row r="163">
          <cell r="G163" t="str">
            <v>F36</v>
          </cell>
          <cell r="L163" t="str">
            <v>库存股_上年年末余额*</v>
          </cell>
          <cell r="M163" t="str">
            <v>F2202</v>
          </cell>
        </row>
        <row r="164">
          <cell r="G164" t="str">
            <v>F37</v>
          </cell>
          <cell r="L164" t="str">
            <v>库存股_会计政策变更</v>
          </cell>
          <cell r="M164" t="str">
            <v>F2203</v>
          </cell>
        </row>
        <row r="165">
          <cell r="G165" t="str">
            <v>Z43</v>
          </cell>
          <cell r="L165" t="str">
            <v>库存股_前期差错更正</v>
          </cell>
          <cell r="M165" t="str">
            <v>F2204</v>
          </cell>
        </row>
        <row r="166">
          <cell r="G166" t="str">
            <v>Z44</v>
          </cell>
          <cell r="L166" t="str">
            <v>库存股_其他</v>
          </cell>
          <cell r="M166" t="str">
            <v>F2201</v>
          </cell>
        </row>
        <row r="167">
          <cell r="G167" t="str">
            <v>F38</v>
          </cell>
          <cell r="L167" t="str">
            <v>专项储备</v>
          </cell>
          <cell r="M167" t="str">
            <v>F7001</v>
          </cell>
        </row>
        <row r="168">
          <cell r="G168" t="str">
            <v>Z45</v>
          </cell>
          <cell r="L168" t="str">
            <v>盈余公积_上年年末余额*</v>
          </cell>
          <cell r="M168" t="str">
            <v>F2305</v>
          </cell>
        </row>
        <row r="169">
          <cell r="G169" t="str">
            <v>Z46</v>
          </cell>
          <cell r="L169" t="str">
            <v>盈余公积_会计政策变更</v>
          </cell>
          <cell r="M169" t="str">
            <v>F2306</v>
          </cell>
        </row>
        <row r="170">
          <cell r="G170" t="str">
            <v>Z47</v>
          </cell>
          <cell r="L170" t="str">
            <v>盈余公积_前期差错更正</v>
          </cell>
          <cell r="M170" t="str">
            <v>F2307</v>
          </cell>
        </row>
        <row r="171">
          <cell r="G171" t="str">
            <v>Z48</v>
          </cell>
          <cell r="L171" t="str">
            <v>盈余公积_提取盈余公积</v>
          </cell>
          <cell r="M171" t="str">
            <v>F2301</v>
          </cell>
        </row>
        <row r="172">
          <cell r="G172" t="str">
            <v>Z49</v>
          </cell>
          <cell r="L172" t="str">
            <v>盈余公积_盈余公积转增资本</v>
          </cell>
          <cell r="M172" t="str">
            <v>F2302</v>
          </cell>
        </row>
        <row r="173">
          <cell r="G173" t="str">
            <v>Z50</v>
          </cell>
          <cell r="L173" t="str">
            <v>盈余公积_盈余公积弥补亏损</v>
          </cell>
          <cell r="M173" t="str">
            <v>F2303</v>
          </cell>
        </row>
        <row r="174">
          <cell r="G174" t="str">
            <v>Z51</v>
          </cell>
          <cell r="L174" t="str">
            <v>盈余公积_提取任意盈余公积</v>
          </cell>
          <cell r="M174" t="str">
            <v>F2304</v>
          </cell>
        </row>
        <row r="175">
          <cell r="G175" t="str">
            <v>Z52</v>
          </cell>
          <cell r="L175" t="str">
            <v>一般风险准备_上年年末余额*</v>
          </cell>
          <cell r="M175" t="str">
            <v>F6202</v>
          </cell>
        </row>
        <row r="176">
          <cell r="G176" t="str">
            <v>F39</v>
          </cell>
          <cell r="L176" t="str">
            <v>一般风险准备_其他</v>
          </cell>
          <cell r="M176" t="str">
            <v>F6201</v>
          </cell>
        </row>
        <row r="177">
          <cell r="G177" t="str">
            <v>F40</v>
          </cell>
          <cell r="L177" t="str">
            <v>未分配利润_年初未分配利润</v>
          </cell>
          <cell r="M177" t="str">
            <v>F4501</v>
          </cell>
        </row>
        <row r="178">
          <cell r="G178" t="str">
            <v>F41</v>
          </cell>
          <cell r="L178" t="str">
            <v>未分配利润_会计政策变更</v>
          </cell>
          <cell r="M178" t="str">
            <v>F4502</v>
          </cell>
        </row>
        <row r="179">
          <cell r="G179" t="str">
            <v>F42</v>
          </cell>
          <cell r="L179" t="str">
            <v>未分配利润_前期差错更正</v>
          </cell>
          <cell r="M179" t="str">
            <v>F4503</v>
          </cell>
        </row>
        <row r="180">
          <cell r="G180" t="str">
            <v>F43</v>
          </cell>
          <cell r="L180" t="str">
            <v>未分配利润__提取盈余公积</v>
          </cell>
          <cell r="M180" t="str">
            <v>F4504</v>
          </cell>
        </row>
        <row r="181">
          <cell r="G181" t="str">
            <v>F44</v>
          </cell>
          <cell r="L181" t="str">
            <v>未分配利润__提取一般风险准备</v>
          </cell>
          <cell r="M181" t="str">
            <v>F4508</v>
          </cell>
        </row>
        <row r="182">
          <cell r="L182" t="str">
            <v>未分配利润__对所有者（或股东）的分配</v>
          </cell>
          <cell r="M182" t="str">
            <v>F4505</v>
          </cell>
        </row>
        <row r="183">
          <cell r="L183" t="str">
            <v>未分配利润__盈余公积弥补亏损</v>
          </cell>
          <cell r="M183" t="str">
            <v>F4506</v>
          </cell>
        </row>
        <row r="184">
          <cell r="L184" t="str">
            <v>未分配利润_其他</v>
          </cell>
          <cell r="M184" t="str">
            <v>F4507</v>
          </cell>
        </row>
        <row r="185">
          <cell r="L185" t="str">
            <v>外币报表折算差额</v>
          </cell>
          <cell r="M185" t="str">
            <v>F2501</v>
          </cell>
        </row>
        <row r="186">
          <cell r="L186" t="str">
            <v>少数股东权益_上年年末余额*</v>
          </cell>
          <cell r="M186" t="str">
            <v>F2602</v>
          </cell>
        </row>
        <row r="187">
          <cell r="L187" t="str">
            <v>少数股东权益_会计政策变更</v>
          </cell>
          <cell r="M187" t="str">
            <v>F2603</v>
          </cell>
        </row>
        <row r="188">
          <cell r="L188" t="str">
            <v>少数股东权益_前期差错更正</v>
          </cell>
          <cell r="M188" t="str">
            <v>F2604</v>
          </cell>
        </row>
        <row r="189">
          <cell r="L189" t="str">
            <v>少数股东权益_净利润</v>
          </cell>
          <cell r="M189" t="str">
            <v>F2601</v>
          </cell>
        </row>
        <row r="190">
          <cell r="L190" t="str">
            <v>少数股东权益_所有者投入资本</v>
          </cell>
          <cell r="M190" t="str">
            <v>F2606</v>
          </cell>
        </row>
        <row r="191">
          <cell r="L191" t="str">
            <v>少数股东权益_对所有者（或股东）的分配</v>
          </cell>
          <cell r="M191" t="str">
            <v>F2607</v>
          </cell>
        </row>
        <row r="192">
          <cell r="L192" t="str">
            <v>少数股东权益_其他</v>
          </cell>
          <cell r="M192" t="str">
            <v>F2605</v>
          </cell>
        </row>
        <row r="193">
          <cell r="L193" t="str">
            <v>营业收入</v>
          </cell>
          <cell r="M193" t="str">
            <v>F2801</v>
          </cell>
        </row>
        <row r="194">
          <cell r="L194" t="str">
            <v>营业成本</v>
          </cell>
          <cell r="M194" t="str">
            <v>Z3001</v>
          </cell>
        </row>
        <row r="195">
          <cell r="L195" t="str">
            <v>营业税金及附加</v>
          </cell>
          <cell r="M195" t="str">
            <v>Z3801</v>
          </cell>
        </row>
        <row r="196">
          <cell r="L196" t="str">
            <v>销售费用</v>
          </cell>
          <cell r="M196" t="str">
            <v>Z3901</v>
          </cell>
        </row>
        <row r="197">
          <cell r="L197" t="str">
            <v>管理费用</v>
          </cell>
          <cell r="M197" t="str">
            <v>Z4001</v>
          </cell>
        </row>
        <row r="198">
          <cell r="L198" t="str">
            <v>财务费用</v>
          </cell>
          <cell r="M198" t="str">
            <v>Z4101</v>
          </cell>
        </row>
        <row r="199">
          <cell r="L199" t="str">
            <v>资产减值损失</v>
          </cell>
          <cell r="M199" t="str">
            <v>Z4201</v>
          </cell>
        </row>
        <row r="200">
          <cell r="L200" t="str">
            <v>公允价值变动收益</v>
          </cell>
          <cell r="M200" t="str">
            <v>F3201</v>
          </cell>
        </row>
        <row r="201">
          <cell r="L201" t="str">
            <v>投资收益</v>
          </cell>
          <cell r="M201" t="str">
            <v>F3301</v>
          </cell>
        </row>
        <row r="202">
          <cell r="L202" t="str">
            <v>投资收益_对联营企业和合营企业的投资收益</v>
          </cell>
          <cell r="M202" t="str">
            <v>F3302</v>
          </cell>
        </row>
        <row r="203">
          <cell r="L203" t="str">
            <v>营业外收入</v>
          </cell>
          <cell r="M203" t="str">
            <v>F3701</v>
          </cell>
        </row>
        <row r="204">
          <cell r="L204" t="str">
            <v>营业外支出</v>
          </cell>
          <cell r="M204" t="str">
            <v>Z4301</v>
          </cell>
        </row>
        <row r="205">
          <cell r="L205" t="str">
            <v>营业外支出_非流动资产处置损失</v>
          </cell>
          <cell r="M205" t="str">
            <v>Z4302</v>
          </cell>
        </row>
        <row r="206">
          <cell r="L206" t="str">
            <v>所得税费用</v>
          </cell>
          <cell r="M206" t="str">
            <v>Z4501</v>
          </cell>
        </row>
        <row r="207">
          <cell r="L207" t="str">
            <v>少数股东损益</v>
          </cell>
          <cell r="M207" t="str">
            <v>Z4801</v>
          </cell>
        </row>
        <row r="208">
          <cell r="L208" t="str">
            <v>被合并方在合并前实现的净利润</v>
          </cell>
          <cell r="M208" t="str">
            <v>Z4901</v>
          </cell>
        </row>
      </sheetData>
      <sheetData sheetId="15"/>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每股收益"/>
      <sheetName val="合并清单"/>
      <sheetName val="主菜单"/>
      <sheetName val="未审BS"/>
      <sheetName val="未审IS"/>
      <sheetName val="未审CF"/>
      <sheetName val="未审SC"/>
      <sheetName val="CF调整分录"/>
      <sheetName val="改制报告BS"/>
      <sheetName val="改制报告IS"/>
      <sheetName val="改制报告SC"/>
      <sheetName val="报税BS"/>
      <sheetName val="报税IS"/>
      <sheetName val="BS差异表"/>
      <sheetName val="IS差异表"/>
      <sheetName val="申报差异事项"/>
      <sheetName val="试算平衡表"/>
      <sheetName val="报告CF"/>
      <sheetName val="调整分录"/>
      <sheetName val="余额表"/>
      <sheetName val="2012年余额Db"/>
      <sheetName val="2013年余额Db"/>
      <sheetName val="2014年1-10月余额Db"/>
      <sheetName val="余额2015年1-4月"/>
      <sheetName val="现金流量表底稿"/>
      <sheetName val="流量表其他明细"/>
      <sheetName val="报告BS"/>
      <sheetName val="报告IS"/>
      <sheetName val="递延所得税资产、所得税底稿、盈余公积测算"/>
      <sheetName val="合并BS"/>
      <sheetName val="参数"/>
      <sheetName val="合并IS"/>
      <sheetName val="合并CF"/>
      <sheetName val="合并SC"/>
      <sheetName val="审定BS"/>
      <sheetName val="审定IS"/>
      <sheetName val="审定CF"/>
      <sheetName val="报告SC"/>
      <sheetName val="报告SC（2014）"/>
      <sheetName val="非经常性损益"/>
      <sheetName val="报告SC2012"/>
      <sheetName val="综合底稿"/>
      <sheetName val="现金流量表勾稽"/>
      <sheetName val="年初利润纳税调整"/>
    </sheetNames>
    <sheetDataSet>
      <sheetData sheetId="0"/>
      <sheetData sheetId="1">
        <row r="6">
          <cell r="F6">
            <v>256</v>
          </cell>
        </row>
      </sheetData>
      <sheetData sheetId="2">
        <row r="1">
          <cell r="A1" t="str">
            <v>合并报表</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68">
          <cell r="E68" t="str">
            <v>垃圾指标</v>
          </cell>
          <cell r="G68" t="str">
            <v>Z01</v>
          </cell>
          <cell r="H68" t="str">
            <v>货币资金</v>
          </cell>
        </row>
        <row r="69">
          <cell r="D69" t="str">
            <v>C01</v>
          </cell>
          <cell r="E69" t="str">
            <v xml:space="preserve">销售商品、提供劳务收到的现金 </v>
          </cell>
          <cell r="G69" t="str">
            <v>Z53</v>
          </cell>
          <cell r="H69" t="str">
            <v>结算备付金</v>
          </cell>
        </row>
        <row r="70">
          <cell r="D70" t="str">
            <v>C02</v>
          </cell>
          <cell r="E70" t="str">
            <v xml:space="preserve">客户存款和同业存放款项净增加额 </v>
          </cell>
          <cell r="G70" t="str">
            <v>Z54</v>
          </cell>
          <cell r="H70" t="str">
            <v>拆出资金</v>
          </cell>
        </row>
        <row r="71">
          <cell r="D71" t="str">
            <v>C03</v>
          </cell>
          <cell r="E71" t="str">
            <v xml:space="preserve">向中央银行借款净增加额 </v>
          </cell>
          <cell r="G71" t="str">
            <v>Z02</v>
          </cell>
          <cell r="H71" t="str">
            <v>交易性金融资产</v>
          </cell>
        </row>
        <row r="72">
          <cell r="D72" t="str">
            <v>C04</v>
          </cell>
          <cell r="E72" t="str">
            <v xml:space="preserve">向其他金融机构拆入资金净增加额 </v>
          </cell>
          <cell r="G72" t="str">
            <v>Z03</v>
          </cell>
          <cell r="H72" t="str">
            <v>应收票据</v>
          </cell>
        </row>
        <row r="73">
          <cell r="D73" t="str">
            <v>C05</v>
          </cell>
          <cell r="E73" t="str">
            <v xml:space="preserve">收到原保险合同保费取得的现金 </v>
          </cell>
          <cell r="G73" t="str">
            <v>Z04</v>
          </cell>
          <cell r="H73" t="str">
            <v>应收账款</v>
          </cell>
        </row>
        <row r="74">
          <cell r="D74" t="str">
            <v>C06</v>
          </cell>
          <cell r="E74" t="str">
            <v xml:space="preserve">收到再保险业务现金净额 </v>
          </cell>
          <cell r="G74" t="str">
            <v>Z05</v>
          </cell>
          <cell r="H74" t="str">
            <v>预付款项</v>
          </cell>
        </row>
        <row r="75">
          <cell r="D75" t="str">
            <v>C07</v>
          </cell>
          <cell r="E75" t="str">
            <v xml:space="preserve">保户储金及投资款净增加额 </v>
          </cell>
          <cell r="G75" t="str">
            <v>Z55</v>
          </cell>
          <cell r="H75" t="str">
            <v>应收保费</v>
          </cell>
        </row>
        <row r="76">
          <cell r="D76" t="str">
            <v>C08</v>
          </cell>
          <cell r="E76" t="str">
            <v xml:space="preserve">处置交易性金融资产净增加额 </v>
          </cell>
          <cell r="G76" t="str">
            <v>Z56</v>
          </cell>
          <cell r="H76" t="str">
            <v>应收分保账款</v>
          </cell>
        </row>
        <row r="77">
          <cell r="D77" t="str">
            <v>C09</v>
          </cell>
          <cell r="E77" t="str">
            <v xml:space="preserve">收取利息、手续费及佣金的现金 </v>
          </cell>
          <cell r="G77" t="str">
            <v>Z59</v>
          </cell>
          <cell r="H77" t="str">
            <v>应收分保合同准备金</v>
          </cell>
        </row>
        <row r="78">
          <cell r="D78" t="str">
            <v>C10</v>
          </cell>
          <cell r="E78" t="str">
            <v xml:space="preserve">拆入资金净增加额 </v>
          </cell>
          <cell r="G78" t="str">
            <v>Z06</v>
          </cell>
          <cell r="H78" t="str">
            <v>应收利息</v>
          </cell>
        </row>
        <row r="79">
          <cell r="D79" t="str">
            <v>C11</v>
          </cell>
          <cell r="E79" t="str">
            <v xml:space="preserve">回购业务资金净增加额 </v>
          </cell>
          <cell r="G79" t="str">
            <v>Z07</v>
          </cell>
          <cell r="H79" t="str">
            <v>应收股利</v>
          </cell>
        </row>
        <row r="80">
          <cell r="D80" t="str">
            <v>C12</v>
          </cell>
          <cell r="E80" t="str">
            <v xml:space="preserve">收到的税费返还 </v>
          </cell>
          <cell r="G80" t="str">
            <v>Z08</v>
          </cell>
          <cell r="H80" t="str">
            <v>其他应收款</v>
          </cell>
        </row>
        <row r="81">
          <cell r="D81" t="str">
            <v>C13</v>
          </cell>
          <cell r="E81" t="str">
            <v xml:space="preserve">收到其他与经营活动有关的现金 </v>
          </cell>
          <cell r="G81" t="str">
            <v>Z57</v>
          </cell>
          <cell r="H81" t="str">
            <v xml:space="preserve">买入返售金融资产 </v>
          </cell>
        </row>
        <row r="82">
          <cell r="D82" t="str">
            <v>C14</v>
          </cell>
          <cell r="E82" t="str">
            <v xml:space="preserve">购买商品、接受劳务支付的现金 </v>
          </cell>
          <cell r="G82" t="str">
            <v>Z09</v>
          </cell>
          <cell r="H82" t="str">
            <v>存货</v>
          </cell>
        </row>
        <row r="83">
          <cell r="D83" t="str">
            <v>C15</v>
          </cell>
          <cell r="E83" t="str">
            <v xml:space="preserve">客户贷款及垫款净增加额 </v>
          </cell>
          <cell r="G83" t="str">
            <v>Z10</v>
          </cell>
          <cell r="H83" t="str">
            <v>一年内到期的非流动资产</v>
          </cell>
        </row>
        <row r="84">
          <cell r="D84" t="str">
            <v>C16</v>
          </cell>
          <cell r="E84" t="str">
            <v xml:space="preserve">存放中央银行和同业款项净增加额 </v>
          </cell>
          <cell r="G84" t="str">
            <v>Z11</v>
          </cell>
          <cell r="H84" t="str">
            <v>其他流动资产</v>
          </cell>
        </row>
        <row r="85">
          <cell r="D85" t="str">
            <v>C17</v>
          </cell>
          <cell r="E85" t="str">
            <v xml:space="preserve">支付原保险合同赔付款项的现金 </v>
          </cell>
          <cell r="G85" t="str">
            <v>Z58</v>
          </cell>
          <cell r="H85" t="str">
            <v>发放贷款及垫款</v>
          </cell>
        </row>
        <row r="86">
          <cell r="D86" t="str">
            <v>C18</v>
          </cell>
          <cell r="E86" t="str">
            <v xml:space="preserve">支付利息、手续费及佣金的现金 </v>
          </cell>
          <cell r="G86" t="str">
            <v>Z12</v>
          </cell>
          <cell r="H86" t="str">
            <v>可供出售金融资产</v>
          </cell>
        </row>
        <row r="87">
          <cell r="D87" t="str">
            <v>C19</v>
          </cell>
          <cell r="E87" t="str">
            <v xml:space="preserve">支付保单红利的现金 </v>
          </cell>
          <cell r="G87" t="str">
            <v>Z13</v>
          </cell>
          <cell r="H87" t="str">
            <v>持有至到期投资</v>
          </cell>
        </row>
        <row r="88">
          <cell r="D88" t="str">
            <v>C20</v>
          </cell>
          <cell r="E88" t="str">
            <v xml:space="preserve">支付给职工以及为职工支付的现金 </v>
          </cell>
          <cell r="G88" t="str">
            <v>Z14</v>
          </cell>
          <cell r="H88" t="str">
            <v>长期应收款</v>
          </cell>
        </row>
        <row r="89">
          <cell r="D89" t="str">
            <v>C21</v>
          </cell>
          <cell r="E89" t="str">
            <v xml:space="preserve">支付的各项税费 </v>
          </cell>
          <cell r="G89" t="str">
            <v>Z15</v>
          </cell>
          <cell r="H89" t="str">
            <v>长期股权投资</v>
          </cell>
        </row>
        <row r="90">
          <cell r="D90" t="str">
            <v>C22</v>
          </cell>
          <cell r="E90" t="str">
            <v xml:space="preserve">支付其他与经营活动有关的现金 </v>
          </cell>
          <cell r="G90" t="str">
            <v>Z16</v>
          </cell>
          <cell r="H90" t="str">
            <v>投资性房地产</v>
          </cell>
        </row>
        <row r="91">
          <cell r="D91" t="str">
            <v>C23</v>
          </cell>
          <cell r="E91" t="str">
            <v xml:space="preserve">收回投资收到的现金 </v>
          </cell>
          <cell r="G91" t="str">
            <v>Z17</v>
          </cell>
          <cell r="H91" t="str">
            <v>固定资产</v>
          </cell>
        </row>
        <row r="92">
          <cell r="D92" t="str">
            <v>C24</v>
          </cell>
          <cell r="E92" t="str">
            <v xml:space="preserve">取得投资收益收到的现金 </v>
          </cell>
          <cell r="G92" t="str">
            <v>Z18</v>
          </cell>
          <cell r="H92" t="str">
            <v>在建工程</v>
          </cell>
        </row>
        <row r="93">
          <cell r="D93" t="str">
            <v>C25</v>
          </cell>
          <cell r="E93" t="str">
            <v xml:space="preserve">处置固定资产、无形资产和其他长期资产收回的现金净额 </v>
          </cell>
          <cell r="G93" t="str">
            <v>Z19</v>
          </cell>
          <cell r="H93" t="str">
            <v>工程物资</v>
          </cell>
        </row>
        <row r="94">
          <cell r="D94" t="str">
            <v>C26</v>
          </cell>
          <cell r="E94" t="str">
            <v xml:space="preserve">处置子公司及其他营业单位收到的现金净额 </v>
          </cell>
          <cell r="G94" t="str">
            <v>Z20</v>
          </cell>
          <cell r="H94" t="str">
            <v>固定资产清理</v>
          </cell>
        </row>
        <row r="95">
          <cell r="D95" t="str">
            <v>C27</v>
          </cell>
          <cell r="E95" t="str">
            <v xml:space="preserve">收到其他与投资活动有关的现金 </v>
          </cell>
          <cell r="G95" t="str">
            <v>Z21</v>
          </cell>
          <cell r="H95" t="str">
            <v>生产性生物资产</v>
          </cell>
        </row>
        <row r="96">
          <cell r="D96" t="str">
            <v>C28</v>
          </cell>
          <cell r="E96" t="str">
            <v xml:space="preserve">购建固定资产、无形资产和其他长期资产支付的现金 </v>
          </cell>
          <cell r="G96" t="str">
            <v>Z22</v>
          </cell>
          <cell r="H96" t="str">
            <v>油气资产</v>
          </cell>
        </row>
        <row r="97">
          <cell r="D97" t="str">
            <v>C29</v>
          </cell>
          <cell r="E97" t="str">
            <v xml:space="preserve">投资支付的现金 </v>
          </cell>
          <cell r="G97" t="str">
            <v>Z23</v>
          </cell>
          <cell r="H97" t="str">
            <v>无形资产</v>
          </cell>
        </row>
        <row r="98">
          <cell r="D98" t="str">
            <v>C30</v>
          </cell>
          <cell r="E98" t="str">
            <v xml:space="preserve">质押贷款净增加额 </v>
          </cell>
          <cell r="G98" t="str">
            <v>Z24</v>
          </cell>
          <cell r="H98" t="str">
            <v>开发支出</v>
          </cell>
        </row>
        <row r="99">
          <cell r="D99" t="str">
            <v>C31</v>
          </cell>
          <cell r="E99" t="str">
            <v xml:space="preserve">取得子公司及其他营业单位支付的现金净额 </v>
          </cell>
          <cell r="G99" t="str">
            <v>Z25</v>
          </cell>
          <cell r="H99" t="str">
            <v>商誉</v>
          </cell>
        </row>
        <row r="100">
          <cell r="D100" t="str">
            <v>C32</v>
          </cell>
          <cell r="E100" t="str">
            <v xml:space="preserve">支付其他与投资活动有关的现金 </v>
          </cell>
          <cell r="G100" t="str">
            <v>Z26</v>
          </cell>
          <cell r="H100" t="str">
            <v>长期待摊费用</v>
          </cell>
        </row>
        <row r="101">
          <cell r="D101" t="str">
            <v>C33</v>
          </cell>
          <cell r="E101" t="str">
            <v xml:space="preserve">吸收投资收到的现金 </v>
          </cell>
          <cell r="G101" t="str">
            <v>Z27</v>
          </cell>
          <cell r="H101" t="str">
            <v>递延所得税资产</v>
          </cell>
        </row>
        <row r="102">
          <cell r="D102" t="str">
            <v>C34</v>
          </cell>
          <cell r="E102" t="str">
            <v xml:space="preserve">其中：子公司吸收少数股东投资收到的现金 </v>
          </cell>
          <cell r="G102" t="str">
            <v>Z28</v>
          </cell>
          <cell r="H102" t="str">
            <v>其他非流动资产</v>
          </cell>
        </row>
        <row r="103">
          <cell r="D103" t="str">
            <v>C35</v>
          </cell>
          <cell r="E103" t="str">
            <v xml:space="preserve">取得借款收到的现金 </v>
          </cell>
          <cell r="G103" t="str">
            <v>F01</v>
          </cell>
          <cell r="H103" t="str">
            <v>短期借款</v>
          </cell>
        </row>
        <row r="104">
          <cell r="D104" t="str">
            <v>C36</v>
          </cell>
          <cell r="E104" t="str">
            <v xml:space="preserve">发行债券收到的现金 </v>
          </cell>
          <cell r="G104" t="str">
            <v>F53</v>
          </cell>
          <cell r="H104" t="str">
            <v>向中央银行借款</v>
          </cell>
        </row>
        <row r="105">
          <cell r="D105" t="str">
            <v>C37</v>
          </cell>
          <cell r="E105" t="str">
            <v xml:space="preserve">收到其他与筹资活动有关的现金 </v>
          </cell>
          <cell r="G105" t="str">
            <v>F54</v>
          </cell>
          <cell r="H105" t="str">
            <v>吸收存款及同业存放</v>
          </cell>
        </row>
        <row r="106">
          <cell r="D106" t="str">
            <v>C38</v>
          </cell>
          <cell r="E106" t="str">
            <v xml:space="preserve">筹资活动现金流入小计 </v>
          </cell>
          <cell r="G106" t="str">
            <v>F55</v>
          </cell>
          <cell r="H106" t="str">
            <v>拆入资金</v>
          </cell>
        </row>
        <row r="107">
          <cell r="D107" t="str">
            <v>C39</v>
          </cell>
          <cell r="E107" t="str">
            <v xml:space="preserve">偿还债务支付的现金 </v>
          </cell>
          <cell r="G107" t="str">
            <v>F02</v>
          </cell>
          <cell r="H107" t="str">
            <v>交易性金融负债</v>
          </cell>
        </row>
        <row r="108">
          <cell r="D108" t="str">
            <v>C40</v>
          </cell>
          <cell r="E108" t="str">
            <v xml:space="preserve">分配股利、利润或偿付利息支付的现金 </v>
          </cell>
          <cell r="G108" t="str">
            <v>F03</v>
          </cell>
          <cell r="H108" t="str">
            <v>应付票据</v>
          </cell>
        </row>
        <row r="109">
          <cell r="D109" t="str">
            <v>C41</v>
          </cell>
          <cell r="E109" t="str">
            <v xml:space="preserve">其中：子公司支付给少数股东的股利、利润 </v>
          </cell>
          <cell r="G109" t="str">
            <v>F04</v>
          </cell>
          <cell r="H109" t="str">
            <v>应付账款</v>
          </cell>
        </row>
        <row r="110">
          <cell r="D110" t="str">
            <v>C42</v>
          </cell>
          <cell r="E110" t="str">
            <v xml:space="preserve">支付其他与筹资活动有关的现金 </v>
          </cell>
          <cell r="G110" t="str">
            <v>F05</v>
          </cell>
          <cell r="H110" t="str">
            <v>预收款项</v>
          </cell>
        </row>
        <row r="111">
          <cell r="D111" t="str">
            <v>C43</v>
          </cell>
          <cell r="E111" t="str">
            <v xml:space="preserve">筹资活动现金流出小计 </v>
          </cell>
          <cell r="G111" t="str">
            <v>F56</v>
          </cell>
          <cell r="H111" t="str">
            <v>卖出回购金融资产款</v>
          </cell>
        </row>
        <row r="112">
          <cell r="D112" t="str">
            <v>C44</v>
          </cell>
          <cell r="E112" t="str">
            <v xml:space="preserve">筹资活动产生的现金流量净额 </v>
          </cell>
          <cell r="G112" t="str">
            <v>F57</v>
          </cell>
          <cell r="H112" t="str">
            <v>应付手续费及佣金</v>
          </cell>
        </row>
        <row r="113">
          <cell r="D113" t="str">
            <v>C45</v>
          </cell>
          <cell r="E113" t="str">
            <v>汇率变动对现金及现金等价物的影响</v>
          </cell>
          <cell r="G113" t="str">
            <v>F06</v>
          </cell>
          <cell r="H113" t="str">
            <v>应付职工薪酬</v>
          </cell>
        </row>
        <row r="114">
          <cell r="D114" t="str">
            <v>C46</v>
          </cell>
          <cell r="E114" t="str">
            <v xml:space="preserve">加：期初现金及现金等价物余额 </v>
          </cell>
          <cell r="G114" t="str">
            <v>F07</v>
          </cell>
          <cell r="H114" t="str">
            <v>应交税费</v>
          </cell>
        </row>
        <row r="115">
          <cell r="D115" t="str">
            <v>C47</v>
          </cell>
          <cell r="E115" t="str">
            <v>六、期末现金及现金等价物余额</v>
          </cell>
          <cell r="G115" t="str">
            <v>F08</v>
          </cell>
          <cell r="H115" t="str">
            <v>应付利息</v>
          </cell>
        </row>
        <row r="116">
          <cell r="D116" t="str">
            <v>C48</v>
          </cell>
          <cell r="E116" t="str">
            <v xml:space="preserve">净利润 </v>
          </cell>
          <cell r="G116" t="str">
            <v>F09</v>
          </cell>
          <cell r="H116" t="str">
            <v>应付股利</v>
          </cell>
        </row>
        <row r="117">
          <cell r="D117" t="str">
            <v>C49</v>
          </cell>
          <cell r="E117" t="str">
            <v xml:space="preserve">资产减值准备 </v>
          </cell>
          <cell r="G117" t="str">
            <v>F10</v>
          </cell>
          <cell r="H117" t="str">
            <v>其他应付款</v>
          </cell>
        </row>
        <row r="118">
          <cell r="D118" t="str">
            <v>C50</v>
          </cell>
          <cell r="E118" t="str">
            <v xml:space="preserve">固定资产折旧、油气资产折耗、生产性生物资产折旧 </v>
          </cell>
          <cell r="G118" t="str">
            <v>F58</v>
          </cell>
          <cell r="H118" t="str">
            <v>应付分保账款</v>
          </cell>
        </row>
        <row r="119">
          <cell r="D119" t="str">
            <v>C51</v>
          </cell>
          <cell r="E119" t="str">
            <v xml:space="preserve">无形资产摊销 </v>
          </cell>
          <cell r="G119" t="str">
            <v>F59</v>
          </cell>
          <cell r="H119" t="str">
            <v>保险合同准备金</v>
          </cell>
        </row>
        <row r="120">
          <cell r="D120" t="str">
            <v>C52</v>
          </cell>
          <cell r="E120" t="str">
            <v xml:space="preserve">长期待摊费用摊销 </v>
          </cell>
          <cell r="G120" t="str">
            <v>F60</v>
          </cell>
          <cell r="H120" t="str">
            <v>代理买卖证券款</v>
          </cell>
        </row>
        <row r="121">
          <cell r="D121" t="str">
            <v>C53</v>
          </cell>
          <cell r="E121" t="str">
            <v xml:space="preserve">处置固定资产、无形资产和其他长期资产的损失（收益以“－”号填列） </v>
          </cell>
          <cell r="G121" t="str">
            <v>F61</v>
          </cell>
          <cell r="H121" t="str">
            <v>代理承销证券款</v>
          </cell>
        </row>
        <row r="122">
          <cell r="D122" t="str">
            <v>C54</v>
          </cell>
          <cell r="E122" t="str">
            <v xml:space="preserve">固定资产报废损失（收益以“－”号填﻿列） </v>
          </cell>
          <cell r="G122" t="str">
            <v>F11</v>
          </cell>
          <cell r="H122" t="str">
            <v>一年内到期的非流动负债</v>
          </cell>
        </row>
        <row r="123">
          <cell r="D123" t="str">
            <v>C55</v>
          </cell>
          <cell r="E123" t="str">
            <v xml:space="preserve">公允价值变动损失（收益以“－”号填列） </v>
          </cell>
          <cell r="G123" t="str">
            <v>F12</v>
          </cell>
          <cell r="H123" t="str">
            <v>其他流动负债</v>
          </cell>
        </row>
        <row r="124">
          <cell r="D124" t="str">
            <v>C56</v>
          </cell>
          <cell r="E124" t="str">
            <v xml:space="preserve">财务费用（收益以“－”号填列） </v>
          </cell>
          <cell r="G124" t="str">
            <v>F13</v>
          </cell>
          <cell r="H124" t="str">
            <v>长期借款</v>
          </cell>
        </row>
        <row r="125">
          <cell r="D125" t="str">
            <v>C57</v>
          </cell>
          <cell r="E125" t="str">
            <v xml:space="preserve">投资损失（收益以“－”号填列） </v>
          </cell>
          <cell r="G125" t="str">
            <v>F14</v>
          </cell>
          <cell r="H125" t="str">
            <v>应付债券</v>
          </cell>
        </row>
        <row r="126">
          <cell r="D126" t="str">
            <v>C58</v>
          </cell>
          <cell r="E126" t="str">
            <v xml:space="preserve">递延所得税资产减少（增加以“－”号填列） </v>
          </cell>
          <cell r="G126" t="str">
            <v>F15</v>
          </cell>
          <cell r="H126" t="str">
            <v>长期应付款</v>
          </cell>
        </row>
        <row r="127">
          <cell r="D127" t="str">
            <v>C59</v>
          </cell>
          <cell r="E127" t="str">
            <v xml:space="preserve">递延所得税负债增加（减少以“－”号填列） </v>
          </cell>
          <cell r="G127" t="str">
            <v>F16</v>
          </cell>
          <cell r="H127" t="str">
            <v>专项应付款</v>
          </cell>
        </row>
        <row r="128">
          <cell r="D128" t="str">
            <v>C60</v>
          </cell>
          <cell r="E128" t="str">
            <v xml:space="preserve">存货的减少（增加以“－”号填列） </v>
          </cell>
          <cell r="G128" t="str">
            <v>F17</v>
          </cell>
          <cell r="H128" t="str">
            <v>预计负债</v>
          </cell>
        </row>
        <row r="129">
          <cell r="D129" t="str">
            <v>C61</v>
          </cell>
          <cell r="E129" t="str">
            <v xml:space="preserve">经营性应收项目的减少（增加以“－”号填列） </v>
          </cell>
          <cell r="G129" t="str">
            <v>F18</v>
          </cell>
          <cell r="H129" t="str">
            <v>递延所得税负债</v>
          </cell>
        </row>
        <row r="130">
          <cell r="D130" t="str">
            <v>C62</v>
          </cell>
          <cell r="E130" t="str">
            <v xml:space="preserve">经营性应付项目的增加（减少以“－”号填列） </v>
          </cell>
          <cell r="G130" t="str">
            <v>F19</v>
          </cell>
          <cell r="H130" t="str">
            <v>其他非流动负债</v>
          </cell>
        </row>
        <row r="131">
          <cell r="D131" t="str">
            <v>C63</v>
          </cell>
          <cell r="E131" t="str">
            <v xml:space="preserve">其他 </v>
          </cell>
          <cell r="G131" t="str">
            <v>F20</v>
          </cell>
          <cell r="H131" t="str">
            <v>股本</v>
          </cell>
        </row>
        <row r="132">
          <cell r="D132" t="str">
            <v>C64</v>
          </cell>
          <cell r="E132" t="str">
            <v xml:space="preserve">经营活动产生的现金流量净额 </v>
          </cell>
          <cell r="G132" t="str">
            <v>F21</v>
          </cell>
          <cell r="H132" t="str">
            <v>资本公积</v>
          </cell>
        </row>
        <row r="133">
          <cell r="D133" t="str">
            <v>C65</v>
          </cell>
          <cell r="E133" t="str">
            <v xml:space="preserve">债务转为资本 </v>
          </cell>
          <cell r="G133" t="str">
            <v>F22</v>
          </cell>
          <cell r="H133" t="str">
            <v>减：库存股</v>
          </cell>
        </row>
        <row r="134">
          <cell r="D134" t="str">
            <v>C66</v>
          </cell>
          <cell r="E134" t="str">
            <v xml:space="preserve">一年内到期的可转换公司债券 </v>
          </cell>
          <cell r="G134" t="str">
            <v>F23</v>
          </cell>
          <cell r="H134" t="str">
            <v>盈余公积</v>
          </cell>
        </row>
        <row r="135">
          <cell r="D135" t="str">
            <v>C67</v>
          </cell>
          <cell r="E135" t="str">
            <v xml:space="preserve">融资租入固定资产 </v>
          </cell>
          <cell r="G135" t="str">
            <v>F62</v>
          </cell>
          <cell r="H135" t="str">
            <v>一般风险准备</v>
          </cell>
        </row>
        <row r="136">
          <cell r="D136" t="str">
            <v>C68</v>
          </cell>
          <cell r="E136" t="str">
            <v xml:space="preserve">现金的期末余额 </v>
          </cell>
          <cell r="G136" t="str">
            <v>F24</v>
          </cell>
          <cell r="H136" t="str">
            <v>未分配利润</v>
          </cell>
        </row>
        <row r="137">
          <cell r="D137" t="str">
            <v>C69</v>
          </cell>
          <cell r="E137" t="str">
            <v xml:space="preserve">现金的期初余额 </v>
          </cell>
          <cell r="G137" t="str">
            <v>F25</v>
          </cell>
          <cell r="H137" t="str">
            <v>外币报表折算差额</v>
          </cell>
        </row>
        <row r="138">
          <cell r="D138" t="str">
            <v>C70</v>
          </cell>
          <cell r="E138" t="str">
            <v xml:space="preserve">现金等价物的期末余额 </v>
          </cell>
          <cell r="G138" t="str">
            <v>F26</v>
          </cell>
          <cell r="H138" t="str">
            <v>少数股东权益</v>
          </cell>
        </row>
        <row r="139">
          <cell r="D139" t="str">
            <v>C71</v>
          </cell>
          <cell r="E139" t="str">
            <v xml:space="preserve">现金等价物的期初余额 </v>
          </cell>
          <cell r="G139" t="str">
            <v>F27</v>
          </cell>
          <cell r="H139" t="str">
            <v xml:space="preserve">营业总收入 </v>
          </cell>
        </row>
        <row r="140">
          <cell r="G140" t="str">
            <v>F28</v>
          </cell>
          <cell r="H140" t="str">
            <v xml:space="preserve">营业收入 </v>
          </cell>
        </row>
        <row r="141">
          <cell r="G141" t="str">
            <v>F29</v>
          </cell>
          <cell r="H141" t="str">
            <v xml:space="preserve">利息收入 </v>
          </cell>
        </row>
        <row r="142">
          <cell r="G142" t="str">
            <v>F30</v>
          </cell>
          <cell r="H142" t="str">
            <v xml:space="preserve">已赚保费 </v>
          </cell>
        </row>
        <row r="143">
          <cell r="G143" t="str">
            <v>F31</v>
          </cell>
          <cell r="H143" t="str">
            <v xml:space="preserve">手续费及佣金收入 </v>
          </cell>
        </row>
        <row r="144">
          <cell r="G144" t="str">
            <v>Z29</v>
          </cell>
          <cell r="H144" t="str">
            <v xml:space="preserve">营业总成本 </v>
          </cell>
        </row>
        <row r="145">
          <cell r="G145" t="str">
            <v>Z30</v>
          </cell>
          <cell r="H145" t="str">
            <v xml:space="preserve">营业成本 </v>
          </cell>
        </row>
        <row r="146">
          <cell r="G146" t="str">
            <v>Z31</v>
          </cell>
          <cell r="H146" t="str">
            <v xml:space="preserve">利息支出 </v>
          </cell>
        </row>
        <row r="147">
          <cell r="G147" t="str">
            <v>Z32</v>
          </cell>
          <cell r="H147" t="str">
            <v xml:space="preserve">手续费及佣金支出 </v>
          </cell>
        </row>
        <row r="148">
          <cell r="G148" t="str">
            <v>Z33</v>
          </cell>
          <cell r="H148" t="str">
            <v xml:space="preserve">退保金 </v>
          </cell>
        </row>
        <row r="149">
          <cell r="G149" t="str">
            <v>Z34</v>
          </cell>
          <cell r="H149" t="str">
            <v xml:space="preserve">赔付支出净额 </v>
          </cell>
        </row>
        <row r="150">
          <cell r="G150" t="str">
            <v>Z35</v>
          </cell>
          <cell r="H150" t="str">
            <v xml:space="preserve">提取保险合同准备金净额 </v>
          </cell>
        </row>
        <row r="151">
          <cell r="G151" t="str">
            <v>Z36</v>
          </cell>
          <cell r="H151" t="str">
            <v xml:space="preserve">保单红利支出 </v>
          </cell>
        </row>
        <row r="152">
          <cell r="G152" t="str">
            <v>Z37</v>
          </cell>
          <cell r="H152" t="str">
            <v xml:space="preserve">分保费用 </v>
          </cell>
        </row>
        <row r="153">
          <cell r="G153" t="str">
            <v>Z38</v>
          </cell>
          <cell r="H153" t="str">
            <v xml:space="preserve">营业税金及附加 </v>
          </cell>
        </row>
        <row r="154">
          <cell r="G154" t="str">
            <v>Z39</v>
          </cell>
          <cell r="H154" t="str">
            <v xml:space="preserve">销售费用 </v>
          </cell>
        </row>
        <row r="155">
          <cell r="G155" t="str">
            <v>Z40</v>
          </cell>
          <cell r="H155" t="str">
            <v xml:space="preserve">管理费用 </v>
          </cell>
        </row>
        <row r="156">
          <cell r="G156" t="str">
            <v>Z41</v>
          </cell>
          <cell r="H156" t="str">
            <v>财务费用</v>
          </cell>
        </row>
        <row r="157">
          <cell r="G157" t="str">
            <v>Z42</v>
          </cell>
          <cell r="H157" t="str">
            <v xml:space="preserve">资产减值损失 </v>
          </cell>
        </row>
        <row r="158">
          <cell r="G158" t="str">
            <v>F32</v>
          </cell>
          <cell r="H158" t="str">
            <v>公允价值变动收益</v>
          </cell>
        </row>
        <row r="159">
          <cell r="G159" t="str">
            <v>F33</v>
          </cell>
          <cell r="H159" t="str">
            <v>投资收益</v>
          </cell>
        </row>
        <row r="160">
          <cell r="G160" t="str">
            <v>F34</v>
          </cell>
          <cell r="H160" t="str">
            <v xml:space="preserve">对联营企业和合营企业的投资收益 </v>
          </cell>
        </row>
        <row r="161">
          <cell r="G161" t="str">
            <v>F35</v>
          </cell>
          <cell r="H161" t="str">
            <v>汇兑收益</v>
          </cell>
        </row>
        <row r="162">
          <cell r="G162" t="str">
            <v>F36</v>
          </cell>
          <cell r="H162" t="str">
            <v xml:space="preserve">三、营业利润（亏损以“－”号填列） </v>
          </cell>
        </row>
        <row r="163">
          <cell r="G163" t="str">
            <v>F37</v>
          </cell>
          <cell r="H163" t="str">
            <v>营业外收入</v>
          </cell>
        </row>
        <row r="164">
          <cell r="G164" t="str">
            <v>Z43</v>
          </cell>
          <cell r="H164" t="str">
            <v xml:space="preserve">营业外支出 </v>
          </cell>
        </row>
        <row r="165">
          <cell r="G165" t="str">
            <v>Z44</v>
          </cell>
          <cell r="H165" t="str">
            <v xml:space="preserve">非流动资产处置损失 </v>
          </cell>
        </row>
        <row r="166">
          <cell r="G166" t="str">
            <v>F38</v>
          </cell>
          <cell r="H166" t="str">
            <v xml:space="preserve">四、利润总额（亏损总额以“－”号填列） </v>
          </cell>
        </row>
        <row r="167">
          <cell r="G167" t="str">
            <v>Z45</v>
          </cell>
          <cell r="H167" t="str">
            <v xml:space="preserve">所得税费用 </v>
          </cell>
        </row>
        <row r="168">
          <cell r="G168" t="str">
            <v>Z46</v>
          </cell>
          <cell r="H168" t="str">
            <v xml:space="preserve">五、净利润（净亏损以“－”号填列） </v>
          </cell>
        </row>
        <row r="169">
          <cell r="G169" t="str">
            <v>Z47</v>
          </cell>
          <cell r="H169" t="str">
            <v xml:space="preserve">归属于母公司所有者的净利润 </v>
          </cell>
        </row>
        <row r="170">
          <cell r="G170" t="str">
            <v>Z48</v>
          </cell>
          <cell r="H170" t="str">
            <v xml:space="preserve">少数股东损益 </v>
          </cell>
        </row>
        <row r="171">
          <cell r="G171" t="str">
            <v>Z49</v>
          </cell>
          <cell r="H171" t="str">
            <v>被合并方在合并前实现的净利润</v>
          </cell>
        </row>
        <row r="172">
          <cell r="G172" t="str">
            <v>Z50</v>
          </cell>
          <cell r="H172" t="str">
            <v>流动资产合计</v>
          </cell>
        </row>
        <row r="173">
          <cell r="G173" t="str">
            <v>Z51</v>
          </cell>
          <cell r="H173" t="str">
            <v>非流动资产合计</v>
          </cell>
        </row>
        <row r="174">
          <cell r="G174" t="str">
            <v>Z52</v>
          </cell>
          <cell r="H174" t="str">
            <v>资产总计</v>
          </cell>
        </row>
        <row r="175">
          <cell r="G175" t="str">
            <v>F39</v>
          </cell>
          <cell r="H175" t="str">
            <v>流动负债合计</v>
          </cell>
        </row>
        <row r="176">
          <cell r="G176" t="str">
            <v>F40</v>
          </cell>
          <cell r="H176" t="str">
            <v>非流动负债合计</v>
          </cell>
        </row>
        <row r="177">
          <cell r="G177" t="str">
            <v>F41</v>
          </cell>
          <cell r="H177" t="str">
            <v>负债合计</v>
          </cell>
        </row>
        <row r="178">
          <cell r="G178" t="str">
            <v>F42</v>
          </cell>
          <cell r="H178" t="str">
            <v>归属于母公司所有者权益合计</v>
          </cell>
        </row>
        <row r="179">
          <cell r="G179" t="str">
            <v>F43</v>
          </cell>
          <cell r="H179" t="str">
            <v>股东权益合计</v>
          </cell>
        </row>
        <row r="180">
          <cell r="G180" t="str">
            <v>F44</v>
          </cell>
          <cell r="H180" t="str">
            <v>负债和股东权益总计</v>
          </cell>
        </row>
        <row r="181">
          <cell r="G181">
            <v>0</v>
          </cell>
        </row>
        <row r="182">
          <cell r="G182">
            <v>0</v>
          </cell>
        </row>
        <row r="183">
          <cell r="G183">
            <v>0</v>
          </cell>
        </row>
        <row r="184">
          <cell r="G184">
            <v>0</v>
          </cell>
        </row>
        <row r="185">
          <cell r="G185">
            <v>0</v>
          </cell>
        </row>
        <row r="186">
          <cell r="H186" t="str">
            <v>会计政策变更</v>
          </cell>
        </row>
        <row r="187">
          <cell r="H187" t="str">
            <v>前期差错更正</v>
          </cell>
        </row>
        <row r="188">
          <cell r="H188" t="str">
            <v>（一）净利润</v>
          </cell>
        </row>
        <row r="189">
          <cell r="H189" t="str">
            <v>（二）直接计入所有者权益的利得和损失</v>
          </cell>
        </row>
        <row r="190">
          <cell r="H190" t="str">
            <v>可供出售金融资产公允价值变动净额</v>
          </cell>
        </row>
        <row r="191">
          <cell r="H191" t="str">
            <v>权益法下被投资单位其他所有者权益变动的影响</v>
          </cell>
        </row>
        <row r="192">
          <cell r="H192" t="str">
            <v>与计入所有者权益项目相关的所得税影响</v>
          </cell>
        </row>
        <row r="193">
          <cell r="H193" t="str">
            <v>其他</v>
          </cell>
        </row>
        <row r="194">
          <cell r="H194" t="str">
            <v>（三）所有者投入和减少资本</v>
          </cell>
        </row>
        <row r="195">
          <cell r="H195" t="str">
            <v>所有者投入资本</v>
          </cell>
        </row>
        <row r="196">
          <cell r="H196" t="str">
            <v>股份支付计入所有者权益的金额</v>
          </cell>
        </row>
        <row r="197">
          <cell r="H197" t="str">
            <v>其他</v>
          </cell>
        </row>
        <row r="198">
          <cell r="H198" t="str">
            <v>（四）利润分配</v>
          </cell>
        </row>
        <row r="199">
          <cell r="H199" t="str">
            <v>提取盈余公积</v>
          </cell>
        </row>
        <row r="200">
          <cell r="H200" t="str">
            <v>对所有者（或股东）的分配</v>
          </cell>
        </row>
        <row r="201">
          <cell r="H201" t="str">
            <v>其他</v>
          </cell>
        </row>
        <row r="202">
          <cell r="H202" t="str">
            <v>（五）所有者权益内部结转</v>
          </cell>
        </row>
        <row r="203">
          <cell r="H203" t="str">
            <v>资本公积转增资本</v>
          </cell>
        </row>
        <row r="204">
          <cell r="H204" t="str">
            <v>盈余公积转增资本</v>
          </cell>
        </row>
        <row r="205">
          <cell r="H205" t="str">
            <v>盈余公积弥补亏损</v>
          </cell>
        </row>
        <row r="206">
          <cell r="H206" t="str">
            <v>其他</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索引"/>
      <sheetName val="余额表"/>
      <sheetName val="审计小结"/>
      <sheetName val="往来回函统计"/>
      <sheetName val="货币资金Cx"/>
      <sheetName val="货币资金Dy"/>
      <sheetName val="货币资金Mx"/>
      <sheetName val="银行存款明细表F01-3-2"/>
      <sheetName val="货币资金Pz"/>
      <sheetName val="现金盘点表"/>
      <sheetName val="其他应收款Cx"/>
      <sheetName val="其他应收款Dy"/>
      <sheetName val="其他应收款Mx"/>
      <sheetName val="其他应收款Pz"/>
      <sheetName val="固定资产Dy"/>
      <sheetName val="固定资产Cx"/>
      <sheetName val="固定资产Mx"/>
      <sheetName val="固定资产增加检查表"/>
      <sheetName val="累计折旧Mx"/>
      <sheetName val="在建工程Cx"/>
      <sheetName val="在建工程Mx"/>
      <sheetName val="短期借款Cx"/>
      <sheetName val="财务费用-利息支出明细数据_4-16查询"/>
      <sheetName val="短期借款利息单明细"/>
      <sheetName val="短期借款Mx"/>
      <sheetName val="短期借款Pz"/>
      <sheetName val="待摊费用Cx"/>
      <sheetName val="待摊费用Mx"/>
      <sheetName val="预付账款Cx"/>
      <sheetName val="预付账款Dy"/>
      <sheetName val="应付账款Cx"/>
      <sheetName val="应付账款Dy"/>
      <sheetName val="应付账款Mx"/>
      <sheetName val="应付账款Pz"/>
      <sheetName val="分录"/>
      <sheetName val="标本-资产"/>
    </sheetNames>
    <sheetDataSet>
      <sheetData sheetId="0" refreshError="1">
        <row r="13">
          <cell r="D13" t="str">
            <v>工    作    底    稿</v>
          </cell>
          <cell r="E13" t="str">
            <v>审计人员</v>
          </cell>
        </row>
        <row r="14">
          <cell r="D14" t="str">
            <v/>
          </cell>
          <cell r="E14" t="str">
            <v/>
          </cell>
          <cell r="F14" t="str">
            <v/>
          </cell>
        </row>
        <row r="15">
          <cell r="D15" t="str">
            <v>货币资金</v>
          </cell>
          <cell r="E15" t="str">
            <v>王晓晔</v>
          </cell>
          <cell r="F15" t="str">
            <v>F01</v>
          </cell>
        </row>
        <row r="16">
          <cell r="D16" t="str">
            <v>其他应收款</v>
          </cell>
          <cell r="E16" t="str">
            <v>王晓晔</v>
          </cell>
          <cell r="F16" t="str">
            <v>F18</v>
          </cell>
        </row>
        <row r="17">
          <cell r="D17" t="str">
            <v>固定资产</v>
          </cell>
          <cell r="E17" t="str">
            <v>王晓晔</v>
          </cell>
          <cell r="F17" t="str">
            <v>B02</v>
          </cell>
        </row>
        <row r="18">
          <cell r="D18" t="str">
            <v>累计折旧</v>
          </cell>
          <cell r="E18" t="str">
            <v>王晓晔</v>
          </cell>
          <cell r="F18" t="str">
            <v>B03</v>
          </cell>
        </row>
        <row r="19">
          <cell r="D19" t="str">
            <v>在建工程</v>
          </cell>
          <cell r="E19" t="str">
            <v>王晓晔</v>
          </cell>
          <cell r="F19" t="str">
            <v>B06</v>
          </cell>
        </row>
        <row r="20">
          <cell r="D20" t="str">
            <v>应付账款</v>
          </cell>
          <cell r="E20" t="str">
            <v>王晓晔</v>
          </cell>
          <cell r="F20" t="str">
            <v>B10</v>
          </cell>
        </row>
        <row r="21">
          <cell r="D21" t="str">
            <v>预付账款</v>
          </cell>
          <cell r="E21" t="str">
            <v>王晓晔</v>
          </cell>
          <cell r="F21" t="str">
            <v>B01</v>
          </cell>
        </row>
        <row r="22">
          <cell r="D22" t="str">
            <v>短期借款</v>
          </cell>
          <cell r="E22" t="str">
            <v>王晓晔</v>
          </cell>
          <cell r="F22" t="str">
            <v>F50</v>
          </cell>
        </row>
        <row r="23">
          <cell r="D23" t="str">
            <v>待摊费用</v>
          </cell>
          <cell r="E23" t="str">
            <v>王晓晔</v>
          </cell>
          <cell r="F23" t="str">
            <v>P23</v>
          </cell>
        </row>
        <row r="24">
          <cell r="E24" t="str">
            <v/>
          </cell>
          <cell r="F24" t="str">
            <v/>
          </cell>
        </row>
        <row r="25">
          <cell r="E25" t="str">
            <v/>
          </cell>
          <cell r="F25" t="str">
            <v/>
          </cell>
        </row>
        <row r="26">
          <cell r="E26" t="str">
            <v/>
          </cell>
          <cell r="F26" t="str">
            <v/>
          </cell>
        </row>
        <row r="27">
          <cell r="E27" t="str">
            <v/>
          </cell>
          <cell r="F27" t="str">
            <v/>
          </cell>
        </row>
        <row r="28">
          <cell r="E28" t="str">
            <v/>
          </cell>
          <cell r="F28" t="str">
            <v/>
          </cell>
        </row>
        <row r="29">
          <cell r="E29" t="str">
            <v/>
          </cell>
          <cell r="F29" t="str">
            <v/>
          </cell>
        </row>
        <row r="30">
          <cell r="E30" t="str">
            <v/>
          </cell>
          <cell r="F30" t="str">
            <v/>
          </cell>
        </row>
        <row r="31">
          <cell r="E31" t="str">
            <v/>
          </cell>
          <cell r="F31" t="str">
            <v/>
          </cell>
        </row>
        <row r="32">
          <cell r="E32" t="str">
            <v/>
          </cell>
          <cell r="F32" t="str">
            <v/>
          </cell>
        </row>
        <row r="33">
          <cell r="E33" t="str">
            <v/>
          </cell>
          <cell r="F33" t="str">
            <v/>
          </cell>
        </row>
        <row r="34">
          <cell r="E34" t="str">
            <v/>
          </cell>
          <cell r="F34" t="str">
            <v/>
          </cell>
        </row>
        <row r="35">
          <cell r="E35" t="str">
            <v/>
          </cell>
          <cell r="F35" t="str">
            <v/>
          </cell>
        </row>
        <row r="36">
          <cell r="E36" t="str">
            <v/>
          </cell>
          <cell r="F36" t="str">
            <v/>
          </cell>
        </row>
        <row r="37">
          <cell r="E37" t="str">
            <v/>
          </cell>
          <cell r="F37" t="str">
            <v/>
          </cell>
        </row>
        <row r="38">
          <cell r="E38" t="str">
            <v/>
          </cell>
          <cell r="F38" t="str">
            <v/>
          </cell>
        </row>
        <row r="39">
          <cell r="E39" t="str">
            <v/>
          </cell>
          <cell r="F39" t="str">
            <v/>
          </cell>
        </row>
        <row r="40">
          <cell r="E40" t="str">
            <v/>
          </cell>
          <cell r="F40" t="str">
            <v/>
          </cell>
        </row>
        <row r="41">
          <cell r="E41" t="str">
            <v/>
          </cell>
          <cell r="F41" t="str">
            <v/>
          </cell>
        </row>
        <row r="42">
          <cell r="E42" t="str">
            <v/>
          </cell>
          <cell r="F42" t="str">
            <v/>
          </cell>
        </row>
        <row r="43">
          <cell r="E43" t="str">
            <v/>
          </cell>
          <cell r="F43" t="str">
            <v/>
          </cell>
        </row>
        <row r="44">
          <cell r="E44" t="str">
            <v/>
          </cell>
          <cell r="F44" t="str">
            <v/>
          </cell>
        </row>
        <row r="45">
          <cell r="E45" t="str">
            <v/>
          </cell>
          <cell r="F45" t="str">
            <v/>
          </cell>
        </row>
        <row r="46">
          <cell r="E46" t="str">
            <v/>
          </cell>
          <cell r="F46" t="str">
            <v/>
          </cell>
        </row>
        <row r="47">
          <cell r="E47" t="str">
            <v/>
          </cell>
          <cell r="F47" t="str">
            <v/>
          </cell>
        </row>
        <row r="48">
          <cell r="E48" t="str">
            <v/>
          </cell>
          <cell r="F48" t="str">
            <v/>
          </cell>
        </row>
        <row r="49">
          <cell r="E49" t="str">
            <v/>
          </cell>
          <cell r="F49" t="str">
            <v/>
          </cell>
        </row>
        <row r="50">
          <cell r="E50" t="str">
            <v/>
          </cell>
          <cell r="F50" t="str">
            <v/>
          </cell>
        </row>
        <row r="51">
          <cell r="E51" t="str">
            <v/>
          </cell>
          <cell r="F51" t="str">
            <v/>
          </cell>
        </row>
        <row r="52">
          <cell r="E52" t="str">
            <v/>
          </cell>
          <cell r="F52" t="str">
            <v/>
          </cell>
        </row>
        <row r="53">
          <cell r="E53" t="str">
            <v/>
          </cell>
          <cell r="F53" t="str">
            <v/>
          </cell>
        </row>
        <row r="54">
          <cell r="E54" t="str">
            <v/>
          </cell>
          <cell r="F54" t="str">
            <v/>
          </cell>
        </row>
        <row r="55">
          <cell r="E55" t="str">
            <v/>
          </cell>
          <cell r="F55" t="str">
            <v/>
          </cell>
        </row>
        <row r="56">
          <cell r="E56" t="str">
            <v/>
          </cell>
          <cell r="F56" t="str">
            <v/>
          </cell>
        </row>
        <row r="57">
          <cell r="E57" t="str">
            <v/>
          </cell>
          <cell r="F57" t="str">
            <v/>
          </cell>
        </row>
        <row r="58">
          <cell r="E58" t="str">
            <v/>
          </cell>
          <cell r="F58" t="str">
            <v/>
          </cell>
        </row>
        <row r="59">
          <cell r="E59" t="str">
            <v/>
          </cell>
          <cell r="F59" t="str">
            <v/>
          </cell>
        </row>
        <row r="60">
          <cell r="E60" t="str">
            <v/>
          </cell>
          <cell r="F60" t="str">
            <v/>
          </cell>
        </row>
        <row r="61">
          <cell r="E61" t="str">
            <v/>
          </cell>
          <cell r="F61" t="str">
            <v/>
          </cell>
        </row>
        <row r="62">
          <cell r="E62" t="str">
            <v/>
          </cell>
          <cell r="F62" t="str">
            <v/>
          </cell>
        </row>
        <row r="63">
          <cell r="E63" t="str">
            <v/>
          </cell>
          <cell r="F63" t="str">
            <v/>
          </cell>
        </row>
        <row r="64">
          <cell r="E64" t="str">
            <v/>
          </cell>
          <cell r="F64" t="str">
            <v/>
          </cell>
        </row>
        <row r="65">
          <cell r="E65" t="str">
            <v/>
          </cell>
          <cell r="F65" t="str">
            <v/>
          </cell>
        </row>
        <row r="66">
          <cell r="E66" t="str">
            <v/>
          </cell>
          <cell r="F66" t="str">
            <v/>
          </cell>
        </row>
        <row r="67">
          <cell r="E67" t="str">
            <v/>
          </cell>
          <cell r="F67" t="str">
            <v/>
          </cell>
        </row>
        <row r="68">
          <cell r="E68" t="str">
            <v/>
          </cell>
          <cell r="F68" t="str">
            <v/>
          </cell>
        </row>
        <row r="69">
          <cell r="E69" t="str">
            <v/>
          </cell>
          <cell r="F69" t="str">
            <v/>
          </cell>
        </row>
        <row r="70">
          <cell r="E70" t="str">
            <v/>
          </cell>
          <cell r="F70" t="str">
            <v/>
          </cell>
        </row>
        <row r="71">
          <cell r="E71" t="str">
            <v/>
          </cell>
          <cell r="F71" t="str">
            <v/>
          </cell>
        </row>
        <row r="72">
          <cell r="E72" t="str">
            <v/>
          </cell>
          <cell r="F72" t="str">
            <v/>
          </cell>
        </row>
        <row r="73">
          <cell r="E73" t="str">
            <v/>
          </cell>
          <cell r="F73" t="str">
            <v/>
          </cell>
        </row>
        <row r="74">
          <cell r="E74" t="str">
            <v/>
          </cell>
          <cell r="F74" t="str">
            <v/>
          </cell>
        </row>
        <row r="75">
          <cell r="E75" t="str">
            <v/>
          </cell>
          <cell r="F75" t="str">
            <v/>
          </cell>
        </row>
        <row r="76">
          <cell r="E76" t="str">
            <v/>
          </cell>
        </row>
        <row r="82">
          <cell r="D82" t="str">
            <v>可以确认。</v>
          </cell>
        </row>
        <row r="83">
          <cell r="D83" t="str">
            <v>调整后可确认。</v>
          </cell>
        </row>
        <row r="84">
          <cell r="D84" t="str">
            <v>列示允当。</v>
          </cell>
        </row>
        <row r="85">
          <cell r="D85" t="str">
            <v>确认发生额。</v>
          </cell>
        </row>
        <row r="86">
          <cell r="D86" t="str">
            <v>期末余额可予确认。</v>
          </cell>
        </row>
        <row r="87">
          <cell r="D87" t="str">
            <v>经恰当披露后可予确认。</v>
          </cell>
        </row>
        <row r="88">
          <cell r="D88" t="str">
            <v>未发现重大差异。</v>
          </cell>
        </row>
        <row r="122">
          <cell r="C122" t="str">
            <v>应收票据</v>
          </cell>
          <cell r="D122" t="str">
            <v>资产</v>
          </cell>
          <cell r="E122" t="str">
            <v>S01</v>
          </cell>
          <cell r="F122" t="str">
            <v>银行承兑汇票,商业承兑汇票</v>
          </cell>
          <cell r="G122" t="str">
            <v>借</v>
          </cell>
        </row>
        <row r="123">
          <cell r="C123" t="str">
            <v>应收账款</v>
          </cell>
          <cell r="D123" t="str">
            <v>资产</v>
          </cell>
          <cell r="E123" t="str">
            <v>S03</v>
          </cell>
          <cell r="F123" t="str">
            <v>1年以内,1—2年,2—3年,3年以上</v>
          </cell>
          <cell r="G123" t="str">
            <v>借</v>
          </cell>
        </row>
        <row r="124">
          <cell r="C124" t="str">
            <v>坏账准备_应收账款</v>
          </cell>
          <cell r="D124" t="str">
            <v>资产</v>
          </cell>
          <cell r="E124" t="str">
            <v>S04</v>
          </cell>
          <cell r="F124" t="str">
            <v>1年以内,1—2年,2—3年,3年以上</v>
          </cell>
          <cell r="G124" t="str">
            <v>贷</v>
          </cell>
        </row>
        <row r="125">
          <cell r="C125" t="str">
            <v>预收账款</v>
          </cell>
          <cell r="D125" t="str">
            <v>负债</v>
          </cell>
          <cell r="E125" t="str">
            <v>S05</v>
          </cell>
          <cell r="F125" t="str">
            <v>预收账款</v>
          </cell>
          <cell r="G125" t="str">
            <v>贷</v>
          </cell>
        </row>
        <row r="126">
          <cell r="C126" t="str">
            <v>应交税金</v>
          </cell>
          <cell r="D126" t="str">
            <v>负债</v>
          </cell>
          <cell r="E126" t="str">
            <v>S07</v>
          </cell>
          <cell r="F126" t="str">
            <v>增值税,消费税,营业税,企业所得税,城市建设维护税,个人所得税,房产税</v>
          </cell>
          <cell r="G126" t="str">
            <v>贷</v>
          </cell>
        </row>
        <row r="127">
          <cell r="C127" t="str">
            <v>其他应交款</v>
          </cell>
          <cell r="D127" t="str">
            <v>负债</v>
          </cell>
          <cell r="E127" t="str">
            <v>S08</v>
          </cell>
          <cell r="F127" t="str">
            <v>教育费附加</v>
          </cell>
          <cell r="G127" t="str">
            <v>贷</v>
          </cell>
        </row>
        <row r="128">
          <cell r="C128" t="str">
            <v>主营业务收入</v>
          </cell>
          <cell r="D128" t="str">
            <v>损益</v>
          </cell>
          <cell r="E128" t="str">
            <v>S09</v>
          </cell>
          <cell r="F128" t="str">
            <v>主营业务收入</v>
          </cell>
          <cell r="G128" t="str">
            <v>贷</v>
          </cell>
        </row>
        <row r="129">
          <cell r="C129" t="str">
            <v>主营业务税金及附加</v>
          </cell>
          <cell r="D129" t="str">
            <v>损益</v>
          </cell>
          <cell r="E129" t="str">
            <v>S10</v>
          </cell>
          <cell r="F129" t="str">
            <v>消费税,营业税,资源税,城市建设维护税</v>
          </cell>
          <cell r="G129" t="str">
            <v>借</v>
          </cell>
        </row>
        <row r="130">
          <cell r="C130" t="str">
            <v>其他业务利润</v>
          </cell>
          <cell r="D130" t="str">
            <v>损益</v>
          </cell>
          <cell r="E130" t="str">
            <v>S11</v>
          </cell>
          <cell r="F130" t="str">
            <v>材料销售,代购代销,租赁</v>
          </cell>
          <cell r="G130" t="str">
            <v>贷</v>
          </cell>
        </row>
        <row r="131">
          <cell r="C131" t="str">
            <v>营业费用</v>
          </cell>
          <cell r="D131" t="str">
            <v>损益</v>
          </cell>
          <cell r="E131" t="str">
            <v>S20</v>
          </cell>
          <cell r="F131" t="str">
            <v>营业费用</v>
          </cell>
          <cell r="G131" t="str">
            <v>借</v>
          </cell>
        </row>
        <row r="132">
          <cell r="C132" t="str">
            <v>预付账款</v>
          </cell>
          <cell r="D132" t="str">
            <v>资产</v>
          </cell>
          <cell r="E132" t="str">
            <v>B01</v>
          </cell>
          <cell r="F132" t="str">
            <v>1年以内,1—2年,2—3年,3年以上</v>
          </cell>
          <cell r="G132" t="str">
            <v>借</v>
          </cell>
        </row>
        <row r="133">
          <cell r="C133" t="str">
            <v>固定资产</v>
          </cell>
          <cell r="D133" t="str">
            <v>资产</v>
          </cell>
          <cell r="E133" t="str">
            <v>B02</v>
          </cell>
          <cell r="F133" t="str">
            <v>房屋建筑物,机器设备,运输工具,电子设备,办公设备,其他设备</v>
          </cell>
          <cell r="G133" t="str">
            <v>借</v>
          </cell>
        </row>
        <row r="134">
          <cell r="C134" t="str">
            <v>累计折旧</v>
          </cell>
          <cell r="D134" t="str">
            <v>资产</v>
          </cell>
          <cell r="E134" t="str">
            <v>B03</v>
          </cell>
          <cell r="F134" t="str">
            <v>房屋建筑物,机器设备,运输工具,电子设备,办公设备,其他设备</v>
          </cell>
          <cell r="G134" t="str">
            <v>贷</v>
          </cell>
        </row>
        <row r="135">
          <cell r="C135" t="str">
            <v>固定资产减值准备</v>
          </cell>
          <cell r="D135" t="str">
            <v>资产</v>
          </cell>
          <cell r="E135" t="str">
            <v>B04</v>
          </cell>
          <cell r="F135" t="str">
            <v>房屋建筑物,机器设备,运输工具,电子设备,办公设备,其他设备</v>
          </cell>
          <cell r="G135" t="str">
            <v>贷</v>
          </cell>
        </row>
        <row r="136">
          <cell r="C136" t="str">
            <v>工程物资</v>
          </cell>
          <cell r="D136" t="str">
            <v>资产</v>
          </cell>
          <cell r="E136" t="str">
            <v>B05</v>
          </cell>
          <cell r="F136" t="str">
            <v>专用材料,专用设备,预付大型设备款</v>
          </cell>
          <cell r="G136" t="str">
            <v>借</v>
          </cell>
        </row>
        <row r="137">
          <cell r="C137" t="str">
            <v>在建工程</v>
          </cell>
          <cell r="D137" t="str">
            <v>资产</v>
          </cell>
          <cell r="E137" t="str">
            <v>B06</v>
          </cell>
          <cell r="F137" t="str">
            <v>在建工程</v>
          </cell>
          <cell r="G137" t="str">
            <v>借</v>
          </cell>
        </row>
        <row r="138">
          <cell r="C138" t="str">
            <v>在建工程减值准备</v>
          </cell>
          <cell r="D138" t="str">
            <v>资产</v>
          </cell>
          <cell r="E138" t="str">
            <v>B07</v>
          </cell>
          <cell r="F138" t="str">
            <v>在建工程</v>
          </cell>
          <cell r="G138" t="str">
            <v>贷</v>
          </cell>
        </row>
        <row r="139">
          <cell r="C139" t="str">
            <v>固定资产清理</v>
          </cell>
          <cell r="D139" t="str">
            <v>资产</v>
          </cell>
          <cell r="E139" t="str">
            <v>B08</v>
          </cell>
          <cell r="F139" t="str">
            <v>固定资产清理</v>
          </cell>
          <cell r="G139" t="str">
            <v>借</v>
          </cell>
        </row>
        <row r="140">
          <cell r="C140" t="str">
            <v>应付票据</v>
          </cell>
          <cell r="D140" t="str">
            <v>负债</v>
          </cell>
          <cell r="E140" t="str">
            <v>B09</v>
          </cell>
          <cell r="F140" t="str">
            <v>银行承兑汇票,商业承兑汇票</v>
          </cell>
          <cell r="G140" t="str">
            <v>贷</v>
          </cell>
        </row>
        <row r="141">
          <cell r="C141" t="str">
            <v>应付账款</v>
          </cell>
          <cell r="D141" t="str">
            <v>负债</v>
          </cell>
          <cell r="E141" t="str">
            <v>B10</v>
          </cell>
          <cell r="F141" t="str">
            <v>应付账款</v>
          </cell>
          <cell r="G141" t="str">
            <v>贷</v>
          </cell>
        </row>
        <row r="142">
          <cell r="C142" t="str">
            <v>存货</v>
          </cell>
          <cell r="D142" t="str">
            <v>资产</v>
          </cell>
          <cell r="E142" t="str">
            <v>P01</v>
          </cell>
          <cell r="F142" t="str">
            <v>在途物资,原材料,包装物,在产品,自制半成品,库存商品（产成品）,低值易耗品</v>
          </cell>
          <cell r="G142" t="str">
            <v>借</v>
          </cell>
        </row>
        <row r="143">
          <cell r="C143" t="str">
            <v>存货_物资采购</v>
          </cell>
          <cell r="D143" t="str">
            <v>资产</v>
          </cell>
          <cell r="E143" t="str">
            <v>P02</v>
          </cell>
          <cell r="F143" t="str">
            <v>存货_物资采购</v>
          </cell>
          <cell r="G143" t="str">
            <v>借</v>
          </cell>
        </row>
        <row r="144">
          <cell r="C144" t="str">
            <v>存货_原材料</v>
          </cell>
          <cell r="D144" t="str">
            <v>资产</v>
          </cell>
          <cell r="E144" t="str">
            <v>P03</v>
          </cell>
          <cell r="F144" t="str">
            <v>原材料</v>
          </cell>
          <cell r="G144" t="str">
            <v>借</v>
          </cell>
        </row>
        <row r="145">
          <cell r="C145" t="str">
            <v>存货_包装物</v>
          </cell>
          <cell r="D145" t="str">
            <v>资产</v>
          </cell>
          <cell r="E145" t="str">
            <v>P04</v>
          </cell>
          <cell r="F145" t="str">
            <v>存货_包装物</v>
          </cell>
          <cell r="G145" t="str">
            <v>借</v>
          </cell>
        </row>
        <row r="146">
          <cell r="C146" t="str">
            <v>存货_低值易耗品</v>
          </cell>
          <cell r="D146" t="str">
            <v>资产</v>
          </cell>
          <cell r="E146" t="str">
            <v>P05</v>
          </cell>
          <cell r="F146" t="str">
            <v>低值易耗品</v>
          </cell>
          <cell r="G146" t="str">
            <v>借</v>
          </cell>
        </row>
        <row r="147">
          <cell r="C147" t="str">
            <v>存货_材料成本差异</v>
          </cell>
          <cell r="D147" t="str">
            <v>资产</v>
          </cell>
          <cell r="E147" t="str">
            <v>P06</v>
          </cell>
          <cell r="F147" t="str">
            <v>材料成本差异</v>
          </cell>
          <cell r="G147" t="str">
            <v>贷</v>
          </cell>
        </row>
        <row r="148">
          <cell r="C148" t="str">
            <v>存货_自制半成品</v>
          </cell>
          <cell r="D148" t="str">
            <v>资产</v>
          </cell>
          <cell r="E148" t="str">
            <v>P07</v>
          </cell>
          <cell r="F148" t="str">
            <v>自制半成品</v>
          </cell>
          <cell r="G148" t="str">
            <v>借</v>
          </cell>
        </row>
        <row r="149">
          <cell r="C149" t="str">
            <v>存货_库存商品</v>
          </cell>
          <cell r="D149" t="str">
            <v>资产</v>
          </cell>
          <cell r="E149" t="str">
            <v>P08</v>
          </cell>
          <cell r="F149" t="str">
            <v>库存商品</v>
          </cell>
          <cell r="G149" t="str">
            <v>借</v>
          </cell>
        </row>
        <row r="150">
          <cell r="C150" t="str">
            <v>存货_商品进销差价</v>
          </cell>
          <cell r="D150" t="str">
            <v>资产</v>
          </cell>
          <cell r="E150" t="str">
            <v>P09</v>
          </cell>
          <cell r="F150" t="str">
            <v>商品进销差价</v>
          </cell>
          <cell r="G150" t="str">
            <v>借</v>
          </cell>
        </row>
        <row r="151">
          <cell r="C151" t="str">
            <v>存货_委托加工物资</v>
          </cell>
          <cell r="D151" t="str">
            <v>资产</v>
          </cell>
          <cell r="E151" t="str">
            <v>P10</v>
          </cell>
          <cell r="F151" t="str">
            <v>委托加工物资</v>
          </cell>
          <cell r="G151" t="str">
            <v>借</v>
          </cell>
        </row>
        <row r="152">
          <cell r="C152" t="str">
            <v>存货_委托代销商品</v>
          </cell>
          <cell r="D152" t="str">
            <v>资产</v>
          </cell>
          <cell r="E152" t="str">
            <v>P11</v>
          </cell>
          <cell r="F152" t="str">
            <v>委托代销商品</v>
          </cell>
          <cell r="G152" t="str">
            <v>借</v>
          </cell>
        </row>
        <row r="153">
          <cell r="C153" t="str">
            <v>存货_受托代销商品</v>
          </cell>
          <cell r="D153" t="str">
            <v>资产</v>
          </cell>
          <cell r="E153" t="str">
            <v>P12</v>
          </cell>
          <cell r="F153" t="str">
            <v>受托代销商品</v>
          </cell>
          <cell r="G153" t="str">
            <v>借</v>
          </cell>
        </row>
        <row r="154">
          <cell r="C154" t="str">
            <v>存货_分期收款发出商品</v>
          </cell>
          <cell r="D154" t="str">
            <v>资产</v>
          </cell>
          <cell r="E154" t="str">
            <v>P13</v>
          </cell>
          <cell r="F154" t="str">
            <v>分期收款发出商品</v>
          </cell>
          <cell r="G154" t="str">
            <v>借</v>
          </cell>
        </row>
        <row r="155">
          <cell r="C155" t="str">
            <v>存货_生产成本</v>
          </cell>
          <cell r="D155" t="str">
            <v>资产</v>
          </cell>
          <cell r="E155" t="str">
            <v>P14</v>
          </cell>
          <cell r="F155" t="str">
            <v>生产成本</v>
          </cell>
          <cell r="G155" t="str">
            <v>借</v>
          </cell>
        </row>
        <row r="156">
          <cell r="C156" t="str">
            <v>存货_制造费用</v>
          </cell>
          <cell r="D156" t="str">
            <v>资产</v>
          </cell>
          <cell r="E156" t="str">
            <v>P15</v>
          </cell>
          <cell r="F156" t="str">
            <v>制造费用</v>
          </cell>
          <cell r="G156" t="str">
            <v>借</v>
          </cell>
        </row>
        <row r="157">
          <cell r="C157" t="str">
            <v>存货_劳务成本</v>
          </cell>
          <cell r="D157" t="str">
            <v>资产</v>
          </cell>
          <cell r="E157" t="str">
            <v>P16</v>
          </cell>
          <cell r="F157" t="str">
            <v>劳务成本</v>
          </cell>
          <cell r="G157" t="str">
            <v>借</v>
          </cell>
        </row>
        <row r="158">
          <cell r="C158" t="str">
            <v>存货跌价准备</v>
          </cell>
          <cell r="D158" t="str">
            <v>资产</v>
          </cell>
          <cell r="E158" t="str">
            <v>P21</v>
          </cell>
          <cell r="F158" t="str">
            <v>在途物资,原材料,包装物,在产品,自制半成品,库存商品（产成品）,低值易耗品</v>
          </cell>
          <cell r="G158" t="str">
            <v>贷</v>
          </cell>
        </row>
        <row r="159">
          <cell r="C159" t="str">
            <v>代销商品款</v>
          </cell>
          <cell r="D159" t="str">
            <v>负债</v>
          </cell>
          <cell r="E159" t="str">
            <v>P22</v>
          </cell>
          <cell r="F159" t="str">
            <v>代销商品款</v>
          </cell>
          <cell r="G159" t="str">
            <v>贷</v>
          </cell>
        </row>
        <row r="160">
          <cell r="C160" t="str">
            <v>待摊费用</v>
          </cell>
          <cell r="D160" t="str">
            <v>资产</v>
          </cell>
          <cell r="E160" t="str">
            <v>P23</v>
          </cell>
          <cell r="F160" t="str">
            <v>待摊费用</v>
          </cell>
          <cell r="G160" t="str">
            <v>借</v>
          </cell>
        </row>
        <row r="161">
          <cell r="C161" t="str">
            <v>应付工资</v>
          </cell>
          <cell r="D161" t="str">
            <v>负债</v>
          </cell>
          <cell r="E161" t="str">
            <v>P24</v>
          </cell>
          <cell r="F161" t="str">
            <v>应付工资</v>
          </cell>
          <cell r="G161" t="str">
            <v>贷</v>
          </cell>
        </row>
        <row r="162">
          <cell r="C162" t="str">
            <v>应付福利费</v>
          </cell>
          <cell r="D162" t="str">
            <v>负债</v>
          </cell>
          <cell r="E162" t="str">
            <v>P25</v>
          </cell>
          <cell r="F162" t="str">
            <v>应付福利费</v>
          </cell>
          <cell r="G162" t="str">
            <v>贷</v>
          </cell>
        </row>
        <row r="163">
          <cell r="C163" t="str">
            <v>预提费用</v>
          </cell>
          <cell r="D163" t="str">
            <v>负债</v>
          </cell>
          <cell r="E163" t="str">
            <v>P26</v>
          </cell>
          <cell r="F163" t="str">
            <v>租金,保险费,借款利息</v>
          </cell>
          <cell r="G163" t="str">
            <v>贷</v>
          </cell>
        </row>
        <row r="164">
          <cell r="C164" t="str">
            <v>主营业务成本</v>
          </cell>
          <cell r="D164" t="str">
            <v>损益</v>
          </cell>
          <cell r="E164" t="str">
            <v>P27</v>
          </cell>
          <cell r="F164" t="str">
            <v>主营业务成本</v>
          </cell>
          <cell r="G164" t="str">
            <v>借</v>
          </cell>
        </row>
        <row r="165">
          <cell r="C165" t="str">
            <v>货币资金</v>
          </cell>
          <cell r="D165" t="str">
            <v>资产</v>
          </cell>
          <cell r="E165" t="str">
            <v>F01</v>
          </cell>
          <cell r="F165" t="str">
            <v>现金,银行存款,其他货币资金</v>
          </cell>
          <cell r="G165" t="str">
            <v>借</v>
          </cell>
        </row>
        <row r="166">
          <cell r="C166" t="str">
            <v>现金</v>
          </cell>
          <cell r="D166" t="str">
            <v>资产</v>
          </cell>
          <cell r="E166" t="str">
            <v>F02</v>
          </cell>
          <cell r="F166" t="str">
            <v>现金</v>
          </cell>
          <cell r="G166" t="str">
            <v>借</v>
          </cell>
        </row>
        <row r="167">
          <cell r="C167" t="str">
            <v>银行存款</v>
          </cell>
          <cell r="D167" t="str">
            <v>资产</v>
          </cell>
          <cell r="E167" t="str">
            <v>F03</v>
          </cell>
          <cell r="F167" t="str">
            <v>银行存款</v>
          </cell>
          <cell r="G167" t="str">
            <v>借</v>
          </cell>
        </row>
        <row r="168">
          <cell r="C168" t="str">
            <v>其他货币资金</v>
          </cell>
          <cell r="D168" t="str">
            <v>资产</v>
          </cell>
          <cell r="E168" t="str">
            <v>F04</v>
          </cell>
          <cell r="F168" t="str">
            <v>其他货币资金</v>
          </cell>
          <cell r="G168" t="str">
            <v>借</v>
          </cell>
        </row>
        <row r="169">
          <cell r="C169" t="str">
            <v>短期投资</v>
          </cell>
          <cell r="D169" t="str">
            <v>资产</v>
          </cell>
          <cell r="E169" t="str">
            <v>F12</v>
          </cell>
          <cell r="F169" t="str">
            <v>股权投资,债券投资,基金投资,委托贷款</v>
          </cell>
          <cell r="G169" t="str">
            <v>借</v>
          </cell>
        </row>
        <row r="170">
          <cell r="C170" t="str">
            <v>短期投资跌价准备</v>
          </cell>
          <cell r="D170" t="str">
            <v>资产</v>
          </cell>
          <cell r="E170" t="str">
            <v>F13</v>
          </cell>
          <cell r="F170" t="str">
            <v>股权投资,债券投资,基金投资,委托贷款</v>
          </cell>
          <cell r="G170" t="str">
            <v>贷</v>
          </cell>
        </row>
        <row r="171">
          <cell r="C171" t="str">
            <v>委托贷款_短期投资</v>
          </cell>
          <cell r="D171" t="str">
            <v>资产</v>
          </cell>
          <cell r="E171" t="str">
            <v>F14</v>
          </cell>
          <cell r="F171" t="str">
            <v>短期投资</v>
          </cell>
          <cell r="G171" t="str">
            <v>借</v>
          </cell>
        </row>
        <row r="172">
          <cell r="C172" t="str">
            <v>应收股利</v>
          </cell>
          <cell r="D172" t="str">
            <v>资产</v>
          </cell>
          <cell r="E172" t="str">
            <v>F15</v>
          </cell>
          <cell r="F172" t="str">
            <v>应收股利</v>
          </cell>
          <cell r="G172" t="str">
            <v>借</v>
          </cell>
        </row>
        <row r="173">
          <cell r="C173" t="str">
            <v>应收利息</v>
          </cell>
          <cell r="D173" t="str">
            <v>资产</v>
          </cell>
          <cell r="E173" t="str">
            <v>F16</v>
          </cell>
          <cell r="F173" t="str">
            <v>应收利息</v>
          </cell>
          <cell r="G173" t="str">
            <v>借</v>
          </cell>
        </row>
        <row r="174">
          <cell r="C174" t="str">
            <v>其他应收款</v>
          </cell>
          <cell r="D174" t="str">
            <v>资产</v>
          </cell>
          <cell r="E174" t="str">
            <v>F18</v>
          </cell>
          <cell r="F174" t="str">
            <v>1年以内,1—2年,2—3年,3年以上</v>
          </cell>
          <cell r="G174" t="str">
            <v>借</v>
          </cell>
        </row>
        <row r="175">
          <cell r="C175" t="str">
            <v>坏账准备_其他应收款</v>
          </cell>
          <cell r="D175" t="str">
            <v>资产</v>
          </cell>
          <cell r="E175" t="str">
            <v>F19</v>
          </cell>
          <cell r="F175" t="str">
            <v>1年以内,1—2年,2—3年,3年以上</v>
          </cell>
          <cell r="G175" t="str">
            <v>贷</v>
          </cell>
        </row>
        <row r="176">
          <cell r="C176" t="str">
            <v>应收补贴款</v>
          </cell>
          <cell r="D176" t="str">
            <v>资产</v>
          </cell>
          <cell r="E176" t="str">
            <v>F20</v>
          </cell>
          <cell r="F176" t="str">
            <v>专项补贴</v>
          </cell>
          <cell r="G176" t="str">
            <v>借</v>
          </cell>
        </row>
        <row r="177">
          <cell r="C177" t="str">
            <v>一年内到期的长期债权投资</v>
          </cell>
          <cell r="D177" t="str">
            <v>资产</v>
          </cell>
          <cell r="E177" t="str">
            <v>F22</v>
          </cell>
          <cell r="F177" t="str">
            <v>长期债权投资</v>
          </cell>
          <cell r="G177" t="str">
            <v>借</v>
          </cell>
        </row>
        <row r="178">
          <cell r="C178" t="str">
            <v>其他流动资产</v>
          </cell>
          <cell r="D178" t="str">
            <v>资产</v>
          </cell>
          <cell r="E178" t="str">
            <v>F23</v>
          </cell>
          <cell r="F178" t="str">
            <v>其他流动资产</v>
          </cell>
          <cell r="G178" t="str">
            <v>借</v>
          </cell>
        </row>
        <row r="179">
          <cell r="C179" t="str">
            <v>长期股权投资</v>
          </cell>
          <cell r="D179" t="str">
            <v>资产</v>
          </cell>
          <cell r="E179" t="str">
            <v>F31</v>
          </cell>
          <cell r="F179" t="str">
            <v>股票投资,按权益法核算的长期投资,按成本法核算的长期投资,其他股权投资,股权投资差额</v>
          </cell>
          <cell r="G179" t="str">
            <v>借</v>
          </cell>
        </row>
        <row r="180">
          <cell r="C180" t="str">
            <v>长期投资减值准备_长期股权投资</v>
          </cell>
          <cell r="D180" t="str">
            <v>资产</v>
          </cell>
          <cell r="E180" t="str">
            <v>F32</v>
          </cell>
          <cell r="F180" t="str">
            <v>股票投资,其他股权投资</v>
          </cell>
          <cell r="G180" t="str">
            <v>贷</v>
          </cell>
        </row>
        <row r="181">
          <cell r="C181" t="str">
            <v>拨付所属资金</v>
          </cell>
          <cell r="D181" t="str">
            <v>资产</v>
          </cell>
          <cell r="E181" t="str">
            <v>F33</v>
          </cell>
          <cell r="F181" t="str">
            <v>拨付所属资金</v>
          </cell>
          <cell r="G181" t="str">
            <v>借</v>
          </cell>
        </row>
        <row r="182">
          <cell r="C182" t="str">
            <v>长期债权投资</v>
          </cell>
          <cell r="D182" t="str">
            <v>资产</v>
          </cell>
          <cell r="E182" t="str">
            <v>F35</v>
          </cell>
          <cell r="F182" t="str">
            <v>长期债权投资</v>
          </cell>
          <cell r="G182" t="str">
            <v>借</v>
          </cell>
        </row>
        <row r="183">
          <cell r="C183" t="str">
            <v>长期投资减值准备_长期债权投资</v>
          </cell>
          <cell r="D183" t="str">
            <v>资产</v>
          </cell>
          <cell r="E183" t="str">
            <v>F36</v>
          </cell>
          <cell r="F183" t="str">
            <v>长期债权投资</v>
          </cell>
          <cell r="G183" t="str">
            <v>贷</v>
          </cell>
        </row>
        <row r="184">
          <cell r="C184" t="str">
            <v>委托贷款_长期投资</v>
          </cell>
          <cell r="D184" t="str">
            <v>资产</v>
          </cell>
          <cell r="E184" t="str">
            <v>F37</v>
          </cell>
          <cell r="F184" t="str">
            <v>长期投资</v>
          </cell>
          <cell r="G184" t="str">
            <v>借</v>
          </cell>
        </row>
        <row r="185">
          <cell r="C185" t="str">
            <v>无形资产</v>
          </cell>
          <cell r="D185" t="str">
            <v>资产</v>
          </cell>
          <cell r="E185" t="str">
            <v>F40</v>
          </cell>
          <cell r="F185" t="str">
            <v>无形资产</v>
          </cell>
          <cell r="G185" t="str">
            <v>借</v>
          </cell>
        </row>
        <row r="186">
          <cell r="C186" t="str">
            <v>无形资产减值准备</v>
          </cell>
          <cell r="D186" t="str">
            <v>资产</v>
          </cell>
          <cell r="E186" t="str">
            <v>F41</v>
          </cell>
          <cell r="F186" t="str">
            <v>无形资产</v>
          </cell>
          <cell r="G186" t="str">
            <v>贷</v>
          </cell>
        </row>
        <row r="187">
          <cell r="C187" t="str">
            <v>长期待摊费用</v>
          </cell>
          <cell r="D187" t="str">
            <v>资产</v>
          </cell>
          <cell r="E187" t="str">
            <v>F42</v>
          </cell>
          <cell r="F187" t="str">
            <v>长期待摊费用</v>
          </cell>
          <cell r="G187" t="str">
            <v>借</v>
          </cell>
        </row>
        <row r="188">
          <cell r="C188" t="str">
            <v>其他长期资产</v>
          </cell>
          <cell r="D188" t="str">
            <v>资产</v>
          </cell>
          <cell r="E188" t="str">
            <v>F44</v>
          </cell>
          <cell r="F188" t="str">
            <v>其他长期资产</v>
          </cell>
          <cell r="G188" t="str">
            <v>借</v>
          </cell>
        </row>
        <row r="189">
          <cell r="C189" t="str">
            <v>待处理财产损溢</v>
          </cell>
          <cell r="D189" t="str">
            <v>资产</v>
          </cell>
          <cell r="E189" t="str">
            <v>F47</v>
          </cell>
          <cell r="F189" t="str">
            <v>待处理财产损溢</v>
          </cell>
          <cell r="G189" t="str">
            <v>借</v>
          </cell>
        </row>
        <row r="190">
          <cell r="C190" t="str">
            <v>短期借款</v>
          </cell>
          <cell r="D190" t="str">
            <v>负债</v>
          </cell>
          <cell r="E190" t="str">
            <v>F50</v>
          </cell>
          <cell r="F190" t="str">
            <v>信用借款,抵押借款,保证借款,质押借款</v>
          </cell>
          <cell r="G190" t="str">
            <v>贷</v>
          </cell>
        </row>
        <row r="191">
          <cell r="C191" t="str">
            <v>应付股利</v>
          </cell>
          <cell r="D191" t="str">
            <v>负债</v>
          </cell>
          <cell r="E191" t="str">
            <v>F51</v>
          </cell>
          <cell r="F191" t="str">
            <v>应付股利</v>
          </cell>
          <cell r="G191" t="str">
            <v>贷</v>
          </cell>
        </row>
        <row r="192">
          <cell r="C192" t="str">
            <v>其他应付款</v>
          </cell>
          <cell r="D192" t="str">
            <v>负债</v>
          </cell>
          <cell r="E192" t="str">
            <v>F52</v>
          </cell>
          <cell r="F192" t="str">
            <v>其他应付款</v>
          </cell>
          <cell r="G192" t="str">
            <v>贷</v>
          </cell>
        </row>
        <row r="193">
          <cell r="C193" t="str">
            <v>内部往来</v>
          </cell>
          <cell r="D193" t="str">
            <v>负债</v>
          </cell>
          <cell r="E193" t="str">
            <v>F53</v>
          </cell>
          <cell r="F193" t="str">
            <v>内部往来</v>
          </cell>
          <cell r="G193" t="str">
            <v>贷</v>
          </cell>
        </row>
        <row r="194">
          <cell r="C194" t="str">
            <v>预计负债</v>
          </cell>
          <cell r="D194" t="str">
            <v>负债</v>
          </cell>
          <cell r="E194" t="str">
            <v>F54</v>
          </cell>
          <cell r="F194" t="str">
            <v>对外担保,商业承兑票据贴现,未决诉讼,产品质量保证</v>
          </cell>
          <cell r="G194" t="str">
            <v>贷</v>
          </cell>
        </row>
        <row r="195">
          <cell r="C195" t="str">
            <v>一年内到期的长期负债</v>
          </cell>
          <cell r="D195" t="str">
            <v>负债</v>
          </cell>
          <cell r="E195" t="str">
            <v>F55</v>
          </cell>
          <cell r="F195" t="str">
            <v>长期负债</v>
          </cell>
          <cell r="G195" t="str">
            <v>贷</v>
          </cell>
        </row>
        <row r="196">
          <cell r="C196" t="str">
            <v>其他流动负债</v>
          </cell>
          <cell r="D196" t="str">
            <v>负债</v>
          </cell>
          <cell r="E196" t="str">
            <v>F56</v>
          </cell>
          <cell r="F196" t="str">
            <v>其他流动负债</v>
          </cell>
          <cell r="G196" t="str">
            <v>贷</v>
          </cell>
        </row>
        <row r="197">
          <cell r="C197" t="str">
            <v>待转资产价值</v>
          </cell>
          <cell r="D197" t="str">
            <v>负债</v>
          </cell>
          <cell r="E197" t="str">
            <v>F57</v>
          </cell>
          <cell r="F197" t="str">
            <v>待转资产价值</v>
          </cell>
          <cell r="G197" t="str">
            <v>贷</v>
          </cell>
        </row>
        <row r="198">
          <cell r="C198" t="str">
            <v>长期借款</v>
          </cell>
          <cell r="D198" t="str">
            <v>负债</v>
          </cell>
          <cell r="E198" t="str">
            <v>F60</v>
          </cell>
          <cell r="F198" t="str">
            <v>长期借款</v>
          </cell>
          <cell r="G198" t="str">
            <v>贷</v>
          </cell>
        </row>
        <row r="199">
          <cell r="C199" t="str">
            <v>应付债券</v>
          </cell>
          <cell r="D199" t="str">
            <v>负债</v>
          </cell>
          <cell r="E199" t="str">
            <v>F61</v>
          </cell>
          <cell r="F199" t="str">
            <v>应付债券</v>
          </cell>
          <cell r="G199" t="str">
            <v>贷</v>
          </cell>
        </row>
        <row r="200">
          <cell r="C200" t="str">
            <v>长期应付款</v>
          </cell>
          <cell r="D200" t="str">
            <v>负债</v>
          </cell>
          <cell r="E200" t="str">
            <v>F63</v>
          </cell>
          <cell r="F200" t="str">
            <v>补偿贸易引进国外设备款,融资租赁固定资产租赁款</v>
          </cell>
          <cell r="G200" t="str">
            <v>贷</v>
          </cell>
        </row>
        <row r="201">
          <cell r="C201" t="str">
            <v>长期应付款_未确认融资费用</v>
          </cell>
          <cell r="D201" t="str">
            <v>负债</v>
          </cell>
          <cell r="E201" t="str">
            <v>F64</v>
          </cell>
          <cell r="F201" t="str">
            <v>未确认融资费用</v>
          </cell>
          <cell r="G201" t="str">
            <v>贷</v>
          </cell>
        </row>
        <row r="202">
          <cell r="C202" t="str">
            <v>专项应付款</v>
          </cell>
          <cell r="D202" t="str">
            <v>负债</v>
          </cell>
          <cell r="E202" t="str">
            <v>F65</v>
          </cell>
          <cell r="F202" t="str">
            <v>专项应付款</v>
          </cell>
          <cell r="G202" t="str">
            <v>贷</v>
          </cell>
        </row>
        <row r="203">
          <cell r="C203" t="str">
            <v>其他长期负债</v>
          </cell>
          <cell r="D203" t="str">
            <v>负债</v>
          </cell>
          <cell r="E203" t="str">
            <v>F66</v>
          </cell>
          <cell r="F203" t="str">
            <v>其他长期负债</v>
          </cell>
          <cell r="G203" t="str">
            <v>贷</v>
          </cell>
        </row>
        <row r="204">
          <cell r="C204" t="str">
            <v>递延税款</v>
          </cell>
          <cell r="D204" t="str">
            <v>负债</v>
          </cell>
          <cell r="E204" t="str">
            <v>F69</v>
          </cell>
          <cell r="F204" t="str">
            <v>递延税款</v>
          </cell>
          <cell r="G204" t="str">
            <v>贷</v>
          </cell>
        </row>
        <row r="205">
          <cell r="C205" t="str">
            <v>股本</v>
          </cell>
          <cell r="D205" t="str">
            <v>所有者权益</v>
          </cell>
          <cell r="E205" t="str">
            <v>F71</v>
          </cell>
          <cell r="F205" t="str">
            <v>股本</v>
          </cell>
          <cell r="G205" t="str">
            <v>贷</v>
          </cell>
        </row>
        <row r="206">
          <cell r="C206" t="str">
            <v>公司拨入资金</v>
          </cell>
          <cell r="D206" t="str">
            <v>所有者权益</v>
          </cell>
          <cell r="E206" t="str">
            <v>F72</v>
          </cell>
          <cell r="F206" t="str">
            <v>公司拨入资金</v>
          </cell>
          <cell r="G206" t="str">
            <v>贷</v>
          </cell>
        </row>
        <row r="207">
          <cell r="C207" t="str">
            <v>已归还投资</v>
          </cell>
          <cell r="D207" t="str">
            <v>所有者权益</v>
          </cell>
          <cell r="E207" t="str">
            <v>F73</v>
          </cell>
          <cell r="F207" t="str">
            <v>已归还投资</v>
          </cell>
          <cell r="G207" t="str">
            <v>贷</v>
          </cell>
        </row>
        <row r="208">
          <cell r="C208" t="str">
            <v>资本公积</v>
          </cell>
          <cell r="D208" t="str">
            <v>所有者权益</v>
          </cell>
          <cell r="E208" t="str">
            <v>F74</v>
          </cell>
          <cell r="F208" t="str">
            <v>资本溢价,接受捐赠非现金资产准备,接受现金捐赠,股权投资准备,拨款转入,外币资本折算差额,其他</v>
          </cell>
          <cell r="G208" t="str">
            <v>贷</v>
          </cell>
        </row>
        <row r="209">
          <cell r="C209" t="str">
            <v>盈余公积</v>
          </cell>
          <cell r="D209" t="str">
            <v>所有者权益</v>
          </cell>
          <cell r="E209" t="str">
            <v>F75</v>
          </cell>
          <cell r="F209" t="str">
            <v>法定盈余公积,法定公益金,任意盈余公积,补充流动资本,储备基金,企业发展基金,利润归还投资</v>
          </cell>
          <cell r="G209" t="str">
            <v>贷</v>
          </cell>
        </row>
        <row r="210">
          <cell r="C210" t="str">
            <v>盈余公积_公益金</v>
          </cell>
          <cell r="D210" t="str">
            <v>所有者权益</v>
          </cell>
          <cell r="E210" t="str">
            <v>F75</v>
          </cell>
          <cell r="F210" t="str">
            <v>公益金</v>
          </cell>
          <cell r="G210" t="str">
            <v>贷</v>
          </cell>
        </row>
        <row r="211">
          <cell r="C211" t="str">
            <v>未分配利润</v>
          </cell>
          <cell r="D211" t="str">
            <v>所有者权益</v>
          </cell>
          <cell r="E211" t="str">
            <v>F76</v>
          </cell>
          <cell r="F211" t="str">
            <v>未分配利润</v>
          </cell>
          <cell r="G211" t="str">
            <v>贷</v>
          </cell>
        </row>
        <row r="212">
          <cell r="C212" t="str">
            <v>管理费用</v>
          </cell>
          <cell r="D212" t="str">
            <v>损益</v>
          </cell>
          <cell r="E212" t="str">
            <v>F80</v>
          </cell>
          <cell r="F212" t="str">
            <v>管理费用</v>
          </cell>
          <cell r="G212" t="str">
            <v>借</v>
          </cell>
        </row>
        <row r="213">
          <cell r="C213" t="str">
            <v>财务费用</v>
          </cell>
          <cell r="D213" t="str">
            <v>损益</v>
          </cell>
          <cell r="E213" t="str">
            <v>F81</v>
          </cell>
          <cell r="F213" t="str">
            <v>利息支出,利息收入,汇兑损失,汇兑收益,其他</v>
          </cell>
          <cell r="G213" t="str">
            <v>借</v>
          </cell>
        </row>
        <row r="214">
          <cell r="C214" t="str">
            <v>投资收益</v>
          </cell>
          <cell r="D214" t="str">
            <v>损益</v>
          </cell>
          <cell r="E214" t="str">
            <v>F82</v>
          </cell>
          <cell r="F214" t="str">
            <v>股权投资收益,债权投资收益,联营或合营公司分配的利润,按权益法确认的投资收益,股权投资差额摊销,股权投资转让收益,期末调整的被投资公司所有者权益净增减的金额,其他</v>
          </cell>
          <cell r="G214" t="str">
            <v>贷</v>
          </cell>
        </row>
        <row r="215">
          <cell r="C215" t="str">
            <v>补贴收入</v>
          </cell>
          <cell r="D215" t="str">
            <v>损益</v>
          </cell>
          <cell r="E215" t="str">
            <v>F83</v>
          </cell>
          <cell r="F215" t="str">
            <v>补贴收入</v>
          </cell>
          <cell r="G215" t="str">
            <v>贷</v>
          </cell>
        </row>
        <row r="216">
          <cell r="C216" t="str">
            <v>营业外收入</v>
          </cell>
          <cell r="D216" t="str">
            <v>损益</v>
          </cell>
          <cell r="E216" t="str">
            <v>F84</v>
          </cell>
          <cell r="F216" t="str">
            <v>营业外收入</v>
          </cell>
          <cell r="G216" t="str">
            <v>贷</v>
          </cell>
        </row>
        <row r="217">
          <cell r="C217" t="str">
            <v>营业外支出</v>
          </cell>
          <cell r="D217" t="str">
            <v>损益</v>
          </cell>
          <cell r="E217" t="str">
            <v>F85</v>
          </cell>
          <cell r="F217" t="str">
            <v>营业外支出</v>
          </cell>
          <cell r="G217" t="str">
            <v>借</v>
          </cell>
        </row>
        <row r="218">
          <cell r="C218" t="str">
            <v>所得税</v>
          </cell>
          <cell r="D218" t="str">
            <v>损益</v>
          </cell>
          <cell r="E218" t="str">
            <v>F86</v>
          </cell>
          <cell r="F218" t="str">
            <v>所得税</v>
          </cell>
          <cell r="G218" t="str">
            <v>借</v>
          </cell>
        </row>
        <row r="219">
          <cell r="C219" t="str">
            <v>以前年度损益调整</v>
          </cell>
          <cell r="D219" t="str">
            <v>损益</v>
          </cell>
          <cell r="E219" t="str">
            <v>F87</v>
          </cell>
          <cell r="F219" t="str">
            <v>以前年度损益调整</v>
          </cell>
          <cell r="G219" t="str">
            <v>借</v>
          </cell>
        </row>
        <row r="220">
          <cell r="C220" t="str">
            <v>*少数股东权益</v>
          </cell>
          <cell r="D220" t="str">
            <v>负债</v>
          </cell>
          <cell r="G220" t="str">
            <v>贷</v>
          </cell>
        </row>
        <row r="221">
          <cell r="C221" t="str">
            <v>年初未分配利润</v>
          </cell>
          <cell r="D221" t="str">
            <v>所有者权益</v>
          </cell>
          <cell r="E221" t="str">
            <v>F76</v>
          </cell>
          <cell r="G221" t="str">
            <v>贷</v>
          </cell>
        </row>
        <row r="222">
          <cell r="C222" t="str">
            <v>其他转入</v>
          </cell>
          <cell r="D222" t="str">
            <v>所有者权益</v>
          </cell>
          <cell r="E222" t="str">
            <v>F76</v>
          </cell>
          <cell r="G222" t="str">
            <v>贷</v>
          </cell>
        </row>
        <row r="223">
          <cell r="C223" t="str">
            <v>*合并价差</v>
          </cell>
          <cell r="D223" t="str">
            <v>资产</v>
          </cell>
          <cell r="G223" t="str">
            <v>借</v>
          </cell>
        </row>
        <row r="224">
          <cell r="C224" t="str">
            <v>*少数股东本期损益</v>
          </cell>
          <cell r="D224" t="str">
            <v>损益</v>
          </cell>
          <cell r="G224" t="str">
            <v>借</v>
          </cell>
        </row>
        <row r="225">
          <cell r="C225" t="str">
            <v>利润分配_提取法定盈余公积</v>
          </cell>
          <cell r="D225" t="str">
            <v>所有者权益</v>
          </cell>
          <cell r="E225" t="str">
            <v>F76</v>
          </cell>
          <cell r="G225" t="str">
            <v>借</v>
          </cell>
        </row>
        <row r="226">
          <cell r="C226" t="str">
            <v>利润分配_提取法定公益金</v>
          </cell>
          <cell r="D226" t="str">
            <v>所有者权益</v>
          </cell>
          <cell r="E226" t="str">
            <v>F76</v>
          </cell>
          <cell r="G226" t="str">
            <v>借</v>
          </cell>
        </row>
        <row r="227">
          <cell r="C227" t="str">
            <v>利润分配_提取职工奖励及福利基金</v>
          </cell>
          <cell r="D227" t="str">
            <v>所有者权益</v>
          </cell>
          <cell r="E227" t="str">
            <v>F76</v>
          </cell>
          <cell r="G227" t="str">
            <v>借</v>
          </cell>
        </row>
        <row r="228">
          <cell r="C228" t="str">
            <v>利润分配_提取储备基金</v>
          </cell>
          <cell r="D228" t="str">
            <v>所有者权益</v>
          </cell>
          <cell r="E228" t="str">
            <v>F76</v>
          </cell>
          <cell r="G228" t="str">
            <v>借</v>
          </cell>
        </row>
        <row r="229">
          <cell r="C229" t="str">
            <v>利润分配_提取企业发展基金</v>
          </cell>
          <cell r="D229" t="str">
            <v>所有者权益</v>
          </cell>
          <cell r="E229" t="str">
            <v>F76</v>
          </cell>
          <cell r="G229" t="str">
            <v>借</v>
          </cell>
        </row>
        <row r="230">
          <cell r="C230" t="str">
            <v>利润分配_利润归还投资</v>
          </cell>
          <cell r="D230" t="str">
            <v>所有者权益</v>
          </cell>
          <cell r="E230" t="str">
            <v>F76</v>
          </cell>
          <cell r="G230" t="str">
            <v>借</v>
          </cell>
        </row>
        <row r="231">
          <cell r="C231" t="str">
            <v>利润分配_应付优先股股利</v>
          </cell>
          <cell r="D231" t="str">
            <v>所有者权益</v>
          </cell>
          <cell r="E231" t="str">
            <v>F76</v>
          </cell>
          <cell r="G231" t="str">
            <v>借</v>
          </cell>
        </row>
        <row r="232">
          <cell r="C232" t="str">
            <v>利润分配_提取任意盈余公积</v>
          </cell>
          <cell r="D232" t="str">
            <v>所有者权益</v>
          </cell>
          <cell r="E232" t="str">
            <v>F76</v>
          </cell>
          <cell r="G232" t="str">
            <v>借</v>
          </cell>
        </row>
        <row r="233">
          <cell r="C233" t="str">
            <v>利润分配_应付普通股股利</v>
          </cell>
          <cell r="D233" t="str">
            <v>所有者权益</v>
          </cell>
          <cell r="E233" t="str">
            <v>F76</v>
          </cell>
          <cell r="G233" t="str">
            <v>借</v>
          </cell>
        </row>
        <row r="234">
          <cell r="C234" t="str">
            <v>利润分配_转作普通股股利</v>
          </cell>
          <cell r="D234" t="str">
            <v>所有者权益</v>
          </cell>
          <cell r="E234" t="str">
            <v>F76</v>
          </cell>
          <cell r="G234" t="str">
            <v>借</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工作表目录"/>
      <sheetName val="待补资料清单"/>
      <sheetName val="索引"/>
      <sheetName val="余额表"/>
      <sheetName val="应收账款Cx"/>
      <sheetName val="应收账款Dy"/>
      <sheetName val="应收账款Mx"/>
      <sheetName val="账龄分析（未审）"/>
      <sheetName val="函证汇总表"/>
      <sheetName val="应收账款Pz"/>
      <sheetName val="应收账款_回款Pz"/>
      <sheetName val="函证地址清单"/>
      <sheetName val="应收账款Db"/>
      <sheetName val="递延所得税资产Cx"/>
      <sheetName val="递延所得税资产Dy"/>
      <sheetName val="预收款项Cx"/>
      <sheetName val="预收账款Dy"/>
      <sheetName val="应交税费-所得税明细Db"/>
      <sheetName val="应交税费Cx"/>
      <sheetName val="应交税费Dy"/>
      <sheetName val="应交税费Mx"/>
      <sheetName val="城建税测算"/>
      <sheetName val="税务所报告"/>
      <sheetName val="主营业务收入Dy"/>
      <sheetName val="主营业务收入Mx"/>
      <sheetName val="主营业务收入价格分析"/>
      <sheetName val="截止测试—明细帐至报关单"/>
      <sheetName val="跨期调整明细"/>
      <sheetName val="截止测试-报关单至明细帐"/>
      <sheetName val="主营业务收入Pz"/>
      <sheetName val="主营业务收入跨期明细"/>
      <sheetName val="主营业务收入订单检查"/>
      <sheetName val="2012内销"/>
      <sheetName val="2012外销"/>
      <sheetName val="收入分客户月波动分析"/>
      <sheetName val="营业收入Cx"/>
      <sheetName val="营业税金及附加Cx"/>
      <sheetName val="营业税金及附加Dy"/>
      <sheetName val="销售费用Cx"/>
      <sheetName val="销售费用Dy"/>
      <sheetName val="销售费用Mx"/>
      <sheetName val="销售费用Pz"/>
      <sheetName val="销售费用截止测试"/>
      <sheetName val="资产减值损失Cx"/>
      <sheetName val="资产减值损失Dy"/>
      <sheetName val="所得税费用Cx"/>
      <sheetName val="所得税费用Dy"/>
      <sheetName val="所得税费用Mx"/>
      <sheetName val="分录"/>
      <sheetName val="了解内部控制"/>
      <sheetName val="汇总"/>
      <sheetName val="了解业务流程_销售与收款"/>
      <sheetName val="评价控制的设计"/>
      <sheetName val="确定控制是否得到执行"/>
      <sheetName val="控制测试"/>
      <sheetName val="控制测试汇总"/>
      <sheetName val="控制1"/>
      <sheetName val="标本-资产"/>
    </sheetNames>
    <sheetDataSet>
      <sheetData sheetId="0" refreshError="1"/>
      <sheetData sheetId="1" refreshError="1"/>
      <sheetData sheetId="2">
        <row r="4">
          <cell r="C4" t="str">
            <v>江苏传艺科技有限公司</v>
          </cell>
        </row>
        <row r="6">
          <cell r="C6">
            <v>41274</v>
          </cell>
        </row>
        <row r="7">
          <cell r="C7" t="str">
            <v>2012年度</v>
          </cell>
          <cell r="D7" t="str">
            <v/>
          </cell>
        </row>
        <row r="8">
          <cell r="C8" t="str">
            <v>蔡玲</v>
          </cell>
        </row>
        <row r="13">
          <cell r="D13" t="str">
            <v>工    作    底    稿</v>
          </cell>
          <cell r="E13" t="str">
            <v>审计人员</v>
          </cell>
        </row>
        <row r="14">
          <cell r="D14" t="str">
            <v/>
          </cell>
          <cell r="E14" t="str">
            <v/>
          </cell>
          <cell r="F14" t="str">
            <v/>
          </cell>
        </row>
        <row r="15">
          <cell r="D15" t="str">
            <v>应收账款</v>
          </cell>
          <cell r="E15" t="str">
            <v>蔡玲</v>
          </cell>
          <cell r="F15">
            <v>1122</v>
          </cell>
        </row>
        <row r="16">
          <cell r="D16" t="str">
            <v>应交税费</v>
          </cell>
          <cell r="E16" t="str">
            <v>蔡玲</v>
          </cell>
          <cell r="F16">
            <v>2221</v>
          </cell>
        </row>
        <row r="17">
          <cell r="D17" t="str">
            <v>应付股利</v>
          </cell>
          <cell r="E17" t="str">
            <v>蔡玲</v>
          </cell>
          <cell r="F17">
            <v>2232</v>
          </cell>
        </row>
        <row r="18">
          <cell r="D18" t="str">
            <v>主营业务收入</v>
          </cell>
          <cell r="E18" t="str">
            <v>蔡玲</v>
          </cell>
          <cell r="F18">
            <v>6001</v>
          </cell>
        </row>
        <row r="19">
          <cell r="D19" t="str">
            <v>预收账款</v>
          </cell>
          <cell r="E19" t="str">
            <v>蔡玲</v>
          </cell>
          <cell r="F19">
            <v>2205</v>
          </cell>
        </row>
        <row r="20">
          <cell r="D20" t="str">
            <v>所得税费用</v>
          </cell>
          <cell r="E20" t="str">
            <v>蔡玲</v>
          </cell>
          <cell r="F20">
            <v>6801</v>
          </cell>
        </row>
        <row r="21">
          <cell r="D21" t="str">
            <v>递延所得税资产</v>
          </cell>
          <cell r="E21" t="str">
            <v>蔡玲</v>
          </cell>
          <cell r="F21">
            <v>1811</v>
          </cell>
        </row>
        <row r="22">
          <cell r="D22" t="str">
            <v>营业税金及附加</v>
          </cell>
          <cell r="E22" t="str">
            <v>蔡玲</v>
          </cell>
          <cell r="F22">
            <v>6600</v>
          </cell>
        </row>
        <row r="23">
          <cell r="D23" t="str">
            <v>销售费用</v>
          </cell>
          <cell r="E23" t="str">
            <v>蔡玲</v>
          </cell>
          <cell r="F23">
            <v>6601</v>
          </cell>
        </row>
        <row r="24">
          <cell r="D24" t="str">
            <v>资产减值损失</v>
          </cell>
          <cell r="E24" t="str">
            <v>蔡玲</v>
          </cell>
          <cell r="F24">
            <v>6701</v>
          </cell>
        </row>
        <row r="25">
          <cell r="E25" t="str">
            <v/>
          </cell>
          <cell r="F25" t="str">
            <v/>
          </cell>
        </row>
        <row r="26">
          <cell r="E26" t="str">
            <v/>
          </cell>
          <cell r="F26" t="str">
            <v/>
          </cell>
        </row>
        <row r="27">
          <cell r="E27" t="str">
            <v/>
          </cell>
          <cell r="F27" t="str">
            <v/>
          </cell>
        </row>
        <row r="28">
          <cell r="E28" t="str">
            <v/>
          </cell>
          <cell r="F28" t="str">
            <v/>
          </cell>
        </row>
        <row r="29">
          <cell r="E29" t="str">
            <v/>
          </cell>
          <cell r="F29" t="str">
            <v/>
          </cell>
        </row>
        <row r="30">
          <cell r="E30" t="str">
            <v/>
          </cell>
          <cell r="F30" t="str">
            <v/>
          </cell>
        </row>
        <row r="31">
          <cell r="E31" t="str">
            <v/>
          </cell>
          <cell r="F31" t="str">
            <v/>
          </cell>
        </row>
        <row r="32">
          <cell r="E32" t="str">
            <v/>
          </cell>
          <cell r="F32" t="str">
            <v/>
          </cell>
        </row>
        <row r="33">
          <cell r="E33" t="str">
            <v/>
          </cell>
          <cell r="F33" t="str">
            <v/>
          </cell>
        </row>
        <row r="34">
          <cell r="E34" t="str">
            <v/>
          </cell>
          <cell r="F34" t="str">
            <v/>
          </cell>
        </row>
        <row r="35">
          <cell r="E35" t="str">
            <v/>
          </cell>
          <cell r="F35" t="str">
            <v/>
          </cell>
        </row>
        <row r="36">
          <cell r="E36" t="str">
            <v/>
          </cell>
          <cell r="F36" t="str">
            <v/>
          </cell>
        </row>
        <row r="37">
          <cell r="E37" t="str">
            <v/>
          </cell>
          <cell r="F37" t="str">
            <v/>
          </cell>
        </row>
        <row r="38">
          <cell r="E38" t="str">
            <v/>
          </cell>
          <cell r="F38" t="str">
            <v/>
          </cell>
        </row>
        <row r="39">
          <cell r="E39" t="str">
            <v/>
          </cell>
          <cell r="F39" t="str">
            <v/>
          </cell>
        </row>
        <row r="40">
          <cell r="E40" t="str">
            <v/>
          </cell>
          <cell r="F40" t="str">
            <v/>
          </cell>
        </row>
        <row r="41">
          <cell r="E41" t="str">
            <v/>
          </cell>
          <cell r="F41" t="str">
            <v/>
          </cell>
        </row>
        <row r="42">
          <cell r="E42" t="str">
            <v/>
          </cell>
          <cell r="F42" t="str">
            <v/>
          </cell>
        </row>
        <row r="43">
          <cell r="E43" t="str">
            <v/>
          </cell>
          <cell r="F43" t="str">
            <v/>
          </cell>
        </row>
        <row r="44">
          <cell r="E44" t="str">
            <v/>
          </cell>
          <cell r="F44" t="str">
            <v/>
          </cell>
        </row>
        <row r="45">
          <cell r="E45" t="str">
            <v/>
          </cell>
          <cell r="F45" t="str">
            <v/>
          </cell>
        </row>
        <row r="46">
          <cell r="E46" t="str">
            <v/>
          </cell>
          <cell r="F46" t="str">
            <v/>
          </cell>
        </row>
        <row r="47">
          <cell r="E47" t="str">
            <v/>
          </cell>
          <cell r="F47" t="str">
            <v/>
          </cell>
        </row>
        <row r="48">
          <cell r="E48" t="str">
            <v/>
          </cell>
          <cell r="F48" t="str">
            <v/>
          </cell>
        </row>
        <row r="49">
          <cell r="E49" t="str">
            <v/>
          </cell>
          <cell r="F49" t="str">
            <v/>
          </cell>
        </row>
        <row r="50">
          <cell r="E50" t="str">
            <v/>
          </cell>
          <cell r="F50" t="str">
            <v/>
          </cell>
        </row>
        <row r="51">
          <cell r="E51" t="str">
            <v/>
          </cell>
          <cell r="F51" t="str">
            <v/>
          </cell>
        </row>
        <row r="52">
          <cell r="E52" t="str">
            <v/>
          </cell>
          <cell r="F52" t="str">
            <v/>
          </cell>
        </row>
        <row r="53">
          <cell r="E53" t="str">
            <v/>
          </cell>
          <cell r="F53" t="str">
            <v/>
          </cell>
        </row>
        <row r="54">
          <cell r="E54" t="str">
            <v/>
          </cell>
          <cell r="F54" t="str">
            <v/>
          </cell>
        </row>
        <row r="55">
          <cell r="E55" t="str">
            <v/>
          </cell>
          <cell r="F55" t="str">
            <v/>
          </cell>
        </row>
        <row r="56">
          <cell r="E56" t="str">
            <v/>
          </cell>
          <cell r="F56" t="str">
            <v/>
          </cell>
        </row>
        <row r="57">
          <cell r="E57" t="str">
            <v/>
          </cell>
          <cell r="F57" t="str">
            <v/>
          </cell>
        </row>
        <row r="58">
          <cell r="E58" t="str">
            <v/>
          </cell>
          <cell r="F58" t="str">
            <v/>
          </cell>
        </row>
        <row r="59">
          <cell r="E59" t="str">
            <v/>
          </cell>
          <cell r="F59" t="str">
            <v/>
          </cell>
        </row>
        <row r="60">
          <cell r="E60" t="str">
            <v/>
          </cell>
          <cell r="F60" t="str">
            <v/>
          </cell>
        </row>
        <row r="61">
          <cell r="E61" t="str">
            <v/>
          </cell>
          <cell r="F61" t="str">
            <v/>
          </cell>
        </row>
        <row r="62">
          <cell r="E62" t="str">
            <v/>
          </cell>
          <cell r="F62" t="str">
            <v/>
          </cell>
        </row>
        <row r="63">
          <cell r="E63" t="str">
            <v/>
          </cell>
          <cell r="F63" t="str">
            <v/>
          </cell>
        </row>
        <row r="64">
          <cell r="E64" t="str">
            <v/>
          </cell>
          <cell r="F64" t="str">
            <v/>
          </cell>
        </row>
        <row r="65">
          <cell r="E65" t="str">
            <v/>
          </cell>
          <cell r="F65" t="str">
            <v/>
          </cell>
        </row>
        <row r="66">
          <cell r="E66" t="str">
            <v/>
          </cell>
          <cell r="F66" t="str">
            <v/>
          </cell>
        </row>
        <row r="67">
          <cell r="E67" t="str">
            <v/>
          </cell>
          <cell r="F67" t="str">
            <v/>
          </cell>
        </row>
        <row r="68">
          <cell r="E68" t="str">
            <v/>
          </cell>
          <cell r="F68" t="str">
            <v/>
          </cell>
        </row>
        <row r="69">
          <cell r="E69" t="str">
            <v/>
          </cell>
          <cell r="F69" t="str">
            <v/>
          </cell>
        </row>
        <row r="70">
          <cell r="E70" t="str">
            <v/>
          </cell>
          <cell r="F70" t="str">
            <v/>
          </cell>
        </row>
        <row r="71">
          <cell r="E71" t="str">
            <v/>
          </cell>
          <cell r="F71" t="str">
            <v/>
          </cell>
        </row>
        <row r="72">
          <cell r="E72" t="str">
            <v/>
          </cell>
          <cell r="F72" t="str">
            <v/>
          </cell>
        </row>
        <row r="73">
          <cell r="E73" t="str">
            <v/>
          </cell>
          <cell r="F73" t="str">
            <v/>
          </cell>
        </row>
        <row r="74">
          <cell r="E74" t="str">
            <v/>
          </cell>
          <cell r="F74" t="str">
            <v/>
          </cell>
        </row>
        <row r="75">
          <cell r="E75" t="str">
            <v/>
          </cell>
          <cell r="F75" t="str">
            <v/>
          </cell>
        </row>
        <row r="76">
          <cell r="E76" t="str">
            <v/>
          </cell>
          <cell r="F76" t="str">
            <v/>
          </cell>
        </row>
        <row r="82">
          <cell r="D82" t="str">
            <v>可以确认。</v>
          </cell>
          <cell r="E82" t="str">
            <v>RMB</v>
          </cell>
        </row>
        <row r="83">
          <cell r="D83" t="str">
            <v>调整后可确认。</v>
          </cell>
          <cell r="E83" t="str">
            <v>HKD</v>
          </cell>
        </row>
        <row r="84">
          <cell r="D84" t="str">
            <v>列示允当。</v>
          </cell>
          <cell r="E84" t="str">
            <v>USD</v>
          </cell>
        </row>
        <row r="85">
          <cell r="D85" t="str">
            <v>确认发生额。</v>
          </cell>
          <cell r="E85" t="str">
            <v>EUR</v>
          </cell>
        </row>
        <row r="86">
          <cell r="D86" t="str">
            <v>期末余额可予确认。</v>
          </cell>
          <cell r="E86" t="str">
            <v>JPY</v>
          </cell>
        </row>
        <row r="87">
          <cell r="D87" t="str">
            <v>经恰当披露后可予确认。</v>
          </cell>
          <cell r="E87" t="str">
            <v>千克</v>
          </cell>
        </row>
        <row r="88">
          <cell r="D88" t="str">
            <v>未发现重大差异。</v>
          </cell>
          <cell r="E88" t="str">
            <v>吨</v>
          </cell>
        </row>
        <row r="122">
          <cell r="J122" t="str">
            <v>应收票据</v>
          </cell>
          <cell r="K122" t="str">
            <v>资产</v>
          </cell>
          <cell r="L122">
            <v>1121</v>
          </cell>
          <cell r="M122" t="str">
            <v>应收票据</v>
          </cell>
          <cell r="N122" t="str">
            <v>借</v>
          </cell>
          <cell r="O122" t="str">
            <v>GA1</v>
          </cell>
        </row>
        <row r="123">
          <cell r="J123" t="str">
            <v>应收账款</v>
          </cell>
          <cell r="K123" t="str">
            <v>资产</v>
          </cell>
          <cell r="L123">
            <v>1122</v>
          </cell>
          <cell r="M123" t="str">
            <v>应收账款</v>
          </cell>
          <cell r="N123" t="str">
            <v>借</v>
          </cell>
          <cell r="O123" t="str">
            <v>GB1</v>
          </cell>
        </row>
        <row r="124">
          <cell r="J124" t="str">
            <v>坏账准备_应收账款</v>
          </cell>
          <cell r="K124" t="str">
            <v>资产</v>
          </cell>
          <cell r="L124">
            <v>1122</v>
          </cell>
          <cell r="M124" t="str">
            <v>坏账准备_应收账款</v>
          </cell>
          <cell r="N124" t="str">
            <v>贷</v>
          </cell>
          <cell r="O124" t="str">
            <v>GB2</v>
          </cell>
        </row>
        <row r="125">
          <cell r="J125" t="str">
            <v>长期应收款</v>
          </cell>
          <cell r="K125" t="str">
            <v>资产</v>
          </cell>
          <cell r="L125">
            <v>1531</v>
          </cell>
          <cell r="M125" t="str">
            <v>长期应收款</v>
          </cell>
          <cell r="N125" t="str">
            <v>借</v>
          </cell>
          <cell r="O125" t="str">
            <v>MC1</v>
          </cell>
        </row>
        <row r="126">
          <cell r="J126" t="str">
            <v>坏账准备_长期应收款</v>
          </cell>
          <cell r="K126" t="str">
            <v>资产</v>
          </cell>
          <cell r="L126">
            <v>1531</v>
          </cell>
          <cell r="M126" t="str">
            <v>坏账准备_长期应收款</v>
          </cell>
          <cell r="N126" t="str">
            <v>贷</v>
          </cell>
          <cell r="O126" t="str">
            <v>MC2</v>
          </cell>
        </row>
        <row r="127">
          <cell r="J127" t="str">
            <v>未实现融资收益</v>
          </cell>
          <cell r="K127" t="str">
            <v>资产</v>
          </cell>
          <cell r="M127" t="str">
            <v>未实现融资收益</v>
          </cell>
          <cell r="N127" t="str">
            <v>贷</v>
          </cell>
          <cell r="O127" t="str">
            <v>MC3</v>
          </cell>
        </row>
        <row r="128">
          <cell r="J128" t="str">
            <v>预收账款</v>
          </cell>
          <cell r="K128" t="str">
            <v>负债</v>
          </cell>
          <cell r="L128">
            <v>2205</v>
          </cell>
          <cell r="M128" t="str">
            <v>预收账款</v>
          </cell>
          <cell r="N128" t="str">
            <v>贷</v>
          </cell>
          <cell r="O128" t="str">
            <v>NE1</v>
          </cell>
        </row>
        <row r="129">
          <cell r="J129" t="str">
            <v>应交税费</v>
          </cell>
          <cell r="K129" t="str">
            <v>负债</v>
          </cell>
          <cell r="L129">
            <v>2221</v>
          </cell>
          <cell r="M129" t="str">
            <v>应交税费</v>
          </cell>
          <cell r="N129" t="str">
            <v>贷</v>
          </cell>
          <cell r="O129" t="str">
            <v>NG1</v>
          </cell>
        </row>
        <row r="130">
          <cell r="J130" t="str">
            <v>主营业务收入</v>
          </cell>
          <cell r="K130" t="str">
            <v>损益</v>
          </cell>
          <cell r="L130">
            <v>6001</v>
          </cell>
          <cell r="M130" t="str">
            <v>主营业务收入</v>
          </cell>
          <cell r="N130" t="str">
            <v>贷</v>
          </cell>
          <cell r="O130" t="str">
            <v>SA1</v>
          </cell>
        </row>
        <row r="131">
          <cell r="J131" t="str">
            <v>其他业务收入</v>
          </cell>
          <cell r="K131" t="str">
            <v>损益</v>
          </cell>
          <cell r="L131">
            <v>6001</v>
          </cell>
          <cell r="M131" t="str">
            <v>其他业务收入</v>
          </cell>
          <cell r="N131" t="str">
            <v>贷</v>
          </cell>
          <cell r="O131" t="str">
            <v>SA2</v>
          </cell>
        </row>
        <row r="132">
          <cell r="J132" t="str">
            <v>营业税金及附加</v>
          </cell>
          <cell r="K132" t="str">
            <v>损益</v>
          </cell>
          <cell r="L132">
            <v>6600</v>
          </cell>
          <cell r="M132" t="str">
            <v>营业税金及附加</v>
          </cell>
          <cell r="N132" t="str">
            <v>借</v>
          </cell>
          <cell r="O132" t="str">
            <v>UB1</v>
          </cell>
        </row>
        <row r="133">
          <cell r="J133" t="str">
            <v>销售费用</v>
          </cell>
          <cell r="K133" t="str">
            <v>损益</v>
          </cell>
          <cell r="L133">
            <v>6601</v>
          </cell>
          <cell r="M133" t="str">
            <v>销售费用</v>
          </cell>
          <cell r="N133" t="str">
            <v>借</v>
          </cell>
          <cell r="O133" t="str">
            <v>UC1</v>
          </cell>
        </row>
        <row r="134">
          <cell r="J134" t="str">
            <v>递延所得税资产</v>
          </cell>
          <cell r="K134" t="str">
            <v>资产</v>
          </cell>
          <cell r="L134">
            <v>1811</v>
          </cell>
          <cell r="M134" t="str">
            <v>递延所得税资产</v>
          </cell>
          <cell r="N134" t="str">
            <v>借</v>
          </cell>
          <cell r="O134" t="str">
            <v>MF1</v>
          </cell>
        </row>
        <row r="135">
          <cell r="J135" t="str">
            <v>递延所得税负债</v>
          </cell>
          <cell r="K135" t="str">
            <v>负债</v>
          </cell>
          <cell r="L135">
            <v>2901</v>
          </cell>
          <cell r="M135" t="str">
            <v>递延所得税负债</v>
          </cell>
          <cell r="N135" t="str">
            <v>贷</v>
          </cell>
          <cell r="O135" t="str">
            <v>PF1</v>
          </cell>
        </row>
        <row r="136">
          <cell r="J136" t="str">
            <v>所得税费用</v>
          </cell>
          <cell r="K136" t="str">
            <v>损益</v>
          </cell>
          <cell r="L136">
            <v>6801</v>
          </cell>
          <cell r="M136" t="str">
            <v>所得税费用</v>
          </cell>
          <cell r="N136" t="str">
            <v>借</v>
          </cell>
          <cell r="O136" t="str">
            <v>UI1</v>
          </cell>
        </row>
        <row r="137">
          <cell r="J137" t="str">
            <v>预付账款</v>
          </cell>
          <cell r="K137" t="str">
            <v>资产</v>
          </cell>
          <cell r="L137">
            <v>1125</v>
          </cell>
          <cell r="M137" t="str">
            <v>预付账款</v>
          </cell>
          <cell r="N137" t="str">
            <v>借</v>
          </cell>
          <cell r="O137" t="str">
            <v>GC1</v>
          </cell>
        </row>
        <row r="138">
          <cell r="J138" t="str">
            <v>坏账准备_预付账款</v>
          </cell>
          <cell r="K138" t="str">
            <v>资产</v>
          </cell>
          <cell r="L138">
            <v>1125</v>
          </cell>
          <cell r="M138" t="str">
            <v>坏账准备_预付账款</v>
          </cell>
          <cell r="N138" t="str">
            <v>贷</v>
          </cell>
          <cell r="O138" t="str">
            <v>GC2</v>
          </cell>
        </row>
        <row r="139">
          <cell r="J139" t="str">
            <v>应付票据</v>
          </cell>
          <cell r="K139" t="str">
            <v>负债</v>
          </cell>
          <cell r="L139">
            <v>2201</v>
          </cell>
          <cell r="M139" t="str">
            <v>应付票据</v>
          </cell>
          <cell r="N139" t="str">
            <v>贷</v>
          </cell>
          <cell r="O139" t="str">
            <v>NC1</v>
          </cell>
        </row>
        <row r="140">
          <cell r="J140" t="str">
            <v>应付账款</v>
          </cell>
          <cell r="K140" t="str">
            <v>负债</v>
          </cell>
          <cell r="L140">
            <v>2202</v>
          </cell>
          <cell r="M140" t="str">
            <v>应付账款</v>
          </cell>
          <cell r="N140" t="str">
            <v>贷</v>
          </cell>
          <cell r="O140" t="str">
            <v>ND1</v>
          </cell>
        </row>
        <row r="141">
          <cell r="J141" t="str">
            <v>应付职工薪酬</v>
          </cell>
          <cell r="K141" t="str">
            <v>负债</v>
          </cell>
          <cell r="L141">
            <v>2211</v>
          </cell>
          <cell r="M141" t="str">
            <v>应付职工薪酬</v>
          </cell>
          <cell r="N141" t="str">
            <v>贷</v>
          </cell>
          <cell r="O141" t="str">
            <v>NF1</v>
          </cell>
        </row>
        <row r="142">
          <cell r="J142" t="str">
            <v>存货</v>
          </cell>
          <cell r="K142" t="str">
            <v>资产</v>
          </cell>
          <cell r="L142">
            <v>1400</v>
          </cell>
          <cell r="M142" t="str">
            <v>存货</v>
          </cell>
          <cell r="N142" t="str">
            <v>借</v>
          </cell>
          <cell r="O142" t="str">
            <v>HA</v>
          </cell>
        </row>
        <row r="143">
          <cell r="J143" t="str">
            <v>材料采购</v>
          </cell>
          <cell r="K143" t="str">
            <v>资产</v>
          </cell>
          <cell r="L143">
            <v>1401</v>
          </cell>
          <cell r="M143" t="str">
            <v>材料采购</v>
          </cell>
          <cell r="N143" t="str">
            <v>借</v>
          </cell>
          <cell r="O143" t="str">
            <v>HB1</v>
          </cell>
        </row>
        <row r="144">
          <cell r="J144" t="str">
            <v>在途物资</v>
          </cell>
          <cell r="K144" t="str">
            <v>资产</v>
          </cell>
          <cell r="L144">
            <v>1402</v>
          </cell>
          <cell r="M144" t="str">
            <v>在途物资</v>
          </cell>
          <cell r="N144" t="str">
            <v>借</v>
          </cell>
          <cell r="O144" t="str">
            <v>HB2</v>
          </cell>
        </row>
        <row r="145">
          <cell r="J145" t="str">
            <v>原材料</v>
          </cell>
          <cell r="K145" t="str">
            <v>资产</v>
          </cell>
          <cell r="L145">
            <v>1403</v>
          </cell>
          <cell r="M145" t="str">
            <v>原材料</v>
          </cell>
          <cell r="N145" t="str">
            <v>借</v>
          </cell>
          <cell r="O145" t="str">
            <v>HB3</v>
          </cell>
        </row>
        <row r="146">
          <cell r="J146" t="str">
            <v>材料成本差异</v>
          </cell>
          <cell r="K146" t="str">
            <v>资产</v>
          </cell>
          <cell r="L146">
            <v>1404</v>
          </cell>
          <cell r="M146" t="str">
            <v>材料成本差异</v>
          </cell>
          <cell r="N146" t="str">
            <v>贷</v>
          </cell>
          <cell r="O146" t="str">
            <v>HB4</v>
          </cell>
        </row>
        <row r="147">
          <cell r="J147" t="str">
            <v>库存商品</v>
          </cell>
          <cell r="K147" t="str">
            <v>资产</v>
          </cell>
          <cell r="L147">
            <v>1405</v>
          </cell>
          <cell r="M147" t="str">
            <v>库存商品</v>
          </cell>
          <cell r="N147" t="str">
            <v>借</v>
          </cell>
          <cell r="O147" t="str">
            <v>HC1</v>
          </cell>
        </row>
        <row r="148">
          <cell r="J148" t="str">
            <v>发出商品</v>
          </cell>
          <cell r="K148" t="str">
            <v>资产</v>
          </cell>
          <cell r="L148">
            <v>1406</v>
          </cell>
          <cell r="M148" t="str">
            <v>发出商品</v>
          </cell>
          <cell r="N148" t="str">
            <v>借</v>
          </cell>
          <cell r="O148" t="str">
            <v>HC3</v>
          </cell>
        </row>
        <row r="149">
          <cell r="J149" t="str">
            <v>商品进销差价</v>
          </cell>
          <cell r="K149" t="str">
            <v>资产</v>
          </cell>
          <cell r="L149">
            <v>1407</v>
          </cell>
          <cell r="M149" t="str">
            <v>商品进销差价</v>
          </cell>
          <cell r="N149" t="str">
            <v>贷</v>
          </cell>
          <cell r="O149" t="str">
            <v>HC5</v>
          </cell>
        </row>
        <row r="150">
          <cell r="J150" t="str">
            <v>委托加工物资</v>
          </cell>
          <cell r="K150" t="str">
            <v>资产</v>
          </cell>
          <cell r="L150">
            <v>1408</v>
          </cell>
          <cell r="M150" t="str">
            <v>委托加工物资</v>
          </cell>
          <cell r="N150" t="str">
            <v>借</v>
          </cell>
          <cell r="O150" t="str">
            <v>HD1</v>
          </cell>
        </row>
        <row r="151">
          <cell r="J151" t="str">
            <v>周转材料</v>
          </cell>
          <cell r="K151" t="str">
            <v>资产</v>
          </cell>
          <cell r="L151">
            <v>1411</v>
          </cell>
          <cell r="M151" t="str">
            <v>周转材料</v>
          </cell>
          <cell r="N151" t="str">
            <v>借</v>
          </cell>
          <cell r="O151" t="str">
            <v>HE1</v>
          </cell>
        </row>
        <row r="152">
          <cell r="J152" t="str">
            <v>受托代销商品</v>
          </cell>
          <cell r="K152" t="str">
            <v>资产</v>
          </cell>
          <cell r="M152" t="str">
            <v>受托代销商品</v>
          </cell>
          <cell r="N152" t="str">
            <v>借</v>
          </cell>
          <cell r="O152" t="str">
            <v>HF2</v>
          </cell>
        </row>
        <row r="153">
          <cell r="J153" t="str">
            <v>受托代销商品款</v>
          </cell>
          <cell r="K153" t="str">
            <v>资产</v>
          </cell>
          <cell r="M153" t="str">
            <v>受托代销商品款</v>
          </cell>
          <cell r="N153" t="str">
            <v>贷</v>
          </cell>
          <cell r="O153" t="str">
            <v>HF3</v>
          </cell>
        </row>
        <row r="154">
          <cell r="J154" t="str">
            <v>消耗性生物资产</v>
          </cell>
          <cell r="K154" t="str">
            <v>资产</v>
          </cell>
          <cell r="L154">
            <v>1421</v>
          </cell>
          <cell r="M154" t="str">
            <v>消耗性生物资产</v>
          </cell>
          <cell r="N154" t="str">
            <v>借</v>
          </cell>
          <cell r="O154" t="str">
            <v>HG1</v>
          </cell>
        </row>
        <row r="155">
          <cell r="J155" t="str">
            <v>存货跌价准备</v>
          </cell>
          <cell r="K155" t="str">
            <v>资产</v>
          </cell>
          <cell r="L155">
            <v>1471</v>
          </cell>
          <cell r="M155" t="str">
            <v>存货跌价准备</v>
          </cell>
          <cell r="N155" t="str">
            <v>贷</v>
          </cell>
          <cell r="O155" t="str">
            <v>HH1</v>
          </cell>
        </row>
        <row r="156">
          <cell r="J156" t="str">
            <v>生产成本</v>
          </cell>
          <cell r="K156" t="str">
            <v>资产</v>
          </cell>
          <cell r="L156">
            <v>1481</v>
          </cell>
          <cell r="M156" t="str">
            <v>生产成本</v>
          </cell>
          <cell r="N156" t="str">
            <v>借</v>
          </cell>
          <cell r="O156" t="str">
            <v>HI1</v>
          </cell>
        </row>
        <row r="157">
          <cell r="J157" t="str">
            <v>制造费用</v>
          </cell>
          <cell r="K157" t="str">
            <v>资产</v>
          </cell>
          <cell r="L157">
            <v>1482</v>
          </cell>
          <cell r="M157" t="str">
            <v>制造费用</v>
          </cell>
          <cell r="N157" t="str">
            <v>借</v>
          </cell>
          <cell r="O157" t="str">
            <v>HI2</v>
          </cell>
        </row>
        <row r="158">
          <cell r="J158" t="str">
            <v>劳务成本</v>
          </cell>
          <cell r="K158" t="str">
            <v>资产</v>
          </cell>
          <cell r="L158">
            <v>1483</v>
          </cell>
          <cell r="M158" t="str">
            <v>劳务成本</v>
          </cell>
          <cell r="N158" t="str">
            <v>借</v>
          </cell>
          <cell r="O158" t="str">
            <v>HJ1</v>
          </cell>
        </row>
        <row r="159">
          <cell r="J159" t="str">
            <v>工程施工</v>
          </cell>
          <cell r="K159" t="str">
            <v>资产</v>
          </cell>
          <cell r="L159">
            <v>1484</v>
          </cell>
          <cell r="M159" t="str">
            <v>工程施工</v>
          </cell>
          <cell r="N159" t="str">
            <v>借</v>
          </cell>
          <cell r="O159" t="str">
            <v>HK1</v>
          </cell>
        </row>
        <row r="160">
          <cell r="J160" t="str">
            <v>工程结算</v>
          </cell>
          <cell r="K160" t="str">
            <v>资产</v>
          </cell>
          <cell r="L160">
            <v>1485</v>
          </cell>
          <cell r="M160" t="str">
            <v>工程结算</v>
          </cell>
          <cell r="N160" t="str">
            <v>贷</v>
          </cell>
          <cell r="O160" t="str">
            <v>HK2</v>
          </cell>
        </row>
        <row r="161">
          <cell r="J161" t="str">
            <v>机械作业</v>
          </cell>
          <cell r="K161" t="str">
            <v>资产</v>
          </cell>
          <cell r="L161">
            <v>1486</v>
          </cell>
          <cell r="M161" t="str">
            <v>机械作业</v>
          </cell>
          <cell r="N161" t="str">
            <v>借</v>
          </cell>
          <cell r="O161" t="str">
            <v>HK3</v>
          </cell>
        </row>
        <row r="162">
          <cell r="J162" t="str">
            <v>主营业务成本</v>
          </cell>
          <cell r="K162" t="str">
            <v>损益</v>
          </cell>
          <cell r="L162">
            <v>6401</v>
          </cell>
          <cell r="M162" t="str">
            <v>主营业务成本</v>
          </cell>
          <cell r="N162" t="str">
            <v>借</v>
          </cell>
          <cell r="O162" t="str">
            <v>UA1</v>
          </cell>
        </row>
        <row r="163">
          <cell r="J163" t="str">
            <v>其他业务成本</v>
          </cell>
          <cell r="K163" t="str">
            <v>损益</v>
          </cell>
          <cell r="L163">
            <v>6401</v>
          </cell>
          <cell r="M163" t="str">
            <v>其他业务成本</v>
          </cell>
          <cell r="N163" t="str">
            <v>借</v>
          </cell>
          <cell r="O163" t="str">
            <v>UA2</v>
          </cell>
        </row>
        <row r="164">
          <cell r="J164" t="str">
            <v>交易性金融资产</v>
          </cell>
          <cell r="K164" t="str">
            <v>资产</v>
          </cell>
          <cell r="L164">
            <v>1101</v>
          </cell>
          <cell r="M164" t="str">
            <v>交易性金融资产</v>
          </cell>
          <cell r="N164" t="str">
            <v>借</v>
          </cell>
          <cell r="O164" t="str">
            <v>FB1</v>
          </cell>
        </row>
        <row r="165">
          <cell r="J165" t="str">
            <v>应收股利</v>
          </cell>
          <cell r="K165" t="str">
            <v>资产</v>
          </cell>
          <cell r="L165">
            <v>1131</v>
          </cell>
          <cell r="M165" t="str">
            <v>应收股利</v>
          </cell>
          <cell r="N165" t="str">
            <v>借</v>
          </cell>
          <cell r="O165" t="str">
            <v>GE1</v>
          </cell>
        </row>
        <row r="166">
          <cell r="J166" t="str">
            <v>可供出售金融资产</v>
          </cell>
          <cell r="K166" t="str">
            <v>资产</v>
          </cell>
          <cell r="L166">
            <v>1503</v>
          </cell>
          <cell r="M166" t="str">
            <v>可供出售金融资产</v>
          </cell>
          <cell r="N166" t="str">
            <v>借</v>
          </cell>
          <cell r="O166" t="str">
            <v>KA1</v>
          </cell>
        </row>
        <row r="167">
          <cell r="J167" t="str">
            <v>持有至到期投资</v>
          </cell>
          <cell r="K167" t="str">
            <v>资产</v>
          </cell>
          <cell r="L167">
            <v>1501</v>
          </cell>
          <cell r="M167" t="str">
            <v>持有至到期投资</v>
          </cell>
          <cell r="N167" t="str">
            <v>借</v>
          </cell>
          <cell r="O167" t="str">
            <v>KB1</v>
          </cell>
        </row>
        <row r="168">
          <cell r="J168" t="str">
            <v>持有至到期投资减值准备</v>
          </cell>
          <cell r="K168" t="str">
            <v>资产</v>
          </cell>
          <cell r="L168">
            <v>1501</v>
          </cell>
          <cell r="M168" t="str">
            <v>持有至到期投资减值准备</v>
          </cell>
          <cell r="N168" t="str">
            <v>贷</v>
          </cell>
          <cell r="O168" t="str">
            <v>KB2</v>
          </cell>
        </row>
        <row r="169">
          <cell r="J169" t="str">
            <v>长期股权投资</v>
          </cell>
          <cell r="K169" t="str">
            <v>资产</v>
          </cell>
          <cell r="L169">
            <v>1511</v>
          </cell>
          <cell r="M169" t="str">
            <v>长期股权投资</v>
          </cell>
          <cell r="N169" t="str">
            <v>借</v>
          </cell>
          <cell r="O169" t="str">
            <v>KC1</v>
          </cell>
        </row>
        <row r="170">
          <cell r="J170" t="str">
            <v>长期股权投资减值准备</v>
          </cell>
          <cell r="K170" t="str">
            <v>资产</v>
          </cell>
          <cell r="L170">
            <v>1511</v>
          </cell>
          <cell r="M170" t="str">
            <v>长期股权投资减值准备</v>
          </cell>
          <cell r="N170" t="str">
            <v>贷</v>
          </cell>
          <cell r="O170" t="str">
            <v>KC2</v>
          </cell>
        </row>
        <row r="171">
          <cell r="J171" t="str">
            <v>商誉</v>
          </cell>
          <cell r="K171" t="str">
            <v>资产</v>
          </cell>
          <cell r="L171">
            <v>1711</v>
          </cell>
          <cell r="M171" t="str">
            <v>商誉</v>
          </cell>
          <cell r="N171" t="str">
            <v>借</v>
          </cell>
          <cell r="O171" t="str">
            <v>MD1</v>
          </cell>
        </row>
        <row r="172">
          <cell r="J172" t="str">
            <v>交易性金融负债</v>
          </cell>
          <cell r="K172" t="str">
            <v>负债</v>
          </cell>
          <cell r="L172">
            <v>2101</v>
          </cell>
          <cell r="M172" t="str">
            <v>交易性金融负债</v>
          </cell>
          <cell r="N172" t="str">
            <v>贷</v>
          </cell>
          <cell r="O172" t="str">
            <v>NK1</v>
          </cell>
        </row>
        <row r="173">
          <cell r="J173" t="str">
            <v>衍生工具</v>
          </cell>
          <cell r="K173" t="str">
            <v>资产</v>
          </cell>
          <cell r="M173" t="str">
            <v>衍生工具</v>
          </cell>
          <cell r="N173" t="str">
            <v>借</v>
          </cell>
          <cell r="O173" t="str">
            <v>QA1</v>
          </cell>
        </row>
        <row r="174">
          <cell r="J174" t="str">
            <v>套期工具</v>
          </cell>
          <cell r="K174" t="str">
            <v>资产</v>
          </cell>
          <cell r="M174" t="str">
            <v>套期工具</v>
          </cell>
          <cell r="N174" t="str">
            <v>借</v>
          </cell>
          <cell r="O174" t="str">
            <v>QB1</v>
          </cell>
        </row>
        <row r="175">
          <cell r="J175" t="str">
            <v>被套期项目</v>
          </cell>
          <cell r="K175" t="str">
            <v>资产</v>
          </cell>
          <cell r="M175" t="str">
            <v>被套期项目</v>
          </cell>
          <cell r="N175" t="str">
            <v>借</v>
          </cell>
          <cell r="O175" t="str">
            <v>QC1</v>
          </cell>
        </row>
        <row r="176">
          <cell r="J176" t="str">
            <v>公允价值变动损益</v>
          </cell>
          <cell r="K176" t="str">
            <v>损益</v>
          </cell>
          <cell r="L176">
            <v>6101</v>
          </cell>
          <cell r="M176" t="str">
            <v>公允价值变动损益</v>
          </cell>
          <cell r="N176" t="str">
            <v>贷</v>
          </cell>
          <cell r="O176" t="str">
            <v>SB1</v>
          </cell>
        </row>
        <row r="177">
          <cell r="J177" t="str">
            <v>投资收益</v>
          </cell>
          <cell r="K177" t="str">
            <v>损益</v>
          </cell>
          <cell r="L177">
            <v>6111</v>
          </cell>
          <cell r="M177" t="str">
            <v>投资收益</v>
          </cell>
          <cell r="N177" t="str">
            <v>贷</v>
          </cell>
          <cell r="O177" t="str">
            <v>SC1</v>
          </cell>
        </row>
        <row r="178">
          <cell r="J178" t="str">
            <v>应收利息</v>
          </cell>
          <cell r="K178" t="str">
            <v>资产</v>
          </cell>
          <cell r="L178">
            <v>1132</v>
          </cell>
          <cell r="M178" t="str">
            <v>应收利息</v>
          </cell>
          <cell r="N178" t="str">
            <v>借</v>
          </cell>
          <cell r="O178" t="str">
            <v>GD1</v>
          </cell>
        </row>
        <row r="179">
          <cell r="J179" t="str">
            <v>短期借款</v>
          </cell>
          <cell r="K179" t="str">
            <v>负债</v>
          </cell>
          <cell r="L179">
            <v>2001</v>
          </cell>
          <cell r="M179" t="str">
            <v>短期借款</v>
          </cell>
          <cell r="N179" t="str">
            <v>贷</v>
          </cell>
          <cell r="O179" t="str">
            <v>NB1</v>
          </cell>
        </row>
        <row r="180">
          <cell r="J180" t="str">
            <v>应付利息</v>
          </cell>
          <cell r="K180" t="str">
            <v>负债</v>
          </cell>
          <cell r="L180">
            <v>2231</v>
          </cell>
          <cell r="M180" t="str">
            <v>应付利息</v>
          </cell>
          <cell r="N180" t="str">
            <v>贷</v>
          </cell>
          <cell r="O180" t="str">
            <v>NH1</v>
          </cell>
        </row>
        <row r="181">
          <cell r="J181" t="str">
            <v>长期借款</v>
          </cell>
          <cell r="K181" t="str">
            <v>负债</v>
          </cell>
          <cell r="L181">
            <v>2501</v>
          </cell>
          <cell r="M181" t="str">
            <v>长期借款</v>
          </cell>
          <cell r="N181" t="str">
            <v>贷</v>
          </cell>
          <cell r="O181" t="str">
            <v>PA1</v>
          </cell>
        </row>
        <row r="182">
          <cell r="J182" t="str">
            <v>应付债券</v>
          </cell>
          <cell r="K182" t="str">
            <v>负债</v>
          </cell>
          <cell r="L182">
            <v>2502</v>
          </cell>
          <cell r="M182" t="str">
            <v>应付债券</v>
          </cell>
          <cell r="N182" t="str">
            <v>贷</v>
          </cell>
          <cell r="O182" t="str">
            <v>PB1</v>
          </cell>
        </row>
        <row r="183">
          <cell r="J183" t="str">
            <v>长期应付款</v>
          </cell>
          <cell r="K183" t="str">
            <v>负债</v>
          </cell>
          <cell r="L183">
            <v>2701</v>
          </cell>
          <cell r="M183" t="str">
            <v>长期应付款</v>
          </cell>
          <cell r="N183" t="str">
            <v>贷</v>
          </cell>
          <cell r="O183" t="str">
            <v>PC1</v>
          </cell>
        </row>
        <row r="184">
          <cell r="J184" t="str">
            <v>未确认融资费用</v>
          </cell>
          <cell r="K184" t="str">
            <v>负债</v>
          </cell>
          <cell r="M184" t="str">
            <v>未确认融资费用</v>
          </cell>
          <cell r="N184" t="str">
            <v>借</v>
          </cell>
          <cell r="O184" t="str">
            <v>PC2</v>
          </cell>
        </row>
        <row r="185">
          <cell r="J185" t="str">
            <v>财务费用</v>
          </cell>
          <cell r="K185" t="str">
            <v>损益</v>
          </cell>
          <cell r="L185">
            <v>6603</v>
          </cell>
          <cell r="M185" t="str">
            <v>财务费用</v>
          </cell>
          <cell r="N185" t="str">
            <v>借</v>
          </cell>
          <cell r="O185" t="str">
            <v>UF1</v>
          </cell>
        </row>
        <row r="186">
          <cell r="J186" t="str">
            <v>应付股利</v>
          </cell>
          <cell r="K186" t="str">
            <v>负债</v>
          </cell>
          <cell r="L186">
            <v>2232</v>
          </cell>
          <cell r="M186" t="str">
            <v>应付股利</v>
          </cell>
          <cell r="N186" t="str">
            <v>贷</v>
          </cell>
          <cell r="O186" t="str">
            <v>NI1</v>
          </cell>
        </row>
        <row r="187">
          <cell r="J187" t="str">
            <v>实收资本</v>
          </cell>
          <cell r="K187" t="str">
            <v>所有者权益</v>
          </cell>
          <cell r="L187">
            <v>4001</v>
          </cell>
          <cell r="M187" t="str">
            <v>实收资本</v>
          </cell>
          <cell r="N187" t="str">
            <v>贷</v>
          </cell>
          <cell r="O187" t="str">
            <v>RA1</v>
          </cell>
        </row>
        <row r="188">
          <cell r="J188" t="str">
            <v>资本公积</v>
          </cell>
          <cell r="K188" t="str">
            <v>所有者权益</v>
          </cell>
          <cell r="L188">
            <v>4002</v>
          </cell>
          <cell r="M188" t="str">
            <v>资本公积</v>
          </cell>
          <cell r="N188" t="str">
            <v>贷</v>
          </cell>
          <cell r="O188" t="str">
            <v>RB1</v>
          </cell>
        </row>
        <row r="189">
          <cell r="J189" t="str">
            <v>库存股</v>
          </cell>
          <cell r="K189" t="str">
            <v>所有者权益</v>
          </cell>
          <cell r="L189">
            <v>4201</v>
          </cell>
          <cell r="M189" t="str">
            <v>库存股</v>
          </cell>
          <cell r="N189" t="str">
            <v>借</v>
          </cell>
          <cell r="O189" t="str">
            <v>RC1</v>
          </cell>
        </row>
        <row r="190">
          <cell r="J190" t="str">
            <v>盈余公积</v>
          </cell>
          <cell r="K190" t="str">
            <v>所有者权益</v>
          </cell>
          <cell r="L190">
            <v>4101</v>
          </cell>
          <cell r="M190" t="str">
            <v>盈余公积</v>
          </cell>
          <cell r="N190" t="str">
            <v>贷</v>
          </cell>
          <cell r="O190" t="str">
            <v>RD1</v>
          </cell>
        </row>
        <row r="191">
          <cell r="J191" t="str">
            <v>本年利润</v>
          </cell>
          <cell r="K191" t="str">
            <v>所有者权益</v>
          </cell>
          <cell r="L191">
            <v>4200</v>
          </cell>
          <cell r="M191" t="str">
            <v>本年利润</v>
          </cell>
          <cell r="N191" t="str">
            <v>贷</v>
          </cell>
          <cell r="O191" t="str">
            <v>RF1</v>
          </cell>
        </row>
        <row r="192">
          <cell r="J192" t="str">
            <v>利润分配</v>
          </cell>
          <cell r="K192" t="str">
            <v>所有者权益</v>
          </cell>
          <cell r="L192">
            <v>4200</v>
          </cell>
          <cell r="M192" t="str">
            <v>利润分配</v>
          </cell>
          <cell r="N192" t="str">
            <v>贷</v>
          </cell>
          <cell r="O192" t="str">
            <v>RF2</v>
          </cell>
        </row>
        <row r="193">
          <cell r="J193" t="str">
            <v>以前年度损益调整</v>
          </cell>
          <cell r="K193" t="str">
            <v>损益</v>
          </cell>
          <cell r="L193">
            <v>4200</v>
          </cell>
          <cell r="M193" t="str">
            <v>以前年度损益调整</v>
          </cell>
          <cell r="N193" t="str">
            <v>贷</v>
          </cell>
          <cell r="O193" t="str">
            <v>RF3</v>
          </cell>
        </row>
        <row r="194">
          <cell r="J194" t="str">
            <v>货币资金</v>
          </cell>
          <cell r="K194" t="str">
            <v>资产</v>
          </cell>
          <cell r="L194">
            <v>1015</v>
          </cell>
          <cell r="M194" t="str">
            <v>货币资金</v>
          </cell>
          <cell r="N194" t="str">
            <v>借</v>
          </cell>
          <cell r="O194" t="str">
            <v>FA</v>
          </cell>
        </row>
        <row r="195">
          <cell r="J195" t="str">
            <v>库存现金</v>
          </cell>
          <cell r="K195" t="str">
            <v>资产</v>
          </cell>
          <cell r="L195">
            <v>1015</v>
          </cell>
          <cell r="M195" t="str">
            <v>库存现金</v>
          </cell>
          <cell r="N195" t="str">
            <v>借</v>
          </cell>
          <cell r="O195" t="str">
            <v>FA1</v>
          </cell>
        </row>
        <row r="196">
          <cell r="J196" t="str">
            <v>银行存款</v>
          </cell>
          <cell r="K196" t="str">
            <v>资产</v>
          </cell>
          <cell r="L196">
            <v>1015</v>
          </cell>
          <cell r="M196" t="str">
            <v>银行存款</v>
          </cell>
          <cell r="N196" t="str">
            <v>借</v>
          </cell>
          <cell r="O196" t="str">
            <v>FA2</v>
          </cell>
        </row>
        <row r="197">
          <cell r="J197" t="str">
            <v>其他货币资金</v>
          </cell>
          <cell r="K197" t="str">
            <v>资产</v>
          </cell>
          <cell r="L197">
            <v>1015</v>
          </cell>
          <cell r="M197" t="str">
            <v>其他货币资金</v>
          </cell>
          <cell r="N197" t="str">
            <v>借</v>
          </cell>
          <cell r="O197" t="str">
            <v>FA3</v>
          </cell>
        </row>
        <row r="198">
          <cell r="J198" t="str">
            <v>投资性房地产</v>
          </cell>
          <cell r="K198" t="str">
            <v>资产</v>
          </cell>
          <cell r="L198">
            <v>1521</v>
          </cell>
          <cell r="M198" t="str">
            <v>投资性房地产</v>
          </cell>
          <cell r="N198" t="str">
            <v>借</v>
          </cell>
          <cell r="O198" t="str">
            <v>LA1</v>
          </cell>
        </row>
        <row r="199">
          <cell r="J199" t="str">
            <v>固定资产</v>
          </cell>
          <cell r="K199" t="str">
            <v>资产</v>
          </cell>
          <cell r="L199">
            <v>1601</v>
          </cell>
          <cell r="M199" t="str">
            <v>固定资产</v>
          </cell>
          <cell r="N199" t="str">
            <v>借</v>
          </cell>
          <cell r="O199" t="str">
            <v>LB1</v>
          </cell>
        </row>
        <row r="200">
          <cell r="J200" t="str">
            <v>累计折旧</v>
          </cell>
          <cell r="K200" t="str">
            <v>资产</v>
          </cell>
          <cell r="L200">
            <v>1601</v>
          </cell>
          <cell r="M200" t="str">
            <v>累计折旧</v>
          </cell>
          <cell r="N200" t="str">
            <v>贷</v>
          </cell>
          <cell r="O200" t="str">
            <v>LB2</v>
          </cell>
        </row>
        <row r="201">
          <cell r="J201" t="str">
            <v>固定资产减值准备</v>
          </cell>
          <cell r="K201" t="str">
            <v>资产</v>
          </cell>
          <cell r="L201">
            <v>1601</v>
          </cell>
          <cell r="M201" t="str">
            <v>固定资产减值准备</v>
          </cell>
          <cell r="N201" t="str">
            <v>贷</v>
          </cell>
          <cell r="O201" t="str">
            <v>LB3</v>
          </cell>
        </row>
        <row r="202">
          <cell r="J202" t="str">
            <v>在建工程</v>
          </cell>
          <cell r="K202" t="str">
            <v>资产</v>
          </cell>
          <cell r="L202">
            <v>1604</v>
          </cell>
          <cell r="M202" t="str">
            <v>在建工程</v>
          </cell>
          <cell r="N202" t="str">
            <v>借</v>
          </cell>
          <cell r="O202" t="str">
            <v>LC1</v>
          </cell>
        </row>
        <row r="203">
          <cell r="J203" t="str">
            <v>在建工程减值准备</v>
          </cell>
          <cell r="K203" t="str">
            <v>资产</v>
          </cell>
          <cell r="L203">
            <v>1604</v>
          </cell>
          <cell r="M203" t="str">
            <v>在建工程减值准备</v>
          </cell>
          <cell r="N203" t="str">
            <v>贷</v>
          </cell>
          <cell r="O203" t="str">
            <v>LC2</v>
          </cell>
        </row>
        <row r="204">
          <cell r="J204" t="str">
            <v>工程物资</v>
          </cell>
          <cell r="K204" t="str">
            <v>资产</v>
          </cell>
          <cell r="L204">
            <v>1605</v>
          </cell>
          <cell r="M204" t="str">
            <v>工程物资</v>
          </cell>
          <cell r="N204" t="str">
            <v>借</v>
          </cell>
          <cell r="O204" t="str">
            <v>LD1</v>
          </cell>
        </row>
        <row r="205">
          <cell r="J205" t="str">
            <v>固定资产清理</v>
          </cell>
          <cell r="K205" t="str">
            <v>资产</v>
          </cell>
          <cell r="L205">
            <v>1606</v>
          </cell>
          <cell r="M205" t="str">
            <v>固定资产清理</v>
          </cell>
          <cell r="N205" t="str">
            <v>借</v>
          </cell>
          <cell r="O205" t="str">
            <v>LE1</v>
          </cell>
        </row>
        <row r="206">
          <cell r="J206" t="str">
            <v>无形资产</v>
          </cell>
          <cell r="K206" t="str">
            <v>资产</v>
          </cell>
          <cell r="L206">
            <v>1701</v>
          </cell>
          <cell r="M206" t="str">
            <v>无形资产</v>
          </cell>
          <cell r="N206" t="str">
            <v>借</v>
          </cell>
          <cell r="O206" t="str">
            <v>MA1</v>
          </cell>
        </row>
        <row r="207">
          <cell r="J207" t="str">
            <v>累计摊销</v>
          </cell>
          <cell r="K207" t="str">
            <v>资产</v>
          </cell>
          <cell r="L207">
            <v>1701</v>
          </cell>
          <cell r="M207" t="str">
            <v>累计摊销</v>
          </cell>
          <cell r="N207" t="str">
            <v>贷</v>
          </cell>
          <cell r="O207" t="str">
            <v>MA2</v>
          </cell>
        </row>
        <row r="208">
          <cell r="J208" t="str">
            <v>无形资产减值准备</v>
          </cell>
          <cell r="K208" t="str">
            <v>资产</v>
          </cell>
          <cell r="L208">
            <v>1701</v>
          </cell>
          <cell r="M208" t="str">
            <v>无形资产减值准备</v>
          </cell>
          <cell r="N208" t="str">
            <v>贷</v>
          </cell>
          <cell r="O208" t="str">
            <v>MA3</v>
          </cell>
        </row>
        <row r="209">
          <cell r="J209" t="str">
            <v>研发支出</v>
          </cell>
          <cell r="K209" t="str">
            <v>资产</v>
          </cell>
          <cell r="L209">
            <v>1700</v>
          </cell>
          <cell r="M209" t="str">
            <v>研发支出</v>
          </cell>
          <cell r="N209" t="str">
            <v>借</v>
          </cell>
          <cell r="O209" t="str">
            <v>MB1</v>
          </cell>
        </row>
        <row r="210">
          <cell r="J210" t="str">
            <v>长期待摊费用</v>
          </cell>
          <cell r="K210" t="str">
            <v>资产</v>
          </cell>
          <cell r="L210">
            <v>1801</v>
          </cell>
          <cell r="M210" t="str">
            <v>长期待摊费用</v>
          </cell>
          <cell r="N210" t="str">
            <v>借</v>
          </cell>
          <cell r="O210" t="str">
            <v>ME1</v>
          </cell>
        </row>
        <row r="211">
          <cell r="J211" t="str">
            <v>公益性生物资产</v>
          </cell>
          <cell r="K211" t="str">
            <v>资产</v>
          </cell>
          <cell r="M211" t="str">
            <v>公益性生物资产</v>
          </cell>
          <cell r="N211" t="str">
            <v>借</v>
          </cell>
          <cell r="O211" t="str">
            <v>MK1</v>
          </cell>
        </row>
        <row r="212">
          <cell r="J212" t="str">
            <v>待处理财产损溢</v>
          </cell>
          <cell r="K212" t="str">
            <v>资产</v>
          </cell>
          <cell r="M212" t="str">
            <v>待处理财产损溢</v>
          </cell>
          <cell r="N212" t="str">
            <v>借</v>
          </cell>
          <cell r="O212" t="str">
            <v>MK2</v>
          </cell>
        </row>
        <row r="213">
          <cell r="J213" t="str">
            <v>其他非流动资产</v>
          </cell>
          <cell r="K213" t="str">
            <v>资产</v>
          </cell>
          <cell r="L213">
            <v>1996</v>
          </cell>
          <cell r="M213" t="str">
            <v>其他非流动资产</v>
          </cell>
          <cell r="N213" t="str">
            <v>借</v>
          </cell>
          <cell r="O213" t="str">
            <v>MK9</v>
          </cell>
        </row>
        <row r="214">
          <cell r="J214" t="str">
            <v>营业外收入</v>
          </cell>
          <cell r="K214" t="str">
            <v>损益</v>
          </cell>
          <cell r="L214">
            <v>6301</v>
          </cell>
          <cell r="M214" t="str">
            <v>营业外收入</v>
          </cell>
          <cell r="N214" t="str">
            <v>贷</v>
          </cell>
          <cell r="O214" t="str">
            <v>SD1</v>
          </cell>
        </row>
        <row r="215">
          <cell r="J215" t="str">
            <v>资产减值损失</v>
          </cell>
          <cell r="K215" t="str">
            <v>损益</v>
          </cell>
          <cell r="L215">
            <v>6701</v>
          </cell>
          <cell r="M215" t="str">
            <v>资产减值损失</v>
          </cell>
          <cell r="N215" t="str">
            <v>借</v>
          </cell>
          <cell r="O215" t="str">
            <v>UG1</v>
          </cell>
        </row>
        <row r="216">
          <cell r="J216" t="str">
            <v>营业外支出</v>
          </cell>
          <cell r="K216" t="str">
            <v>损益</v>
          </cell>
          <cell r="L216">
            <v>6711</v>
          </cell>
          <cell r="M216" t="str">
            <v>营业外支出</v>
          </cell>
          <cell r="N216" t="str">
            <v>借</v>
          </cell>
          <cell r="O216" t="str">
            <v>UH1</v>
          </cell>
        </row>
        <row r="217">
          <cell r="J217" t="str">
            <v>其他应收款</v>
          </cell>
          <cell r="K217" t="str">
            <v>资产</v>
          </cell>
          <cell r="L217">
            <v>1221</v>
          </cell>
          <cell r="M217" t="str">
            <v>其他应收款</v>
          </cell>
          <cell r="N217" t="str">
            <v>借</v>
          </cell>
          <cell r="O217" t="str">
            <v>GF1</v>
          </cell>
        </row>
        <row r="218">
          <cell r="J218" t="str">
            <v>坏账准备_其他应收款</v>
          </cell>
          <cell r="K218" t="str">
            <v>资产</v>
          </cell>
          <cell r="L218">
            <v>1221</v>
          </cell>
          <cell r="M218" t="str">
            <v>坏账准备_其他应收款</v>
          </cell>
          <cell r="N218" t="str">
            <v>贷</v>
          </cell>
          <cell r="O218" t="str">
            <v>GF2</v>
          </cell>
        </row>
        <row r="219">
          <cell r="J219" t="str">
            <v>坏账准备</v>
          </cell>
          <cell r="K219" t="str">
            <v>资产</v>
          </cell>
          <cell r="L219">
            <v>1221</v>
          </cell>
          <cell r="M219" t="str">
            <v>坏账准备</v>
          </cell>
          <cell r="N219" t="str">
            <v>借</v>
          </cell>
          <cell r="O219" t="str">
            <v>GI1</v>
          </cell>
        </row>
        <row r="220">
          <cell r="J220" t="str">
            <v>一年内到期的非流动资产</v>
          </cell>
          <cell r="K220" t="str">
            <v>资产</v>
          </cell>
          <cell r="L220">
            <v>1495</v>
          </cell>
          <cell r="M220" t="str">
            <v>一年内到期的非流动资产</v>
          </cell>
          <cell r="N220" t="str">
            <v>借</v>
          </cell>
          <cell r="O220" t="str">
            <v>IA</v>
          </cell>
        </row>
        <row r="221">
          <cell r="J221" t="str">
            <v>其他流动资产</v>
          </cell>
          <cell r="K221" t="str">
            <v>资产</v>
          </cell>
          <cell r="L221">
            <v>1496</v>
          </cell>
          <cell r="M221" t="str">
            <v>其他流动资产</v>
          </cell>
          <cell r="N221" t="str">
            <v>借</v>
          </cell>
          <cell r="O221" t="str">
            <v>IB</v>
          </cell>
        </row>
        <row r="222">
          <cell r="J222" t="str">
            <v>其他应付款</v>
          </cell>
          <cell r="K222" t="str">
            <v>负债</v>
          </cell>
          <cell r="L222">
            <v>2241</v>
          </cell>
          <cell r="M222" t="str">
            <v>其他应付款</v>
          </cell>
          <cell r="N222" t="str">
            <v>贷</v>
          </cell>
          <cell r="O222" t="str">
            <v>NJ1</v>
          </cell>
        </row>
        <row r="223">
          <cell r="J223" t="str">
            <v>一年内到期的非流动负债</v>
          </cell>
          <cell r="K223" t="str">
            <v>负债</v>
          </cell>
          <cell r="L223">
            <v>2395</v>
          </cell>
          <cell r="M223" t="str">
            <v>一年内到期的非流动负债</v>
          </cell>
          <cell r="N223" t="str">
            <v>贷</v>
          </cell>
          <cell r="O223" t="str">
            <v>NM</v>
          </cell>
        </row>
        <row r="224">
          <cell r="J224" t="str">
            <v>其他流动负债</v>
          </cell>
          <cell r="K224" t="str">
            <v>负债</v>
          </cell>
          <cell r="L224">
            <v>2396</v>
          </cell>
          <cell r="M224" t="str">
            <v>其他流动负债</v>
          </cell>
          <cell r="N224" t="str">
            <v>贷</v>
          </cell>
          <cell r="O224" t="str">
            <v>NW</v>
          </cell>
        </row>
        <row r="225">
          <cell r="J225" t="str">
            <v>专项应付款</v>
          </cell>
          <cell r="K225" t="str">
            <v>负债</v>
          </cell>
          <cell r="L225">
            <v>2711</v>
          </cell>
          <cell r="M225" t="str">
            <v>专项应付款</v>
          </cell>
          <cell r="N225" t="str">
            <v>贷</v>
          </cell>
          <cell r="O225" t="str">
            <v>PD1</v>
          </cell>
        </row>
        <row r="226">
          <cell r="J226" t="str">
            <v>预计负债</v>
          </cell>
          <cell r="K226" t="str">
            <v>负债</v>
          </cell>
          <cell r="L226">
            <v>2801</v>
          </cell>
          <cell r="M226" t="str">
            <v>预计负债</v>
          </cell>
          <cell r="N226" t="str">
            <v>贷</v>
          </cell>
          <cell r="O226" t="str">
            <v>PE1</v>
          </cell>
        </row>
        <row r="227">
          <cell r="J227" t="str">
            <v>其他非流动负债</v>
          </cell>
          <cell r="K227" t="str">
            <v>负债</v>
          </cell>
          <cell r="L227">
            <v>2996</v>
          </cell>
          <cell r="M227" t="str">
            <v>其他非流动负债</v>
          </cell>
          <cell r="N227" t="str">
            <v>贷</v>
          </cell>
          <cell r="O227" t="str">
            <v>PW</v>
          </cell>
        </row>
        <row r="228">
          <cell r="J228" t="str">
            <v>递延收益</v>
          </cell>
          <cell r="K228" t="str">
            <v>负债</v>
          </cell>
          <cell r="M228" t="str">
            <v>递延收益</v>
          </cell>
          <cell r="N228" t="str">
            <v>贷</v>
          </cell>
          <cell r="O228" t="str">
            <v>PW1</v>
          </cell>
        </row>
        <row r="229">
          <cell r="J229" t="str">
            <v>管理费用</v>
          </cell>
          <cell r="K229" t="str">
            <v>损益</v>
          </cell>
          <cell r="L229">
            <v>6602</v>
          </cell>
          <cell r="M229" t="str">
            <v>管理费用</v>
          </cell>
          <cell r="N229" t="str">
            <v>借</v>
          </cell>
          <cell r="O229" t="str">
            <v>UD1</v>
          </cell>
        </row>
        <row r="230">
          <cell r="J230" t="str">
            <v>勘探费用</v>
          </cell>
          <cell r="K230" t="str">
            <v>损益</v>
          </cell>
          <cell r="M230" t="str">
            <v>勘探费用</v>
          </cell>
          <cell r="N230" t="str">
            <v>借</v>
          </cell>
          <cell r="O230" t="str">
            <v>UE1</v>
          </cell>
        </row>
        <row r="231">
          <cell r="J231" t="str">
            <v>生产性生物资产</v>
          </cell>
          <cell r="K231" t="str">
            <v>资产</v>
          </cell>
          <cell r="L231">
            <v>1621</v>
          </cell>
          <cell r="M231" t="str">
            <v>生产性生物资产</v>
          </cell>
          <cell r="N231" t="str">
            <v>借</v>
          </cell>
          <cell r="O231" t="str">
            <v>LF1</v>
          </cell>
        </row>
        <row r="232">
          <cell r="J232" t="str">
            <v>生产性生物资产累计折旧</v>
          </cell>
          <cell r="K232" t="str">
            <v>资产</v>
          </cell>
          <cell r="L232">
            <v>1621</v>
          </cell>
          <cell r="M232" t="str">
            <v>生产性生物资产累计折旧</v>
          </cell>
          <cell r="N232" t="str">
            <v>贷</v>
          </cell>
          <cell r="O232" t="str">
            <v>LF2</v>
          </cell>
        </row>
        <row r="233">
          <cell r="J233" t="str">
            <v>油气资产</v>
          </cell>
          <cell r="K233" t="str">
            <v>资产</v>
          </cell>
          <cell r="L233">
            <v>1631</v>
          </cell>
          <cell r="M233" t="str">
            <v>油气资产</v>
          </cell>
          <cell r="N233" t="str">
            <v>借</v>
          </cell>
          <cell r="O233" t="str">
            <v>LG1</v>
          </cell>
        </row>
        <row r="234">
          <cell r="J234" t="str">
            <v>累计折耗</v>
          </cell>
          <cell r="K234" t="str">
            <v>资产</v>
          </cell>
          <cell r="L234">
            <v>1631</v>
          </cell>
          <cell r="M234" t="str">
            <v>累计折耗</v>
          </cell>
          <cell r="N234" t="str">
            <v>贷</v>
          </cell>
          <cell r="O234" t="str">
            <v>LG2</v>
          </cell>
        </row>
        <row r="235">
          <cell r="J235" t="str">
            <v>专项储备</v>
          </cell>
          <cell r="K235" t="str">
            <v>所有者权益</v>
          </cell>
          <cell r="M235" t="str">
            <v>专项储备</v>
          </cell>
          <cell r="N235" t="str">
            <v>贷</v>
          </cell>
          <cell r="O235" t="str">
            <v>RG</v>
          </cell>
        </row>
        <row r="236">
          <cell r="J236" t="str">
            <v>外币报表折算差额</v>
          </cell>
          <cell r="K236" t="str">
            <v>所有者权益</v>
          </cell>
          <cell r="M236" t="str">
            <v>外币报表折算差额</v>
          </cell>
          <cell r="N236" t="str">
            <v>贷</v>
          </cell>
          <cell r="O236" t="str">
            <v>RH</v>
          </cell>
        </row>
        <row r="237">
          <cell r="J237" t="str">
            <v>少数股东权益</v>
          </cell>
          <cell r="K237" t="str">
            <v>所有者权益</v>
          </cell>
          <cell r="M237" t="str">
            <v>少数股东权益</v>
          </cell>
          <cell r="N237" t="str">
            <v>贷</v>
          </cell>
          <cell r="O237" t="str">
            <v>RI</v>
          </cell>
        </row>
        <row r="238">
          <cell r="J238" t="str">
            <v>其他综合收益</v>
          </cell>
          <cell r="K238" t="str">
            <v>损益</v>
          </cell>
          <cell r="M238" t="str">
            <v>其他综合收益</v>
          </cell>
          <cell r="N238" t="str">
            <v>贷</v>
          </cell>
          <cell r="O238" t="str">
            <v>RJ</v>
          </cell>
        </row>
        <row r="261">
          <cell r="D261" t="str">
            <v>货币资金</v>
          </cell>
        </row>
        <row r="262">
          <cell r="D262" t="str">
            <v>库存现金</v>
          </cell>
        </row>
        <row r="263">
          <cell r="D263" t="str">
            <v>银行存款</v>
          </cell>
        </row>
        <row r="264">
          <cell r="D264" t="str">
            <v>其他货币资金</v>
          </cell>
        </row>
        <row r="265">
          <cell r="D265" t="str">
            <v>交易性金融资产</v>
          </cell>
        </row>
        <row r="266">
          <cell r="D266" t="str">
            <v>应收票据</v>
          </cell>
        </row>
        <row r="267">
          <cell r="D267" t="str">
            <v>应收账款</v>
          </cell>
        </row>
        <row r="268">
          <cell r="D268" t="str">
            <v>坏账准备_应收账款</v>
          </cell>
        </row>
        <row r="269">
          <cell r="D269" t="str">
            <v>预付账款</v>
          </cell>
        </row>
        <row r="270">
          <cell r="D270" t="str">
            <v>坏账准备_预付账款</v>
          </cell>
        </row>
        <row r="271">
          <cell r="D271" t="str">
            <v>应收利息</v>
          </cell>
        </row>
        <row r="272">
          <cell r="D272" t="str">
            <v>应收股利</v>
          </cell>
        </row>
        <row r="273">
          <cell r="D273" t="str">
            <v>其他应收款</v>
          </cell>
        </row>
        <row r="274">
          <cell r="D274" t="str">
            <v>坏账准备_其他应收款</v>
          </cell>
        </row>
        <row r="275">
          <cell r="D275" t="str">
            <v>坏账准备</v>
          </cell>
        </row>
        <row r="276">
          <cell r="D276" t="str">
            <v>存货</v>
          </cell>
        </row>
        <row r="277">
          <cell r="D277" t="str">
            <v>材料采购</v>
          </cell>
        </row>
        <row r="278">
          <cell r="D278" t="str">
            <v>在途物资</v>
          </cell>
        </row>
        <row r="279">
          <cell r="D279" t="str">
            <v>原材料</v>
          </cell>
        </row>
        <row r="280">
          <cell r="D280" t="str">
            <v>材料成本差异</v>
          </cell>
        </row>
        <row r="281">
          <cell r="D281" t="str">
            <v>库存商品</v>
          </cell>
        </row>
        <row r="282">
          <cell r="D282" t="str">
            <v>发出商品</v>
          </cell>
        </row>
        <row r="283">
          <cell r="D283" t="str">
            <v>商品进销差价</v>
          </cell>
        </row>
        <row r="284">
          <cell r="D284" t="str">
            <v>委托加工物资</v>
          </cell>
        </row>
        <row r="285">
          <cell r="D285" t="str">
            <v>周转材料</v>
          </cell>
        </row>
        <row r="286">
          <cell r="D286" t="str">
            <v>受托代销商品</v>
          </cell>
        </row>
        <row r="287">
          <cell r="D287" t="str">
            <v>受托代销商品款</v>
          </cell>
        </row>
        <row r="288">
          <cell r="D288" t="str">
            <v>消耗性生物资产</v>
          </cell>
        </row>
        <row r="289">
          <cell r="D289" t="str">
            <v>存货跌价准备</v>
          </cell>
        </row>
        <row r="290">
          <cell r="D290" t="str">
            <v>生产成本</v>
          </cell>
        </row>
        <row r="291">
          <cell r="D291" t="str">
            <v>制造费用</v>
          </cell>
        </row>
        <row r="292">
          <cell r="D292" t="str">
            <v>劳务成本</v>
          </cell>
        </row>
        <row r="293">
          <cell r="D293" t="str">
            <v>工程施工</v>
          </cell>
        </row>
        <row r="294">
          <cell r="D294" t="str">
            <v>工程结算</v>
          </cell>
        </row>
        <row r="295">
          <cell r="D295" t="str">
            <v>机械作业</v>
          </cell>
        </row>
        <row r="296">
          <cell r="D296" t="str">
            <v>一年内到期的非流动资产</v>
          </cell>
        </row>
        <row r="297">
          <cell r="D297" t="str">
            <v>其他流动资产</v>
          </cell>
        </row>
        <row r="298">
          <cell r="D298" t="str">
            <v>可供出售金融资产</v>
          </cell>
        </row>
        <row r="299">
          <cell r="D299" t="str">
            <v>持有至到期投资</v>
          </cell>
        </row>
        <row r="300">
          <cell r="D300" t="str">
            <v>持有至到期投资减值准备</v>
          </cell>
        </row>
        <row r="301">
          <cell r="D301" t="str">
            <v>长期股权投资</v>
          </cell>
        </row>
        <row r="302">
          <cell r="D302" t="str">
            <v>长期股权投资减值准备</v>
          </cell>
        </row>
        <row r="303">
          <cell r="D303" t="str">
            <v>投资性房地产</v>
          </cell>
        </row>
        <row r="304">
          <cell r="D304" t="str">
            <v>固定资产</v>
          </cell>
        </row>
        <row r="305">
          <cell r="D305" t="str">
            <v>累计折旧</v>
          </cell>
        </row>
        <row r="306">
          <cell r="D306" t="str">
            <v>固定资产减值准备</v>
          </cell>
        </row>
        <row r="307">
          <cell r="D307" t="str">
            <v>在建工程</v>
          </cell>
        </row>
        <row r="308">
          <cell r="D308" t="str">
            <v>在建工程减值准备</v>
          </cell>
        </row>
        <row r="309">
          <cell r="D309" t="str">
            <v>工程物资</v>
          </cell>
        </row>
        <row r="310">
          <cell r="D310" t="str">
            <v>固定资产清理</v>
          </cell>
        </row>
        <row r="311">
          <cell r="D311" t="str">
            <v>生产性生物资产</v>
          </cell>
        </row>
        <row r="312">
          <cell r="D312" t="str">
            <v>生产性生物资产累计折旧</v>
          </cell>
        </row>
        <row r="313">
          <cell r="D313" t="str">
            <v>油气资产</v>
          </cell>
        </row>
        <row r="314">
          <cell r="D314" t="str">
            <v>累计折耗</v>
          </cell>
        </row>
        <row r="315">
          <cell r="D315" t="str">
            <v>无形资产</v>
          </cell>
        </row>
        <row r="316">
          <cell r="D316" t="str">
            <v>累计摊销</v>
          </cell>
        </row>
        <row r="317">
          <cell r="D317" t="str">
            <v>无形资产减值准备</v>
          </cell>
        </row>
        <row r="318">
          <cell r="D318" t="str">
            <v>研发支出</v>
          </cell>
        </row>
        <row r="319">
          <cell r="D319" t="str">
            <v>长期应收款</v>
          </cell>
        </row>
        <row r="320">
          <cell r="D320" t="str">
            <v>坏账准备_长期应收款</v>
          </cell>
        </row>
        <row r="321">
          <cell r="D321" t="str">
            <v>未实现融资收益</v>
          </cell>
        </row>
        <row r="322">
          <cell r="D322" t="str">
            <v>商誉</v>
          </cell>
        </row>
        <row r="323">
          <cell r="D323" t="str">
            <v>长期待摊费用</v>
          </cell>
        </row>
        <row r="324">
          <cell r="D324" t="str">
            <v>递延所得税资产</v>
          </cell>
        </row>
        <row r="325">
          <cell r="D325" t="str">
            <v>公益性生物资产</v>
          </cell>
        </row>
        <row r="326">
          <cell r="D326" t="str">
            <v>待处理财产损溢</v>
          </cell>
        </row>
        <row r="327">
          <cell r="D327" t="str">
            <v>其他非流动资产</v>
          </cell>
        </row>
        <row r="328">
          <cell r="D328" t="str">
            <v>短期借款</v>
          </cell>
        </row>
        <row r="329">
          <cell r="D329" t="str">
            <v>应付票据</v>
          </cell>
        </row>
        <row r="330">
          <cell r="D330" t="str">
            <v>应付账款</v>
          </cell>
        </row>
        <row r="331">
          <cell r="D331" t="str">
            <v>预收账款</v>
          </cell>
        </row>
        <row r="332">
          <cell r="D332" t="str">
            <v>应付职工薪酬</v>
          </cell>
        </row>
        <row r="333">
          <cell r="D333" t="str">
            <v>应交税费</v>
          </cell>
        </row>
        <row r="334">
          <cell r="D334" t="str">
            <v>应付利息</v>
          </cell>
        </row>
        <row r="335">
          <cell r="D335" t="str">
            <v>应付股利</v>
          </cell>
        </row>
        <row r="336">
          <cell r="D336" t="str">
            <v>其他应付款</v>
          </cell>
        </row>
        <row r="337">
          <cell r="D337" t="str">
            <v>交易性金融负债</v>
          </cell>
        </row>
        <row r="338">
          <cell r="D338" t="str">
            <v>一年内到期的非流动负债</v>
          </cell>
        </row>
        <row r="339">
          <cell r="D339" t="str">
            <v>其他流动负债</v>
          </cell>
        </row>
        <row r="340">
          <cell r="D340" t="str">
            <v>长期借款</v>
          </cell>
        </row>
        <row r="341">
          <cell r="D341" t="str">
            <v>应付债券</v>
          </cell>
        </row>
        <row r="342">
          <cell r="D342" t="str">
            <v>长期应付款</v>
          </cell>
        </row>
        <row r="343">
          <cell r="D343" t="str">
            <v>未确认融资费用</v>
          </cell>
        </row>
        <row r="344">
          <cell r="D344" t="str">
            <v>专项应付款</v>
          </cell>
        </row>
        <row r="345">
          <cell r="D345" t="str">
            <v>预计负债</v>
          </cell>
        </row>
        <row r="346">
          <cell r="D346" t="str">
            <v>递延所得税负债</v>
          </cell>
        </row>
        <row r="347">
          <cell r="D347" t="str">
            <v>其他非流动负债</v>
          </cell>
        </row>
        <row r="348">
          <cell r="D348" t="str">
            <v>递延收益</v>
          </cell>
        </row>
        <row r="349">
          <cell r="D349" t="str">
            <v>实收资本</v>
          </cell>
        </row>
        <row r="350">
          <cell r="D350" t="str">
            <v>资本公积</v>
          </cell>
        </row>
        <row r="351">
          <cell r="D351" t="str">
            <v>库存股</v>
          </cell>
        </row>
        <row r="352">
          <cell r="D352" t="str">
            <v>盈余公积</v>
          </cell>
        </row>
        <row r="353">
          <cell r="D353" t="str">
            <v>本年利润</v>
          </cell>
        </row>
        <row r="354">
          <cell r="D354" t="str">
            <v>利润分配</v>
          </cell>
        </row>
        <row r="355">
          <cell r="D355" t="str">
            <v>以前年度损益调整</v>
          </cell>
        </row>
        <row r="356">
          <cell r="D356" t="str">
            <v>主营业务收入</v>
          </cell>
        </row>
        <row r="357">
          <cell r="D357" t="str">
            <v>其他业务收入</v>
          </cell>
        </row>
        <row r="358">
          <cell r="D358" t="str">
            <v>公允价值变动损益</v>
          </cell>
        </row>
        <row r="359">
          <cell r="D359" t="str">
            <v>投资收益</v>
          </cell>
        </row>
        <row r="360">
          <cell r="D360" t="str">
            <v>营业外收入</v>
          </cell>
        </row>
        <row r="361">
          <cell r="D361" t="str">
            <v>主营业务成本</v>
          </cell>
        </row>
        <row r="362">
          <cell r="D362" t="str">
            <v>其他业务成本</v>
          </cell>
        </row>
        <row r="363">
          <cell r="D363" t="str">
            <v>营业税金及附加</v>
          </cell>
        </row>
        <row r="364">
          <cell r="D364" t="str">
            <v>销售费用</v>
          </cell>
        </row>
        <row r="365">
          <cell r="D365" t="str">
            <v>管理费用</v>
          </cell>
        </row>
        <row r="366">
          <cell r="D366" t="str">
            <v>勘探费用</v>
          </cell>
        </row>
        <row r="367">
          <cell r="D367" t="str">
            <v>财务费用</v>
          </cell>
        </row>
        <row r="368">
          <cell r="D368" t="str">
            <v>资产减值损失</v>
          </cell>
        </row>
        <row r="369">
          <cell r="D369" t="str">
            <v>营业外支出</v>
          </cell>
        </row>
        <row r="370">
          <cell r="D370" t="str">
            <v>所得税费用</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40">
          <cell r="G140" t="str">
            <v>货币资金</v>
          </cell>
        </row>
        <row r="141">
          <cell r="G141" t="str">
            <v>交易性金融资产</v>
          </cell>
        </row>
        <row r="142">
          <cell r="G142" t="str">
            <v>应收票据</v>
          </cell>
        </row>
        <row r="143">
          <cell r="G143" t="str">
            <v>应收账款</v>
          </cell>
        </row>
        <row r="144">
          <cell r="G144" t="str">
            <v>预付款项</v>
          </cell>
        </row>
        <row r="145">
          <cell r="G145" t="str">
            <v>应收利息</v>
          </cell>
        </row>
        <row r="146">
          <cell r="G146" t="str">
            <v>应收股利</v>
          </cell>
        </row>
        <row r="147">
          <cell r="G147" t="str">
            <v>其他应收款</v>
          </cell>
        </row>
        <row r="148">
          <cell r="G148" t="str">
            <v>存货</v>
          </cell>
        </row>
        <row r="149">
          <cell r="G149" t="str">
            <v>材料采购</v>
          </cell>
        </row>
        <row r="150">
          <cell r="G150" t="str">
            <v>在途物资</v>
          </cell>
        </row>
        <row r="151">
          <cell r="G151" t="str">
            <v>原材料</v>
          </cell>
        </row>
        <row r="152">
          <cell r="G152" t="str">
            <v>材料成本差异</v>
          </cell>
        </row>
        <row r="153">
          <cell r="G153" t="str">
            <v>库存商品</v>
          </cell>
        </row>
        <row r="154">
          <cell r="G154" t="str">
            <v>发出商品</v>
          </cell>
        </row>
        <row r="155">
          <cell r="G155" t="str">
            <v>商品进销差价</v>
          </cell>
        </row>
        <row r="156">
          <cell r="G156" t="str">
            <v>委托加工物资</v>
          </cell>
        </row>
        <row r="157">
          <cell r="G157" t="str">
            <v>周转材料</v>
          </cell>
        </row>
        <row r="158">
          <cell r="G158" t="str">
            <v>消耗性生物资产</v>
          </cell>
        </row>
        <row r="159">
          <cell r="G159" t="str">
            <v>存货跌价准备</v>
          </cell>
        </row>
        <row r="160">
          <cell r="G160" t="str">
            <v>生产成本</v>
          </cell>
        </row>
        <row r="161">
          <cell r="G161" t="str">
            <v>制造费用</v>
          </cell>
        </row>
        <row r="162">
          <cell r="G162" t="str">
            <v>劳务成本</v>
          </cell>
        </row>
        <row r="163">
          <cell r="G163" t="str">
            <v>工程施工</v>
          </cell>
        </row>
        <row r="164">
          <cell r="G164" t="str">
            <v>工程结算</v>
          </cell>
        </row>
        <row r="165">
          <cell r="G165" t="str">
            <v>机械作业</v>
          </cell>
        </row>
        <row r="166">
          <cell r="G166" t="str">
            <v>一年内到期的非流动资产</v>
          </cell>
        </row>
        <row r="167">
          <cell r="G167" t="str">
            <v>其他流动资产</v>
          </cell>
        </row>
        <row r="168">
          <cell r="G168" t="str">
            <v>可供出售金融资产</v>
          </cell>
        </row>
        <row r="169">
          <cell r="G169" t="str">
            <v>持有至到期投资</v>
          </cell>
        </row>
        <row r="170">
          <cell r="G170" t="str">
            <v>长期应收款</v>
          </cell>
        </row>
        <row r="171">
          <cell r="G171" t="str">
            <v>长期股权投资</v>
          </cell>
        </row>
        <row r="172">
          <cell r="G172" t="str">
            <v>投资性房地产</v>
          </cell>
        </row>
        <row r="173">
          <cell r="G173" t="str">
            <v>固定资产</v>
          </cell>
        </row>
        <row r="174">
          <cell r="G174" t="str">
            <v>在建工程</v>
          </cell>
        </row>
        <row r="175">
          <cell r="G175" t="str">
            <v>工程物资</v>
          </cell>
        </row>
        <row r="176">
          <cell r="G176" t="str">
            <v>固定资产清理</v>
          </cell>
        </row>
        <row r="177">
          <cell r="G177" t="str">
            <v>生产性生物资产</v>
          </cell>
        </row>
        <row r="178">
          <cell r="G178" t="str">
            <v>油气资产</v>
          </cell>
        </row>
        <row r="179">
          <cell r="G179" t="str">
            <v>无形资产</v>
          </cell>
        </row>
        <row r="180">
          <cell r="G180" t="str">
            <v>开发支出</v>
          </cell>
        </row>
        <row r="181">
          <cell r="G181" t="str">
            <v>商誉</v>
          </cell>
        </row>
        <row r="182">
          <cell r="G182" t="str">
            <v>长期待摊费用</v>
          </cell>
        </row>
        <row r="183">
          <cell r="G183" t="str">
            <v>递延所得税资产</v>
          </cell>
        </row>
        <row r="184">
          <cell r="G184" t="str">
            <v>其他非流动资产</v>
          </cell>
        </row>
        <row r="185">
          <cell r="G185" t="str">
            <v>短期借款</v>
          </cell>
        </row>
        <row r="186">
          <cell r="G186" t="str">
            <v>交易性金融负债</v>
          </cell>
        </row>
        <row r="187">
          <cell r="G187" t="str">
            <v>应付票据</v>
          </cell>
        </row>
        <row r="188">
          <cell r="G188" t="str">
            <v>应付账款</v>
          </cell>
        </row>
        <row r="189">
          <cell r="G189" t="str">
            <v>预收款项</v>
          </cell>
        </row>
        <row r="190">
          <cell r="G190" t="str">
            <v>应付职工薪酬</v>
          </cell>
        </row>
        <row r="191">
          <cell r="G191" t="str">
            <v>应交税费</v>
          </cell>
        </row>
        <row r="192">
          <cell r="G192" t="str">
            <v>应付利息</v>
          </cell>
        </row>
        <row r="193">
          <cell r="G193" t="str">
            <v>应付股利</v>
          </cell>
        </row>
        <row r="194">
          <cell r="G194" t="str">
            <v>其他应付款</v>
          </cell>
        </row>
        <row r="195">
          <cell r="G195" t="str">
            <v>一年内到期的非流动负债</v>
          </cell>
        </row>
        <row r="196">
          <cell r="G196" t="str">
            <v>其他流动负债</v>
          </cell>
        </row>
        <row r="197">
          <cell r="G197" t="str">
            <v>长期借款</v>
          </cell>
        </row>
        <row r="198">
          <cell r="G198" t="str">
            <v>应付债券</v>
          </cell>
        </row>
        <row r="199">
          <cell r="G199" t="str">
            <v>长期应付款</v>
          </cell>
        </row>
        <row r="200">
          <cell r="G200" t="str">
            <v>专项应付款</v>
          </cell>
        </row>
        <row r="201">
          <cell r="G201" t="str">
            <v>预计负债</v>
          </cell>
        </row>
        <row r="202">
          <cell r="G202" t="str">
            <v>递延所得税负债</v>
          </cell>
        </row>
        <row r="203">
          <cell r="G203" t="str">
            <v>其他非流动负债</v>
          </cell>
        </row>
        <row r="204">
          <cell r="G204" t="str">
            <v>实收资本</v>
          </cell>
        </row>
        <row r="205">
          <cell r="G205" t="str">
            <v>资本公积</v>
          </cell>
        </row>
        <row r="206">
          <cell r="G206" t="str">
            <v>库存股</v>
          </cell>
        </row>
        <row r="207">
          <cell r="G207" t="str">
            <v>盈余公积</v>
          </cell>
        </row>
        <row r="208">
          <cell r="G208" t="str">
            <v>未分配利润</v>
          </cell>
        </row>
        <row r="209">
          <cell r="G209" t="str">
            <v>营业收入</v>
          </cell>
        </row>
        <row r="210">
          <cell r="G210" t="str">
            <v>营业成本</v>
          </cell>
        </row>
        <row r="211">
          <cell r="G211" t="str">
            <v>营业税金及附加</v>
          </cell>
        </row>
        <row r="212">
          <cell r="G212" t="str">
            <v>销售费用</v>
          </cell>
        </row>
        <row r="213">
          <cell r="G213" t="str">
            <v>管理费用</v>
          </cell>
        </row>
        <row r="214">
          <cell r="G214" t="str">
            <v>财务费用</v>
          </cell>
        </row>
        <row r="215">
          <cell r="G215" t="str">
            <v>资产减值损失</v>
          </cell>
        </row>
        <row r="216">
          <cell r="G216" t="str">
            <v>公允价值变动损益</v>
          </cell>
        </row>
        <row r="217">
          <cell r="G217" t="str">
            <v>投资收益</v>
          </cell>
        </row>
        <row r="218">
          <cell r="G218" t="str">
            <v>营业外收入</v>
          </cell>
        </row>
        <row r="219">
          <cell r="G219" t="str">
            <v>营业外支出</v>
          </cell>
        </row>
        <row r="220">
          <cell r="G220" t="str">
            <v>所得税费用</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使用说明"/>
      <sheetName val="报表"/>
      <sheetName val="固定资产卡片"/>
      <sheetName val="固定资产减少"/>
      <sheetName val="基础设置"/>
      <sheetName val="索引"/>
      <sheetName val="预付账款Dy"/>
      <sheetName val="预付账款Mx"/>
      <sheetName val="预付账款Pz"/>
      <sheetName val="预付账款_3"/>
      <sheetName val="固定资产清单"/>
      <sheetName val="固定资产Dy"/>
      <sheetName val="固定资产Mx"/>
      <sheetName val="固定资产Pz"/>
      <sheetName val="累计折旧Mx"/>
      <sheetName val="在建工程Mx"/>
      <sheetName val="固定资产清理Mx"/>
      <sheetName val="应付账款Mx"/>
      <sheetName val="应付账款_3"/>
      <sheetName val="分录"/>
      <sheetName val="标本-资产"/>
    </sheetNames>
    <sheetDataSet>
      <sheetData sheetId="0">
        <row r="3">
          <cell r="Q3">
            <v>180</v>
          </cell>
        </row>
      </sheetData>
      <sheetData sheetId="1"/>
      <sheetData sheetId="2">
        <row r="3">
          <cell r="Q3">
            <v>180</v>
          </cell>
          <cell r="T3">
            <v>6660</v>
          </cell>
          <cell r="U3">
            <v>17340</v>
          </cell>
        </row>
        <row r="4">
          <cell r="Q4">
            <v>112.5</v>
          </cell>
          <cell r="T4">
            <v>4162.5</v>
          </cell>
          <cell r="U4">
            <v>10837.5</v>
          </cell>
        </row>
        <row r="5">
          <cell r="Q5">
            <v>160.5</v>
          </cell>
          <cell r="T5">
            <v>5938.5</v>
          </cell>
          <cell r="U5">
            <v>4761.5</v>
          </cell>
        </row>
        <row r="6">
          <cell r="Q6">
            <v>600</v>
          </cell>
          <cell r="T6">
            <v>22200</v>
          </cell>
          <cell r="U6">
            <v>17800</v>
          </cell>
        </row>
        <row r="7">
          <cell r="Q7">
            <v>417</v>
          </cell>
          <cell r="T7">
            <v>15429</v>
          </cell>
          <cell r="U7">
            <v>40171</v>
          </cell>
        </row>
        <row r="8">
          <cell r="Q8">
            <v>90</v>
          </cell>
          <cell r="T8">
            <v>3330</v>
          </cell>
          <cell r="U8">
            <v>2670</v>
          </cell>
        </row>
        <row r="9">
          <cell r="Q9">
            <v>41.12</v>
          </cell>
          <cell r="T9">
            <v>1521.44</v>
          </cell>
          <cell r="U9">
            <v>1219.56</v>
          </cell>
        </row>
        <row r="10">
          <cell r="Q10">
            <v>31.1</v>
          </cell>
          <cell r="T10">
            <v>1150.7</v>
          </cell>
          <cell r="U10">
            <v>922.3</v>
          </cell>
        </row>
        <row r="11">
          <cell r="Q11">
            <v>47.54</v>
          </cell>
          <cell r="T11">
            <v>1758.98</v>
          </cell>
          <cell r="U11">
            <v>1410.02</v>
          </cell>
        </row>
        <row r="12">
          <cell r="Q12">
            <v>47.99</v>
          </cell>
          <cell r="T12">
            <v>1775.63</v>
          </cell>
          <cell r="U12">
            <v>1423.37</v>
          </cell>
        </row>
        <row r="13">
          <cell r="Q13">
            <v>221.1</v>
          </cell>
          <cell r="T13">
            <v>8180.7</v>
          </cell>
          <cell r="U13">
            <v>6559.3</v>
          </cell>
        </row>
        <row r="14">
          <cell r="Q14">
            <v>529.33000000000004</v>
          </cell>
          <cell r="T14">
            <v>19585.21</v>
          </cell>
          <cell r="U14">
            <v>15703.59</v>
          </cell>
        </row>
        <row r="15">
          <cell r="Q15">
            <v>41.12</v>
          </cell>
          <cell r="T15">
            <v>1480.32</v>
          </cell>
          <cell r="U15">
            <v>1261.28</v>
          </cell>
        </row>
        <row r="16">
          <cell r="Q16">
            <v>89.7</v>
          </cell>
          <cell r="T16">
            <v>3229.2</v>
          </cell>
          <cell r="U16">
            <v>2750.8</v>
          </cell>
        </row>
        <row r="17">
          <cell r="Q17">
            <v>80.67</v>
          </cell>
          <cell r="T17">
            <v>2823.45</v>
          </cell>
          <cell r="U17">
            <v>2554.5500000000002</v>
          </cell>
        </row>
        <row r="18">
          <cell r="Q18">
            <v>95.1</v>
          </cell>
          <cell r="T18">
            <v>3328.5</v>
          </cell>
          <cell r="U18">
            <v>3011.5</v>
          </cell>
        </row>
        <row r="19">
          <cell r="Q19">
            <v>2616.75</v>
          </cell>
          <cell r="T19">
            <v>91586.25</v>
          </cell>
          <cell r="U19">
            <v>257313.75</v>
          </cell>
        </row>
        <row r="20">
          <cell r="Q20">
            <v>62.1</v>
          </cell>
          <cell r="T20">
            <v>2111.4</v>
          </cell>
          <cell r="U20">
            <v>2028.6</v>
          </cell>
        </row>
        <row r="21">
          <cell r="Q21">
            <v>397.5</v>
          </cell>
          <cell r="T21">
            <v>13515</v>
          </cell>
          <cell r="U21">
            <v>12985</v>
          </cell>
        </row>
        <row r="22">
          <cell r="Q22">
            <v>61.58</v>
          </cell>
          <cell r="T22">
            <v>2093.7199999999998</v>
          </cell>
          <cell r="U22">
            <v>2011.28</v>
          </cell>
        </row>
        <row r="23">
          <cell r="Q23">
            <v>49.5</v>
          </cell>
          <cell r="T23">
            <v>1683</v>
          </cell>
          <cell r="U23">
            <v>1617</v>
          </cell>
        </row>
        <row r="24">
          <cell r="Q24">
            <v>141</v>
          </cell>
          <cell r="T24">
            <v>4794</v>
          </cell>
          <cell r="U24">
            <v>4606</v>
          </cell>
        </row>
        <row r="25">
          <cell r="Q25">
            <v>405.94</v>
          </cell>
          <cell r="T25">
            <v>13396.02</v>
          </cell>
          <cell r="U25">
            <v>13666.48</v>
          </cell>
        </row>
        <row r="26">
          <cell r="Q26">
            <v>390</v>
          </cell>
          <cell r="T26">
            <v>12480</v>
          </cell>
          <cell r="U26">
            <v>13520</v>
          </cell>
        </row>
        <row r="27">
          <cell r="Q27">
            <v>402.75</v>
          </cell>
          <cell r="T27">
            <v>12888</v>
          </cell>
          <cell r="U27">
            <v>13962</v>
          </cell>
        </row>
        <row r="28">
          <cell r="Q28">
            <v>150</v>
          </cell>
          <cell r="T28">
            <v>4650</v>
          </cell>
          <cell r="U28">
            <v>15350</v>
          </cell>
        </row>
        <row r="29">
          <cell r="Q29">
            <v>40.17</v>
          </cell>
          <cell r="T29">
            <v>1245.27</v>
          </cell>
          <cell r="U29">
            <v>1432.73</v>
          </cell>
        </row>
        <row r="30">
          <cell r="Q30">
            <v>1875</v>
          </cell>
          <cell r="T30">
            <v>58125</v>
          </cell>
          <cell r="U30">
            <v>191875</v>
          </cell>
        </row>
        <row r="31">
          <cell r="Q31">
            <v>33</v>
          </cell>
          <cell r="T31">
            <v>1023</v>
          </cell>
          <cell r="U31">
            <v>1177</v>
          </cell>
        </row>
        <row r="32">
          <cell r="Q32">
            <v>99</v>
          </cell>
          <cell r="T32">
            <v>2970</v>
          </cell>
          <cell r="U32">
            <v>3630</v>
          </cell>
        </row>
        <row r="33">
          <cell r="Q33">
            <v>975</v>
          </cell>
          <cell r="T33">
            <v>29250</v>
          </cell>
          <cell r="U33">
            <v>100750</v>
          </cell>
        </row>
        <row r="34">
          <cell r="Q34">
            <v>166.5</v>
          </cell>
          <cell r="T34">
            <v>4828.5</v>
          </cell>
          <cell r="U34">
            <v>17371.5</v>
          </cell>
        </row>
        <row r="35">
          <cell r="Q35">
            <v>2100</v>
          </cell>
          <cell r="T35">
            <v>60900</v>
          </cell>
          <cell r="U35">
            <v>219100</v>
          </cell>
        </row>
        <row r="36">
          <cell r="Q36">
            <v>1687.5</v>
          </cell>
          <cell r="T36">
            <v>48937.5</v>
          </cell>
          <cell r="U36">
            <v>176062.5</v>
          </cell>
        </row>
        <row r="37">
          <cell r="Q37">
            <v>60</v>
          </cell>
          <cell r="T37">
            <v>1620</v>
          </cell>
          <cell r="U37">
            <v>2380</v>
          </cell>
        </row>
        <row r="38">
          <cell r="Q38">
            <v>1413.63</v>
          </cell>
          <cell r="T38">
            <v>38168.01</v>
          </cell>
          <cell r="U38">
            <v>56073.73</v>
          </cell>
        </row>
        <row r="39">
          <cell r="Q39">
            <v>555</v>
          </cell>
          <cell r="T39">
            <v>14430</v>
          </cell>
          <cell r="U39">
            <v>59570</v>
          </cell>
        </row>
        <row r="40">
          <cell r="Q40">
            <v>1374</v>
          </cell>
          <cell r="T40">
            <v>34350</v>
          </cell>
          <cell r="U40">
            <v>148850</v>
          </cell>
        </row>
        <row r="41">
          <cell r="Q41">
            <v>1350</v>
          </cell>
          <cell r="T41">
            <v>18900</v>
          </cell>
          <cell r="U41">
            <v>161100</v>
          </cell>
        </row>
        <row r="42">
          <cell r="Q42">
            <v>930</v>
          </cell>
          <cell r="T42">
            <v>13020</v>
          </cell>
          <cell r="U42">
            <v>110980</v>
          </cell>
        </row>
        <row r="43">
          <cell r="Q43">
            <v>487.5</v>
          </cell>
          <cell r="T43">
            <v>6825</v>
          </cell>
          <cell r="U43">
            <v>58175</v>
          </cell>
        </row>
        <row r="44">
          <cell r="Q44">
            <v>105</v>
          </cell>
          <cell r="T44">
            <v>735</v>
          </cell>
          <cell r="U44">
            <v>13265</v>
          </cell>
        </row>
        <row r="45">
          <cell r="Q45">
            <v>89.7</v>
          </cell>
          <cell r="T45">
            <v>627.9</v>
          </cell>
          <cell r="U45">
            <v>11332.1</v>
          </cell>
        </row>
        <row r="46">
          <cell r="Q46">
            <v>9000</v>
          </cell>
          <cell r="T46">
            <v>45000</v>
          </cell>
          <cell r="U46">
            <v>1155000</v>
          </cell>
        </row>
        <row r="47">
          <cell r="Q47">
            <v>30.6</v>
          </cell>
          <cell r="T47">
            <v>30.6</v>
          </cell>
          <cell r="U47">
            <v>4049.4</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8-701"/>
      <sheetName val="A8-702"/>
      <sheetName val="A8-703"/>
      <sheetName val="A8-704"/>
      <sheetName val="A8-705"/>
      <sheetName val="附1"/>
      <sheetName val="附2"/>
      <sheetName val="附3-1"/>
      <sheetName val="附3-2"/>
      <sheetName val="附3-3"/>
      <sheetName val="附4-1"/>
      <sheetName val="附4-2"/>
      <sheetName val="附5"/>
      <sheetName val="附6"/>
      <sheetName val="附7"/>
      <sheetName val="附8"/>
      <sheetName val="附9"/>
      <sheetName val="附10"/>
      <sheetName val="附11"/>
      <sheetName val="附12"/>
      <sheetName val="附13"/>
      <sheetName val="附14-1"/>
      <sheetName val="附14-2"/>
      <sheetName val="附15"/>
      <sheetName val="附16"/>
      <sheetName val="附 17-1"/>
      <sheetName val="附表 17-2"/>
      <sheetName val="附17－3"/>
      <sheetName val="附表 17-4"/>
      <sheetName val="附17-5"/>
      <sheetName val="附17-6"/>
      <sheetName val="附 18-1"/>
      <sheetName val="附 18－2"/>
      <sheetName val="附表 19"/>
      <sheetName val="附表19－2"/>
      <sheetName val="附表 20"/>
      <sheetName val="附 21"/>
      <sheetName val="附表22"/>
      <sheetName val="附表 23"/>
      <sheetName val="附 24"/>
      <sheetName val="附表 25"/>
      <sheetName val="#REF"/>
      <sheetName val="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索引"/>
      <sheetName val="余额表"/>
      <sheetName val="货币资金Cx"/>
      <sheetName val="货币资金Dy"/>
      <sheetName val="货币资金Mx"/>
      <sheetName val="银行存款明细表"/>
      <sheetName val="银行存款函证结果汇总表"/>
      <sheetName val="货币资金Pz"/>
      <sheetName val="短期借款Cx"/>
      <sheetName val="短期借款Dy"/>
      <sheetName val="长期借款Cx"/>
      <sheetName val="长期借款Dy"/>
      <sheetName val="长期借款明细表MX"/>
      <sheetName val="长期借款明细表PA-3-2"/>
      <sheetName val="长期借款Pz"/>
      <sheetName val="其他应收款Cx"/>
      <sheetName val="其他应收款Dy"/>
      <sheetName val="其他应收款Mx"/>
      <sheetName val="其他应收款Pz"/>
      <sheetName val="其他流动资产Cx"/>
      <sheetName val="其他流动资产Dy"/>
      <sheetName val="其他流动资产Mx"/>
      <sheetName val="固定资产Cx"/>
      <sheetName val="固定资产Dy"/>
      <sheetName val="固定资产Mx"/>
      <sheetName val="折旧表LB1-3-2"/>
      <sheetName val="固定资产Pz"/>
      <sheetName val="应付职工薪酬Cx"/>
      <sheetName val="应付职工薪酬Dy"/>
      <sheetName val="应付福利费明细Db"/>
      <sheetName val="应付工资明细Db"/>
      <sheetName val="应付职工薪酬Mx"/>
      <sheetName val="应付职工薪酬Pz"/>
      <sheetName val="其他应付款Cx"/>
      <sheetName val="其他应付款Dy"/>
      <sheetName val="其他应付款Mx"/>
      <sheetName val="其他应付款Pz"/>
      <sheetName val="其他流动负债Cx"/>
      <sheetName val="其他流动负债Mx"/>
      <sheetName val="财务费用Cx"/>
      <sheetName val="财务费用Dy"/>
      <sheetName val="财务费用Mx"/>
      <sheetName val="递延所得税资产Dy"/>
      <sheetName val="递延所得税资产明细表"/>
      <sheetName val="所得税明细Db1"/>
      <sheetName val="所得税费用Cx"/>
      <sheetName val="所得税费用Dy"/>
      <sheetName val="所得税费用Mx"/>
      <sheetName val="所得税明细Db"/>
      <sheetName val="递延所得税费用计算表"/>
      <sheetName val="分录"/>
      <sheetName val="标本-资产"/>
      <sheetName val="参数"/>
      <sheetName val="主菜单"/>
      <sheetName val="试算平衡表"/>
    </sheetNames>
    <sheetDataSet>
      <sheetData sheetId="0"/>
      <sheetData sheetId="1"/>
      <sheetData sheetId="2"/>
      <sheetData sheetId="3">
        <row r="7">
          <cell r="B7" t="str">
            <v>导引表</v>
          </cell>
          <cell r="C7" t="str">
            <v>项        目</v>
          </cell>
          <cell r="D7" t="str">
            <v>上年审定数</v>
          </cell>
          <cell r="E7" t="str">
            <v>未        审        数</v>
          </cell>
          <cell r="I7" t="str">
            <v>本年审计调整</v>
          </cell>
          <cell r="K7" t="str">
            <v>审定数</v>
          </cell>
        </row>
        <row r="8">
          <cell r="B8" t="str">
            <v>Ref</v>
          </cell>
          <cell r="E8" t="str">
            <v>年初余额</v>
          </cell>
          <cell r="F8" t="str">
            <v>本期借方</v>
          </cell>
          <cell r="G8" t="str">
            <v>本期贷方</v>
          </cell>
          <cell r="H8" t="str">
            <v>期末余额</v>
          </cell>
          <cell r="I8" t="str">
            <v>Dr</v>
          </cell>
          <cell r="J8" t="str">
            <v>Cr</v>
          </cell>
        </row>
        <row r="9">
          <cell r="B9">
            <v>1</v>
          </cell>
          <cell r="C9" t="str">
            <v>现金</v>
          </cell>
          <cell r="D9">
            <v>0</v>
          </cell>
          <cell r="E9">
            <v>0</v>
          </cell>
          <cell r="F9">
            <v>1500</v>
          </cell>
          <cell r="G9">
            <v>1500</v>
          </cell>
          <cell r="H9">
            <v>0</v>
          </cell>
          <cell r="K9">
            <v>0</v>
          </cell>
        </row>
        <row r="10">
          <cell r="B10">
            <v>2</v>
          </cell>
          <cell r="C10" t="str">
            <v>银行存款</v>
          </cell>
          <cell r="D10">
            <v>15234905.33</v>
          </cell>
          <cell r="E10">
            <v>15234905.33</v>
          </cell>
          <cell r="F10">
            <v>655298954.39999998</v>
          </cell>
          <cell r="G10">
            <v>668114299.52999997</v>
          </cell>
          <cell r="H10">
            <v>2419560.2000000002</v>
          </cell>
          <cell r="K10">
            <v>2419560.2000000002</v>
          </cell>
        </row>
        <row r="11">
          <cell r="C11" t="str">
            <v>末级明细项目合计</v>
          </cell>
          <cell r="D11">
            <v>15234905.33</v>
          </cell>
          <cell r="E11">
            <v>15234905.33</v>
          </cell>
          <cell r="F11">
            <v>655300454.39999998</v>
          </cell>
          <cell r="G11">
            <v>668115799.52999997</v>
          </cell>
          <cell r="H11">
            <v>2419560.2000000002</v>
          </cell>
          <cell r="I11">
            <v>0</v>
          </cell>
          <cell r="J11">
            <v>0</v>
          </cell>
          <cell r="K11">
            <v>2419560.2000000002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7">
          <cell r="B7" t="str">
            <v>导引表</v>
          </cell>
          <cell r="C7" t="str">
            <v>项        目</v>
          </cell>
          <cell r="D7" t="str">
            <v>类别</v>
          </cell>
          <cell r="E7" t="str">
            <v>上年审定数</v>
          </cell>
          <cell r="F7" t="str">
            <v>本年未审数</v>
          </cell>
          <cell r="G7" t="str">
            <v>结构比</v>
          </cell>
          <cell r="H7" t="str">
            <v>变动趋势</v>
          </cell>
          <cell r="I7" t="str">
            <v>本年审计调整</v>
          </cell>
          <cell r="K7" t="str">
            <v>审定数</v>
          </cell>
        </row>
        <row r="8">
          <cell r="B8" t="str">
            <v>Ref</v>
          </cell>
          <cell r="I8" t="str">
            <v>Dr</v>
          </cell>
          <cell r="J8" t="str">
            <v>Cr</v>
          </cell>
        </row>
        <row r="9">
          <cell r="B9">
            <v>1</v>
          </cell>
          <cell r="C9" t="str">
            <v>财务费用</v>
          </cell>
          <cell r="E9">
            <v>-4500.4399999999996</v>
          </cell>
          <cell r="F9">
            <v>16964.84</v>
          </cell>
          <cell r="H9">
            <v>-4.7695999999999996</v>
          </cell>
          <cell r="I9">
            <v>0</v>
          </cell>
          <cell r="J9">
            <v>0</v>
          </cell>
          <cell r="K9">
            <v>16964.84</v>
          </cell>
        </row>
        <row r="10">
          <cell r="B10">
            <v>2</v>
          </cell>
          <cell r="C10" t="str">
            <v>财务费用\金融机构手续费</v>
          </cell>
          <cell r="E10">
            <v>17110.080000000002</v>
          </cell>
          <cell r="F10">
            <v>21358.21</v>
          </cell>
          <cell r="H10">
            <v>0.24829999999999999</v>
          </cell>
          <cell r="I10">
            <v>0</v>
          </cell>
          <cell r="J10">
            <v>0</v>
          </cell>
          <cell r="K10">
            <v>21358.21</v>
          </cell>
        </row>
        <row r="11">
          <cell r="B11">
            <v>3</v>
          </cell>
          <cell r="C11" t="str">
            <v>财务费用\利息收入</v>
          </cell>
          <cell r="E11">
            <v>-21610.52</v>
          </cell>
          <cell r="F11">
            <v>-129895.11</v>
          </cell>
          <cell r="H11">
            <v>5.0106999999999999</v>
          </cell>
          <cell r="I11">
            <v>0</v>
          </cell>
          <cell r="J11">
            <v>0</v>
          </cell>
          <cell r="K11">
            <v>-129895.11</v>
          </cell>
        </row>
        <row r="12">
          <cell r="C12" t="str">
            <v>末级明细项目合计</v>
          </cell>
          <cell r="E12">
            <v>-4500.4399999999996</v>
          </cell>
          <cell r="F12">
            <v>-108536.9</v>
          </cell>
          <cell r="I12">
            <v>0</v>
          </cell>
          <cell r="J12">
            <v>0</v>
          </cell>
          <cell r="K12">
            <v>-108536.9</v>
          </cell>
        </row>
      </sheetData>
      <sheetData sheetId="41"/>
      <sheetData sheetId="42">
        <row r="7">
          <cell r="B7" t="str">
            <v>导引表</v>
          </cell>
        </row>
      </sheetData>
      <sheetData sheetId="43"/>
      <sheetData sheetId="44"/>
      <sheetData sheetId="45"/>
      <sheetData sheetId="46">
        <row r="7">
          <cell r="B7" t="str">
            <v>导引表</v>
          </cell>
        </row>
      </sheetData>
      <sheetData sheetId="47"/>
      <sheetData sheetId="48"/>
      <sheetData sheetId="49"/>
      <sheetData sheetId="50"/>
      <sheetData sheetId="51"/>
      <sheetData sheetId="52" refreshError="1"/>
      <sheetData sheetId="53" refreshError="1"/>
      <sheetData sheetId="5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工程物资Dy"/>
      <sheetName val="分录"/>
      <sheetName val="应收利息Dy"/>
      <sheetName val="预付账款Dy"/>
      <sheetName val="货币资金审核"/>
      <sheetName val="短期投资Dy"/>
      <sheetName val="#REF"/>
      <sheetName val="索引"/>
      <sheetName val="应收账款"/>
      <sheetName val="Book1"/>
      <sheetName val="货币资金Dy"/>
      <sheetName val="银行存款Dy"/>
      <sheetName val="标本-资产"/>
      <sheetName val="财务费用Dy"/>
      <sheetName val="中心库"/>
      <sheetName val="周转库"/>
      <sheetName val="调整分录"/>
      <sheetName val="现金盘点表"/>
      <sheetName val="预付账款"/>
      <sheetName val="现金流量表编制"/>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管理费用"/>
      <sheetName val="安置房源调整辅助"/>
      <sheetName val="¹¤³ÌÎï×ÊDy"/>
      <sheetName val="·ÖÂ¼"/>
      <sheetName val="Ó¦ÊÕÀûÏ¢Dy"/>
      <sheetName val="Ô¤¸¶ÕË¿îDy"/>
      <sheetName val="»õ±Ò×Ê½ðÉóºË"/>
      <sheetName val="¶ÌÆÚÍ¶×ÊDy"/>
      <sheetName val="Ë÷Òý"/>
      <sheetName val="Ó¦ÊÕÕË¿î"/>
      <sheetName val="Book1--娟娟.xls"/>
      <sheetName val="待摊费用上月"/>
      <sheetName val="余额表"/>
      <sheetName val="货币资金Cx"/>
      <sheetName val="货币资金Mx"/>
      <sheetName val="银行存款Mx"/>
      <sheetName val="预付账款Mx"/>
      <sheetName val="存货Cx"/>
      <sheetName val="存货Dy"/>
      <sheetName val="存货Mx"/>
      <sheetName val="库存商品Cx"/>
      <sheetName val="库存商品Mx"/>
      <sheetName val="固定资产Cx"/>
      <sheetName val="固定资产Dy"/>
      <sheetName val="固定资产Mx"/>
      <sheetName val="应付账款Cx"/>
      <sheetName val="应付账款Mx"/>
      <sheetName val="其他应付款Cx"/>
      <sheetName val="其他应付款Dy"/>
      <sheetName val="其他应付款Mx"/>
      <sheetName val="其他应收款Cx"/>
      <sheetName val="其他应收款Dy"/>
      <sheetName val="其他应收款Mx"/>
      <sheetName val="预付款项Cx"/>
      <sheetName val="折旧表"/>
      <sheetName val="固定资产卡片"/>
      <sheetName val="坏账准备_其他应收款Dy"/>
      <sheetName val="无形资产Dy"/>
      <sheetName val="无形资产减值准备Dy"/>
      <sheetName val="补贴收入Dy"/>
      <sheetName val="营业外收入Dy"/>
      <sheetName val="所得税Dy"/>
      <sheetName val="应收补贴款Dy"/>
      <sheetName val="其他流动资产Dy"/>
      <sheetName val="内部往来Dy"/>
      <sheetName val="长期待摊费用Dy"/>
      <sheetName val="管理费用mx"/>
      <sheetName val="股本Dy"/>
      <sheetName val="资本公积Dy"/>
      <sheetName val="盈余公积Dy"/>
      <sheetName val="投资收益Dy"/>
      <sheetName val="长期股权投资D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徐"/>
      <sheetName val="管理文件清单"/>
      <sheetName val="B"/>
      <sheetName val="source"/>
      <sheetName val="dept"/>
      <sheetName val="关联交易-存款"/>
      <sheetName val="E1020"/>
      <sheetName val="M-5C"/>
      <sheetName val="企业表一"/>
      <sheetName val="M-5A"/>
      <sheetName val="master"/>
      <sheetName val="INDEX"/>
      <sheetName val="Tables"/>
      <sheetName val="Dep.HK"/>
      <sheetName val="TSNO-DC"/>
      <sheetName val="12月到货 "/>
      <sheetName val="ANALYSEN"/>
      <sheetName val="Sheet1"/>
      <sheetName val="价格"/>
      <sheetName val="Summary"/>
      <sheetName val="DEP"/>
      <sheetName val="部门"/>
      <sheetName val="A300"/>
      <sheetName val="3-1-1现金"/>
      <sheetName val="Rate"/>
      <sheetName val="E100"/>
      <sheetName val="N100"/>
      <sheetName val="PRESENTATION"/>
      <sheetName val="FF-21(a)"/>
      <sheetName val="E"/>
      <sheetName val="A"/>
      <sheetName val="実績SK"/>
      <sheetName val="UFPrn20021113090847"/>
      <sheetName val="Comp equip"/>
      <sheetName val="Mach &amp; equip"/>
      <sheetName val="WORKING"/>
      <sheetName val="J&amp;Q"/>
      <sheetName val="A430"/>
      <sheetName val="C101"/>
      <sheetName val="E101"/>
      <sheetName val="G101"/>
      <sheetName val="G201"/>
      <sheetName val="G301"/>
      <sheetName val="I101"/>
      <sheetName val="ARP-U101"/>
      <sheetName val="ARP-U301"/>
      <sheetName val="U401"/>
      <sheetName val="ARP-U501"/>
      <sheetName val="DATA"/>
      <sheetName val="GB"/>
      <sheetName val="12月到货_"/>
      <sheetName val="zero (3)"/>
      <sheetName val="审核2"/>
      <sheetName val="Sheet3"/>
      <sheetName val="Newsheet"/>
      <sheetName val="K110"/>
      <sheetName val="G210"/>
      <sheetName val="O111"/>
      <sheetName val="analyse"/>
      <sheetName val="MasterList"/>
      <sheetName val="个人欠款账龄分析表"/>
      <sheetName val="0898"/>
      <sheetName val="U301"/>
      <sheetName val="设备部房屋"/>
      <sheetName val="CY sales report"/>
      <sheetName val="A.R 01"/>
      <sheetName val="F1"/>
      <sheetName val="选择报表"/>
      <sheetName val="F306"/>
      <sheetName val="Control"/>
      <sheetName val="数外余额"/>
      <sheetName val="其他应付款4-12月份明细表"/>
      <sheetName val="LinkData"/>
      <sheetName val="捐赠支出未列支全部2005"/>
      <sheetName val="Consol BS"/>
      <sheetName val="HO &amp; Aust BS"/>
      <sheetName val="BOX SUM"/>
      <sheetName val="FIN GOOD"/>
      <sheetName val="存货明细2002"/>
      <sheetName val="App1 Entities sequence number"/>
      <sheetName val="G110"/>
      <sheetName val="F-B"/>
      <sheetName val="数量统计"/>
      <sheetName val="在产品成本计算XPC,FR2(3)"/>
      <sheetName val="SUDAREA"/>
      <sheetName val="员工工资"/>
      <sheetName val="科目余额表"/>
      <sheetName val="kczj0312"/>
      <sheetName val="国产件1"/>
      <sheetName val="报废备件"/>
      <sheetName val="KD批次、封存件"/>
      <sheetName val="T  B"/>
      <sheetName val="表二甲机务F型"/>
      <sheetName val="U600-投资收益"/>
      <sheetName val="產成品收發明細表5"/>
      <sheetName val="Karin(SH)"/>
      <sheetName val="资产负债表"/>
      <sheetName val="P500-预提费用明细表"/>
      <sheetName val="F2100-半成品"/>
      <sheetName val="F2000-委托加工物资"/>
      <sheetName val="F1000芯片"/>
      <sheetName val="F1100芯片测试费 "/>
      <sheetName val="list"/>
      <sheetName val="Dep_HK"/>
      <sheetName val="E120K"/>
      <sheetName val="F40-Goodsin transit"/>
      <sheetName val="A3"/>
      <sheetName val="ASSLIST2.XLS"/>
      <sheetName val="02"/>
      <sheetName val="loan database"/>
      <sheetName val="2003年主营产品销售按地区"/>
      <sheetName val="U320-TreatyBreakdown_财产险"/>
      <sheetName val="U340-TreatyBreakdown_船舶险"/>
      <sheetName val="M_5A"/>
      <sheetName val="M_5C"/>
      <sheetName val="____"/>
      <sheetName val="Ã«ÀûÂÊ·ÖÎö±í"/>
      <sheetName val="B 调整hy A(B2)020116.xls]运煤预"/>
      <sheetName val="Collateral"/>
      <sheetName val="Disposition"/>
      <sheetName val="Sign Off Form"/>
      <sheetName val="A3 &amp; U 09-01"/>
      <sheetName val="目录"/>
      <sheetName val="Description"/>
      <sheetName val="gia vt,nc,may"/>
      <sheetName val="F100-RM list"/>
      <sheetName val="Confirmation"/>
      <sheetName val="资产负债表 (续)"/>
      <sheetName val="利润表"/>
      <sheetName val="M2应交税费导引表"/>
      <sheetName val="索引"/>
      <sheetName val="P&amp;L Items"/>
      <sheetName val="B 调整hy A(B2)020116.xls_运煤预"/>
      <sheetName val="H101(OK)"/>
      <sheetName val="orignal"/>
      <sheetName val="G102"/>
      <sheetName val="Parameters"/>
      <sheetName val="To tied 2001 opening RE"/>
      <sheetName val="10月回款"/>
      <sheetName val="10月销售"/>
      <sheetName val="Aging Datasheet"/>
      <sheetName val="ECCS_1 DataSheet"/>
      <sheetName val="KPI Datasheet"/>
      <sheetName val="9100-PO"/>
      <sheetName val="Part_Datum"/>
      <sheetName val="153541"/>
      <sheetName val="AFEMAI"/>
      <sheetName val="TAX SCHEDULE"/>
      <sheetName val="U 510"/>
      <sheetName val="E1"/>
      <sheetName val="XL4Poppy"/>
      <sheetName val="银行存款核对表"/>
      <sheetName val="Vendor Data"/>
      <sheetName val="短期投资股票投资.dbf"/>
      <sheetName val="短期投资国债投资.dbf"/>
      <sheetName val="股票投资收益.dbf"/>
      <sheetName val="其他货币海通.dbf"/>
      <sheetName val="其他货币零领路.dbf"/>
      <sheetName val="投资收益债券.dbf"/>
      <sheetName val="附表6"/>
      <sheetName val="KKKKKKKK"/>
      <sheetName val="_x0000__x0000__x0000__x0000__x0000__x0000__x0000__x0000_"/>
      <sheetName val="清单12.31"/>
      <sheetName val="KEY"/>
      <sheetName val="长期股权投资Mx"/>
      <sheetName val="_x005f_x0000__x005f_x0000__x005f_x0000__x005f_x0000__x0"/>
      <sheetName val="科目名称表"/>
      <sheetName val="科目表"/>
      <sheetName val="序时账"/>
      <sheetName val="序时帐"/>
      <sheetName val="期后回款"/>
      <sheetName val="所得税调整"/>
      <sheetName val="W"/>
      <sheetName val="Investment Property"/>
      <sheetName val="KLHT"/>
      <sheetName val="_x005f_x005f_x005f_x0000__x005f_x005f_x005f_x0000__x005"/>
      <sheetName val="贴现2003"/>
      <sheetName val="贴现2002"/>
      <sheetName val="贴现(总表)"/>
      <sheetName val="表外项目-银行承兑汇票"/>
      <sheetName val="贷款清单2002"/>
      <sheetName val="贷款清单2003"/>
      <sheetName val="V300-PBOC SWAP"/>
      <sheetName val="2001"/>
      <sheetName val="company"/>
      <sheetName val="应收票据"/>
      <sheetName val="应收账款"/>
      <sheetName val="预收账款"/>
      <sheetName val="应交税金"/>
      <sheetName val="其他应交款"/>
      <sheetName val="主营业务收入"/>
      <sheetName val="主营业务税金及附加"/>
      <sheetName val="其他业务利润"/>
      <sheetName val="营业费用"/>
      <sheetName val="预付账款"/>
      <sheetName val="固及累"/>
      <sheetName val="固减值"/>
      <sheetName val="工程物资"/>
      <sheetName val="在建工程"/>
      <sheetName val="在建减值"/>
      <sheetName val="固定清理"/>
      <sheetName val="应付票据"/>
      <sheetName val="应付账款"/>
      <sheetName val="存货"/>
      <sheetName val="生产成本"/>
      <sheetName val="制造费用"/>
      <sheetName val="劳务成本"/>
      <sheetName val="存货跌价准备"/>
      <sheetName val="代销商品款"/>
      <sheetName val="待摊费用"/>
      <sheetName val="应付工资"/>
      <sheetName val="应付福利费"/>
      <sheetName val="预提费用"/>
      <sheetName val="主营业务成本"/>
      <sheetName val="货币资金"/>
      <sheetName val="短期投资"/>
      <sheetName val="短期投资-委托贷款"/>
      <sheetName val="应收股利"/>
      <sheetName val="应收利息"/>
      <sheetName val="应收补贴款"/>
      <sheetName val="其他应收款"/>
      <sheetName val="长期股权投资"/>
      <sheetName val="长期股权投资明细表"/>
      <sheetName val="长期股权投资-减值准备"/>
      <sheetName val="长期债权投资"/>
      <sheetName val="长期债权投资减值准备"/>
      <sheetName val="无形资产"/>
      <sheetName val="长期待摊费用"/>
      <sheetName val="短期借款"/>
      <sheetName val="应付股利"/>
      <sheetName val="其他应付款"/>
      <sheetName val="内部往来"/>
      <sheetName val="预计负债"/>
      <sheetName val="长期借款"/>
      <sheetName val="应付债券"/>
      <sheetName val="长期应付款"/>
      <sheetName val="专项应付款"/>
      <sheetName val="其他长期负债"/>
      <sheetName val="递延税款"/>
      <sheetName val="一年内到期"/>
      <sheetName val="股本"/>
      <sheetName val="资本公积"/>
      <sheetName val="盈余公积"/>
      <sheetName val="未分配利润"/>
      <sheetName val="管理费用"/>
      <sheetName val="财务费用"/>
      <sheetName val="投资收益"/>
      <sheetName val="补贴收入"/>
      <sheetName val="营业外收入"/>
      <sheetName val="营业外支出"/>
      <sheetName val="所得税"/>
      <sheetName val="以前年度损益"/>
      <sheetName val="减值准备"/>
      <sheetName val="股东权益增减变动表"/>
      <sheetName val="其他应收款－个人借款明细"/>
      <sheetName val="Sheet2"/>
      <sheetName val="Sheet2 (3)"/>
      <sheetName val="管理费用Dy"/>
      <sheetName val="其他应收款Dy"/>
      <sheetName val="界面"/>
      <sheetName val="银行借款询证"/>
      <sheetName val="G1-1营业收入审定表"/>
      <sheetName val="2008年"/>
      <sheetName val="4"/>
      <sheetName val="Main"/>
      <sheetName val="表头信息"/>
      <sheetName val="生产成本账"/>
      <sheetName val="上期报表"/>
      <sheetName val="H R"/>
      <sheetName val="BALANCE SHEET"/>
      <sheetName val="Q110"/>
      <sheetName val="Definitions"/>
      <sheetName val="Ex rate"/>
      <sheetName val="Final sample listing"/>
      <sheetName val="固定资产清单"/>
      <sheetName val="Repayment Summary"/>
      <sheetName val="PRC"/>
      <sheetName val="cholesky"/>
      <sheetName val="_x0000__x0000__x0000__x0000__x0"/>
      <sheetName val="_x005f_x0000__x005f_x0000__x005"/>
      <sheetName val="_x0000__x0000__x005"/>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索引"/>
      <sheetName val="余额表"/>
      <sheetName val="审计小结"/>
      <sheetName val="应收票据Cx"/>
      <sheetName val="应收票据Mx"/>
      <sheetName val="应收票据明细"/>
      <sheetName val="应收票据Pz"/>
      <sheetName val="应收票据明细数据_4-14查询"/>
      <sheetName val="应收账款Cx"/>
      <sheetName val="应收账款Dy"/>
      <sheetName val="应收账款Mx"/>
      <sheetName val="应收账款Pz"/>
      <sheetName val="钣金回函分析表"/>
      <sheetName val="预收款项Cx"/>
      <sheetName val="预收款项Mx"/>
      <sheetName val="委托加工物资明细数据_3-25查询"/>
      <sheetName val="管理费用-其他明细数据_3-25查询"/>
      <sheetName val="应交税费Cx"/>
      <sheetName val="应交税费Dy"/>
      <sheetName val="应交税费Mx"/>
      <sheetName val="应交税金-销项税额明细数据"/>
      <sheetName val="应交税费Pz"/>
      <sheetName val="原材料明细数据_4-14查询"/>
      <sheetName val="应交税金-销项税额"/>
      <sheetName val="递延所得税资产Cx"/>
      <sheetName val="递延所得税资产Mx"/>
      <sheetName val="所得税费用Cx"/>
      <sheetName val="所得税费用Mx"/>
      <sheetName val="营业税金及附加Cx"/>
      <sheetName val="营业税金及附加Mx"/>
      <sheetName val="营业收入Cx"/>
      <sheetName val="营业收入Mx"/>
      <sheetName val="主营业务收入明细数据_4-14查询"/>
      <sheetName val="月度毛利率分析表"/>
      <sheetName val="营业收入-售价分析"/>
      <sheetName val="安弗施"/>
      <sheetName val="飞创"/>
      <sheetName val="泛亚"/>
      <sheetName val="伟创力"/>
      <sheetName val="安德鲁"/>
      <sheetName val="其他业务利润Mx"/>
      <sheetName val="分录"/>
      <sheetName val="标本-资产"/>
      <sheetName val="主菜单"/>
      <sheetName val="校对"/>
    </sheetNames>
    <sheetDataSet>
      <sheetData sheetId="0">
        <row r="7">
          <cell r="C7" t="str">
            <v>2008年</v>
          </cell>
          <cell r="D7" t="str">
            <v>1-3月</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短期投资"/>
      <sheetName val="D02"/>
      <sheetName val="#REF"/>
      <sheetName val="#REF!"/>
      <sheetName val="¶ÌÆÚÍ¶×Ê"/>
      <sheetName val="Source"/>
      <sheetName val="LinkData"/>
      <sheetName val="E1020"/>
      <sheetName val="11-1"/>
      <sheetName val="Sheet1"/>
      <sheetName val="17应付票据明细表"/>
      <sheetName val="U120"/>
      <sheetName val="资产负债表"/>
      <sheetName val="2002年预提费用"/>
      <sheetName val="关联交易-存款"/>
      <sheetName val="master"/>
      <sheetName val="??????¡¤???¡À¨ª"/>
      <sheetName val="Data"/>
      <sheetName val="E110"/>
      <sheetName val="______¡¤___¡À¨ª"/>
      <sheetName val="Ã«ÀûÂÊ·ÖÎö±í"/>
      <sheetName val="企业表一"/>
      <sheetName val="M-5C"/>
      <sheetName val="M-5A"/>
      <sheetName val="XL4Poppy"/>
      <sheetName val="Consol_VD"/>
      <sheetName val="上报资产负债表"/>
      <sheetName val="上报损益表"/>
      <sheetName val="现金流量表（月报）"/>
      <sheetName val="补充表"/>
      <sheetName val="设备部房屋"/>
      <sheetName val="热力"/>
      <sheetName val="B"/>
      <sheetName val="G200"/>
      <sheetName val="员工工资"/>
      <sheetName val="合并底稿-自营"/>
      <sheetName val="E100"/>
      <sheetName val="N100"/>
      <sheetName val="Sales for 2001"/>
      <sheetName val="04.9.30"/>
      <sheetName val="#511BkRec"/>
      <sheetName val="Common Assumptions"/>
      <sheetName val="A5-2"/>
      <sheetName val="预收帐款"/>
      <sheetName val="FF-6"/>
      <sheetName val="eqpmad2"/>
      <sheetName val="固定资产预测"/>
      <sheetName val="SD明细"/>
      <sheetName val="FF明细"/>
      <sheetName val="cfl"/>
      <sheetName val="MAIN"/>
      <sheetName val="KMHZ"/>
      <sheetName val="POWER ASSUMPTION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待补资料"/>
      <sheetName val="索引"/>
      <sheetName val="余额表"/>
      <sheetName val="货币资金Cx"/>
      <sheetName val="货币资金Dy"/>
      <sheetName val="货币资金Mx"/>
      <sheetName val="银行存款明细表"/>
      <sheetName val="银行存款函证结果汇总表"/>
      <sheetName val="货币资金Pz"/>
      <sheetName val="其他应收款Cx"/>
      <sheetName val="其他应收款Dy"/>
      <sheetName val="其他应收款Mx"/>
      <sheetName val="其他应收款Pz"/>
      <sheetName val="其他流动资产Cx"/>
      <sheetName val="其他流动资产Dy"/>
      <sheetName val="其他流动资产Mx"/>
      <sheetName val="固定资产Dy"/>
      <sheetName val="固定资产Mx"/>
      <sheetName val="折旧表LB1-3-2"/>
      <sheetName val="固定资产Pz"/>
      <sheetName val="长期待摊费用Cx"/>
      <sheetName val="长期待摊费用明细Db"/>
      <sheetName val="长期待摊费用Dy"/>
      <sheetName val="长期待摊费用Mx"/>
      <sheetName val="长期待摊费用Pz"/>
      <sheetName val="其他应付款Cx"/>
      <sheetName val="其他应付款Dy"/>
      <sheetName val="其他应付款Mx"/>
      <sheetName val="其他应付款Pz"/>
      <sheetName val="短期借款Cx"/>
      <sheetName val="短期借款Dy"/>
      <sheetName val="长期借款Cx"/>
      <sheetName val="长期借款Dy"/>
      <sheetName val="长期借款明细表MX"/>
      <sheetName val="长期借款明细表PA-3-2"/>
      <sheetName val="长期借款Pz"/>
      <sheetName val="应付福利费明细Db"/>
      <sheetName val="应付职工薪酬Dy"/>
      <sheetName val="应付职工薪酬Mx"/>
      <sheetName val="Sheet2"/>
      <sheetName val="应付职工薪酬Pz"/>
      <sheetName val="实收资本Cx"/>
      <sheetName val="实收资本Dy"/>
      <sheetName val="实收资本Mx"/>
      <sheetName val="销售费用Cx"/>
      <sheetName val="销售费用Dy"/>
      <sheetName val="销售费用Mx"/>
      <sheetName val="销售费用Pz"/>
      <sheetName val="Sheet6"/>
      <sheetName val="财务费用Cx"/>
      <sheetName val="财务费用Dy"/>
      <sheetName val="财务费用Mx"/>
      <sheetName val="财务费用Pz"/>
      <sheetName val="营业外收入Cx"/>
      <sheetName val="营业外收入Dy"/>
      <sheetName val="营业外收入Mx"/>
      <sheetName val="营业外支出Cx"/>
      <sheetName val="营业外支出Dy"/>
      <sheetName val="营业外支出Mx"/>
      <sheetName val="递延所得税资产Cx"/>
      <sheetName val="递延所得税资产Dy"/>
      <sheetName val="递延所得税资产明细表"/>
      <sheetName val="所得税费用Cx"/>
      <sheetName val="所得税费用Dy"/>
      <sheetName val="所得税明细Db"/>
      <sheetName val="所得税费用Mx"/>
      <sheetName val="递延所得税费用计算表"/>
      <sheetName val="分录"/>
      <sheetName val="标本-资产"/>
      <sheetName val="Sheet3"/>
      <sheetName val="预付账款Dy"/>
      <sheetName val="固定资产卡片"/>
    </sheetNames>
    <sheetDataSet>
      <sheetData sheetId="0"/>
      <sheetData sheetId="1">
        <row r="4">
          <cell r="C4" t="str">
            <v>福州长盛房地产开发有限公司</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7">
          <cell r="B7" t="str">
            <v>导引表</v>
          </cell>
          <cell r="C7" t="str">
            <v>项        目</v>
          </cell>
          <cell r="D7" t="str">
            <v>上年审定数</v>
          </cell>
          <cell r="E7" t="str">
            <v>未        审        数</v>
          </cell>
          <cell r="I7" t="str">
            <v>本年审计调整</v>
          </cell>
          <cell r="K7" t="str">
            <v>审定数</v>
          </cell>
        </row>
        <row r="8">
          <cell r="B8" t="str">
            <v>Ref</v>
          </cell>
          <cell r="E8" t="str">
            <v>年初余额</v>
          </cell>
          <cell r="F8" t="str">
            <v>本期借方</v>
          </cell>
          <cell r="G8" t="str">
            <v>本期贷方</v>
          </cell>
          <cell r="H8" t="str">
            <v>期末余额</v>
          </cell>
          <cell r="I8" t="str">
            <v>Dr</v>
          </cell>
          <cell r="J8" t="str">
            <v>Cr</v>
          </cell>
        </row>
        <row r="9">
          <cell r="B9">
            <v>1</v>
          </cell>
          <cell r="C9" t="str">
            <v>长期待摊费用</v>
          </cell>
          <cell r="E9">
            <v>15000</v>
          </cell>
          <cell r="F9">
            <v>410398.6</v>
          </cell>
          <cell r="G9">
            <v>0</v>
          </cell>
          <cell r="H9">
            <v>425398.6</v>
          </cell>
          <cell r="I9">
            <v>0</v>
          </cell>
          <cell r="J9">
            <v>0</v>
          </cell>
          <cell r="K9">
            <v>425398.6</v>
          </cell>
        </row>
        <row r="10">
          <cell r="B10">
            <v>2</v>
          </cell>
          <cell r="C10" t="str">
            <v>长期待摊费用\装修费</v>
          </cell>
          <cell r="E10">
            <v>0</v>
          </cell>
          <cell r="F10">
            <v>425398.6</v>
          </cell>
          <cell r="G10">
            <v>0</v>
          </cell>
          <cell r="H10">
            <v>425398.6</v>
          </cell>
          <cell r="I10">
            <v>0</v>
          </cell>
          <cell r="J10">
            <v>85079.72</v>
          </cell>
          <cell r="K10">
            <v>340318.88</v>
          </cell>
        </row>
        <row r="11">
          <cell r="B11">
            <v>3</v>
          </cell>
          <cell r="C11" t="str">
            <v>长期待摊费用\配套设施</v>
          </cell>
          <cell r="D11">
            <v>15000</v>
          </cell>
          <cell r="E11">
            <v>15000</v>
          </cell>
          <cell r="F11">
            <v>-15000</v>
          </cell>
          <cell r="G11">
            <v>0</v>
          </cell>
          <cell r="H11">
            <v>0</v>
          </cell>
          <cell r="I11">
            <v>0</v>
          </cell>
          <cell r="J11">
            <v>0</v>
          </cell>
          <cell r="K11">
            <v>0</v>
          </cell>
        </row>
        <row r="12">
          <cell r="C12" t="str">
            <v>末级明细项目合计</v>
          </cell>
          <cell r="D12">
            <v>15000</v>
          </cell>
          <cell r="E12">
            <v>15000</v>
          </cell>
          <cell r="F12">
            <v>410398.6</v>
          </cell>
          <cell r="G12">
            <v>0</v>
          </cell>
          <cell r="H12">
            <v>425398.6</v>
          </cell>
          <cell r="I12">
            <v>0</v>
          </cell>
          <cell r="J12">
            <v>85079.72</v>
          </cell>
          <cell r="K12">
            <v>340318.88</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7">
          <cell r="B7" t="str">
            <v>导引表</v>
          </cell>
          <cell r="C7" t="str">
            <v>项        目</v>
          </cell>
          <cell r="D7" t="str">
            <v>上年审定数</v>
          </cell>
          <cell r="E7" t="str">
            <v>未        审        数</v>
          </cell>
          <cell r="I7" t="str">
            <v>本年审计调整</v>
          </cell>
          <cell r="K7" t="str">
            <v>审定数</v>
          </cell>
        </row>
        <row r="8">
          <cell r="B8" t="str">
            <v>Ref</v>
          </cell>
          <cell r="E8" t="str">
            <v>年初余额</v>
          </cell>
          <cell r="F8" t="str">
            <v>本期借方</v>
          </cell>
          <cell r="G8" t="str">
            <v>本期贷方</v>
          </cell>
          <cell r="H8" t="str">
            <v>期末余额</v>
          </cell>
          <cell r="I8" t="str">
            <v>Dr</v>
          </cell>
          <cell r="J8" t="str">
            <v>Cr</v>
          </cell>
        </row>
        <row r="9">
          <cell r="B9">
            <v>1</v>
          </cell>
          <cell r="C9" t="str">
            <v>应付工资</v>
          </cell>
          <cell r="E9">
            <v>0</v>
          </cell>
          <cell r="F9">
            <v>470842.75</v>
          </cell>
          <cell r="G9">
            <v>470842.75</v>
          </cell>
          <cell r="H9">
            <v>0</v>
          </cell>
          <cell r="K9">
            <v>0</v>
          </cell>
        </row>
        <row r="10">
          <cell r="B10">
            <v>2</v>
          </cell>
          <cell r="C10" t="str">
            <v>应付工资\标准工资</v>
          </cell>
          <cell r="E10">
            <v>0</v>
          </cell>
          <cell r="F10">
            <v>377833.1</v>
          </cell>
          <cell r="G10">
            <v>377833.1</v>
          </cell>
          <cell r="H10">
            <v>0</v>
          </cell>
          <cell r="K10">
            <v>0</v>
          </cell>
        </row>
        <row r="11">
          <cell r="B11">
            <v>3</v>
          </cell>
          <cell r="C11" t="str">
            <v>应付工资\加班工资</v>
          </cell>
          <cell r="E11">
            <v>0</v>
          </cell>
          <cell r="F11">
            <v>1699.6</v>
          </cell>
          <cell r="G11">
            <v>1699.6</v>
          </cell>
          <cell r="H11">
            <v>0</v>
          </cell>
          <cell r="K11">
            <v>0</v>
          </cell>
        </row>
        <row r="12">
          <cell r="B12">
            <v>4</v>
          </cell>
          <cell r="C12" t="str">
            <v>应付工资\临时工资</v>
          </cell>
          <cell r="E12">
            <v>0</v>
          </cell>
          <cell r="F12">
            <v>91310.05</v>
          </cell>
          <cell r="G12">
            <v>91310.05</v>
          </cell>
          <cell r="H12">
            <v>0</v>
          </cell>
          <cell r="K12">
            <v>0</v>
          </cell>
        </row>
        <row r="13">
          <cell r="B13">
            <v>5</v>
          </cell>
          <cell r="C13" t="str">
            <v>应付福利费</v>
          </cell>
          <cell r="E13">
            <v>0</v>
          </cell>
          <cell r="F13">
            <v>182016.02</v>
          </cell>
          <cell r="G13">
            <v>182016.02</v>
          </cell>
          <cell r="H13">
            <v>0</v>
          </cell>
          <cell r="K13">
            <v>0</v>
          </cell>
        </row>
        <row r="14">
          <cell r="B14">
            <v>6</v>
          </cell>
          <cell r="C14" t="str">
            <v>应付福利费\计提及结转福利费</v>
          </cell>
          <cell r="E14">
            <v>0</v>
          </cell>
          <cell r="F14">
            <v>97115.01</v>
          </cell>
          <cell r="G14">
            <v>97115.01</v>
          </cell>
          <cell r="H14">
            <v>0</v>
          </cell>
          <cell r="K14">
            <v>0</v>
          </cell>
        </row>
        <row r="15">
          <cell r="B15">
            <v>7</v>
          </cell>
          <cell r="C15" t="str">
            <v>应付福利费\医疗保险金</v>
          </cell>
          <cell r="E15">
            <v>0</v>
          </cell>
          <cell r="F15">
            <v>44908.01</v>
          </cell>
          <cell r="G15">
            <v>44908.01</v>
          </cell>
          <cell r="H15">
            <v>0</v>
          </cell>
          <cell r="K15">
            <v>0</v>
          </cell>
        </row>
        <row r="16">
          <cell r="B16">
            <v>8</v>
          </cell>
          <cell r="C16" t="str">
            <v>应付福利费\过节费</v>
          </cell>
          <cell r="E16">
            <v>0</v>
          </cell>
          <cell r="F16">
            <v>8380</v>
          </cell>
          <cell r="G16">
            <v>8380</v>
          </cell>
          <cell r="H16">
            <v>0</v>
          </cell>
          <cell r="K16">
            <v>0</v>
          </cell>
        </row>
        <row r="17">
          <cell r="B17">
            <v>9</v>
          </cell>
          <cell r="C17" t="str">
            <v>应付福利费\其他福利支出</v>
          </cell>
          <cell r="E17">
            <v>0</v>
          </cell>
          <cell r="F17">
            <v>31613</v>
          </cell>
          <cell r="G17">
            <v>31613</v>
          </cell>
          <cell r="H17">
            <v>0</v>
          </cell>
          <cell r="K17">
            <v>0</v>
          </cell>
        </row>
        <row r="18">
          <cell r="C18" t="str">
            <v>末级明细项目合计</v>
          </cell>
          <cell r="D18">
            <v>0</v>
          </cell>
          <cell r="E18">
            <v>0</v>
          </cell>
          <cell r="F18">
            <v>652858.7699999999</v>
          </cell>
          <cell r="G18">
            <v>652858.7699999999</v>
          </cell>
          <cell r="H18">
            <v>0</v>
          </cell>
          <cell r="I18">
            <v>0</v>
          </cell>
          <cell r="J18">
            <v>0</v>
          </cell>
          <cell r="K18">
            <v>0</v>
          </cell>
        </row>
      </sheetData>
      <sheetData sheetId="38"/>
      <sheetData sheetId="39"/>
      <sheetData sheetId="40"/>
      <sheetData sheetId="41"/>
      <sheetData sheetId="42">
        <row r="7">
          <cell r="B7" t="str">
            <v>导引表</v>
          </cell>
          <cell r="C7" t="str">
            <v>项        目</v>
          </cell>
          <cell r="D7" t="str">
            <v>上年审定数</v>
          </cell>
          <cell r="E7" t="str">
            <v>未        审        数</v>
          </cell>
          <cell r="I7" t="str">
            <v>本年审计调整</v>
          </cell>
          <cell r="K7" t="str">
            <v>审定数</v>
          </cell>
        </row>
        <row r="8">
          <cell r="B8" t="str">
            <v>Ref</v>
          </cell>
          <cell r="E8" t="str">
            <v>年初余额</v>
          </cell>
          <cell r="F8" t="str">
            <v>本期借方</v>
          </cell>
          <cell r="G8" t="str">
            <v>本期贷方</v>
          </cell>
          <cell r="H8" t="str">
            <v>期末余额</v>
          </cell>
          <cell r="I8" t="str">
            <v>Dr</v>
          </cell>
          <cell r="J8" t="str">
            <v>Cr</v>
          </cell>
        </row>
        <row r="9">
          <cell r="B9">
            <v>1</v>
          </cell>
          <cell r="C9" t="str">
            <v>实收资本（或股本）</v>
          </cell>
          <cell r="E9">
            <v>11539760.130000001</v>
          </cell>
          <cell r="F9">
            <v>0</v>
          </cell>
          <cell r="G9">
            <v>0</v>
          </cell>
          <cell r="H9">
            <v>11539760.130000001</v>
          </cell>
          <cell r="I9">
            <v>0</v>
          </cell>
          <cell r="J9">
            <v>0</v>
          </cell>
          <cell r="K9">
            <v>11539760.130000001</v>
          </cell>
        </row>
        <row r="10">
          <cell r="B10">
            <v>2</v>
          </cell>
          <cell r="C10" t="str">
            <v>实收资本（或股本）\外方资本</v>
          </cell>
          <cell r="E10">
            <v>11539760.130000001</v>
          </cell>
          <cell r="F10">
            <v>0</v>
          </cell>
          <cell r="G10">
            <v>0</v>
          </cell>
          <cell r="H10">
            <v>11539760.130000001</v>
          </cell>
          <cell r="I10">
            <v>0</v>
          </cell>
          <cell r="J10">
            <v>0</v>
          </cell>
          <cell r="K10">
            <v>11539760.130000001</v>
          </cell>
        </row>
        <row r="11">
          <cell r="C11" t="str">
            <v>末级明细项目合计</v>
          </cell>
          <cell r="D11">
            <v>0</v>
          </cell>
          <cell r="E11">
            <v>11539760.130000001</v>
          </cell>
          <cell r="F11">
            <v>0</v>
          </cell>
          <cell r="G11">
            <v>0</v>
          </cell>
          <cell r="H11">
            <v>11539760.130000001</v>
          </cell>
          <cell r="I11">
            <v>0</v>
          </cell>
          <cell r="J11">
            <v>0</v>
          </cell>
          <cell r="K11">
            <v>11539760.130000001</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GC Full List"/>
      <sheetName val="Source"/>
    </sheetNames>
    <sheetDataSet>
      <sheetData sheetId="0" refreshError="1"/>
      <sheetData sheetId="1" refreshError="1">
        <row r="5">
          <cell r="B5" t="str">
            <v>母公司</v>
          </cell>
        </row>
        <row r="6">
          <cell r="B6" t="str">
            <v>一级合并子公司</v>
          </cell>
        </row>
        <row r="7">
          <cell r="B7" t="str">
            <v>分部</v>
          </cell>
        </row>
        <row r="8">
          <cell r="B8" t="str">
            <v>独立核算分公司</v>
          </cell>
        </row>
        <row r="9">
          <cell r="B9" t="str">
            <v>合并子公司(合并)</v>
          </cell>
        </row>
        <row r="10">
          <cell r="B10" t="str">
            <v>非合并子公司</v>
          </cell>
        </row>
        <row r="11">
          <cell r="B11" t="str">
            <v>合营公司(比例合并)</v>
          </cell>
        </row>
        <row r="12">
          <cell r="B12" t="str">
            <v>联营公司(权益法)</v>
          </cell>
        </row>
        <row r="13">
          <cell r="B13" t="str">
            <v>其他长期投资</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主菜单"/>
      <sheetName val="未审BS"/>
      <sheetName val="未审IS"/>
      <sheetName val="现金流量表底稿"/>
      <sheetName val="CF调整分录"/>
      <sheetName val="未审CF"/>
      <sheetName val="未审SC"/>
      <sheetName val="报告BS"/>
      <sheetName val="报告IS"/>
      <sheetName val="报告CF"/>
      <sheetName val="审定BS"/>
      <sheetName val="审定IS"/>
      <sheetName val="审定CF"/>
      <sheetName val="合并清单"/>
      <sheetName val="试算平衡表"/>
      <sheetName val="资产重组数据"/>
      <sheetName val="调整分录"/>
      <sheetName val="关联明细"/>
      <sheetName val="辅助明细表"/>
      <sheetName val="购买处置子公司信息"/>
      <sheetName val="长期投资等"/>
      <sheetName val="被合并方合并前实现净利"/>
      <sheetName val="每股收益"/>
      <sheetName val="非经常性损益"/>
      <sheetName val="报告合并BS"/>
      <sheetName val="报告合并IS"/>
      <sheetName val="报告合并SC"/>
      <sheetName val="报告合并CF"/>
      <sheetName val="合并SC"/>
      <sheetName val="合并BS"/>
      <sheetName val="参数"/>
      <sheetName val="合并IS"/>
      <sheetName val="合并CF"/>
      <sheetName val="报告SC"/>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控制汇总表"/>
      <sheetName val="M100-短期借款"/>
      <sheetName val="N100-应付票据"/>
      <sheetName val="N200-应付帐款"/>
      <sheetName val="O100-应交税金"/>
      <sheetName val="P100-预收货款"/>
      <sheetName val="P200-应付工资"/>
      <sheetName val="P210-应付福利"/>
      <sheetName val="P300-应付股利"/>
      <sheetName val="P400-其他应交款 "/>
      <sheetName val="P500-其他应付款"/>
      <sheetName val="P600-预提费用"/>
      <sheetName val="P700-预计负债"/>
      <sheetName val="P900-一年内到期的长期负债"/>
      <sheetName val="Q100-长期借款"/>
      <sheetName val="Q200-长期应付款"/>
      <sheetName val="T100-股本"/>
      <sheetName val="T100-盈余公积"/>
      <sheetName val="T100-资本公积"/>
      <sheetName val="T100-未分配利润"/>
      <sheetName val="master"/>
    </sheetNames>
    <sheetDataSet>
      <sheetData sheetId="0">
        <row r="3">
          <cell r="G3" t="str">
            <v>技术开发费</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100-02 (2)"/>
      <sheetName val="U100-02"/>
      <sheetName val="source"/>
    </sheetNames>
    <sheetDataSet>
      <sheetData sheetId="0"/>
      <sheetData sheetId="1"/>
      <sheetData sheetId="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索引"/>
      <sheetName val="分录"/>
      <sheetName val="05yu"/>
      <sheetName val="06yu"/>
      <sheetName val="在建工程Cx"/>
      <sheetName val="在建工程Mx05"/>
      <sheetName val="在建工程Mx06"/>
      <sheetName val="固定资产Cx"/>
      <sheetName val="固定资产Mx06"/>
      <sheetName val="固定资产折旧表2006审定"/>
      <sheetName val="固定资产Mx05"/>
      <sheetName val="固定资产折旧表2005"/>
      <sheetName val="固定资产折旧表2006未审"/>
      <sheetName val="应付账款Cx"/>
      <sheetName val="应付账款06"/>
      <sheetName val="应付账款Pz06"/>
      <sheetName val="应付账款05"/>
      <sheetName val="应付账款Pz05"/>
      <sheetName val="应付账款05-07Mx"/>
      <sheetName val="05-078应付"/>
      <sheetName val="Sheet1"/>
      <sheetName val="05应付账款"/>
      <sheetName val="06应付凭证"/>
      <sheetName val="0706应付账款"/>
      <sheetName val="05明细"/>
      <sheetName val="应付账款Mx05"/>
      <sheetName val="应付账款Mx06"/>
      <sheetName val="应付账款Pz旧"/>
      <sheetName val="06应付明细"/>
      <sheetName val="Sheet2"/>
      <sheetName val="Sheet3"/>
      <sheetName val="固定资产明细"/>
      <sheetName val="测算报告"/>
      <sheetName val="累计折旧Cx"/>
      <sheetName val="注意事项"/>
      <sheetName val="备忘录"/>
      <sheetName val="标本-资产"/>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40">
          <cell r="C140" t="str">
            <v>货币资金</v>
          </cell>
        </row>
        <row r="141">
          <cell r="C141" t="str">
            <v>现金</v>
          </cell>
        </row>
        <row r="142">
          <cell r="C142" t="str">
            <v>银行存款</v>
          </cell>
        </row>
        <row r="143">
          <cell r="C143" t="str">
            <v>其他货币资金</v>
          </cell>
        </row>
        <row r="144">
          <cell r="C144" t="str">
            <v>短期投资</v>
          </cell>
        </row>
        <row r="145">
          <cell r="C145" t="str">
            <v>短期投资跌价准备</v>
          </cell>
        </row>
        <row r="146">
          <cell r="C146" t="str">
            <v>委托贷款_短期投资</v>
          </cell>
        </row>
        <row r="147">
          <cell r="C147" t="str">
            <v>应收票据</v>
          </cell>
        </row>
        <row r="148">
          <cell r="C148" t="str">
            <v>应收股利</v>
          </cell>
        </row>
        <row r="149">
          <cell r="C149" t="str">
            <v>应收利息</v>
          </cell>
        </row>
        <row r="150">
          <cell r="C150" t="str">
            <v>应收账款</v>
          </cell>
        </row>
        <row r="151">
          <cell r="C151" t="str">
            <v>坏账准备_应收账款</v>
          </cell>
        </row>
        <row r="152">
          <cell r="C152" t="str">
            <v>其他应收款</v>
          </cell>
        </row>
        <row r="153">
          <cell r="C153" t="str">
            <v>坏账准备_其他应收款</v>
          </cell>
        </row>
        <row r="154">
          <cell r="C154" t="str">
            <v>预付账款</v>
          </cell>
        </row>
        <row r="155">
          <cell r="C155" t="str">
            <v>应收补贴款</v>
          </cell>
        </row>
        <row r="156">
          <cell r="C156" t="str">
            <v>存货</v>
          </cell>
        </row>
        <row r="157">
          <cell r="C157" t="str">
            <v>存货_物资采购</v>
          </cell>
        </row>
        <row r="158">
          <cell r="C158" t="str">
            <v>存货_原材料</v>
          </cell>
        </row>
        <row r="159">
          <cell r="C159" t="str">
            <v>存货_包装物</v>
          </cell>
        </row>
        <row r="160">
          <cell r="C160" t="str">
            <v>存货_低值易耗品</v>
          </cell>
        </row>
        <row r="161">
          <cell r="C161" t="str">
            <v>存货_材料成本差异</v>
          </cell>
        </row>
        <row r="162">
          <cell r="C162" t="str">
            <v>存货_自制半成品</v>
          </cell>
        </row>
        <row r="163">
          <cell r="C163" t="str">
            <v>存货_库存商品</v>
          </cell>
        </row>
        <row r="164">
          <cell r="C164" t="str">
            <v>存货_商品进销差价</v>
          </cell>
        </row>
        <row r="165">
          <cell r="C165" t="str">
            <v>存货_委托加工物资</v>
          </cell>
        </row>
        <row r="166">
          <cell r="C166" t="str">
            <v>存货_委托代销商品</v>
          </cell>
        </row>
        <row r="167">
          <cell r="C167" t="str">
            <v>存货_受托代销商品</v>
          </cell>
        </row>
        <row r="168">
          <cell r="C168" t="str">
            <v>存货_分期收款发出商品</v>
          </cell>
        </row>
        <row r="169">
          <cell r="C169" t="str">
            <v>存货_生产成本</v>
          </cell>
        </row>
        <row r="170">
          <cell r="C170" t="str">
            <v>存货_制造费用</v>
          </cell>
        </row>
        <row r="171">
          <cell r="C171" t="str">
            <v>存货_劳务成本</v>
          </cell>
        </row>
        <row r="172">
          <cell r="C172" t="str">
            <v>存货跌价准备</v>
          </cell>
        </row>
        <row r="173">
          <cell r="C173" t="str">
            <v>代销商品款</v>
          </cell>
        </row>
        <row r="174">
          <cell r="C174" t="str">
            <v>待摊费用</v>
          </cell>
        </row>
        <row r="175">
          <cell r="C175" t="str">
            <v>一年内到期的长期债权投资</v>
          </cell>
        </row>
        <row r="176">
          <cell r="C176" t="str">
            <v>其他流动资产</v>
          </cell>
        </row>
        <row r="177">
          <cell r="C177" t="str">
            <v>长期股权投资</v>
          </cell>
        </row>
        <row r="178">
          <cell r="C178" t="str">
            <v>长期投资减值准备_长期股权投资</v>
          </cell>
        </row>
        <row r="179">
          <cell r="C179" t="str">
            <v>拨付所属资金</v>
          </cell>
        </row>
        <row r="180">
          <cell r="C180" t="str">
            <v>长期债权投资</v>
          </cell>
        </row>
        <row r="181">
          <cell r="C181" t="str">
            <v>长期投资减值准备_长期债权投资</v>
          </cell>
        </row>
        <row r="182">
          <cell r="C182" t="str">
            <v>委托贷款_长期投资</v>
          </cell>
        </row>
        <row r="183">
          <cell r="C183" t="str">
            <v>固定资产</v>
          </cell>
        </row>
        <row r="184">
          <cell r="C184" t="str">
            <v>累计折旧</v>
          </cell>
        </row>
        <row r="185">
          <cell r="C185" t="str">
            <v>固定资产减值准备</v>
          </cell>
        </row>
        <row r="186">
          <cell r="C186" t="str">
            <v>在建工程</v>
          </cell>
        </row>
        <row r="187">
          <cell r="C187" t="str">
            <v>在建工程减值准备</v>
          </cell>
        </row>
        <row r="188">
          <cell r="C188" t="str">
            <v>工程物资</v>
          </cell>
        </row>
        <row r="189">
          <cell r="C189" t="str">
            <v>固定资产清理</v>
          </cell>
        </row>
        <row r="190">
          <cell r="C190" t="str">
            <v>无形资产</v>
          </cell>
        </row>
        <row r="191">
          <cell r="C191" t="str">
            <v>无形资产减值准备</v>
          </cell>
        </row>
        <row r="192">
          <cell r="C192" t="str">
            <v>长期待摊费用</v>
          </cell>
        </row>
        <row r="193">
          <cell r="C193" t="str">
            <v>待处理财产损溢</v>
          </cell>
        </row>
        <row r="194">
          <cell r="C194" t="str">
            <v>其他长期资产</v>
          </cell>
        </row>
        <row r="195">
          <cell r="C195" t="str">
            <v>短期借款</v>
          </cell>
        </row>
        <row r="196">
          <cell r="C196" t="str">
            <v>应付票据</v>
          </cell>
        </row>
        <row r="197">
          <cell r="C197" t="str">
            <v>应付账款</v>
          </cell>
        </row>
        <row r="198">
          <cell r="C198" t="str">
            <v>预收账款</v>
          </cell>
        </row>
        <row r="199">
          <cell r="C199" t="str">
            <v>应付工资</v>
          </cell>
        </row>
        <row r="200">
          <cell r="C200" t="str">
            <v>应付福利费</v>
          </cell>
        </row>
        <row r="201">
          <cell r="C201" t="str">
            <v>应付股利</v>
          </cell>
        </row>
        <row r="202">
          <cell r="C202" t="str">
            <v>应交税金</v>
          </cell>
        </row>
        <row r="203">
          <cell r="C203" t="str">
            <v>其他应交款</v>
          </cell>
        </row>
        <row r="204">
          <cell r="C204" t="str">
            <v>其他应付款</v>
          </cell>
        </row>
        <row r="205">
          <cell r="C205" t="str">
            <v>内部往来</v>
          </cell>
        </row>
        <row r="206">
          <cell r="C206" t="str">
            <v>预提费用</v>
          </cell>
        </row>
        <row r="207">
          <cell r="C207" t="str">
            <v>待转资产价值</v>
          </cell>
        </row>
        <row r="208">
          <cell r="C208" t="str">
            <v>预计负债</v>
          </cell>
        </row>
        <row r="209">
          <cell r="C209" t="str">
            <v>一年内到期的长期负债</v>
          </cell>
        </row>
        <row r="210">
          <cell r="C210" t="str">
            <v>其他流动负债</v>
          </cell>
        </row>
        <row r="211">
          <cell r="C211" t="str">
            <v>长期借款</v>
          </cell>
        </row>
        <row r="212">
          <cell r="C212" t="str">
            <v>应付债券</v>
          </cell>
        </row>
        <row r="213">
          <cell r="C213" t="str">
            <v>长期应付款</v>
          </cell>
        </row>
        <row r="214">
          <cell r="C214" t="str">
            <v>长期应付款_未确认融资费用</v>
          </cell>
        </row>
        <row r="215">
          <cell r="C215" t="str">
            <v>专项应付款</v>
          </cell>
        </row>
        <row r="216">
          <cell r="C216" t="str">
            <v>其他长期负债</v>
          </cell>
        </row>
        <row r="217">
          <cell r="C217" t="str">
            <v>递延税款</v>
          </cell>
        </row>
        <row r="218">
          <cell r="C218" t="str">
            <v>股本</v>
          </cell>
        </row>
        <row r="219">
          <cell r="C219" t="str">
            <v>公司拨入资金</v>
          </cell>
        </row>
        <row r="220">
          <cell r="C220" t="str">
            <v>已归还投资</v>
          </cell>
        </row>
        <row r="221">
          <cell r="C221" t="str">
            <v>资本公积</v>
          </cell>
        </row>
        <row r="222">
          <cell r="C222" t="str">
            <v>盈余公积</v>
          </cell>
        </row>
        <row r="223">
          <cell r="C223" t="str">
            <v>盈余公积_公益金</v>
          </cell>
        </row>
        <row r="224">
          <cell r="C224" t="str">
            <v>未分配利润</v>
          </cell>
        </row>
        <row r="225">
          <cell r="C225" t="str">
            <v>主营业务收入</v>
          </cell>
        </row>
        <row r="226">
          <cell r="C226" t="str">
            <v>主营业务成本</v>
          </cell>
        </row>
        <row r="227">
          <cell r="C227" t="str">
            <v>主营业务税金及附加</v>
          </cell>
        </row>
        <row r="228">
          <cell r="C228" t="str">
            <v>其他业务利润</v>
          </cell>
        </row>
        <row r="229">
          <cell r="C229" t="str">
            <v>营业费用</v>
          </cell>
        </row>
        <row r="230">
          <cell r="C230" t="str">
            <v>管理费用</v>
          </cell>
        </row>
        <row r="231">
          <cell r="C231" t="str">
            <v>财务费用</v>
          </cell>
        </row>
        <row r="232">
          <cell r="C232" t="str">
            <v>投资收益</v>
          </cell>
        </row>
        <row r="233">
          <cell r="C233" t="str">
            <v>补贴收入</v>
          </cell>
        </row>
        <row r="234">
          <cell r="C234" t="str">
            <v>营业外收入</v>
          </cell>
        </row>
        <row r="235">
          <cell r="C235" t="str">
            <v>营业外支出</v>
          </cell>
        </row>
        <row r="236">
          <cell r="C236" t="str">
            <v>所得税</v>
          </cell>
        </row>
        <row r="237">
          <cell r="C237" t="str">
            <v>以前年度损益调整</v>
          </cell>
        </row>
      </sheetData>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索引"/>
      <sheetName val="审计小结"/>
      <sheetName val="余额表"/>
      <sheetName val="应收票据Mx"/>
      <sheetName val="应收票据明细表"/>
      <sheetName val="应收票据Pz"/>
      <sheetName val="应收账款Dy"/>
      <sheetName val="应收账款Mx"/>
      <sheetName val="应收账款Pz"/>
      <sheetName val="预收款项Dy"/>
      <sheetName val="预收款项Mx"/>
      <sheetName val="应交税费Dy"/>
      <sheetName val="应交税费Mx"/>
      <sheetName val="应付账款明细Db"/>
      <sheetName val="制造费用-机物料消耗明细Db"/>
      <sheetName val="营业收入Cx"/>
      <sheetName val="营业收入Mx"/>
      <sheetName val="月度毛利率分析表"/>
      <sheetName val="营业收入_售价分析"/>
      <sheetName val="其他业务收入-其他明细Db"/>
      <sheetName val="主营业务收入截止测试"/>
      <sheetName val="主营业务收入截止测试2"/>
      <sheetName val="营业收入Pz"/>
      <sheetName val="营业税金及附加Mx"/>
      <sheetName val="递延所得税资产Mx"/>
      <sheetName val="所得税费用Dy"/>
      <sheetName val="所得税费用Mx"/>
      <sheetName val="所得税明细Db"/>
      <sheetName val="分录"/>
      <sheetName val="标本-资产"/>
      <sheetName val="应收票据Cx"/>
    </sheetNames>
    <sheetDataSet>
      <sheetData sheetId="0" refreshError="1">
        <row r="4">
          <cell r="C4" t="str">
            <v>苏州市永创金属科技有限公司</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页面"/>
      <sheetName val="客户填表注意事项"/>
      <sheetName val="预收货款明细"/>
      <sheetName val="一年内到期的长期负债"/>
      <sheetName val="长期应付款"/>
      <sheetName val="长期借款"/>
      <sheetName val="短期借款"/>
      <sheetName val="应付帐款"/>
      <sheetName val="增值税"/>
      <sheetName val="预计负债"/>
      <sheetName val="其他应付款"/>
      <sheetName val="应缴税金"/>
      <sheetName val="其他应交款 "/>
      <sheetName val="应付工资"/>
      <sheetName val="应付福利"/>
      <sheetName val="预提费用"/>
      <sheetName val="销售收入及成本分析表"/>
      <sheetName val="主营业务税金及附加"/>
      <sheetName val="销售成本倒轧表"/>
      <sheetName val="制造费用"/>
      <sheetName val="销售费用"/>
      <sheetName val="管理费用"/>
      <sheetName val="财务费用"/>
      <sheetName val="其他业务利润"/>
      <sheetName val="Sheet9"/>
      <sheetName val="营业外收支"/>
      <sheetName val="Sheet8"/>
      <sheetName val="未分配利润"/>
      <sheetName val="租赁承担及经营租约承担"/>
      <sheetName val="资本承诺-合同已签署"/>
      <sheetName val="资本承诺-合同未签署"/>
      <sheetName val="关联交易明细表"/>
      <sheetName val="盈余公积"/>
      <sheetName val="股本"/>
      <sheetName val="资本公积"/>
      <sheetName val="十大客户"/>
      <sheetName val="十大供应商"/>
      <sheetName val="五大最高薪金员工"/>
      <sheetName val="Sheet1"/>
    </sheetNames>
    <sheetDataSet>
      <sheetData sheetId="0" refreshError="1">
        <row r="2">
          <cell r="G2" t="str">
            <v>2001年1月1 号</v>
          </cell>
          <cell r="H2" t="str">
            <v>2001年12月31号</v>
          </cell>
        </row>
        <row r="3">
          <cell r="G3" t="str">
            <v>2002年1月1号</v>
          </cell>
          <cell r="H3" t="str">
            <v>2002年12月31号</v>
          </cell>
        </row>
        <row r="4">
          <cell r="G4" t="str">
            <v>2003年1月1 号</v>
          </cell>
          <cell r="H4" t="str">
            <v>2003年12月31号</v>
          </cell>
        </row>
        <row r="5">
          <cell r="G5" t="str">
            <v>2004年1月1 号</v>
          </cell>
          <cell r="H5" t="str">
            <v>2003年6月30号</v>
          </cell>
        </row>
        <row r="6">
          <cell r="H6" t="str">
            <v>2004年6月30号</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A100-控制汇总表"/>
      <sheetName val="M100-短期借款"/>
      <sheetName val="N100-应付票据"/>
      <sheetName val="N200-应付帐款"/>
      <sheetName val="N300-存款到期日明细表"/>
      <sheetName val="O100-应交税金"/>
      <sheetName val="P100-预收帐款明细"/>
      <sheetName val="P200-应付工资"/>
      <sheetName val="P210-应付福利"/>
      <sheetName val="P300-应付股利"/>
      <sheetName val="P400-其他应交款 "/>
      <sheetName val="P500-其他应付款"/>
      <sheetName val="P600-预提费用"/>
      <sheetName val="P700-预计负债 "/>
      <sheetName val="P900-一年内到期的长期负债"/>
      <sheetName val="P1100-卖出回购证券"/>
      <sheetName val="Q100-长期借款"/>
      <sheetName val="Q200-长期应付款和专项应付款"/>
      <sheetName val="Q300-其他长期负债"/>
      <sheetName val="S100-资本承诺-合同已签署"/>
      <sheetName val="S110-资本承诺-合同未签署"/>
      <sheetName val="S200-租赁承担及经营租约承担"/>
      <sheetName val="S300-或有负债"/>
      <sheetName val="T300-盈余公积"/>
      <sheetName val="T400-股本"/>
      <sheetName val="T500-资本公积"/>
      <sheetName val="T600-未分配利润"/>
      <sheetName val="U140-人力成本"/>
      <sheetName val="U160-主营业务税金及附加"/>
      <sheetName val="U200-其他业务利润"/>
      <sheetName val="U400-管理费用"/>
      <sheetName val="U500-财务费用"/>
      <sheetName val="U510-利息收入及支出"/>
      <sheetName val="U520-金融企业往来收入"/>
      <sheetName val="U530-手续费收入"/>
      <sheetName val="U540-金融企业往来支出"/>
      <sheetName val="U550-手续费支出"/>
      <sheetName val="U600-投资收益"/>
      <sheetName val="U610-投资收益附表"/>
      <sheetName val="U700-补贴收入"/>
      <sheetName val="U800-营业外收支"/>
      <sheetName val="W100-非经常性关联交易"/>
      <sheetName val="W200-经常性关联交易明细表"/>
      <sheetName val="资产减值准备及资产损失情况表"/>
      <sheetName val="所有者权益(或股东权益)增减变动表"/>
    </sheetNames>
    <sheetDataSet>
      <sheetData sheetId="0" refreshError="1">
        <row r="2">
          <cell r="B2" t="str">
            <v>上海电气(集团)总公司</v>
          </cell>
        </row>
        <row r="3">
          <cell r="B3" t="str">
            <v>上海电气集团股份有限公司合并范围内子公司</v>
          </cell>
        </row>
        <row r="4">
          <cell r="B4" t="str">
            <v>上海电气集团股份有限公司非合并范围内子公司</v>
          </cell>
        </row>
        <row r="5">
          <cell r="B5" t="str">
            <v>上海电气(集团)总公司下属公司</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部房屋"/>
      <sheetName val="设备部构筑物"/>
    </sheetNames>
    <sheetDataSet>
      <sheetData sheetId="0" refreshError="1">
        <row r="5">
          <cell r="C5" t="str">
            <v>1#检修综合办公楼</v>
          </cell>
          <cell r="D5">
            <v>32523</v>
          </cell>
          <cell r="E5" t="str">
            <v>砖混</v>
          </cell>
          <cell r="F5">
            <v>3</v>
          </cell>
          <cell r="G5">
            <v>3.3</v>
          </cell>
          <cell r="H5">
            <v>1124.04</v>
          </cell>
          <cell r="J5">
            <v>1085820</v>
          </cell>
          <cell r="K5">
            <v>-362321.11</v>
          </cell>
          <cell r="N5">
            <v>10.5</v>
          </cell>
          <cell r="O5">
            <v>40</v>
          </cell>
          <cell r="R5">
            <v>875</v>
          </cell>
          <cell r="S5">
            <v>959.7</v>
          </cell>
          <cell r="T5">
            <v>1078741.1880000001</v>
          </cell>
          <cell r="U5">
            <v>74</v>
          </cell>
          <cell r="V5">
            <v>798268</v>
          </cell>
        </row>
        <row r="6">
          <cell r="C6" t="str">
            <v>1#检修洗衣房</v>
          </cell>
          <cell r="D6">
            <v>32523</v>
          </cell>
          <cell r="E6" t="str">
            <v>砖混</v>
          </cell>
          <cell r="F6">
            <v>1</v>
          </cell>
          <cell r="G6">
            <v>3.3</v>
          </cell>
          <cell r="H6">
            <v>62.13</v>
          </cell>
          <cell r="J6">
            <v>60017</v>
          </cell>
          <cell r="K6">
            <v>60017</v>
          </cell>
          <cell r="N6">
            <v>10.5</v>
          </cell>
          <cell r="O6">
            <v>40</v>
          </cell>
          <cell r="R6">
            <v>850</v>
          </cell>
          <cell r="S6">
            <v>905.93000000000006</v>
          </cell>
          <cell r="T6">
            <v>56285.430900000007</v>
          </cell>
          <cell r="U6">
            <v>74</v>
          </cell>
          <cell r="V6">
            <v>41651</v>
          </cell>
        </row>
        <row r="7">
          <cell r="C7" t="str">
            <v>1#检修站浴室</v>
          </cell>
          <cell r="D7">
            <v>32523</v>
          </cell>
          <cell r="E7" t="str">
            <v>砖混</v>
          </cell>
          <cell r="F7">
            <v>2</v>
          </cell>
          <cell r="G7">
            <v>3</v>
          </cell>
          <cell r="H7">
            <v>578.16</v>
          </cell>
          <cell r="J7">
            <v>558501</v>
          </cell>
          <cell r="K7">
            <v>558501</v>
          </cell>
          <cell r="N7">
            <v>10.5</v>
          </cell>
          <cell r="O7">
            <v>40</v>
          </cell>
          <cell r="R7">
            <v>1530</v>
          </cell>
          <cell r="S7">
            <v>1678.104</v>
          </cell>
          <cell r="T7">
            <v>970212.60863999999</v>
          </cell>
          <cell r="U7">
            <v>74</v>
          </cell>
          <cell r="V7">
            <v>717957</v>
          </cell>
        </row>
        <row r="8">
          <cell r="C8" t="str">
            <v>1#检修加压水泵房</v>
          </cell>
          <cell r="D8">
            <v>32523</v>
          </cell>
          <cell r="E8" t="str">
            <v>砖混</v>
          </cell>
          <cell r="F8">
            <v>1</v>
          </cell>
          <cell r="G8">
            <v>3</v>
          </cell>
          <cell r="H8">
            <v>27.09</v>
          </cell>
          <cell r="J8">
            <v>26169</v>
          </cell>
          <cell r="K8">
            <v>26169</v>
          </cell>
          <cell r="N8">
            <v>10.5</v>
          </cell>
          <cell r="O8">
            <v>40</v>
          </cell>
          <cell r="R8">
            <v>1320</v>
          </cell>
          <cell r="S8">
            <v>1406.856</v>
          </cell>
          <cell r="T8">
            <v>38111.729039999998</v>
          </cell>
          <cell r="U8">
            <v>74</v>
          </cell>
          <cell r="V8">
            <v>28203</v>
          </cell>
        </row>
        <row r="9">
          <cell r="C9" t="str">
            <v>1#检修自行车棚</v>
          </cell>
          <cell r="D9">
            <v>32523</v>
          </cell>
          <cell r="E9" t="str">
            <v>砖混</v>
          </cell>
          <cell r="F9">
            <v>1</v>
          </cell>
          <cell r="G9">
            <v>3</v>
          </cell>
          <cell r="H9">
            <v>91.8</v>
          </cell>
          <cell r="J9">
            <v>88679</v>
          </cell>
          <cell r="K9">
            <v>88679</v>
          </cell>
          <cell r="N9">
            <v>10.5</v>
          </cell>
          <cell r="O9">
            <v>15</v>
          </cell>
          <cell r="R9">
            <v>600</v>
          </cell>
          <cell r="S9">
            <v>639.48</v>
          </cell>
          <cell r="T9">
            <v>58704.264000000003</v>
          </cell>
          <cell r="U9">
            <v>30</v>
          </cell>
          <cell r="V9">
            <v>17611</v>
          </cell>
        </row>
        <row r="10">
          <cell r="C10" t="str">
            <v>1#检修站食堂</v>
          </cell>
          <cell r="D10">
            <v>32523</v>
          </cell>
          <cell r="E10" t="str">
            <v>砖混</v>
          </cell>
          <cell r="F10">
            <v>2</v>
          </cell>
          <cell r="G10">
            <v>3</v>
          </cell>
          <cell r="H10">
            <v>713.92</v>
          </cell>
          <cell r="J10">
            <v>689645</v>
          </cell>
          <cell r="K10">
            <v>689645</v>
          </cell>
          <cell r="N10">
            <v>10.5</v>
          </cell>
          <cell r="O10">
            <v>40</v>
          </cell>
          <cell r="R10">
            <v>930</v>
          </cell>
          <cell r="S10">
            <v>1020.024</v>
          </cell>
          <cell r="T10">
            <v>728215.53408000001</v>
          </cell>
          <cell r="U10">
            <v>74</v>
          </cell>
          <cell r="V10">
            <v>538879</v>
          </cell>
        </row>
        <row r="11">
          <cell r="C11" t="str">
            <v>1#检修工具间</v>
          </cell>
          <cell r="D11">
            <v>32523</v>
          </cell>
          <cell r="E11" t="str">
            <v>砖混</v>
          </cell>
          <cell r="F11">
            <v>1</v>
          </cell>
          <cell r="G11">
            <v>3</v>
          </cell>
          <cell r="H11">
            <v>335.73</v>
          </cell>
          <cell r="J11">
            <v>324314</v>
          </cell>
          <cell r="K11">
            <v>324314</v>
          </cell>
          <cell r="N11">
            <v>10.5</v>
          </cell>
          <cell r="O11">
            <v>40</v>
          </cell>
          <cell r="R11">
            <v>680</v>
          </cell>
          <cell r="S11">
            <v>724.74400000000003</v>
          </cell>
          <cell r="T11">
            <v>243318.30312000003</v>
          </cell>
          <cell r="U11">
            <v>74</v>
          </cell>
          <cell r="V11">
            <v>180056</v>
          </cell>
        </row>
        <row r="12">
          <cell r="C12" t="str">
            <v>1#检修值班室</v>
          </cell>
          <cell r="D12">
            <v>32523</v>
          </cell>
          <cell r="E12" t="str">
            <v>砖混</v>
          </cell>
          <cell r="F12">
            <v>1</v>
          </cell>
          <cell r="G12">
            <v>3</v>
          </cell>
          <cell r="H12">
            <v>22.05</v>
          </cell>
          <cell r="J12">
            <v>21300</v>
          </cell>
          <cell r="K12">
            <v>21300</v>
          </cell>
          <cell r="N12">
            <v>10.5</v>
          </cell>
          <cell r="O12">
            <v>40</v>
          </cell>
          <cell r="R12">
            <v>850</v>
          </cell>
          <cell r="S12">
            <v>905.93000000000006</v>
          </cell>
          <cell r="T12">
            <v>19975.756500000003</v>
          </cell>
          <cell r="U12">
            <v>74</v>
          </cell>
          <cell r="V12">
            <v>14782</v>
          </cell>
        </row>
        <row r="13">
          <cell r="C13" t="str">
            <v>1#检修夜班餐厅</v>
          </cell>
          <cell r="D13">
            <v>32523</v>
          </cell>
          <cell r="E13" t="str">
            <v>砖混</v>
          </cell>
          <cell r="F13">
            <v>1</v>
          </cell>
          <cell r="G13">
            <v>3</v>
          </cell>
          <cell r="H13">
            <v>68.59</v>
          </cell>
          <cell r="J13">
            <v>66258</v>
          </cell>
          <cell r="K13">
            <v>66258</v>
          </cell>
          <cell r="N13">
            <v>10.5</v>
          </cell>
          <cell r="O13">
            <v>40</v>
          </cell>
          <cell r="R13">
            <v>880</v>
          </cell>
          <cell r="S13">
            <v>937.90400000000011</v>
          </cell>
          <cell r="T13">
            <v>64330.835360000012</v>
          </cell>
          <cell r="U13">
            <v>74</v>
          </cell>
          <cell r="V13">
            <v>47605</v>
          </cell>
        </row>
        <row r="14">
          <cell r="C14" t="str">
            <v>2#检修主体大楼</v>
          </cell>
          <cell r="D14">
            <v>32523</v>
          </cell>
          <cell r="E14" t="str">
            <v>钢砼</v>
          </cell>
          <cell r="F14">
            <v>2</v>
          </cell>
          <cell r="G14">
            <v>3.3</v>
          </cell>
          <cell r="H14">
            <v>2685</v>
          </cell>
          <cell r="J14">
            <v>4887310</v>
          </cell>
          <cell r="K14">
            <v>2464087.0499999998</v>
          </cell>
          <cell r="N14">
            <v>10.5</v>
          </cell>
          <cell r="O14">
            <v>55</v>
          </cell>
          <cell r="R14">
            <v>1072</v>
          </cell>
          <cell r="S14">
            <v>1175.7696000000001</v>
          </cell>
          <cell r="T14">
            <v>3156941.3760000002</v>
          </cell>
          <cell r="U14">
            <v>81</v>
          </cell>
          <cell r="V14">
            <v>2557123</v>
          </cell>
        </row>
        <row r="15">
          <cell r="C15" t="str">
            <v>2#检修调度室</v>
          </cell>
          <cell r="D15">
            <v>32523</v>
          </cell>
          <cell r="E15" t="str">
            <v>砖混</v>
          </cell>
          <cell r="F15">
            <v>1</v>
          </cell>
          <cell r="G15">
            <v>3.3</v>
          </cell>
          <cell r="H15">
            <v>20</v>
          </cell>
          <cell r="J15">
            <v>66300</v>
          </cell>
          <cell r="K15">
            <v>33427.18</v>
          </cell>
          <cell r="N15">
            <v>10.5</v>
          </cell>
          <cell r="O15">
            <v>40</v>
          </cell>
          <cell r="R15">
            <v>1150</v>
          </cell>
          <cell r="S15">
            <v>1225.67</v>
          </cell>
          <cell r="T15">
            <v>24513.4</v>
          </cell>
          <cell r="U15">
            <v>74</v>
          </cell>
          <cell r="V15">
            <v>18140</v>
          </cell>
        </row>
        <row r="16">
          <cell r="C16" t="str">
            <v>2#检修泵房</v>
          </cell>
          <cell r="D16">
            <v>32523</v>
          </cell>
          <cell r="E16" t="str">
            <v>钢砼</v>
          </cell>
          <cell r="F16">
            <v>2</v>
          </cell>
          <cell r="G16">
            <v>4.5</v>
          </cell>
          <cell r="H16">
            <v>378</v>
          </cell>
          <cell r="J16">
            <v>132600</v>
          </cell>
          <cell r="K16">
            <v>66854.350000000006</v>
          </cell>
          <cell r="N16">
            <v>10.5</v>
          </cell>
          <cell r="O16">
            <v>50</v>
          </cell>
          <cell r="R16">
            <v>1310</v>
          </cell>
          <cell r="S16">
            <v>1396.1980000000001</v>
          </cell>
          <cell r="T16">
            <v>527762.84400000004</v>
          </cell>
          <cell r="U16">
            <v>79</v>
          </cell>
          <cell r="V16">
            <v>416933</v>
          </cell>
        </row>
        <row r="17">
          <cell r="C17" t="str">
            <v>2#检修车棚</v>
          </cell>
          <cell r="D17">
            <v>32523</v>
          </cell>
          <cell r="E17" t="str">
            <v>轻钢</v>
          </cell>
          <cell r="F17">
            <v>1</v>
          </cell>
          <cell r="G17">
            <v>3</v>
          </cell>
          <cell r="H17">
            <v>148.76</v>
          </cell>
          <cell r="J17">
            <v>20205</v>
          </cell>
          <cell r="K17">
            <v>10186.950000000001</v>
          </cell>
          <cell r="N17">
            <v>10.5</v>
          </cell>
          <cell r="O17">
            <v>15</v>
          </cell>
          <cell r="R17">
            <v>280</v>
          </cell>
          <cell r="S17">
            <v>298.42400000000004</v>
          </cell>
          <cell r="T17">
            <v>44393.554240000005</v>
          </cell>
          <cell r="U17">
            <v>30</v>
          </cell>
          <cell r="V17">
            <v>13318</v>
          </cell>
        </row>
        <row r="18">
          <cell r="C18" t="str">
            <v>2#变电所</v>
          </cell>
          <cell r="D18">
            <v>32523</v>
          </cell>
          <cell r="E18" t="str">
            <v>钢砼</v>
          </cell>
          <cell r="F18">
            <v>1</v>
          </cell>
          <cell r="G18">
            <v>3.3</v>
          </cell>
          <cell r="H18">
            <v>70</v>
          </cell>
          <cell r="J18">
            <v>92820</v>
          </cell>
          <cell r="K18">
            <v>36688.83</v>
          </cell>
          <cell r="N18">
            <v>10.5</v>
          </cell>
          <cell r="O18">
            <v>40</v>
          </cell>
          <cell r="R18">
            <v>880</v>
          </cell>
          <cell r="S18">
            <v>937.90400000000011</v>
          </cell>
          <cell r="T18">
            <v>65653.280000000013</v>
          </cell>
          <cell r="U18">
            <v>74</v>
          </cell>
          <cell r="V18">
            <v>48583</v>
          </cell>
        </row>
        <row r="19">
          <cell r="C19" t="str">
            <v>2#检修煤气站</v>
          </cell>
          <cell r="D19">
            <v>32523</v>
          </cell>
          <cell r="E19" t="str">
            <v>钢砼</v>
          </cell>
          <cell r="F19">
            <v>1</v>
          </cell>
          <cell r="G19">
            <v>3</v>
          </cell>
          <cell r="H19">
            <v>12</v>
          </cell>
          <cell r="J19">
            <v>26520</v>
          </cell>
          <cell r="K19">
            <v>13370.87</v>
          </cell>
          <cell r="N19">
            <v>10.5</v>
          </cell>
          <cell r="O19">
            <v>50</v>
          </cell>
          <cell r="R19">
            <v>1250</v>
          </cell>
          <cell r="S19">
            <v>1332.25</v>
          </cell>
          <cell r="T19">
            <v>15987</v>
          </cell>
          <cell r="U19">
            <v>79</v>
          </cell>
          <cell r="V19">
            <v>12630</v>
          </cell>
        </row>
        <row r="20">
          <cell r="C20" t="str">
            <v>3#检修综合办公楼</v>
          </cell>
          <cell r="D20">
            <v>32523</v>
          </cell>
          <cell r="E20" t="str">
            <v>砖混</v>
          </cell>
          <cell r="F20">
            <v>3</v>
          </cell>
          <cell r="G20">
            <v>3.3</v>
          </cell>
          <cell r="H20">
            <v>1171.25</v>
          </cell>
          <cell r="J20">
            <v>2652000</v>
          </cell>
          <cell r="K20">
            <v>1337087.04</v>
          </cell>
          <cell r="N20">
            <v>10.5</v>
          </cell>
          <cell r="O20">
            <v>40</v>
          </cell>
          <cell r="R20">
            <v>1072</v>
          </cell>
          <cell r="S20">
            <v>1175.7696000000001</v>
          </cell>
          <cell r="T20">
            <v>1377120.1440000001</v>
          </cell>
          <cell r="U20">
            <v>74</v>
          </cell>
          <cell r="V20">
            <v>1019069</v>
          </cell>
        </row>
        <row r="21">
          <cell r="C21" t="str">
            <v>3#检修站食堂</v>
          </cell>
          <cell r="D21">
            <v>32523</v>
          </cell>
          <cell r="E21" t="str">
            <v>砖混</v>
          </cell>
          <cell r="F21">
            <v>1</v>
          </cell>
          <cell r="G21">
            <v>4.5</v>
          </cell>
          <cell r="H21">
            <v>869.91</v>
          </cell>
          <cell r="J21">
            <v>915973</v>
          </cell>
          <cell r="K21">
            <v>461815.84</v>
          </cell>
          <cell r="N21">
            <v>10.5</v>
          </cell>
          <cell r="O21">
            <v>40</v>
          </cell>
          <cell r="R21">
            <v>930</v>
          </cell>
          <cell r="S21">
            <v>1020.024</v>
          </cell>
          <cell r="T21">
            <v>887329.07783999993</v>
          </cell>
          <cell r="U21">
            <v>74</v>
          </cell>
          <cell r="V21">
            <v>656624</v>
          </cell>
        </row>
        <row r="22">
          <cell r="C22" t="str">
            <v>3#检修站浴室</v>
          </cell>
          <cell r="D22">
            <v>32523</v>
          </cell>
          <cell r="E22" t="str">
            <v>钢砼</v>
          </cell>
          <cell r="F22">
            <v>1</v>
          </cell>
          <cell r="G22">
            <v>4.5</v>
          </cell>
          <cell r="H22">
            <v>1068.6600000000001</v>
          </cell>
          <cell r="J22">
            <v>1199404</v>
          </cell>
          <cell r="K22">
            <v>604716.27</v>
          </cell>
          <cell r="N22">
            <v>10.5</v>
          </cell>
          <cell r="O22">
            <v>50</v>
          </cell>
          <cell r="R22">
            <v>1530</v>
          </cell>
          <cell r="S22">
            <v>1678.104</v>
          </cell>
          <cell r="T22">
            <v>1793322.6206400001</v>
          </cell>
          <cell r="U22">
            <v>79</v>
          </cell>
          <cell r="V22">
            <v>1416725</v>
          </cell>
        </row>
        <row r="23">
          <cell r="C23" t="str">
            <v>3#检修自行车棚</v>
          </cell>
          <cell r="D23">
            <v>32523</v>
          </cell>
          <cell r="E23" t="str">
            <v>轻钢</v>
          </cell>
          <cell r="F23">
            <v>1</v>
          </cell>
          <cell r="G23">
            <v>2.5</v>
          </cell>
          <cell r="H23">
            <v>667.59</v>
          </cell>
          <cell r="J23">
            <v>15454</v>
          </cell>
          <cell r="K23">
            <v>5266.93</v>
          </cell>
          <cell r="N23">
            <v>10.5</v>
          </cell>
          <cell r="O23">
            <v>15</v>
          </cell>
          <cell r="R23">
            <v>288</v>
          </cell>
          <cell r="S23">
            <v>315.8784</v>
          </cell>
          <cell r="T23">
            <v>210877.26105600002</v>
          </cell>
          <cell r="U23">
            <v>30</v>
          </cell>
          <cell r="V23">
            <v>63263</v>
          </cell>
        </row>
        <row r="24">
          <cell r="C24" t="str">
            <v>3#检修工具间</v>
          </cell>
          <cell r="D24">
            <v>32523</v>
          </cell>
          <cell r="E24" t="str">
            <v>钢砼</v>
          </cell>
          <cell r="F24">
            <v>1</v>
          </cell>
          <cell r="G24">
            <v>4.5</v>
          </cell>
          <cell r="H24">
            <v>442.14</v>
          </cell>
          <cell r="J24">
            <v>302766</v>
          </cell>
          <cell r="K24">
            <v>152648.74</v>
          </cell>
          <cell r="N24">
            <v>10.5</v>
          </cell>
          <cell r="O24">
            <v>50</v>
          </cell>
          <cell r="R24">
            <v>780</v>
          </cell>
          <cell r="S24">
            <v>831.32400000000007</v>
          </cell>
          <cell r="T24">
            <v>367561.59336</v>
          </cell>
          <cell r="U24">
            <v>79</v>
          </cell>
          <cell r="V24">
            <v>290374</v>
          </cell>
        </row>
        <row r="25">
          <cell r="C25" t="str">
            <v>4#检修蒸汽采暖系统(一)食堂</v>
          </cell>
          <cell r="D25">
            <v>32523</v>
          </cell>
          <cell r="J25">
            <v>149517</v>
          </cell>
          <cell r="K25">
            <v>26530.92</v>
          </cell>
          <cell r="N25">
            <v>10.5</v>
          </cell>
          <cell r="O25">
            <v>20</v>
          </cell>
          <cell r="S25">
            <v>0</v>
          </cell>
          <cell r="T25">
            <v>156990</v>
          </cell>
          <cell r="U25">
            <v>48</v>
          </cell>
          <cell r="V25">
            <v>75355</v>
          </cell>
        </row>
        <row r="26">
          <cell r="C26" t="str">
            <v>4#检修简易仓库</v>
          </cell>
          <cell r="D26">
            <v>32523</v>
          </cell>
          <cell r="E26" t="str">
            <v>钢砼</v>
          </cell>
          <cell r="F26">
            <v>1</v>
          </cell>
          <cell r="G26">
            <v>6</v>
          </cell>
          <cell r="H26">
            <v>279</v>
          </cell>
          <cell r="J26">
            <v>355151</v>
          </cell>
          <cell r="K26">
            <v>-1985954.69</v>
          </cell>
          <cell r="N26">
            <v>10.5</v>
          </cell>
          <cell r="O26">
            <v>50</v>
          </cell>
          <cell r="R26">
            <v>850</v>
          </cell>
          <cell r="S26">
            <v>905.93000000000006</v>
          </cell>
          <cell r="T26">
            <v>252754.47000000003</v>
          </cell>
          <cell r="U26">
            <v>79</v>
          </cell>
          <cell r="V26">
            <v>199676</v>
          </cell>
        </row>
        <row r="27">
          <cell r="C27" t="str">
            <v>4#检修办公及更衣楼食堂</v>
          </cell>
          <cell r="D27">
            <v>32523</v>
          </cell>
          <cell r="E27" t="str">
            <v>钢砼</v>
          </cell>
          <cell r="F27">
            <v>5</v>
          </cell>
          <cell r="G27">
            <v>3.3</v>
          </cell>
          <cell r="H27">
            <v>6111.24</v>
          </cell>
          <cell r="J27">
            <v>2486051</v>
          </cell>
          <cell r="K27">
            <v>2486051</v>
          </cell>
          <cell r="N27">
            <v>10.5</v>
          </cell>
          <cell r="O27">
            <v>55</v>
          </cell>
          <cell r="R27">
            <v>1072</v>
          </cell>
          <cell r="S27">
            <v>1175.7696000000001</v>
          </cell>
          <cell r="T27">
            <v>7185410.2103040004</v>
          </cell>
          <cell r="U27">
            <v>81</v>
          </cell>
          <cell r="V27">
            <v>5820182</v>
          </cell>
        </row>
        <row r="28">
          <cell r="C28" t="str">
            <v>4#检修机械零部件拆卸.装配间</v>
          </cell>
          <cell r="D28">
            <v>32523</v>
          </cell>
          <cell r="E28" t="str">
            <v>钢砼</v>
          </cell>
          <cell r="F28">
            <v>1</v>
          </cell>
          <cell r="G28">
            <v>12</v>
          </cell>
          <cell r="H28">
            <v>1001.01</v>
          </cell>
          <cell r="J28">
            <v>710300</v>
          </cell>
          <cell r="K28">
            <v>710300</v>
          </cell>
          <cell r="N28">
            <v>10.5</v>
          </cell>
          <cell r="O28">
            <v>50</v>
          </cell>
          <cell r="R28">
            <v>1050</v>
          </cell>
          <cell r="S28">
            <v>1151.6400000000001</v>
          </cell>
          <cell r="T28">
            <v>1152803.1564</v>
          </cell>
          <cell r="U28">
            <v>79</v>
          </cell>
          <cell r="V28">
            <v>910714</v>
          </cell>
        </row>
        <row r="29">
          <cell r="C29" t="str">
            <v>东控湿库</v>
          </cell>
          <cell r="D29">
            <v>29204</v>
          </cell>
          <cell r="E29" t="str">
            <v>钢砼</v>
          </cell>
          <cell r="F29">
            <v>1</v>
          </cell>
          <cell r="G29">
            <v>12.5</v>
          </cell>
          <cell r="H29">
            <v>2000</v>
          </cell>
          <cell r="J29">
            <v>394616</v>
          </cell>
          <cell r="K29">
            <v>15784.64</v>
          </cell>
          <cell r="N29">
            <v>19.600000000000001</v>
          </cell>
          <cell r="O29">
            <v>50</v>
          </cell>
          <cell r="R29">
            <v>1040</v>
          </cell>
          <cell r="S29">
            <v>1140.672</v>
          </cell>
          <cell r="T29">
            <v>2281344</v>
          </cell>
          <cell r="U29">
            <v>61</v>
          </cell>
          <cell r="V29">
            <v>1391620</v>
          </cell>
        </row>
        <row r="30">
          <cell r="C30" t="str">
            <v>西控湿库</v>
          </cell>
          <cell r="D30">
            <v>29204</v>
          </cell>
          <cell r="E30" t="str">
            <v>钢砼</v>
          </cell>
          <cell r="F30">
            <v>1</v>
          </cell>
          <cell r="G30">
            <v>12.5</v>
          </cell>
          <cell r="H30">
            <v>1500</v>
          </cell>
          <cell r="J30">
            <v>299338</v>
          </cell>
          <cell r="K30">
            <v>11973.52</v>
          </cell>
          <cell r="N30">
            <v>19.600000000000001</v>
          </cell>
          <cell r="O30">
            <v>50</v>
          </cell>
          <cell r="R30">
            <v>1040</v>
          </cell>
          <cell r="S30">
            <v>1140.672</v>
          </cell>
          <cell r="T30">
            <v>1711008</v>
          </cell>
          <cell r="U30">
            <v>61</v>
          </cell>
          <cell r="V30">
            <v>1043715</v>
          </cell>
        </row>
        <row r="31">
          <cell r="C31" t="str">
            <v>1号库</v>
          </cell>
          <cell r="D31">
            <v>29204</v>
          </cell>
          <cell r="E31" t="str">
            <v>钢砼</v>
          </cell>
          <cell r="F31">
            <v>1</v>
          </cell>
          <cell r="G31">
            <v>12.5</v>
          </cell>
          <cell r="H31">
            <v>8750</v>
          </cell>
          <cell r="J31">
            <v>1160444.75</v>
          </cell>
          <cell r="K31">
            <v>46417.79</v>
          </cell>
          <cell r="N31">
            <v>19.600000000000001</v>
          </cell>
          <cell r="O31">
            <v>50</v>
          </cell>
          <cell r="R31">
            <v>941</v>
          </cell>
          <cell r="S31">
            <v>1032.0888</v>
          </cell>
          <cell r="T31">
            <v>9030777</v>
          </cell>
          <cell r="U31">
            <v>58</v>
          </cell>
          <cell r="V31">
            <v>5237850.66</v>
          </cell>
        </row>
        <row r="32">
          <cell r="C32" t="str">
            <v>2号库</v>
          </cell>
          <cell r="D32">
            <v>29204</v>
          </cell>
          <cell r="E32" t="str">
            <v>钢砼</v>
          </cell>
          <cell r="F32">
            <v>1</v>
          </cell>
          <cell r="G32">
            <v>12.5</v>
          </cell>
          <cell r="H32">
            <v>8750</v>
          </cell>
          <cell r="J32">
            <v>1160444.75</v>
          </cell>
          <cell r="K32">
            <v>46417.79</v>
          </cell>
          <cell r="N32">
            <v>19.600000000000001</v>
          </cell>
          <cell r="O32">
            <v>50</v>
          </cell>
          <cell r="R32">
            <v>941</v>
          </cell>
          <cell r="S32">
            <v>1032.0888</v>
          </cell>
          <cell r="T32">
            <v>9030777</v>
          </cell>
          <cell r="U32">
            <v>61</v>
          </cell>
          <cell r="V32">
            <v>5508774</v>
          </cell>
        </row>
        <row r="33">
          <cell r="C33" t="str">
            <v>3号库</v>
          </cell>
          <cell r="D33">
            <v>29204</v>
          </cell>
          <cell r="E33" t="str">
            <v>钢砼</v>
          </cell>
          <cell r="F33">
            <v>1</v>
          </cell>
          <cell r="G33">
            <v>12.5</v>
          </cell>
          <cell r="H33">
            <v>8750</v>
          </cell>
          <cell r="J33">
            <v>1160444.75</v>
          </cell>
          <cell r="K33">
            <v>46417.79</v>
          </cell>
          <cell r="N33">
            <v>19.600000000000001</v>
          </cell>
          <cell r="O33">
            <v>50</v>
          </cell>
          <cell r="R33">
            <v>941</v>
          </cell>
          <cell r="S33">
            <v>1032.0888</v>
          </cell>
          <cell r="T33">
            <v>9030777</v>
          </cell>
          <cell r="U33">
            <v>61</v>
          </cell>
          <cell r="V33">
            <v>5508774</v>
          </cell>
        </row>
        <row r="34">
          <cell r="C34" t="str">
            <v>4号库</v>
          </cell>
          <cell r="D34">
            <v>29204</v>
          </cell>
          <cell r="E34" t="str">
            <v>钢砼</v>
          </cell>
          <cell r="F34">
            <v>1</v>
          </cell>
          <cell r="G34">
            <v>12.5</v>
          </cell>
          <cell r="H34">
            <v>8750</v>
          </cell>
          <cell r="J34">
            <v>1160444.75</v>
          </cell>
          <cell r="K34">
            <v>46417.79</v>
          </cell>
          <cell r="N34">
            <v>19.600000000000001</v>
          </cell>
          <cell r="O34">
            <v>50</v>
          </cell>
          <cell r="R34">
            <v>941</v>
          </cell>
          <cell r="S34">
            <v>1032.0888</v>
          </cell>
          <cell r="T34">
            <v>9030777</v>
          </cell>
          <cell r="U34">
            <v>61</v>
          </cell>
          <cell r="V34">
            <v>5508774</v>
          </cell>
        </row>
        <row r="35">
          <cell r="C35" t="str">
            <v>5号库</v>
          </cell>
          <cell r="D35">
            <v>29204</v>
          </cell>
          <cell r="E35" t="str">
            <v>钢砼</v>
          </cell>
          <cell r="F35">
            <v>1</v>
          </cell>
          <cell r="G35">
            <v>12.5</v>
          </cell>
          <cell r="H35">
            <v>8750</v>
          </cell>
          <cell r="J35">
            <v>1160444.75</v>
          </cell>
          <cell r="K35">
            <v>46417.79</v>
          </cell>
          <cell r="N35">
            <v>19.600000000000001</v>
          </cell>
          <cell r="O35">
            <v>50</v>
          </cell>
          <cell r="R35">
            <v>941</v>
          </cell>
          <cell r="S35">
            <v>1032.0888</v>
          </cell>
          <cell r="T35">
            <v>9030777</v>
          </cell>
          <cell r="U35">
            <v>61</v>
          </cell>
          <cell r="V35">
            <v>5508774</v>
          </cell>
        </row>
        <row r="36">
          <cell r="C36" t="str">
            <v>6号库</v>
          </cell>
          <cell r="D36">
            <v>29204</v>
          </cell>
          <cell r="E36" t="str">
            <v>钢砼</v>
          </cell>
          <cell r="F36">
            <v>1</v>
          </cell>
          <cell r="G36">
            <v>12.5</v>
          </cell>
          <cell r="H36">
            <v>8750</v>
          </cell>
          <cell r="J36">
            <v>1160444.75</v>
          </cell>
          <cell r="K36">
            <v>46417.79</v>
          </cell>
          <cell r="N36">
            <v>19.600000000000001</v>
          </cell>
          <cell r="O36">
            <v>50</v>
          </cell>
          <cell r="R36">
            <v>941</v>
          </cell>
          <cell r="S36">
            <v>1032.0888</v>
          </cell>
          <cell r="T36">
            <v>9030777</v>
          </cell>
          <cell r="U36">
            <v>61</v>
          </cell>
          <cell r="V36">
            <v>5508774</v>
          </cell>
        </row>
        <row r="37">
          <cell r="C37" t="str">
            <v>7号库</v>
          </cell>
          <cell r="D37">
            <v>29204</v>
          </cell>
          <cell r="E37" t="str">
            <v>钢砼</v>
          </cell>
          <cell r="F37">
            <v>1</v>
          </cell>
          <cell r="G37">
            <v>12.5</v>
          </cell>
          <cell r="H37">
            <v>8750</v>
          </cell>
          <cell r="J37">
            <v>1160444.75</v>
          </cell>
          <cell r="K37">
            <v>46417.79</v>
          </cell>
          <cell r="N37">
            <v>19.600000000000001</v>
          </cell>
          <cell r="O37">
            <v>50</v>
          </cell>
          <cell r="R37">
            <v>941</v>
          </cell>
          <cell r="S37">
            <v>1032.0888</v>
          </cell>
          <cell r="T37">
            <v>9030777</v>
          </cell>
          <cell r="U37">
            <v>61</v>
          </cell>
          <cell r="V37">
            <v>5508774</v>
          </cell>
        </row>
        <row r="38">
          <cell r="C38" t="str">
            <v>8号库</v>
          </cell>
          <cell r="D38">
            <v>29204</v>
          </cell>
          <cell r="E38" t="str">
            <v>钢砼</v>
          </cell>
          <cell r="F38">
            <v>1</v>
          </cell>
          <cell r="G38">
            <v>12.5</v>
          </cell>
          <cell r="H38">
            <v>8750</v>
          </cell>
          <cell r="J38">
            <v>1160444.73</v>
          </cell>
          <cell r="K38">
            <v>46417.79</v>
          </cell>
          <cell r="N38">
            <v>19.600000000000001</v>
          </cell>
          <cell r="O38">
            <v>50</v>
          </cell>
          <cell r="R38">
            <v>941</v>
          </cell>
          <cell r="S38">
            <v>1032.0888</v>
          </cell>
          <cell r="T38">
            <v>9030777</v>
          </cell>
          <cell r="U38">
            <v>61</v>
          </cell>
          <cell r="V38">
            <v>5508774</v>
          </cell>
        </row>
        <row r="39">
          <cell r="C39" t="str">
            <v>10号库</v>
          </cell>
          <cell r="D39">
            <v>29204</v>
          </cell>
          <cell r="E39" t="str">
            <v>钢砼</v>
          </cell>
          <cell r="F39">
            <v>1</v>
          </cell>
          <cell r="G39">
            <v>12.5</v>
          </cell>
          <cell r="H39">
            <v>2068</v>
          </cell>
          <cell r="J39">
            <v>145362.16</v>
          </cell>
          <cell r="K39">
            <v>5814.49</v>
          </cell>
          <cell r="N39">
            <v>19.600000000000001</v>
          </cell>
          <cell r="O39">
            <v>50</v>
          </cell>
          <cell r="R39">
            <v>960</v>
          </cell>
          <cell r="S39">
            <v>1052.9279999999999</v>
          </cell>
          <cell r="T39">
            <v>2177455.1039999998</v>
          </cell>
          <cell r="U39">
            <v>61</v>
          </cell>
          <cell r="V39">
            <v>1328248</v>
          </cell>
        </row>
        <row r="40">
          <cell r="C40" t="str">
            <v>11号库</v>
          </cell>
          <cell r="D40">
            <v>29204</v>
          </cell>
          <cell r="E40" t="str">
            <v>钢砼</v>
          </cell>
          <cell r="F40">
            <v>1</v>
          </cell>
          <cell r="G40">
            <v>12.5</v>
          </cell>
          <cell r="H40">
            <v>1029</v>
          </cell>
          <cell r="J40">
            <v>145362.16</v>
          </cell>
          <cell r="K40">
            <v>5814.49</v>
          </cell>
          <cell r="N40">
            <v>19.600000000000001</v>
          </cell>
          <cell r="O40">
            <v>50</v>
          </cell>
          <cell r="R40">
            <v>960</v>
          </cell>
          <cell r="S40">
            <v>1052.9279999999999</v>
          </cell>
          <cell r="T40">
            <v>1083462.9119999998</v>
          </cell>
          <cell r="U40">
            <v>61</v>
          </cell>
          <cell r="V40">
            <v>660912</v>
          </cell>
        </row>
        <row r="41">
          <cell r="C41" t="str">
            <v>12号库</v>
          </cell>
          <cell r="D41">
            <v>29204</v>
          </cell>
          <cell r="E41" t="str">
            <v>钢砼</v>
          </cell>
          <cell r="F41">
            <v>1</v>
          </cell>
          <cell r="G41">
            <v>12.5</v>
          </cell>
          <cell r="H41">
            <v>755</v>
          </cell>
          <cell r="J41">
            <v>145362.16</v>
          </cell>
          <cell r="K41">
            <v>5814.49</v>
          </cell>
          <cell r="N41">
            <v>19.600000000000001</v>
          </cell>
          <cell r="O41">
            <v>50</v>
          </cell>
          <cell r="R41">
            <v>960</v>
          </cell>
          <cell r="S41">
            <v>1052.9279999999999</v>
          </cell>
          <cell r="T41">
            <v>794960.6399999999</v>
          </cell>
          <cell r="U41">
            <v>61</v>
          </cell>
          <cell r="V41">
            <v>484926</v>
          </cell>
        </row>
        <row r="42">
          <cell r="C42" t="str">
            <v>13号库</v>
          </cell>
          <cell r="D42">
            <v>29204</v>
          </cell>
          <cell r="E42" t="str">
            <v>钢砼</v>
          </cell>
          <cell r="F42">
            <v>1</v>
          </cell>
          <cell r="G42">
            <v>5</v>
          </cell>
          <cell r="H42">
            <v>74</v>
          </cell>
          <cell r="J42">
            <v>145362.17000000001</v>
          </cell>
          <cell r="K42">
            <v>5814.49</v>
          </cell>
          <cell r="N42">
            <v>19.600000000000001</v>
          </cell>
          <cell r="O42">
            <v>50</v>
          </cell>
          <cell r="R42">
            <v>960</v>
          </cell>
          <cell r="S42">
            <v>1023.1680000000001</v>
          </cell>
          <cell r="T42">
            <v>75714.432000000015</v>
          </cell>
          <cell r="U42">
            <v>61</v>
          </cell>
          <cell r="V42">
            <v>46186</v>
          </cell>
        </row>
        <row r="43">
          <cell r="C43" t="str">
            <v>燃油库</v>
          </cell>
          <cell r="D43">
            <v>29204</v>
          </cell>
          <cell r="E43" t="str">
            <v>钢砼</v>
          </cell>
          <cell r="F43">
            <v>1</v>
          </cell>
          <cell r="G43">
            <v>5</v>
          </cell>
          <cell r="H43">
            <v>64.14</v>
          </cell>
          <cell r="J43">
            <v>14922.87</v>
          </cell>
          <cell r="K43">
            <v>596.91</v>
          </cell>
          <cell r="N43">
            <v>19.600000000000001</v>
          </cell>
          <cell r="O43">
            <v>40</v>
          </cell>
          <cell r="R43">
            <v>720</v>
          </cell>
          <cell r="S43">
            <v>767.37600000000009</v>
          </cell>
          <cell r="T43">
            <v>49219.496640000005</v>
          </cell>
          <cell r="U43">
            <v>51</v>
          </cell>
          <cell r="V43">
            <v>25102</v>
          </cell>
        </row>
        <row r="44">
          <cell r="C44" t="str">
            <v>库区东堆场</v>
          </cell>
          <cell r="D44">
            <v>29204</v>
          </cell>
          <cell r="E44" t="str">
            <v>砼</v>
          </cell>
          <cell r="H44">
            <v>9900</v>
          </cell>
          <cell r="J44">
            <v>586770.25</v>
          </cell>
          <cell r="K44">
            <v>23470.81</v>
          </cell>
          <cell r="N44">
            <v>19.600000000000001</v>
          </cell>
          <cell r="O44">
            <v>30</v>
          </cell>
          <cell r="R44">
            <v>120</v>
          </cell>
          <cell r="S44">
            <v>131.61599999999999</v>
          </cell>
          <cell r="T44">
            <v>1302998.3999999999</v>
          </cell>
          <cell r="U44">
            <v>35</v>
          </cell>
          <cell r="V44">
            <v>456049</v>
          </cell>
        </row>
        <row r="45">
          <cell r="C45" t="str">
            <v>库区西堆场</v>
          </cell>
          <cell r="D45">
            <v>29204</v>
          </cell>
          <cell r="E45" t="str">
            <v>砼</v>
          </cell>
          <cell r="H45">
            <v>15600</v>
          </cell>
          <cell r="J45">
            <v>730365</v>
          </cell>
          <cell r="K45">
            <v>29214.6</v>
          </cell>
          <cell r="N45">
            <v>19.600000000000001</v>
          </cell>
          <cell r="O45">
            <v>30</v>
          </cell>
          <cell r="R45">
            <v>120</v>
          </cell>
          <cell r="S45">
            <v>131.61599999999999</v>
          </cell>
          <cell r="T45">
            <v>2053209.5999999999</v>
          </cell>
          <cell r="U45">
            <v>35</v>
          </cell>
          <cell r="V45">
            <v>718623</v>
          </cell>
        </row>
        <row r="46">
          <cell r="C46" t="str">
            <v>变电所</v>
          </cell>
          <cell r="D46">
            <v>29204</v>
          </cell>
          <cell r="E46" t="str">
            <v>砖混</v>
          </cell>
          <cell r="F46">
            <v>1</v>
          </cell>
          <cell r="G46">
            <v>3.3</v>
          </cell>
          <cell r="H46">
            <v>76</v>
          </cell>
          <cell r="J46">
            <v>31789.21</v>
          </cell>
          <cell r="K46">
            <v>1065.55</v>
          </cell>
          <cell r="N46">
            <v>19.600000000000001</v>
          </cell>
          <cell r="O46">
            <v>40</v>
          </cell>
          <cell r="R46">
            <v>710</v>
          </cell>
          <cell r="S46">
            <v>756.71800000000007</v>
          </cell>
          <cell r="T46">
            <v>57510.568000000007</v>
          </cell>
          <cell r="U46">
            <v>51</v>
          </cell>
          <cell r="V46">
            <v>29330</v>
          </cell>
        </row>
        <row r="47">
          <cell r="C47" t="str">
            <v>变电所</v>
          </cell>
          <cell r="D47">
            <v>29204</v>
          </cell>
          <cell r="E47" t="str">
            <v>砖混</v>
          </cell>
          <cell r="F47">
            <v>1</v>
          </cell>
          <cell r="G47">
            <v>3.3</v>
          </cell>
          <cell r="H47">
            <v>47</v>
          </cell>
          <cell r="J47">
            <v>31789.200000000001</v>
          </cell>
          <cell r="K47">
            <v>1271.57</v>
          </cell>
          <cell r="N47">
            <v>19.600000000000001</v>
          </cell>
          <cell r="O47">
            <v>40</v>
          </cell>
          <cell r="R47">
            <v>710</v>
          </cell>
          <cell r="S47">
            <v>756.71800000000007</v>
          </cell>
          <cell r="T47">
            <v>35565.746000000006</v>
          </cell>
          <cell r="U47">
            <v>51</v>
          </cell>
          <cell r="V47">
            <v>18139</v>
          </cell>
        </row>
        <row r="48">
          <cell r="C48" t="str">
            <v>公用设施(消防栓.消</v>
          </cell>
        </row>
        <row r="49">
          <cell r="C49" t="str">
            <v>防水管.给排水.围墙)</v>
          </cell>
          <cell r="D49">
            <v>29204</v>
          </cell>
          <cell r="J49">
            <v>2200139.73</v>
          </cell>
          <cell r="K49">
            <v>2200139.73</v>
          </cell>
          <cell r="N49">
            <v>19.600000000000001</v>
          </cell>
          <cell r="O49">
            <v>20</v>
          </cell>
          <cell r="T49">
            <v>2310146</v>
          </cell>
          <cell r="U49">
            <v>2</v>
          </cell>
          <cell r="V49">
            <v>46203</v>
          </cell>
        </row>
        <row r="50">
          <cell r="C50" t="str">
            <v>库区厕所(1#厕所)</v>
          </cell>
          <cell r="D50">
            <v>29204</v>
          </cell>
          <cell r="E50" t="str">
            <v>砖混</v>
          </cell>
          <cell r="F50">
            <v>1</v>
          </cell>
          <cell r="G50">
            <v>3.5</v>
          </cell>
          <cell r="H50">
            <v>25</v>
          </cell>
          <cell r="J50">
            <v>2563</v>
          </cell>
          <cell r="K50">
            <v>-4793.4799999999996</v>
          </cell>
          <cell r="N50">
            <v>19.600000000000001</v>
          </cell>
          <cell r="O50">
            <v>40</v>
          </cell>
          <cell r="R50">
            <v>630</v>
          </cell>
          <cell r="S50">
            <v>671.45400000000006</v>
          </cell>
          <cell r="T50">
            <v>16786.350000000002</v>
          </cell>
          <cell r="U50">
            <v>51</v>
          </cell>
          <cell r="V50">
            <v>8561</v>
          </cell>
        </row>
        <row r="51">
          <cell r="C51" t="str">
            <v>库区厕所(2#厕所)</v>
          </cell>
          <cell r="D51">
            <v>29204</v>
          </cell>
          <cell r="E51" t="str">
            <v>砖混</v>
          </cell>
          <cell r="F51">
            <v>1</v>
          </cell>
          <cell r="G51">
            <v>3.5</v>
          </cell>
          <cell r="H51">
            <v>23</v>
          </cell>
          <cell r="J51">
            <v>2550</v>
          </cell>
          <cell r="K51">
            <v>2550</v>
          </cell>
          <cell r="N51">
            <v>19.600000000000001</v>
          </cell>
          <cell r="O51">
            <v>40</v>
          </cell>
          <cell r="R51">
            <v>630</v>
          </cell>
          <cell r="S51">
            <v>671.45400000000006</v>
          </cell>
          <cell r="T51">
            <v>15443.442000000001</v>
          </cell>
          <cell r="U51">
            <v>51</v>
          </cell>
          <cell r="V51">
            <v>7876</v>
          </cell>
        </row>
        <row r="52">
          <cell r="C52" t="str">
            <v>库区厕所(3#厕所)</v>
          </cell>
          <cell r="D52">
            <v>29204</v>
          </cell>
          <cell r="E52" t="str">
            <v>砖混</v>
          </cell>
          <cell r="F52">
            <v>1</v>
          </cell>
          <cell r="G52">
            <v>3.5</v>
          </cell>
          <cell r="H52">
            <v>23</v>
          </cell>
          <cell r="J52">
            <v>2550</v>
          </cell>
          <cell r="K52">
            <v>2550</v>
          </cell>
          <cell r="N52">
            <v>19.600000000000001</v>
          </cell>
          <cell r="O52">
            <v>40</v>
          </cell>
          <cell r="R52">
            <v>630</v>
          </cell>
          <cell r="S52">
            <v>671.45400000000006</v>
          </cell>
          <cell r="T52">
            <v>15443.442000000001</v>
          </cell>
          <cell r="U52">
            <v>51</v>
          </cell>
          <cell r="V52">
            <v>7876</v>
          </cell>
        </row>
        <row r="53">
          <cell r="C53" t="str">
            <v>库区门卫(1#门卫)</v>
          </cell>
          <cell r="D53">
            <v>29204</v>
          </cell>
          <cell r="E53" t="str">
            <v>砖混</v>
          </cell>
          <cell r="F53">
            <v>1</v>
          </cell>
          <cell r="G53">
            <v>3.5</v>
          </cell>
          <cell r="H53">
            <v>26</v>
          </cell>
          <cell r="J53">
            <v>1863</v>
          </cell>
          <cell r="K53">
            <v>-2676.84</v>
          </cell>
          <cell r="N53">
            <v>19.600000000000001</v>
          </cell>
          <cell r="O53">
            <v>40</v>
          </cell>
          <cell r="R53">
            <v>880</v>
          </cell>
          <cell r="S53">
            <v>937.90400000000011</v>
          </cell>
          <cell r="T53">
            <v>24385.504000000004</v>
          </cell>
          <cell r="U53">
            <v>51</v>
          </cell>
          <cell r="V53">
            <v>12437</v>
          </cell>
        </row>
        <row r="54">
          <cell r="C54" t="str">
            <v>库区门卫(2#门卫)</v>
          </cell>
          <cell r="D54">
            <v>29204</v>
          </cell>
          <cell r="E54" t="str">
            <v>砖混</v>
          </cell>
          <cell r="F54">
            <v>1</v>
          </cell>
          <cell r="G54">
            <v>3.5</v>
          </cell>
          <cell r="H54">
            <v>22</v>
          </cell>
          <cell r="J54">
            <v>1628</v>
          </cell>
          <cell r="K54">
            <v>1628</v>
          </cell>
          <cell r="N54">
            <v>19.600000000000001</v>
          </cell>
          <cell r="O54">
            <v>40</v>
          </cell>
          <cell r="R54">
            <v>880</v>
          </cell>
          <cell r="S54">
            <v>937.90400000000011</v>
          </cell>
          <cell r="T54">
            <v>20633.888000000003</v>
          </cell>
          <cell r="U54">
            <v>51</v>
          </cell>
          <cell r="V54">
            <v>10523</v>
          </cell>
        </row>
        <row r="55">
          <cell r="C55" t="str">
            <v>库区门卫(3#门卫)</v>
          </cell>
          <cell r="D55">
            <v>29204</v>
          </cell>
          <cell r="E55" t="str">
            <v>砖混</v>
          </cell>
          <cell r="F55">
            <v>1</v>
          </cell>
          <cell r="G55">
            <v>3.5</v>
          </cell>
          <cell r="H55">
            <v>16</v>
          </cell>
          <cell r="J55">
            <v>1238</v>
          </cell>
          <cell r="K55">
            <v>1238</v>
          </cell>
          <cell r="N55">
            <v>19.600000000000001</v>
          </cell>
          <cell r="O55">
            <v>40</v>
          </cell>
          <cell r="R55">
            <v>880</v>
          </cell>
          <cell r="S55">
            <v>937.90400000000011</v>
          </cell>
          <cell r="T55">
            <v>15006.464000000002</v>
          </cell>
          <cell r="U55">
            <v>51</v>
          </cell>
          <cell r="V55">
            <v>7653</v>
          </cell>
        </row>
        <row r="56">
          <cell r="C56" t="str">
            <v>9#库</v>
          </cell>
          <cell r="D56">
            <v>29204</v>
          </cell>
          <cell r="E56" t="str">
            <v>钢砼</v>
          </cell>
          <cell r="F56">
            <v>1</v>
          </cell>
          <cell r="G56">
            <v>12.5</v>
          </cell>
          <cell r="H56">
            <v>6050</v>
          </cell>
          <cell r="J56">
            <v>1042292</v>
          </cell>
          <cell r="K56">
            <v>953349.76</v>
          </cell>
          <cell r="N56">
            <v>19.600000000000001</v>
          </cell>
          <cell r="O56">
            <v>50</v>
          </cell>
          <cell r="R56">
            <v>941</v>
          </cell>
          <cell r="S56">
            <v>1002.9178000000001</v>
          </cell>
          <cell r="T56">
            <v>6067652.6900000004</v>
          </cell>
          <cell r="U56">
            <v>61</v>
          </cell>
          <cell r="V56">
            <v>3701268</v>
          </cell>
        </row>
        <row r="57">
          <cell r="C57" t="str">
            <v>活动房</v>
          </cell>
          <cell r="D57">
            <v>31213</v>
          </cell>
          <cell r="E57" t="str">
            <v>钢</v>
          </cell>
          <cell r="F57">
            <v>1</v>
          </cell>
          <cell r="G57">
            <v>2.5</v>
          </cell>
          <cell r="H57" t="str">
            <v>HW84-1</v>
          </cell>
          <cell r="J57">
            <v>33422</v>
          </cell>
          <cell r="K57">
            <v>1336.88</v>
          </cell>
          <cell r="N57">
            <v>14.1</v>
          </cell>
          <cell r="O57">
            <v>55</v>
          </cell>
          <cell r="T57">
            <v>35100</v>
          </cell>
          <cell r="U57">
            <v>74</v>
          </cell>
          <cell r="V57">
            <v>25974</v>
          </cell>
        </row>
        <row r="58">
          <cell r="C58" t="str">
            <v>玻璃房</v>
          </cell>
          <cell r="D58">
            <v>32523</v>
          </cell>
          <cell r="E58" t="str">
            <v>铝合金</v>
          </cell>
          <cell r="F58">
            <v>1</v>
          </cell>
          <cell r="G58">
            <v>3</v>
          </cell>
          <cell r="J58">
            <v>223235</v>
          </cell>
          <cell r="K58">
            <v>12259.67</v>
          </cell>
          <cell r="N58">
            <v>10.5</v>
          </cell>
          <cell r="O58">
            <v>50</v>
          </cell>
          <cell r="T58">
            <v>234390</v>
          </cell>
          <cell r="U58">
            <v>79</v>
          </cell>
          <cell r="V58">
            <v>185168</v>
          </cell>
        </row>
        <row r="59">
          <cell r="C59" t="str">
            <v>一露天库</v>
          </cell>
          <cell r="D59">
            <v>34288</v>
          </cell>
          <cell r="E59" t="str">
            <v>砼</v>
          </cell>
          <cell r="H59">
            <v>7600</v>
          </cell>
          <cell r="J59">
            <v>1428625</v>
          </cell>
          <cell r="K59">
            <v>1005894.59</v>
          </cell>
          <cell r="N59">
            <v>5.7</v>
          </cell>
          <cell r="O59">
            <v>30</v>
          </cell>
          <cell r="R59">
            <v>150</v>
          </cell>
          <cell r="S59">
            <v>164.52</v>
          </cell>
          <cell r="T59">
            <v>1250352</v>
          </cell>
          <cell r="U59">
            <v>81</v>
          </cell>
          <cell r="V59">
            <v>1012785</v>
          </cell>
        </row>
        <row r="60">
          <cell r="C60" t="str">
            <v>轴承库</v>
          </cell>
          <cell r="D60">
            <v>32523</v>
          </cell>
          <cell r="E60" t="str">
            <v>钢砼</v>
          </cell>
          <cell r="F60">
            <v>1</v>
          </cell>
          <cell r="G60">
            <v>16</v>
          </cell>
          <cell r="H60">
            <v>690</v>
          </cell>
          <cell r="I60">
            <v>10858</v>
          </cell>
          <cell r="J60">
            <v>3667617</v>
          </cell>
          <cell r="K60">
            <v>1849141.45</v>
          </cell>
          <cell r="N60">
            <v>10.5</v>
          </cell>
          <cell r="O60">
            <v>50</v>
          </cell>
          <cell r="R60">
            <v>1112</v>
          </cell>
          <cell r="S60">
            <v>1219.6415999999999</v>
          </cell>
          <cell r="T60">
            <v>841552.70399999991</v>
          </cell>
          <cell r="U60">
            <v>79</v>
          </cell>
          <cell r="V60">
            <v>664827</v>
          </cell>
        </row>
        <row r="61">
          <cell r="C61" t="str">
            <v>初轧库</v>
          </cell>
          <cell r="D61">
            <v>32523</v>
          </cell>
          <cell r="E61" t="str">
            <v>钢砼</v>
          </cell>
          <cell r="F61">
            <v>1</v>
          </cell>
          <cell r="G61">
            <v>8</v>
          </cell>
          <cell r="H61">
            <v>3159</v>
          </cell>
          <cell r="J61">
            <v>9131100</v>
          </cell>
          <cell r="K61">
            <v>4603723.7699999996</v>
          </cell>
          <cell r="N61">
            <v>10.5</v>
          </cell>
          <cell r="O61">
            <v>50</v>
          </cell>
          <cell r="R61">
            <v>884</v>
          </cell>
          <cell r="S61">
            <v>969.57119999999998</v>
          </cell>
          <cell r="T61">
            <v>3062875.4208</v>
          </cell>
          <cell r="U61">
            <v>79</v>
          </cell>
          <cell r="V61">
            <v>2419672</v>
          </cell>
        </row>
        <row r="62">
          <cell r="C62" t="str">
            <v>2#精密仪表库</v>
          </cell>
          <cell r="D62">
            <v>32523</v>
          </cell>
          <cell r="E62" t="str">
            <v>钢砼</v>
          </cell>
          <cell r="F62">
            <v>3</v>
          </cell>
          <cell r="G62">
            <v>5</v>
          </cell>
          <cell r="H62">
            <v>3252</v>
          </cell>
          <cell r="I62" t="str">
            <v>03828</v>
          </cell>
          <cell r="J62">
            <v>9533289</v>
          </cell>
          <cell r="K62">
            <v>4806499.67</v>
          </cell>
          <cell r="N62">
            <v>10.5</v>
          </cell>
          <cell r="O62">
            <v>50</v>
          </cell>
          <cell r="R62">
            <v>1193</v>
          </cell>
          <cell r="S62">
            <v>1308.4824000000001</v>
          </cell>
          <cell r="T62">
            <v>4255184.7648</v>
          </cell>
          <cell r="U62">
            <v>76</v>
          </cell>
          <cell r="V62">
            <v>3233940.4212480001</v>
          </cell>
        </row>
        <row r="63">
          <cell r="C63" t="str">
            <v>小型备件库</v>
          </cell>
          <cell r="D63">
            <v>32523</v>
          </cell>
          <cell r="E63" t="str">
            <v>钢砼</v>
          </cell>
          <cell r="F63">
            <v>4</v>
          </cell>
          <cell r="G63">
            <v>5</v>
          </cell>
          <cell r="H63">
            <v>7074</v>
          </cell>
          <cell r="I63" t="str">
            <v>03828</v>
          </cell>
          <cell r="J63">
            <v>6429828</v>
          </cell>
          <cell r="K63">
            <v>3241794.75</v>
          </cell>
          <cell r="N63">
            <v>10.5</v>
          </cell>
          <cell r="O63">
            <v>50</v>
          </cell>
          <cell r="R63">
            <v>1193</v>
          </cell>
          <cell r="S63">
            <v>1308.4824000000001</v>
          </cell>
          <cell r="T63">
            <v>9256204.4976000004</v>
          </cell>
          <cell r="U63">
            <v>79</v>
          </cell>
          <cell r="V63">
            <v>7312402</v>
          </cell>
        </row>
        <row r="64">
          <cell r="C64" t="str">
            <v>自行车棚</v>
          </cell>
          <cell r="D64">
            <v>34257</v>
          </cell>
          <cell r="E64" t="str">
            <v>轻钢</v>
          </cell>
          <cell r="F64">
            <v>1</v>
          </cell>
          <cell r="G64">
            <v>2.5</v>
          </cell>
          <cell r="H64">
            <v>131.6</v>
          </cell>
          <cell r="I64" t="str">
            <v>03828</v>
          </cell>
          <cell r="J64">
            <v>31277</v>
          </cell>
          <cell r="K64">
            <v>21781.01</v>
          </cell>
          <cell r="N64">
            <v>5.8</v>
          </cell>
          <cell r="O64">
            <v>15</v>
          </cell>
          <cell r="R64">
            <v>288</v>
          </cell>
          <cell r="S64">
            <v>306.9504</v>
          </cell>
          <cell r="T64">
            <v>40394.672639999997</v>
          </cell>
          <cell r="U64">
            <v>61</v>
          </cell>
          <cell r="V64">
            <v>24641</v>
          </cell>
        </row>
        <row r="65">
          <cell r="C65" t="str">
            <v>自行车棚</v>
          </cell>
          <cell r="D65">
            <v>34257</v>
          </cell>
          <cell r="E65" t="str">
            <v>轻钢</v>
          </cell>
          <cell r="F65">
            <v>1</v>
          </cell>
          <cell r="G65">
            <v>2.5</v>
          </cell>
          <cell r="H65">
            <v>45</v>
          </cell>
          <cell r="I65" t="str">
            <v>03828</v>
          </cell>
          <cell r="J65">
            <v>31277</v>
          </cell>
          <cell r="K65">
            <v>21781.01</v>
          </cell>
          <cell r="N65">
            <v>5.8</v>
          </cell>
          <cell r="O65">
            <v>15</v>
          </cell>
          <cell r="R65">
            <v>288</v>
          </cell>
          <cell r="S65">
            <v>306.9504</v>
          </cell>
          <cell r="T65">
            <v>13812.768</v>
          </cell>
          <cell r="U65">
            <v>61</v>
          </cell>
          <cell r="V65">
            <v>8426</v>
          </cell>
        </row>
        <row r="66">
          <cell r="C66" t="str">
            <v>炼钢地区备品库</v>
          </cell>
          <cell r="D66">
            <v>31305</v>
          </cell>
          <cell r="E66" t="str">
            <v>钢砼</v>
          </cell>
          <cell r="F66">
            <v>1</v>
          </cell>
          <cell r="G66">
            <v>12</v>
          </cell>
          <cell r="H66">
            <v>1344</v>
          </cell>
          <cell r="J66">
            <v>1609991</v>
          </cell>
          <cell r="K66">
            <v>664340.37</v>
          </cell>
          <cell r="N66">
            <v>13.9</v>
          </cell>
          <cell r="O66">
            <v>50</v>
          </cell>
          <cell r="R66">
            <v>884</v>
          </cell>
          <cell r="S66">
            <v>969.57119999999998</v>
          </cell>
          <cell r="T66">
            <v>1303103.6928000001</v>
          </cell>
          <cell r="U66">
            <v>72</v>
          </cell>
          <cell r="V66">
            <v>938235</v>
          </cell>
        </row>
        <row r="67">
          <cell r="C67" t="str">
            <v>精密仪表库(一仪表)</v>
          </cell>
          <cell r="D67">
            <v>31305</v>
          </cell>
          <cell r="E67" t="str">
            <v>钢砼</v>
          </cell>
          <cell r="F67">
            <v>2</v>
          </cell>
          <cell r="G67">
            <v>4.5</v>
          </cell>
          <cell r="H67">
            <v>1885.9</v>
          </cell>
          <cell r="J67">
            <v>1680377</v>
          </cell>
          <cell r="K67">
            <v>693384.17</v>
          </cell>
          <cell r="N67">
            <v>13.9</v>
          </cell>
          <cell r="O67">
            <v>50</v>
          </cell>
          <cell r="R67">
            <v>916</v>
          </cell>
          <cell r="S67">
            <v>1004.6688</v>
          </cell>
          <cell r="T67">
            <v>1894704.8899200002</v>
          </cell>
          <cell r="U67">
            <v>72</v>
          </cell>
          <cell r="V67">
            <v>1364188</v>
          </cell>
        </row>
        <row r="68">
          <cell r="C68" t="str">
            <v>机电备品库</v>
          </cell>
          <cell r="D68">
            <v>31305</v>
          </cell>
          <cell r="E68" t="str">
            <v>钢砼</v>
          </cell>
          <cell r="F68">
            <v>1</v>
          </cell>
          <cell r="G68">
            <v>12</v>
          </cell>
          <cell r="H68">
            <v>8837.2999999999993</v>
          </cell>
          <cell r="J68">
            <v>8027853</v>
          </cell>
          <cell r="K68">
            <v>3312581.81</v>
          </cell>
          <cell r="N68">
            <v>13.9</v>
          </cell>
          <cell r="O68">
            <v>50</v>
          </cell>
          <cell r="R68">
            <v>884</v>
          </cell>
          <cell r="S68">
            <v>969.57119999999998</v>
          </cell>
          <cell r="T68">
            <v>8568391.5657599997</v>
          </cell>
          <cell r="U68">
            <v>72</v>
          </cell>
          <cell r="V68">
            <v>6169242</v>
          </cell>
        </row>
        <row r="69">
          <cell r="C69" t="str">
            <v>车辆备件仓库</v>
          </cell>
          <cell r="D69">
            <v>31305</v>
          </cell>
          <cell r="E69" t="str">
            <v>钢砼</v>
          </cell>
          <cell r="F69">
            <v>1</v>
          </cell>
          <cell r="G69">
            <v>12</v>
          </cell>
          <cell r="H69">
            <v>1836</v>
          </cell>
          <cell r="J69">
            <v>1828477</v>
          </cell>
          <cell r="K69">
            <v>754495.56</v>
          </cell>
          <cell r="N69">
            <v>13.9</v>
          </cell>
          <cell r="O69">
            <v>50</v>
          </cell>
          <cell r="R69">
            <v>884</v>
          </cell>
          <cell r="S69">
            <v>969.57119999999998</v>
          </cell>
          <cell r="T69">
            <v>1780132.7231999999</v>
          </cell>
          <cell r="U69">
            <v>72</v>
          </cell>
          <cell r="V69">
            <v>1281696</v>
          </cell>
        </row>
        <row r="70">
          <cell r="C70" t="str">
            <v>二次淬火厂房</v>
          </cell>
          <cell r="D70">
            <v>32523</v>
          </cell>
          <cell r="E70" t="str">
            <v>钢砼</v>
          </cell>
          <cell r="F70">
            <v>1</v>
          </cell>
          <cell r="G70">
            <v>16</v>
          </cell>
          <cell r="H70">
            <v>4233</v>
          </cell>
          <cell r="J70">
            <v>11810982</v>
          </cell>
          <cell r="K70">
            <v>5954868.3899999997</v>
          </cell>
          <cell r="N70">
            <v>10.5</v>
          </cell>
          <cell r="O70">
            <v>50</v>
          </cell>
          <cell r="R70">
            <v>1112</v>
          </cell>
          <cell r="S70">
            <v>1219.6415999999999</v>
          </cell>
          <cell r="T70">
            <v>5162742.8927999996</v>
          </cell>
          <cell r="U70">
            <v>79</v>
          </cell>
          <cell r="V70">
            <v>4078567</v>
          </cell>
        </row>
        <row r="71">
          <cell r="C71" t="str">
            <v>自行车棚</v>
          </cell>
          <cell r="D71">
            <v>34257</v>
          </cell>
          <cell r="E71" t="str">
            <v>轻钢</v>
          </cell>
          <cell r="F71">
            <v>1</v>
          </cell>
          <cell r="G71">
            <v>2.5</v>
          </cell>
          <cell r="H71">
            <v>156.6</v>
          </cell>
          <cell r="J71">
            <v>31277</v>
          </cell>
          <cell r="K71">
            <v>21781.01</v>
          </cell>
          <cell r="N71">
            <v>5.8</v>
          </cell>
          <cell r="O71">
            <v>15</v>
          </cell>
          <cell r="R71">
            <v>288</v>
          </cell>
          <cell r="S71">
            <v>306.9504</v>
          </cell>
          <cell r="T71">
            <v>48068.432639999999</v>
          </cell>
          <cell r="U71">
            <v>61</v>
          </cell>
          <cell r="V71">
            <v>29322</v>
          </cell>
        </row>
        <row r="72">
          <cell r="C72" t="str">
            <v>5#磅房</v>
          </cell>
          <cell r="D72">
            <v>32857</v>
          </cell>
          <cell r="E72" t="str">
            <v>砖混</v>
          </cell>
          <cell r="F72">
            <v>1</v>
          </cell>
          <cell r="G72">
            <v>3</v>
          </cell>
          <cell r="H72">
            <v>20</v>
          </cell>
          <cell r="J72">
            <v>40000</v>
          </cell>
          <cell r="K72">
            <v>40000</v>
          </cell>
          <cell r="N72">
            <v>9.6</v>
          </cell>
          <cell r="O72">
            <v>40</v>
          </cell>
          <cell r="R72">
            <v>2000</v>
          </cell>
          <cell r="S72">
            <v>2131.6000000000004</v>
          </cell>
          <cell r="T72">
            <v>42632.000000000007</v>
          </cell>
          <cell r="U72">
            <v>76</v>
          </cell>
          <cell r="V72">
            <v>32400</v>
          </cell>
        </row>
        <row r="73">
          <cell r="C73" t="str">
            <v>7#磅房</v>
          </cell>
          <cell r="D73">
            <v>32126</v>
          </cell>
          <cell r="E73" t="str">
            <v>砖混</v>
          </cell>
          <cell r="F73">
            <v>1</v>
          </cell>
          <cell r="G73">
            <v>3</v>
          </cell>
          <cell r="H73">
            <v>20</v>
          </cell>
          <cell r="J73">
            <v>40000</v>
          </cell>
          <cell r="K73">
            <v>40000</v>
          </cell>
          <cell r="N73">
            <v>11.6</v>
          </cell>
          <cell r="O73">
            <v>40</v>
          </cell>
          <cell r="R73">
            <v>2000</v>
          </cell>
          <cell r="S73">
            <v>2131.6000000000004</v>
          </cell>
          <cell r="T73">
            <v>42632.000000000007</v>
          </cell>
          <cell r="U73">
            <v>71</v>
          </cell>
          <cell r="V73">
            <v>30269</v>
          </cell>
        </row>
        <row r="74">
          <cell r="C74" t="str">
            <v>8#磅房</v>
          </cell>
          <cell r="D74">
            <v>33100</v>
          </cell>
          <cell r="E74" t="str">
            <v>砖混</v>
          </cell>
          <cell r="F74">
            <v>1</v>
          </cell>
          <cell r="G74">
            <v>3</v>
          </cell>
          <cell r="H74">
            <v>20</v>
          </cell>
          <cell r="J74">
            <v>40000</v>
          </cell>
          <cell r="K74">
            <v>40000</v>
          </cell>
          <cell r="N74">
            <v>9</v>
          </cell>
          <cell r="O74">
            <v>40</v>
          </cell>
          <cell r="R74">
            <v>2000</v>
          </cell>
          <cell r="S74">
            <v>2131.6000000000004</v>
          </cell>
          <cell r="T74">
            <v>42632.000000000007</v>
          </cell>
          <cell r="U74">
            <v>78</v>
          </cell>
          <cell r="V74">
            <v>33253</v>
          </cell>
        </row>
        <row r="75">
          <cell r="C75" t="str">
            <v>同位素库房</v>
          </cell>
          <cell r="D75">
            <v>29966</v>
          </cell>
          <cell r="E75" t="str">
            <v>砖混</v>
          </cell>
          <cell r="F75">
            <v>1</v>
          </cell>
          <cell r="G75">
            <v>4.5</v>
          </cell>
          <cell r="H75">
            <v>61.3</v>
          </cell>
          <cell r="I75">
            <v>10858</v>
          </cell>
          <cell r="J75">
            <v>75368</v>
          </cell>
          <cell r="K75">
            <v>31099.56</v>
          </cell>
          <cell r="N75">
            <v>17.600000000000001</v>
          </cell>
          <cell r="O75">
            <v>40</v>
          </cell>
          <cell r="R75">
            <v>960</v>
          </cell>
          <cell r="S75">
            <v>1023.1680000000001</v>
          </cell>
          <cell r="T75">
            <v>62720.198400000001</v>
          </cell>
          <cell r="U75">
            <v>56</v>
          </cell>
          <cell r="V75">
            <v>35123</v>
          </cell>
        </row>
        <row r="76">
          <cell r="C76" t="str">
            <v>同位素工作室</v>
          </cell>
          <cell r="D76">
            <v>32523</v>
          </cell>
          <cell r="E76" t="str">
            <v>砖混</v>
          </cell>
          <cell r="F76">
            <v>1</v>
          </cell>
          <cell r="G76">
            <v>4.5</v>
          </cell>
          <cell r="H76">
            <v>72</v>
          </cell>
          <cell r="I76">
            <v>10858</v>
          </cell>
          <cell r="J76">
            <v>67798</v>
          </cell>
          <cell r="K76">
            <v>34182.449999999997</v>
          </cell>
          <cell r="N76">
            <v>10.5</v>
          </cell>
          <cell r="O76">
            <v>40</v>
          </cell>
          <cell r="R76">
            <v>960</v>
          </cell>
          <cell r="S76">
            <v>1023.1680000000001</v>
          </cell>
          <cell r="T76">
            <v>73668.096000000005</v>
          </cell>
          <cell r="U76">
            <v>74</v>
          </cell>
          <cell r="V76">
            <v>54514</v>
          </cell>
        </row>
        <row r="77">
          <cell r="C77" t="str">
            <v>1#磅房</v>
          </cell>
          <cell r="D77">
            <v>32035</v>
          </cell>
          <cell r="E77" t="str">
            <v>砖混</v>
          </cell>
          <cell r="F77">
            <v>1</v>
          </cell>
          <cell r="G77">
            <v>3</v>
          </cell>
          <cell r="H77">
            <v>24</v>
          </cell>
          <cell r="I77" t="str">
            <v>04881</v>
          </cell>
          <cell r="J77">
            <v>48203</v>
          </cell>
          <cell r="K77">
            <v>18536.259999999998</v>
          </cell>
          <cell r="N77">
            <v>11.9</v>
          </cell>
          <cell r="O77">
            <v>40</v>
          </cell>
          <cell r="R77">
            <v>2000</v>
          </cell>
          <cell r="S77">
            <v>2131.6000000000004</v>
          </cell>
          <cell r="T77">
            <v>51158.400000000009</v>
          </cell>
          <cell r="U77">
            <v>70</v>
          </cell>
          <cell r="V77">
            <v>35811</v>
          </cell>
        </row>
        <row r="78">
          <cell r="C78" t="str">
            <v>2#磅房</v>
          </cell>
          <cell r="D78">
            <v>32065</v>
          </cell>
          <cell r="E78" t="str">
            <v>砖混</v>
          </cell>
          <cell r="F78">
            <v>1</v>
          </cell>
          <cell r="G78">
            <v>3</v>
          </cell>
          <cell r="H78">
            <v>24</v>
          </cell>
          <cell r="I78" t="str">
            <v>04876</v>
          </cell>
          <cell r="J78">
            <v>48203</v>
          </cell>
          <cell r="K78">
            <v>18664.79</v>
          </cell>
          <cell r="N78">
            <v>11.8</v>
          </cell>
          <cell r="O78">
            <v>40</v>
          </cell>
          <cell r="R78">
            <v>2000</v>
          </cell>
          <cell r="S78">
            <v>2131.6000000000004</v>
          </cell>
          <cell r="T78">
            <v>51158.400000000009</v>
          </cell>
          <cell r="U78">
            <v>71</v>
          </cell>
          <cell r="V78">
            <v>36322</v>
          </cell>
        </row>
        <row r="79">
          <cell r="C79" t="str">
            <v>3#磅房</v>
          </cell>
          <cell r="D79">
            <v>32065</v>
          </cell>
          <cell r="E79" t="str">
            <v>砖混</v>
          </cell>
          <cell r="F79">
            <v>1</v>
          </cell>
          <cell r="G79">
            <v>3</v>
          </cell>
          <cell r="H79">
            <v>24</v>
          </cell>
          <cell r="J79">
            <v>53353</v>
          </cell>
          <cell r="K79">
            <v>23814.79</v>
          </cell>
          <cell r="N79">
            <v>11.8</v>
          </cell>
          <cell r="O79">
            <v>40</v>
          </cell>
          <cell r="R79">
            <v>2000</v>
          </cell>
          <cell r="S79">
            <v>2131.6000000000004</v>
          </cell>
          <cell r="T79">
            <v>51158.400000000009</v>
          </cell>
          <cell r="U79">
            <v>71</v>
          </cell>
          <cell r="V79">
            <v>36322</v>
          </cell>
        </row>
        <row r="80">
          <cell r="C80" t="str">
            <v>4#磅房</v>
          </cell>
          <cell r="D80">
            <v>32004</v>
          </cell>
          <cell r="E80" t="str">
            <v>砖混</v>
          </cell>
          <cell r="F80">
            <v>1</v>
          </cell>
          <cell r="G80">
            <v>3</v>
          </cell>
          <cell r="H80">
            <v>18.899999999999999</v>
          </cell>
          <cell r="J80">
            <v>30413</v>
          </cell>
          <cell r="K80">
            <v>10580.58</v>
          </cell>
          <cell r="N80">
            <v>12</v>
          </cell>
          <cell r="O80">
            <v>40</v>
          </cell>
          <cell r="R80">
            <v>2000</v>
          </cell>
          <cell r="S80">
            <v>2131.6000000000004</v>
          </cell>
          <cell r="T80">
            <v>40287.240000000005</v>
          </cell>
          <cell r="U80">
            <v>70</v>
          </cell>
          <cell r="V80">
            <v>28201</v>
          </cell>
        </row>
        <row r="81">
          <cell r="C81" t="str">
            <v>6#磅房</v>
          </cell>
          <cell r="D81">
            <v>32065</v>
          </cell>
          <cell r="E81" t="str">
            <v>砖混</v>
          </cell>
          <cell r="F81">
            <v>1</v>
          </cell>
          <cell r="G81">
            <v>3</v>
          </cell>
          <cell r="H81">
            <v>60</v>
          </cell>
          <cell r="J81">
            <v>540025</v>
          </cell>
          <cell r="K81">
            <v>238223.61</v>
          </cell>
          <cell r="N81">
            <v>11.8</v>
          </cell>
          <cell r="O81">
            <v>40</v>
          </cell>
          <cell r="R81">
            <v>2000</v>
          </cell>
          <cell r="S81">
            <v>2131.6000000000004</v>
          </cell>
          <cell r="T81">
            <v>127896.00000000003</v>
          </cell>
          <cell r="U81">
            <v>71</v>
          </cell>
          <cell r="V81">
            <v>90806</v>
          </cell>
        </row>
        <row r="82">
          <cell r="C82" t="str">
            <v>自行车棚</v>
          </cell>
          <cell r="D82">
            <v>34257</v>
          </cell>
          <cell r="E82" t="str">
            <v>轻钢</v>
          </cell>
          <cell r="F82">
            <v>1</v>
          </cell>
          <cell r="G82">
            <v>2.5</v>
          </cell>
          <cell r="H82">
            <v>224</v>
          </cell>
          <cell r="I82">
            <v>10858</v>
          </cell>
          <cell r="J82">
            <v>31288</v>
          </cell>
          <cell r="K82">
            <v>21788.68</v>
          </cell>
          <cell r="N82">
            <v>5.8</v>
          </cell>
          <cell r="O82">
            <v>15</v>
          </cell>
          <cell r="R82">
            <v>288</v>
          </cell>
          <cell r="S82">
            <v>306.9504</v>
          </cell>
          <cell r="T82">
            <v>68756.889599999995</v>
          </cell>
          <cell r="U82">
            <v>61</v>
          </cell>
          <cell r="V82">
            <v>41942</v>
          </cell>
        </row>
        <row r="83">
          <cell r="C83" t="str">
            <v>自行车棚</v>
          </cell>
          <cell r="D83">
            <v>34257</v>
          </cell>
          <cell r="E83" t="str">
            <v>轻钢</v>
          </cell>
          <cell r="F83">
            <v>1</v>
          </cell>
          <cell r="G83">
            <v>2.5</v>
          </cell>
          <cell r="H83">
            <v>236</v>
          </cell>
          <cell r="I83">
            <v>10858</v>
          </cell>
          <cell r="J83">
            <v>31277</v>
          </cell>
          <cell r="K83">
            <v>21781.01</v>
          </cell>
          <cell r="N83">
            <v>5.8</v>
          </cell>
          <cell r="O83">
            <v>15</v>
          </cell>
          <cell r="R83">
            <v>288</v>
          </cell>
          <cell r="S83">
            <v>306.9504</v>
          </cell>
          <cell r="T83">
            <v>72440.294399999999</v>
          </cell>
          <cell r="U83">
            <v>61</v>
          </cell>
          <cell r="V83">
            <v>44189</v>
          </cell>
        </row>
        <row r="84">
          <cell r="C84" t="str">
            <v>自行车棚</v>
          </cell>
          <cell r="D84">
            <v>34257</v>
          </cell>
          <cell r="E84" t="str">
            <v>轻钢</v>
          </cell>
          <cell r="F84">
            <v>1</v>
          </cell>
          <cell r="G84">
            <v>2.5</v>
          </cell>
          <cell r="H84">
            <v>526</v>
          </cell>
          <cell r="I84">
            <v>10858</v>
          </cell>
          <cell r="J84">
            <v>31277</v>
          </cell>
          <cell r="K84">
            <v>21781.01</v>
          </cell>
          <cell r="N84">
            <v>5.8</v>
          </cell>
          <cell r="O84">
            <v>15</v>
          </cell>
          <cell r="R84">
            <v>288</v>
          </cell>
          <cell r="S84">
            <v>315.8784</v>
          </cell>
          <cell r="T84">
            <v>166152.03839999999</v>
          </cell>
          <cell r="U84">
            <v>61</v>
          </cell>
          <cell r="V84">
            <v>101353</v>
          </cell>
        </row>
        <row r="85">
          <cell r="C85" t="str">
            <v>自行车棚</v>
          </cell>
          <cell r="D85">
            <v>34257</v>
          </cell>
          <cell r="E85" t="str">
            <v>轻钢</v>
          </cell>
          <cell r="F85">
            <v>1</v>
          </cell>
          <cell r="G85">
            <v>2.5</v>
          </cell>
          <cell r="H85">
            <v>136</v>
          </cell>
          <cell r="I85">
            <v>10858</v>
          </cell>
          <cell r="J85">
            <v>31277</v>
          </cell>
          <cell r="K85">
            <v>21781.01</v>
          </cell>
          <cell r="N85">
            <v>5.8</v>
          </cell>
          <cell r="O85">
            <v>15</v>
          </cell>
          <cell r="R85">
            <v>288</v>
          </cell>
          <cell r="S85">
            <v>306.9504</v>
          </cell>
          <cell r="T85">
            <v>41745.254399999998</v>
          </cell>
          <cell r="U85">
            <v>61</v>
          </cell>
          <cell r="V85">
            <v>25465</v>
          </cell>
        </row>
        <row r="86">
          <cell r="C86" t="str">
            <v>自行车棚</v>
          </cell>
          <cell r="D86">
            <v>34257</v>
          </cell>
          <cell r="E86" t="str">
            <v>轻钢</v>
          </cell>
          <cell r="F86">
            <v>1</v>
          </cell>
          <cell r="G86">
            <v>2.5</v>
          </cell>
          <cell r="H86">
            <v>131</v>
          </cell>
          <cell r="I86">
            <v>10858</v>
          </cell>
          <cell r="J86">
            <v>31277</v>
          </cell>
          <cell r="K86">
            <v>21781.01</v>
          </cell>
          <cell r="N86">
            <v>5.8</v>
          </cell>
          <cell r="O86">
            <v>15</v>
          </cell>
          <cell r="R86">
            <v>288</v>
          </cell>
          <cell r="S86">
            <v>306.9504</v>
          </cell>
          <cell r="T86">
            <v>40210.502399999998</v>
          </cell>
          <cell r="U86">
            <v>61</v>
          </cell>
          <cell r="V86">
            <v>24528</v>
          </cell>
        </row>
        <row r="87">
          <cell r="C87" t="str">
            <v>自行车棚</v>
          </cell>
          <cell r="D87">
            <v>34257</v>
          </cell>
          <cell r="E87" t="str">
            <v>轻钢</v>
          </cell>
          <cell r="F87">
            <v>1</v>
          </cell>
          <cell r="G87">
            <v>2.5</v>
          </cell>
          <cell r="H87">
            <v>222</v>
          </cell>
          <cell r="I87">
            <v>10858</v>
          </cell>
          <cell r="J87">
            <v>31277</v>
          </cell>
          <cell r="K87">
            <v>21781.01</v>
          </cell>
          <cell r="N87">
            <v>5.8</v>
          </cell>
          <cell r="O87">
            <v>15</v>
          </cell>
          <cell r="R87">
            <v>288</v>
          </cell>
          <cell r="S87">
            <v>306.9504</v>
          </cell>
          <cell r="T87">
            <v>68142.988800000006</v>
          </cell>
          <cell r="U87">
            <v>61</v>
          </cell>
          <cell r="V87">
            <v>41567</v>
          </cell>
        </row>
        <row r="88">
          <cell r="C88" t="str">
            <v>自行车棚</v>
          </cell>
          <cell r="D88">
            <v>34257</v>
          </cell>
          <cell r="E88" t="str">
            <v>轻钢</v>
          </cell>
          <cell r="F88">
            <v>1</v>
          </cell>
          <cell r="G88">
            <v>2.5</v>
          </cell>
          <cell r="H88">
            <v>132</v>
          </cell>
          <cell r="I88">
            <v>10858</v>
          </cell>
          <cell r="J88">
            <v>31277</v>
          </cell>
          <cell r="K88">
            <v>21781.01</v>
          </cell>
          <cell r="N88">
            <v>5.8</v>
          </cell>
          <cell r="O88">
            <v>15</v>
          </cell>
          <cell r="R88">
            <v>288</v>
          </cell>
          <cell r="S88">
            <v>306.9504</v>
          </cell>
          <cell r="T88">
            <v>40517.452799999999</v>
          </cell>
          <cell r="U88">
            <v>61</v>
          </cell>
          <cell r="V88">
            <v>24716</v>
          </cell>
        </row>
        <row r="89">
          <cell r="C89" t="str">
            <v>自行车棚</v>
          </cell>
          <cell r="D89">
            <v>34257</v>
          </cell>
          <cell r="E89" t="str">
            <v>轻钢</v>
          </cell>
          <cell r="F89">
            <v>1</v>
          </cell>
          <cell r="G89">
            <v>2.5</v>
          </cell>
          <cell r="H89">
            <v>337</v>
          </cell>
          <cell r="I89">
            <v>10858</v>
          </cell>
          <cell r="J89">
            <v>31277</v>
          </cell>
          <cell r="K89">
            <v>21781.01</v>
          </cell>
          <cell r="N89">
            <v>5.8</v>
          </cell>
          <cell r="O89">
            <v>15</v>
          </cell>
          <cell r="R89">
            <v>288</v>
          </cell>
          <cell r="S89">
            <v>306.9504</v>
          </cell>
          <cell r="T89">
            <v>103442.28479999999</v>
          </cell>
          <cell r="U89">
            <v>61</v>
          </cell>
          <cell r="V89">
            <v>63100</v>
          </cell>
        </row>
        <row r="90">
          <cell r="C90" t="str">
            <v>自行车棚</v>
          </cell>
          <cell r="D90">
            <v>34257</v>
          </cell>
          <cell r="E90" t="str">
            <v>轻钢</v>
          </cell>
          <cell r="F90">
            <v>1</v>
          </cell>
          <cell r="G90">
            <v>2.5</v>
          </cell>
          <cell r="H90">
            <v>126</v>
          </cell>
          <cell r="I90">
            <v>10858</v>
          </cell>
          <cell r="J90">
            <v>31277</v>
          </cell>
          <cell r="K90">
            <v>21781.01</v>
          </cell>
          <cell r="N90">
            <v>5.8</v>
          </cell>
          <cell r="O90">
            <v>15</v>
          </cell>
          <cell r="R90">
            <v>288</v>
          </cell>
          <cell r="S90">
            <v>306.9504</v>
          </cell>
          <cell r="T90">
            <v>38675.750399999997</v>
          </cell>
          <cell r="U90">
            <v>61</v>
          </cell>
          <cell r="V90">
            <v>23592</v>
          </cell>
        </row>
        <row r="91">
          <cell r="C91" t="str">
            <v>自行车棚</v>
          </cell>
          <cell r="D91">
            <v>34257</v>
          </cell>
          <cell r="E91" t="str">
            <v>轻钢</v>
          </cell>
          <cell r="F91">
            <v>1</v>
          </cell>
          <cell r="G91">
            <v>2.5</v>
          </cell>
          <cell r="H91">
            <v>223</v>
          </cell>
          <cell r="I91">
            <v>10858</v>
          </cell>
          <cell r="J91">
            <v>31277</v>
          </cell>
          <cell r="K91">
            <v>21781.01</v>
          </cell>
          <cell r="N91">
            <v>5.8</v>
          </cell>
          <cell r="O91">
            <v>15</v>
          </cell>
          <cell r="R91">
            <v>288</v>
          </cell>
          <cell r="S91">
            <v>306.9504</v>
          </cell>
          <cell r="T91">
            <v>68449.939199999993</v>
          </cell>
          <cell r="U91">
            <v>61</v>
          </cell>
          <cell r="V91">
            <v>41754</v>
          </cell>
        </row>
        <row r="92">
          <cell r="C92" t="str">
            <v>机修更衣室</v>
          </cell>
          <cell r="D92">
            <v>31305</v>
          </cell>
          <cell r="E92" t="str">
            <v>砖混</v>
          </cell>
          <cell r="F92">
            <v>3</v>
          </cell>
          <cell r="G92">
            <v>3.3</v>
          </cell>
          <cell r="H92">
            <v>1267</v>
          </cell>
          <cell r="I92">
            <v>10861</v>
          </cell>
          <cell r="J92">
            <v>721477</v>
          </cell>
          <cell r="K92">
            <v>297707.40999999997</v>
          </cell>
          <cell r="N92">
            <v>13.9</v>
          </cell>
          <cell r="O92">
            <v>40</v>
          </cell>
          <cell r="R92">
            <v>690</v>
          </cell>
          <cell r="S92">
            <v>756.79200000000003</v>
          </cell>
          <cell r="T92">
            <v>958855.46400000004</v>
          </cell>
          <cell r="U92">
            <v>65</v>
          </cell>
          <cell r="V92">
            <v>623256</v>
          </cell>
        </row>
        <row r="93">
          <cell r="C93" t="str">
            <v>钢锭模食堂</v>
          </cell>
          <cell r="D93">
            <v>31305</v>
          </cell>
          <cell r="E93" t="str">
            <v>钢砼</v>
          </cell>
          <cell r="F93">
            <v>1</v>
          </cell>
          <cell r="G93">
            <v>4</v>
          </cell>
          <cell r="H93">
            <v>438</v>
          </cell>
          <cell r="I93">
            <v>10861</v>
          </cell>
          <cell r="J93">
            <v>912758</v>
          </cell>
          <cell r="K93">
            <v>376636.91</v>
          </cell>
          <cell r="N93">
            <v>13.9</v>
          </cell>
          <cell r="O93">
            <v>55</v>
          </cell>
          <cell r="R93">
            <v>1019</v>
          </cell>
          <cell r="S93">
            <v>1086.0502000000001</v>
          </cell>
          <cell r="T93">
            <v>475689.98760000005</v>
          </cell>
          <cell r="U93">
            <v>75</v>
          </cell>
          <cell r="V93">
            <v>356767</v>
          </cell>
        </row>
        <row r="94">
          <cell r="C94" t="str">
            <v>钢锭模浴室</v>
          </cell>
          <cell r="D94">
            <v>31305</v>
          </cell>
          <cell r="E94" t="str">
            <v>砖混</v>
          </cell>
          <cell r="F94">
            <v>1</v>
          </cell>
          <cell r="G94">
            <v>4</v>
          </cell>
          <cell r="H94">
            <v>438</v>
          </cell>
          <cell r="I94">
            <v>10861</v>
          </cell>
          <cell r="J94">
            <v>289473</v>
          </cell>
          <cell r="K94">
            <v>119446.97</v>
          </cell>
          <cell r="N94">
            <v>13.9</v>
          </cell>
          <cell r="O94">
            <v>40</v>
          </cell>
          <cell r="R94">
            <v>1530</v>
          </cell>
          <cell r="S94">
            <v>1630.6740000000002</v>
          </cell>
          <cell r="T94">
            <v>714235.21200000006</v>
          </cell>
          <cell r="U94">
            <v>65</v>
          </cell>
          <cell r="V94">
            <v>464253</v>
          </cell>
        </row>
        <row r="95">
          <cell r="C95" t="str">
            <v>设备部浴室</v>
          </cell>
          <cell r="D95">
            <v>32096</v>
          </cell>
          <cell r="E95" t="str">
            <v>砖混</v>
          </cell>
          <cell r="F95">
            <v>1</v>
          </cell>
          <cell r="G95">
            <v>4</v>
          </cell>
          <cell r="H95">
            <v>467</v>
          </cell>
          <cell r="I95">
            <v>10858</v>
          </cell>
          <cell r="J95">
            <v>359550</v>
          </cell>
          <cell r="K95">
            <v>161356</v>
          </cell>
          <cell r="N95">
            <v>11.7</v>
          </cell>
          <cell r="O95">
            <v>40</v>
          </cell>
          <cell r="R95">
            <v>1530</v>
          </cell>
          <cell r="S95">
            <v>1630.6740000000002</v>
          </cell>
          <cell r="T95">
            <v>761524.75800000015</v>
          </cell>
          <cell r="U95">
            <v>71</v>
          </cell>
          <cell r="V95">
            <v>540683</v>
          </cell>
        </row>
        <row r="96">
          <cell r="C96" t="str">
            <v>设备部食堂</v>
          </cell>
          <cell r="D96">
            <v>32096</v>
          </cell>
          <cell r="E96" t="str">
            <v>钢砼</v>
          </cell>
          <cell r="F96">
            <v>1</v>
          </cell>
          <cell r="G96">
            <v>4</v>
          </cell>
          <cell r="H96">
            <v>2693</v>
          </cell>
          <cell r="I96">
            <v>10858</v>
          </cell>
          <cell r="J96">
            <v>3526400</v>
          </cell>
          <cell r="K96">
            <v>1582549.9</v>
          </cell>
          <cell r="N96">
            <v>11.7</v>
          </cell>
          <cell r="O96">
            <v>55</v>
          </cell>
          <cell r="R96">
            <v>1019</v>
          </cell>
          <cell r="S96">
            <v>1117.6392000000001</v>
          </cell>
          <cell r="T96">
            <v>3009802.3656000001</v>
          </cell>
          <cell r="U96">
            <v>79</v>
          </cell>
          <cell r="V96">
            <v>2377744</v>
          </cell>
        </row>
        <row r="97">
          <cell r="C97" t="str">
            <v>设备部托儿所(新楼)</v>
          </cell>
          <cell r="D97">
            <v>32096</v>
          </cell>
          <cell r="E97" t="str">
            <v>砖混</v>
          </cell>
          <cell r="F97">
            <v>2</v>
          </cell>
          <cell r="G97">
            <v>3.3</v>
          </cell>
          <cell r="H97">
            <v>711</v>
          </cell>
          <cell r="I97">
            <v>10858</v>
          </cell>
          <cell r="J97">
            <v>452327</v>
          </cell>
          <cell r="K97">
            <v>202991.69</v>
          </cell>
          <cell r="N97">
            <v>11.7</v>
          </cell>
          <cell r="O97">
            <v>40</v>
          </cell>
          <cell r="R97">
            <v>875</v>
          </cell>
          <cell r="S97">
            <v>959.7</v>
          </cell>
          <cell r="T97">
            <v>682346.70000000007</v>
          </cell>
          <cell r="U97">
            <v>71</v>
          </cell>
          <cell r="V97">
            <v>484466</v>
          </cell>
        </row>
        <row r="98">
          <cell r="C98" t="str">
            <v>设备部办公楼(老楼)</v>
          </cell>
          <cell r="D98">
            <v>32096</v>
          </cell>
          <cell r="E98" t="str">
            <v>砖混</v>
          </cell>
          <cell r="F98">
            <v>4</v>
          </cell>
          <cell r="G98">
            <v>3.3</v>
          </cell>
          <cell r="H98">
            <v>3338</v>
          </cell>
          <cell r="I98">
            <v>10858</v>
          </cell>
          <cell r="J98">
            <v>1978200</v>
          </cell>
          <cell r="K98">
            <v>887760.95</v>
          </cell>
          <cell r="N98">
            <v>11.7</v>
          </cell>
          <cell r="O98">
            <v>40</v>
          </cell>
          <cell r="R98">
            <v>875</v>
          </cell>
          <cell r="S98">
            <v>959.7</v>
          </cell>
          <cell r="T98">
            <v>3203478.6</v>
          </cell>
          <cell r="U98">
            <v>71</v>
          </cell>
          <cell r="V98">
            <v>2274470</v>
          </cell>
        </row>
        <row r="99">
          <cell r="C99" t="str">
            <v>设备部更衣室</v>
          </cell>
          <cell r="D99">
            <v>32096</v>
          </cell>
          <cell r="E99" t="str">
            <v>砖混</v>
          </cell>
          <cell r="F99">
            <v>3</v>
          </cell>
          <cell r="G99">
            <v>3.3</v>
          </cell>
          <cell r="H99">
            <v>1436</v>
          </cell>
          <cell r="I99">
            <v>10858</v>
          </cell>
          <cell r="J99">
            <v>463015.35</v>
          </cell>
          <cell r="K99">
            <v>463015.35</v>
          </cell>
          <cell r="N99">
            <v>11.7</v>
          </cell>
          <cell r="O99">
            <v>40</v>
          </cell>
          <cell r="R99">
            <v>690</v>
          </cell>
          <cell r="S99">
            <v>756.79200000000003</v>
          </cell>
          <cell r="T99">
            <v>1086753.3120000002</v>
          </cell>
          <cell r="U99">
            <v>71</v>
          </cell>
          <cell r="V99">
            <v>771595</v>
          </cell>
        </row>
        <row r="100">
          <cell r="C100" t="str">
            <v>维修站大楼</v>
          </cell>
          <cell r="D100">
            <v>33862</v>
          </cell>
          <cell r="E100" t="str">
            <v>钢砼</v>
          </cell>
          <cell r="F100">
            <v>5</v>
          </cell>
          <cell r="G100">
            <v>3.3</v>
          </cell>
          <cell r="H100">
            <v>1575</v>
          </cell>
          <cell r="J100">
            <v>2255765</v>
          </cell>
          <cell r="K100">
            <v>2255765</v>
          </cell>
          <cell r="N100">
            <v>6.9</v>
          </cell>
          <cell r="O100">
            <v>55</v>
          </cell>
          <cell r="R100">
            <v>1072</v>
          </cell>
          <cell r="S100">
            <v>1175.7696000000001</v>
          </cell>
          <cell r="T100">
            <v>1851837.12</v>
          </cell>
          <cell r="U100">
            <v>87</v>
          </cell>
          <cell r="V100">
            <v>1611098</v>
          </cell>
        </row>
        <row r="101">
          <cell r="C101" t="str">
            <v>14号库房</v>
          </cell>
          <cell r="D101">
            <v>29952</v>
          </cell>
          <cell r="E101" t="str">
            <v>钢砼</v>
          </cell>
          <cell r="F101">
            <v>1</v>
          </cell>
          <cell r="G101">
            <v>12.5</v>
          </cell>
          <cell r="H101">
            <v>1980</v>
          </cell>
          <cell r="J101">
            <v>0</v>
          </cell>
          <cell r="K101">
            <v>0</v>
          </cell>
          <cell r="N101">
            <v>17.600000000000001</v>
          </cell>
          <cell r="O101">
            <v>50</v>
          </cell>
          <cell r="R101">
            <v>960</v>
          </cell>
          <cell r="S101">
            <v>1052.9279999999999</v>
          </cell>
          <cell r="T101">
            <v>2084797.4399999997</v>
          </cell>
          <cell r="U101">
            <v>65</v>
          </cell>
          <cell r="V101">
            <v>1355118</v>
          </cell>
        </row>
        <row r="102">
          <cell r="C102" t="str">
            <v>15号库房</v>
          </cell>
          <cell r="D102">
            <v>29952</v>
          </cell>
          <cell r="E102" t="str">
            <v>钢砼</v>
          </cell>
          <cell r="F102">
            <v>1</v>
          </cell>
          <cell r="G102">
            <v>12.5</v>
          </cell>
          <cell r="H102">
            <v>1480</v>
          </cell>
          <cell r="J102">
            <v>0</v>
          </cell>
          <cell r="K102">
            <v>0</v>
          </cell>
          <cell r="N102">
            <v>17.600000000000001</v>
          </cell>
          <cell r="O102">
            <v>50</v>
          </cell>
          <cell r="R102">
            <v>960</v>
          </cell>
          <cell r="S102">
            <v>1052.9279999999999</v>
          </cell>
          <cell r="T102">
            <v>1558333.4399999999</v>
          </cell>
          <cell r="U102">
            <v>65</v>
          </cell>
          <cell r="V102">
            <v>1012917</v>
          </cell>
        </row>
        <row r="103">
          <cell r="C103" t="str">
            <v>16号库房</v>
          </cell>
          <cell r="D103">
            <v>29952</v>
          </cell>
          <cell r="E103" t="str">
            <v>钢砼</v>
          </cell>
          <cell r="F103">
            <v>1</v>
          </cell>
          <cell r="G103">
            <v>12.5</v>
          </cell>
          <cell r="H103">
            <v>1890</v>
          </cell>
          <cell r="J103">
            <v>0</v>
          </cell>
          <cell r="K103">
            <v>0</v>
          </cell>
          <cell r="N103">
            <v>17.600000000000001</v>
          </cell>
          <cell r="O103">
            <v>50</v>
          </cell>
          <cell r="R103">
            <v>960</v>
          </cell>
          <cell r="S103">
            <v>1052.9279999999999</v>
          </cell>
          <cell r="T103">
            <v>1990033.9199999997</v>
          </cell>
          <cell r="U103">
            <v>65</v>
          </cell>
          <cell r="V103">
            <v>1293522</v>
          </cell>
        </row>
        <row r="104">
          <cell r="C104" t="str">
            <v>武警生活区房</v>
          </cell>
          <cell r="D104">
            <v>29952</v>
          </cell>
          <cell r="E104" t="str">
            <v>砖混</v>
          </cell>
          <cell r="F104">
            <v>2</v>
          </cell>
          <cell r="G104">
            <v>3.3</v>
          </cell>
          <cell r="H104">
            <v>200</v>
          </cell>
          <cell r="J104">
            <v>0</v>
          </cell>
          <cell r="K104">
            <v>0</v>
          </cell>
          <cell r="N104">
            <v>17.600000000000001</v>
          </cell>
          <cell r="O104">
            <v>40</v>
          </cell>
          <cell r="R104">
            <v>690</v>
          </cell>
          <cell r="S104">
            <v>735.40200000000004</v>
          </cell>
          <cell r="T104">
            <v>147080.40000000002</v>
          </cell>
          <cell r="U104">
            <v>56</v>
          </cell>
          <cell r="V104">
            <v>82365</v>
          </cell>
        </row>
        <row r="105">
          <cell r="C105" t="str">
            <v>生产管制楼</v>
          </cell>
          <cell r="D105">
            <v>33970</v>
          </cell>
          <cell r="E105" t="str">
            <v>钢砼</v>
          </cell>
          <cell r="F105">
            <v>4</v>
          </cell>
          <cell r="G105">
            <v>3.3</v>
          </cell>
          <cell r="H105">
            <v>2400</v>
          </cell>
          <cell r="J105">
            <v>5972543.1200000001</v>
          </cell>
          <cell r="K105">
            <v>5265494.9800000004</v>
          </cell>
          <cell r="N105">
            <v>6.6</v>
          </cell>
          <cell r="O105">
            <v>50</v>
          </cell>
          <cell r="R105">
            <v>1222</v>
          </cell>
          <cell r="S105">
            <v>1340.2896000000001</v>
          </cell>
          <cell r="T105">
            <v>3216695.04</v>
          </cell>
          <cell r="U105">
            <v>87</v>
          </cell>
          <cell r="V105">
            <v>2798525</v>
          </cell>
        </row>
        <row r="106">
          <cell r="C106" t="str">
            <v>管理计算机机房大楼</v>
          </cell>
          <cell r="D106">
            <v>33970</v>
          </cell>
          <cell r="E106" t="str">
            <v>钢砼</v>
          </cell>
          <cell r="F106">
            <v>3</v>
          </cell>
          <cell r="G106">
            <v>3.3</v>
          </cell>
          <cell r="H106">
            <v>2687</v>
          </cell>
          <cell r="J106">
            <v>5287365</v>
          </cell>
          <cell r="K106">
            <v>3827453.01</v>
          </cell>
          <cell r="N106">
            <v>6.6</v>
          </cell>
          <cell r="O106">
            <v>50</v>
          </cell>
          <cell r="R106">
            <v>1222</v>
          </cell>
          <cell r="S106">
            <v>1340.2896000000001</v>
          </cell>
          <cell r="T106">
            <v>3601358.1552000004</v>
          </cell>
          <cell r="U106">
            <v>87</v>
          </cell>
          <cell r="V106">
            <v>3133182</v>
          </cell>
        </row>
        <row r="107">
          <cell r="C107" t="str">
            <v>电话楼主楼</v>
          </cell>
          <cell r="D107">
            <v>33862</v>
          </cell>
          <cell r="E107" t="str">
            <v>砖混</v>
          </cell>
          <cell r="F107">
            <v>2</v>
          </cell>
          <cell r="G107">
            <v>3.3</v>
          </cell>
          <cell r="H107">
            <v>1644</v>
          </cell>
          <cell r="J107">
            <v>2537763</v>
          </cell>
          <cell r="K107">
            <v>2537763</v>
          </cell>
          <cell r="N107">
            <v>6.9</v>
          </cell>
          <cell r="O107">
            <v>40</v>
          </cell>
          <cell r="R107">
            <v>972</v>
          </cell>
          <cell r="S107">
            <v>1066.0896</v>
          </cell>
          <cell r="T107">
            <v>1752651.3023999999</v>
          </cell>
          <cell r="U107">
            <v>83</v>
          </cell>
          <cell r="V107">
            <v>1454701</v>
          </cell>
        </row>
        <row r="108">
          <cell r="C108" t="str">
            <v>电话楼付楼</v>
          </cell>
          <cell r="D108">
            <v>33862</v>
          </cell>
          <cell r="E108" t="str">
            <v>砖混</v>
          </cell>
          <cell r="F108">
            <v>2</v>
          </cell>
          <cell r="G108">
            <v>3.3</v>
          </cell>
          <cell r="H108">
            <v>500</v>
          </cell>
          <cell r="J108">
            <v>598801</v>
          </cell>
          <cell r="K108">
            <v>598801</v>
          </cell>
          <cell r="N108">
            <v>6.9</v>
          </cell>
          <cell r="O108">
            <v>40</v>
          </cell>
          <cell r="R108">
            <v>972</v>
          </cell>
          <cell r="S108">
            <v>1066.0896</v>
          </cell>
          <cell r="T108">
            <v>533044.80000000005</v>
          </cell>
          <cell r="U108">
            <v>83</v>
          </cell>
          <cell r="V108">
            <v>442427</v>
          </cell>
        </row>
      </sheetData>
      <sheetData sheetId="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300"/>
      <sheetName val="A400"/>
      <sheetName val="consol B&amp;S"/>
      <sheetName val="consol P&amp;L"/>
      <sheetName val="分行营业部01-BS"/>
      <sheetName val="分行营业部01-PL"/>
      <sheetName val="分行营业部00-BS"/>
      <sheetName val="分行营业部00-PL"/>
      <sheetName val="A500"/>
      <sheetName val="A501"/>
      <sheetName val="A502"/>
      <sheetName val="A510"/>
      <sheetName val="A1000"/>
      <sheetName val="B100"/>
      <sheetName val="C"/>
      <sheetName val="c100"/>
      <sheetName val="C200"/>
      <sheetName val="C201"/>
      <sheetName val="C300"/>
      <sheetName val="C301"/>
      <sheetName val="C400"/>
      <sheetName val="C401"/>
      <sheetName val="C500"/>
      <sheetName val="E"/>
      <sheetName val="E10"/>
      <sheetName val="E100"/>
      <sheetName val="E200"/>
      <sheetName val="e300"/>
      <sheetName val="e301"/>
      <sheetName val="e302"/>
      <sheetName val="E400"/>
      <sheetName val="E500"/>
      <sheetName val="E501"/>
      <sheetName val="E600"/>
      <sheetName val="E700"/>
      <sheetName val="E701"/>
      <sheetName val="E702"/>
      <sheetName val="e800"/>
      <sheetName val="e801"/>
      <sheetName val="E810"/>
      <sheetName val="E811"/>
      <sheetName val="E815"/>
      <sheetName val="E820"/>
      <sheetName val="E830"/>
      <sheetName val="e900"/>
      <sheetName val="e901"/>
      <sheetName val="e902"/>
      <sheetName val="E1000"/>
      <sheetName val="E1010"/>
      <sheetName val="E1020"/>
      <sheetName val="G"/>
      <sheetName val="G100"/>
      <sheetName val="G101"/>
      <sheetName val="G102"/>
      <sheetName val="H"/>
      <sheetName val="H10"/>
      <sheetName val="H100"/>
      <sheetName val="H200"/>
      <sheetName val="H210"/>
      <sheetName val="J"/>
      <sheetName val="j100"/>
      <sheetName val="j200"/>
      <sheetName val="j201"/>
      <sheetName val="K"/>
      <sheetName val="K100"/>
      <sheetName val="k200"/>
      <sheetName val="k210"/>
      <sheetName val="K300"/>
      <sheetName val="k310"/>
      <sheetName val="k400"/>
      <sheetName val="L"/>
      <sheetName val="L100"/>
      <sheetName val="N"/>
      <sheetName val="N10"/>
      <sheetName val="N100"/>
      <sheetName val="n200"/>
      <sheetName val="N210"/>
      <sheetName val="N211"/>
      <sheetName val="N300"/>
      <sheetName val="N400"/>
      <sheetName val="N500"/>
      <sheetName val="O"/>
      <sheetName val="o100"/>
      <sheetName val="o200"/>
      <sheetName val="o300"/>
      <sheetName val="o310"/>
      <sheetName val="P"/>
      <sheetName val="P100"/>
      <sheetName val="P200"/>
      <sheetName val="Q"/>
      <sheetName val="Q100P"/>
      <sheetName val="Q200P"/>
      <sheetName val="Q300"/>
      <sheetName val="S"/>
      <sheetName val="S100"/>
      <sheetName val="T"/>
      <sheetName val="U.detail"/>
      <sheetName val="u"/>
      <sheetName val="u100"/>
      <sheetName val="u200"/>
      <sheetName val="u300"/>
      <sheetName val="u400"/>
      <sheetName val="u500"/>
      <sheetName val="V"/>
      <sheetName val="v100"/>
      <sheetName val="v200"/>
      <sheetName val="v300"/>
      <sheetName val="v301"/>
      <sheetName val="OS Matters"/>
      <sheetName val="review"/>
      <sheetName val="Standard audit marks"/>
      <sheetName val="Sheet1"/>
      <sheetName val="·ÖÐÐÓªÒµ²¿01-BS"/>
      <sheetName val="·ÖÐÐÓªÒµ²¿01-PL"/>
      <sheetName val="·ÖÐÐÓªÒµ²¿00-BS"/>
      <sheetName val="·ÖÐÐÓªÒµ²¿00-PL"/>
      <sheetName val="设备部房屋"/>
      <sheetName val="source"/>
      <sheetName val="个人欠款账龄分析表"/>
      <sheetName val=""/>
      <sheetName val="master"/>
      <sheetName val="资产负债表"/>
      <sheetName val="F110"/>
      <sheetName val="4-货币资金-现金"/>
      <sheetName val="现金流量表"/>
      <sheetName val="填写指南"/>
      <sheetName val="A300-试算平衡表"/>
      <sheetName val="3 - Balance Sheet"/>
      <sheetName val="B"/>
      <sheetName val="G100-其他应收款-本部"/>
      <sheetName val="G120-其他应收款明细-本部"/>
      <sheetName val="G120-重庆"/>
      <sheetName val="G120-上海"/>
      <sheetName val="G120-株洲"/>
      <sheetName val="G120-抵消 "/>
      <sheetName val="运煤预算"/>
      <sheetName val="I300"/>
      <sheetName val="consol_B&amp;S"/>
      <sheetName val="consol_P&amp;L"/>
      <sheetName val="U_detail"/>
      <sheetName val="OS_Matters"/>
      <sheetName val="Standard_audit_marks"/>
      <sheetName val="O110-应交增值税"/>
      <sheetName val="#REF!"/>
      <sheetName val="02"/>
      <sheetName val="zfic01n"/>
      <sheetName val="SCH-U-5 以前年度损益调整"/>
      <sheetName val="ASY"/>
      <sheetName val="BG2、CVA"/>
      <sheetName val="VRN"/>
      <sheetName val="预算构成"/>
      <sheetName val="表六 "/>
      <sheetName val="2月收入成本明细表"/>
      <sheetName val="G200"/>
      <sheetName val="M-5C"/>
      <sheetName val="企业表一"/>
      <sheetName val="M-5A"/>
      <sheetName val="F450半钢结存"/>
      <sheetName val="表二十九（01）"/>
      <sheetName val="K110"/>
      <sheetName val="G210"/>
      <sheetName val="O111"/>
      <sheetName val="原材料"/>
      <sheetName val="F11"/>
      <sheetName val="标准零件库"/>
      <sheetName val="加工费"/>
      <sheetName val="成本"/>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cover sheet"/>
      <sheetName val="cover notes"/>
      <sheetName val="Mapping-gernaral"/>
      <sheetName val="Mapping notes"/>
      <sheetName val="Mapping-财务公司"/>
      <sheetName val="A100-Checklist"/>
      <sheetName val="A300-BS-PRC"/>
      <sheetName val="A310-PL-PRC"/>
      <sheetName val="A320-BS-IAS"/>
      <sheetName val="A330-PL-IAS"/>
      <sheetName val="A500-PRC Adj"/>
      <sheetName val="A510-IAS Adj"/>
      <sheetName val="mapping-general"/>
      <sheetName val="C100-cash and bank"/>
      <sheetName val="C110-cash and bank-PRC"/>
      <sheetName val="D-ST invest"/>
      <sheetName val="E100-note rec"/>
      <sheetName val="E110-details"/>
      <sheetName val="E200-AR aging"/>
      <sheetName val="E210-AR "/>
      <sheetName val="E220-AR subseq sett"/>
      <sheetName val="E300-divd receivable"/>
      <sheetName val="F100-inventory"/>
      <sheetName val="F200-sub usage"/>
      <sheetName val="G100-OR"/>
      <sheetName val="G110-OR 明细表"/>
      <sheetName val="G111-OR-其他"/>
      <sheetName val="G112-OR-Top 5"/>
      <sheetName val="G120-OR 关联方"/>
      <sheetName val="G130-OR-subseq sett"/>
      <sheetName val="G200-prepay"/>
      <sheetName val="G210-prepay breakdown"/>
      <sheetName val="G220-prepay-subseq sett"/>
      <sheetName val="G300-ST deferred assets"/>
      <sheetName val="G400-subsidy rec"/>
      <sheetName val="H100-LT investment-PRC"/>
      <sheetName val="H200-associate move-PRC"/>
      <sheetName val="H210-JCE mov-PRC"/>
      <sheetName val="H220-unconcol move-PRC"/>
      <sheetName val="H230-sub move-PRC"/>
      <sheetName val="H240-子公司合并价差"/>
      <sheetName val="H300-goodwill-PRC"/>
      <sheetName val="H400-other stocks-PRC"/>
      <sheetName val="H410-others invest-PRC"/>
      <sheetName val="H500-bond invest-PRC"/>
      <sheetName val="H510-other debt invest-PRC"/>
      <sheetName val="H600-provision-PRC"/>
      <sheetName val="H700-pur of sub-PRC"/>
      <sheetName val="H710-sale of sub-PRC"/>
      <sheetName val="H720-FS of unconsol sub"/>
      <sheetName val="H800-basic info-PRC"/>
      <sheetName val="H1000-LT investment-IAS"/>
      <sheetName val="H1100-associate move-IAS"/>
      <sheetName val="H1110- inv in asso-summary-IAS"/>
      <sheetName val="H1200-JCE-IAS"/>
      <sheetName val="H1300-sub move-IAS"/>
      <sheetName val="H1400-Goodwill-IAS"/>
      <sheetName val="H1500-unconsol move-IAS"/>
      <sheetName val="H1510-unconsol-IAS"/>
      <sheetName val="H1600-other stocks-IAS"/>
      <sheetName val="H1610-others invest-IAS"/>
      <sheetName val="H1700-bond invest-IAS"/>
      <sheetName val="H1710-other debt invest-IAS"/>
      <sheetName val="I100-inter-co "/>
      <sheetName val="I110- Breakdown"/>
      <sheetName val="J100-CIP"/>
      <sheetName val="J200-CIP project"/>
      <sheetName val="K100-fixed assets-PRC"/>
      <sheetName val="K110-fixed assets-IAS"/>
      <sheetName val="L100-intangible-PRC"/>
      <sheetName val="L110-intangible-IAS"/>
      <sheetName val="L200-LT deferred assets "/>
      <sheetName val="L300-Other LT assets"/>
      <sheetName val="L400-land use right IAS"/>
      <sheetName val="M-ST loan"/>
      <sheetName val="N100-note pay"/>
      <sheetName val="N200-AP"/>
      <sheetName val="N210-AP subseq sett"/>
      <sheetName val="O100-tax pay-IAS"/>
      <sheetName val="O200-deferred tax-PRC"/>
      <sheetName val="O210-deferred tax-IAS"/>
      <sheetName val="P100-receipt in advance"/>
      <sheetName val="P110-aging"/>
      <sheetName val="P200-应付工资"/>
      <sheetName val="P300应付福利费"/>
      <sheetName val="P400-dividend pay"/>
      <sheetName val="P500-other levies pay"/>
      <sheetName val="P600-OP"/>
      <sheetName val="P610-OP-其他"/>
      <sheetName val="P620-aging"/>
      <sheetName val="P700-accrual-provision"/>
      <sheetName val="P710-预提费用明细-其他"/>
      <sheetName val="P800-预计负债"/>
      <sheetName val="P810-预计负债明细-其他"/>
      <sheetName val="P900-LT liab due &lt;1 year"/>
      <sheetName val="P1000其他流动负债"/>
      <sheetName val="Q100-LT loan"/>
      <sheetName val="Q200-LT pay "/>
      <sheetName val="Q300-专项应付款"/>
      <sheetName val="Q400-其他长期负债"/>
      <sheetName val="Q500-非流动计息借款"/>
      <sheetName val="Q600非流动不计息借款"/>
      <sheetName val="S100-lease commitment"/>
      <sheetName val="S200-capital commitment-contrac"/>
      <sheetName val="S210-capital commitment-appro"/>
      <sheetName val="S300-contingency"/>
      <sheetName val="T100-share capital"/>
      <sheetName val="T200-capital reserve"/>
      <sheetName val="T300-reserve"/>
      <sheetName val="T400-profit appro"/>
      <sheetName val="U100-revenue"/>
      <sheetName val="U110-revenue-其他"/>
      <sheetName val="U120-COS-其他"/>
      <sheetName val="U200-surtax PRC"/>
      <sheetName val="U210-surtax-其他 PRC"/>
      <sheetName val="U300-other revenue PRC"/>
      <sheetName val="U310-其他业务收入-其他 PRC"/>
      <sheetName val="U320-其他业务支出-其他 PRC"/>
      <sheetName val="U330-其他收入-IAS"/>
      <sheetName val="U340-其他营运费用-IAS"/>
      <sheetName val="U400-selling exp"/>
      <sheetName val="U410-selling exp-其他"/>
      <sheetName val="U500-admin exp"/>
      <sheetName val="U510-admin exp-其他"/>
      <sheetName val="U600-finance exp"/>
      <sheetName val="U610-finance exp-其他"/>
      <sheetName val="U700-invest income"/>
      <sheetName val="U710-income from associate"/>
      <sheetName val="U800-subsidy income"/>
      <sheetName val="U900-non-op income exp"/>
      <sheetName val="U910-non-op income-其他"/>
      <sheetName val="U920-non-op exp-其他"/>
      <sheetName val="U1000 MFG OH "/>
      <sheetName val="U1100-Profits fm operating act"/>
      <sheetName val="W100-R&amp;D by nature"/>
      <sheetName val="W110-R&amp;D by project"/>
      <sheetName val="W200-top 10 customers"/>
      <sheetName val="W210-top 10 suppliers"/>
      <sheetName val="W220-top 5 AR"/>
      <sheetName val="W230-top 5 AP"/>
      <sheetName val="W300-related parties bal"/>
      <sheetName val="W400-RPT "/>
      <sheetName val="W401-breakdown"/>
      <sheetName val="W401a-breakdown"/>
      <sheetName val="W402-RPT Profit"/>
      <sheetName val="W403-RPT Profit breakdown"/>
      <sheetName val="W410-related parties trans"/>
      <sheetName val="W500-财务公司往来"/>
      <sheetName val="W510-与财务公司贷款情况"/>
      <sheetName val="W600-cashflow info"/>
      <sheetName val="W610-cashflow"/>
      <sheetName val="W611-breakdown"/>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础数据"/>
      <sheetName val="土地增值税"/>
      <sheetName val="分析表"/>
      <sheetName val="趋势表"/>
      <sheetName val="报告"/>
      <sheetName val="项目统计"/>
    </sheetNames>
    <sheetDataSet>
      <sheetData sheetId="0">
        <row r="8">
          <cell r="E8" t="str">
            <v>支付时间分类</v>
          </cell>
        </row>
        <row r="9">
          <cell r="C9" t="str">
            <v>时间</v>
          </cell>
        </row>
        <row r="10">
          <cell r="C10">
            <v>40171</v>
          </cell>
          <cell r="E10" t="str">
            <v>取得地块</v>
          </cell>
        </row>
        <row r="11">
          <cell r="C11">
            <v>40172</v>
          </cell>
          <cell r="E11" t="str">
            <v>项目启动</v>
          </cell>
        </row>
        <row r="12">
          <cell r="C12">
            <v>40391</v>
          </cell>
        </row>
        <row r="13">
          <cell r="C13">
            <v>40391</v>
          </cell>
        </row>
        <row r="14">
          <cell r="C14">
            <v>40422</v>
          </cell>
          <cell r="E14" t="str">
            <v>开始动工</v>
          </cell>
        </row>
        <row r="15">
          <cell r="C15">
            <v>40664</v>
          </cell>
          <cell r="E15" t="str">
            <v>开始销售</v>
          </cell>
        </row>
        <row r="16">
          <cell r="C16">
            <v>40909</v>
          </cell>
        </row>
        <row r="17">
          <cell r="C17">
            <v>41183</v>
          </cell>
          <cell r="E17" t="str">
            <v>工程竣工</v>
          </cell>
        </row>
        <row r="18">
          <cell r="C18">
            <v>41334</v>
          </cell>
        </row>
        <row r="19">
          <cell r="C19">
            <v>41699</v>
          </cell>
          <cell r="E19" t="str">
            <v>增值税缴交</v>
          </cell>
        </row>
      </sheetData>
      <sheetData sheetId="1"/>
      <sheetData sheetId="2"/>
      <sheetData sheetId="3"/>
      <sheetData sheetId="4"/>
      <sheetData sheetId="5"/>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待补资料"/>
      <sheetName val="索引"/>
      <sheetName val="余额表"/>
      <sheetName val="货币资金Cx"/>
      <sheetName val="货币资金Dy"/>
      <sheetName val="货币资金Mx"/>
      <sheetName val="银行存款明细表"/>
      <sheetName val="银行存款函证结果汇总表"/>
      <sheetName val="货币资金Pz"/>
      <sheetName val="其他应收款Cx"/>
      <sheetName val="其他应收款Dy"/>
      <sheetName val="其他应收款Mx"/>
      <sheetName val="其他应收款Pz"/>
      <sheetName val="其他流动资产Cx"/>
      <sheetName val="其他流动资产Dy"/>
      <sheetName val="其他流动资产Mx"/>
      <sheetName val="固定资产Dy"/>
      <sheetName val="固定资产Mx"/>
      <sheetName val="折旧表LB1-3-2"/>
      <sheetName val="固定资产Pz"/>
      <sheetName val="长期待摊费用Cx"/>
      <sheetName val="长期待摊费用明细Db"/>
      <sheetName val="长期待摊费用Dy"/>
      <sheetName val="长期待摊费用Mx"/>
      <sheetName val="长期待摊费用Pz"/>
      <sheetName val="其他应付款Cx"/>
      <sheetName val="其他应付款Dy"/>
      <sheetName val="其他应付款Mx"/>
      <sheetName val="其他应付款Pz"/>
      <sheetName val="短期借款Cx"/>
      <sheetName val="短期借款Dy"/>
      <sheetName val="长期借款Cx"/>
      <sheetName val="长期借款Dy"/>
      <sheetName val="长期借款明细表MX"/>
      <sheetName val="长期借款明细表PA-3-2"/>
      <sheetName val="长期借款Pz"/>
      <sheetName val="应付福利费明细Db"/>
      <sheetName val="应付职工薪酬Dy"/>
      <sheetName val="应付职工薪酬Mx"/>
      <sheetName val="Sheet2"/>
      <sheetName val="应付职工薪酬Pz"/>
      <sheetName val="实收资本Cx"/>
      <sheetName val="实收资本Dy"/>
      <sheetName val="实收资本Mx"/>
      <sheetName val="销售费用Cx"/>
      <sheetName val="销售费用Dy"/>
      <sheetName val="销售费用Mx"/>
      <sheetName val="销售费用Pz"/>
      <sheetName val="Sheet6"/>
      <sheetName val="财务费用Cx"/>
      <sheetName val="财务费用Dy"/>
      <sheetName val="财务费用Mx"/>
      <sheetName val="财务费用Pz"/>
      <sheetName val="营业外收入Cx"/>
      <sheetName val="营业外收入Dy"/>
      <sheetName val="营业外收入Mx"/>
      <sheetName val="营业外支出Cx"/>
      <sheetName val="营业外支出Dy"/>
      <sheetName val="营业外支出Mx"/>
      <sheetName val="递延所得税资产Cx"/>
      <sheetName val="递延所得税资产Dy"/>
      <sheetName val="递延所得税资产明细表"/>
      <sheetName val="所得税费用Cx"/>
      <sheetName val="所得税费用Dy"/>
      <sheetName val="所得税明细Db"/>
      <sheetName val="所得税费用Mx"/>
      <sheetName val="递延所得税费用计算表"/>
      <sheetName val="分录"/>
      <sheetName val="标本-资产"/>
      <sheetName val="固定资产卡片"/>
      <sheetName val="应收账款"/>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7">
          <cell r="B7" t="str">
            <v>导引表</v>
          </cell>
          <cell r="C7" t="str">
            <v>项        目</v>
          </cell>
          <cell r="D7" t="str">
            <v>类别</v>
          </cell>
          <cell r="E7" t="str">
            <v>上年审定数</v>
          </cell>
          <cell r="F7" t="str">
            <v>本年未审数</v>
          </cell>
          <cell r="G7" t="str">
            <v>结构比</v>
          </cell>
          <cell r="H7" t="str">
            <v>变动趋势</v>
          </cell>
          <cell r="I7" t="str">
            <v>本年审计调整</v>
          </cell>
          <cell r="K7" t="str">
            <v>审定数</v>
          </cell>
        </row>
        <row r="8">
          <cell r="B8" t="str">
            <v>Ref</v>
          </cell>
          <cell r="I8" t="str">
            <v>Dr</v>
          </cell>
          <cell r="J8" t="str">
            <v>Cr</v>
          </cell>
        </row>
        <row r="9">
          <cell r="B9">
            <v>1</v>
          </cell>
          <cell r="C9" t="str">
            <v>营业费用</v>
          </cell>
          <cell r="E9">
            <v>2109889.1</v>
          </cell>
          <cell r="F9">
            <v>66689.11</v>
          </cell>
          <cell r="H9">
            <v>-0.96839212544393916</v>
          </cell>
          <cell r="I9">
            <v>0</v>
          </cell>
          <cell r="J9">
            <v>0</v>
          </cell>
          <cell r="K9">
            <v>66689.11</v>
          </cell>
        </row>
        <row r="10">
          <cell r="B10">
            <v>2</v>
          </cell>
          <cell r="C10" t="str">
            <v>营业费用\广告费用</v>
          </cell>
          <cell r="F10">
            <v>-1000</v>
          </cell>
          <cell r="H10">
            <v>0</v>
          </cell>
          <cell r="I10">
            <v>0</v>
          </cell>
          <cell r="J10">
            <v>0</v>
          </cell>
          <cell r="K10">
            <v>-1000</v>
          </cell>
        </row>
        <row r="11">
          <cell r="B11">
            <v>3</v>
          </cell>
          <cell r="C11" t="str">
            <v>营业费用\业务宣传费</v>
          </cell>
          <cell r="F11">
            <v>67689.11</v>
          </cell>
          <cell r="H11">
            <v>0</v>
          </cell>
          <cell r="I11">
            <v>0</v>
          </cell>
          <cell r="J11">
            <v>0</v>
          </cell>
          <cell r="K11">
            <v>67689.11</v>
          </cell>
        </row>
        <row r="12">
          <cell r="B12">
            <v>4</v>
          </cell>
          <cell r="C12" t="str">
            <v>营业费用\工资奖金</v>
          </cell>
          <cell r="F12">
            <v>7873601.21</v>
          </cell>
          <cell r="H12">
            <v>0</v>
          </cell>
          <cell r="I12">
            <v>0</v>
          </cell>
          <cell r="J12">
            <v>0</v>
          </cell>
          <cell r="K12">
            <v>7873601.21</v>
          </cell>
        </row>
        <row r="13">
          <cell r="C13" t="str">
            <v>末级明细项目合计</v>
          </cell>
          <cell r="E13">
            <v>2109889.1</v>
          </cell>
          <cell r="F13">
            <v>7940290.3200000003</v>
          </cell>
          <cell r="I13">
            <v>0</v>
          </cell>
          <cell r="J13">
            <v>0</v>
          </cell>
          <cell r="K13">
            <v>7940290.3200000003</v>
          </cell>
        </row>
      </sheetData>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refreshError="1"/>
      <sheetData sheetId="7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输入本年调整分录"/>
      <sheetName val="主菜单"/>
      <sheetName val="使用说明"/>
      <sheetName val="勾稽关系核对"/>
      <sheetName val="Accounts"/>
      <sheetName val="旧BS"/>
      <sheetName val="旧IS"/>
      <sheetName val="收入确认底稿"/>
      <sheetName val="底稿"/>
      <sheetName val="年初数转换AJE"/>
      <sheetName val="未审BS"/>
      <sheetName val="未审IS"/>
      <sheetName val="年初数TB"/>
      <sheetName val="年初数转换TB"/>
      <sheetName val="期末数TB"/>
      <sheetName val="期末数转换TB"/>
      <sheetName val="未审SoCiE"/>
      <sheetName val="期末数AJE"/>
      <sheetName val="审定BS"/>
      <sheetName val="审定IS"/>
      <sheetName val="审定SoCiE"/>
      <sheetName val="审定CFS"/>
      <sheetName val="合并BS"/>
      <sheetName val="合并IS"/>
      <sheetName val="合并CFS"/>
      <sheetName val="合并CE"/>
      <sheetName val="参数"/>
      <sheetName val="折旧表LB1-3-2"/>
      <sheetName val="其他应付款Dy"/>
      <sheetName val="其他应收款Dy"/>
    </sheetNames>
    <sheetDataSet>
      <sheetData sheetId="0"/>
      <sheetData sheetId="1"/>
      <sheetData sheetId="2"/>
      <sheetData sheetId="3"/>
      <sheetData sheetId="4">
        <row r="2">
          <cell r="B2" t="str">
            <v>货币资金_库存现金</v>
          </cell>
        </row>
        <row r="3">
          <cell r="B3" t="str">
            <v>货币资金_银行存款</v>
          </cell>
        </row>
        <row r="4">
          <cell r="B4" t="str">
            <v>货币资金_其他货币资金</v>
          </cell>
        </row>
        <row r="5">
          <cell r="B5" t="str">
            <v>交易性金融资产</v>
          </cell>
        </row>
        <row r="6">
          <cell r="B6" t="str">
            <v>应收票据</v>
          </cell>
        </row>
        <row r="7">
          <cell r="B7" t="str">
            <v>应收账款</v>
          </cell>
        </row>
        <row r="8">
          <cell r="B8" t="str">
            <v>坏账准备_应收账款</v>
          </cell>
        </row>
        <row r="9">
          <cell r="B9" t="str">
            <v>预付款项</v>
          </cell>
        </row>
        <row r="10">
          <cell r="B10" t="str">
            <v>应收股利</v>
          </cell>
        </row>
        <row r="11">
          <cell r="B11" t="str">
            <v>应收利息</v>
          </cell>
        </row>
        <row r="12">
          <cell r="B12" t="str">
            <v>其他应收款</v>
          </cell>
        </row>
        <row r="13">
          <cell r="B13" t="str">
            <v>坏账准备_其他应收款</v>
          </cell>
        </row>
        <row r="14">
          <cell r="B14" t="str">
            <v>存货</v>
          </cell>
        </row>
        <row r="15">
          <cell r="B15" t="str">
            <v>存货跌价准备</v>
          </cell>
        </row>
        <row r="16">
          <cell r="B16" t="str">
            <v>一年内到期的非流动资产</v>
          </cell>
        </row>
        <row r="17">
          <cell r="B17" t="str">
            <v>其他流动资产</v>
          </cell>
        </row>
        <row r="18">
          <cell r="B18" t="str">
            <v>持有至到期投资</v>
          </cell>
        </row>
        <row r="19">
          <cell r="B19" t="str">
            <v>持有至到期投资减值准备</v>
          </cell>
        </row>
        <row r="20">
          <cell r="B20" t="str">
            <v>可供出售金融资产</v>
          </cell>
        </row>
        <row r="21">
          <cell r="B21" t="str">
            <v>长期股权投资</v>
          </cell>
        </row>
        <row r="22">
          <cell r="B22" t="str">
            <v>长期股权投资减值准备</v>
          </cell>
        </row>
        <row r="23">
          <cell r="B23" t="str">
            <v>投资性房地产</v>
          </cell>
        </row>
        <row r="24">
          <cell r="B24" t="str">
            <v>投资性房地产累计折旧</v>
          </cell>
        </row>
        <row r="25">
          <cell r="B25" t="str">
            <v>投资性房地产减值准备</v>
          </cell>
        </row>
        <row r="26">
          <cell r="B26" t="str">
            <v>长期应收款</v>
          </cell>
        </row>
        <row r="27">
          <cell r="B27" t="str">
            <v>坏账准备_长期应收款</v>
          </cell>
        </row>
        <row r="28">
          <cell r="B28" t="str">
            <v>未实现融资收益</v>
          </cell>
        </row>
        <row r="29">
          <cell r="B29" t="str">
            <v>固定资产</v>
          </cell>
        </row>
        <row r="30">
          <cell r="B30" t="str">
            <v>累计折旧</v>
          </cell>
        </row>
        <row r="31">
          <cell r="B31" t="str">
            <v>固定资产减值准备</v>
          </cell>
        </row>
        <row r="32">
          <cell r="B32" t="str">
            <v>在建工程</v>
          </cell>
        </row>
        <row r="33">
          <cell r="B33" t="str">
            <v>工程物资</v>
          </cell>
        </row>
        <row r="34">
          <cell r="B34" t="str">
            <v>固定资产清理</v>
          </cell>
        </row>
        <row r="35">
          <cell r="B35" t="str">
            <v>生产性生物资产</v>
          </cell>
        </row>
        <row r="36">
          <cell r="B36" t="str">
            <v>生产性生物资产累计折旧</v>
          </cell>
        </row>
        <row r="37">
          <cell r="B37" t="str">
            <v>公益性生物资产</v>
          </cell>
        </row>
        <row r="38">
          <cell r="B38" t="str">
            <v>油气资产</v>
          </cell>
        </row>
        <row r="39">
          <cell r="B39" t="str">
            <v>累计折耗</v>
          </cell>
        </row>
        <row r="40">
          <cell r="B40" t="str">
            <v>无形资产</v>
          </cell>
        </row>
        <row r="41">
          <cell r="B41" t="str">
            <v>累计摊销</v>
          </cell>
        </row>
        <row r="42">
          <cell r="B42" t="str">
            <v>无形资产减值准备</v>
          </cell>
        </row>
        <row r="43">
          <cell r="B43" t="str">
            <v>开发支出</v>
          </cell>
        </row>
        <row r="44">
          <cell r="B44" t="str">
            <v>商誉</v>
          </cell>
        </row>
        <row r="45">
          <cell r="B45" t="str">
            <v>长期待摊费用</v>
          </cell>
        </row>
        <row r="46">
          <cell r="B46" t="str">
            <v>递延所得税资产</v>
          </cell>
        </row>
        <row r="47">
          <cell r="B47" t="str">
            <v>其他非流动资产</v>
          </cell>
        </row>
        <row r="48">
          <cell r="B48" t="str">
            <v>短期借款</v>
          </cell>
        </row>
        <row r="49">
          <cell r="B49" t="str">
            <v>交易性金融负债</v>
          </cell>
        </row>
        <row r="50">
          <cell r="B50" t="str">
            <v>应付票据</v>
          </cell>
        </row>
        <row r="51">
          <cell r="B51" t="str">
            <v>应付账款</v>
          </cell>
        </row>
        <row r="52">
          <cell r="B52" t="str">
            <v>预收款项</v>
          </cell>
        </row>
        <row r="53">
          <cell r="B53" t="str">
            <v>应付职工薪酬</v>
          </cell>
        </row>
        <row r="54">
          <cell r="B54" t="str">
            <v>应交税费</v>
          </cell>
        </row>
        <row r="55">
          <cell r="B55" t="str">
            <v>应付利息</v>
          </cell>
        </row>
        <row r="56">
          <cell r="B56" t="str">
            <v>应付股利</v>
          </cell>
        </row>
        <row r="57">
          <cell r="B57" t="str">
            <v>其他应付款</v>
          </cell>
        </row>
        <row r="58">
          <cell r="B58" t="str">
            <v>一年内到期的非流动负债</v>
          </cell>
        </row>
        <row r="59">
          <cell r="B59" t="str">
            <v>其他流动负债</v>
          </cell>
        </row>
        <row r="60">
          <cell r="B60" t="str">
            <v>长期借款</v>
          </cell>
        </row>
        <row r="61">
          <cell r="B61" t="str">
            <v>应付债券</v>
          </cell>
        </row>
        <row r="62">
          <cell r="B62" t="str">
            <v>长期应付款</v>
          </cell>
        </row>
        <row r="63">
          <cell r="B63" t="str">
            <v>未确认融资费用</v>
          </cell>
        </row>
        <row r="64">
          <cell r="B64" t="str">
            <v>专项应付款</v>
          </cell>
        </row>
        <row r="65">
          <cell r="B65" t="str">
            <v>预计负债</v>
          </cell>
        </row>
        <row r="66">
          <cell r="B66" t="str">
            <v>递延所得税负债</v>
          </cell>
        </row>
        <row r="67">
          <cell r="B67" t="str">
            <v>其他非流动负债</v>
          </cell>
        </row>
        <row r="68">
          <cell r="B68" t="str">
            <v>实收资本_年初</v>
          </cell>
        </row>
        <row r="69">
          <cell r="B69" t="str">
            <v>实收资本_所有者投入资本</v>
          </cell>
        </row>
        <row r="70">
          <cell r="B70" t="str">
            <v>实收资本_股份支付计入所有者权益的金额</v>
          </cell>
        </row>
        <row r="71">
          <cell r="B71" t="str">
            <v>实收资本_资本公积转增资本</v>
          </cell>
        </row>
        <row r="72">
          <cell r="B72" t="str">
            <v>实收资本_盈余公积转增资本</v>
          </cell>
        </row>
        <row r="73">
          <cell r="B73" t="str">
            <v>实收资本_其他</v>
          </cell>
        </row>
        <row r="74">
          <cell r="B74" t="str">
            <v>资本公积_年初</v>
          </cell>
        </row>
        <row r="75">
          <cell r="B75" t="str">
            <v>资本公积_可供出售金融资产公允价值变动净额</v>
          </cell>
        </row>
        <row r="76">
          <cell r="B76" t="str">
            <v>资本公积_权益法下被投资单位其他所有者权益变动的影响</v>
          </cell>
        </row>
        <row r="77">
          <cell r="B77" t="str">
            <v>资本公积_与计入所有者权益项目相关的所得税影响</v>
          </cell>
        </row>
        <row r="78">
          <cell r="B78" t="str">
            <v>资本公积_所有者投入资本</v>
          </cell>
        </row>
        <row r="79">
          <cell r="B79" t="str">
            <v>资本公积_股份支付计入所有者权益的金额</v>
          </cell>
        </row>
        <row r="80">
          <cell r="B80" t="str">
            <v>资本公积_资本公积转增资本</v>
          </cell>
        </row>
        <row r="81">
          <cell r="B81" t="str">
            <v>资本公积_其他</v>
          </cell>
        </row>
        <row r="82">
          <cell r="B82" t="str">
            <v>库存股</v>
          </cell>
        </row>
        <row r="83">
          <cell r="B83" t="str">
            <v>盈余公积_年初</v>
          </cell>
        </row>
        <row r="84">
          <cell r="B84" t="str">
            <v>盈余公积_提取盈余公积</v>
          </cell>
        </row>
        <row r="85">
          <cell r="B85" t="str">
            <v>盈余公积_盈余公积转增资本</v>
          </cell>
        </row>
        <row r="86">
          <cell r="B86" t="str">
            <v>盈余公积_盈余公积弥补亏损</v>
          </cell>
        </row>
        <row r="87">
          <cell r="B87" t="str">
            <v>盈余公积_提取任意盈余公积</v>
          </cell>
        </row>
        <row r="88">
          <cell r="B88" t="str">
            <v>盈余公积_会计政策变更</v>
          </cell>
        </row>
        <row r="89">
          <cell r="B89" t="str">
            <v>盈余公积_前期差错更正</v>
          </cell>
        </row>
        <row r="90">
          <cell r="B90" t="str">
            <v>未分配利润_盈余公积弥补亏损</v>
          </cell>
        </row>
        <row r="91">
          <cell r="B91" t="str">
            <v>年初未分配利润</v>
          </cell>
        </row>
        <row r="92">
          <cell r="B92" t="str">
            <v>年初未分配利润_会计政策变更</v>
          </cell>
        </row>
        <row r="93">
          <cell r="B93" t="str">
            <v>年初未分配利润_前期差错更正</v>
          </cell>
        </row>
        <row r="94">
          <cell r="B94" t="str">
            <v>外币报表折算差额</v>
          </cell>
        </row>
        <row r="95">
          <cell r="B95" t="str">
            <v>外币报表折算差额年初</v>
          </cell>
        </row>
        <row r="96">
          <cell r="B96" t="str">
            <v>少数股东权益</v>
          </cell>
        </row>
        <row r="97">
          <cell r="B97" t="str">
            <v>少数股东权益_年初</v>
          </cell>
        </row>
        <row r="98">
          <cell r="B98" t="str">
            <v>主营业务收入</v>
          </cell>
        </row>
        <row r="99">
          <cell r="B99" t="str">
            <v>其他业务收入</v>
          </cell>
        </row>
        <row r="100">
          <cell r="B100" t="str">
            <v>公允价值变动收益</v>
          </cell>
        </row>
        <row r="101">
          <cell r="B101" t="str">
            <v>投资收益</v>
          </cell>
        </row>
        <row r="102">
          <cell r="B102" t="str">
            <v>投资收益_对联营企业和合营企业的投资收益</v>
          </cell>
        </row>
        <row r="103">
          <cell r="B103" t="str">
            <v>营业外收入</v>
          </cell>
        </row>
        <row r="104">
          <cell r="B104" t="str">
            <v>主营业务成本</v>
          </cell>
        </row>
        <row r="105">
          <cell r="B105" t="str">
            <v>其他业务成本</v>
          </cell>
        </row>
        <row r="106">
          <cell r="B106" t="str">
            <v>营业税金及附加</v>
          </cell>
        </row>
        <row r="107">
          <cell r="B107" t="str">
            <v>销售费用</v>
          </cell>
        </row>
        <row r="108">
          <cell r="B108" t="str">
            <v>管理费用</v>
          </cell>
        </row>
        <row r="109">
          <cell r="B109" t="str">
            <v>财务费用</v>
          </cell>
        </row>
        <row r="110">
          <cell r="B110" t="str">
            <v>资产减值损失</v>
          </cell>
        </row>
        <row r="111">
          <cell r="B111" t="str">
            <v>营业外支出</v>
          </cell>
        </row>
        <row r="112">
          <cell r="B112" t="str">
            <v>营业外支出_非流动资产处置损失</v>
          </cell>
        </row>
        <row r="113">
          <cell r="B113" t="str">
            <v>所得税费用</v>
          </cell>
        </row>
        <row r="114">
          <cell r="B114" t="str">
            <v>少数股东损益</v>
          </cell>
        </row>
        <row r="115">
          <cell r="B115" t="str">
            <v>利润分配_提取盈余公积</v>
          </cell>
        </row>
        <row r="116">
          <cell r="B116" t="str">
            <v>利润分配_对所有者（或股东）的分配</v>
          </cell>
        </row>
        <row r="117">
          <cell r="B117" t="str">
            <v>利润分配_其他</v>
          </cell>
        </row>
        <row r="118">
          <cell r="B118" t="str">
            <v>O货币资金</v>
          </cell>
        </row>
        <row r="119">
          <cell r="B119" t="str">
            <v>O短期投资</v>
          </cell>
        </row>
        <row r="120">
          <cell r="B120" t="str">
            <v>O应收票据</v>
          </cell>
        </row>
        <row r="121">
          <cell r="B121" t="str">
            <v>O应收股利</v>
          </cell>
        </row>
        <row r="122">
          <cell r="B122" t="str">
            <v>O应收利息</v>
          </cell>
        </row>
        <row r="123">
          <cell r="B123" t="str">
            <v>O应收账款</v>
          </cell>
        </row>
        <row r="124">
          <cell r="B124" t="str">
            <v>O其他应收款</v>
          </cell>
        </row>
        <row r="125">
          <cell r="B125" t="str">
            <v>O预付账款</v>
          </cell>
        </row>
        <row r="126">
          <cell r="B126" t="str">
            <v>O应收补贴款</v>
          </cell>
        </row>
        <row r="127">
          <cell r="B127" t="str">
            <v>O存货</v>
          </cell>
        </row>
        <row r="128">
          <cell r="B128" t="str">
            <v>O存货跌价准备</v>
          </cell>
        </row>
        <row r="129">
          <cell r="B129" t="str">
            <v>O待摊费用</v>
          </cell>
        </row>
        <row r="130">
          <cell r="B130" t="str">
            <v>O一年内到期长期债权投资</v>
          </cell>
        </row>
        <row r="131">
          <cell r="B131" t="str">
            <v>O其他流动资产</v>
          </cell>
        </row>
        <row r="132">
          <cell r="B132" t="str">
            <v>O内部往来</v>
          </cell>
        </row>
        <row r="133">
          <cell r="B133" t="str">
            <v>O长期股权投资</v>
          </cell>
        </row>
        <row r="134">
          <cell r="B134" t="str">
            <v>O长期股权投资减值准备</v>
          </cell>
        </row>
        <row r="135">
          <cell r="B135" t="str">
            <v>O长期债权投资</v>
          </cell>
        </row>
        <row r="136">
          <cell r="B136" t="str">
            <v>O长期债权投资减值准备</v>
          </cell>
        </row>
        <row r="137">
          <cell r="B137" t="str">
            <v>O合并价差</v>
          </cell>
        </row>
        <row r="138">
          <cell r="B138" t="str">
            <v>O固定资产</v>
          </cell>
        </row>
        <row r="139">
          <cell r="B139" t="str">
            <v>O累计折旧</v>
          </cell>
        </row>
        <row r="140">
          <cell r="B140" t="str">
            <v>O固定资产减值准备</v>
          </cell>
        </row>
        <row r="141">
          <cell r="B141" t="str">
            <v>O工程物资</v>
          </cell>
        </row>
        <row r="142">
          <cell r="B142" t="str">
            <v>O在建工程</v>
          </cell>
        </row>
        <row r="143">
          <cell r="B143" t="str">
            <v>O在建工程减值准备</v>
          </cell>
        </row>
        <row r="144">
          <cell r="B144" t="str">
            <v>O固定资产清理</v>
          </cell>
        </row>
        <row r="145">
          <cell r="B145" t="str">
            <v>O无形资产</v>
          </cell>
        </row>
        <row r="146">
          <cell r="B146" t="str">
            <v>O无形资产减值准备</v>
          </cell>
        </row>
        <row r="147">
          <cell r="B147" t="str">
            <v>O长期待摊费用</v>
          </cell>
        </row>
        <row r="148">
          <cell r="B148" t="str">
            <v>O其他长期资产</v>
          </cell>
        </row>
        <row r="149">
          <cell r="B149" t="str">
            <v>O递延税款借项</v>
          </cell>
        </row>
        <row r="150">
          <cell r="B150" t="str">
            <v>O短期借款</v>
          </cell>
        </row>
        <row r="151">
          <cell r="B151" t="str">
            <v>O应付票据</v>
          </cell>
        </row>
        <row r="152">
          <cell r="B152" t="str">
            <v>O应付账款</v>
          </cell>
        </row>
        <row r="153">
          <cell r="B153" t="str">
            <v>O预收账款</v>
          </cell>
        </row>
        <row r="154">
          <cell r="B154" t="str">
            <v>O应付工资</v>
          </cell>
        </row>
        <row r="155">
          <cell r="B155" t="str">
            <v>O应付福利费</v>
          </cell>
        </row>
        <row r="156">
          <cell r="B156" t="str">
            <v>O应付股利</v>
          </cell>
        </row>
        <row r="157">
          <cell r="B157" t="str">
            <v>O应交税金</v>
          </cell>
        </row>
        <row r="158">
          <cell r="B158" t="str">
            <v>O其他应交款</v>
          </cell>
        </row>
        <row r="159">
          <cell r="B159" t="str">
            <v>O其他应付款</v>
          </cell>
        </row>
        <row r="160">
          <cell r="B160" t="str">
            <v>O预提费用</v>
          </cell>
        </row>
        <row r="161">
          <cell r="B161" t="str">
            <v>O预计负债</v>
          </cell>
        </row>
        <row r="162">
          <cell r="B162" t="str">
            <v>O一年内到期的长期负债</v>
          </cell>
        </row>
        <row r="163">
          <cell r="B163" t="str">
            <v>O其他流动负债</v>
          </cell>
        </row>
        <row r="164">
          <cell r="B164" t="str">
            <v>O长期借款</v>
          </cell>
        </row>
        <row r="165">
          <cell r="B165" t="str">
            <v>O应付债券</v>
          </cell>
        </row>
        <row r="166">
          <cell r="B166" t="str">
            <v>O长期应付款</v>
          </cell>
        </row>
        <row r="167">
          <cell r="B167" t="str">
            <v>O专项应付款</v>
          </cell>
        </row>
        <row r="168">
          <cell r="B168" t="str">
            <v>O其他长期负债</v>
          </cell>
        </row>
        <row r="169">
          <cell r="B169" t="str">
            <v>O递延税款贷项</v>
          </cell>
        </row>
        <row r="170">
          <cell r="B170" t="str">
            <v>O少数股东权益</v>
          </cell>
        </row>
        <row r="171">
          <cell r="B171" t="str">
            <v>O实收资本</v>
          </cell>
        </row>
        <row r="172">
          <cell r="B172" t="str">
            <v>O资本公积</v>
          </cell>
        </row>
        <row r="173">
          <cell r="B173" t="str">
            <v>O盈余公积</v>
          </cell>
        </row>
        <row r="174">
          <cell r="B174" t="str">
            <v>O盈余公积_公益金</v>
          </cell>
        </row>
        <row r="175">
          <cell r="B175" t="str">
            <v>O外币报表折算差额</v>
          </cell>
        </row>
        <row r="176">
          <cell r="B176" t="str">
            <v>O未确认投资损失</v>
          </cell>
        </row>
        <row r="177">
          <cell r="B177" t="str">
            <v>O未分配利润</v>
          </cell>
        </row>
        <row r="178">
          <cell r="B178" t="str">
            <v>O主营业务收入</v>
          </cell>
        </row>
        <row r="179">
          <cell r="B179" t="str">
            <v>O主营业务成本</v>
          </cell>
        </row>
        <row r="180">
          <cell r="B180" t="str">
            <v>O主营业务税金及附加</v>
          </cell>
        </row>
        <row r="181">
          <cell r="B181" t="str">
            <v>O其他业务收入</v>
          </cell>
        </row>
        <row r="182">
          <cell r="B182" t="str">
            <v>O其他业务支出</v>
          </cell>
        </row>
        <row r="183">
          <cell r="B183" t="str">
            <v>O营业费用</v>
          </cell>
        </row>
        <row r="184">
          <cell r="B184" t="str">
            <v>O管理费用</v>
          </cell>
        </row>
        <row r="185">
          <cell r="B185" t="str">
            <v>O财务费用</v>
          </cell>
        </row>
        <row r="186">
          <cell r="B186" t="str">
            <v>O投资收益</v>
          </cell>
        </row>
        <row r="187">
          <cell r="B187" t="str">
            <v>O补贴收入</v>
          </cell>
        </row>
        <row r="188">
          <cell r="B188" t="str">
            <v>O营业外收入</v>
          </cell>
        </row>
        <row r="189">
          <cell r="B189" t="str">
            <v>O营业外支出</v>
          </cell>
        </row>
        <row r="190">
          <cell r="B190" t="str">
            <v>O所得税</v>
          </cell>
        </row>
        <row r="191">
          <cell r="B191" t="str">
            <v>O少数股东损益</v>
          </cell>
        </row>
        <row r="192">
          <cell r="B192" t="str">
            <v>O年初未分配利润</v>
          </cell>
        </row>
        <row r="193">
          <cell r="B193" t="str">
            <v>O其他转入</v>
          </cell>
        </row>
        <row r="194">
          <cell r="B194" t="str">
            <v>O利润分配_提取法定盈余公积</v>
          </cell>
        </row>
        <row r="195">
          <cell r="B195" t="str">
            <v>O利润分配_提取法定公益金</v>
          </cell>
        </row>
        <row r="196">
          <cell r="B196" t="str">
            <v>O利润分配_提取职工奖励及福利基金</v>
          </cell>
        </row>
        <row r="197">
          <cell r="B197" t="str">
            <v>O利润分配_提取储备基金</v>
          </cell>
        </row>
        <row r="198">
          <cell r="B198" t="str">
            <v>O利润分配_提取企业发展基金</v>
          </cell>
        </row>
        <row r="199">
          <cell r="B199" t="str">
            <v>O利润分配_未确认投资损失</v>
          </cell>
        </row>
        <row r="200">
          <cell r="B200" t="str">
            <v>O利润分配_利润归还投资</v>
          </cell>
        </row>
        <row r="201">
          <cell r="B201" t="str">
            <v>O利润分配_应付优先股股利</v>
          </cell>
        </row>
        <row r="202">
          <cell r="B202" t="str">
            <v>O利润分配_提取任意盈余公积</v>
          </cell>
        </row>
        <row r="203">
          <cell r="B203" t="str">
            <v>O利润分配_应付普通股股利</v>
          </cell>
        </row>
        <row r="204">
          <cell r="B204" t="str">
            <v>O利润分配_转作普通股股利</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营业外收入Cx"/>
      <sheetName val="营业外收入Dy"/>
      <sheetName val="营业外收入Mx"/>
      <sheetName val="营业外支出Cx"/>
      <sheetName val="营业外收入Pz"/>
      <sheetName val="营业外支出Dy"/>
      <sheetName val="营业外支出Mx"/>
    </sheetNames>
    <sheetDataSet>
      <sheetData sheetId="0"/>
      <sheetData sheetId="1">
        <row r="7">
          <cell r="B7" t="str">
            <v>导引表</v>
          </cell>
          <cell r="C7" t="str">
            <v>项        目</v>
          </cell>
          <cell r="D7" t="str">
            <v>类别</v>
          </cell>
          <cell r="E7" t="str">
            <v>上年审定数</v>
          </cell>
          <cell r="F7" t="str">
            <v>本年未审数</v>
          </cell>
          <cell r="G7" t="str">
            <v>结构比</v>
          </cell>
          <cell r="H7" t="str">
            <v>变动趋势</v>
          </cell>
          <cell r="I7" t="str">
            <v>本年审计调整</v>
          </cell>
          <cell r="K7" t="str">
            <v>审定数</v>
          </cell>
        </row>
        <row r="8">
          <cell r="B8" t="str">
            <v>Ref</v>
          </cell>
          <cell r="I8" t="str">
            <v>Dr</v>
          </cell>
          <cell r="J8" t="str">
            <v>Cr</v>
          </cell>
        </row>
        <row r="9">
          <cell r="B9" t="str">
            <v/>
          </cell>
          <cell r="G9" t="e">
            <v>#DIV/0!</v>
          </cell>
          <cell r="H9">
            <v>0</v>
          </cell>
          <cell r="K9">
            <v>0</v>
          </cell>
        </row>
        <row r="10">
          <cell r="B10" t="str">
            <v/>
          </cell>
          <cell r="G10" t="e">
            <v>#DIV/0!</v>
          </cell>
          <cell r="H10">
            <v>0</v>
          </cell>
          <cell r="K10">
            <v>0</v>
          </cell>
        </row>
        <row r="11">
          <cell r="B11" t="str">
            <v/>
          </cell>
          <cell r="G11" t="e">
            <v>#DIV/0!</v>
          </cell>
          <cell r="H11">
            <v>0</v>
          </cell>
          <cell r="K11">
            <v>0</v>
          </cell>
        </row>
        <row r="12">
          <cell r="B12" t="str">
            <v/>
          </cell>
          <cell r="G12" t="e">
            <v>#DIV/0!</v>
          </cell>
          <cell r="H12">
            <v>0</v>
          </cell>
          <cell r="K12">
            <v>0</v>
          </cell>
        </row>
        <row r="13">
          <cell r="C13" t="str">
            <v>合计</v>
          </cell>
          <cell r="E13">
            <v>0</v>
          </cell>
          <cell r="F13">
            <v>0</v>
          </cell>
          <cell r="G13" t="e">
            <v>#DIV/0!</v>
          </cell>
          <cell r="I13">
            <v>0</v>
          </cell>
          <cell r="J13">
            <v>0</v>
          </cell>
          <cell r="K13">
            <v>0</v>
          </cell>
        </row>
      </sheetData>
      <sheetData sheetId="2"/>
      <sheetData sheetId="3"/>
      <sheetData sheetId="4"/>
      <sheetData sheetId="5">
        <row r="7">
          <cell r="B7" t="str">
            <v>导引表</v>
          </cell>
          <cell r="C7" t="str">
            <v>项        目</v>
          </cell>
          <cell r="D7" t="str">
            <v>类别</v>
          </cell>
          <cell r="E7" t="str">
            <v>上年审定数</v>
          </cell>
          <cell r="F7" t="str">
            <v>本年未审数</v>
          </cell>
          <cell r="G7" t="str">
            <v>结构比</v>
          </cell>
          <cell r="H7" t="str">
            <v>变动趋势</v>
          </cell>
          <cell r="I7" t="str">
            <v>本年审计调整</v>
          </cell>
          <cell r="K7" t="str">
            <v>审定数</v>
          </cell>
        </row>
        <row r="8">
          <cell r="B8" t="str">
            <v>Ref</v>
          </cell>
          <cell r="I8" t="str">
            <v>Dr</v>
          </cell>
          <cell r="J8" t="str">
            <v>Cr</v>
          </cell>
        </row>
        <row r="9">
          <cell r="B9" t="str">
            <v/>
          </cell>
          <cell r="K9">
            <v>0</v>
          </cell>
        </row>
        <row r="10">
          <cell r="B10" t="str">
            <v/>
          </cell>
          <cell r="K10">
            <v>0</v>
          </cell>
        </row>
        <row r="11">
          <cell r="B11" t="str">
            <v/>
          </cell>
          <cell r="K11">
            <v>0</v>
          </cell>
        </row>
        <row r="12">
          <cell r="B12" t="str">
            <v/>
          </cell>
          <cell r="K12">
            <v>0</v>
          </cell>
        </row>
        <row r="13">
          <cell r="B13" t="str">
            <v/>
          </cell>
          <cell r="K13">
            <v>0</v>
          </cell>
        </row>
        <row r="14">
          <cell r="B14" t="str">
            <v/>
          </cell>
          <cell r="K14">
            <v>0</v>
          </cell>
        </row>
        <row r="15">
          <cell r="C15" t="str">
            <v>合计</v>
          </cell>
          <cell r="E15">
            <v>0</v>
          </cell>
          <cell r="F15">
            <v>0</v>
          </cell>
          <cell r="I15">
            <v>0</v>
          </cell>
          <cell r="J15">
            <v>0</v>
          </cell>
          <cell r="K15">
            <v>0</v>
          </cell>
        </row>
      </sheetData>
      <sheetData sheetId="6"/>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备忘"/>
      <sheetName val="索引"/>
      <sheetName val="余额表"/>
      <sheetName val="预付款项Cx"/>
      <sheetName val="预付账款Dy"/>
      <sheetName val="预付账款Mx"/>
      <sheetName val="回函统计表 (2)"/>
      <sheetName val="固定资产Cx"/>
      <sheetName val="固定资产Dy"/>
      <sheetName val="固定资产Mx"/>
      <sheetName val="固定资产Pz"/>
      <sheetName val="累计折旧Mx"/>
      <sheetName val="折旧测算"/>
      <sheetName val="固定资产清理Cx"/>
      <sheetName val="固定资产清理Dy"/>
      <sheetName val="固定资产清理Mx"/>
      <sheetName val="固定资产清理Pz"/>
      <sheetName val="无形资产Cx"/>
      <sheetName val="无形资产Dy"/>
      <sheetName val="无形资产Mx"/>
      <sheetName val="应付票据Cx"/>
      <sheetName val="应付票据Dy"/>
      <sheetName val="应付票据Mx"/>
      <sheetName val="应付票据Pz"/>
      <sheetName val="应付账款Cx"/>
      <sheetName val="应付账款Dy"/>
      <sheetName val="应付账款Mx"/>
      <sheetName val="应付账款Pz"/>
      <sheetName val="回函统计表"/>
      <sheetName val="销售费用Cx"/>
      <sheetName val="销售费用Dy"/>
      <sheetName val="销售费用Mx"/>
      <sheetName val="销售费用Pz"/>
      <sheetName val="销售费用截止"/>
      <sheetName val="管理费用Cx"/>
      <sheetName val="管理费用Dy"/>
      <sheetName val="管理费用Mx"/>
      <sheetName val="管理费用Pz"/>
      <sheetName val="管理费用截止"/>
      <sheetName val="分录"/>
      <sheetName val="标本-资产"/>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7">
          <cell r="B7" t="str">
            <v>导引表</v>
          </cell>
        </row>
      </sheetData>
      <sheetData sheetId="15" refreshError="1"/>
      <sheetData sheetId="16" refreshError="1"/>
      <sheetData sheetId="17" refreshError="1"/>
      <sheetData sheetId="18" refreshError="1"/>
      <sheetData sheetId="19" refreshError="1"/>
      <sheetData sheetId="20" refreshError="1"/>
      <sheetData sheetId="21" refreshError="1">
        <row r="7">
          <cell r="B7" t="str">
            <v>导引表</v>
          </cell>
          <cell r="C7" t="str">
            <v>项        目</v>
          </cell>
          <cell r="D7" t="str">
            <v>上年审定数</v>
          </cell>
          <cell r="E7" t="str">
            <v>未        审        数</v>
          </cell>
          <cell r="I7" t="str">
            <v>本年审计调整</v>
          </cell>
          <cell r="K7" t="str">
            <v>审定数</v>
          </cell>
        </row>
        <row r="8">
          <cell r="B8" t="str">
            <v>Ref</v>
          </cell>
          <cell r="E8" t="str">
            <v>年初余额</v>
          </cell>
          <cell r="F8" t="str">
            <v>本期借方</v>
          </cell>
          <cell r="G8" t="str">
            <v>本期贷方</v>
          </cell>
          <cell r="H8" t="str">
            <v>期末余额</v>
          </cell>
          <cell r="I8" t="str">
            <v>Dr</v>
          </cell>
          <cell r="J8" t="str">
            <v>Cr</v>
          </cell>
        </row>
        <row r="9">
          <cell r="B9">
            <v>1</v>
          </cell>
          <cell r="C9" t="str">
            <v xml:space="preserve">应付票据                                </v>
          </cell>
          <cell r="F9">
            <v>170861.15</v>
          </cell>
          <cell r="G9">
            <v>170861.15</v>
          </cell>
          <cell r="H9">
            <v>0</v>
          </cell>
          <cell r="I9">
            <v>0</v>
          </cell>
          <cell r="J9">
            <v>0</v>
          </cell>
          <cell r="K9">
            <v>0</v>
          </cell>
        </row>
        <row r="10">
          <cell r="C10" t="str">
            <v>末级明细项目合计</v>
          </cell>
          <cell r="D10">
            <v>0</v>
          </cell>
          <cell r="E10">
            <v>0</v>
          </cell>
          <cell r="F10">
            <v>170861.15</v>
          </cell>
          <cell r="G10">
            <v>170861.15</v>
          </cell>
          <cell r="H10">
            <v>0</v>
          </cell>
          <cell r="I10">
            <v>0</v>
          </cell>
          <cell r="J10">
            <v>0</v>
          </cell>
          <cell r="K10">
            <v>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ow r="7">
          <cell r="B7" t="str">
            <v>导引表</v>
          </cell>
        </row>
      </sheetData>
      <sheetData sheetId="36" refreshError="1"/>
      <sheetData sheetId="37"/>
      <sheetData sheetId="38" refreshError="1"/>
      <sheetData sheetId="39" refreshError="1"/>
      <sheetData sheetId="40"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索引"/>
      <sheetName val="余额表"/>
      <sheetName val="事项"/>
      <sheetName val="存货Dy"/>
      <sheetName val="存货Cx"/>
      <sheetName val="存货Mx"/>
      <sheetName val="存货_原材料Mx"/>
      <sheetName val="存货_原材料_3"/>
      <sheetName val="存货_原材料Pz"/>
      <sheetName val="账面与进销存核对"/>
      <sheetName val="存货_生产成本Mx"/>
      <sheetName val="存货_制造费用"/>
      <sheetName val="存货_制造费用Pz"/>
      <sheetName val="成本明细过程"/>
      <sheetName val="营业成本Cx"/>
      <sheetName val="主营业务成本Mx"/>
      <sheetName val="资产减值损失Mx"/>
      <sheetName val="分录"/>
      <sheetName val="标本-资产"/>
      <sheetName val="递延税款Dy"/>
      <sheetName val="资本公积Dy"/>
      <sheetName val="盈余公积Dy"/>
      <sheetName val="未分配利润Dy"/>
      <sheetName val="补贴收入Dy"/>
      <sheetName val="所得税Dy"/>
      <sheetName val="应收账款Dy"/>
      <sheetName val="坏账准备_应收账款Dy"/>
      <sheetName val="预收账款Dy"/>
      <sheetName val="应交税金Dy"/>
      <sheetName val="其他应交款Dy"/>
      <sheetName val="主营业务收入Dy"/>
      <sheetName val="坏账准备_应收账款Mx"/>
      <sheetName val="材料采购－原材料（购价）"/>
      <sheetName val="材料采购-入库"/>
      <sheetName val="原材料－其他"/>
      <sheetName val="材料成本差异－运费等"/>
    </sheetNames>
    <sheetDataSet>
      <sheetData sheetId="0">
        <row r="4">
          <cell r="C4" t="str">
            <v>苏州市永创金属科技有限公司</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页面"/>
      <sheetName val="总汇"/>
      <sheetName val="填表注意 "/>
      <sheetName val="试算平衡表0506"/>
      <sheetName val="试算平衡表0406"/>
      <sheetName val="现金流量表"/>
      <sheetName val="银行存款"/>
      <sheetName val="其他货币资金"/>
      <sheetName val="短期投资"/>
      <sheetName val="委托贷款"/>
      <sheetName val="应收票据"/>
      <sheetName val="应收票据2"/>
      <sheetName val="应收账款"/>
      <sheetName val="应收股利"/>
      <sheetName val="预付账款"/>
      <sheetName val="其它应收帐款"/>
      <sheetName val="应收补贴款 "/>
      <sheetName val="存货"/>
      <sheetName val="内部采购存货 "/>
      <sheetName val="已开票未发货"/>
      <sheetName val="已发货未开票"/>
      <sheetName val="暂估入库"/>
      <sheetName val="固定资产"/>
      <sheetName val="房屋及建筑物"/>
      <sheetName val="机器设备 (通用设备)"/>
      <sheetName val="机器设备(专用设备)"/>
      <sheetName val="运输设备"/>
      <sheetName val="办公设备"/>
      <sheetName val="固定资产增加 "/>
      <sheetName val="固定资产减少"/>
      <sheetName val="待处理固定资产 "/>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它债权投资"/>
      <sheetName val="长期投资-长期委托贷款"/>
      <sheetName val="上海电气集团股份有限公司合并范围内公司清单"/>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待补资料及问题"/>
      <sheetName val="索引"/>
      <sheetName val="余额表"/>
      <sheetName val="货币资金Cx"/>
      <sheetName val="货币资金Dy"/>
      <sheetName val="货币资金Mx"/>
      <sheetName val="库存现金监盘表"/>
      <sheetName val="银行存款明细表 FA-3-3"/>
      <sheetName val="银行存款函证结果汇总表FA-3-4"/>
      <sheetName val="货币资金Pz"/>
      <sheetName val="其他应收款Dy"/>
      <sheetName val="其他应收款Mx"/>
      <sheetName val="其他应收款Pz"/>
      <sheetName val="其他流动资产Cx"/>
      <sheetName val="其他流动资产Dy"/>
      <sheetName val="其他流动资产Mx"/>
      <sheetName val="固定资产Dy"/>
      <sheetName val="固定资产Mx"/>
      <sheetName val="折旧表LB1-3-2"/>
      <sheetName val="固定资产Pz"/>
      <sheetName val="Sheet9"/>
      <sheetName val="应付职工薪酬Mx"/>
      <sheetName val="应付职工薪酬Pz"/>
      <sheetName val="其他应付款Cx"/>
      <sheetName val="其他应付款Dy"/>
      <sheetName val="其他应付款Mx"/>
      <sheetName val="其他应付款Pz"/>
      <sheetName val="长期借款Cx"/>
      <sheetName val="长期借款Dy"/>
      <sheetName val="长期借款明细表MX"/>
      <sheetName val="长期借款明细表PA-3-2"/>
      <sheetName val="Sheet3"/>
      <sheetName val="长期借款Pz"/>
      <sheetName val="实收资本Cx"/>
      <sheetName val="实收资本Dy"/>
      <sheetName val="实收资本Mx"/>
      <sheetName val="其他业务收入Dy"/>
      <sheetName val="其他业务收入Mx"/>
      <sheetName val="销售费用Cx"/>
      <sheetName val="销售费用Dy"/>
      <sheetName val="销售费用Mx"/>
      <sheetName val="销售费用Pz"/>
      <sheetName val="Sheet1"/>
      <sheetName val="财务费用Cx"/>
      <sheetName val="财务费用Dy"/>
      <sheetName val="财务费用Mx"/>
      <sheetName val="财务费用Pz"/>
      <sheetName val="营业外收入Cx"/>
      <sheetName val="营业外收入Dy"/>
      <sheetName val="营业外收入Mx"/>
      <sheetName val="营业外支出Cx"/>
      <sheetName val="Sheet8"/>
      <sheetName val="营业外支出Dy"/>
      <sheetName val="营业外支出Mx"/>
      <sheetName val="递延所得税资产Cx"/>
      <sheetName val="递延所得税资产Dy"/>
      <sheetName val="递延所得税资产明细表"/>
      <sheetName val="所得税费用Cx"/>
      <sheetName val="所得税费用Dy"/>
      <sheetName val="所得税费用Mx"/>
      <sheetName val="分录"/>
      <sheetName val="标本-资产"/>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3">
          <cell r="E3">
            <v>3550</v>
          </cell>
        </row>
        <row r="4">
          <cell r="E4">
            <v>2859</v>
          </cell>
        </row>
        <row r="5">
          <cell r="E5">
            <v>6409</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控制汇总表"/>
      <sheetName val="银行存款"/>
      <sheetName val="其他货币资金"/>
      <sheetName val="短期投资"/>
      <sheetName val="应收票据"/>
      <sheetName val="应收账款"/>
      <sheetName val="其他应收账款"/>
      <sheetName val="预付账款"/>
      <sheetName val="应收股利"/>
      <sheetName val="存货"/>
      <sheetName val="待摊费用"/>
      <sheetName val="固定资产"/>
      <sheetName val="在建工程"/>
      <sheetName val="无形资产"/>
      <sheetName val="其它资产"/>
      <sheetName val="长期投资汇总"/>
      <sheetName val="长期投资-对联营公司"/>
      <sheetName val="长期投资-对合营公司"/>
      <sheetName val="长期投资-对子公司"/>
      <sheetName val="长期投资-股票投资或其它股权投资"/>
      <sheetName val="长期投资-债券投资"/>
      <sheetName val="长期投资-其他债权投资"/>
      <sheetName val="长期投资-长期委托贷款"/>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Checks"/>
      <sheetName val="preBS"/>
      <sheetName val="preIS"/>
      <sheetName val="preCE"/>
      <sheetName val="待补充事项"/>
      <sheetName val="递延所得税计算表"/>
      <sheetName val="坏账及减值表"/>
      <sheetName val="所得税计算表"/>
      <sheetName val="CF底稿"/>
      <sheetName val="preCF"/>
      <sheetName val="BS"/>
      <sheetName val="IS"/>
      <sheetName val="CF"/>
      <sheetName val="CE"/>
      <sheetName val="noteChecks"/>
      <sheetName val="Notes"/>
      <sheetName val="TB"/>
      <sheetName val="AJE"/>
      <sheetName val="CFJE"/>
      <sheetName val="UJE"/>
      <sheetName val="AJE1"/>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5">
          <cell r="G15">
            <v>328019.46999999997</v>
          </cell>
          <cell r="H15">
            <v>5756591.5</v>
          </cell>
          <cell r="K15">
            <v>2070907</v>
          </cell>
          <cell r="L15">
            <v>361209.5</v>
          </cell>
        </row>
        <row r="16">
          <cell r="L16">
            <v>16721.77</v>
          </cell>
        </row>
      </sheetData>
      <sheetData sheetId="13">
        <row r="7">
          <cell r="E7">
            <v>37369847.649999999</v>
          </cell>
        </row>
        <row r="10">
          <cell r="E10">
            <v>5670698.4400000004</v>
          </cell>
        </row>
        <row r="11">
          <cell r="E11">
            <v>2881011.76</v>
          </cell>
        </row>
        <row r="12">
          <cell r="E12">
            <v>3908463.7</v>
          </cell>
        </row>
        <row r="13">
          <cell r="E13">
            <v>353161.16</v>
          </cell>
        </row>
        <row r="17">
          <cell r="E17">
            <v>80500</v>
          </cell>
        </row>
        <row r="21">
          <cell r="E21">
            <v>456.04</v>
          </cell>
        </row>
        <row r="23">
          <cell r="E23">
            <v>0</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base"/>
      <sheetName val="Sheet1"/>
      <sheetName val="Sheet2"/>
      <sheetName val="Sheet3"/>
    </sheetNames>
    <sheetDataSet>
      <sheetData sheetId="0"/>
      <sheetData sheetId="1"/>
      <sheetData sheetId="2"/>
      <sheetData sheetId="3"/>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PARA"/>
      <sheetName val="Lead"/>
      <sheetName val="noteChecks"/>
      <sheetName val="Checks"/>
      <sheetName val="preBS"/>
      <sheetName val="1251重要性计算表"/>
      <sheetName val="指引及提示"/>
      <sheetName val="准则及应用指南的相关规定"/>
      <sheetName val="preIS"/>
      <sheetName val="preCF"/>
      <sheetName val="preCE"/>
      <sheetName val="372D专项储备一次计提折旧的设备"/>
      <sheetName val="坏账及减值表"/>
      <sheetName val="2017年1-6月DB"/>
      <sheetName val="递延所得税计算表"/>
      <sheetName val="所得税计算表及盈余公积测算底稿"/>
      <sheetName val="CF底稿"/>
      <sheetName val="Sheet1"/>
      <sheetName val="TB"/>
      <sheetName val="BS"/>
      <sheetName val="IS"/>
      <sheetName val="CF"/>
      <sheetName val="CE"/>
      <sheetName val="AJE"/>
      <sheetName val="CFJE"/>
      <sheetName val="UJE"/>
      <sheetName val="AJE1"/>
      <sheetName val="Notes"/>
      <sheetName val="CFWP1"/>
      <sheetName val="CFWP2"/>
      <sheetName val="STATDATA"/>
      <sheetName val="TBSPIVOT"/>
      <sheetName val="NOTEPIVO2"/>
      <sheetName val="NOTEPIVO"/>
      <sheetName val="未审报表分析"/>
      <sheetName val="未审财务指标分析"/>
      <sheetName val="已审报表分析"/>
      <sheetName val="已审财务指标分析"/>
      <sheetName val="非财务信息"/>
      <sheetName val="7231错报程序表"/>
      <sheetName val="7232未更正错报（不包括披露错报）汇总表"/>
      <sheetName val="7233未更正披露错报汇总表"/>
      <sheetName val="7234对错报性质的评价"/>
      <sheetName val="7235错报评价"/>
      <sheetName val="7236对错报的沟通"/>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86">
          <cell r="H86">
            <v>12079928.029999999</v>
          </cell>
        </row>
      </sheetData>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ow r="68">
          <cell r="E68">
            <v>-2586314.94</v>
          </cell>
        </row>
      </sheetData>
      <sheetData sheetId="22" refreshError="1"/>
      <sheetData sheetId="23" refreshError="1"/>
      <sheetData sheetId="24" refreshError="1"/>
      <sheetData sheetId="25" refreshError="1"/>
      <sheetData sheetId="26" refreshError="1"/>
      <sheetData sheetId="27">
        <row r="3744">
          <cell r="H3744">
            <v>146292.24</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CBE9C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8.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2.xml"/><Relationship Id="rId1" Type="http://schemas.openxmlformats.org/officeDocument/2006/relationships/vmlDrawing" Target="../drawings/vmlDrawing22.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38.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3.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9.xml"/><Relationship Id="rId1" Type="http://schemas.openxmlformats.org/officeDocument/2006/relationships/printerSettings" Target="../printerSettings/printerSettings14.bin"/><Relationship Id="rId4" Type="http://schemas.openxmlformats.org/officeDocument/2006/relationships/comments" Target="../comments2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10.xml"/><Relationship Id="rId1" Type="http://schemas.openxmlformats.org/officeDocument/2006/relationships/printerSettings" Target="../printerSettings/printerSettings15.bin"/><Relationship Id="rId4" Type="http://schemas.openxmlformats.org/officeDocument/2006/relationships/comments" Target="../comments27.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11.xml"/><Relationship Id="rId1" Type="http://schemas.openxmlformats.org/officeDocument/2006/relationships/printerSettings" Target="../printerSettings/printerSettings16.bin"/><Relationship Id="rId4" Type="http://schemas.openxmlformats.org/officeDocument/2006/relationships/comments" Target="../comments28.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12.xml"/><Relationship Id="rId1" Type="http://schemas.openxmlformats.org/officeDocument/2006/relationships/printerSettings" Target="../printerSettings/printerSettings17.bin"/><Relationship Id="rId4" Type="http://schemas.openxmlformats.org/officeDocument/2006/relationships/comments" Target="../comments29.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13.xml"/><Relationship Id="rId1" Type="http://schemas.openxmlformats.org/officeDocument/2006/relationships/printerSettings" Target="../printerSettings/printerSettings18.bin"/><Relationship Id="rId4" Type="http://schemas.openxmlformats.org/officeDocument/2006/relationships/comments" Target="../comments30.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14.xml"/><Relationship Id="rId1" Type="http://schemas.openxmlformats.org/officeDocument/2006/relationships/printerSettings" Target="../printerSettings/printerSettings19.bin"/><Relationship Id="rId4" Type="http://schemas.openxmlformats.org/officeDocument/2006/relationships/comments" Target="../comments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F875"/>
  <sheetViews>
    <sheetView workbookViewId="0"/>
  </sheetViews>
  <sheetFormatPr defaultRowHeight="12"/>
  <cols>
    <col min="1" max="1" width="9.140625" style="2791"/>
    <col min="2" max="2" width="9.28515625" style="2791" customWidth="1"/>
    <col min="3" max="3" width="29.140625" style="2791" customWidth="1"/>
    <col min="4" max="4" width="9.140625" style="2791"/>
    <col min="5" max="12" width="10.42578125" style="2791" customWidth="1"/>
    <col min="13" max="14" width="9.140625" style="2791"/>
    <col min="15" max="15" width="13.140625" style="2791" customWidth="1"/>
    <col min="16" max="19" width="9.140625" style="2791"/>
    <col min="20" max="20" width="14.140625" style="2791" customWidth="1"/>
    <col min="21" max="16384" width="9.140625" style="2791"/>
  </cols>
  <sheetData>
    <row r="1" spans="1:58">
      <c r="A1" s="2791" t="s">
        <v>0</v>
      </c>
      <c r="B1" s="2791" t="s">
        <v>1</v>
      </c>
      <c r="C1" s="2791" t="s">
        <v>2</v>
      </c>
      <c r="D1" s="2791" t="s">
        <v>3</v>
      </c>
      <c r="E1" s="2791" t="s">
        <v>4</v>
      </c>
      <c r="F1" s="2792" t="s">
        <v>5</v>
      </c>
      <c r="G1" s="2791" t="s">
        <v>6</v>
      </c>
      <c r="H1" s="2791" t="s">
        <v>7</v>
      </c>
      <c r="I1" s="2791" t="s">
        <v>8</v>
      </c>
      <c r="J1" s="2791" t="s">
        <v>9</v>
      </c>
      <c r="M1" s="2793" t="s">
        <v>10</v>
      </c>
      <c r="N1" s="2794"/>
      <c r="O1" s="2795">
        <v>1015</v>
      </c>
      <c r="P1" s="2796" t="s">
        <v>11</v>
      </c>
      <c r="Q1" s="2796" t="s">
        <v>12</v>
      </c>
      <c r="R1" s="2791">
        <v>7001</v>
      </c>
      <c r="S1" s="2797" t="s">
        <v>13</v>
      </c>
      <c r="T1" s="2797" t="s">
        <v>14</v>
      </c>
      <c r="U1" s="2797" t="s">
        <v>15</v>
      </c>
      <c r="V1" s="2797" t="s">
        <v>16</v>
      </c>
      <c r="W1" s="2797" t="s">
        <v>17</v>
      </c>
      <c r="X1" s="2797" t="s">
        <v>18</v>
      </c>
      <c r="Z1" s="2794">
        <v>1</v>
      </c>
      <c r="AA1" s="2794" t="s">
        <v>10</v>
      </c>
      <c r="AB1" s="2795">
        <v>1015</v>
      </c>
      <c r="AD1" s="2791" t="s">
        <v>19</v>
      </c>
      <c r="AG1" s="2791" t="s">
        <v>20</v>
      </c>
      <c r="AI1" s="2791" t="s">
        <v>21</v>
      </c>
      <c r="AK1" s="2791" t="s">
        <v>22</v>
      </c>
      <c r="AM1" s="2791" t="s">
        <v>23</v>
      </c>
      <c r="AO1" s="2791" t="s">
        <v>24</v>
      </c>
      <c r="AQ1" s="2791" t="s">
        <v>25</v>
      </c>
      <c r="AS1" s="2791" t="s">
        <v>26</v>
      </c>
      <c r="AT1" s="2791" t="s">
        <v>27</v>
      </c>
      <c r="AU1" s="2791" t="s">
        <v>28</v>
      </c>
      <c r="AV1" s="2791" t="s">
        <v>29</v>
      </c>
      <c r="AW1" s="2791" t="s">
        <v>30</v>
      </c>
      <c r="AX1" s="2791" t="s">
        <v>31</v>
      </c>
      <c r="AY1" s="2791" t="s">
        <v>32</v>
      </c>
      <c r="AZ1" s="2791" t="s">
        <v>33</v>
      </c>
      <c r="BA1" s="2791" t="s">
        <v>34</v>
      </c>
      <c r="BB1" s="2791" t="s">
        <v>35</v>
      </c>
      <c r="BC1" s="2791" t="s">
        <v>36</v>
      </c>
      <c r="BD1" s="2791" t="s">
        <v>37</v>
      </c>
      <c r="BF1" s="2791" t="s">
        <v>38</v>
      </c>
    </row>
    <row r="2" spans="1:58">
      <c r="A2" s="2791" t="s">
        <v>39</v>
      </c>
      <c r="B2" s="2793">
        <v>1</v>
      </c>
      <c r="C2" s="2793" t="s">
        <v>40</v>
      </c>
      <c r="D2" s="2793"/>
      <c r="E2" s="2793" t="s">
        <v>41</v>
      </c>
      <c r="F2" s="2793"/>
      <c r="G2" s="2793" t="s">
        <v>40</v>
      </c>
      <c r="H2" s="2793"/>
      <c r="I2" s="2793">
        <v>1</v>
      </c>
      <c r="J2" s="2793"/>
      <c r="M2" s="2793" t="s">
        <v>42</v>
      </c>
      <c r="N2" s="2794"/>
      <c r="O2" s="2795">
        <v>1015.1001</v>
      </c>
      <c r="P2" s="2796" t="s">
        <v>43</v>
      </c>
      <c r="Q2" s="2796" t="s">
        <v>44</v>
      </c>
      <c r="R2" s="2791">
        <v>7031</v>
      </c>
      <c r="S2" s="2798" t="s">
        <v>69</v>
      </c>
      <c r="T2" s="2798" t="s">
        <v>70</v>
      </c>
      <c r="U2" s="2798" t="s">
        <v>47</v>
      </c>
      <c r="V2" s="2798">
        <v>1</v>
      </c>
      <c r="W2" s="2798">
        <v>1015</v>
      </c>
      <c r="X2" s="2798">
        <v>1</v>
      </c>
      <c r="Y2" s="2795" t="s">
        <v>295</v>
      </c>
      <c r="Z2" s="2794">
        <v>3</v>
      </c>
      <c r="AA2" s="2794" t="s">
        <v>49</v>
      </c>
      <c r="AB2" s="2795">
        <v>1101</v>
      </c>
      <c r="AD2" s="2791" t="s">
        <v>50</v>
      </c>
      <c r="AE2" s="2791" t="s">
        <v>51</v>
      </c>
      <c r="AG2" s="2791" t="s">
        <v>52</v>
      </c>
      <c r="AI2" s="2791" t="s">
        <v>53</v>
      </c>
      <c r="AK2" s="2791" t="s">
        <v>54</v>
      </c>
      <c r="AM2" s="2791" t="s">
        <v>55</v>
      </c>
      <c r="AO2" s="2791" t="s">
        <v>56</v>
      </c>
      <c r="AQ2" s="2791" t="s">
        <v>57</v>
      </c>
      <c r="AS2" s="2791" t="s">
        <v>58</v>
      </c>
      <c r="AT2" s="2791" t="s">
        <v>59</v>
      </c>
      <c r="AU2" s="2791">
        <v>1999</v>
      </c>
      <c r="AW2" s="2791" t="s">
        <v>60</v>
      </c>
      <c r="AX2" s="2791" t="s">
        <v>61</v>
      </c>
      <c r="AY2" s="2791" t="s">
        <v>59</v>
      </c>
      <c r="AZ2" s="2791">
        <v>5000</v>
      </c>
      <c r="BB2" s="2791" t="s">
        <v>60</v>
      </c>
      <c r="BC2" s="2791" t="s">
        <v>61</v>
      </c>
      <c r="BD2" s="2791" t="s">
        <v>62</v>
      </c>
      <c r="BF2" s="2791" t="s">
        <v>63</v>
      </c>
    </row>
    <row r="3" spans="1:58">
      <c r="A3" s="2791" t="s">
        <v>62</v>
      </c>
      <c r="B3" s="2793">
        <v>1000</v>
      </c>
      <c r="C3" s="2793" t="s">
        <v>64</v>
      </c>
      <c r="D3" s="2793"/>
      <c r="E3" s="2793" t="s">
        <v>41</v>
      </c>
      <c r="F3" s="2793"/>
      <c r="G3" s="2793" t="s">
        <v>65</v>
      </c>
      <c r="H3" s="2793"/>
      <c r="I3" s="2793">
        <v>1000</v>
      </c>
      <c r="J3" s="2793"/>
      <c r="M3" s="2793" t="s">
        <v>66</v>
      </c>
      <c r="N3" s="2794"/>
      <c r="O3" s="2795">
        <v>1015.1002</v>
      </c>
      <c r="P3" s="2796" t="s">
        <v>67</v>
      </c>
      <c r="Q3" s="2796" t="s">
        <v>68</v>
      </c>
      <c r="R3" s="2791">
        <v>7046</v>
      </c>
      <c r="S3" s="2798" t="s">
        <v>45</v>
      </c>
      <c r="T3" s="2798" t="s">
        <v>46</v>
      </c>
      <c r="U3" s="2798" t="s">
        <v>47</v>
      </c>
      <c r="V3" s="2798">
        <v>1</v>
      </c>
      <c r="W3" s="2798">
        <v>1015</v>
      </c>
      <c r="X3" s="2798">
        <v>1</v>
      </c>
      <c r="Y3" s="2795" t="s">
        <v>295</v>
      </c>
      <c r="Z3" s="2794">
        <v>2</v>
      </c>
      <c r="AA3" s="2794" t="s">
        <v>71</v>
      </c>
      <c r="AB3" s="2795">
        <v>1102</v>
      </c>
      <c r="AD3" s="2791" t="s">
        <v>72</v>
      </c>
      <c r="AE3" s="2791" t="s">
        <v>73</v>
      </c>
      <c r="AG3" s="2791" t="s">
        <v>74</v>
      </c>
      <c r="AI3" s="2791" t="s">
        <v>75</v>
      </c>
      <c r="AK3" s="2791" t="s">
        <v>76</v>
      </c>
      <c r="AM3" s="2791" t="s">
        <v>77</v>
      </c>
      <c r="AO3" s="2791" t="s">
        <v>78</v>
      </c>
      <c r="AS3" s="2791" t="s">
        <v>79</v>
      </c>
      <c r="AT3" s="2791" t="s">
        <v>59</v>
      </c>
      <c r="AU3" s="2791">
        <v>1999</v>
      </c>
      <c r="AW3" s="2791" t="s">
        <v>80</v>
      </c>
      <c r="AX3" s="2791" t="s">
        <v>81</v>
      </c>
      <c r="AY3" s="2791" t="s">
        <v>59</v>
      </c>
      <c r="AZ3" s="2791">
        <v>5000</v>
      </c>
      <c r="BB3" s="2791" t="s">
        <v>80</v>
      </c>
      <c r="BC3" s="2791" t="s">
        <v>81</v>
      </c>
      <c r="BD3" s="2791" t="s">
        <v>62</v>
      </c>
      <c r="BF3" s="2791" t="s">
        <v>82</v>
      </c>
    </row>
    <row r="4" spans="1:58">
      <c r="A4" s="2791" t="s">
        <v>83</v>
      </c>
      <c r="B4" s="2793">
        <v>1015</v>
      </c>
      <c r="C4" s="2793" t="s">
        <v>10</v>
      </c>
      <c r="D4" s="2793">
        <v>1</v>
      </c>
      <c r="E4" s="2793"/>
      <c r="F4" s="2793" t="s">
        <v>5649</v>
      </c>
      <c r="G4" s="2793" t="s">
        <v>10</v>
      </c>
      <c r="H4" s="2793"/>
      <c r="I4" s="2793">
        <v>1015</v>
      </c>
      <c r="J4" s="2793" t="s">
        <v>84</v>
      </c>
      <c r="M4" s="2793" t="s">
        <v>85</v>
      </c>
      <c r="N4" s="2794"/>
      <c r="O4" s="2795">
        <v>1015.1011999999999</v>
      </c>
      <c r="P4" s="2796" t="s">
        <v>86</v>
      </c>
      <c r="Q4" s="2796" t="s">
        <v>87</v>
      </c>
      <c r="R4" s="2791">
        <v>7051</v>
      </c>
      <c r="S4" s="2798" t="s">
        <v>88</v>
      </c>
      <c r="T4" s="2798" t="s">
        <v>89</v>
      </c>
      <c r="U4" s="2798" t="s">
        <v>47</v>
      </c>
      <c r="V4" s="2798">
        <v>1</v>
      </c>
      <c r="W4" s="2798">
        <v>1015</v>
      </c>
      <c r="X4" s="2798">
        <v>2</v>
      </c>
      <c r="Y4" s="2795" t="s">
        <v>295</v>
      </c>
      <c r="Z4" s="2794">
        <v>4</v>
      </c>
      <c r="AA4" s="2794" t="s">
        <v>90</v>
      </c>
      <c r="AB4" s="2795">
        <v>1115</v>
      </c>
      <c r="AD4" s="2791" t="s">
        <v>91</v>
      </c>
      <c r="AE4" s="2791" t="s">
        <v>92</v>
      </c>
      <c r="AG4" s="2791" t="s">
        <v>93</v>
      </c>
      <c r="AI4" s="2791" t="s">
        <v>94</v>
      </c>
      <c r="AK4" s="2791" t="s">
        <v>95</v>
      </c>
      <c r="AS4" s="2791" t="s">
        <v>96</v>
      </c>
      <c r="AT4" s="2791" t="s">
        <v>97</v>
      </c>
      <c r="AU4" s="2791">
        <v>6811</v>
      </c>
      <c r="AW4" s="2791" t="s">
        <v>98</v>
      </c>
      <c r="AX4" s="2791" t="s">
        <v>61</v>
      </c>
      <c r="AY4" s="2791" t="s">
        <v>99</v>
      </c>
      <c r="AZ4" s="2791">
        <v>8740</v>
      </c>
      <c r="BB4" s="2791" t="s">
        <v>98</v>
      </c>
      <c r="BC4" s="2791" t="s">
        <v>61</v>
      </c>
      <c r="BD4" s="2791" t="s">
        <v>62</v>
      </c>
      <c r="BF4" s="2791" t="s">
        <v>100</v>
      </c>
    </row>
    <row r="5" spans="1:58">
      <c r="B5" s="2793">
        <v>1021</v>
      </c>
      <c r="C5" s="2793" t="s">
        <v>101</v>
      </c>
      <c r="D5" s="2793">
        <v>1</v>
      </c>
      <c r="E5" s="2793" t="s">
        <v>102</v>
      </c>
      <c r="F5" s="2793"/>
      <c r="G5" s="2793" t="s">
        <v>101</v>
      </c>
      <c r="H5" s="2793"/>
      <c r="I5" s="2793">
        <v>1021</v>
      </c>
      <c r="J5" s="2793" t="s">
        <v>84</v>
      </c>
      <c r="M5" s="2793" t="s">
        <v>49</v>
      </c>
      <c r="N5" s="2794" t="s">
        <v>103</v>
      </c>
      <c r="O5" s="2795">
        <v>1101</v>
      </c>
      <c r="P5" s="2796" t="s">
        <v>104</v>
      </c>
      <c r="Q5" s="2796" t="s">
        <v>105</v>
      </c>
      <c r="R5" s="2791">
        <v>7061</v>
      </c>
      <c r="S5" s="2798" t="s">
        <v>135</v>
      </c>
      <c r="T5" s="2798" t="s">
        <v>136</v>
      </c>
      <c r="U5" s="2798" t="s">
        <v>47</v>
      </c>
      <c r="V5" s="2798">
        <v>1</v>
      </c>
      <c r="W5" s="2798">
        <v>1102</v>
      </c>
      <c r="X5" s="2798">
        <v>1</v>
      </c>
      <c r="Y5" s="2795" t="s">
        <v>295</v>
      </c>
      <c r="Z5" s="2794">
        <v>5</v>
      </c>
      <c r="AA5" s="2794" t="s">
        <v>109</v>
      </c>
      <c r="AB5" s="2795">
        <v>1121</v>
      </c>
      <c r="AD5" s="2791" t="s">
        <v>110</v>
      </c>
      <c r="AE5" s="2791" t="s">
        <v>111</v>
      </c>
      <c r="AG5" s="2791" t="s">
        <v>112</v>
      </c>
      <c r="AI5" s="2791" t="s">
        <v>113</v>
      </c>
      <c r="AK5" s="2791" t="s">
        <v>114</v>
      </c>
      <c r="AS5" s="2791" t="s">
        <v>115</v>
      </c>
      <c r="AT5" s="2791" t="s">
        <v>97</v>
      </c>
      <c r="AU5" s="2791">
        <v>6811</v>
      </c>
      <c r="AW5" s="2791" t="s">
        <v>116</v>
      </c>
      <c r="AX5" s="2791" t="s">
        <v>81</v>
      </c>
      <c r="AY5" s="2791" t="s">
        <v>99</v>
      </c>
      <c r="AZ5" s="2791">
        <v>8740</v>
      </c>
      <c r="BB5" s="2791" t="s">
        <v>116</v>
      </c>
      <c r="BC5" s="2791" t="s">
        <v>81</v>
      </c>
      <c r="BD5" s="2791" t="s">
        <v>62</v>
      </c>
      <c r="BF5" s="2791" t="s">
        <v>117</v>
      </c>
    </row>
    <row r="6" spans="1:58">
      <c r="B6" s="2793">
        <v>1302</v>
      </c>
      <c r="C6" s="2793" t="s">
        <v>118</v>
      </c>
      <c r="D6" s="2793">
        <v>1</v>
      </c>
      <c r="E6" s="2793" t="s">
        <v>102</v>
      </c>
      <c r="F6" s="2793"/>
      <c r="G6" s="2793" t="s">
        <v>118</v>
      </c>
      <c r="H6" s="2793"/>
      <c r="I6" s="2793">
        <v>1302</v>
      </c>
      <c r="J6" s="2793" t="s">
        <v>84</v>
      </c>
      <c r="M6" s="2793" t="s">
        <v>71</v>
      </c>
      <c r="N6" s="2794" t="s">
        <v>119</v>
      </c>
      <c r="O6" s="2795">
        <v>1102</v>
      </c>
      <c r="P6" s="2796" t="s">
        <v>120</v>
      </c>
      <c r="Q6" s="2796" t="s">
        <v>121</v>
      </c>
      <c r="R6" s="2791">
        <v>7071</v>
      </c>
      <c r="S6" s="2798" t="s">
        <v>106</v>
      </c>
      <c r="T6" s="2798" t="s">
        <v>107</v>
      </c>
      <c r="U6" s="2798" t="s">
        <v>47</v>
      </c>
      <c r="V6" s="2798">
        <v>1</v>
      </c>
      <c r="W6" s="2798">
        <v>1101</v>
      </c>
      <c r="X6" s="2798">
        <v>1</v>
      </c>
      <c r="Y6" s="2795" t="s">
        <v>295</v>
      </c>
      <c r="Z6" s="2794">
        <v>6</v>
      </c>
      <c r="AA6" s="2794" t="s">
        <v>124</v>
      </c>
      <c r="AB6" s="2795">
        <v>1122</v>
      </c>
      <c r="AD6" s="2791" t="s">
        <v>125</v>
      </c>
      <c r="AE6" s="2791" t="s">
        <v>126</v>
      </c>
      <c r="AG6" s="2791" t="s">
        <v>127</v>
      </c>
      <c r="AI6" s="2791" t="s">
        <v>128</v>
      </c>
      <c r="AK6" s="2791" t="s">
        <v>129</v>
      </c>
      <c r="AS6" s="2791" t="s">
        <v>130</v>
      </c>
      <c r="AT6" s="2791" t="s">
        <v>97</v>
      </c>
      <c r="AU6" s="2791">
        <v>6839</v>
      </c>
      <c r="AW6" s="2791" t="s">
        <v>98</v>
      </c>
      <c r="AX6" s="2791" t="s">
        <v>61</v>
      </c>
      <c r="AY6" s="2791" t="s">
        <v>99</v>
      </c>
      <c r="AZ6" s="2791">
        <v>8040</v>
      </c>
      <c r="BB6" s="2791" t="s">
        <v>98</v>
      </c>
      <c r="BC6" s="2791" t="s">
        <v>61</v>
      </c>
      <c r="BD6" s="2791" t="s">
        <v>62</v>
      </c>
      <c r="BF6" s="2791" t="s">
        <v>131</v>
      </c>
    </row>
    <row r="7" spans="1:58">
      <c r="B7" s="2793">
        <v>1102</v>
      </c>
      <c r="C7" s="2793" t="s">
        <v>71</v>
      </c>
      <c r="D7" s="2793">
        <v>1</v>
      </c>
      <c r="E7" s="2793" t="s">
        <v>119</v>
      </c>
      <c r="F7" s="2793" t="s">
        <v>2827</v>
      </c>
      <c r="G7" s="2793" t="s">
        <v>71</v>
      </c>
      <c r="H7" s="2793" t="s">
        <v>71</v>
      </c>
      <c r="I7" s="2793">
        <v>1102</v>
      </c>
      <c r="J7" s="2793" t="s">
        <v>84</v>
      </c>
      <c r="M7" s="2793" t="s">
        <v>90</v>
      </c>
      <c r="N7" s="2794" t="s">
        <v>132</v>
      </c>
      <c r="O7" s="2795">
        <v>1115</v>
      </c>
      <c r="P7" s="2796" t="s">
        <v>133</v>
      </c>
      <c r="Q7" s="2796" t="s">
        <v>134</v>
      </c>
      <c r="R7" s="2791">
        <v>7096</v>
      </c>
      <c r="S7" s="2798" t="s">
        <v>148</v>
      </c>
      <c r="T7" s="2798" t="s">
        <v>6418</v>
      </c>
      <c r="U7" s="2798" t="s">
        <v>47</v>
      </c>
      <c r="V7" s="2798">
        <v>1</v>
      </c>
      <c r="W7" s="2798">
        <v>1115</v>
      </c>
      <c r="X7" s="2798">
        <v>1</v>
      </c>
      <c r="Y7" s="2795" t="s">
        <v>295</v>
      </c>
      <c r="Z7" s="2794">
        <v>9900</v>
      </c>
      <c r="AA7" s="2794" t="s">
        <v>138</v>
      </c>
      <c r="AB7" s="2795">
        <v>1123</v>
      </c>
      <c r="AD7" s="2791" t="s">
        <v>139</v>
      </c>
      <c r="AE7" s="2791" t="s">
        <v>140</v>
      </c>
      <c r="AG7" s="2791" t="s">
        <v>141</v>
      </c>
      <c r="AK7" s="2791" t="s">
        <v>142</v>
      </c>
      <c r="AS7" s="2791" t="s">
        <v>143</v>
      </c>
      <c r="AT7" s="2791" t="s">
        <v>97</v>
      </c>
      <c r="AU7" s="2791">
        <v>6839</v>
      </c>
      <c r="AW7" s="2791" t="s">
        <v>116</v>
      </c>
      <c r="AX7" s="2791" t="s">
        <v>81</v>
      </c>
      <c r="AY7" s="2791" t="s">
        <v>99</v>
      </c>
      <c r="AZ7" s="2791">
        <v>8040</v>
      </c>
      <c r="BB7" s="2791" t="s">
        <v>116</v>
      </c>
      <c r="BC7" s="2791" t="s">
        <v>81</v>
      </c>
      <c r="BD7" s="2791" t="s">
        <v>62</v>
      </c>
      <c r="BF7" s="2791" t="s">
        <v>144</v>
      </c>
    </row>
    <row r="8" spans="1:58">
      <c r="A8" s="2791" t="s">
        <v>145</v>
      </c>
      <c r="B8" s="2793">
        <v>1101</v>
      </c>
      <c r="C8" s="2793" t="s">
        <v>49</v>
      </c>
      <c r="D8" s="2793">
        <v>1</v>
      </c>
      <c r="E8" s="2793" t="s">
        <v>103</v>
      </c>
      <c r="F8" s="2793" t="s">
        <v>5650</v>
      </c>
      <c r="G8" s="2793" t="s">
        <v>49</v>
      </c>
      <c r="H8" s="2793"/>
      <c r="I8" s="2793">
        <v>1101</v>
      </c>
      <c r="J8" s="2793" t="s">
        <v>84</v>
      </c>
      <c r="M8" s="2793" t="s">
        <v>109</v>
      </c>
      <c r="N8" s="2794"/>
      <c r="O8" s="2795">
        <v>1121</v>
      </c>
      <c r="P8" s="2796" t="s">
        <v>146</v>
      </c>
      <c r="Q8" s="2796" t="s">
        <v>147</v>
      </c>
      <c r="R8" s="2791">
        <v>7101</v>
      </c>
      <c r="S8" s="2798" t="s">
        <v>159</v>
      </c>
      <c r="T8" s="2798" t="s">
        <v>160</v>
      </c>
      <c r="U8" s="2798" t="s">
        <v>1412</v>
      </c>
      <c r="V8" s="2798">
        <v>1</v>
      </c>
      <c r="W8" s="2798">
        <v>1121</v>
      </c>
      <c r="X8" s="2798">
        <v>1</v>
      </c>
      <c r="Y8" s="2795" t="s">
        <v>295</v>
      </c>
      <c r="Z8" s="2794">
        <v>7</v>
      </c>
      <c r="AA8" s="2794" t="s">
        <v>150</v>
      </c>
      <c r="AB8" s="2795">
        <v>1124</v>
      </c>
      <c r="AD8" s="2791" t="s">
        <v>151</v>
      </c>
      <c r="AE8" s="2791" t="s">
        <v>152</v>
      </c>
      <c r="AG8" s="2791" t="s">
        <v>153</v>
      </c>
      <c r="AK8" s="2791" t="s">
        <v>154</v>
      </c>
      <c r="AS8" s="2791" t="s">
        <v>155</v>
      </c>
      <c r="AT8" s="2791" t="s">
        <v>97</v>
      </c>
      <c r="AU8" s="2791">
        <v>6842</v>
      </c>
      <c r="AW8" s="2791" t="s">
        <v>98</v>
      </c>
      <c r="AX8" s="2791" t="s">
        <v>61</v>
      </c>
      <c r="AY8" s="2791" t="s">
        <v>99</v>
      </c>
      <c r="AZ8" s="2791">
        <v>8940</v>
      </c>
      <c r="BB8" s="2791" t="s">
        <v>98</v>
      </c>
      <c r="BC8" s="2791" t="s">
        <v>61</v>
      </c>
      <c r="BD8" s="2791" t="s">
        <v>62</v>
      </c>
      <c r="BF8" s="2791" t="s">
        <v>156</v>
      </c>
    </row>
    <row r="9" spans="1:58">
      <c r="A9" s="2791" t="s">
        <v>51</v>
      </c>
      <c r="B9" s="2793">
        <v>1115</v>
      </c>
      <c r="C9" s="2793" t="s">
        <v>90</v>
      </c>
      <c r="D9" s="2793">
        <v>1</v>
      </c>
      <c r="E9" s="2793" t="s">
        <v>132</v>
      </c>
      <c r="F9" s="2793" t="s">
        <v>5651</v>
      </c>
      <c r="G9" s="2793" t="s">
        <v>90</v>
      </c>
      <c r="H9" s="2793"/>
      <c r="I9" s="2793">
        <v>1115</v>
      </c>
      <c r="J9" s="2793" t="s">
        <v>84</v>
      </c>
      <c r="M9" s="2793" t="s">
        <v>124</v>
      </c>
      <c r="N9" s="2794"/>
      <c r="O9" s="2795">
        <v>1122</v>
      </c>
      <c r="P9" s="2796" t="s">
        <v>157</v>
      </c>
      <c r="Q9" s="2796" t="s">
        <v>158</v>
      </c>
      <c r="R9" s="2791">
        <v>7105</v>
      </c>
      <c r="S9" s="2798" t="s">
        <v>263</v>
      </c>
      <c r="T9" s="2798" t="s">
        <v>264</v>
      </c>
      <c r="U9" s="2798" t="s">
        <v>1412</v>
      </c>
      <c r="V9" s="2798">
        <v>1</v>
      </c>
      <c r="W9" s="2798">
        <v>1121</v>
      </c>
      <c r="X9" s="2798">
        <v>1</v>
      </c>
      <c r="Y9" s="2795" t="s">
        <v>6612</v>
      </c>
      <c r="Z9" s="2794">
        <v>8</v>
      </c>
      <c r="AA9" s="2794" t="s">
        <v>162</v>
      </c>
      <c r="AB9" s="2795">
        <v>1125</v>
      </c>
      <c r="AD9" s="2791" t="s">
        <v>163</v>
      </c>
      <c r="AE9" s="2791" t="s">
        <v>164</v>
      </c>
      <c r="AG9" s="2791" t="s">
        <v>165</v>
      </c>
      <c r="AS9" s="2791" t="s">
        <v>166</v>
      </c>
      <c r="AT9" s="2791" t="s">
        <v>97</v>
      </c>
      <c r="AU9" s="2791">
        <v>6842</v>
      </c>
      <c r="AW9" s="2791" t="s">
        <v>116</v>
      </c>
      <c r="AX9" s="2791" t="s">
        <v>81</v>
      </c>
      <c r="AY9" s="2791" t="s">
        <v>99</v>
      </c>
      <c r="AZ9" s="2791">
        <v>8940</v>
      </c>
      <c r="BB9" s="2791" t="s">
        <v>116</v>
      </c>
      <c r="BC9" s="2791" t="s">
        <v>81</v>
      </c>
      <c r="BD9" s="2791" t="s">
        <v>62</v>
      </c>
    </row>
    <row r="10" spans="1:58">
      <c r="A10" s="2791" t="s">
        <v>6656</v>
      </c>
      <c r="B10" s="2793">
        <v>1121</v>
      </c>
      <c r="C10" s="2793" t="s">
        <v>109</v>
      </c>
      <c r="D10" s="2793">
        <v>1</v>
      </c>
      <c r="E10" s="2793"/>
      <c r="F10" s="2793" t="s">
        <v>2880</v>
      </c>
      <c r="G10" s="2793" t="s">
        <v>109</v>
      </c>
      <c r="H10" s="2793"/>
      <c r="I10" s="2793">
        <v>1121</v>
      </c>
      <c r="J10" s="2793" t="s">
        <v>84</v>
      </c>
      <c r="M10" s="2793" t="s">
        <v>167</v>
      </c>
      <c r="N10" s="2794"/>
      <c r="O10" s="2795">
        <v>1122.1231</v>
      </c>
      <c r="P10" s="2796" t="s">
        <v>168</v>
      </c>
      <c r="Q10" s="2796" t="s">
        <v>169</v>
      </c>
      <c r="R10" s="2791">
        <v>7111</v>
      </c>
      <c r="S10" s="2798" t="s">
        <v>170</v>
      </c>
      <c r="T10" s="2798" t="s">
        <v>171</v>
      </c>
      <c r="U10" s="2798" t="s">
        <v>47</v>
      </c>
      <c r="V10" s="2798">
        <v>1</v>
      </c>
      <c r="W10" s="2798">
        <v>1121</v>
      </c>
      <c r="X10" s="2798">
        <v>2</v>
      </c>
      <c r="Y10" s="2795" t="s">
        <v>295</v>
      </c>
      <c r="Z10" s="2794">
        <v>9.1999999999999993</v>
      </c>
      <c r="AA10" s="2794" t="s">
        <v>172</v>
      </c>
      <c r="AB10" s="2795">
        <v>1131</v>
      </c>
      <c r="AD10" s="2791" t="s">
        <v>173</v>
      </c>
      <c r="AE10" s="2791" t="s">
        <v>84</v>
      </c>
      <c r="AG10" s="2791" t="s">
        <v>174</v>
      </c>
      <c r="AS10" s="2791" t="s">
        <v>175</v>
      </c>
      <c r="AT10" s="2791" t="s">
        <v>99</v>
      </c>
      <c r="AU10" s="2791">
        <v>8110</v>
      </c>
      <c r="AW10" s="2791" t="s">
        <v>98</v>
      </c>
      <c r="AX10" s="2791" t="s">
        <v>61</v>
      </c>
      <c r="AY10" s="2791" t="s">
        <v>99</v>
      </c>
      <c r="AZ10" s="2791">
        <v>8199</v>
      </c>
      <c r="BB10" s="2791" t="s">
        <v>116</v>
      </c>
      <c r="BC10" s="2791" t="s">
        <v>81</v>
      </c>
      <c r="BD10" s="2791" t="s">
        <v>62</v>
      </c>
    </row>
    <row r="11" spans="1:58">
      <c r="B11" s="2793">
        <v>1122</v>
      </c>
      <c r="C11" s="2793" t="s">
        <v>124</v>
      </c>
      <c r="D11" s="2793">
        <v>1</v>
      </c>
      <c r="E11" s="2793"/>
      <c r="F11" s="2793" t="s">
        <v>2935</v>
      </c>
      <c r="G11" s="2793" t="s">
        <v>124</v>
      </c>
      <c r="H11" s="2793"/>
      <c r="I11" s="2793">
        <v>1122</v>
      </c>
      <c r="J11" s="2793" t="s">
        <v>84</v>
      </c>
      <c r="M11" s="2793" t="s">
        <v>150</v>
      </c>
      <c r="N11" s="2794" t="s">
        <v>119</v>
      </c>
      <c r="O11" s="2795">
        <v>1124</v>
      </c>
      <c r="P11" s="2796" t="s">
        <v>176</v>
      </c>
      <c r="Q11" s="2796" t="s">
        <v>177</v>
      </c>
      <c r="R11" s="2791">
        <v>7121</v>
      </c>
      <c r="S11" s="2798" t="s">
        <v>178</v>
      </c>
      <c r="T11" s="2798" t="s">
        <v>179</v>
      </c>
      <c r="U11" s="2798" t="s">
        <v>1412</v>
      </c>
      <c r="V11" s="2798">
        <v>1</v>
      </c>
      <c r="W11" s="2798">
        <v>1121</v>
      </c>
      <c r="X11" s="2798">
        <v>2</v>
      </c>
      <c r="Y11" s="2795" t="s">
        <v>295</v>
      </c>
      <c r="Z11" s="2794">
        <v>9.1</v>
      </c>
      <c r="AA11" s="2794" t="s">
        <v>180</v>
      </c>
      <c r="AB11" s="2795">
        <v>1132</v>
      </c>
      <c r="AD11" s="2791" t="s">
        <v>181</v>
      </c>
      <c r="AE11" s="2791" t="s">
        <v>182</v>
      </c>
      <c r="AG11" s="2791" t="s">
        <v>183</v>
      </c>
      <c r="AS11" s="2791" t="s">
        <v>184</v>
      </c>
      <c r="AT11" s="2791" t="s">
        <v>99</v>
      </c>
      <c r="AU11" s="2791">
        <v>8210</v>
      </c>
      <c r="AW11" s="2791" t="s">
        <v>98</v>
      </c>
      <c r="AX11" s="2791" t="s">
        <v>61</v>
      </c>
      <c r="AY11" s="2791" t="s">
        <v>99</v>
      </c>
      <c r="AZ11" s="2791">
        <v>8299</v>
      </c>
      <c r="BB11" s="2791" t="s">
        <v>116</v>
      </c>
      <c r="BC11" s="2791" t="s">
        <v>81</v>
      </c>
      <c r="BD11" s="2791" t="s">
        <v>62</v>
      </c>
    </row>
    <row r="12" spans="1:58">
      <c r="A12" s="2791" t="s">
        <v>185</v>
      </c>
      <c r="B12" s="2793">
        <v>1124</v>
      </c>
      <c r="C12" s="2793" t="s">
        <v>150</v>
      </c>
      <c r="D12" s="2793">
        <v>1</v>
      </c>
      <c r="E12" s="2793" t="s">
        <v>119</v>
      </c>
      <c r="F12" s="2793" t="s">
        <v>3090</v>
      </c>
      <c r="G12" s="2793" t="s">
        <v>150</v>
      </c>
      <c r="H12" s="2793" t="s">
        <v>150</v>
      </c>
      <c r="I12" s="2793">
        <v>1124</v>
      </c>
      <c r="J12" s="2793" t="s">
        <v>84</v>
      </c>
      <c r="M12" s="2793" t="s">
        <v>162</v>
      </c>
      <c r="N12" s="2794"/>
      <c r="O12" s="2795">
        <v>1125</v>
      </c>
      <c r="P12" s="2796" t="s">
        <v>187</v>
      </c>
      <c r="Q12" s="2796" t="s">
        <v>188</v>
      </c>
      <c r="R12" s="2791">
        <v>7146</v>
      </c>
      <c r="S12" s="2798" t="s">
        <v>189</v>
      </c>
      <c r="T12" s="2798" t="s">
        <v>190</v>
      </c>
      <c r="U12" s="2798" t="s">
        <v>1412</v>
      </c>
      <c r="V12" s="2798">
        <v>1</v>
      </c>
      <c r="W12" s="2798">
        <v>1121</v>
      </c>
      <c r="X12" s="2798">
        <v>2</v>
      </c>
      <c r="Y12" s="2795" t="s">
        <v>295</v>
      </c>
      <c r="Z12" s="2794">
        <v>9</v>
      </c>
      <c r="AA12" s="2794" t="s">
        <v>191</v>
      </c>
      <c r="AB12" s="2795">
        <v>1220</v>
      </c>
      <c r="AD12" s="2791" t="s">
        <v>192</v>
      </c>
      <c r="AE12" s="2791" t="s">
        <v>193</v>
      </c>
      <c r="AG12" s="2791" t="s">
        <v>194</v>
      </c>
      <c r="AS12" s="2791" t="s">
        <v>195</v>
      </c>
      <c r="AT12" s="2791" t="s">
        <v>99</v>
      </c>
      <c r="AU12" s="2791">
        <v>8310</v>
      </c>
      <c r="AW12" s="2791" t="s">
        <v>98</v>
      </c>
      <c r="AX12" s="2791" t="s">
        <v>61</v>
      </c>
      <c r="AY12" s="2791" t="s">
        <v>99</v>
      </c>
      <c r="AZ12" s="2791">
        <v>8399</v>
      </c>
      <c r="BB12" s="2791" t="s">
        <v>116</v>
      </c>
      <c r="BC12" s="2791" t="s">
        <v>81</v>
      </c>
      <c r="BD12" s="2791" t="s">
        <v>62</v>
      </c>
    </row>
    <row r="13" spans="1:58">
      <c r="A13" s="2791" t="s">
        <v>6648</v>
      </c>
      <c r="B13" s="2793">
        <v>1125</v>
      </c>
      <c r="C13" s="2793" t="s">
        <v>162</v>
      </c>
      <c r="D13" s="2793">
        <v>1</v>
      </c>
      <c r="E13" s="2793"/>
      <c r="F13" s="2793" t="s">
        <v>5652</v>
      </c>
      <c r="G13" s="2793" t="s">
        <v>162</v>
      </c>
      <c r="H13" s="2793"/>
      <c r="I13" s="2793">
        <v>1125</v>
      </c>
      <c r="J13" s="2793" t="s">
        <v>84</v>
      </c>
      <c r="M13" s="2793" t="s">
        <v>206</v>
      </c>
      <c r="N13" s="2794"/>
      <c r="O13" s="2795">
        <v>1125.1231</v>
      </c>
      <c r="P13" s="2796" t="s">
        <v>197</v>
      </c>
      <c r="Q13" s="2796" t="s">
        <v>198</v>
      </c>
      <c r="R13" s="2791">
        <v>7151</v>
      </c>
      <c r="S13" s="2798" t="s">
        <v>199</v>
      </c>
      <c r="T13" s="2798" t="s">
        <v>200</v>
      </c>
      <c r="U13" s="2798" t="s">
        <v>47</v>
      </c>
      <c r="V13" s="2798">
        <v>1</v>
      </c>
      <c r="W13" s="2798">
        <v>1121</v>
      </c>
      <c r="X13" s="2798">
        <v>2</v>
      </c>
      <c r="Y13" s="2795" t="s">
        <v>295</v>
      </c>
      <c r="Z13" s="2794">
        <v>9.3000000000000007</v>
      </c>
      <c r="AA13" s="2794" t="s">
        <v>201</v>
      </c>
      <c r="AB13" s="2795">
        <v>1221</v>
      </c>
      <c r="AD13" s="2791" t="s">
        <v>202</v>
      </c>
      <c r="AE13" s="2791" t="s">
        <v>203</v>
      </c>
      <c r="AS13" s="2791" t="s">
        <v>204</v>
      </c>
      <c r="AT13" s="2791" t="s">
        <v>99</v>
      </c>
      <c r="AU13" s="2791">
        <v>8410</v>
      </c>
      <c r="AW13" s="2791" t="s">
        <v>98</v>
      </c>
      <c r="AX13" s="2791" t="s">
        <v>61</v>
      </c>
      <c r="AY13" s="2791" t="s">
        <v>99</v>
      </c>
      <c r="AZ13" s="2791">
        <v>8499</v>
      </c>
      <c r="BB13" s="2791" t="s">
        <v>116</v>
      </c>
      <c r="BC13" s="2791" t="s">
        <v>81</v>
      </c>
      <c r="BD13" s="2791" t="s">
        <v>62</v>
      </c>
    </row>
    <row r="14" spans="1:58">
      <c r="A14" s="2791" t="s">
        <v>6606</v>
      </c>
      <c r="B14" s="2793">
        <v>1127</v>
      </c>
      <c r="C14" s="2793" t="s">
        <v>186</v>
      </c>
      <c r="D14" s="2793">
        <v>1</v>
      </c>
      <c r="E14" s="2793" t="s">
        <v>102</v>
      </c>
      <c r="F14" s="2793"/>
      <c r="G14" s="2793" t="s">
        <v>186</v>
      </c>
      <c r="H14" s="2793"/>
      <c r="I14" s="2793">
        <v>1127</v>
      </c>
      <c r="J14" s="2793" t="s">
        <v>84</v>
      </c>
      <c r="M14" s="2793" t="s">
        <v>172</v>
      </c>
      <c r="N14" s="2794"/>
      <c r="O14" s="2795">
        <v>1131</v>
      </c>
      <c r="P14" s="2796" t="s">
        <v>207</v>
      </c>
      <c r="Q14" s="2796" t="s">
        <v>208</v>
      </c>
      <c r="R14" s="2791">
        <v>7161</v>
      </c>
      <c r="S14" s="2798" t="s">
        <v>209</v>
      </c>
      <c r="T14" s="2798" t="s">
        <v>210</v>
      </c>
      <c r="U14" s="2798" t="s">
        <v>6419</v>
      </c>
      <c r="V14" s="2798">
        <v>1</v>
      </c>
      <c r="W14" s="2798">
        <v>1121</v>
      </c>
      <c r="X14" s="2798">
        <v>2</v>
      </c>
      <c r="Y14" s="2795" t="s">
        <v>295</v>
      </c>
      <c r="Z14" s="2794">
        <v>9900</v>
      </c>
      <c r="AA14" s="2794" t="s">
        <v>211</v>
      </c>
      <c r="AB14" s="2795">
        <v>1314</v>
      </c>
      <c r="AD14" s="2791" t="s">
        <v>212</v>
      </c>
      <c r="AE14" s="2791" t="s">
        <v>213</v>
      </c>
      <c r="AS14" s="2791" t="s">
        <v>214</v>
      </c>
      <c r="AT14" s="2791" t="s">
        <v>99</v>
      </c>
      <c r="AU14" s="2791">
        <v>8510</v>
      </c>
      <c r="AW14" s="2791" t="s">
        <v>98</v>
      </c>
      <c r="AX14" s="2791" t="s">
        <v>61</v>
      </c>
      <c r="AY14" s="2791" t="s">
        <v>99</v>
      </c>
      <c r="AZ14" s="2791">
        <v>8599</v>
      </c>
      <c r="BB14" s="2791" t="s">
        <v>116</v>
      </c>
      <c r="BC14" s="2791" t="s">
        <v>81</v>
      </c>
      <c r="BD14" s="2791" t="s">
        <v>62</v>
      </c>
    </row>
    <row r="15" spans="1:58">
      <c r="A15" s="2791" t="s">
        <v>215</v>
      </c>
      <c r="B15" s="2793">
        <v>1211</v>
      </c>
      <c r="C15" s="2793" t="s">
        <v>196</v>
      </c>
      <c r="D15" s="2793">
        <v>1</v>
      </c>
      <c r="E15" s="2793" t="s">
        <v>102</v>
      </c>
      <c r="F15" s="2793"/>
      <c r="G15" s="2793" t="s">
        <v>196</v>
      </c>
      <c r="H15" s="2793"/>
      <c r="I15" s="2793">
        <v>1211</v>
      </c>
      <c r="J15" s="2793" t="s">
        <v>84</v>
      </c>
      <c r="M15" s="2793" t="s">
        <v>180</v>
      </c>
      <c r="N15" s="2794"/>
      <c r="O15" s="2795">
        <v>1132</v>
      </c>
      <c r="P15" s="2796" t="s">
        <v>217</v>
      </c>
      <c r="Q15" s="2796" t="s">
        <v>218</v>
      </c>
      <c r="R15" s="2791">
        <v>7171</v>
      </c>
      <c r="S15" s="2798" t="s">
        <v>219</v>
      </c>
      <c r="T15" s="2798" t="s">
        <v>220</v>
      </c>
      <c r="U15" s="2798" t="s">
        <v>6419</v>
      </c>
      <c r="V15" s="2798">
        <v>1</v>
      </c>
      <c r="W15" s="2798">
        <v>1121</v>
      </c>
      <c r="X15" s="2798">
        <v>2</v>
      </c>
      <c r="Y15" s="2795" t="s">
        <v>295</v>
      </c>
      <c r="Z15" s="2794">
        <v>11</v>
      </c>
      <c r="AA15" s="2794" t="s">
        <v>221</v>
      </c>
      <c r="AB15" s="2795">
        <v>1315</v>
      </c>
      <c r="AD15" s="2791" t="s">
        <v>222</v>
      </c>
      <c r="AE15" s="2791" t="s">
        <v>223</v>
      </c>
      <c r="AS15" s="2791" t="s">
        <v>224</v>
      </c>
      <c r="AT15" s="2791" t="s">
        <v>99</v>
      </c>
      <c r="AU15" s="2791">
        <v>8610</v>
      </c>
      <c r="AW15" s="2791" t="s">
        <v>98</v>
      </c>
      <c r="AX15" s="2791" t="s">
        <v>61</v>
      </c>
      <c r="AY15" s="2791" t="s">
        <v>99</v>
      </c>
      <c r="AZ15" s="2791">
        <v>8699</v>
      </c>
      <c r="BB15" s="2791" t="s">
        <v>116</v>
      </c>
      <c r="BC15" s="2791" t="s">
        <v>81</v>
      </c>
      <c r="BD15" s="2791" t="s">
        <v>62</v>
      </c>
    </row>
    <row r="16" spans="1:58">
      <c r="B16" s="2793">
        <v>1212</v>
      </c>
      <c r="C16" s="2793" t="s">
        <v>205</v>
      </c>
      <c r="D16" s="2793">
        <v>1</v>
      </c>
      <c r="E16" s="2793" t="s">
        <v>102</v>
      </c>
      <c r="F16" s="2793"/>
      <c r="G16" s="2793" t="s">
        <v>205</v>
      </c>
      <c r="H16" s="2793" t="s">
        <v>5653</v>
      </c>
      <c r="I16" s="2793">
        <v>1212</v>
      </c>
      <c r="J16" s="2793" t="s">
        <v>84</v>
      </c>
      <c r="M16" s="2793" t="s">
        <v>201</v>
      </c>
      <c r="N16" s="2794"/>
      <c r="O16" s="2795">
        <v>1221</v>
      </c>
      <c r="P16" s="2796" t="s">
        <v>225</v>
      </c>
      <c r="Q16" s="2796" t="s">
        <v>226</v>
      </c>
      <c r="R16" s="2791">
        <v>7196</v>
      </c>
      <c r="S16" s="2798" t="s">
        <v>6117</v>
      </c>
      <c r="T16" s="2798" t="s">
        <v>6118</v>
      </c>
      <c r="U16" s="2798" t="s">
        <v>6420</v>
      </c>
      <c r="V16" s="2798">
        <v>1</v>
      </c>
      <c r="W16" s="2798">
        <v>1121</v>
      </c>
      <c r="X16" s="2798">
        <v>2</v>
      </c>
      <c r="Y16" s="2795" t="s">
        <v>295</v>
      </c>
      <c r="Z16" s="2794">
        <v>10</v>
      </c>
      <c r="AA16" s="2794" t="s">
        <v>229</v>
      </c>
      <c r="AB16" s="2795">
        <v>1400</v>
      </c>
      <c r="AD16" s="2791" t="s">
        <v>230</v>
      </c>
      <c r="AE16" s="2791" t="s">
        <v>231</v>
      </c>
      <c r="AS16" s="2791" t="s">
        <v>232</v>
      </c>
      <c r="AT16" s="2791" t="s">
        <v>99</v>
      </c>
      <c r="AU16" s="2791">
        <v>8710</v>
      </c>
      <c r="AW16" s="2791" t="s">
        <v>98</v>
      </c>
      <c r="AX16" s="2791" t="s">
        <v>61</v>
      </c>
      <c r="AY16" s="2791" t="s">
        <v>99</v>
      </c>
      <c r="AZ16" s="2791">
        <v>8799</v>
      </c>
      <c r="BB16" s="2791" t="s">
        <v>116</v>
      </c>
      <c r="BC16" s="2791" t="s">
        <v>81</v>
      </c>
      <c r="BD16" s="2791" t="s">
        <v>62</v>
      </c>
    </row>
    <row r="17" spans="2:56">
      <c r="B17" s="2793">
        <v>1220</v>
      </c>
      <c r="C17" s="2793" t="s">
        <v>191</v>
      </c>
      <c r="D17" s="2793">
        <v>1</v>
      </c>
      <c r="E17" s="2793"/>
      <c r="F17" s="2793"/>
      <c r="G17" s="2793" t="s">
        <v>201</v>
      </c>
      <c r="H17" s="2793" t="s">
        <v>201</v>
      </c>
      <c r="I17" s="2793">
        <v>1220</v>
      </c>
      <c r="J17" s="2793"/>
      <c r="M17" s="2793" t="s">
        <v>242</v>
      </c>
      <c r="N17" s="2794"/>
      <c r="O17" s="2795">
        <v>1221.1231</v>
      </c>
      <c r="P17" s="2796" t="s">
        <v>233</v>
      </c>
      <c r="Q17" s="2796" t="s">
        <v>234</v>
      </c>
      <c r="R17" s="2791">
        <v>7201</v>
      </c>
      <c r="S17" s="2798" t="s">
        <v>227</v>
      </c>
      <c r="T17" s="2798" t="s">
        <v>228</v>
      </c>
      <c r="U17" s="2798" t="s">
        <v>5117</v>
      </c>
      <c r="V17" s="2798">
        <v>1</v>
      </c>
      <c r="W17" s="2798">
        <v>1121</v>
      </c>
      <c r="X17" s="2798">
        <v>2</v>
      </c>
      <c r="Y17" s="2795" t="s">
        <v>295</v>
      </c>
      <c r="Z17" s="2794">
        <v>12</v>
      </c>
      <c r="AA17" s="2794" t="s">
        <v>237</v>
      </c>
      <c r="AB17" s="2795">
        <v>1495</v>
      </c>
      <c r="AD17" s="2791" t="s">
        <v>238</v>
      </c>
      <c r="AE17" s="2791" t="s">
        <v>239</v>
      </c>
      <c r="AS17" s="2791" t="s">
        <v>240</v>
      </c>
      <c r="AT17" s="2791" t="s">
        <v>99</v>
      </c>
      <c r="AU17" s="2791">
        <v>8810</v>
      </c>
      <c r="AW17" s="2791" t="s">
        <v>98</v>
      </c>
      <c r="AX17" s="2791" t="s">
        <v>61</v>
      </c>
      <c r="AY17" s="2791" t="s">
        <v>99</v>
      </c>
      <c r="AZ17" s="2791">
        <v>8899</v>
      </c>
      <c r="BB17" s="2791" t="s">
        <v>116</v>
      </c>
      <c r="BC17" s="2791" t="s">
        <v>81</v>
      </c>
      <c r="BD17" s="2791" t="s">
        <v>62</v>
      </c>
    </row>
    <row r="18" spans="2:56">
      <c r="B18" s="2793">
        <v>1132</v>
      </c>
      <c r="C18" s="2793" t="s">
        <v>180</v>
      </c>
      <c r="D18" s="2793">
        <v>1</v>
      </c>
      <c r="E18" s="2793"/>
      <c r="F18" s="2793" t="s">
        <v>5654</v>
      </c>
      <c r="G18" s="2793" t="s">
        <v>216</v>
      </c>
      <c r="H18" s="2793"/>
      <c r="I18" s="2793">
        <v>1132</v>
      </c>
      <c r="J18" s="2793" t="s">
        <v>84</v>
      </c>
      <c r="M18" s="2793" t="s">
        <v>251</v>
      </c>
      <c r="N18" s="2794" t="s">
        <v>252</v>
      </c>
      <c r="O18" s="2795">
        <v>1313</v>
      </c>
      <c r="P18" s="2796" t="s">
        <v>243</v>
      </c>
      <c r="Q18" s="2796" t="s">
        <v>244</v>
      </c>
      <c r="R18" s="2791">
        <v>7201.01</v>
      </c>
      <c r="S18" s="2798" t="s">
        <v>235</v>
      </c>
      <c r="T18" s="2798" t="s">
        <v>236</v>
      </c>
      <c r="U18" s="2798" t="s">
        <v>1465</v>
      </c>
      <c r="V18" s="2798">
        <v>1</v>
      </c>
      <c r="W18" s="2798">
        <v>1121</v>
      </c>
      <c r="X18" s="2798">
        <v>2</v>
      </c>
      <c r="Y18" s="2795" t="s">
        <v>295</v>
      </c>
      <c r="Z18" s="2794">
        <v>13</v>
      </c>
      <c r="AA18" s="2794" t="s">
        <v>247</v>
      </c>
      <c r="AB18" s="2795">
        <v>1496</v>
      </c>
      <c r="AD18" s="2791" t="s">
        <v>248</v>
      </c>
      <c r="AE18" s="2791" t="s">
        <v>249</v>
      </c>
      <c r="AS18" s="2791" t="s">
        <v>250</v>
      </c>
      <c r="AT18" s="2791" t="s">
        <v>99</v>
      </c>
      <c r="AU18" s="2791">
        <v>8010</v>
      </c>
      <c r="AW18" s="2791" t="s">
        <v>98</v>
      </c>
      <c r="AX18" s="2791" t="s">
        <v>61</v>
      </c>
      <c r="AY18" s="2791" t="s">
        <v>99</v>
      </c>
      <c r="AZ18" s="2791">
        <v>8099</v>
      </c>
      <c r="BB18" s="2791" t="s">
        <v>116</v>
      </c>
      <c r="BC18" s="2791" t="s">
        <v>81</v>
      </c>
      <c r="BD18" s="2791" t="s">
        <v>62</v>
      </c>
    </row>
    <row r="19" spans="2:56">
      <c r="B19" s="2793">
        <v>1131</v>
      </c>
      <c r="C19" s="2793" t="s">
        <v>172</v>
      </c>
      <c r="D19" s="2793">
        <v>1</v>
      </c>
      <c r="E19" s="2793"/>
      <c r="F19" s="2793" t="s">
        <v>5655</v>
      </c>
      <c r="G19" s="2793" t="s">
        <v>172</v>
      </c>
      <c r="H19" s="2793"/>
      <c r="I19" s="2793">
        <v>1131</v>
      </c>
      <c r="J19" s="2793" t="s">
        <v>84</v>
      </c>
      <c r="M19" s="2793" t="s">
        <v>221</v>
      </c>
      <c r="N19" s="2794" t="s">
        <v>132</v>
      </c>
      <c r="O19" s="2795">
        <v>1315</v>
      </c>
      <c r="P19" s="2796" t="s">
        <v>253</v>
      </c>
      <c r="Q19" s="2796" t="s">
        <v>254</v>
      </c>
      <c r="R19" s="2791">
        <v>7211</v>
      </c>
      <c r="S19" s="2798" t="s">
        <v>245</v>
      </c>
      <c r="T19" s="2798" t="s">
        <v>246</v>
      </c>
      <c r="U19" s="2798" t="s">
        <v>47</v>
      </c>
      <c r="V19" s="2798">
        <v>1</v>
      </c>
      <c r="W19" s="2798">
        <v>1121</v>
      </c>
      <c r="X19" s="2798">
        <v>2</v>
      </c>
      <c r="Y19" s="2795" t="s">
        <v>295</v>
      </c>
      <c r="Z19" s="2794">
        <v>17</v>
      </c>
      <c r="AA19" s="2794" t="s">
        <v>257</v>
      </c>
      <c r="AB19" s="2795">
        <v>1501</v>
      </c>
      <c r="AD19" s="2791" t="s">
        <v>258</v>
      </c>
      <c r="AE19" s="2791" t="s">
        <v>259</v>
      </c>
      <c r="AS19" s="2791" t="s">
        <v>260</v>
      </c>
      <c r="AT19" s="2791" t="s">
        <v>99</v>
      </c>
      <c r="AU19" s="2791">
        <v>8199</v>
      </c>
      <c r="AW19" s="2791" t="s">
        <v>98</v>
      </c>
      <c r="AX19" s="2791" t="s">
        <v>61</v>
      </c>
      <c r="AY19" s="2791" t="s">
        <v>59</v>
      </c>
      <c r="AZ19" s="2791">
        <v>4001</v>
      </c>
      <c r="BB19" s="2791" t="s">
        <v>60</v>
      </c>
      <c r="BC19" s="2791" t="s">
        <v>61</v>
      </c>
      <c r="BD19" s="2791" t="s">
        <v>62</v>
      </c>
    </row>
    <row r="20" spans="2:56">
      <c r="B20" s="2793">
        <v>1221</v>
      </c>
      <c r="C20" s="2793" t="s">
        <v>201</v>
      </c>
      <c r="D20" s="2793">
        <v>1</v>
      </c>
      <c r="E20" s="2793"/>
      <c r="F20" s="2793" t="s">
        <v>3137</v>
      </c>
      <c r="G20" s="2793" t="s">
        <v>201</v>
      </c>
      <c r="H20" s="2793"/>
      <c r="I20" s="2793">
        <v>1221</v>
      </c>
      <c r="J20" s="2793" t="s">
        <v>84</v>
      </c>
      <c r="M20" s="2793" t="s">
        <v>229</v>
      </c>
      <c r="N20" s="2794"/>
      <c r="O20" s="2795">
        <v>1400</v>
      </c>
      <c r="P20" s="2796" t="s">
        <v>261</v>
      </c>
      <c r="Q20" s="2796" t="s">
        <v>262</v>
      </c>
      <c r="R20" s="2791">
        <v>7246</v>
      </c>
      <c r="S20" s="2798" t="s">
        <v>255</v>
      </c>
      <c r="T20" s="2798" t="s">
        <v>256</v>
      </c>
      <c r="U20" s="2798" t="s">
        <v>1465</v>
      </c>
      <c r="V20" s="2798">
        <v>1</v>
      </c>
      <c r="W20" s="2798">
        <v>1121</v>
      </c>
      <c r="X20" s="2798">
        <v>2</v>
      </c>
      <c r="Y20" s="2795" t="s">
        <v>295</v>
      </c>
      <c r="Z20" s="2794">
        <v>15</v>
      </c>
      <c r="AA20" s="2794" t="s">
        <v>265</v>
      </c>
      <c r="AB20" s="2795">
        <v>1503</v>
      </c>
      <c r="AD20" s="2791" t="s">
        <v>266</v>
      </c>
      <c r="AE20" s="2791" t="s">
        <v>267</v>
      </c>
      <c r="AS20" s="2791" t="s">
        <v>268</v>
      </c>
      <c r="AT20" s="2791" t="s">
        <v>99</v>
      </c>
      <c r="AU20" s="2791">
        <v>8199</v>
      </c>
      <c r="AW20" s="2791" t="s">
        <v>116</v>
      </c>
      <c r="AX20" s="2791" t="s">
        <v>81</v>
      </c>
      <c r="AY20" s="2791" t="s">
        <v>59</v>
      </c>
      <c r="AZ20" s="2791">
        <v>4001</v>
      </c>
      <c r="BB20" s="2791" t="s">
        <v>80</v>
      </c>
      <c r="BC20" s="2791" t="s">
        <v>81</v>
      </c>
      <c r="BD20" s="2791" t="s">
        <v>62</v>
      </c>
    </row>
    <row r="21" spans="2:56">
      <c r="B21" s="2793">
        <v>1111</v>
      </c>
      <c r="C21" s="2793" t="s">
        <v>241</v>
      </c>
      <c r="D21" s="2793">
        <v>1</v>
      </c>
      <c r="E21" s="2793" t="s">
        <v>102</v>
      </c>
      <c r="F21" s="2793"/>
      <c r="G21" s="2793" t="s">
        <v>241</v>
      </c>
      <c r="H21" s="2793"/>
      <c r="I21" s="2793">
        <v>1111</v>
      </c>
      <c r="J21" s="2793" t="s">
        <v>84</v>
      </c>
      <c r="M21" s="2793" t="s">
        <v>278</v>
      </c>
      <c r="N21" s="2794"/>
      <c r="O21" s="2795">
        <v>1400.1401000000001</v>
      </c>
      <c r="P21" s="2796" t="s">
        <v>269</v>
      </c>
      <c r="Q21" s="2796" t="s">
        <v>270</v>
      </c>
      <c r="R21" s="2791">
        <v>7251</v>
      </c>
      <c r="S21" s="2798" t="s">
        <v>5585</v>
      </c>
      <c r="T21" s="2798" t="s">
        <v>5586</v>
      </c>
      <c r="U21" s="2798" t="s">
        <v>47</v>
      </c>
      <c r="V21" s="2798">
        <v>1</v>
      </c>
      <c r="W21" s="2798">
        <v>1121</v>
      </c>
      <c r="X21" s="2798">
        <v>2</v>
      </c>
      <c r="Y21" s="2795" t="s">
        <v>295</v>
      </c>
      <c r="Z21" s="2794">
        <v>14</v>
      </c>
      <c r="AA21" s="2794" t="s">
        <v>274</v>
      </c>
      <c r="AB21" s="2795">
        <v>1505</v>
      </c>
      <c r="AD21" s="2791" t="s">
        <v>275</v>
      </c>
      <c r="AE21" s="2791" t="s">
        <v>276</v>
      </c>
      <c r="AS21" s="2791" t="s">
        <v>277</v>
      </c>
      <c r="AT21" s="2791" t="s">
        <v>99</v>
      </c>
      <c r="AU21" s="2791">
        <v>8299</v>
      </c>
      <c r="AW21" s="2791" t="s">
        <v>98</v>
      </c>
      <c r="AX21" s="2791" t="s">
        <v>61</v>
      </c>
      <c r="AY21" s="2791" t="s">
        <v>59</v>
      </c>
      <c r="AZ21" s="2791">
        <v>4002</v>
      </c>
      <c r="BB21" s="2791" t="s">
        <v>60</v>
      </c>
      <c r="BC21" s="2791" t="s">
        <v>61</v>
      </c>
      <c r="BD21" s="2791" t="s">
        <v>62</v>
      </c>
    </row>
    <row r="22" spans="2:56">
      <c r="B22" s="2793">
        <v>1400</v>
      </c>
      <c r="C22" s="2793" t="s">
        <v>229</v>
      </c>
      <c r="D22" s="2793">
        <v>1</v>
      </c>
      <c r="E22" s="2793"/>
      <c r="F22" s="2793" t="s">
        <v>5656</v>
      </c>
      <c r="G22" s="2793" t="s">
        <v>229</v>
      </c>
      <c r="H22" s="2793"/>
      <c r="I22" s="2793">
        <v>1400</v>
      </c>
      <c r="J22" s="2793" t="s">
        <v>84</v>
      </c>
      <c r="M22" s="2793" t="s">
        <v>289</v>
      </c>
      <c r="N22" s="2794"/>
      <c r="O22" s="2795">
        <v>1400.1402</v>
      </c>
      <c r="P22" s="2796" t="s">
        <v>279</v>
      </c>
      <c r="Q22" s="2796" t="s">
        <v>280</v>
      </c>
      <c r="R22" s="2791">
        <v>7261</v>
      </c>
      <c r="S22" s="2798" t="s">
        <v>271</v>
      </c>
      <c r="T22" s="2798" t="s">
        <v>272</v>
      </c>
      <c r="U22" s="2798" t="s">
        <v>47</v>
      </c>
      <c r="V22" s="2798">
        <v>1</v>
      </c>
      <c r="W22" s="2798">
        <v>1122</v>
      </c>
      <c r="X22" s="2798">
        <v>1</v>
      </c>
      <c r="Y22" s="2795" t="s">
        <v>295</v>
      </c>
      <c r="Z22" s="2794">
        <v>16</v>
      </c>
      <c r="AA22" s="2794" t="s">
        <v>282</v>
      </c>
      <c r="AB22" s="2795">
        <v>1508</v>
      </c>
      <c r="AD22" s="2791" t="s">
        <v>283</v>
      </c>
      <c r="AE22" s="2791" t="s">
        <v>284</v>
      </c>
      <c r="AS22" s="2791" t="s">
        <v>285</v>
      </c>
      <c r="AT22" s="2791" t="s">
        <v>99</v>
      </c>
      <c r="AU22" s="2791">
        <v>8299</v>
      </c>
      <c r="AW22" s="2791" t="s">
        <v>116</v>
      </c>
      <c r="AX22" s="2791" t="s">
        <v>81</v>
      </c>
      <c r="AY22" s="2791" t="s">
        <v>59</v>
      </c>
      <c r="AZ22" s="2791">
        <v>4002</v>
      </c>
      <c r="BB22" s="2791" t="s">
        <v>80</v>
      </c>
      <c r="BC22" s="2791" t="s">
        <v>81</v>
      </c>
      <c r="BD22" s="2791" t="s">
        <v>62</v>
      </c>
    </row>
    <row r="23" spans="2:56">
      <c r="B23" s="2793">
        <v>1313</v>
      </c>
      <c r="C23" s="2793" t="s">
        <v>251</v>
      </c>
      <c r="D23" s="2793">
        <v>1</v>
      </c>
      <c r="E23" s="2793" t="s">
        <v>252</v>
      </c>
      <c r="F23" s="2793" t="s">
        <v>5657</v>
      </c>
      <c r="G23" s="2793" t="s">
        <v>251</v>
      </c>
      <c r="H23" s="2793" t="s">
        <v>251</v>
      </c>
      <c r="I23" s="2793">
        <v>1313</v>
      </c>
      <c r="J23" s="2793" t="s">
        <v>84</v>
      </c>
      <c r="M23" s="2793" t="s">
        <v>299</v>
      </c>
      <c r="N23" s="2794"/>
      <c r="O23" s="2795">
        <v>1400.1403</v>
      </c>
      <c r="P23" s="2796" t="s">
        <v>290</v>
      </c>
      <c r="Q23" s="2796" t="s">
        <v>291</v>
      </c>
      <c r="R23" s="2791">
        <v>7261.01</v>
      </c>
      <c r="S23" s="2798" t="s">
        <v>386</v>
      </c>
      <c r="T23" s="2798" t="s">
        <v>387</v>
      </c>
      <c r="U23" s="2798" t="s">
        <v>1412</v>
      </c>
      <c r="V23" s="2798">
        <v>1</v>
      </c>
      <c r="W23" s="2798">
        <v>1122</v>
      </c>
      <c r="X23" s="2798">
        <v>1</v>
      </c>
      <c r="Y23" s="2795" t="s">
        <v>6617</v>
      </c>
      <c r="Z23" s="2794">
        <v>19</v>
      </c>
      <c r="AA23" s="2794" t="s">
        <v>293</v>
      </c>
      <c r="AB23" s="2795">
        <v>1511</v>
      </c>
      <c r="AD23" s="2791" t="s">
        <v>294</v>
      </c>
      <c r="AE23" s="2791" t="s">
        <v>295</v>
      </c>
      <c r="AS23" s="2791" t="s">
        <v>296</v>
      </c>
      <c r="AT23" s="2791" t="s">
        <v>99</v>
      </c>
      <c r="AU23" s="2791">
        <v>8399</v>
      </c>
      <c r="AW23" s="2791" t="s">
        <v>98</v>
      </c>
      <c r="AX23" s="2791" t="s">
        <v>61</v>
      </c>
      <c r="AY23" s="2791" t="s">
        <v>59</v>
      </c>
      <c r="AZ23" s="2791">
        <v>4201</v>
      </c>
      <c r="BB23" s="2791" t="s">
        <v>60</v>
      </c>
      <c r="BC23" s="2791" t="s">
        <v>61</v>
      </c>
      <c r="BD23" s="2791" t="s">
        <v>62</v>
      </c>
    </row>
    <row r="24" spans="2:56">
      <c r="B24" s="2793">
        <v>1315</v>
      </c>
      <c r="C24" s="2793" t="s">
        <v>221</v>
      </c>
      <c r="D24" s="2793">
        <v>1</v>
      </c>
      <c r="E24" s="2793" t="s">
        <v>132</v>
      </c>
      <c r="F24" s="2793" t="s">
        <v>3283</v>
      </c>
      <c r="G24" s="2793" t="s">
        <v>221</v>
      </c>
      <c r="H24" s="2793"/>
      <c r="I24" s="2793">
        <v>1315</v>
      </c>
      <c r="J24" s="2793" t="s">
        <v>84</v>
      </c>
      <c r="M24" s="2793" t="s">
        <v>307</v>
      </c>
      <c r="N24" s="2794"/>
      <c r="O24" s="2795">
        <v>1400.1404</v>
      </c>
      <c r="P24" s="2796" t="s">
        <v>300</v>
      </c>
      <c r="Q24" s="2796" t="s">
        <v>301</v>
      </c>
      <c r="R24" s="2791">
        <v>7296</v>
      </c>
      <c r="S24" s="2798" t="s">
        <v>392</v>
      </c>
      <c r="T24" s="2798" t="s">
        <v>393</v>
      </c>
      <c r="U24" s="2798" t="s">
        <v>1412</v>
      </c>
      <c r="V24" s="2798">
        <v>1</v>
      </c>
      <c r="W24" s="2798">
        <v>1122</v>
      </c>
      <c r="X24" s="2798">
        <v>1</v>
      </c>
      <c r="Y24" s="2795" t="s">
        <v>6619</v>
      </c>
      <c r="Z24" s="2794">
        <v>9900</v>
      </c>
      <c r="AA24" s="2794" t="s">
        <v>303</v>
      </c>
      <c r="AB24" s="2795">
        <v>1515</v>
      </c>
      <c r="AD24" s="2791" t="s">
        <v>304</v>
      </c>
      <c r="AE24" s="2791" t="s">
        <v>305</v>
      </c>
      <c r="AS24" s="2791" t="s">
        <v>306</v>
      </c>
      <c r="AT24" s="2791" t="s">
        <v>99</v>
      </c>
      <c r="AU24" s="2791">
        <v>8399</v>
      </c>
      <c r="AW24" s="2791" t="s">
        <v>116</v>
      </c>
      <c r="AX24" s="2791" t="s">
        <v>81</v>
      </c>
      <c r="AY24" s="2791" t="s">
        <v>59</v>
      </c>
      <c r="AZ24" s="2791">
        <v>4201</v>
      </c>
      <c r="BB24" s="2791" t="s">
        <v>80</v>
      </c>
      <c r="BC24" s="2791" t="s">
        <v>81</v>
      </c>
      <c r="BD24" s="2791" t="s">
        <v>62</v>
      </c>
    </row>
    <row r="25" spans="2:56">
      <c r="B25" s="2793">
        <v>1495</v>
      </c>
      <c r="C25" s="2793" t="s">
        <v>237</v>
      </c>
      <c r="D25" s="2793">
        <v>1</v>
      </c>
      <c r="E25" s="2793"/>
      <c r="F25" s="2793" t="s">
        <v>3305</v>
      </c>
      <c r="G25" s="2793" t="s">
        <v>237</v>
      </c>
      <c r="H25" s="2793"/>
      <c r="I25" s="2793">
        <v>1495</v>
      </c>
      <c r="J25" s="2793" t="s">
        <v>84</v>
      </c>
      <c r="M25" s="2793" t="s">
        <v>313</v>
      </c>
      <c r="N25" s="2794"/>
      <c r="O25" s="2795">
        <v>1400.1405</v>
      </c>
      <c r="P25" s="2793" t="s">
        <v>308</v>
      </c>
      <c r="Q25" s="2799" t="s">
        <v>309</v>
      </c>
      <c r="R25" s="2791">
        <v>7296.11</v>
      </c>
      <c r="S25" s="2798" t="s">
        <v>281</v>
      </c>
      <c r="T25" s="2798" t="s">
        <v>6421</v>
      </c>
      <c r="U25" s="2798" t="s">
        <v>5117</v>
      </c>
      <c r="V25" s="2798">
        <v>1</v>
      </c>
      <c r="W25" s="2798">
        <v>1122</v>
      </c>
      <c r="X25" s="2798">
        <v>2</v>
      </c>
      <c r="Y25" s="2795" t="s">
        <v>295</v>
      </c>
      <c r="Z25" s="2794">
        <v>22</v>
      </c>
      <c r="AA25" s="2794" t="s">
        <v>311</v>
      </c>
      <c r="AB25" s="2795">
        <v>1521</v>
      </c>
      <c r="AS25" s="2791" t="s">
        <v>312</v>
      </c>
      <c r="AT25" s="2791" t="s">
        <v>99</v>
      </c>
      <c r="AU25" s="2791">
        <v>8499</v>
      </c>
      <c r="AW25" s="2791" t="s">
        <v>98</v>
      </c>
      <c r="AX25" s="2791" t="s">
        <v>61</v>
      </c>
      <c r="AY25" s="2791" t="s">
        <v>59</v>
      </c>
      <c r="AZ25" s="2791">
        <v>4301</v>
      </c>
      <c r="BB25" s="2791" t="s">
        <v>60</v>
      </c>
      <c r="BC25" s="2791" t="s">
        <v>61</v>
      </c>
      <c r="BD25" s="2791" t="s">
        <v>62</v>
      </c>
    </row>
    <row r="26" spans="2:56">
      <c r="B26" s="2793">
        <v>1496</v>
      </c>
      <c r="C26" s="2793" t="s">
        <v>247</v>
      </c>
      <c r="D26" s="2793">
        <v>1</v>
      </c>
      <c r="E26" s="2793"/>
      <c r="F26" s="2793" t="s">
        <v>5658</v>
      </c>
      <c r="G26" s="2793" t="s">
        <v>247</v>
      </c>
      <c r="H26" s="2793"/>
      <c r="I26" s="2793">
        <v>1496</v>
      </c>
      <c r="J26" s="2793" t="s">
        <v>84</v>
      </c>
      <c r="M26" s="2793" t="s">
        <v>319</v>
      </c>
      <c r="N26" s="2794"/>
      <c r="O26" s="2795">
        <v>1400.1405999999999</v>
      </c>
      <c r="P26" s="2796" t="s">
        <v>314</v>
      </c>
      <c r="Q26" s="2796" t="s">
        <v>315</v>
      </c>
      <c r="R26" s="2791">
        <v>7309</v>
      </c>
      <c r="S26" s="2798" t="s">
        <v>302</v>
      </c>
      <c r="T26" s="2798" t="s">
        <v>6422</v>
      </c>
      <c r="U26" s="2798" t="s">
        <v>6419</v>
      </c>
      <c r="V26" s="2798">
        <v>1</v>
      </c>
      <c r="W26" s="2798">
        <v>1122</v>
      </c>
      <c r="X26" s="2798">
        <v>2</v>
      </c>
      <c r="Y26" s="2795" t="s">
        <v>295</v>
      </c>
      <c r="Z26" s="2794">
        <v>18</v>
      </c>
      <c r="AA26" s="2794" t="s">
        <v>317</v>
      </c>
      <c r="AB26" s="2795">
        <v>1531</v>
      </c>
      <c r="AS26" s="2791" t="s">
        <v>318</v>
      </c>
      <c r="AT26" s="2791" t="s">
        <v>99</v>
      </c>
      <c r="AU26" s="2791">
        <v>8499</v>
      </c>
      <c r="AW26" s="2791" t="s">
        <v>116</v>
      </c>
      <c r="AX26" s="2791" t="s">
        <v>81</v>
      </c>
      <c r="AY26" s="2791" t="s">
        <v>59</v>
      </c>
      <c r="AZ26" s="2791">
        <v>4301</v>
      </c>
      <c r="BB26" s="2791" t="s">
        <v>80</v>
      </c>
      <c r="BC26" s="2791" t="s">
        <v>81</v>
      </c>
      <c r="BD26" s="2791" t="s">
        <v>62</v>
      </c>
    </row>
    <row r="27" spans="2:56">
      <c r="B27" s="2793">
        <v>1498</v>
      </c>
      <c r="C27" s="2793" t="s">
        <v>286</v>
      </c>
      <c r="D27" s="2793"/>
      <c r="E27" s="2793" t="s">
        <v>287</v>
      </c>
      <c r="F27" s="2793"/>
      <c r="G27" s="2793" t="s">
        <v>288</v>
      </c>
      <c r="H27" s="2793"/>
      <c r="I27" s="2793">
        <v>1498</v>
      </c>
      <c r="J27" s="2793"/>
      <c r="M27" s="2793" t="s">
        <v>325</v>
      </c>
      <c r="N27" s="2794"/>
      <c r="O27" s="2795">
        <v>1400.1406999999999</v>
      </c>
      <c r="P27" s="2796" t="s">
        <v>320</v>
      </c>
      <c r="Q27" s="2796" t="s">
        <v>321</v>
      </c>
      <c r="R27" s="2791">
        <v>7014</v>
      </c>
      <c r="S27" s="2798" t="s">
        <v>322</v>
      </c>
      <c r="T27" s="2800" t="s">
        <v>5111</v>
      </c>
      <c r="U27" s="2798" t="s">
        <v>3000</v>
      </c>
      <c r="V27" s="2798">
        <v>1</v>
      </c>
      <c r="W27" s="2798">
        <v>1122</v>
      </c>
      <c r="X27" s="2798">
        <v>2</v>
      </c>
      <c r="Y27" s="2795" t="s">
        <v>6620</v>
      </c>
      <c r="Z27" s="2794">
        <v>20</v>
      </c>
      <c r="AA27" s="2794" t="s">
        <v>323</v>
      </c>
      <c r="AB27" s="2795">
        <v>1538</v>
      </c>
      <c r="AS27" s="2791" t="s">
        <v>324</v>
      </c>
      <c r="AT27" s="2791" t="s">
        <v>99</v>
      </c>
      <c r="AU27" s="2791">
        <v>8599</v>
      </c>
      <c r="AW27" s="2791" t="s">
        <v>98</v>
      </c>
      <c r="AX27" s="2791" t="s">
        <v>61</v>
      </c>
      <c r="AY27" s="2791" t="s">
        <v>59</v>
      </c>
      <c r="AZ27" s="2791">
        <v>4101</v>
      </c>
      <c r="BB27" s="2791" t="s">
        <v>60</v>
      </c>
      <c r="BC27" s="2791" t="s">
        <v>61</v>
      </c>
      <c r="BD27" s="2791" t="s">
        <v>62</v>
      </c>
    </row>
    <row r="28" spans="2:56">
      <c r="B28" s="2793">
        <v>1500</v>
      </c>
      <c r="C28" s="2793" t="s">
        <v>297</v>
      </c>
      <c r="D28" s="2793"/>
      <c r="E28" s="2793" t="s">
        <v>41</v>
      </c>
      <c r="F28" s="2793"/>
      <c r="G28" s="2793" t="s">
        <v>298</v>
      </c>
      <c r="H28" s="2793"/>
      <c r="I28" s="2793">
        <v>1500</v>
      </c>
      <c r="J28" s="2793"/>
      <c r="M28" s="2793" t="s">
        <v>332</v>
      </c>
      <c r="N28" s="2794"/>
      <c r="O28" s="2795">
        <v>1400.1407999999999</v>
      </c>
      <c r="P28" s="2796" t="s">
        <v>326</v>
      </c>
      <c r="Q28" s="2796" t="s">
        <v>327</v>
      </c>
      <c r="R28" s="2791">
        <v>7015</v>
      </c>
      <c r="S28" s="2798" t="s">
        <v>310</v>
      </c>
      <c r="T28" s="2800" t="s">
        <v>6423</v>
      </c>
      <c r="U28" s="2798" t="s">
        <v>5998</v>
      </c>
      <c r="V28" s="2798">
        <v>1</v>
      </c>
      <c r="W28" s="2798">
        <v>1122</v>
      </c>
      <c r="X28" s="2798">
        <v>2</v>
      </c>
      <c r="Y28" s="2795" t="s">
        <v>295</v>
      </c>
      <c r="Z28" s="2794">
        <v>21</v>
      </c>
      <c r="AA28" s="2794" t="s">
        <v>329</v>
      </c>
      <c r="AB28" s="2795">
        <v>1539</v>
      </c>
      <c r="AS28" s="2791" t="s">
        <v>330</v>
      </c>
      <c r="AT28" s="2791" t="s">
        <v>99</v>
      </c>
      <c r="AU28" s="2791">
        <v>8599</v>
      </c>
      <c r="AW28" s="2791" t="s">
        <v>116</v>
      </c>
      <c r="AX28" s="2791" t="s">
        <v>81</v>
      </c>
      <c r="AY28" s="2791" t="s">
        <v>59</v>
      </c>
      <c r="AZ28" s="2791">
        <v>4101</v>
      </c>
      <c r="BB28" s="2791" t="s">
        <v>80</v>
      </c>
      <c r="BC28" s="2791" t="s">
        <v>81</v>
      </c>
      <c r="BD28" s="2791" t="s">
        <v>62</v>
      </c>
    </row>
    <row r="29" spans="2:56">
      <c r="B29" s="2793">
        <v>1600</v>
      </c>
      <c r="C29" s="2793" t="s">
        <v>5659</v>
      </c>
      <c r="D29" s="2793">
        <v>1</v>
      </c>
      <c r="E29" s="2793" t="s">
        <v>102</v>
      </c>
      <c r="F29" s="2793"/>
      <c r="G29" s="2793" t="s">
        <v>5659</v>
      </c>
      <c r="H29" s="2793"/>
      <c r="I29" s="2793">
        <v>1600</v>
      </c>
      <c r="J29" s="2793" t="s">
        <v>84</v>
      </c>
      <c r="M29" s="2793" t="s">
        <v>339</v>
      </c>
      <c r="N29" s="2794"/>
      <c r="O29" s="2795">
        <v>1400.1411000000001</v>
      </c>
      <c r="P29" s="2796" t="s">
        <v>333</v>
      </c>
      <c r="Q29" s="2796" t="s">
        <v>334</v>
      </c>
      <c r="R29" s="2791">
        <v>7016</v>
      </c>
      <c r="S29" s="2798" t="s">
        <v>328</v>
      </c>
      <c r="T29" s="2798" t="s">
        <v>5112</v>
      </c>
      <c r="U29" s="2798" t="s">
        <v>5998</v>
      </c>
      <c r="V29" s="2798">
        <v>1</v>
      </c>
      <c r="W29" s="2798">
        <v>1122</v>
      </c>
      <c r="X29" s="2798">
        <v>2</v>
      </c>
      <c r="Y29" s="2795" t="s">
        <v>6621</v>
      </c>
      <c r="Z29" s="2794">
        <v>23.1</v>
      </c>
      <c r="AA29" s="2794" t="s">
        <v>337</v>
      </c>
      <c r="AB29" s="2795">
        <v>1601</v>
      </c>
      <c r="AS29" s="2791" t="s">
        <v>338</v>
      </c>
      <c r="AT29" s="2791" t="s">
        <v>99</v>
      </c>
      <c r="AU29" s="2791">
        <v>8699</v>
      </c>
      <c r="AW29" s="2791" t="s">
        <v>98</v>
      </c>
      <c r="AX29" s="2791" t="s">
        <v>61</v>
      </c>
      <c r="AY29" s="2791" t="s">
        <v>59</v>
      </c>
      <c r="AZ29" s="2791">
        <v>4102</v>
      </c>
      <c r="BB29" s="2791" t="s">
        <v>60</v>
      </c>
      <c r="BC29" s="2791" t="s">
        <v>61</v>
      </c>
      <c r="BD29" s="2791" t="s">
        <v>62</v>
      </c>
    </row>
    <row r="30" spans="2:56">
      <c r="B30" s="2793">
        <v>1505</v>
      </c>
      <c r="C30" s="2793" t="s">
        <v>274</v>
      </c>
      <c r="D30" s="2793">
        <v>1</v>
      </c>
      <c r="E30" s="2793" t="s">
        <v>119</v>
      </c>
      <c r="F30" s="2793" t="s">
        <v>5660</v>
      </c>
      <c r="G30" s="2793" t="s">
        <v>274</v>
      </c>
      <c r="H30" s="2793" t="s">
        <v>274</v>
      </c>
      <c r="I30" s="2793">
        <v>1505</v>
      </c>
      <c r="J30" s="2793" t="s">
        <v>84</v>
      </c>
      <c r="M30" s="2793" t="s">
        <v>346</v>
      </c>
      <c r="N30" s="2794"/>
      <c r="O30" s="2795">
        <v>1400.1421</v>
      </c>
      <c r="P30" s="2796" t="s">
        <v>340</v>
      </c>
      <c r="Q30" s="2796" t="s">
        <v>341</v>
      </c>
      <c r="R30" s="2791">
        <v>7021</v>
      </c>
      <c r="S30" s="2798" t="s">
        <v>316</v>
      </c>
      <c r="T30" s="2798" t="s">
        <v>6424</v>
      </c>
      <c r="U30" s="2798" t="s">
        <v>6420</v>
      </c>
      <c r="V30" s="2798">
        <v>1</v>
      </c>
      <c r="W30" s="2798">
        <v>1122</v>
      </c>
      <c r="X30" s="2798">
        <v>2</v>
      </c>
      <c r="Y30" s="2795" t="s">
        <v>295</v>
      </c>
      <c r="Z30" s="2794">
        <v>24.1</v>
      </c>
      <c r="AA30" s="2794" t="s">
        <v>344</v>
      </c>
      <c r="AB30" s="2795">
        <v>1604</v>
      </c>
      <c r="AS30" s="2791" t="s">
        <v>345</v>
      </c>
      <c r="AT30" s="2791" t="s">
        <v>99</v>
      </c>
      <c r="AU30" s="2791">
        <v>8699</v>
      </c>
      <c r="AW30" s="2791" t="s">
        <v>116</v>
      </c>
      <c r="AX30" s="2791" t="s">
        <v>81</v>
      </c>
      <c r="AY30" s="2791" t="s">
        <v>59</v>
      </c>
      <c r="AZ30" s="2791">
        <v>4102</v>
      </c>
      <c r="BB30" s="2791" t="s">
        <v>80</v>
      </c>
      <c r="BC30" s="2791" t="s">
        <v>81</v>
      </c>
      <c r="BD30" s="2791" t="s">
        <v>62</v>
      </c>
    </row>
    <row r="31" spans="2:56">
      <c r="B31" s="2793">
        <v>1503</v>
      </c>
      <c r="C31" s="2793" t="s">
        <v>265</v>
      </c>
      <c r="D31" s="2793">
        <v>1</v>
      </c>
      <c r="E31" s="2793" t="s">
        <v>103</v>
      </c>
      <c r="F31" s="2793" t="s">
        <v>3380</v>
      </c>
      <c r="G31" s="2793" t="s">
        <v>265</v>
      </c>
      <c r="H31" s="2793"/>
      <c r="I31" s="2793">
        <v>1503</v>
      </c>
      <c r="J31" s="2793" t="s">
        <v>84</v>
      </c>
      <c r="M31" s="2793" t="s">
        <v>354</v>
      </c>
      <c r="N31" s="2794"/>
      <c r="O31" s="2795">
        <v>1400.1470999999999</v>
      </c>
      <c r="P31" s="2796" t="s">
        <v>347</v>
      </c>
      <c r="Q31" s="2796" t="s">
        <v>348</v>
      </c>
      <c r="R31" s="2791">
        <v>7023</v>
      </c>
      <c r="S31" s="2798" t="s">
        <v>399</v>
      </c>
      <c r="T31" s="2798" t="s">
        <v>400</v>
      </c>
      <c r="U31" s="2798" t="s">
        <v>3008</v>
      </c>
      <c r="V31" s="2798">
        <v>1</v>
      </c>
      <c r="W31" s="2798">
        <v>1122</v>
      </c>
      <c r="X31" s="2798">
        <v>2</v>
      </c>
      <c r="Y31" s="2795" t="s">
        <v>6617</v>
      </c>
      <c r="Z31" s="2794">
        <v>24.2</v>
      </c>
      <c r="AA31" s="2794" t="s">
        <v>351</v>
      </c>
      <c r="AB31" s="2795">
        <v>1605</v>
      </c>
      <c r="AS31" s="2791" t="s">
        <v>352</v>
      </c>
      <c r="AT31" s="2791" t="s">
        <v>99</v>
      </c>
      <c r="AU31" s="2791">
        <v>8799</v>
      </c>
      <c r="AW31" s="2791" t="s">
        <v>98</v>
      </c>
      <c r="AX31" s="2791" t="s">
        <v>61</v>
      </c>
      <c r="AY31" s="2791" t="s">
        <v>59</v>
      </c>
      <c r="AZ31" s="2791">
        <v>4200</v>
      </c>
      <c r="BB31" s="2791" t="s">
        <v>60</v>
      </c>
      <c r="BC31" s="2791" t="s">
        <v>61</v>
      </c>
      <c r="BD31" s="2791" t="s">
        <v>62</v>
      </c>
    </row>
    <row r="32" spans="2:56">
      <c r="B32" s="2793">
        <v>1508</v>
      </c>
      <c r="C32" s="2793" t="s">
        <v>282</v>
      </c>
      <c r="D32" s="2793">
        <v>1</v>
      </c>
      <c r="E32" s="2793" t="s">
        <v>119</v>
      </c>
      <c r="F32" s="2793" t="s">
        <v>3401</v>
      </c>
      <c r="G32" s="2793" t="s">
        <v>282</v>
      </c>
      <c r="H32" s="2793" t="s">
        <v>282</v>
      </c>
      <c r="I32" s="2793">
        <v>1508</v>
      </c>
      <c r="J32" s="2793" t="s">
        <v>84</v>
      </c>
      <c r="M32" s="2793" t="s">
        <v>362</v>
      </c>
      <c r="N32" s="2794"/>
      <c r="O32" s="2795">
        <v>1400.5001</v>
      </c>
      <c r="P32" s="2796" t="s">
        <v>355</v>
      </c>
      <c r="Q32" s="2796" t="s">
        <v>356</v>
      </c>
      <c r="R32" s="2791">
        <v>7025</v>
      </c>
      <c r="S32" s="2798">
        <v>112202</v>
      </c>
      <c r="T32" s="2798" t="s">
        <v>6425</v>
      </c>
      <c r="U32" s="2798" t="s">
        <v>6420</v>
      </c>
      <c r="V32" s="2798">
        <v>1</v>
      </c>
      <c r="W32" s="2798">
        <v>1122</v>
      </c>
      <c r="X32" s="2798">
        <v>2</v>
      </c>
      <c r="Y32" s="2795" t="s">
        <v>295</v>
      </c>
      <c r="Z32" s="2794">
        <v>23.2</v>
      </c>
      <c r="AA32" s="2794" t="s">
        <v>359</v>
      </c>
      <c r="AB32" s="2795">
        <v>1606</v>
      </c>
      <c r="AS32" s="2791" t="s">
        <v>360</v>
      </c>
      <c r="AT32" s="2791" t="s">
        <v>99</v>
      </c>
      <c r="AU32" s="2791">
        <v>8799</v>
      </c>
      <c r="AW32" s="2791" t="s">
        <v>116</v>
      </c>
      <c r="AX32" s="2791" t="s">
        <v>81</v>
      </c>
      <c r="AY32" s="2791" t="s">
        <v>59</v>
      </c>
      <c r="AZ32" s="2791">
        <v>4200</v>
      </c>
      <c r="BB32" s="2791" t="s">
        <v>80</v>
      </c>
      <c r="BC32" s="2791" t="s">
        <v>81</v>
      </c>
      <c r="BD32" s="2791" t="s">
        <v>62</v>
      </c>
    </row>
    <row r="33" spans="2:56">
      <c r="B33" s="2793">
        <v>1501</v>
      </c>
      <c r="C33" s="2793" t="s">
        <v>257</v>
      </c>
      <c r="D33" s="2793">
        <v>1</v>
      </c>
      <c r="E33" s="2793" t="s">
        <v>103</v>
      </c>
      <c r="F33" s="2793" t="s">
        <v>5661</v>
      </c>
      <c r="G33" s="2793" t="s">
        <v>257</v>
      </c>
      <c r="H33" s="2793"/>
      <c r="I33" s="2793">
        <v>1501</v>
      </c>
      <c r="J33" s="2793" t="s">
        <v>84</v>
      </c>
      <c r="M33" s="2793" t="s">
        <v>369</v>
      </c>
      <c r="N33" s="2794"/>
      <c r="O33" s="2795">
        <v>1400.5101</v>
      </c>
      <c r="P33" s="2796" t="s">
        <v>363</v>
      </c>
      <c r="Q33" s="2796" t="s">
        <v>364</v>
      </c>
      <c r="R33" s="2791">
        <v>7026</v>
      </c>
      <c r="S33" s="2798" t="s">
        <v>405</v>
      </c>
      <c r="T33" s="2798" t="s">
        <v>406</v>
      </c>
      <c r="U33" s="2798" t="s">
        <v>3008</v>
      </c>
      <c r="V33" s="2798">
        <v>1</v>
      </c>
      <c r="W33" s="2798">
        <v>1122</v>
      </c>
      <c r="X33" s="2798">
        <v>2</v>
      </c>
      <c r="Y33" s="2795" t="s">
        <v>6617</v>
      </c>
      <c r="Z33" s="2794">
        <v>23</v>
      </c>
      <c r="AA33" s="2794" t="s">
        <v>367</v>
      </c>
      <c r="AB33" s="2795">
        <v>1611</v>
      </c>
      <c r="AS33" s="2791" t="s">
        <v>368</v>
      </c>
      <c r="AT33" s="2791" t="s">
        <v>99</v>
      </c>
      <c r="AU33" s="2791">
        <v>8099</v>
      </c>
      <c r="AW33" s="2791" t="s">
        <v>98</v>
      </c>
      <c r="AX33" s="2791" t="s">
        <v>61</v>
      </c>
      <c r="AY33" s="2791" t="s">
        <v>59</v>
      </c>
      <c r="AZ33" s="2791">
        <v>4999</v>
      </c>
      <c r="BB33" s="2791" t="s">
        <v>60</v>
      </c>
      <c r="BC33" s="2791" t="s">
        <v>61</v>
      </c>
      <c r="BD33" s="2791" t="s">
        <v>62</v>
      </c>
    </row>
    <row r="34" spans="2:56">
      <c r="B34" s="2793">
        <v>1531</v>
      </c>
      <c r="C34" s="2793" t="s">
        <v>317</v>
      </c>
      <c r="D34" s="2793">
        <v>1</v>
      </c>
      <c r="E34" s="2793"/>
      <c r="F34" s="2793" t="s">
        <v>3451</v>
      </c>
      <c r="G34" s="2793" t="s">
        <v>317</v>
      </c>
      <c r="H34" s="2793"/>
      <c r="I34" s="2793">
        <v>1531</v>
      </c>
      <c r="J34" s="2793" t="s">
        <v>84</v>
      </c>
      <c r="M34" s="2793" t="s">
        <v>376</v>
      </c>
      <c r="N34" s="2794"/>
      <c r="O34" s="2795">
        <v>1400.5400999999999</v>
      </c>
      <c r="P34" s="2796" t="s">
        <v>370</v>
      </c>
      <c r="Q34" s="2796" t="s">
        <v>371</v>
      </c>
      <c r="R34" s="2791">
        <v>7053</v>
      </c>
      <c r="S34" s="2798" t="s">
        <v>292</v>
      </c>
      <c r="T34" s="2798" t="s">
        <v>6426</v>
      </c>
      <c r="U34" s="2798" t="s">
        <v>5117</v>
      </c>
      <c r="V34" s="2798">
        <v>1</v>
      </c>
      <c r="W34" s="2798">
        <v>1122</v>
      </c>
      <c r="X34" s="2798">
        <v>2</v>
      </c>
      <c r="Y34" s="2795" t="s">
        <v>295</v>
      </c>
      <c r="Z34" s="2794">
        <v>24</v>
      </c>
      <c r="AA34" s="2794" t="s">
        <v>374</v>
      </c>
      <c r="AB34" s="2795">
        <v>1616</v>
      </c>
      <c r="AS34" s="2791" t="s">
        <v>375</v>
      </c>
      <c r="AT34" s="2791" t="s">
        <v>99</v>
      </c>
      <c r="AU34" s="2791">
        <v>8099</v>
      </c>
      <c r="AW34" s="2791" t="s">
        <v>116</v>
      </c>
      <c r="AX34" s="2791" t="s">
        <v>81</v>
      </c>
      <c r="AY34" s="2791" t="s">
        <v>59</v>
      </c>
      <c r="AZ34" s="2791">
        <v>4999</v>
      </c>
      <c r="BB34" s="2791" t="s">
        <v>80</v>
      </c>
      <c r="BC34" s="2791" t="s">
        <v>81</v>
      </c>
      <c r="BD34" s="2791" t="s">
        <v>62</v>
      </c>
    </row>
    <row r="35" spans="2:56">
      <c r="B35" s="2793">
        <v>1511</v>
      </c>
      <c r="C35" s="2793" t="s">
        <v>293</v>
      </c>
      <c r="D35" s="2793">
        <v>1</v>
      </c>
      <c r="E35" s="2793"/>
      <c r="F35" s="2793" t="s">
        <v>5662</v>
      </c>
      <c r="G35" s="2793" t="s">
        <v>293</v>
      </c>
      <c r="H35" s="2793"/>
      <c r="I35" s="2793">
        <v>1511</v>
      </c>
      <c r="J35" s="2793" t="s">
        <v>84</v>
      </c>
      <c r="M35" s="2793" t="s">
        <v>237</v>
      </c>
      <c r="N35" s="2794"/>
      <c r="O35" s="2795">
        <v>1495</v>
      </c>
      <c r="P35" s="2796" t="s">
        <v>377</v>
      </c>
      <c r="Q35" s="2796" t="s">
        <v>378</v>
      </c>
      <c r="R35" s="2791">
        <v>7054</v>
      </c>
      <c r="S35" s="2798" t="s">
        <v>5109</v>
      </c>
      <c r="T35" s="2798" t="s">
        <v>6427</v>
      </c>
      <c r="U35" s="2798" t="s">
        <v>3000</v>
      </c>
      <c r="V35" s="2798">
        <v>1</v>
      </c>
      <c r="W35" s="2798">
        <v>1122</v>
      </c>
      <c r="X35" s="2798">
        <v>2</v>
      </c>
      <c r="Y35" s="2795" t="s">
        <v>295</v>
      </c>
      <c r="Z35" s="2794">
        <v>25</v>
      </c>
      <c r="AA35" s="2794" t="s">
        <v>381</v>
      </c>
      <c r="AB35" s="2795">
        <v>1621</v>
      </c>
      <c r="AS35" s="2791" t="s">
        <v>382</v>
      </c>
      <c r="AT35" s="2791" t="s">
        <v>383</v>
      </c>
      <c r="AU35" s="2791">
        <v>7349</v>
      </c>
      <c r="AW35" s="2791" t="s">
        <v>98</v>
      </c>
      <c r="AX35" s="2791" t="s">
        <v>61</v>
      </c>
      <c r="AY35" s="2791" t="s">
        <v>383</v>
      </c>
      <c r="AZ35" s="2791">
        <v>7399</v>
      </c>
      <c r="BB35" s="2791" t="s">
        <v>116</v>
      </c>
      <c r="BC35" s="2791" t="s">
        <v>81</v>
      </c>
      <c r="BD35" s="2791" t="s">
        <v>62</v>
      </c>
    </row>
    <row r="36" spans="2:56">
      <c r="B36" s="2793">
        <v>1538</v>
      </c>
      <c r="C36" s="2793" t="s">
        <v>323</v>
      </c>
      <c r="D36" s="2793">
        <v>1</v>
      </c>
      <c r="E36" s="2793" t="s">
        <v>119</v>
      </c>
      <c r="F36" s="2793" t="s">
        <v>3525</v>
      </c>
      <c r="G36" s="2793" t="s">
        <v>323</v>
      </c>
      <c r="H36" s="2793" t="s">
        <v>323</v>
      </c>
      <c r="I36" s="2793">
        <v>1538</v>
      </c>
      <c r="J36" s="2793" t="s">
        <v>84</v>
      </c>
      <c r="M36" s="2793" t="s">
        <v>247</v>
      </c>
      <c r="N36" s="2794"/>
      <c r="O36" s="2795">
        <v>1496</v>
      </c>
      <c r="P36" s="2796" t="s">
        <v>384</v>
      </c>
      <c r="Q36" s="2796" t="s">
        <v>385</v>
      </c>
      <c r="R36" s="2791">
        <v>7055</v>
      </c>
      <c r="S36" s="2798" t="s">
        <v>5110</v>
      </c>
      <c r="T36" s="2798" t="s">
        <v>6428</v>
      </c>
      <c r="U36" s="2798" t="s">
        <v>5998</v>
      </c>
      <c r="V36" s="2798">
        <v>1</v>
      </c>
      <c r="W36" s="2798">
        <v>1122</v>
      </c>
      <c r="X36" s="2798">
        <v>2</v>
      </c>
      <c r="Y36" s="2795" t="s">
        <v>295</v>
      </c>
      <c r="Z36" s="2794">
        <v>26</v>
      </c>
      <c r="AA36" s="2794" t="s">
        <v>388</v>
      </c>
      <c r="AB36" s="2795">
        <v>1631</v>
      </c>
      <c r="AS36" s="2791" t="s">
        <v>389</v>
      </c>
      <c r="AT36" s="2791" t="s">
        <v>383</v>
      </c>
      <c r="AU36" s="2791">
        <v>7502</v>
      </c>
      <c r="AW36" s="2791" t="s">
        <v>98</v>
      </c>
      <c r="AX36" s="2791" t="s">
        <v>61</v>
      </c>
      <c r="AY36" s="2791" t="s">
        <v>97</v>
      </c>
      <c r="AZ36" s="2791">
        <v>6799</v>
      </c>
      <c r="BB36" s="2791" t="s">
        <v>98</v>
      </c>
      <c r="BC36" s="2791" t="s">
        <v>61</v>
      </c>
      <c r="BD36" s="2791" t="s">
        <v>62</v>
      </c>
    </row>
    <row r="37" spans="2:56">
      <c r="B37" s="2793">
        <v>1539</v>
      </c>
      <c r="C37" s="2793" t="s">
        <v>329</v>
      </c>
      <c r="D37" s="2793">
        <v>1</v>
      </c>
      <c r="E37" s="2793" t="s">
        <v>119</v>
      </c>
      <c r="F37" s="2793" t="s">
        <v>3537</v>
      </c>
      <c r="G37" s="2793" t="s">
        <v>329</v>
      </c>
      <c r="H37" s="2793" t="s">
        <v>329</v>
      </c>
      <c r="I37" s="2793">
        <v>1539</v>
      </c>
      <c r="J37" s="2793" t="s">
        <v>84</v>
      </c>
      <c r="M37" s="2793" t="s">
        <v>257</v>
      </c>
      <c r="N37" s="2794" t="s">
        <v>103</v>
      </c>
      <c r="O37" s="2795">
        <v>1501</v>
      </c>
      <c r="P37" s="2796" t="s">
        <v>390</v>
      </c>
      <c r="Q37" s="2796" t="s">
        <v>391</v>
      </c>
      <c r="R37" s="2791">
        <v>7056</v>
      </c>
      <c r="S37" s="2798" t="s">
        <v>335</v>
      </c>
      <c r="T37" s="2798" t="s">
        <v>336</v>
      </c>
      <c r="U37" s="2798" t="s">
        <v>5117</v>
      </c>
      <c r="V37" s="2798">
        <v>1</v>
      </c>
      <c r="W37" s="2798">
        <v>1122</v>
      </c>
      <c r="X37" s="2798">
        <v>2</v>
      </c>
      <c r="Y37" s="2795" t="s">
        <v>295</v>
      </c>
      <c r="Z37" s="2794">
        <v>28</v>
      </c>
      <c r="AA37" s="2794" t="s">
        <v>394</v>
      </c>
      <c r="AB37" s="2795">
        <v>1700</v>
      </c>
      <c r="AS37" s="2791" t="s">
        <v>395</v>
      </c>
      <c r="AT37" s="2791" t="s">
        <v>383</v>
      </c>
      <c r="AU37" s="2791">
        <v>7502</v>
      </c>
      <c r="AW37" s="2791" t="s">
        <v>116</v>
      </c>
      <c r="AX37" s="2791" t="s">
        <v>81</v>
      </c>
      <c r="AY37" s="2791" t="s">
        <v>97</v>
      </c>
      <c r="AZ37" s="2791">
        <v>6799</v>
      </c>
      <c r="BB37" s="2791" t="s">
        <v>116</v>
      </c>
      <c r="BC37" s="2791" t="s">
        <v>81</v>
      </c>
      <c r="BD37" s="2791" t="s">
        <v>62</v>
      </c>
    </row>
    <row r="38" spans="2:56">
      <c r="B38" s="2793">
        <v>1521</v>
      </c>
      <c r="C38" s="2793" t="s">
        <v>311</v>
      </c>
      <c r="D38" s="2793">
        <v>1</v>
      </c>
      <c r="E38" s="2793"/>
      <c r="F38" s="2793" t="s">
        <v>3540</v>
      </c>
      <c r="G38" s="2793" t="s">
        <v>311</v>
      </c>
      <c r="H38" s="2793"/>
      <c r="I38" s="2793">
        <v>1521</v>
      </c>
      <c r="J38" s="2793" t="s">
        <v>84</v>
      </c>
      <c r="M38" s="2793" t="s">
        <v>402</v>
      </c>
      <c r="N38" s="2794"/>
      <c r="O38" s="2795">
        <v>1501.1502</v>
      </c>
      <c r="P38" s="2796" t="s">
        <v>397</v>
      </c>
      <c r="Q38" s="2796" t="s">
        <v>398</v>
      </c>
      <c r="R38" s="2791">
        <v>7057</v>
      </c>
      <c r="S38" s="2798" t="s">
        <v>342</v>
      </c>
      <c r="T38" s="2798" t="s">
        <v>343</v>
      </c>
      <c r="U38" s="2798" t="s">
        <v>1465</v>
      </c>
      <c r="V38" s="2798">
        <v>1</v>
      </c>
      <c r="W38" s="2798">
        <v>1122</v>
      </c>
      <c r="X38" s="2798">
        <v>2</v>
      </c>
      <c r="Y38" s="2795" t="s">
        <v>295</v>
      </c>
      <c r="Z38" s="2794">
        <v>27</v>
      </c>
      <c r="AA38" s="2794" t="s">
        <v>396</v>
      </c>
      <c r="AB38" s="2795">
        <v>1701</v>
      </c>
      <c r="AS38" s="2791" t="s">
        <v>401</v>
      </c>
      <c r="AT38" s="2791" t="s">
        <v>383</v>
      </c>
      <c r="AU38" s="2791">
        <v>7525</v>
      </c>
      <c r="AW38" s="2791" t="s">
        <v>98</v>
      </c>
      <c r="AX38" s="2791" t="s">
        <v>61</v>
      </c>
      <c r="AY38" s="2791" t="s">
        <v>383</v>
      </c>
      <c r="AZ38" s="2791">
        <v>7099</v>
      </c>
      <c r="BB38" s="2791" t="s">
        <v>98</v>
      </c>
      <c r="BC38" s="2791" t="s">
        <v>61</v>
      </c>
      <c r="BD38" s="2791" t="s">
        <v>62</v>
      </c>
    </row>
    <row r="39" spans="2:56">
      <c r="B39" s="2793">
        <v>1611</v>
      </c>
      <c r="C39" s="2793" t="s">
        <v>367</v>
      </c>
      <c r="D39" s="2793">
        <v>1</v>
      </c>
      <c r="E39" s="2793"/>
      <c r="F39" s="2793"/>
      <c r="G39" s="2793" t="s">
        <v>337</v>
      </c>
      <c r="H39" s="2793" t="s">
        <v>337</v>
      </c>
      <c r="I39" s="2793">
        <v>1611</v>
      </c>
      <c r="J39" s="2793"/>
      <c r="M39" s="2793" t="s">
        <v>265</v>
      </c>
      <c r="N39" s="2794" t="s">
        <v>103</v>
      </c>
      <c r="O39" s="2795">
        <v>1503</v>
      </c>
      <c r="P39" s="2796" t="s">
        <v>403</v>
      </c>
      <c r="Q39" s="2796" t="s">
        <v>404</v>
      </c>
      <c r="R39" s="2791">
        <v>7165</v>
      </c>
      <c r="S39" s="2798" t="s">
        <v>349</v>
      </c>
      <c r="T39" s="2798" t="s">
        <v>350</v>
      </c>
      <c r="U39" s="2798" t="s">
        <v>47</v>
      </c>
      <c r="V39" s="2798">
        <v>1</v>
      </c>
      <c r="W39" s="2798">
        <v>1122</v>
      </c>
      <c r="X39" s="2798">
        <v>2</v>
      </c>
      <c r="Y39" s="2795" t="s">
        <v>295</v>
      </c>
      <c r="Z39" s="2794">
        <v>82</v>
      </c>
      <c r="AA39" s="2794" t="s">
        <v>407</v>
      </c>
      <c r="AB39" s="2795">
        <v>1704</v>
      </c>
      <c r="AS39" s="2791" t="s">
        <v>408</v>
      </c>
      <c r="AT39" s="2791" t="s">
        <v>383</v>
      </c>
      <c r="AU39" s="2791">
        <v>7525</v>
      </c>
      <c r="AW39" s="2791" t="s">
        <v>116</v>
      </c>
      <c r="AX39" s="2791" t="s">
        <v>81</v>
      </c>
      <c r="AY39" s="2791" t="s">
        <v>383</v>
      </c>
      <c r="AZ39" s="2791">
        <v>7099</v>
      </c>
      <c r="BB39" s="2791" t="s">
        <v>116</v>
      </c>
      <c r="BC39" s="2791" t="s">
        <v>81</v>
      </c>
      <c r="BD39" s="2791" t="s">
        <v>62</v>
      </c>
    </row>
    <row r="40" spans="2:56">
      <c r="B40" s="2793">
        <v>1601</v>
      </c>
      <c r="C40" s="2793" t="s">
        <v>337</v>
      </c>
      <c r="D40" s="2793">
        <v>1</v>
      </c>
      <c r="E40" s="2793"/>
      <c r="F40" s="2793" t="s">
        <v>3598</v>
      </c>
      <c r="G40" s="2793" t="s">
        <v>353</v>
      </c>
      <c r="H40" s="2793"/>
      <c r="I40" s="2793">
        <v>1601</v>
      </c>
      <c r="J40" s="2793" t="s">
        <v>84</v>
      </c>
      <c r="M40" s="2793" t="s">
        <v>416</v>
      </c>
      <c r="N40" s="2794"/>
      <c r="O40" s="2795">
        <v>1503.1504</v>
      </c>
      <c r="P40" s="2796" t="s">
        <v>410</v>
      </c>
      <c r="Q40" s="2796" t="s">
        <v>411</v>
      </c>
      <c r="R40" s="2791">
        <v>7221</v>
      </c>
      <c r="S40" s="2798" t="s">
        <v>357</v>
      </c>
      <c r="T40" s="2798" t="s">
        <v>358</v>
      </c>
      <c r="U40" s="2798" t="s">
        <v>1465</v>
      </c>
      <c r="V40" s="2798">
        <v>1</v>
      </c>
      <c r="W40" s="2798">
        <v>1122</v>
      </c>
      <c r="X40" s="2798">
        <v>2</v>
      </c>
      <c r="Y40" s="2795" t="s">
        <v>295</v>
      </c>
      <c r="Z40" s="2794">
        <v>29</v>
      </c>
      <c r="AA40" s="2794" t="s">
        <v>409</v>
      </c>
      <c r="AB40" s="2795">
        <v>1711</v>
      </c>
      <c r="AS40" s="2791" t="s">
        <v>414</v>
      </c>
      <c r="AT40" s="2791" t="s">
        <v>383</v>
      </c>
      <c r="AU40" s="2791">
        <v>7539</v>
      </c>
      <c r="AW40" s="2791" t="s">
        <v>98</v>
      </c>
      <c r="AX40" s="2791" t="s">
        <v>61</v>
      </c>
      <c r="AY40" s="2791" t="s">
        <v>383</v>
      </c>
      <c r="AZ40" s="2791">
        <v>7348</v>
      </c>
      <c r="BB40" s="2791" t="s">
        <v>98</v>
      </c>
      <c r="BC40" s="2791" t="s">
        <v>61</v>
      </c>
      <c r="BD40" s="2791" t="s">
        <v>62</v>
      </c>
    </row>
    <row r="41" spans="2:56">
      <c r="B41" s="2793">
        <v>1606</v>
      </c>
      <c r="C41" s="2793" t="s">
        <v>359</v>
      </c>
      <c r="D41" s="2793">
        <v>1</v>
      </c>
      <c r="E41" s="2793"/>
      <c r="F41" s="2793" t="s">
        <v>3636</v>
      </c>
      <c r="G41" s="2793" t="s">
        <v>359</v>
      </c>
      <c r="H41" s="2793"/>
      <c r="I41" s="2793">
        <v>1606</v>
      </c>
      <c r="J41" s="2793" t="s">
        <v>84</v>
      </c>
      <c r="M41" s="2793" t="s">
        <v>274</v>
      </c>
      <c r="N41" s="2794" t="s">
        <v>119</v>
      </c>
      <c r="O41" s="2795">
        <v>1505</v>
      </c>
      <c r="P41" s="2796" t="s">
        <v>417</v>
      </c>
      <c r="Q41" s="2796" t="s">
        <v>418</v>
      </c>
      <c r="R41" s="2791">
        <v>7011</v>
      </c>
      <c r="S41" s="2798" t="s">
        <v>365</v>
      </c>
      <c r="T41" s="2798" t="s">
        <v>366</v>
      </c>
      <c r="U41" s="2798" t="s">
        <v>1465</v>
      </c>
      <c r="V41" s="2798">
        <v>1</v>
      </c>
      <c r="W41" s="2798">
        <v>1122</v>
      </c>
      <c r="X41" s="2798">
        <v>2</v>
      </c>
      <c r="Y41" s="2795" t="s">
        <v>295</v>
      </c>
      <c r="Z41" s="2794">
        <v>30</v>
      </c>
      <c r="AA41" s="2794" t="s">
        <v>415</v>
      </c>
      <c r="AB41" s="2795">
        <v>1801</v>
      </c>
      <c r="AS41" s="2791" t="s">
        <v>421</v>
      </c>
      <c r="AT41" s="2791" t="s">
        <v>383</v>
      </c>
      <c r="AU41" s="2791">
        <v>7539</v>
      </c>
      <c r="AW41" s="2791" t="s">
        <v>116</v>
      </c>
      <c r="AX41" s="2791" t="s">
        <v>81</v>
      </c>
      <c r="AY41" s="2791" t="s">
        <v>383</v>
      </c>
      <c r="AZ41" s="2791">
        <v>7348</v>
      </c>
      <c r="BB41" s="2791" t="s">
        <v>116</v>
      </c>
      <c r="BC41" s="2791" t="s">
        <v>81</v>
      </c>
      <c r="BD41" s="2791" t="s">
        <v>62</v>
      </c>
    </row>
    <row r="42" spans="2:56">
      <c r="B42" s="2793">
        <v>1616</v>
      </c>
      <c r="C42" s="2793" t="s">
        <v>374</v>
      </c>
      <c r="D42" s="2793">
        <v>1</v>
      </c>
      <c r="E42" s="2793"/>
      <c r="F42" s="2793"/>
      <c r="G42" s="2793" t="s">
        <v>344</v>
      </c>
      <c r="H42" s="2793" t="s">
        <v>344</v>
      </c>
      <c r="I42" s="2793">
        <v>1616</v>
      </c>
      <c r="J42" s="2793"/>
      <c r="M42" s="2793" t="s">
        <v>282</v>
      </c>
      <c r="N42" s="2794" t="s">
        <v>119</v>
      </c>
      <c r="O42" s="2795">
        <v>1508</v>
      </c>
      <c r="P42" s="2796" t="s">
        <v>423</v>
      </c>
      <c r="Q42" s="2796" t="s">
        <v>424</v>
      </c>
      <c r="R42" s="2791">
        <v>7012</v>
      </c>
      <c r="S42" s="2798" t="s">
        <v>372</v>
      </c>
      <c r="T42" s="2798" t="s">
        <v>373</v>
      </c>
      <c r="U42" s="2798" t="s">
        <v>47</v>
      </c>
      <c r="V42" s="2798">
        <v>1</v>
      </c>
      <c r="W42" s="2798">
        <v>1122</v>
      </c>
      <c r="X42" s="2798">
        <v>2</v>
      </c>
      <c r="Y42" s="2795" t="s">
        <v>295</v>
      </c>
      <c r="Z42" s="2794">
        <v>31.1</v>
      </c>
      <c r="AA42" s="2794" t="s">
        <v>422</v>
      </c>
      <c r="AB42" s="2795">
        <v>1811</v>
      </c>
      <c r="AS42" s="2791" t="s">
        <v>427</v>
      </c>
      <c r="AT42" s="2791" t="s">
        <v>428</v>
      </c>
      <c r="AU42" s="2791">
        <v>1999</v>
      </c>
      <c r="AW42" s="2791" t="s">
        <v>60</v>
      </c>
      <c r="AX42" s="2791" t="s">
        <v>61</v>
      </c>
      <c r="AY42" s="2791" t="s">
        <v>428</v>
      </c>
      <c r="AZ42" s="2791">
        <v>5000</v>
      </c>
      <c r="BB42" s="2791" t="s">
        <v>60</v>
      </c>
      <c r="BC42" s="2791" t="s">
        <v>61</v>
      </c>
      <c r="BD42" s="2791" t="s">
        <v>62</v>
      </c>
    </row>
    <row r="43" spans="2:56">
      <c r="B43" s="2793">
        <v>1604</v>
      </c>
      <c r="C43" s="2793" t="s">
        <v>344</v>
      </c>
      <c r="D43" s="2793">
        <v>1</v>
      </c>
      <c r="E43" s="2793"/>
      <c r="F43" s="2793" t="s">
        <v>3646</v>
      </c>
      <c r="G43" s="2793" t="s">
        <v>361</v>
      </c>
      <c r="H43" s="2793"/>
      <c r="I43" s="2793">
        <v>1604</v>
      </c>
      <c r="J43" s="2793" t="s">
        <v>84</v>
      </c>
      <c r="M43" s="2795" t="s">
        <v>293</v>
      </c>
      <c r="N43" s="2795"/>
      <c r="O43" s="2795">
        <v>1511</v>
      </c>
      <c r="P43" s="2796" t="s">
        <v>430</v>
      </c>
      <c r="Q43" s="2796" t="s">
        <v>431</v>
      </c>
      <c r="R43" s="2791">
        <v>7013</v>
      </c>
      <c r="S43" s="2798" t="s">
        <v>379</v>
      </c>
      <c r="T43" s="2798" t="s">
        <v>380</v>
      </c>
      <c r="U43" s="2798" t="s">
        <v>47</v>
      </c>
      <c r="V43" s="2798">
        <v>1</v>
      </c>
      <c r="W43" s="2798">
        <v>1122</v>
      </c>
      <c r="X43" s="2798">
        <v>2</v>
      </c>
      <c r="Y43" s="2795" t="s">
        <v>295</v>
      </c>
      <c r="Z43" s="2794">
        <v>31</v>
      </c>
      <c r="AA43" s="2794" t="s">
        <v>434</v>
      </c>
      <c r="AB43" s="2795">
        <v>1829</v>
      </c>
      <c r="AS43" s="2791" t="s">
        <v>435</v>
      </c>
      <c r="AT43" s="2791" t="s">
        <v>428</v>
      </c>
      <c r="AU43" s="2791">
        <v>1999</v>
      </c>
      <c r="AW43" s="2791" t="s">
        <v>80</v>
      </c>
      <c r="AX43" s="2791" t="s">
        <v>81</v>
      </c>
      <c r="AY43" s="2791" t="s">
        <v>428</v>
      </c>
      <c r="AZ43" s="2791">
        <v>5000</v>
      </c>
      <c r="BB43" s="2791" t="s">
        <v>80</v>
      </c>
      <c r="BC43" s="2791" t="s">
        <v>81</v>
      </c>
      <c r="BD43" s="2791" t="s">
        <v>62</v>
      </c>
    </row>
    <row r="44" spans="2:56">
      <c r="B44" s="2793">
        <v>1605</v>
      </c>
      <c r="C44" s="2793" t="s">
        <v>351</v>
      </c>
      <c r="D44" s="2793">
        <v>1</v>
      </c>
      <c r="E44" s="2793"/>
      <c r="F44" s="2793" t="s">
        <v>5663</v>
      </c>
      <c r="G44" s="2793" t="s">
        <v>351</v>
      </c>
      <c r="H44" s="2793"/>
      <c r="I44" s="2793">
        <v>1605</v>
      </c>
      <c r="J44" s="2793" t="s">
        <v>84</v>
      </c>
      <c r="M44" s="2793" t="s">
        <v>445</v>
      </c>
      <c r="N44" s="2794"/>
      <c r="O44" s="2795">
        <v>1511.1512</v>
      </c>
      <c r="P44" s="2796" t="s">
        <v>320</v>
      </c>
      <c r="Q44" s="2796" t="s">
        <v>321</v>
      </c>
      <c r="R44" s="2791">
        <v>7014</v>
      </c>
      <c r="S44" s="2798" t="s">
        <v>419</v>
      </c>
      <c r="T44" s="2798" t="s">
        <v>420</v>
      </c>
      <c r="U44" s="2798" t="s">
        <v>1371</v>
      </c>
      <c r="V44" s="2798">
        <v>1</v>
      </c>
      <c r="W44" s="2798">
        <v>1122</v>
      </c>
      <c r="X44" s="2798">
        <v>2</v>
      </c>
      <c r="Y44" s="2795" t="s">
        <v>295</v>
      </c>
      <c r="Z44" s="2794">
        <v>32</v>
      </c>
      <c r="AA44" s="2794" t="s">
        <v>429</v>
      </c>
      <c r="AB44" s="2795">
        <v>1996</v>
      </c>
      <c r="AS44" s="2791" t="s">
        <v>440</v>
      </c>
      <c r="AT44" s="2791" t="s">
        <v>441</v>
      </c>
      <c r="AU44" s="2791">
        <v>6839</v>
      </c>
      <c r="AW44" s="2791" t="s">
        <v>98</v>
      </c>
      <c r="AX44" s="2791" t="s">
        <v>61</v>
      </c>
      <c r="AY44" s="2791" t="s">
        <v>442</v>
      </c>
      <c r="AZ44" s="2791">
        <v>8040</v>
      </c>
      <c r="BB44" s="2791" t="s">
        <v>98</v>
      </c>
      <c r="BC44" s="2791" t="s">
        <v>61</v>
      </c>
      <c r="BD44" s="2791" t="s">
        <v>62</v>
      </c>
    </row>
    <row r="45" spans="2:56">
      <c r="B45" s="2793">
        <v>1621</v>
      </c>
      <c r="C45" s="2793" t="s">
        <v>381</v>
      </c>
      <c r="D45" s="2793">
        <v>1</v>
      </c>
      <c r="E45" s="2793"/>
      <c r="F45" s="2793" t="s">
        <v>5664</v>
      </c>
      <c r="G45" s="2793" t="s">
        <v>381</v>
      </c>
      <c r="H45" s="2793"/>
      <c r="I45" s="2793">
        <v>1621</v>
      </c>
      <c r="J45" s="2793" t="s">
        <v>84</v>
      </c>
      <c r="M45" s="2793" t="s">
        <v>303</v>
      </c>
      <c r="N45" s="2794" t="s">
        <v>331</v>
      </c>
      <c r="O45" s="2795">
        <v>1515</v>
      </c>
      <c r="P45" s="2796" t="s">
        <v>326</v>
      </c>
      <c r="Q45" s="2796" t="s">
        <v>327</v>
      </c>
      <c r="R45" s="2791">
        <v>7015</v>
      </c>
      <c r="S45" s="2798" t="s">
        <v>425</v>
      </c>
      <c r="T45" s="2798" t="s">
        <v>426</v>
      </c>
      <c r="U45" s="2798" t="s">
        <v>1423</v>
      </c>
      <c r="V45" s="2798">
        <v>1</v>
      </c>
      <c r="W45" s="2798">
        <v>1122</v>
      </c>
      <c r="X45" s="2798">
        <v>2</v>
      </c>
      <c r="Y45" s="2795" t="s">
        <v>295</v>
      </c>
      <c r="Z45" s="2794">
        <v>81</v>
      </c>
      <c r="AA45" s="2794" t="s">
        <v>449</v>
      </c>
      <c r="AB45" s="2795">
        <v>1997</v>
      </c>
      <c r="AS45" s="2791" t="s">
        <v>450</v>
      </c>
      <c r="AT45" s="2791" t="s">
        <v>441</v>
      </c>
      <c r="AU45" s="2791">
        <v>6839</v>
      </c>
      <c r="AW45" s="2791" t="s">
        <v>116</v>
      </c>
      <c r="AX45" s="2791" t="s">
        <v>81</v>
      </c>
      <c r="AY45" s="2791" t="s">
        <v>442</v>
      </c>
      <c r="AZ45" s="2791">
        <v>8040</v>
      </c>
      <c r="BB45" s="2791" t="s">
        <v>116</v>
      </c>
      <c r="BC45" s="2791" t="s">
        <v>81</v>
      </c>
      <c r="BD45" s="2791" t="s">
        <v>62</v>
      </c>
    </row>
    <row r="46" spans="2:56">
      <c r="B46" s="2793">
        <v>1631</v>
      </c>
      <c r="C46" s="2793" t="s">
        <v>388</v>
      </c>
      <c r="D46" s="2793">
        <v>1</v>
      </c>
      <c r="E46" s="2793"/>
      <c r="F46" s="2793" t="s">
        <v>3706</v>
      </c>
      <c r="G46" s="2793" t="s">
        <v>388</v>
      </c>
      <c r="H46" s="2793"/>
      <c r="I46" s="2793">
        <v>1631</v>
      </c>
      <c r="J46" s="2793" t="s">
        <v>84</v>
      </c>
      <c r="M46" s="2793" t="s">
        <v>311</v>
      </c>
      <c r="N46" s="2794"/>
      <c r="O46" s="2795">
        <v>1521</v>
      </c>
      <c r="P46" s="2796" t="s">
        <v>333</v>
      </c>
      <c r="Q46" s="2796" t="s">
        <v>334</v>
      </c>
      <c r="R46" s="2791">
        <v>7016</v>
      </c>
      <c r="S46" s="2798" t="s">
        <v>432</v>
      </c>
      <c r="T46" s="2798" t="s">
        <v>433</v>
      </c>
      <c r="U46" s="2798" t="s">
        <v>47</v>
      </c>
      <c r="V46" s="2798">
        <v>1</v>
      </c>
      <c r="W46" s="2798">
        <v>1122</v>
      </c>
      <c r="X46" s="2798">
        <v>2</v>
      </c>
      <c r="Y46" s="2795" t="s">
        <v>295</v>
      </c>
      <c r="Z46" s="2794">
        <v>33</v>
      </c>
      <c r="AA46" s="2794" t="s">
        <v>454</v>
      </c>
      <c r="AB46" s="2795">
        <v>2001</v>
      </c>
      <c r="AS46" s="2791" t="s">
        <v>455</v>
      </c>
      <c r="AT46" s="2791" t="s">
        <v>442</v>
      </c>
      <c r="AU46" s="2791">
        <v>8110</v>
      </c>
      <c r="AW46" s="2791" t="s">
        <v>98</v>
      </c>
      <c r="AX46" s="2791" t="s">
        <v>61</v>
      </c>
      <c r="AY46" s="2791" t="s">
        <v>442</v>
      </c>
      <c r="AZ46" s="2791">
        <v>8199</v>
      </c>
      <c r="BB46" s="2791" t="s">
        <v>116</v>
      </c>
      <c r="BC46" s="2791" t="s">
        <v>81</v>
      </c>
      <c r="BD46" s="2791" t="s">
        <v>62</v>
      </c>
    </row>
    <row r="47" spans="2:56">
      <c r="B47" s="2793">
        <v>1636</v>
      </c>
      <c r="C47" s="2793" t="s">
        <v>556</v>
      </c>
      <c r="D47" s="2793">
        <v>1</v>
      </c>
      <c r="E47" s="2793" t="s">
        <v>557</v>
      </c>
      <c r="F47" s="2793" t="s">
        <v>5665</v>
      </c>
      <c r="G47" s="2793" t="s">
        <v>556</v>
      </c>
      <c r="H47" s="2793" t="s">
        <v>556</v>
      </c>
      <c r="I47" s="2793">
        <v>1636</v>
      </c>
      <c r="J47" s="2793" t="s">
        <v>84</v>
      </c>
      <c r="M47" s="2793" t="s">
        <v>460</v>
      </c>
      <c r="N47" s="2794"/>
      <c r="O47" s="2795">
        <v>1521.1522</v>
      </c>
      <c r="P47" s="2796" t="s">
        <v>340</v>
      </c>
      <c r="Q47" s="2796" t="s">
        <v>341</v>
      </c>
      <c r="R47" s="2791">
        <v>7021</v>
      </c>
      <c r="S47" s="2798" t="s">
        <v>446</v>
      </c>
      <c r="T47" s="2798" t="s">
        <v>447</v>
      </c>
      <c r="U47" s="2798" t="s">
        <v>47</v>
      </c>
      <c r="V47" s="2798">
        <v>1</v>
      </c>
      <c r="W47" s="2798">
        <v>1124</v>
      </c>
      <c r="X47" s="2798">
        <v>1</v>
      </c>
      <c r="Y47" s="2795" t="s">
        <v>295</v>
      </c>
      <c r="Z47" s="2794">
        <v>35</v>
      </c>
      <c r="AA47" s="2794" t="s">
        <v>457</v>
      </c>
      <c r="AB47" s="2795">
        <v>2101</v>
      </c>
      <c r="AS47" s="2791" t="s">
        <v>458</v>
      </c>
      <c r="AT47" s="2791" t="s">
        <v>442</v>
      </c>
      <c r="AU47" s="2791">
        <v>8210</v>
      </c>
      <c r="AW47" s="2791" t="s">
        <v>98</v>
      </c>
      <c r="AX47" s="2791" t="s">
        <v>61</v>
      </c>
      <c r="AY47" s="2791" t="s">
        <v>442</v>
      </c>
      <c r="AZ47" s="2791">
        <v>8299</v>
      </c>
      <c r="BB47" s="2791" t="s">
        <v>116</v>
      </c>
      <c r="BC47" s="2791" t="s">
        <v>81</v>
      </c>
      <c r="BD47" s="2791" t="s">
        <v>62</v>
      </c>
    </row>
    <row r="48" spans="2:56">
      <c r="B48" s="2793">
        <v>1701</v>
      </c>
      <c r="C48" s="2793" t="s">
        <v>396</v>
      </c>
      <c r="D48" s="2793">
        <v>1</v>
      </c>
      <c r="E48" s="2793"/>
      <c r="F48" s="2793" t="s">
        <v>3720</v>
      </c>
      <c r="G48" s="2793" t="s">
        <v>396</v>
      </c>
      <c r="H48" s="2793"/>
      <c r="I48" s="2793">
        <v>1701</v>
      </c>
      <c r="J48" s="2793" t="s">
        <v>84</v>
      </c>
      <c r="M48" s="2793" t="s">
        <v>465</v>
      </c>
      <c r="N48" s="2794"/>
      <c r="O48" s="2795">
        <v>1521.1523</v>
      </c>
      <c r="P48" s="2796" t="s">
        <v>347</v>
      </c>
      <c r="Q48" s="2796" t="s">
        <v>348</v>
      </c>
      <c r="R48" s="2791">
        <v>7023</v>
      </c>
      <c r="S48" s="2798" t="s">
        <v>453</v>
      </c>
      <c r="T48" s="2798" t="s">
        <v>6374</v>
      </c>
      <c r="U48" s="2798" t="s">
        <v>5117</v>
      </c>
      <c r="V48" s="2798">
        <v>1</v>
      </c>
      <c r="W48" s="2798">
        <v>1124</v>
      </c>
      <c r="X48" s="2798">
        <v>2</v>
      </c>
      <c r="Y48" s="2795" t="s">
        <v>295</v>
      </c>
      <c r="Z48" s="2794">
        <v>34</v>
      </c>
      <c r="AA48" s="2794" t="s">
        <v>462</v>
      </c>
      <c r="AB48" s="2795">
        <v>2102</v>
      </c>
      <c r="AS48" s="2791" t="s">
        <v>463</v>
      </c>
      <c r="AT48" s="2791" t="s">
        <v>442</v>
      </c>
      <c r="AU48" s="2791">
        <v>8310</v>
      </c>
      <c r="AW48" s="2791" t="s">
        <v>98</v>
      </c>
      <c r="AX48" s="2791" t="s">
        <v>61</v>
      </c>
      <c r="AY48" s="2791" t="s">
        <v>442</v>
      </c>
      <c r="AZ48" s="2791">
        <v>8399</v>
      </c>
      <c r="BB48" s="2791" t="s">
        <v>116</v>
      </c>
      <c r="BC48" s="2791" t="s">
        <v>81</v>
      </c>
      <c r="BD48" s="2791" t="s">
        <v>62</v>
      </c>
    </row>
    <row r="49" spans="2:56">
      <c r="B49" s="2793">
        <v>1700</v>
      </c>
      <c r="C49" s="2793" t="s">
        <v>394</v>
      </c>
      <c r="D49" s="2793">
        <v>1</v>
      </c>
      <c r="E49" s="2793"/>
      <c r="F49" s="2793" t="s">
        <v>5666</v>
      </c>
      <c r="G49" s="2793" t="s">
        <v>394</v>
      </c>
      <c r="H49" s="2793"/>
      <c r="I49" s="2793">
        <v>1700</v>
      </c>
      <c r="J49" s="2793" t="s">
        <v>84</v>
      </c>
      <c r="M49" s="2793" t="s">
        <v>317</v>
      </c>
      <c r="N49" s="2794"/>
      <c r="O49" s="2795">
        <v>1531</v>
      </c>
      <c r="P49" s="2796" t="s">
        <v>355</v>
      </c>
      <c r="Q49" s="2796" t="s">
        <v>356</v>
      </c>
      <c r="R49" s="2791">
        <v>7025</v>
      </c>
      <c r="S49" s="2798" t="s">
        <v>456</v>
      </c>
      <c r="T49" s="2798" t="s">
        <v>6375</v>
      </c>
      <c r="U49" s="2798" t="s">
        <v>6419</v>
      </c>
      <c r="V49" s="2798">
        <v>1</v>
      </c>
      <c r="W49" s="2798">
        <v>1124</v>
      </c>
      <c r="X49" s="2798">
        <v>2</v>
      </c>
      <c r="Y49" s="2795" t="s">
        <v>295</v>
      </c>
      <c r="Z49" s="2794">
        <v>36</v>
      </c>
      <c r="AA49" s="2794" t="s">
        <v>467</v>
      </c>
      <c r="AB49" s="2795">
        <v>2115</v>
      </c>
      <c r="AS49" s="2791" t="s">
        <v>468</v>
      </c>
      <c r="AT49" s="2791" t="s">
        <v>442</v>
      </c>
      <c r="AU49" s="2791">
        <v>8410</v>
      </c>
      <c r="AW49" s="2791" t="s">
        <v>98</v>
      </c>
      <c r="AX49" s="2791" t="s">
        <v>61</v>
      </c>
      <c r="AY49" s="2791" t="s">
        <v>442</v>
      </c>
      <c r="AZ49" s="2791">
        <v>8499</v>
      </c>
      <c r="BB49" s="2791" t="s">
        <v>116</v>
      </c>
      <c r="BC49" s="2791" t="s">
        <v>81</v>
      </c>
      <c r="BD49" s="2791" t="s">
        <v>62</v>
      </c>
    </row>
    <row r="50" spans="2:56">
      <c r="B50" s="2793">
        <v>1711</v>
      </c>
      <c r="C50" s="2793" t="s">
        <v>409</v>
      </c>
      <c r="D50" s="2793">
        <v>1</v>
      </c>
      <c r="E50" s="2793"/>
      <c r="F50" s="2793" t="s">
        <v>5667</v>
      </c>
      <c r="G50" s="2793" t="s">
        <v>409</v>
      </c>
      <c r="H50" s="2793"/>
      <c r="I50" s="2793">
        <v>1711</v>
      </c>
      <c r="J50" s="2793" t="s">
        <v>84</v>
      </c>
      <c r="M50" s="2793" t="s">
        <v>323</v>
      </c>
      <c r="N50" s="2794" t="s">
        <v>119</v>
      </c>
      <c r="O50" s="2795">
        <v>1538</v>
      </c>
      <c r="P50" s="2796" t="s">
        <v>363</v>
      </c>
      <c r="Q50" s="2796" t="s">
        <v>364</v>
      </c>
      <c r="R50" s="2791">
        <v>7026</v>
      </c>
      <c r="S50" s="2798" t="s">
        <v>461</v>
      </c>
      <c r="T50" s="2798" t="s">
        <v>6376</v>
      </c>
      <c r="U50" s="2798" t="s">
        <v>6419</v>
      </c>
      <c r="V50" s="2798">
        <v>1</v>
      </c>
      <c r="W50" s="2798">
        <v>1124</v>
      </c>
      <c r="X50" s="2798">
        <v>2</v>
      </c>
      <c r="Y50" s="2795" t="s">
        <v>295</v>
      </c>
      <c r="Z50" s="2794">
        <v>37</v>
      </c>
      <c r="AA50" s="2794" t="s">
        <v>471</v>
      </c>
      <c r="AB50" s="2795">
        <v>2201</v>
      </c>
      <c r="AS50" s="2791" t="s">
        <v>472</v>
      </c>
      <c r="AT50" s="2791" t="s">
        <v>442</v>
      </c>
      <c r="AU50" s="2791">
        <v>8510</v>
      </c>
      <c r="AW50" s="2791" t="s">
        <v>98</v>
      </c>
      <c r="AX50" s="2791" t="s">
        <v>61</v>
      </c>
      <c r="AY50" s="2791" t="s">
        <v>442</v>
      </c>
      <c r="AZ50" s="2791">
        <v>8599</v>
      </c>
      <c r="BB50" s="2791" t="s">
        <v>116</v>
      </c>
      <c r="BC50" s="2791" t="s">
        <v>81</v>
      </c>
      <c r="BD50" s="2791" t="s">
        <v>62</v>
      </c>
    </row>
    <row r="51" spans="2:56">
      <c r="B51" s="2793">
        <v>1801</v>
      </c>
      <c r="C51" s="2793" t="s">
        <v>415</v>
      </c>
      <c r="D51" s="2793">
        <v>1</v>
      </c>
      <c r="E51" s="2793"/>
      <c r="F51" s="2793" t="s">
        <v>5668</v>
      </c>
      <c r="G51" s="2793" t="s">
        <v>415</v>
      </c>
      <c r="H51" s="2793"/>
      <c r="I51" s="2793">
        <v>1801</v>
      </c>
      <c r="J51" s="2793" t="s">
        <v>84</v>
      </c>
      <c r="M51" s="2793" t="s">
        <v>329</v>
      </c>
      <c r="N51" s="2794" t="s">
        <v>119</v>
      </c>
      <c r="O51" s="2795">
        <v>1539</v>
      </c>
      <c r="P51" s="2796" t="s">
        <v>370</v>
      </c>
      <c r="Q51" s="2796" t="s">
        <v>371</v>
      </c>
      <c r="R51" s="2791">
        <v>7053</v>
      </c>
      <c r="S51" s="2798" t="s">
        <v>466</v>
      </c>
      <c r="T51" s="2798" t="s">
        <v>6377</v>
      </c>
      <c r="U51" s="2798" t="s">
        <v>6420</v>
      </c>
      <c r="V51" s="2798">
        <v>1</v>
      </c>
      <c r="W51" s="2798">
        <v>1124</v>
      </c>
      <c r="X51" s="2798">
        <v>2</v>
      </c>
      <c r="Y51" s="2795" t="s">
        <v>295</v>
      </c>
      <c r="Z51" s="2794">
        <v>38</v>
      </c>
      <c r="AA51" s="2794" t="s">
        <v>476</v>
      </c>
      <c r="AB51" s="2795">
        <v>2202</v>
      </c>
      <c r="AS51" s="2791" t="s">
        <v>477</v>
      </c>
      <c r="AT51" s="2791" t="s">
        <v>442</v>
      </c>
      <c r="AU51" s="2791">
        <v>8610</v>
      </c>
      <c r="AW51" s="2791" t="s">
        <v>98</v>
      </c>
      <c r="AX51" s="2791" t="s">
        <v>61</v>
      </c>
      <c r="AY51" s="2791" t="s">
        <v>442</v>
      </c>
      <c r="AZ51" s="2791">
        <v>8699</v>
      </c>
      <c r="BB51" s="2791" t="s">
        <v>116</v>
      </c>
      <c r="BC51" s="2791" t="s">
        <v>81</v>
      </c>
      <c r="BD51" s="2791" t="s">
        <v>62</v>
      </c>
    </row>
    <row r="52" spans="2:56">
      <c r="B52" s="2793">
        <v>1811</v>
      </c>
      <c r="C52" s="2793" t="s">
        <v>422</v>
      </c>
      <c r="D52" s="2793">
        <v>1</v>
      </c>
      <c r="E52" s="2793"/>
      <c r="F52" s="2793" t="s">
        <v>5669</v>
      </c>
      <c r="G52" s="2793" t="s">
        <v>422</v>
      </c>
      <c r="H52" s="2793"/>
      <c r="I52" s="2793">
        <v>1811</v>
      </c>
      <c r="J52" s="2793" t="s">
        <v>84</v>
      </c>
      <c r="M52" s="2793" t="s">
        <v>337</v>
      </c>
      <c r="N52" s="2794"/>
      <c r="O52" s="2795">
        <v>1601</v>
      </c>
      <c r="P52" s="2796" t="s">
        <v>377</v>
      </c>
      <c r="Q52" s="2796" t="s">
        <v>378</v>
      </c>
      <c r="R52" s="2791">
        <v>7054</v>
      </c>
      <c r="S52" s="2798" t="s">
        <v>6370</v>
      </c>
      <c r="T52" s="2798" t="s">
        <v>6378</v>
      </c>
      <c r="U52" s="2798" t="s">
        <v>5117</v>
      </c>
      <c r="V52" s="2798">
        <v>1</v>
      </c>
      <c r="W52" s="2798">
        <v>1124</v>
      </c>
      <c r="X52" s="2798">
        <v>2</v>
      </c>
      <c r="Y52" s="2795" t="s">
        <v>295</v>
      </c>
      <c r="Z52" s="2794">
        <v>9900</v>
      </c>
      <c r="AA52" s="2794" t="s">
        <v>480</v>
      </c>
      <c r="AB52" s="2795">
        <v>2203</v>
      </c>
      <c r="AS52" s="2791" t="s">
        <v>481</v>
      </c>
      <c r="AT52" s="2791" t="s">
        <v>442</v>
      </c>
      <c r="AU52" s="2791">
        <v>8710</v>
      </c>
      <c r="AW52" s="2791" t="s">
        <v>98</v>
      </c>
      <c r="AX52" s="2791" t="s">
        <v>61</v>
      </c>
      <c r="AY52" s="2791" t="s">
        <v>442</v>
      </c>
      <c r="AZ52" s="2791">
        <v>8799</v>
      </c>
      <c r="BB52" s="2791" t="s">
        <v>116</v>
      </c>
      <c r="BC52" s="2791" t="s">
        <v>81</v>
      </c>
      <c r="BD52" s="2791" t="s">
        <v>62</v>
      </c>
    </row>
    <row r="53" spans="2:56">
      <c r="B53" s="2793">
        <v>1996</v>
      </c>
      <c r="C53" s="2793" t="s">
        <v>429</v>
      </c>
      <c r="D53" s="2793">
        <v>1</v>
      </c>
      <c r="E53" s="2793"/>
      <c r="F53" s="2793" t="s">
        <v>5670</v>
      </c>
      <c r="G53" s="2793" t="s">
        <v>429</v>
      </c>
      <c r="H53" s="2793"/>
      <c r="I53" s="2793">
        <v>1996</v>
      </c>
      <c r="J53" s="2793" t="s">
        <v>84</v>
      </c>
      <c r="M53" s="2793" t="s">
        <v>486</v>
      </c>
      <c r="N53" s="2794"/>
      <c r="O53" s="2795">
        <v>1601.1602</v>
      </c>
      <c r="P53" s="2796" t="s">
        <v>384</v>
      </c>
      <c r="Q53" s="2796" t="s">
        <v>385</v>
      </c>
      <c r="R53" s="2791">
        <v>7055</v>
      </c>
      <c r="S53" s="2798" t="s">
        <v>6371</v>
      </c>
      <c r="T53" s="2798" t="s">
        <v>6379</v>
      </c>
      <c r="U53" s="2798" t="s">
        <v>6419</v>
      </c>
      <c r="V53" s="2798">
        <v>1</v>
      </c>
      <c r="W53" s="2798">
        <v>1124</v>
      </c>
      <c r="X53" s="2798">
        <v>2</v>
      </c>
      <c r="Y53" s="2795" t="s">
        <v>295</v>
      </c>
      <c r="Z53" s="2794">
        <v>39</v>
      </c>
      <c r="AA53" s="2794" t="s">
        <v>484</v>
      </c>
      <c r="AB53" s="2795">
        <v>2205</v>
      </c>
      <c r="AS53" s="2791" t="s">
        <v>485</v>
      </c>
      <c r="AT53" s="2791" t="s">
        <v>442</v>
      </c>
      <c r="AU53" s="2791">
        <v>8810</v>
      </c>
      <c r="AW53" s="2791" t="s">
        <v>98</v>
      </c>
      <c r="AX53" s="2791" t="s">
        <v>61</v>
      </c>
      <c r="AY53" s="2791" t="s">
        <v>442</v>
      </c>
      <c r="AZ53" s="2791">
        <v>8899</v>
      </c>
      <c r="BB53" s="2791" t="s">
        <v>116</v>
      </c>
      <c r="BC53" s="2791" t="s">
        <v>81</v>
      </c>
      <c r="BD53" s="2791" t="s">
        <v>62</v>
      </c>
    </row>
    <row r="54" spans="2:56">
      <c r="B54" s="2793">
        <v>1998</v>
      </c>
      <c r="C54" s="2793" t="s">
        <v>436</v>
      </c>
      <c r="D54" s="2793"/>
      <c r="E54" s="2793" t="s">
        <v>287</v>
      </c>
      <c r="F54" s="2793"/>
      <c r="G54" s="2793" t="s">
        <v>437</v>
      </c>
      <c r="H54" s="2793"/>
      <c r="I54" s="2793">
        <v>1998</v>
      </c>
      <c r="J54" s="2793"/>
      <c r="M54" s="2793" t="s">
        <v>491</v>
      </c>
      <c r="N54" s="2794"/>
      <c r="O54" s="2795">
        <v>1601.1603</v>
      </c>
      <c r="P54" s="2796" t="s">
        <v>390</v>
      </c>
      <c r="Q54" s="2796" t="s">
        <v>391</v>
      </c>
      <c r="R54" s="2791">
        <v>7056</v>
      </c>
      <c r="S54" s="2798" t="s">
        <v>6372</v>
      </c>
      <c r="T54" s="2798" t="s">
        <v>6380</v>
      </c>
      <c r="U54" s="2798" t="s">
        <v>6419</v>
      </c>
      <c r="V54" s="2798">
        <v>1</v>
      </c>
      <c r="W54" s="2798">
        <v>1124</v>
      </c>
      <c r="X54" s="2798">
        <v>2</v>
      </c>
      <c r="Y54" s="2795" t="s">
        <v>295</v>
      </c>
      <c r="Z54" s="2794">
        <v>40</v>
      </c>
      <c r="AA54" s="2794" t="s">
        <v>489</v>
      </c>
      <c r="AB54" s="2795">
        <v>2211</v>
      </c>
      <c r="AS54" s="2791" t="s">
        <v>490</v>
      </c>
      <c r="AT54" s="2791" t="s">
        <v>442</v>
      </c>
      <c r="AU54" s="2791">
        <v>8010</v>
      </c>
      <c r="AW54" s="2791" t="s">
        <v>98</v>
      </c>
      <c r="AX54" s="2791" t="s">
        <v>61</v>
      </c>
      <c r="AY54" s="2791" t="s">
        <v>442</v>
      </c>
      <c r="AZ54" s="2791">
        <v>8099</v>
      </c>
      <c r="BB54" s="2791" t="s">
        <v>116</v>
      </c>
      <c r="BC54" s="2791" t="s">
        <v>81</v>
      </c>
      <c r="BD54" s="2791" t="s">
        <v>62</v>
      </c>
    </row>
    <row r="55" spans="2:56">
      <c r="B55" s="2793">
        <v>1999</v>
      </c>
      <c r="C55" s="2793" t="s">
        <v>443</v>
      </c>
      <c r="D55" s="2793"/>
      <c r="E55" s="2793" t="s">
        <v>287</v>
      </c>
      <c r="F55" s="2793"/>
      <c r="G55" s="2793" t="s">
        <v>444</v>
      </c>
      <c r="H55" s="2793"/>
      <c r="I55" s="2793">
        <v>1999</v>
      </c>
      <c r="J55" s="2793"/>
      <c r="M55" s="2793" t="s">
        <v>344</v>
      </c>
      <c r="N55" s="2794"/>
      <c r="O55" s="2795">
        <v>1604</v>
      </c>
      <c r="P55" s="2796" t="s">
        <v>397</v>
      </c>
      <c r="Q55" s="2796" t="s">
        <v>398</v>
      </c>
      <c r="R55" s="2791">
        <v>7057</v>
      </c>
      <c r="S55" s="2798" t="s">
        <v>6373</v>
      </c>
      <c r="T55" s="2798" t="s">
        <v>6381</v>
      </c>
      <c r="U55" s="2798" t="s">
        <v>6420</v>
      </c>
      <c r="V55" s="2798">
        <v>1</v>
      </c>
      <c r="W55" s="2798">
        <v>1124</v>
      </c>
      <c r="X55" s="2798">
        <v>2</v>
      </c>
      <c r="Y55" s="2795" t="s">
        <v>295</v>
      </c>
      <c r="Z55" s="2794">
        <v>41</v>
      </c>
      <c r="AA55" s="2794" t="s">
        <v>494</v>
      </c>
      <c r="AB55" s="2795">
        <v>2221</v>
      </c>
      <c r="AS55" s="2791" t="s">
        <v>495</v>
      </c>
      <c r="AT55" s="2791" t="s">
        <v>442</v>
      </c>
      <c r="AU55" s="2791">
        <v>8199</v>
      </c>
      <c r="AW55" s="2791" t="s">
        <v>98</v>
      </c>
      <c r="AX55" s="2791" t="s">
        <v>61</v>
      </c>
      <c r="AY55" s="2791" t="s">
        <v>428</v>
      </c>
      <c r="AZ55" s="2791">
        <v>4001</v>
      </c>
      <c r="BB55" s="2791" t="s">
        <v>60</v>
      </c>
      <c r="BC55" s="2791" t="s">
        <v>61</v>
      </c>
      <c r="BD55" s="2791" t="s">
        <v>62</v>
      </c>
    </row>
    <row r="56" spans="2:56">
      <c r="B56" s="2793">
        <v>2000</v>
      </c>
      <c r="C56" s="2793" t="s">
        <v>451</v>
      </c>
      <c r="D56" s="2793"/>
      <c r="E56" s="2793" t="s">
        <v>41</v>
      </c>
      <c r="F56" s="2793"/>
      <c r="G56" s="2793" t="s">
        <v>452</v>
      </c>
      <c r="H56" s="2793"/>
      <c r="I56" s="2793">
        <v>2000</v>
      </c>
      <c r="J56" s="2793"/>
      <c r="M56" s="2793" t="s">
        <v>502</v>
      </c>
      <c r="N56" s="2794"/>
      <c r="O56" s="2795">
        <v>1604.1606999999999</v>
      </c>
      <c r="P56" s="2796" t="s">
        <v>403</v>
      </c>
      <c r="Q56" s="2796" t="s">
        <v>404</v>
      </c>
      <c r="R56" s="2791">
        <v>7165</v>
      </c>
      <c r="S56" s="2798" t="s">
        <v>470</v>
      </c>
      <c r="T56" s="2798" t="s">
        <v>6382</v>
      </c>
      <c r="U56" s="2798" t="s">
        <v>5117</v>
      </c>
      <c r="V56" s="2798">
        <v>1</v>
      </c>
      <c r="W56" s="2798">
        <v>1124</v>
      </c>
      <c r="X56" s="2798">
        <v>2</v>
      </c>
      <c r="Y56" s="2795" t="s">
        <v>295</v>
      </c>
      <c r="Z56" s="2794">
        <v>42.1</v>
      </c>
      <c r="AA56" s="2794" t="s">
        <v>499</v>
      </c>
      <c r="AB56" s="2795">
        <v>2231</v>
      </c>
      <c r="AS56" s="2791" t="s">
        <v>500</v>
      </c>
      <c r="AT56" s="2791" t="s">
        <v>442</v>
      </c>
      <c r="AU56" s="2791">
        <v>8199</v>
      </c>
      <c r="AW56" s="2791" t="s">
        <v>116</v>
      </c>
      <c r="AX56" s="2791" t="s">
        <v>81</v>
      </c>
      <c r="AY56" s="2791" t="s">
        <v>428</v>
      </c>
      <c r="AZ56" s="2791">
        <v>4001</v>
      </c>
      <c r="BB56" s="2791" t="s">
        <v>80</v>
      </c>
      <c r="BC56" s="2791" t="s">
        <v>81</v>
      </c>
      <c r="BD56" s="2791" t="s">
        <v>62</v>
      </c>
    </row>
    <row r="57" spans="2:56">
      <c r="B57" s="2793">
        <v>2001</v>
      </c>
      <c r="C57" s="2793" t="s">
        <v>454</v>
      </c>
      <c r="D57" s="2793">
        <v>-1</v>
      </c>
      <c r="E57" s="2793"/>
      <c r="F57" s="2793" t="s">
        <v>5671</v>
      </c>
      <c r="G57" s="2793" t="s">
        <v>454</v>
      </c>
      <c r="H57" s="2793"/>
      <c r="I57" s="2793">
        <v>2001</v>
      </c>
      <c r="J57" s="2793" t="s">
        <v>84</v>
      </c>
      <c r="M57" s="2793" t="s">
        <v>351</v>
      </c>
      <c r="N57" s="2794"/>
      <c r="O57" s="2795">
        <v>1605</v>
      </c>
      <c r="P57" s="2796" t="s">
        <v>503</v>
      </c>
      <c r="Q57" s="2796" t="s">
        <v>504</v>
      </c>
      <c r="R57" s="2791">
        <v>7349</v>
      </c>
      <c r="S57" s="2798" t="s">
        <v>473</v>
      </c>
      <c r="T57" s="2798" t="s">
        <v>474</v>
      </c>
      <c r="U57" s="2798" t="s">
        <v>1439</v>
      </c>
      <c r="V57" s="2798">
        <v>1</v>
      </c>
      <c r="W57" s="2798">
        <v>1125</v>
      </c>
      <c r="X57" s="2798">
        <v>1</v>
      </c>
      <c r="Y57" s="2795" t="s">
        <v>295</v>
      </c>
      <c r="Z57" s="2794">
        <v>42.2</v>
      </c>
      <c r="AA57" s="2794" t="s">
        <v>507</v>
      </c>
      <c r="AB57" s="2795">
        <v>2232</v>
      </c>
      <c r="AS57" s="2791" t="s">
        <v>508</v>
      </c>
      <c r="AT57" s="2791" t="s">
        <v>442</v>
      </c>
      <c r="AU57" s="2791">
        <v>8299</v>
      </c>
      <c r="AW57" s="2791" t="s">
        <v>98</v>
      </c>
      <c r="AX57" s="2791" t="s">
        <v>61</v>
      </c>
      <c r="AY57" s="2791" t="s">
        <v>428</v>
      </c>
      <c r="AZ57" s="2791">
        <v>4002</v>
      </c>
      <c r="BB57" s="2791" t="s">
        <v>60</v>
      </c>
      <c r="BC57" s="2791" t="s">
        <v>61</v>
      </c>
      <c r="BD57" s="2791" t="s">
        <v>62</v>
      </c>
    </row>
    <row r="58" spans="2:56">
      <c r="B58" s="2793">
        <v>2004</v>
      </c>
      <c r="C58" s="2793" t="s">
        <v>459</v>
      </c>
      <c r="D58" s="2793">
        <v>-1</v>
      </c>
      <c r="E58" s="2793" t="s">
        <v>102</v>
      </c>
      <c r="F58" s="2793"/>
      <c r="G58" s="2793" t="s">
        <v>459</v>
      </c>
      <c r="H58" s="2793"/>
      <c r="I58" s="2793">
        <v>2004</v>
      </c>
      <c r="J58" s="2793" t="s">
        <v>84</v>
      </c>
      <c r="M58" s="2793" t="s">
        <v>515</v>
      </c>
      <c r="N58" s="2794"/>
      <c r="O58" s="2795">
        <v>1605.1608000000001</v>
      </c>
      <c r="P58" s="2791" t="s">
        <v>509</v>
      </c>
      <c r="R58" s="2791">
        <v>7400</v>
      </c>
      <c r="S58" s="2798" t="s">
        <v>478</v>
      </c>
      <c r="T58" s="2798" t="s">
        <v>479</v>
      </c>
      <c r="U58" s="2798" t="s">
        <v>1465</v>
      </c>
      <c r="V58" s="2798">
        <v>1</v>
      </c>
      <c r="W58" s="2798">
        <v>1125</v>
      </c>
      <c r="X58" s="2798">
        <v>2</v>
      </c>
      <c r="Y58" s="2795" t="s">
        <v>295</v>
      </c>
      <c r="Z58" s="2794">
        <v>42.3</v>
      </c>
      <c r="AA58" s="2794" t="s">
        <v>513</v>
      </c>
      <c r="AB58" s="2795">
        <v>2241</v>
      </c>
      <c r="AS58" s="2791" t="s">
        <v>514</v>
      </c>
      <c r="AT58" s="2791" t="s">
        <v>442</v>
      </c>
      <c r="AU58" s="2791">
        <v>8299</v>
      </c>
      <c r="AW58" s="2791" t="s">
        <v>116</v>
      </c>
      <c r="AX58" s="2791" t="s">
        <v>81</v>
      </c>
      <c r="AY58" s="2791" t="s">
        <v>428</v>
      </c>
      <c r="AZ58" s="2791">
        <v>4002</v>
      </c>
      <c r="BB58" s="2791" t="s">
        <v>80</v>
      </c>
      <c r="BC58" s="2791" t="s">
        <v>81</v>
      </c>
      <c r="BD58" s="2791" t="s">
        <v>62</v>
      </c>
    </row>
    <row r="59" spans="2:56">
      <c r="B59" s="2793">
        <v>2003</v>
      </c>
      <c r="C59" s="2793" t="s">
        <v>469</v>
      </c>
      <c r="D59" s="2793">
        <v>-1</v>
      </c>
      <c r="E59" s="2793" t="s">
        <v>102</v>
      </c>
      <c r="F59" s="2793"/>
      <c r="G59" s="2793" t="s">
        <v>469</v>
      </c>
      <c r="H59" s="2793"/>
      <c r="I59" s="2793">
        <v>2003</v>
      </c>
      <c r="J59" s="2793" t="s">
        <v>84</v>
      </c>
      <c r="M59" s="2793" t="s">
        <v>359</v>
      </c>
      <c r="N59" s="2794"/>
      <c r="O59" s="2795">
        <v>1606</v>
      </c>
      <c r="S59" s="2798" t="s">
        <v>482</v>
      </c>
      <c r="T59" s="2798" t="s">
        <v>483</v>
      </c>
      <c r="U59" s="2798" t="s">
        <v>1465</v>
      </c>
      <c r="V59" s="2798">
        <v>1</v>
      </c>
      <c r="W59" s="2798">
        <v>1125</v>
      </c>
      <c r="X59" s="2798">
        <v>2</v>
      </c>
      <c r="Y59" s="2795" t="s">
        <v>295</v>
      </c>
      <c r="Z59" s="2794">
        <v>42</v>
      </c>
      <c r="AA59" s="2794" t="s">
        <v>519</v>
      </c>
      <c r="AB59" s="2795">
        <v>2246</v>
      </c>
      <c r="AS59" s="2791" t="s">
        <v>520</v>
      </c>
      <c r="AT59" s="2791" t="s">
        <v>442</v>
      </c>
      <c r="AU59" s="2791">
        <v>8399</v>
      </c>
      <c r="AW59" s="2791" t="s">
        <v>98</v>
      </c>
      <c r="AX59" s="2791" t="s">
        <v>61</v>
      </c>
      <c r="AY59" s="2791" t="s">
        <v>428</v>
      </c>
      <c r="AZ59" s="2791">
        <v>4201</v>
      </c>
      <c r="BB59" s="2791" t="s">
        <v>60</v>
      </c>
      <c r="BC59" s="2791" t="s">
        <v>61</v>
      </c>
      <c r="BD59" s="2791" t="s">
        <v>62</v>
      </c>
    </row>
    <row r="60" spans="2:56">
      <c r="B60" s="2793">
        <v>2102</v>
      </c>
      <c r="C60" s="2793" t="s">
        <v>462</v>
      </c>
      <c r="D60" s="2793">
        <v>-1</v>
      </c>
      <c r="E60" s="2793" t="s">
        <v>119</v>
      </c>
      <c r="F60" s="2793" t="s">
        <v>3832</v>
      </c>
      <c r="G60" s="2793" t="s">
        <v>462</v>
      </c>
      <c r="H60" s="2793" t="s">
        <v>462</v>
      </c>
      <c r="I60" s="2793">
        <v>2102</v>
      </c>
      <c r="J60" s="2793" t="s">
        <v>84</v>
      </c>
      <c r="M60" s="2793" t="s">
        <v>381</v>
      </c>
      <c r="N60" s="2794"/>
      <c r="O60" s="2795">
        <v>1621</v>
      </c>
      <c r="S60" s="2798" t="s">
        <v>497</v>
      </c>
      <c r="T60" s="2798" t="s">
        <v>498</v>
      </c>
      <c r="U60" s="2798" t="s">
        <v>47</v>
      </c>
      <c r="V60" s="2798">
        <v>1</v>
      </c>
      <c r="W60" s="2798">
        <v>1125</v>
      </c>
      <c r="X60" s="2798">
        <v>1</v>
      </c>
      <c r="Y60" s="2795" t="s">
        <v>295</v>
      </c>
      <c r="Z60" s="2794">
        <v>43</v>
      </c>
      <c r="AA60" s="2794" t="s">
        <v>524</v>
      </c>
      <c r="AB60" s="2795">
        <v>2315</v>
      </c>
      <c r="AS60" s="2791" t="s">
        <v>525</v>
      </c>
      <c r="AT60" s="2791" t="s">
        <v>442</v>
      </c>
      <c r="AU60" s="2791">
        <v>8399</v>
      </c>
      <c r="AW60" s="2791" t="s">
        <v>116</v>
      </c>
      <c r="AX60" s="2791" t="s">
        <v>81</v>
      </c>
      <c r="AY60" s="2791" t="s">
        <v>428</v>
      </c>
      <c r="AZ60" s="2791">
        <v>4201</v>
      </c>
      <c r="BB60" s="2791" t="s">
        <v>80</v>
      </c>
      <c r="BC60" s="2791" t="s">
        <v>81</v>
      </c>
      <c r="BD60" s="2791" t="s">
        <v>62</v>
      </c>
    </row>
    <row r="61" spans="2:56">
      <c r="B61" s="2793">
        <v>2101</v>
      </c>
      <c r="C61" s="2793" t="s">
        <v>457</v>
      </c>
      <c r="D61" s="2793">
        <v>-1</v>
      </c>
      <c r="E61" s="2793" t="s">
        <v>103</v>
      </c>
      <c r="F61" s="2793" t="s">
        <v>5672</v>
      </c>
      <c r="G61" s="2793" t="s">
        <v>457</v>
      </c>
      <c r="H61" s="2793"/>
      <c r="I61" s="2793">
        <v>2101</v>
      </c>
      <c r="J61" s="2793" t="s">
        <v>84</v>
      </c>
      <c r="M61" s="2793" t="s">
        <v>531</v>
      </c>
      <c r="N61" s="2794"/>
      <c r="O61" s="2795">
        <v>1621.1622</v>
      </c>
      <c r="S61" s="2798" t="s">
        <v>492</v>
      </c>
      <c r="T61" s="2798" t="s">
        <v>493</v>
      </c>
      <c r="U61" s="2798" t="s">
        <v>1423</v>
      </c>
      <c r="V61" s="2798">
        <v>1</v>
      </c>
      <c r="W61" s="2798">
        <v>1125</v>
      </c>
      <c r="X61" s="2798">
        <v>2</v>
      </c>
      <c r="Y61" s="2795" t="s">
        <v>295</v>
      </c>
      <c r="Z61" s="2794">
        <v>44</v>
      </c>
      <c r="AA61" s="2794" t="s">
        <v>529</v>
      </c>
      <c r="AB61" s="2795">
        <v>2395</v>
      </c>
      <c r="AS61" s="2791" t="s">
        <v>530</v>
      </c>
      <c r="AT61" s="2791" t="s">
        <v>442</v>
      </c>
      <c r="AU61" s="2791">
        <v>8499</v>
      </c>
      <c r="AW61" s="2791" t="s">
        <v>98</v>
      </c>
      <c r="AX61" s="2791" t="s">
        <v>61</v>
      </c>
      <c r="AY61" s="2791" t="s">
        <v>428</v>
      </c>
      <c r="AZ61" s="2791">
        <v>4301</v>
      </c>
      <c r="BB61" s="2791" t="s">
        <v>60</v>
      </c>
      <c r="BC61" s="2791" t="s">
        <v>61</v>
      </c>
      <c r="BD61" s="2791" t="s">
        <v>62</v>
      </c>
    </row>
    <row r="62" spans="2:56">
      <c r="B62" s="2793">
        <v>2115</v>
      </c>
      <c r="C62" s="2793" t="s">
        <v>467</v>
      </c>
      <c r="D62" s="2793">
        <v>-1</v>
      </c>
      <c r="E62" s="2793" t="s">
        <v>132</v>
      </c>
      <c r="F62" s="2793" t="s">
        <v>5673</v>
      </c>
      <c r="G62" s="2793" t="s">
        <v>467</v>
      </c>
      <c r="H62" s="2793"/>
      <c r="I62" s="2793">
        <v>2115</v>
      </c>
      <c r="J62" s="2793" t="s">
        <v>84</v>
      </c>
      <c r="M62" s="2793" t="s">
        <v>537</v>
      </c>
      <c r="N62" s="2794"/>
      <c r="O62" s="2795">
        <v>1621.1623999999999</v>
      </c>
      <c r="S62" s="2798" t="s">
        <v>505</v>
      </c>
      <c r="T62" s="2798" t="s">
        <v>506</v>
      </c>
      <c r="U62" s="2798" t="s">
        <v>47</v>
      </c>
      <c r="V62" s="2798">
        <v>1</v>
      </c>
      <c r="W62" s="2798">
        <v>1125</v>
      </c>
      <c r="X62" s="2798">
        <v>2</v>
      </c>
      <c r="Y62" s="2795" t="s">
        <v>295</v>
      </c>
      <c r="Z62" s="2794">
        <v>45</v>
      </c>
      <c r="AA62" s="2794" t="s">
        <v>534</v>
      </c>
      <c r="AB62" s="2795">
        <v>2396</v>
      </c>
      <c r="AS62" s="2791" t="s">
        <v>535</v>
      </c>
      <c r="AT62" s="2791" t="s">
        <v>442</v>
      </c>
      <c r="AU62" s="2791">
        <v>8499</v>
      </c>
      <c r="AW62" s="2791" t="s">
        <v>116</v>
      </c>
      <c r="AX62" s="2791" t="s">
        <v>81</v>
      </c>
      <c r="AY62" s="2791" t="s">
        <v>428</v>
      </c>
      <c r="AZ62" s="2791">
        <v>4301</v>
      </c>
      <c r="BB62" s="2791" t="s">
        <v>80</v>
      </c>
      <c r="BC62" s="2791" t="s">
        <v>81</v>
      </c>
      <c r="BD62" s="2791" t="s">
        <v>62</v>
      </c>
    </row>
    <row r="63" spans="2:56">
      <c r="B63" s="2793">
        <v>2201</v>
      </c>
      <c r="C63" s="2793" t="s">
        <v>471</v>
      </c>
      <c r="D63" s="2793">
        <v>-1</v>
      </c>
      <c r="E63" s="2793"/>
      <c r="F63" s="2793" t="s">
        <v>5674</v>
      </c>
      <c r="G63" s="2793" t="s">
        <v>471</v>
      </c>
      <c r="H63" s="2793"/>
      <c r="I63" s="2793">
        <v>2201</v>
      </c>
      <c r="J63" s="2793" t="s">
        <v>84</v>
      </c>
      <c r="M63" s="2793" t="s">
        <v>388</v>
      </c>
      <c r="N63" s="2794"/>
      <c r="O63" s="2795">
        <v>1631</v>
      </c>
      <c r="S63" s="2798" t="s">
        <v>510</v>
      </c>
      <c r="T63" s="2798" t="s">
        <v>511</v>
      </c>
      <c r="U63" s="2798" t="s">
        <v>47</v>
      </c>
      <c r="V63" s="2798">
        <v>1</v>
      </c>
      <c r="W63" s="2798">
        <v>1220</v>
      </c>
      <c r="X63" s="2798">
        <v>1</v>
      </c>
      <c r="Y63" s="2795" t="s">
        <v>295</v>
      </c>
      <c r="Z63" s="2794">
        <v>51</v>
      </c>
      <c r="AA63" s="2794" t="s">
        <v>541</v>
      </c>
      <c r="AB63" s="2795">
        <v>2401</v>
      </c>
      <c r="AS63" s="2791" t="s">
        <v>542</v>
      </c>
      <c r="AT63" s="2791" t="s">
        <v>442</v>
      </c>
      <c r="AU63" s="2791">
        <v>8599</v>
      </c>
      <c r="AW63" s="2791" t="s">
        <v>98</v>
      </c>
      <c r="AX63" s="2791" t="s">
        <v>61</v>
      </c>
      <c r="AY63" s="2791" t="s">
        <v>428</v>
      </c>
      <c r="AZ63" s="2791">
        <v>4101</v>
      </c>
      <c r="BB63" s="2791" t="s">
        <v>60</v>
      </c>
      <c r="BC63" s="2791" t="s">
        <v>61</v>
      </c>
      <c r="BD63" s="2791" t="s">
        <v>62</v>
      </c>
    </row>
    <row r="64" spans="2:56">
      <c r="B64" s="2793">
        <v>2202</v>
      </c>
      <c r="C64" s="2793" t="s">
        <v>476</v>
      </c>
      <c r="D64" s="2793">
        <v>-1</v>
      </c>
      <c r="E64" s="2793"/>
      <c r="F64" s="2793" t="s">
        <v>5675</v>
      </c>
      <c r="G64" s="2793" t="s">
        <v>476</v>
      </c>
      <c r="H64" s="2793"/>
      <c r="I64" s="2793">
        <v>2202</v>
      </c>
      <c r="J64" s="2793" t="s">
        <v>84</v>
      </c>
      <c r="M64" s="2793" t="s">
        <v>549</v>
      </c>
      <c r="N64" s="2794"/>
      <c r="O64" s="2795">
        <v>1631.1632</v>
      </c>
      <c r="S64" s="2798" t="s">
        <v>516</v>
      </c>
      <c r="T64" s="2798" t="s">
        <v>517</v>
      </c>
      <c r="U64" s="2798" t="s">
        <v>47</v>
      </c>
      <c r="V64" s="2798">
        <v>1</v>
      </c>
      <c r="W64" s="2798">
        <v>1132</v>
      </c>
      <c r="X64" s="2798">
        <v>1</v>
      </c>
      <c r="Y64" s="2795" t="s">
        <v>295</v>
      </c>
      <c r="Z64" s="2794">
        <v>46</v>
      </c>
      <c r="AA64" s="2794" t="s">
        <v>546</v>
      </c>
      <c r="AB64" s="2795">
        <v>2501</v>
      </c>
      <c r="AS64" s="2791" t="s">
        <v>547</v>
      </c>
      <c r="AT64" s="2791" t="s">
        <v>442</v>
      </c>
      <c r="AU64" s="2791">
        <v>8599</v>
      </c>
      <c r="AW64" s="2791" t="s">
        <v>116</v>
      </c>
      <c r="AX64" s="2791" t="s">
        <v>81</v>
      </c>
      <c r="AY64" s="2791" t="s">
        <v>428</v>
      </c>
      <c r="AZ64" s="2791">
        <v>4101</v>
      </c>
      <c r="BB64" s="2791" t="s">
        <v>80</v>
      </c>
      <c r="BC64" s="2791" t="s">
        <v>81</v>
      </c>
      <c r="BD64" s="2791" t="s">
        <v>62</v>
      </c>
    </row>
    <row r="65" spans="2:56">
      <c r="B65" s="2793">
        <v>2205</v>
      </c>
      <c r="C65" s="2793" t="s">
        <v>484</v>
      </c>
      <c r="D65" s="2793">
        <v>-1</v>
      </c>
      <c r="E65" s="2793"/>
      <c r="F65" s="2793" t="s">
        <v>5676</v>
      </c>
      <c r="G65" s="2793" t="s">
        <v>484</v>
      </c>
      <c r="H65" s="2793"/>
      <c r="I65" s="2793">
        <v>2205</v>
      </c>
      <c r="J65" s="2793" t="s">
        <v>84</v>
      </c>
      <c r="M65" s="2793" t="s">
        <v>553</v>
      </c>
      <c r="N65" s="2794"/>
      <c r="O65" s="2795">
        <v>1631.1632999999999</v>
      </c>
      <c r="S65" s="2798" t="s">
        <v>522</v>
      </c>
      <c r="T65" s="2798" t="s">
        <v>523</v>
      </c>
      <c r="U65" s="2798" t="s">
        <v>1545</v>
      </c>
      <c r="V65" s="2798">
        <v>1</v>
      </c>
      <c r="W65" s="2798">
        <v>1132</v>
      </c>
      <c r="X65" s="2798">
        <v>2</v>
      </c>
      <c r="Y65" s="2795" t="s">
        <v>295</v>
      </c>
      <c r="Z65" s="2794">
        <v>47</v>
      </c>
      <c r="AA65" s="2794" t="s">
        <v>550</v>
      </c>
      <c r="AB65" s="2795">
        <v>2502</v>
      </c>
      <c r="AS65" s="2791" t="s">
        <v>551</v>
      </c>
      <c r="AT65" s="2791" t="s">
        <v>442</v>
      </c>
      <c r="AU65" s="2791">
        <v>8699</v>
      </c>
      <c r="AW65" s="2791" t="s">
        <v>98</v>
      </c>
      <c r="AX65" s="2791" t="s">
        <v>61</v>
      </c>
      <c r="AY65" s="2791" t="s">
        <v>428</v>
      </c>
      <c r="AZ65" s="2791">
        <v>4102</v>
      </c>
      <c r="BB65" s="2791" t="s">
        <v>60</v>
      </c>
      <c r="BC65" s="2791" t="s">
        <v>61</v>
      </c>
      <c r="BD65" s="2791" t="s">
        <v>62</v>
      </c>
    </row>
    <row r="66" spans="2:56">
      <c r="B66" s="2793">
        <v>2206</v>
      </c>
      <c r="C66" s="2793" t="s">
        <v>653</v>
      </c>
      <c r="D66" s="2793">
        <v>-1</v>
      </c>
      <c r="E66" s="2793" t="s">
        <v>252</v>
      </c>
      <c r="F66" s="2793" t="s">
        <v>5677</v>
      </c>
      <c r="G66" s="2793" t="s">
        <v>653</v>
      </c>
      <c r="H66" s="2793" t="s">
        <v>653</v>
      </c>
      <c r="I66" s="2793">
        <v>2206</v>
      </c>
      <c r="J66" s="2793" t="s">
        <v>84</v>
      </c>
      <c r="M66" s="2793" t="s">
        <v>556</v>
      </c>
      <c r="N66" s="2794" t="s">
        <v>557</v>
      </c>
      <c r="O66" s="2795">
        <v>1636</v>
      </c>
      <c r="S66" s="2798" t="s">
        <v>526</v>
      </c>
      <c r="T66" s="2798" t="s">
        <v>527</v>
      </c>
      <c r="U66" s="2798" t="s">
        <v>6429</v>
      </c>
      <c r="V66" s="2798">
        <v>1</v>
      </c>
      <c r="W66" s="2798">
        <v>1131</v>
      </c>
      <c r="X66" s="2798">
        <v>1</v>
      </c>
      <c r="Y66" s="2795" t="s">
        <v>295</v>
      </c>
      <c r="Z66" s="2794">
        <v>48.1</v>
      </c>
      <c r="AA66" s="2794" t="s">
        <v>554</v>
      </c>
      <c r="AB66" s="2795">
        <v>2701</v>
      </c>
      <c r="AS66" s="2791" t="s">
        <v>555</v>
      </c>
      <c r="AT66" s="2791" t="s">
        <v>442</v>
      </c>
      <c r="AU66" s="2791">
        <v>8699</v>
      </c>
      <c r="AW66" s="2791" t="s">
        <v>116</v>
      </c>
      <c r="AX66" s="2791" t="s">
        <v>81</v>
      </c>
      <c r="AY66" s="2791" t="s">
        <v>428</v>
      </c>
      <c r="AZ66" s="2791">
        <v>4102</v>
      </c>
      <c r="BB66" s="2791" t="s">
        <v>80</v>
      </c>
      <c r="BC66" s="2791" t="s">
        <v>81</v>
      </c>
      <c r="BD66" s="2791" t="s">
        <v>62</v>
      </c>
    </row>
    <row r="67" spans="2:56">
      <c r="B67" s="2793">
        <v>2111</v>
      </c>
      <c r="C67" s="2793" t="s">
        <v>496</v>
      </c>
      <c r="D67" s="2793">
        <v>-1</v>
      </c>
      <c r="E67" s="2793" t="s">
        <v>102</v>
      </c>
      <c r="F67" s="2793"/>
      <c r="G67" s="2793" t="s">
        <v>496</v>
      </c>
      <c r="H67" s="2793"/>
      <c r="I67" s="2793">
        <v>2111</v>
      </c>
      <c r="J67" s="2793" t="s">
        <v>84</v>
      </c>
      <c r="M67" s="2793" t="s">
        <v>394</v>
      </c>
      <c r="N67" s="2794"/>
      <c r="O67" s="2795">
        <v>1700</v>
      </c>
      <c r="S67" s="2798" t="s">
        <v>532</v>
      </c>
      <c r="T67" s="2798" t="s">
        <v>533</v>
      </c>
      <c r="U67" s="2798" t="s">
        <v>6429</v>
      </c>
      <c r="V67" s="2798">
        <v>1</v>
      </c>
      <c r="W67" s="2798">
        <v>1131</v>
      </c>
      <c r="X67" s="2798">
        <v>2</v>
      </c>
      <c r="Y67" s="2795" t="s">
        <v>295</v>
      </c>
      <c r="Z67" s="2794">
        <v>48</v>
      </c>
      <c r="AA67" s="2794" t="s">
        <v>559</v>
      </c>
      <c r="AB67" s="2795">
        <v>2706</v>
      </c>
      <c r="AS67" s="2791" t="s">
        <v>560</v>
      </c>
      <c r="AT67" s="2791" t="s">
        <v>442</v>
      </c>
      <c r="AU67" s="2791">
        <v>8799</v>
      </c>
      <c r="AW67" s="2791" t="s">
        <v>98</v>
      </c>
      <c r="AX67" s="2791" t="s">
        <v>61</v>
      </c>
      <c r="AY67" s="2791" t="s">
        <v>428</v>
      </c>
      <c r="AZ67" s="2791">
        <v>4200</v>
      </c>
      <c r="BB67" s="2791" t="s">
        <v>60</v>
      </c>
      <c r="BC67" s="2791" t="s">
        <v>61</v>
      </c>
      <c r="BD67" s="2791" t="s">
        <v>62</v>
      </c>
    </row>
    <row r="68" spans="2:56">
      <c r="B68" s="2793">
        <v>2010</v>
      </c>
      <c r="C68" s="2793" t="s">
        <v>464</v>
      </c>
      <c r="D68" s="2793">
        <v>-1</v>
      </c>
      <c r="E68" s="2793" t="s">
        <v>102</v>
      </c>
      <c r="F68" s="2793"/>
      <c r="G68" s="2793" t="s">
        <v>464</v>
      </c>
      <c r="H68" s="2793"/>
      <c r="I68" s="2793">
        <v>2010</v>
      </c>
      <c r="J68" s="2793" t="s">
        <v>84</v>
      </c>
      <c r="M68" s="2793" t="s">
        <v>396</v>
      </c>
      <c r="N68" s="2794"/>
      <c r="O68" s="2795">
        <v>1701</v>
      </c>
      <c r="S68" s="2798" t="s">
        <v>538</v>
      </c>
      <c r="T68" s="2798" t="s">
        <v>539</v>
      </c>
      <c r="U68" s="2798" t="s">
        <v>1439</v>
      </c>
      <c r="V68" s="2798">
        <v>1</v>
      </c>
      <c r="W68" s="2798">
        <v>1221</v>
      </c>
      <c r="X68" s="2798">
        <v>1</v>
      </c>
      <c r="Y68" s="2795" t="s">
        <v>295</v>
      </c>
      <c r="Z68" s="2794">
        <v>48.2</v>
      </c>
      <c r="AA68" s="2794" t="s">
        <v>562</v>
      </c>
      <c r="AB68" s="2795">
        <v>2711</v>
      </c>
      <c r="AS68" s="2791" t="s">
        <v>563</v>
      </c>
      <c r="AT68" s="2791" t="s">
        <v>442</v>
      </c>
      <c r="AU68" s="2791">
        <v>8799</v>
      </c>
      <c r="AW68" s="2791" t="s">
        <v>116</v>
      </c>
      <c r="AX68" s="2791" t="s">
        <v>81</v>
      </c>
      <c r="AY68" s="2791" t="s">
        <v>428</v>
      </c>
      <c r="AZ68" s="2791">
        <v>4200</v>
      </c>
      <c r="BB68" s="2791" t="s">
        <v>80</v>
      </c>
      <c r="BC68" s="2791" t="s">
        <v>81</v>
      </c>
      <c r="BD68" s="2791" t="s">
        <v>62</v>
      </c>
    </row>
    <row r="69" spans="2:56">
      <c r="B69" s="2793">
        <v>2311</v>
      </c>
      <c r="C69" s="2793" t="s">
        <v>548</v>
      </c>
      <c r="D69" s="2793">
        <v>-1</v>
      </c>
      <c r="E69" s="2793" t="s">
        <v>102</v>
      </c>
      <c r="F69" s="2793"/>
      <c r="G69" s="2793" t="s">
        <v>548</v>
      </c>
      <c r="H69" s="2793"/>
      <c r="I69" s="2793">
        <v>2311</v>
      </c>
      <c r="J69" s="2793" t="s">
        <v>84</v>
      </c>
      <c r="M69" s="2793" t="s">
        <v>568</v>
      </c>
      <c r="N69" s="2794"/>
      <c r="O69" s="2795">
        <v>1701.1702</v>
      </c>
      <c r="S69" s="2798" t="s">
        <v>544</v>
      </c>
      <c r="T69" s="2798" t="s">
        <v>545</v>
      </c>
      <c r="U69" s="2798" t="s">
        <v>3192</v>
      </c>
      <c r="V69" s="2798">
        <v>1</v>
      </c>
      <c r="W69" s="2798">
        <v>1221</v>
      </c>
      <c r="X69" s="2798">
        <v>1</v>
      </c>
      <c r="Y69" s="2795" t="s">
        <v>295</v>
      </c>
      <c r="Z69" s="2794">
        <v>49</v>
      </c>
      <c r="AA69" s="2794" t="s">
        <v>564</v>
      </c>
      <c r="AB69" s="2795">
        <v>2715</v>
      </c>
      <c r="AS69" s="2791" t="s">
        <v>565</v>
      </c>
      <c r="AT69" s="2791" t="s">
        <v>442</v>
      </c>
      <c r="AU69" s="2791">
        <v>8099</v>
      </c>
      <c r="AW69" s="2791" t="s">
        <v>98</v>
      </c>
      <c r="AX69" s="2791" t="s">
        <v>61</v>
      </c>
      <c r="AY69" s="2791" t="s">
        <v>428</v>
      </c>
      <c r="AZ69" s="2791">
        <v>4999</v>
      </c>
      <c r="BB69" s="2791" t="s">
        <v>60</v>
      </c>
      <c r="BC69" s="2791" t="s">
        <v>61</v>
      </c>
      <c r="BD69" s="2791" t="s">
        <v>62</v>
      </c>
    </row>
    <row r="70" spans="2:56">
      <c r="B70" s="2793">
        <v>2312</v>
      </c>
      <c r="C70" s="2793" t="s">
        <v>552</v>
      </c>
      <c r="D70" s="2793">
        <v>-1</v>
      </c>
      <c r="E70" s="2793" t="s">
        <v>102</v>
      </c>
      <c r="F70" s="2793"/>
      <c r="G70" s="2793" t="s">
        <v>552</v>
      </c>
      <c r="H70" s="2793"/>
      <c r="I70" s="2793">
        <v>2312</v>
      </c>
      <c r="J70" s="2793" t="s">
        <v>84</v>
      </c>
      <c r="M70" s="2793" t="s">
        <v>574</v>
      </c>
      <c r="N70" s="2794"/>
      <c r="O70" s="2795">
        <v>1701.1703</v>
      </c>
      <c r="S70" s="2798">
        <v>122100</v>
      </c>
      <c r="T70" s="2798" t="s">
        <v>5909</v>
      </c>
      <c r="U70" s="2798" t="s">
        <v>6430</v>
      </c>
      <c r="V70" s="2798">
        <v>1</v>
      </c>
      <c r="W70" s="2798">
        <v>1221</v>
      </c>
      <c r="X70" s="2798">
        <v>2</v>
      </c>
      <c r="Y70" s="2795" t="s">
        <v>295</v>
      </c>
      <c r="Z70" s="2794">
        <v>50</v>
      </c>
      <c r="AA70" s="2794" t="s">
        <v>570</v>
      </c>
      <c r="AB70" s="2795">
        <v>2801</v>
      </c>
      <c r="AS70" s="2791" t="s">
        <v>571</v>
      </c>
      <c r="AT70" s="2791" t="s">
        <v>442</v>
      </c>
      <c r="AU70" s="2791">
        <v>8099</v>
      </c>
      <c r="AW70" s="2791" t="s">
        <v>116</v>
      </c>
      <c r="AX70" s="2791" t="s">
        <v>81</v>
      </c>
      <c r="AY70" s="2791" t="s">
        <v>428</v>
      </c>
      <c r="AZ70" s="2791">
        <v>4999</v>
      </c>
      <c r="BB70" s="2791" t="s">
        <v>80</v>
      </c>
      <c r="BC70" s="2791" t="s">
        <v>81</v>
      </c>
      <c r="BD70" s="2791" t="s">
        <v>62</v>
      </c>
    </row>
    <row r="71" spans="2:56">
      <c r="B71" s="2793">
        <v>2211</v>
      </c>
      <c r="C71" s="2793" t="s">
        <v>489</v>
      </c>
      <c r="D71" s="2793">
        <v>-1</v>
      </c>
      <c r="E71" s="2793"/>
      <c r="F71" s="2793" t="s">
        <v>5678</v>
      </c>
      <c r="G71" s="2793" t="s">
        <v>489</v>
      </c>
      <c r="H71" s="2793"/>
      <c r="I71" s="2793">
        <v>2211</v>
      </c>
      <c r="J71" s="2793" t="s">
        <v>84</v>
      </c>
      <c r="M71" s="2793" t="s">
        <v>409</v>
      </c>
      <c r="N71" s="2794"/>
      <c r="O71" s="2795">
        <v>1711</v>
      </c>
      <c r="S71" s="2798" t="s">
        <v>619</v>
      </c>
      <c r="T71" s="2798" t="s">
        <v>620</v>
      </c>
      <c r="U71" s="2798" t="s">
        <v>1412</v>
      </c>
      <c r="V71" s="2798">
        <v>1</v>
      </c>
      <c r="W71" s="2798">
        <v>1221</v>
      </c>
      <c r="X71" s="2798">
        <v>1</v>
      </c>
      <c r="Y71" s="2795" t="s">
        <v>6617</v>
      </c>
      <c r="Z71" s="2794">
        <v>31.2</v>
      </c>
      <c r="AA71" s="2794" t="s">
        <v>576</v>
      </c>
      <c r="AB71" s="2795">
        <v>2901</v>
      </c>
      <c r="AS71" s="2791" t="s">
        <v>577</v>
      </c>
      <c r="AT71" s="2791" t="s">
        <v>578</v>
      </c>
      <c r="AU71" s="2791">
        <v>7349</v>
      </c>
      <c r="AW71" s="2791" t="s">
        <v>98</v>
      </c>
      <c r="AX71" s="2791" t="s">
        <v>61</v>
      </c>
      <c r="AY71" s="2791" t="s">
        <v>578</v>
      </c>
      <c r="AZ71" s="2791">
        <v>7399</v>
      </c>
      <c r="BB71" s="2791" t="s">
        <v>116</v>
      </c>
      <c r="BC71" s="2791" t="s">
        <v>81</v>
      </c>
      <c r="BD71" s="2791" t="s">
        <v>62</v>
      </c>
    </row>
    <row r="72" spans="2:56">
      <c r="B72" s="2793">
        <v>2221</v>
      </c>
      <c r="C72" s="2793" t="s">
        <v>494</v>
      </c>
      <c r="D72" s="2793">
        <v>-1</v>
      </c>
      <c r="E72" s="2793"/>
      <c r="F72" s="2793" t="s">
        <v>5679</v>
      </c>
      <c r="G72" s="2793" t="s">
        <v>494</v>
      </c>
      <c r="H72" s="2793"/>
      <c r="I72" s="2793">
        <v>2221</v>
      </c>
      <c r="J72" s="2793" t="s">
        <v>84</v>
      </c>
      <c r="M72" s="2793" t="s">
        <v>583</v>
      </c>
      <c r="N72" s="2794"/>
      <c r="O72" s="2795">
        <v>1711.1712</v>
      </c>
      <c r="S72" s="2798">
        <v>122101</v>
      </c>
      <c r="T72" s="2798" t="s">
        <v>6431</v>
      </c>
      <c r="U72" s="2798" t="s">
        <v>5117</v>
      </c>
      <c r="V72" s="2798">
        <v>1</v>
      </c>
      <c r="W72" s="2798">
        <v>1221</v>
      </c>
      <c r="X72" s="2798">
        <v>2</v>
      </c>
      <c r="Y72" s="2795" t="s">
        <v>295</v>
      </c>
      <c r="Z72" s="2794">
        <v>52</v>
      </c>
      <c r="AA72" s="2794" t="s">
        <v>581</v>
      </c>
      <c r="AB72" s="2795">
        <v>2996</v>
      </c>
      <c r="AS72" s="2791" t="s">
        <v>582</v>
      </c>
      <c r="AT72" s="2791" t="s">
        <v>578</v>
      </c>
      <c r="AU72" s="2791">
        <v>7502</v>
      </c>
      <c r="AW72" s="2791" t="s">
        <v>98</v>
      </c>
      <c r="AX72" s="2791" t="s">
        <v>61</v>
      </c>
      <c r="AY72" s="2791" t="s">
        <v>441</v>
      </c>
      <c r="AZ72" s="2791">
        <v>6799</v>
      </c>
      <c r="BB72" s="2791" t="s">
        <v>98</v>
      </c>
      <c r="BC72" s="2791" t="s">
        <v>61</v>
      </c>
      <c r="BD72" s="2791" t="s">
        <v>62</v>
      </c>
    </row>
    <row r="73" spans="2:56">
      <c r="B73" s="2793">
        <v>2246</v>
      </c>
      <c r="C73" s="2793" t="s">
        <v>519</v>
      </c>
      <c r="D73" s="2793">
        <v>-1</v>
      </c>
      <c r="E73" s="2793"/>
      <c r="F73" s="2793"/>
      <c r="G73" s="2793" t="s">
        <v>513</v>
      </c>
      <c r="H73" s="2793" t="s">
        <v>513</v>
      </c>
      <c r="I73" s="2793">
        <v>2246</v>
      </c>
      <c r="J73" s="2793"/>
      <c r="M73" s="2793" t="s">
        <v>415</v>
      </c>
      <c r="N73" s="2794"/>
      <c r="O73" s="2795">
        <v>1801</v>
      </c>
      <c r="S73" s="2798" t="s">
        <v>625</v>
      </c>
      <c r="T73" s="2798" t="s">
        <v>626</v>
      </c>
      <c r="U73" s="2798" t="s">
        <v>1412</v>
      </c>
      <c r="V73" s="2798">
        <v>1</v>
      </c>
      <c r="W73" s="2798">
        <v>1221</v>
      </c>
      <c r="X73" s="2798">
        <v>1</v>
      </c>
      <c r="Y73" s="2795" t="s">
        <v>6619</v>
      </c>
      <c r="Z73" s="2794">
        <v>53</v>
      </c>
      <c r="AA73" s="2794" t="s">
        <v>586</v>
      </c>
      <c r="AB73" s="2795">
        <v>4001</v>
      </c>
      <c r="AS73" s="2791" t="s">
        <v>587</v>
      </c>
      <c r="AT73" s="2791" t="s">
        <v>578</v>
      </c>
      <c r="AU73" s="2791">
        <v>7502</v>
      </c>
      <c r="AW73" s="2791" t="s">
        <v>116</v>
      </c>
      <c r="AX73" s="2791" t="s">
        <v>81</v>
      </c>
      <c r="AY73" s="2791" t="s">
        <v>441</v>
      </c>
      <c r="AZ73" s="2791">
        <v>6799</v>
      </c>
      <c r="BB73" s="2791" t="s">
        <v>116</v>
      </c>
      <c r="BC73" s="2791" t="s">
        <v>81</v>
      </c>
      <c r="BD73" s="2791" t="s">
        <v>62</v>
      </c>
    </row>
    <row r="74" spans="2:56">
      <c r="B74" s="2793">
        <v>2231</v>
      </c>
      <c r="C74" s="2793" t="s">
        <v>499</v>
      </c>
      <c r="D74" s="2793">
        <v>-1</v>
      </c>
      <c r="E74" s="2793"/>
      <c r="F74" s="2793" t="s">
        <v>5680</v>
      </c>
      <c r="G74" s="2793" t="s">
        <v>521</v>
      </c>
      <c r="H74" s="2793"/>
      <c r="I74" s="2793">
        <v>2231</v>
      </c>
      <c r="J74" s="2793" t="s">
        <v>84</v>
      </c>
      <c r="M74" s="2793" t="s">
        <v>422</v>
      </c>
      <c r="N74" s="2794"/>
      <c r="O74" s="2795">
        <v>1811</v>
      </c>
      <c r="S74" s="2798" t="s">
        <v>561</v>
      </c>
      <c r="T74" s="2798" t="s">
        <v>5113</v>
      </c>
      <c r="U74" s="2798" t="s">
        <v>3161</v>
      </c>
      <c r="V74" s="2798">
        <v>1</v>
      </c>
      <c r="W74" s="2798">
        <v>1221</v>
      </c>
      <c r="X74" s="2798">
        <v>2</v>
      </c>
      <c r="Y74" s="2795" t="s">
        <v>6620</v>
      </c>
      <c r="Z74" s="2794">
        <v>55</v>
      </c>
      <c r="AA74" s="2794" t="s">
        <v>592</v>
      </c>
      <c r="AB74" s="2795">
        <v>4002</v>
      </c>
      <c r="AS74" s="2791" t="s">
        <v>593</v>
      </c>
      <c r="AT74" s="2791" t="s">
        <v>578</v>
      </c>
      <c r="AU74" s="2791">
        <v>7525</v>
      </c>
      <c r="AW74" s="2791" t="s">
        <v>98</v>
      </c>
      <c r="AX74" s="2791" t="s">
        <v>61</v>
      </c>
      <c r="AY74" s="2791" t="s">
        <v>578</v>
      </c>
      <c r="AZ74" s="2791">
        <v>7099</v>
      </c>
      <c r="BB74" s="2791" t="s">
        <v>98</v>
      </c>
      <c r="BC74" s="2791" t="s">
        <v>61</v>
      </c>
      <c r="BD74" s="2791" t="s">
        <v>62</v>
      </c>
    </row>
    <row r="75" spans="2:56">
      <c r="B75" s="2793">
        <v>2232</v>
      </c>
      <c r="C75" s="2793" t="s">
        <v>507</v>
      </c>
      <c r="D75" s="2793">
        <v>-1</v>
      </c>
      <c r="E75" s="2793"/>
      <c r="F75" s="2793" t="s">
        <v>5681</v>
      </c>
      <c r="G75" s="2793" t="s">
        <v>507</v>
      </c>
      <c r="H75" s="2793"/>
      <c r="I75" s="2793">
        <v>2232</v>
      </c>
      <c r="J75" s="2793" t="s">
        <v>84</v>
      </c>
      <c r="M75" s="2793" t="s">
        <v>429</v>
      </c>
      <c r="N75" s="2794"/>
      <c r="O75" s="2795">
        <v>1996</v>
      </c>
      <c r="S75" s="2798">
        <v>122111</v>
      </c>
      <c r="T75" s="2798" t="s">
        <v>5922</v>
      </c>
      <c r="U75" s="2798" t="s">
        <v>6419</v>
      </c>
      <c r="V75" s="2798">
        <v>1</v>
      </c>
      <c r="W75" s="2798">
        <v>1221</v>
      </c>
      <c r="X75" s="2798">
        <v>2</v>
      </c>
      <c r="Y75" s="2795" t="s">
        <v>295</v>
      </c>
      <c r="Z75" s="2794">
        <v>54</v>
      </c>
      <c r="AA75" s="2794" t="s">
        <v>597</v>
      </c>
      <c r="AB75" s="2795">
        <v>4015</v>
      </c>
      <c r="AS75" s="2791" t="s">
        <v>598</v>
      </c>
      <c r="AT75" s="2791" t="s">
        <v>578</v>
      </c>
      <c r="AU75" s="2791">
        <v>7525</v>
      </c>
      <c r="AW75" s="2791" t="s">
        <v>116</v>
      </c>
      <c r="AX75" s="2791" t="s">
        <v>81</v>
      </c>
      <c r="AY75" s="2791" t="s">
        <v>578</v>
      </c>
      <c r="AZ75" s="2791">
        <v>7099</v>
      </c>
      <c r="BB75" s="2791" t="s">
        <v>116</v>
      </c>
      <c r="BC75" s="2791" t="s">
        <v>81</v>
      </c>
      <c r="BD75" s="2791" t="s">
        <v>62</v>
      </c>
    </row>
    <row r="76" spans="2:56">
      <c r="B76" s="2793">
        <v>2241</v>
      </c>
      <c r="C76" s="2793" t="s">
        <v>513</v>
      </c>
      <c r="D76" s="2793">
        <v>-1</v>
      </c>
      <c r="E76" s="2793"/>
      <c r="F76" s="2793" t="s">
        <v>5682</v>
      </c>
      <c r="G76" s="2793" t="s">
        <v>513</v>
      </c>
      <c r="H76" s="2793"/>
      <c r="I76" s="2793">
        <v>2241</v>
      </c>
      <c r="J76" s="2793" t="s">
        <v>84</v>
      </c>
      <c r="M76" s="2793" t="s">
        <v>604</v>
      </c>
      <c r="N76" s="2794"/>
      <c r="O76" s="2795">
        <v>1996.1623</v>
      </c>
      <c r="S76" s="2798" t="s">
        <v>635</v>
      </c>
      <c r="T76" s="2798" t="s">
        <v>636</v>
      </c>
      <c r="U76" s="2798" t="s">
        <v>1439</v>
      </c>
      <c r="V76" s="2798">
        <v>1</v>
      </c>
      <c r="W76" s="2798">
        <v>1221</v>
      </c>
      <c r="X76" s="2798">
        <v>2</v>
      </c>
      <c r="Y76" s="2795" t="s">
        <v>6621</v>
      </c>
      <c r="Z76" s="2794">
        <v>59</v>
      </c>
      <c r="AA76" s="2794" t="s">
        <v>602</v>
      </c>
      <c r="AB76" s="2795">
        <v>4101</v>
      </c>
      <c r="AS76" s="2791" t="s">
        <v>603</v>
      </c>
      <c r="AT76" s="2791" t="s">
        <v>578</v>
      </c>
      <c r="AU76" s="2791">
        <v>7539</v>
      </c>
      <c r="AW76" s="2791" t="s">
        <v>98</v>
      </c>
      <c r="AX76" s="2791" t="s">
        <v>61</v>
      </c>
      <c r="AY76" s="2791" t="s">
        <v>578</v>
      </c>
      <c r="AZ76" s="2791">
        <v>7348</v>
      </c>
      <c r="BB76" s="2791" t="s">
        <v>98</v>
      </c>
      <c r="BC76" s="2791" t="s">
        <v>61</v>
      </c>
      <c r="BD76" s="2791" t="s">
        <v>62</v>
      </c>
    </row>
    <row r="77" spans="2:56">
      <c r="B77" s="2793">
        <v>2240</v>
      </c>
      <c r="C77" s="2793" t="s">
        <v>501</v>
      </c>
      <c r="D77" s="2793">
        <v>-1</v>
      </c>
      <c r="E77" s="2793" t="s">
        <v>102</v>
      </c>
      <c r="F77" s="2793"/>
      <c r="G77" s="2793" t="s">
        <v>501</v>
      </c>
      <c r="H77" s="2793"/>
      <c r="I77" s="2793">
        <v>2240</v>
      </c>
      <c r="J77" s="2793" t="s">
        <v>84</v>
      </c>
      <c r="M77" s="2793" t="s">
        <v>454</v>
      </c>
      <c r="N77" s="2794"/>
      <c r="O77" s="2795">
        <v>2001</v>
      </c>
      <c r="S77" s="2798">
        <v>122112</v>
      </c>
      <c r="T77" s="2798" t="s">
        <v>5910</v>
      </c>
      <c r="U77" s="2798" t="s">
        <v>1439</v>
      </c>
      <c r="V77" s="2798">
        <v>1</v>
      </c>
      <c r="W77" s="2798">
        <v>1221</v>
      </c>
      <c r="X77" s="2798">
        <v>2</v>
      </c>
      <c r="Y77" s="2795" t="s">
        <v>295</v>
      </c>
      <c r="Z77" s="2794">
        <v>59.5</v>
      </c>
      <c r="AA77" s="2794" t="s">
        <v>607</v>
      </c>
      <c r="AB77" s="2795">
        <v>4102</v>
      </c>
      <c r="AS77" s="2791" t="s">
        <v>608</v>
      </c>
      <c r="AT77" s="2791" t="s">
        <v>578</v>
      </c>
      <c r="AU77" s="2791">
        <v>7539</v>
      </c>
      <c r="AW77" s="2791" t="s">
        <v>116</v>
      </c>
      <c r="AX77" s="2791" t="s">
        <v>81</v>
      </c>
      <c r="AY77" s="2791" t="s">
        <v>578</v>
      </c>
      <c r="AZ77" s="2791">
        <v>7348</v>
      </c>
      <c r="BB77" s="2791" t="s">
        <v>116</v>
      </c>
      <c r="BC77" s="2791" t="s">
        <v>81</v>
      </c>
      <c r="BD77" s="2791" t="s">
        <v>62</v>
      </c>
    </row>
    <row r="78" spans="2:56">
      <c r="B78" s="2793">
        <v>2261</v>
      </c>
      <c r="C78" s="2793" t="s">
        <v>536</v>
      </c>
      <c r="D78" s="2793">
        <v>-1</v>
      </c>
      <c r="E78" s="2793" t="s">
        <v>102</v>
      </c>
      <c r="F78" s="2793"/>
      <c r="G78" s="2793" t="s">
        <v>536</v>
      </c>
      <c r="H78" s="2793"/>
      <c r="I78" s="2793">
        <v>2261</v>
      </c>
      <c r="J78" s="2793" t="s">
        <v>84</v>
      </c>
      <c r="M78" s="2793" t="s">
        <v>457</v>
      </c>
      <c r="N78" s="2794" t="s">
        <v>103</v>
      </c>
      <c r="O78" s="2795">
        <v>2101</v>
      </c>
      <c r="S78" s="2798">
        <v>122113</v>
      </c>
      <c r="T78" s="2798" t="s">
        <v>5921</v>
      </c>
      <c r="U78" s="2798" t="s">
        <v>6420</v>
      </c>
      <c r="V78" s="2798">
        <v>1</v>
      </c>
      <c r="W78" s="2798">
        <v>1221</v>
      </c>
      <c r="X78" s="2798">
        <v>2</v>
      </c>
      <c r="Y78" s="2795" t="s">
        <v>295</v>
      </c>
      <c r="Z78" s="2794">
        <v>60</v>
      </c>
      <c r="AA78" s="2794" t="s">
        <v>611</v>
      </c>
      <c r="AB78" s="2795">
        <v>4200</v>
      </c>
      <c r="AS78" s="2791" t="s">
        <v>612</v>
      </c>
      <c r="AT78" s="2791" t="s">
        <v>613</v>
      </c>
      <c r="AU78" s="2791">
        <v>1999</v>
      </c>
      <c r="AW78" s="2791" t="s">
        <v>60</v>
      </c>
      <c r="AX78" s="2791" t="s">
        <v>61</v>
      </c>
      <c r="AY78" s="2791" t="s">
        <v>613</v>
      </c>
      <c r="AZ78" s="2791">
        <v>5000</v>
      </c>
      <c r="BB78" s="2791" t="s">
        <v>60</v>
      </c>
      <c r="BC78" s="2791" t="s">
        <v>61</v>
      </c>
      <c r="BD78" s="2791" t="s">
        <v>614</v>
      </c>
    </row>
    <row r="79" spans="2:56">
      <c r="B79" s="2793">
        <v>2315</v>
      </c>
      <c r="C79" s="2793" t="s">
        <v>524</v>
      </c>
      <c r="D79" s="2793">
        <v>-1</v>
      </c>
      <c r="E79" s="2793" t="s">
        <v>132</v>
      </c>
      <c r="F79" s="2793" t="s">
        <v>5683</v>
      </c>
      <c r="G79" s="2793" t="s">
        <v>524</v>
      </c>
      <c r="H79" s="2793"/>
      <c r="I79" s="2793">
        <v>2315</v>
      </c>
      <c r="J79" s="2793" t="s">
        <v>84</v>
      </c>
      <c r="M79" s="2793" t="s">
        <v>462</v>
      </c>
      <c r="N79" s="2794" t="s">
        <v>119</v>
      </c>
      <c r="O79" s="2795">
        <v>2102</v>
      </c>
      <c r="S79" s="2798" t="s">
        <v>641</v>
      </c>
      <c r="T79" s="2798" t="s">
        <v>642</v>
      </c>
      <c r="U79" s="2798" t="s">
        <v>3008</v>
      </c>
      <c r="V79" s="2798">
        <v>1</v>
      </c>
      <c r="W79" s="2798">
        <v>1221</v>
      </c>
      <c r="X79" s="2798">
        <v>2</v>
      </c>
      <c r="Y79" s="2795" t="s">
        <v>6617</v>
      </c>
      <c r="Z79" s="2794">
        <v>56</v>
      </c>
      <c r="AA79" s="2794" t="s">
        <v>617</v>
      </c>
      <c r="AB79" s="2795">
        <v>4201</v>
      </c>
      <c r="AS79" s="2791" t="s">
        <v>618</v>
      </c>
      <c r="AT79" s="2791" t="s">
        <v>613</v>
      </c>
      <c r="AU79" s="2791">
        <v>1999</v>
      </c>
      <c r="AW79" s="2791" t="s">
        <v>80</v>
      </c>
      <c r="AX79" s="2791" t="s">
        <v>81</v>
      </c>
      <c r="AY79" s="2791" t="s">
        <v>613</v>
      </c>
      <c r="AZ79" s="2791">
        <v>5000</v>
      </c>
      <c r="BB79" s="2791" t="s">
        <v>80</v>
      </c>
      <c r="BC79" s="2791" t="s">
        <v>81</v>
      </c>
      <c r="BD79" s="2791" t="s">
        <v>614</v>
      </c>
    </row>
    <row r="80" spans="2:56">
      <c r="B80" s="2793">
        <v>2395</v>
      </c>
      <c r="C80" s="2793" t="s">
        <v>529</v>
      </c>
      <c r="D80" s="2793">
        <v>-1</v>
      </c>
      <c r="E80" s="2793"/>
      <c r="F80" s="2793" t="s">
        <v>5684</v>
      </c>
      <c r="G80" s="2793" t="s">
        <v>529</v>
      </c>
      <c r="H80" s="2793"/>
      <c r="I80" s="2793">
        <v>2395</v>
      </c>
      <c r="J80" s="2793" t="s">
        <v>84</v>
      </c>
      <c r="M80" s="2793" t="s">
        <v>467</v>
      </c>
      <c r="N80" s="2794" t="s">
        <v>132</v>
      </c>
      <c r="O80" s="2795">
        <v>2115</v>
      </c>
      <c r="S80" s="2798" t="s">
        <v>647</v>
      </c>
      <c r="T80" s="2798" t="s">
        <v>648</v>
      </c>
      <c r="U80" s="2798" t="s">
        <v>3008</v>
      </c>
      <c r="V80" s="2798">
        <v>1</v>
      </c>
      <c r="W80" s="2798">
        <v>1221</v>
      </c>
      <c r="X80" s="2798">
        <v>2</v>
      </c>
      <c r="Y80" s="2795" t="s">
        <v>6626</v>
      </c>
      <c r="Z80" s="2793">
        <v>57</v>
      </c>
      <c r="AA80" s="2793" t="s">
        <v>621</v>
      </c>
      <c r="AB80" s="2795">
        <v>4215</v>
      </c>
      <c r="AS80" s="2791" t="s">
        <v>622</v>
      </c>
      <c r="AT80" s="2791" t="s">
        <v>623</v>
      </c>
      <c r="AU80" s="2791">
        <v>6811</v>
      </c>
      <c r="AW80" s="2791" t="s">
        <v>98</v>
      </c>
      <c r="AX80" s="2791" t="s">
        <v>61</v>
      </c>
      <c r="AY80" s="2791" t="s">
        <v>624</v>
      </c>
      <c r="AZ80" s="2791">
        <v>8740</v>
      </c>
      <c r="BB80" s="2791" t="s">
        <v>98</v>
      </c>
      <c r="BC80" s="2791" t="s">
        <v>61</v>
      </c>
      <c r="BD80" s="2791" t="s">
        <v>614</v>
      </c>
    </row>
    <row r="81" spans="2:56">
      <c r="B81" s="2793">
        <v>2396</v>
      </c>
      <c r="C81" s="2793" t="s">
        <v>534</v>
      </c>
      <c r="D81" s="2793">
        <v>-1</v>
      </c>
      <c r="E81" s="2793"/>
      <c r="F81" s="2793" t="s">
        <v>5685</v>
      </c>
      <c r="G81" s="2793" t="s">
        <v>534</v>
      </c>
      <c r="H81" s="2793"/>
      <c r="I81" s="2793">
        <v>2396</v>
      </c>
      <c r="J81" s="2793" t="s">
        <v>84</v>
      </c>
      <c r="M81" s="2793" t="s">
        <v>471</v>
      </c>
      <c r="N81" s="2794"/>
      <c r="O81" s="2795">
        <v>2201</v>
      </c>
      <c r="S81" s="2798">
        <v>122114</v>
      </c>
      <c r="T81" s="2798" t="s">
        <v>5920</v>
      </c>
      <c r="U81" s="2798" t="s">
        <v>6420</v>
      </c>
      <c r="V81" s="2798">
        <v>1</v>
      </c>
      <c r="W81" s="2798">
        <v>1221</v>
      </c>
      <c r="X81" s="2798">
        <v>2</v>
      </c>
      <c r="Y81" s="2795" t="s">
        <v>295</v>
      </c>
      <c r="Z81" s="2793">
        <v>58</v>
      </c>
      <c r="AA81" s="2793" t="s">
        <v>627</v>
      </c>
      <c r="AB81" s="2795">
        <v>4301</v>
      </c>
      <c r="AS81" s="2791" t="s">
        <v>628</v>
      </c>
      <c r="AT81" s="2791" t="s">
        <v>623</v>
      </c>
      <c r="AU81" s="2791">
        <v>6811</v>
      </c>
      <c r="AW81" s="2791" t="s">
        <v>116</v>
      </c>
      <c r="AX81" s="2791" t="s">
        <v>81</v>
      </c>
      <c r="AY81" s="2791" t="s">
        <v>624</v>
      </c>
      <c r="AZ81" s="2791">
        <v>8740</v>
      </c>
      <c r="BB81" s="2791" t="s">
        <v>116</v>
      </c>
      <c r="BC81" s="2791" t="s">
        <v>81</v>
      </c>
      <c r="BD81" s="2791" t="s">
        <v>614</v>
      </c>
    </row>
    <row r="82" spans="2:56">
      <c r="B82" s="2793">
        <v>2498</v>
      </c>
      <c r="C82" s="2793" t="s">
        <v>566</v>
      </c>
      <c r="D82" s="2793"/>
      <c r="E82" s="2793" t="s">
        <v>287</v>
      </c>
      <c r="F82" s="2793"/>
      <c r="G82" s="2793" t="s">
        <v>567</v>
      </c>
      <c r="H82" s="2793"/>
      <c r="I82" s="2793">
        <v>2498</v>
      </c>
      <c r="J82" s="2793"/>
      <c r="M82" s="2793" t="s">
        <v>476</v>
      </c>
      <c r="N82" s="2794"/>
      <c r="O82" s="2795">
        <v>2202</v>
      </c>
      <c r="S82" s="2798">
        <v>122102</v>
      </c>
      <c r="T82" s="2798" t="s">
        <v>6432</v>
      </c>
      <c r="U82" s="2798" t="s">
        <v>5117</v>
      </c>
      <c r="V82" s="2798">
        <v>1</v>
      </c>
      <c r="W82" s="2798">
        <v>1221</v>
      </c>
      <c r="X82" s="2798">
        <v>2</v>
      </c>
      <c r="Y82" s="2795" t="s">
        <v>295</v>
      </c>
      <c r="Z82" s="2793">
        <v>61.1</v>
      </c>
      <c r="AA82" s="2793" t="s">
        <v>631</v>
      </c>
      <c r="AB82" s="2795">
        <v>6001</v>
      </c>
      <c r="AS82" s="2791" t="s">
        <v>632</v>
      </c>
      <c r="AT82" s="2791" t="s">
        <v>623</v>
      </c>
      <c r="AU82" s="2791">
        <v>6839</v>
      </c>
      <c r="AW82" s="2791" t="s">
        <v>98</v>
      </c>
      <c r="AX82" s="2791" t="s">
        <v>61</v>
      </c>
      <c r="AY82" s="2791" t="s">
        <v>624</v>
      </c>
      <c r="AZ82" s="2791">
        <v>8040</v>
      </c>
      <c r="BB82" s="2791" t="s">
        <v>98</v>
      </c>
      <c r="BC82" s="2791" t="s">
        <v>61</v>
      </c>
      <c r="BD82" s="2791" t="s">
        <v>614</v>
      </c>
    </row>
    <row r="83" spans="2:56">
      <c r="B83" s="2793">
        <v>2500</v>
      </c>
      <c r="C83" s="2793" t="s">
        <v>572</v>
      </c>
      <c r="D83" s="2793"/>
      <c r="E83" s="2793" t="s">
        <v>41</v>
      </c>
      <c r="F83" s="2793"/>
      <c r="G83" s="2793" t="s">
        <v>573</v>
      </c>
      <c r="H83" s="2793"/>
      <c r="I83" s="2793">
        <v>2500</v>
      </c>
      <c r="J83" s="2793"/>
      <c r="M83" s="2793" t="s">
        <v>484</v>
      </c>
      <c r="N83" s="2794"/>
      <c r="O83" s="2795">
        <v>2205</v>
      </c>
      <c r="S83" s="2798">
        <v>122121</v>
      </c>
      <c r="T83" s="2798" t="s">
        <v>5911</v>
      </c>
      <c r="U83" s="2798" t="s">
        <v>6419</v>
      </c>
      <c r="V83" s="2798">
        <v>1</v>
      </c>
      <c r="W83" s="2798">
        <v>1221</v>
      </c>
      <c r="X83" s="2798">
        <v>2</v>
      </c>
      <c r="Y83" s="2795" t="s">
        <v>295</v>
      </c>
      <c r="Z83" s="2793">
        <v>61</v>
      </c>
      <c r="AA83" s="2793" t="s">
        <v>637</v>
      </c>
      <c r="AB83" s="2795">
        <v>6064</v>
      </c>
      <c r="AS83" s="2791" t="s">
        <v>638</v>
      </c>
      <c r="AT83" s="2791" t="s">
        <v>623</v>
      </c>
      <c r="AU83" s="2791">
        <v>6839</v>
      </c>
      <c r="AW83" s="2791" t="s">
        <v>116</v>
      </c>
      <c r="AX83" s="2791" t="s">
        <v>81</v>
      </c>
      <c r="AY83" s="2791" t="s">
        <v>624</v>
      </c>
      <c r="AZ83" s="2791">
        <v>8040</v>
      </c>
      <c r="BB83" s="2791" t="s">
        <v>116</v>
      </c>
      <c r="BC83" s="2791" t="s">
        <v>81</v>
      </c>
      <c r="BD83" s="2791" t="s">
        <v>614</v>
      </c>
    </row>
    <row r="84" spans="2:56">
      <c r="B84" s="2793">
        <v>2310</v>
      </c>
      <c r="C84" s="2793" t="s">
        <v>543</v>
      </c>
      <c r="D84" s="2793">
        <v>-1</v>
      </c>
      <c r="E84" s="2793" t="s">
        <v>102</v>
      </c>
      <c r="F84" s="2793"/>
      <c r="G84" s="2793" t="s">
        <v>543</v>
      </c>
      <c r="H84" s="2793"/>
      <c r="I84" s="2793">
        <v>2310</v>
      </c>
      <c r="J84" s="2793" t="s">
        <v>84</v>
      </c>
      <c r="M84" s="2793" t="s">
        <v>653</v>
      </c>
      <c r="N84" s="2794" t="s">
        <v>252</v>
      </c>
      <c r="O84" s="2795">
        <v>2206</v>
      </c>
      <c r="S84" s="2798">
        <v>122122</v>
      </c>
      <c r="T84" s="2798" t="s">
        <v>5912</v>
      </c>
      <c r="U84" s="2798" t="s">
        <v>1439</v>
      </c>
      <c r="V84" s="2798">
        <v>1</v>
      </c>
      <c r="W84" s="2798">
        <v>1221</v>
      </c>
      <c r="X84" s="2798">
        <v>2</v>
      </c>
      <c r="Y84" s="2795" t="s">
        <v>295</v>
      </c>
      <c r="Z84" s="2793">
        <v>70</v>
      </c>
      <c r="AA84" s="2793" t="s">
        <v>643</v>
      </c>
      <c r="AB84" s="2795">
        <v>6101</v>
      </c>
      <c r="AS84" s="2791" t="s">
        <v>644</v>
      </c>
      <c r="AT84" s="2791" t="s">
        <v>623</v>
      </c>
      <c r="AU84" s="2791">
        <v>6842</v>
      </c>
      <c r="AW84" s="2791" t="s">
        <v>98</v>
      </c>
      <c r="AX84" s="2791" t="s">
        <v>61</v>
      </c>
      <c r="AY84" s="2791" t="s">
        <v>624</v>
      </c>
      <c r="AZ84" s="2791">
        <v>8940</v>
      </c>
      <c r="BB84" s="2791" t="s">
        <v>98</v>
      </c>
      <c r="BC84" s="2791" t="s">
        <v>61</v>
      </c>
      <c r="BD84" s="2791" t="s">
        <v>614</v>
      </c>
    </row>
    <row r="85" spans="2:56">
      <c r="B85" s="2793">
        <v>2501</v>
      </c>
      <c r="C85" s="2793" t="s">
        <v>546</v>
      </c>
      <c r="D85" s="2793">
        <v>-1</v>
      </c>
      <c r="E85" s="2793"/>
      <c r="F85" s="2793" t="s">
        <v>5686</v>
      </c>
      <c r="G85" s="2793" t="s">
        <v>546</v>
      </c>
      <c r="H85" s="2793"/>
      <c r="I85" s="2793">
        <v>2501</v>
      </c>
      <c r="J85" s="2793" t="s">
        <v>84</v>
      </c>
      <c r="M85" s="2793" t="s">
        <v>489</v>
      </c>
      <c r="N85" s="2794"/>
      <c r="O85" s="2795">
        <v>2211</v>
      </c>
      <c r="S85" s="2798">
        <v>122123</v>
      </c>
      <c r="T85" s="2798" t="s">
        <v>5913</v>
      </c>
      <c r="U85" s="2798" t="s">
        <v>6420</v>
      </c>
      <c r="V85" s="2798">
        <v>1</v>
      </c>
      <c r="W85" s="2798">
        <v>1221</v>
      </c>
      <c r="X85" s="2798">
        <v>2</v>
      </c>
      <c r="Y85" s="2795" t="s">
        <v>295</v>
      </c>
      <c r="Z85" s="2793">
        <v>69</v>
      </c>
      <c r="AA85" s="2793" t="s">
        <v>649</v>
      </c>
      <c r="AB85" s="2795">
        <v>6102</v>
      </c>
      <c r="AS85" s="2791" t="s">
        <v>650</v>
      </c>
      <c r="AT85" s="2791" t="s">
        <v>623</v>
      </c>
      <c r="AU85" s="2791">
        <v>6842</v>
      </c>
      <c r="AW85" s="2791" t="s">
        <v>116</v>
      </c>
      <c r="AX85" s="2791" t="s">
        <v>81</v>
      </c>
      <c r="AY85" s="2791" t="s">
        <v>624</v>
      </c>
      <c r="AZ85" s="2791">
        <v>8940</v>
      </c>
      <c r="BB85" s="2791" t="s">
        <v>116</v>
      </c>
      <c r="BC85" s="2791" t="s">
        <v>81</v>
      </c>
      <c r="BD85" s="2791" t="s">
        <v>614</v>
      </c>
    </row>
    <row r="86" spans="2:56">
      <c r="B86" s="2793">
        <v>2502</v>
      </c>
      <c r="C86" s="2793" t="s">
        <v>550</v>
      </c>
      <c r="D86" s="2793">
        <v>-1</v>
      </c>
      <c r="E86" s="2793"/>
      <c r="F86" s="2793" t="s">
        <v>5687</v>
      </c>
      <c r="G86" s="2793" t="s">
        <v>550</v>
      </c>
      <c r="H86" s="2793"/>
      <c r="I86" s="2793">
        <v>2502</v>
      </c>
      <c r="J86" s="2793" t="s">
        <v>84</v>
      </c>
      <c r="M86" s="2793" t="s">
        <v>494</v>
      </c>
      <c r="N86" s="2794"/>
      <c r="O86" s="2795">
        <v>2221</v>
      </c>
      <c r="S86" s="2798">
        <v>122124</v>
      </c>
      <c r="T86" s="2798" t="s">
        <v>5914</v>
      </c>
      <c r="U86" s="2798" t="s">
        <v>6420</v>
      </c>
      <c r="V86" s="2798">
        <v>1</v>
      </c>
      <c r="W86" s="2798">
        <v>1221</v>
      </c>
      <c r="X86" s="2798">
        <v>2</v>
      </c>
      <c r="Y86" s="2795" t="s">
        <v>295</v>
      </c>
      <c r="Z86" s="2794">
        <v>68</v>
      </c>
      <c r="AA86" s="2794" t="s">
        <v>656</v>
      </c>
      <c r="AB86" s="2795">
        <v>6111</v>
      </c>
      <c r="AS86" s="2791" t="s">
        <v>657</v>
      </c>
      <c r="AT86" s="2791" t="s">
        <v>624</v>
      </c>
      <c r="AU86" s="2791">
        <v>8110</v>
      </c>
      <c r="AW86" s="2791" t="s">
        <v>98</v>
      </c>
      <c r="AX86" s="2791" t="s">
        <v>61</v>
      </c>
      <c r="AY86" s="2791" t="s">
        <v>624</v>
      </c>
      <c r="AZ86" s="2791">
        <v>8199</v>
      </c>
      <c r="BB86" s="2791" t="s">
        <v>116</v>
      </c>
      <c r="BC86" s="2791" t="s">
        <v>81</v>
      </c>
      <c r="BD86" s="2791" t="s">
        <v>614</v>
      </c>
    </row>
    <row r="87" spans="2:56">
      <c r="B87" s="2793">
        <v>2502.11</v>
      </c>
      <c r="C87" s="2793" t="s">
        <v>588</v>
      </c>
      <c r="D87" s="2793">
        <v>-1</v>
      </c>
      <c r="E87" s="2793" t="s">
        <v>331</v>
      </c>
      <c r="F87" s="2793"/>
      <c r="G87" s="2793" t="s">
        <v>589</v>
      </c>
      <c r="H87" s="2793"/>
      <c r="I87" s="2793">
        <v>2502.11</v>
      </c>
      <c r="J87" s="2793" t="s">
        <v>84</v>
      </c>
      <c r="M87" s="2793" t="s">
        <v>499</v>
      </c>
      <c r="N87" s="2794"/>
      <c r="O87" s="2795">
        <v>2231</v>
      </c>
      <c r="S87" s="2798">
        <v>122103</v>
      </c>
      <c r="T87" s="2798" t="s">
        <v>6433</v>
      </c>
      <c r="U87" s="2798" t="s">
        <v>5117</v>
      </c>
      <c r="V87" s="2798">
        <v>1</v>
      </c>
      <c r="W87" s="2798">
        <v>1221</v>
      </c>
      <c r="X87" s="2798">
        <v>2</v>
      </c>
      <c r="Y87" s="2795" t="s">
        <v>295</v>
      </c>
      <c r="Z87" s="2793">
        <v>73</v>
      </c>
      <c r="AA87" s="2793" t="s">
        <v>660</v>
      </c>
      <c r="AB87" s="2795">
        <v>6171</v>
      </c>
      <c r="AS87" s="2791" t="s">
        <v>661</v>
      </c>
      <c r="AT87" s="2791" t="s">
        <v>624</v>
      </c>
      <c r="AU87" s="2791">
        <v>8210</v>
      </c>
      <c r="AW87" s="2791" t="s">
        <v>98</v>
      </c>
      <c r="AX87" s="2791" t="s">
        <v>61</v>
      </c>
      <c r="AY87" s="2791" t="s">
        <v>624</v>
      </c>
      <c r="AZ87" s="2791">
        <v>8299</v>
      </c>
      <c r="BB87" s="2791" t="s">
        <v>116</v>
      </c>
      <c r="BC87" s="2791" t="s">
        <v>81</v>
      </c>
      <c r="BD87" s="2791" t="s">
        <v>614</v>
      </c>
    </row>
    <row r="88" spans="2:56">
      <c r="B88" s="2793">
        <v>2502.31</v>
      </c>
      <c r="C88" s="2793" t="s">
        <v>594</v>
      </c>
      <c r="D88" s="2793">
        <v>-1</v>
      </c>
      <c r="E88" s="2793" t="s">
        <v>331</v>
      </c>
      <c r="F88" s="2793"/>
      <c r="G88" s="2793" t="s">
        <v>2663</v>
      </c>
      <c r="H88" s="2793"/>
      <c r="I88" s="2793">
        <v>2502.31</v>
      </c>
      <c r="J88" s="2793" t="s">
        <v>84</v>
      </c>
      <c r="M88" s="2793" t="s">
        <v>507</v>
      </c>
      <c r="N88" s="2794"/>
      <c r="O88" s="2795">
        <v>2232</v>
      </c>
      <c r="S88" s="2798">
        <v>122131</v>
      </c>
      <c r="T88" s="2798" t="s">
        <v>5915</v>
      </c>
      <c r="U88" s="2798" t="s">
        <v>6419</v>
      </c>
      <c r="V88" s="2798">
        <v>1</v>
      </c>
      <c r="W88" s="2798">
        <v>1221</v>
      </c>
      <c r="X88" s="2798">
        <v>2</v>
      </c>
      <c r="Y88" s="2795" t="s">
        <v>295</v>
      </c>
      <c r="Z88" s="2793">
        <v>67</v>
      </c>
      <c r="AA88" s="2793" t="s">
        <v>665</v>
      </c>
      <c r="AB88" s="2795">
        <v>6181</v>
      </c>
      <c r="AS88" s="2791" t="s">
        <v>666</v>
      </c>
      <c r="AT88" s="2791" t="s">
        <v>624</v>
      </c>
      <c r="AU88" s="2791">
        <v>8310</v>
      </c>
      <c r="AW88" s="2791" t="s">
        <v>98</v>
      </c>
      <c r="AX88" s="2791" t="s">
        <v>61</v>
      </c>
      <c r="AY88" s="2791" t="s">
        <v>624</v>
      </c>
      <c r="AZ88" s="2791">
        <v>8399</v>
      </c>
      <c r="BB88" s="2791" t="s">
        <v>116</v>
      </c>
      <c r="BC88" s="2791" t="s">
        <v>81</v>
      </c>
      <c r="BD88" s="2791" t="s">
        <v>614</v>
      </c>
    </row>
    <row r="89" spans="2:56">
      <c r="B89" s="2793">
        <v>2506</v>
      </c>
      <c r="C89" s="2793" t="s">
        <v>720</v>
      </c>
      <c r="D89" s="2793">
        <v>-1</v>
      </c>
      <c r="E89" s="2793" t="s">
        <v>557</v>
      </c>
      <c r="F89" s="2793" t="s">
        <v>5688</v>
      </c>
      <c r="G89" s="2793" t="s">
        <v>720</v>
      </c>
      <c r="H89" s="2793" t="s">
        <v>720</v>
      </c>
      <c r="I89" s="2793">
        <v>2506</v>
      </c>
      <c r="J89" s="2793" t="s">
        <v>84</v>
      </c>
      <c r="M89" s="2793" t="s">
        <v>513</v>
      </c>
      <c r="N89" s="2794"/>
      <c r="O89" s="2795">
        <v>2241</v>
      </c>
      <c r="S89" s="2798">
        <v>122132</v>
      </c>
      <c r="T89" s="2798" t="s">
        <v>5916</v>
      </c>
      <c r="U89" s="2798" t="s">
        <v>1439</v>
      </c>
      <c r="V89" s="2798">
        <v>1</v>
      </c>
      <c r="W89" s="2798">
        <v>1221</v>
      </c>
      <c r="X89" s="2798">
        <v>2</v>
      </c>
      <c r="Y89" s="2795" t="s">
        <v>295</v>
      </c>
      <c r="Z89" s="2793">
        <v>61.2</v>
      </c>
      <c r="AA89" s="2793" t="s">
        <v>671</v>
      </c>
      <c r="AB89" s="2795">
        <v>6401</v>
      </c>
      <c r="AS89" s="2791" t="s">
        <v>672</v>
      </c>
      <c r="AT89" s="2791" t="s">
        <v>624</v>
      </c>
      <c r="AU89" s="2791">
        <v>8410</v>
      </c>
      <c r="AW89" s="2791" t="s">
        <v>98</v>
      </c>
      <c r="AX89" s="2791" t="s">
        <v>61</v>
      </c>
      <c r="AY89" s="2791" t="s">
        <v>624</v>
      </c>
      <c r="AZ89" s="2791">
        <v>8499</v>
      </c>
      <c r="BB89" s="2791" t="s">
        <v>116</v>
      </c>
      <c r="BC89" s="2791" t="s">
        <v>81</v>
      </c>
      <c r="BD89" s="2791" t="s">
        <v>614</v>
      </c>
    </row>
    <row r="90" spans="2:56">
      <c r="B90" s="2793">
        <v>2706</v>
      </c>
      <c r="C90" s="2793" t="s">
        <v>559</v>
      </c>
      <c r="D90" s="2793">
        <v>-1</v>
      </c>
      <c r="E90" s="2793"/>
      <c r="F90" s="2793"/>
      <c r="G90" s="2793" t="s">
        <v>554</v>
      </c>
      <c r="H90" s="2793" t="s">
        <v>554</v>
      </c>
      <c r="I90" s="2793">
        <v>2706</v>
      </c>
      <c r="J90" s="2793"/>
      <c r="M90" s="2793" t="s">
        <v>524</v>
      </c>
      <c r="N90" s="2794" t="s">
        <v>132</v>
      </c>
      <c r="O90" s="2795">
        <v>2315</v>
      </c>
      <c r="S90" s="2798">
        <v>122133</v>
      </c>
      <c r="T90" s="2798" t="s">
        <v>5917</v>
      </c>
      <c r="U90" s="2798" t="s">
        <v>6420</v>
      </c>
      <c r="V90" s="2798">
        <v>1</v>
      </c>
      <c r="W90" s="2798">
        <v>1221</v>
      </c>
      <c r="X90" s="2798">
        <v>2</v>
      </c>
      <c r="Y90" s="2795" t="s">
        <v>295</v>
      </c>
      <c r="Z90" s="2793">
        <v>62</v>
      </c>
      <c r="AA90" s="2793" t="s">
        <v>676</v>
      </c>
      <c r="AB90" s="2795">
        <v>6600</v>
      </c>
      <c r="AS90" s="2791" t="s">
        <v>677</v>
      </c>
      <c r="AT90" s="2791" t="s">
        <v>624</v>
      </c>
      <c r="AU90" s="2791">
        <v>8510</v>
      </c>
      <c r="AW90" s="2791" t="s">
        <v>98</v>
      </c>
      <c r="AX90" s="2791" t="s">
        <v>61</v>
      </c>
      <c r="AY90" s="2791" t="s">
        <v>624</v>
      </c>
      <c r="AZ90" s="2791">
        <v>8599</v>
      </c>
      <c r="BB90" s="2791" t="s">
        <v>116</v>
      </c>
      <c r="BC90" s="2791" t="s">
        <v>81</v>
      </c>
      <c r="BD90" s="2791" t="s">
        <v>614</v>
      </c>
    </row>
    <row r="91" spans="2:56">
      <c r="B91" s="2793">
        <v>2701</v>
      </c>
      <c r="C91" s="2793" t="s">
        <v>554</v>
      </c>
      <c r="D91" s="2793">
        <v>-1</v>
      </c>
      <c r="E91" s="2793"/>
      <c r="F91" s="2793" t="s">
        <v>5689</v>
      </c>
      <c r="G91" s="2793" t="s">
        <v>599</v>
      </c>
      <c r="H91" s="2793"/>
      <c r="I91" s="2793">
        <v>2701</v>
      </c>
      <c r="J91" s="2793" t="s">
        <v>84</v>
      </c>
      <c r="M91" s="2793" t="s">
        <v>529</v>
      </c>
      <c r="N91" s="2794"/>
      <c r="O91" s="2795">
        <v>2395</v>
      </c>
      <c r="S91" s="2798">
        <v>122134</v>
      </c>
      <c r="T91" s="2798" t="s">
        <v>5918</v>
      </c>
      <c r="U91" s="2798" t="s">
        <v>6420</v>
      </c>
      <c r="V91" s="2798">
        <v>1</v>
      </c>
      <c r="W91" s="2798">
        <v>1221</v>
      </c>
      <c r="X91" s="2798">
        <v>2</v>
      </c>
      <c r="Y91" s="2795" t="s">
        <v>295</v>
      </c>
      <c r="Z91" s="2793">
        <v>63</v>
      </c>
      <c r="AA91" s="2793" t="s">
        <v>680</v>
      </c>
      <c r="AB91" s="2795">
        <v>6601</v>
      </c>
      <c r="AS91" s="2791" t="s">
        <v>681</v>
      </c>
      <c r="AT91" s="2791" t="s">
        <v>624</v>
      </c>
      <c r="AU91" s="2791">
        <v>8610</v>
      </c>
      <c r="AW91" s="2791" t="s">
        <v>98</v>
      </c>
      <c r="AX91" s="2791" t="s">
        <v>61</v>
      </c>
      <c r="AY91" s="2791" t="s">
        <v>624</v>
      </c>
      <c r="AZ91" s="2791">
        <v>8699</v>
      </c>
      <c r="BB91" s="2791" t="s">
        <v>116</v>
      </c>
      <c r="BC91" s="2791" t="s">
        <v>81</v>
      </c>
      <c r="BD91" s="2791" t="s">
        <v>614</v>
      </c>
    </row>
    <row r="92" spans="2:56">
      <c r="B92" s="2793">
        <v>2711</v>
      </c>
      <c r="C92" s="2793" t="s">
        <v>562</v>
      </c>
      <c r="D92" s="2793">
        <v>-1</v>
      </c>
      <c r="E92" s="2793"/>
      <c r="F92" s="2793" t="s">
        <v>5690</v>
      </c>
      <c r="G92" s="2793" t="s">
        <v>562</v>
      </c>
      <c r="H92" s="2793"/>
      <c r="I92" s="2793">
        <v>2711</v>
      </c>
      <c r="J92" s="2793" t="s">
        <v>84</v>
      </c>
      <c r="M92" s="2793" t="s">
        <v>534</v>
      </c>
      <c r="N92" s="2794"/>
      <c r="O92" s="2795">
        <v>2396</v>
      </c>
      <c r="S92" s="2798" t="s">
        <v>558</v>
      </c>
      <c r="T92" s="2798" t="s">
        <v>6434</v>
      </c>
      <c r="U92" s="2798" t="s">
        <v>5117</v>
      </c>
      <c r="V92" s="2798">
        <v>1</v>
      </c>
      <c r="W92" s="2798">
        <v>1221</v>
      </c>
      <c r="X92" s="2798">
        <v>2</v>
      </c>
      <c r="Y92" s="2795" t="s">
        <v>295</v>
      </c>
      <c r="Z92" s="2793">
        <v>64</v>
      </c>
      <c r="AA92" s="2793" t="s">
        <v>685</v>
      </c>
      <c r="AB92" s="2795">
        <v>6602</v>
      </c>
      <c r="AS92" s="2791" t="s">
        <v>686</v>
      </c>
      <c r="AT92" s="2791" t="s">
        <v>624</v>
      </c>
      <c r="AU92" s="2791">
        <v>8710</v>
      </c>
      <c r="AW92" s="2791" t="s">
        <v>98</v>
      </c>
      <c r="AX92" s="2791" t="s">
        <v>61</v>
      </c>
      <c r="AY92" s="2791" t="s">
        <v>624</v>
      </c>
      <c r="AZ92" s="2791">
        <v>8799</v>
      </c>
      <c r="BB92" s="2791" t="s">
        <v>116</v>
      </c>
      <c r="BC92" s="2791" t="s">
        <v>81</v>
      </c>
      <c r="BD92" s="2791" t="s">
        <v>614</v>
      </c>
    </row>
    <row r="93" spans="2:56">
      <c r="B93" s="2793">
        <v>2715</v>
      </c>
      <c r="C93" s="2793" t="s">
        <v>564</v>
      </c>
      <c r="D93" s="2793">
        <v>-1</v>
      </c>
      <c r="E93" s="2793"/>
      <c r="F93" s="2793" t="s">
        <v>5691</v>
      </c>
      <c r="G93" s="2793" t="s">
        <v>564</v>
      </c>
      <c r="H93" s="2793"/>
      <c r="I93" s="2793">
        <v>2715</v>
      </c>
      <c r="J93" s="2793" t="s">
        <v>84</v>
      </c>
      <c r="M93" s="2793" t="s">
        <v>541</v>
      </c>
      <c r="N93" s="2794"/>
      <c r="O93" s="2795">
        <v>2401</v>
      </c>
      <c r="S93" s="2798" t="s">
        <v>569</v>
      </c>
      <c r="T93" s="2798" t="s">
        <v>6435</v>
      </c>
      <c r="U93" s="2798" t="s">
        <v>3161</v>
      </c>
      <c r="V93" s="2798">
        <v>1</v>
      </c>
      <c r="W93" s="2798">
        <v>1221</v>
      </c>
      <c r="X93" s="2798">
        <v>2</v>
      </c>
      <c r="Y93" s="2795" t="s">
        <v>295</v>
      </c>
      <c r="Z93" s="2793">
        <v>66</v>
      </c>
      <c r="AA93" s="2793" t="s">
        <v>689</v>
      </c>
      <c r="AB93" s="2795">
        <v>6603</v>
      </c>
      <c r="AS93" s="2791" t="s">
        <v>690</v>
      </c>
      <c r="AT93" s="2791" t="s">
        <v>624</v>
      </c>
      <c r="AU93" s="2791">
        <v>8810</v>
      </c>
      <c r="AW93" s="2791" t="s">
        <v>98</v>
      </c>
      <c r="AX93" s="2791" t="s">
        <v>61</v>
      </c>
      <c r="AY93" s="2791" t="s">
        <v>624</v>
      </c>
      <c r="AZ93" s="2791">
        <v>8899</v>
      </c>
      <c r="BB93" s="2791" t="s">
        <v>116</v>
      </c>
      <c r="BC93" s="2791" t="s">
        <v>81</v>
      </c>
      <c r="BD93" s="2791" t="s">
        <v>614</v>
      </c>
    </row>
    <row r="94" spans="2:56">
      <c r="B94" s="2793">
        <v>2801</v>
      </c>
      <c r="C94" s="2793" t="s">
        <v>570</v>
      </c>
      <c r="D94" s="2793">
        <v>-1</v>
      </c>
      <c r="E94" s="2793"/>
      <c r="F94" s="2793" t="s">
        <v>5692</v>
      </c>
      <c r="G94" s="2793" t="s">
        <v>570</v>
      </c>
      <c r="H94" s="2793"/>
      <c r="I94" s="2793">
        <v>2801</v>
      </c>
      <c r="J94" s="2793" t="s">
        <v>84</v>
      </c>
      <c r="M94" s="2793" t="s">
        <v>546</v>
      </c>
      <c r="N94" s="2794"/>
      <c r="O94" s="2795">
        <v>2501</v>
      </c>
      <c r="S94" s="2798" t="s">
        <v>575</v>
      </c>
      <c r="T94" s="2798" t="s">
        <v>6436</v>
      </c>
      <c r="U94" s="2798" t="s">
        <v>1439</v>
      </c>
      <c r="V94" s="2798">
        <v>1</v>
      </c>
      <c r="W94" s="2798">
        <v>1221</v>
      </c>
      <c r="X94" s="2798">
        <v>2</v>
      </c>
      <c r="Y94" s="2795" t="s">
        <v>295</v>
      </c>
      <c r="Z94" s="2793">
        <v>65</v>
      </c>
      <c r="AA94" s="2793" t="s">
        <v>693</v>
      </c>
      <c r="AB94" s="2795">
        <v>6606</v>
      </c>
      <c r="AS94" s="2791" t="s">
        <v>694</v>
      </c>
      <c r="AT94" s="2791" t="s">
        <v>624</v>
      </c>
      <c r="AU94" s="2791">
        <v>8901</v>
      </c>
      <c r="AW94" s="2791" t="s">
        <v>98</v>
      </c>
      <c r="AX94" s="2791" t="s">
        <v>61</v>
      </c>
      <c r="AY94" s="2791" t="s">
        <v>624</v>
      </c>
      <c r="AZ94" s="2791">
        <v>8999</v>
      </c>
      <c r="BB94" s="2791" t="s">
        <v>116</v>
      </c>
      <c r="BC94" s="2791" t="s">
        <v>81</v>
      </c>
      <c r="BD94" s="2791" t="s">
        <v>614</v>
      </c>
    </row>
    <row r="95" spans="2:56">
      <c r="B95" s="2793">
        <v>2401</v>
      </c>
      <c r="C95" s="2793" t="s">
        <v>541</v>
      </c>
      <c r="D95" s="2793">
        <v>-1</v>
      </c>
      <c r="E95" s="2793"/>
      <c r="F95" s="2793" t="s">
        <v>5693</v>
      </c>
      <c r="G95" s="2793" t="s">
        <v>541</v>
      </c>
      <c r="H95" s="2793"/>
      <c r="I95" s="2793">
        <v>2401</v>
      </c>
      <c r="J95" s="2793" t="s">
        <v>84</v>
      </c>
      <c r="M95" s="2793" t="s">
        <v>550</v>
      </c>
      <c r="N95" s="2794"/>
      <c r="O95" s="2795">
        <v>2502</v>
      </c>
      <c r="S95" s="2798" t="s">
        <v>579</v>
      </c>
      <c r="T95" s="2798" t="s">
        <v>580</v>
      </c>
      <c r="U95" s="2798" t="s">
        <v>5117</v>
      </c>
      <c r="V95" s="2798">
        <v>1</v>
      </c>
      <c r="W95" s="2798">
        <v>1221</v>
      </c>
      <c r="X95" s="2798">
        <v>2</v>
      </c>
      <c r="Y95" s="2795" t="s">
        <v>295</v>
      </c>
      <c r="Z95" s="2793">
        <v>72</v>
      </c>
      <c r="AA95" s="2793" t="s">
        <v>697</v>
      </c>
      <c r="AB95" s="2795">
        <v>6671</v>
      </c>
      <c r="AS95" s="2791" t="s">
        <v>698</v>
      </c>
      <c r="AT95" s="2791" t="s">
        <v>624</v>
      </c>
      <c r="AU95" s="2791">
        <v>8010</v>
      </c>
      <c r="AW95" s="2791" t="s">
        <v>98</v>
      </c>
      <c r="AX95" s="2791" t="s">
        <v>61</v>
      </c>
      <c r="AY95" s="2791" t="s">
        <v>624</v>
      </c>
      <c r="AZ95" s="2791">
        <v>8099</v>
      </c>
      <c r="BB95" s="2791" t="s">
        <v>116</v>
      </c>
      <c r="BC95" s="2791" t="s">
        <v>81</v>
      </c>
      <c r="BD95" s="2791" t="s">
        <v>614</v>
      </c>
    </row>
    <row r="96" spans="2:56">
      <c r="B96" s="2793">
        <v>2901</v>
      </c>
      <c r="C96" s="2793" t="s">
        <v>576</v>
      </c>
      <c r="D96" s="2793">
        <v>-1</v>
      </c>
      <c r="E96" s="2793"/>
      <c r="F96" s="2793" t="s">
        <v>5694</v>
      </c>
      <c r="G96" s="2793" t="s">
        <v>576</v>
      </c>
      <c r="H96" s="2793"/>
      <c r="I96" s="2793">
        <v>2901</v>
      </c>
      <c r="J96" s="2793" t="s">
        <v>84</v>
      </c>
      <c r="M96" s="2793" t="s">
        <v>588</v>
      </c>
      <c r="N96" s="2794" t="s">
        <v>331</v>
      </c>
      <c r="O96" s="2795">
        <v>2502.11</v>
      </c>
      <c r="S96" s="2798">
        <v>122104</v>
      </c>
      <c r="T96" s="2798" t="s">
        <v>5908</v>
      </c>
      <c r="U96" s="2798" t="s">
        <v>3097</v>
      </c>
      <c r="V96" s="2798">
        <v>1</v>
      </c>
      <c r="W96" s="2798">
        <v>1221</v>
      </c>
      <c r="X96" s="2798">
        <v>2</v>
      </c>
      <c r="Y96" s="2795" t="s">
        <v>295</v>
      </c>
      <c r="Z96" s="2793">
        <v>71</v>
      </c>
      <c r="AA96" s="2793" t="s">
        <v>701</v>
      </c>
      <c r="AB96" s="2795">
        <v>6672</v>
      </c>
      <c r="AS96" s="2791" t="s">
        <v>702</v>
      </c>
      <c r="AT96" s="2791" t="s">
        <v>624</v>
      </c>
      <c r="AU96" s="2791">
        <v>8199</v>
      </c>
      <c r="AW96" s="2791" t="s">
        <v>98</v>
      </c>
      <c r="AX96" s="2791" t="s">
        <v>61</v>
      </c>
      <c r="AY96" s="2791" t="s">
        <v>613</v>
      </c>
      <c r="AZ96" s="2791">
        <v>4001</v>
      </c>
      <c r="BB96" s="2791" t="s">
        <v>60</v>
      </c>
      <c r="BC96" s="2791" t="s">
        <v>61</v>
      </c>
      <c r="BD96" s="2791" t="s">
        <v>614</v>
      </c>
    </row>
    <row r="97" spans="2:56">
      <c r="B97" s="2793">
        <v>2996</v>
      </c>
      <c r="C97" s="2793" t="s">
        <v>581</v>
      </c>
      <c r="D97" s="2793">
        <v>-1</v>
      </c>
      <c r="E97" s="2793"/>
      <c r="F97" s="2793" t="s">
        <v>5695</v>
      </c>
      <c r="G97" s="2793" t="s">
        <v>581</v>
      </c>
      <c r="H97" s="2793"/>
      <c r="I97" s="2793">
        <v>2996</v>
      </c>
      <c r="J97" s="2793" t="s">
        <v>84</v>
      </c>
      <c r="M97" s="2793" t="s">
        <v>594</v>
      </c>
      <c r="N97" s="2794" t="s">
        <v>331</v>
      </c>
      <c r="O97" s="2795">
        <v>2502.31</v>
      </c>
      <c r="S97" s="2798" t="s">
        <v>584</v>
      </c>
      <c r="T97" s="2798" t="s">
        <v>585</v>
      </c>
      <c r="U97" s="2798" t="s">
        <v>1465</v>
      </c>
      <c r="V97" s="2798">
        <v>1</v>
      </c>
      <c r="W97" s="2798">
        <v>1221</v>
      </c>
      <c r="X97" s="2798">
        <v>2</v>
      </c>
      <c r="Y97" s="2795" t="s">
        <v>295</v>
      </c>
      <c r="Z97" s="2793">
        <v>74</v>
      </c>
      <c r="AA97" s="2793" t="s">
        <v>705</v>
      </c>
      <c r="AB97" s="2795">
        <v>6710</v>
      </c>
      <c r="AS97" s="2791" t="s">
        <v>706</v>
      </c>
      <c r="AT97" s="2791" t="s">
        <v>624</v>
      </c>
      <c r="AU97" s="2791">
        <v>8199</v>
      </c>
      <c r="AW97" s="2791" t="s">
        <v>116</v>
      </c>
      <c r="AX97" s="2791" t="s">
        <v>81</v>
      </c>
      <c r="AY97" s="2791" t="s">
        <v>613</v>
      </c>
      <c r="AZ97" s="2791">
        <v>4001</v>
      </c>
      <c r="BB97" s="2791" t="s">
        <v>80</v>
      </c>
      <c r="BC97" s="2791" t="s">
        <v>81</v>
      </c>
      <c r="BD97" s="2791" t="s">
        <v>614</v>
      </c>
    </row>
    <row r="98" spans="2:56">
      <c r="B98" s="2793">
        <v>2998</v>
      </c>
      <c r="C98" s="2793" t="s">
        <v>633</v>
      </c>
      <c r="D98" s="2793"/>
      <c r="E98" s="2793" t="s">
        <v>287</v>
      </c>
      <c r="F98" s="2793"/>
      <c r="G98" s="2793" t="s">
        <v>634</v>
      </c>
      <c r="H98" s="2793"/>
      <c r="I98" s="2793">
        <v>2998</v>
      </c>
      <c r="J98" s="2793"/>
      <c r="M98" s="2793" t="s">
        <v>720</v>
      </c>
      <c r="N98" s="2794" t="s">
        <v>557</v>
      </c>
      <c r="O98" s="2795">
        <v>2506</v>
      </c>
      <c r="S98" s="2798" t="s">
        <v>590</v>
      </c>
      <c r="T98" s="2798" t="s">
        <v>591</v>
      </c>
      <c r="U98" s="2798" t="s">
        <v>47</v>
      </c>
      <c r="V98" s="2798">
        <v>1</v>
      </c>
      <c r="W98" s="2798">
        <v>1221</v>
      </c>
      <c r="X98" s="2798">
        <v>2</v>
      </c>
      <c r="Y98" s="2795" t="s">
        <v>295</v>
      </c>
      <c r="Z98" s="2793">
        <v>75</v>
      </c>
      <c r="AA98" s="2793" t="s">
        <v>711</v>
      </c>
      <c r="AB98" s="2795">
        <v>6711</v>
      </c>
      <c r="AS98" s="2791" t="s">
        <v>712</v>
      </c>
      <c r="AT98" s="2791" t="s">
        <v>624</v>
      </c>
      <c r="AU98" s="2791">
        <v>8299</v>
      </c>
      <c r="AW98" s="2791" t="s">
        <v>98</v>
      </c>
      <c r="AX98" s="2791" t="s">
        <v>61</v>
      </c>
      <c r="AY98" s="2791" t="s">
        <v>613</v>
      </c>
      <c r="AZ98" s="2791">
        <v>4002</v>
      </c>
      <c r="BB98" s="2791" t="s">
        <v>60</v>
      </c>
      <c r="BC98" s="2791" t="s">
        <v>61</v>
      </c>
      <c r="BD98" s="2791" t="s">
        <v>614</v>
      </c>
    </row>
    <row r="99" spans="2:56">
      <c r="B99" s="2793">
        <v>2999</v>
      </c>
      <c r="C99" s="2793" t="s">
        <v>639</v>
      </c>
      <c r="D99" s="2793"/>
      <c r="E99" s="2793" t="s">
        <v>287</v>
      </c>
      <c r="F99" s="2793"/>
      <c r="G99" s="2793" t="s">
        <v>640</v>
      </c>
      <c r="H99" s="2793"/>
      <c r="I99" s="2793">
        <v>2999</v>
      </c>
      <c r="J99" s="2793"/>
      <c r="M99" s="2793" t="s">
        <v>554</v>
      </c>
      <c r="N99" s="2794"/>
      <c r="O99" s="2795">
        <v>2701</v>
      </c>
      <c r="S99" s="2798" t="s">
        <v>595</v>
      </c>
      <c r="T99" s="2798" t="s">
        <v>596</v>
      </c>
      <c r="U99" s="2798" t="s">
        <v>1465</v>
      </c>
      <c r="V99" s="2798">
        <v>1</v>
      </c>
      <c r="W99" s="2798">
        <v>1221</v>
      </c>
      <c r="X99" s="2798">
        <v>2</v>
      </c>
      <c r="Y99" s="2795" t="s">
        <v>295</v>
      </c>
      <c r="Z99" s="2793">
        <v>76</v>
      </c>
      <c r="AA99" s="2793" t="s">
        <v>717</v>
      </c>
      <c r="AB99" s="2795">
        <v>6791</v>
      </c>
      <c r="AS99" s="2791" t="s">
        <v>718</v>
      </c>
      <c r="AT99" s="2791" t="s">
        <v>624</v>
      </c>
      <c r="AU99" s="2791">
        <v>8299</v>
      </c>
      <c r="AW99" s="2791" t="s">
        <v>116</v>
      </c>
      <c r="AX99" s="2791" t="s">
        <v>81</v>
      </c>
      <c r="AY99" s="2791" t="s">
        <v>613</v>
      </c>
      <c r="AZ99" s="2791">
        <v>4002</v>
      </c>
      <c r="BB99" s="2791" t="s">
        <v>80</v>
      </c>
      <c r="BC99" s="2791" t="s">
        <v>81</v>
      </c>
      <c r="BD99" s="2791" t="s">
        <v>614</v>
      </c>
    </row>
    <row r="100" spans="2:56">
      <c r="B100" s="2793">
        <v>4000</v>
      </c>
      <c r="C100" s="2793" t="s">
        <v>645</v>
      </c>
      <c r="D100" s="2793"/>
      <c r="E100" s="2793" t="s">
        <v>41</v>
      </c>
      <c r="F100" s="2793"/>
      <c r="G100" s="2793" t="s">
        <v>5874</v>
      </c>
      <c r="H100" s="2793" t="s">
        <v>646</v>
      </c>
      <c r="I100" s="2793">
        <v>4000</v>
      </c>
      <c r="J100" s="2793"/>
      <c r="M100" s="2793" t="s">
        <v>562</v>
      </c>
      <c r="N100" s="2794"/>
      <c r="O100" s="2795">
        <v>2711</v>
      </c>
      <c r="S100" s="2798" t="s">
        <v>600</v>
      </c>
      <c r="T100" s="2798" t="s">
        <v>601</v>
      </c>
      <c r="U100" s="2798" t="s">
        <v>1465</v>
      </c>
      <c r="V100" s="2798">
        <v>1</v>
      </c>
      <c r="W100" s="2798">
        <v>1221</v>
      </c>
      <c r="X100" s="2798">
        <v>2</v>
      </c>
      <c r="Y100" s="2795" t="s">
        <v>295</v>
      </c>
      <c r="Z100" s="2793">
        <v>78.709999999999994</v>
      </c>
      <c r="AA100" s="2793" t="s">
        <v>11</v>
      </c>
      <c r="AB100" s="2795">
        <v>7001</v>
      </c>
      <c r="AS100" s="2791" t="s">
        <v>723</v>
      </c>
      <c r="AT100" s="2791" t="s">
        <v>624</v>
      </c>
      <c r="AU100" s="2791">
        <v>8399</v>
      </c>
      <c r="AW100" s="2791" t="s">
        <v>98</v>
      </c>
      <c r="AX100" s="2791" t="s">
        <v>61</v>
      </c>
      <c r="AY100" s="2791" t="s">
        <v>613</v>
      </c>
      <c r="AZ100" s="2791">
        <v>4201</v>
      </c>
      <c r="BB100" s="2791" t="s">
        <v>60</v>
      </c>
      <c r="BC100" s="2791" t="s">
        <v>61</v>
      </c>
      <c r="BD100" s="2791" t="s">
        <v>614</v>
      </c>
    </row>
    <row r="101" spans="2:56">
      <c r="B101" s="2793">
        <v>4001</v>
      </c>
      <c r="C101" s="2793" t="s">
        <v>586</v>
      </c>
      <c r="D101" s="2793">
        <v>-1</v>
      </c>
      <c r="E101" s="2793"/>
      <c r="F101" s="2793" t="s">
        <v>5696</v>
      </c>
      <c r="G101" s="2793" t="s">
        <v>651</v>
      </c>
      <c r="H101" s="2793" t="s">
        <v>652</v>
      </c>
      <c r="I101" s="2793">
        <v>4001</v>
      </c>
      <c r="J101" s="2793" t="s">
        <v>84</v>
      </c>
      <c r="M101" s="2793" t="s">
        <v>564</v>
      </c>
      <c r="N101" s="2794"/>
      <c r="O101" s="2795">
        <v>2715</v>
      </c>
      <c r="S101" s="2798" t="s">
        <v>605</v>
      </c>
      <c r="T101" s="2798" t="s">
        <v>606</v>
      </c>
      <c r="U101" s="2798" t="s">
        <v>1465</v>
      </c>
      <c r="V101" s="2798">
        <v>1</v>
      </c>
      <c r="W101" s="2798">
        <v>1221</v>
      </c>
      <c r="X101" s="2798">
        <v>2</v>
      </c>
      <c r="Y101" s="2795" t="s">
        <v>295</v>
      </c>
      <c r="Z101" s="2793">
        <v>78.099999999999994</v>
      </c>
      <c r="AA101" s="2793" t="s">
        <v>67</v>
      </c>
      <c r="AB101" s="2795">
        <v>7046</v>
      </c>
      <c r="AS101" s="2791" t="s">
        <v>727</v>
      </c>
      <c r="AT101" s="2791" t="s">
        <v>624</v>
      </c>
      <c r="AU101" s="2791">
        <v>8399</v>
      </c>
      <c r="AW101" s="2791" t="s">
        <v>116</v>
      </c>
      <c r="AX101" s="2791" t="s">
        <v>81</v>
      </c>
      <c r="AY101" s="2791" t="s">
        <v>613</v>
      </c>
      <c r="AZ101" s="2791">
        <v>4201</v>
      </c>
      <c r="BB101" s="2791" t="s">
        <v>80</v>
      </c>
      <c r="BC101" s="2791" t="s">
        <v>81</v>
      </c>
      <c r="BD101" s="2791" t="s">
        <v>614</v>
      </c>
    </row>
    <row r="102" spans="2:56">
      <c r="B102" s="2793">
        <v>4015</v>
      </c>
      <c r="C102" s="2793" t="s">
        <v>597</v>
      </c>
      <c r="D102" s="2793">
        <v>-1</v>
      </c>
      <c r="E102" s="2793" t="s">
        <v>331</v>
      </c>
      <c r="F102" s="2793" t="s">
        <v>5697</v>
      </c>
      <c r="G102" s="2793" t="s">
        <v>597</v>
      </c>
      <c r="H102" s="2793" t="s">
        <v>597</v>
      </c>
      <c r="I102" s="2793">
        <v>4015</v>
      </c>
      <c r="J102" s="2793" t="s">
        <v>84</v>
      </c>
      <c r="M102" s="2793" t="s">
        <v>570</v>
      </c>
      <c r="N102" s="2794"/>
      <c r="O102" s="2795">
        <v>2801</v>
      </c>
      <c r="S102" s="2798" t="s">
        <v>609</v>
      </c>
      <c r="T102" s="2798" t="s">
        <v>610</v>
      </c>
      <c r="U102" s="2798" t="s">
        <v>47</v>
      </c>
      <c r="V102" s="2798">
        <v>1</v>
      </c>
      <c r="W102" s="2798">
        <v>1221</v>
      </c>
      <c r="X102" s="2798">
        <v>2</v>
      </c>
      <c r="Y102" s="2795" t="s">
        <v>295</v>
      </c>
      <c r="Z102" s="2794">
        <v>78.72</v>
      </c>
      <c r="AA102" s="2794" t="s">
        <v>86</v>
      </c>
      <c r="AB102" s="2795">
        <v>7051</v>
      </c>
      <c r="AS102" s="2791" t="s">
        <v>731</v>
      </c>
      <c r="AT102" s="2791" t="s">
        <v>624</v>
      </c>
      <c r="AU102" s="2791">
        <v>8499</v>
      </c>
      <c r="AW102" s="2791" t="s">
        <v>98</v>
      </c>
      <c r="AX102" s="2791" t="s">
        <v>61</v>
      </c>
      <c r="AY102" s="2791" t="s">
        <v>613</v>
      </c>
      <c r="AZ102" s="2791">
        <v>4301</v>
      </c>
      <c r="BB102" s="2791" t="s">
        <v>60</v>
      </c>
      <c r="BC102" s="2791" t="s">
        <v>61</v>
      </c>
      <c r="BD102" s="2791" t="s">
        <v>614</v>
      </c>
    </row>
    <row r="103" spans="2:56">
      <c r="B103" s="2793">
        <v>4015.11</v>
      </c>
      <c r="C103" s="2793" t="s">
        <v>662</v>
      </c>
      <c r="D103" s="2793">
        <v>-1</v>
      </c>
      <c r="E103" s="2793" t="s">
        <v>331</v>
      </c>
      <c r="F103" s="2793"/>
      <c r="G103" s="2793" t="s">
        <v>589</v>
      </c>
      <c r="H103" s="2793" t="s">
        <v>589</v>
      </c>
      <c r="I103" s="2793">
        <v>4015.11</v>
      </c>
      <c r="J103" s="2793" t="s">
        <v>84</v>
      </c>
      <c r="M103" s="2793" t="s">
        <v>576</v>
      </c>
      <c r="N103" s="2794"/>
      <c r="O103" s="2795">
        <v>2901</v>
      </c>
      <c r="S103" s="2798" t="s">
        <v>615</v>
      </c>
      <c r="T103" s="2798" t="s">
        <v>616</v>
      </c>
      <c r="U103" s="2798" t="s">
        <v>47</v>
      </c>
      <c r="V103" s="2798">
        <v>1</v>
      </c>
      <c r="W103" s="2798">
        <v>1221</v>
      </c>
      <c r="X103" s="2798">
        <v>2</v>
      </c>
      <c r="Y103" s="2795" t="s">
        <v>295</v>
      </c>
      <c r="Z103" s="2794">
        <v>78.73</v>
      </c>
      <c r="AA103" s="2794" t="s">
        <v>104</v>
      </c>
      <c r="AB103" s="2795">
        <v>7061</v>
      </c>
      <c r="AS103" s="2791" t="s">
        <v>735</v>
      </c>
      <c r="AT103" s="2791" t="s">
        <v>624</v>
      </c>
      <c r="AU103" s="2791">
        <v>8499</v>
      </c>
      <c r="AW103" s="2791" t="s">
        <v>116</v>
      </c>
      <c r="AX103" s="2791" t="s">
        <v>81</v>
      </c>
      <c r="AY103" s="2791" t="s">
        <v>613</v>
      </c>
      <c r="AZ103" s="2791">
        <v>4301</v>
      </c>
      <c r="BB103" s="2791" t="s">
        <v>80</v>
      </c>
      <c r="BC103" s="2791" t="s">
        <v>81</v>
      </c>
      <c r="BD103" s="2791" t="s">
        <v>614</v>
      </c>
    </row>
    <row r="104" spans="2:56">
      <c r="B104" s="2793">
        <v>4015.31</v>
      </c>
      <c r="C104" s="2793" t="s">
        <v>667</v>
      </c>
      <c r="D104" s="2793">
        <v>-1</v>
      </c>
      <c r="E104" s="2793" t="s">
        <v>331</v>
      </c>
      <c r="F104" s="2793"/>
      <c r="G104" s="2793" t="s">
        <v>2663</v>
      </c>
      <c r="H104" s="2793" t="s">
        <v>2663</v>
      </c>
      <c r="I104" s="2793">
        <v>4015.31</v>
      </c>
      <c r="J104" s="2793" t="s">
        <v>84</v>
      </c>
      <c r="M104" s="2793" t="s">
        <v>581</v>
      </c>
      <c r="N104" s="2794"/>
      <c r="O104" s="2795">
        <v>2996</v>
      </c>
      <c r="S104" s="2798" t="s">
        <v>629</v>
      </c>
      <c r="T104" s="2798" t="s">
        <v>630</v>
      </c>
      <c r="U104" s="2798" t="s">
        <v>1371</v>
      </c>
      <c r="V104" s="2798">
        <v>1</v>
      </c>
      <c r="W104" s="2798">
        <v>1221</v>
      </c>
      <c r="X104" s="2798">
        <v>2</v>
      </c>
      <c r="Y104" s="2795" t="s">
        <v>295</v>
      </c>
      <c r="Z104" s="2795">
        <v>78.739999999999995</v>
      </c>
      <c r="AA104" s="2795" t="s">
        <v>120</v>
      </c>
      <c r="AB104" s="2795">
        <v>7071</v>
      </c>
      <c r="AS104" s="2791" t="s">
        <v>740</v>
      </c>
      <c r="AT104" s="2791" t="s">
        <v>624</v>
      </c>
      <c r="AU104" s="2791">
        <v>8599</v>
      </c>
      <c r="AW104" s="2791" t="s">
        <v>98</v>
      </c>
      <c r="AX104" s="2791" t="s">
        <v>61</v>
      </c>
      <c r="AY104" s="2791" t="s">
        <v>613</v>
      </c>
      <c r="AZ104" s="2791">
        <v>4101</v>
      </c>
      <c r="BB104" s="2791" t="s">
        <v>60</v>
      </c>
      <c r="BC104" s="2791" t="s">
        <v>61</v>
      </c>
      <c r="BD104" s="2791" t="s">
        <v>614</v>
      </c>
    </row>
    <row r="105" spans="2:56">
      <c r="B105" s="2793">
        <v>4015.91</v>
      </c>
      <c r="C105" s="2793" t="s">
        <v>673</v>
      </c>
      <c r="D105" s="2793">
        <v>-1</v>
      </c>
      <c r="E105" s="2793" t="s">
        <v>331</v>
      </c>
      <c r="F105" s="2793"/>
      <c r="G105" s="2793" t="s">
        <v>932</v>
      </c>
      <c r="H105" s="2793" t="s">
        <v>932</v>
      </c>
      <c r="I105" s="2793">
        <v>4015.91</v>
      </c>
      <c r="J105" s="2793" t="s">
        <v>84</v>
      </c>
      <c r="M105" s="2793" t="s">
        <v>631</v>
      </c>
      <c r="N105" s="2794"/>
      <c r="O105" s="2795">
        <v>6001</v>
      </c>
      <c r="S105" s="2798" t="s">
        <v>654</v>
      </c>
      <c r="T105" s="2801" t="s">
        <v>655</v>
      </c>
      <c r="U105" s="2798" t="s">
        <v>1423</v>
      </c>
      <c r="V105" s="2798">
        <v>1</v>
      </c>
      <c r="W105" s="2798">
        <v>1221</v>
      </c>
      <c r="X105" s="2798">
        <v>2</v>
      </c>
      <c r="Y105" s="2795" t="s">
        <v>295</v>
      </c>
      <c r="Z105" s="2795">
        <v>78.2</v>
      </c>
      <c r="AA105" s="2795" t="s">
        <v>133</v>
      </c>
      <c r="AB105" s="2795">
        <v>7096</v>
      </c>
      <c r="AS105" s="2791" t="s">
        <v>745</v>
      </c>
      <c r="AT105" s="2791" t="s">
        <v>624</v>
      </c>
      <c r="AU105" s="2791">
        <v>8599</v>
      </c>
      <c r="AW105" s="2791" t="s">
        <v>116</v>
      </c>
      <c r="AX105" s="2791" t="s">
        <v>81</v>
      </c>
      <c r="AY105" s="2791" t="s">
        <v>613</v>
      </c>
      <c r="AZ105" s="2791">
        <v>4101</v>
      </c>
      <c r="BB105" s="2791" t="s">
        <v>80</v>
      </c>
      <c r="BC105" s="2791" t="s">
        <v>81</v>
      </c>
      <c r="BD105" s="2791" t="s">
        <v>614</v>
      </c>
    </row>
    <row r="106" spans="2:56">
      <c r="B106" s="2793">
        <v>4002</v>
      </c>
      <c r="C106" s="2793" t="s">
        <v>592</v>
      </c>
      <c r="D106" s="2793">
        <v>-1</v>
      </c>
      <c r="E106" s="2793"/>
      <c r="F106" s="2793" t="s">
        <v>5698</v>
      </c>
      <c r="G106" s="2793" t="s">
        <v>592</v>
      </c>
      <c r="H106" s="2793" t="s">
        <v>592</v>
      </c>
      <c r="I106" s="2793">
        <v>4002</v>
      </c>
      <c r="J106" s="2793" t="s">
        <v>84</v>
      </c>
      <c r="M106" s="2793" t="s">
        <v>643</v>
      </c>
      <c r="N106" s="2794"/>
      <c r="O106" s="2795">
        <v>6101</v>
      </c>
      <c r="S106" s="2798" t="s">
        <v>663</v>
      </c>
      <c r="T106" s="2798" t="s">
        <v>664</v>
      </c>
      <c r="U106" s="2798" t="s">
        <v>47</v>
      </c>
      <c r="V106" s="2798">
        <v>1</v>
      </c>
      <c r="W106" s="2798">
        <v>1221</v>
      </c>
      <c r="X106" s="2798">
        <v>2</v>
      </c>
      <c r="Y106" s="2795" t="s">
        <v>295</v>
      </c>
      <c r="Z106" s="2795">
        <v>78.75</v>
      </c>
      <c r="AA106" s="2795" t="s">
        <v>146</v>
      </c>
      <c r="AB106" s="2795">
        <v>7101</v>
      </c>
      <c r="AS106" s="2791" t="s">
        <v>750</v>
      </c>
      <c r="AT106" s="2791" t="s">
        <v>624</v>
      </c>
      <c r="AU106" s="2791">
        <v>8699</v>
      </c>
      <c r="AW106" s="2791" t="s">
        <v>98</v>
      </c>
      <c r="AX106" s="2791" t="s">
        <v>61</v>
      </c>
      <c r="AY106" s="2791" t="s">
        <v>613</v>
      </c>
      <c r="AZ106" s="2791">
        <v>4102</v>
      </c>
      <c r="BB106" s="2791" t="s">
        <v>60</v>
      </c>
      <c r="BC106" s="2791" t="s">
        <v>61</v>
      </c>
      <c r="BD106" s="2791" t="s">
        <v>614</v>
      </c>
    </row>
    <row r="107" spans="2:56">
      <c r="B107" s="2793">
        <v>4201</v>
      </c>
      <c r="C107" s="2793" t="s">
        <v>617</v>
      </c>
      <c r="D107" s="2793">
        <v>1</v>
      </c>
      <c r="E107" s="2793"/>
      <c r="F107" s="2793" t="s">
        <v>5699</v>
      </c>
      <c r="G107" s="2793" t="s">
        <v>682</v>
      </c>
      <c r="H107" s="2793" t="s">
        <v>682</v>
      </c>
      <c r="I107" s="2793">
        <v>4201</v>
      </c>
      <c r="J107" s="2793" t="s">
        <v>84</v>
      </c>
      <c r="M107" s="2793" t="s">
        <v>649</v>
      </c>
      <c r="N107" s="2794" t="s">
        <v>119</v>
      </c>
      <c r="O107" s="2795">
        <v>6102</v>
      </c>
      <c r="S107" s="2798" t="s">
        <v>668</v>
      </c>
      <c r="T107" s="2798" t="s">
        <v>669</v>
      </c>
      <c r="U107" s="2798" t="s">
        <v>3216</v>
      </c>
      <c r="V107" s="2798">
        <v>1</v>
      </c>
      <c r="W107" s="2798">
        <v>1400</v>
      </c>
      <c r="X107" s="2798">
        <v>1</v>
      </c>
      <c r="Y107" s="2795" t="s">
        <v>295</v>
      </c>
      <c r="Z107" s="2795">
        <v>78.760000000000005</v>
      </c>
      <c r="AA107" s="2795" t="s">
        <v>157</v>
      </c>
      <c r="AB107" s="2795">
        <v>7105</v>
      </c>
      <c r="AS107" s="2791" t="s">
        <v>754</v>
      </c>
      <c r="AT107" s="2791" t="s">
        <v>624</v>
      </c>
      <c r="AU107" s="2791">
        <v>8699</v>
      </c>
      <c r="AW107" s="2791" t="s">
        <v>116</v>
      </c>
      <c r="AX107" s="2791" t="s">
        <v>81</v>
      </c>
      <c r="AY107" s="2791" t="s">
        <v>613</v>
      </c>
      <c r="AZ107" s="2791">
        <v>4102</v>
      </c>
      <c r="BB107" s="2791" t="s">
        <v>80</v>
      </c>
      <c r="BC107" s="2791" t="s">
        <v>81</v>
      </c>
      <c r="BD107" s="2791" t="s">
        <v>614</v>
      </c>
    </row>
    <row r="108" spans="2:56">
      <c r="B108" s="2793">
        <v>4215</v>
      </c>
      <c r="C108" s="2793" t="s">
        <v>621</v>
      </c>
      <c r="D108" s="2793">
        <v>-1</v>
      </c>
      <c r="E108" s="2793"/>
      <c r="F108" s="2793" t="s">
        <v>5700</v>
      </c>
      <c r="G108" s="2793" t="s">
        <v>621</v>
      </c>
      <c r="H108" s="2793" t="s">
        <v>621</v>
      </c>
      <c r="I108" s="2793">
        <v>4215</v>
      </c>
      <c r="J108" s="2793" t="s">
        <v>84</v>
      </c>
      <c r="M108" s="2793" t="s">
        <v>656</v>
      </c>
      <c r="N108" s="2794"/>
      <c r="O108" s="2795">
        <v>6111</v>
      </c>
      <c r="S108" s="2798" t="s">
        <v>674</v>
      </c>
      <c r="T108" s="2798" t="s">
        <v>675</v>
      </c>
      <c r="U108" s="2798" t="s">
        <v>3216</v>
      </c>
      <c r="V108" s="2798">
        <v>1</v>
      </c>
      <c r="W108" s="2798">
        <v>1400</v>
      </c>
      <c r="X108" s="2798">
        <v>2</v>
      </c>
      <c r="Y108" s="2795" t="s">
        <v>295</v>
      </c>
      <c r="Z108" s="2795">
        <v>78.77</v>
      </c>
      <c r="AA108" s="2795" t="s">
        <v>168</v>
      </c>
      <c r="AB108" s="2795">
        <v>7111</v>
      </c>
      <c r="AS108" s="2791" t="s">
        <v>759</v>
      </c>
      <c r="AT108" s="2791" t="s">
        <v>624</v>
      </c>
      <c r="AU108" s="2791">
        <v>8799</v>
      </c>
      <c r="AW108" s="2791" t="s">
        <v>98</v>
      </c>
      <c r="AX108" s="2791" t="s">
        <v>61</v>
      </c>
      <c r="AY108" s="2791" t="s">
        <v>613</v>
      </c>
      <c r="AZ108" s="2791">
        <v>4200</v>
      </c>
      <c r="BB108" s="2791" t="s">
        <v>60</v>
      </c>
      <c r="BC108" s="2791" t="s">
        <v>61</v>
      </c>
      <c r="BD108" s="2791" t="s">
        <v>614</v>
      </c>
    </row>
    <row r="109" spans="2:56">
      <c r="B109" s="2793">
        <v>4301</v>
      </c>
      <c r="C109" s="2793" t="s">
        <v>627</v>
      </c>
      <c r="D109" s="2793">
        <v>-1</v>
      </c>
      <c r="E109" s="2793"/>
      <c r="F109" s="2793" t="s">
        <v>5701</v>
      </c>
      <c r="G109" s="2793" t="s">
        <v>627</v>
      </c>
      <c r="H109" s="2793" t="s">
        <v>627</v>
      </c>
      <c r="I109" s="2793">
        <v>4301</v>
      </c>
      <c r="J109" s="2793" t="s">
        <v>84</v>
      </c>
      <c r="M109" s="2793" t="s">
        <v>772</v>
      </c>
      <c r="N109" s="2794"/>
      <c r="O109" s="2795">
        <v>6111.01</v>
      </c>
      <c r="S109" s="2798" t="s">
        <v>678</v>
      </c>
      <c r="T109" s="2798" t="s">
        <v>679</v>
      </c>
      <c r="U109" s="2798" t="s">
        <v>47</v>
      </c>
      <c r="V109" s="2798">
        <v>1</v>
      </c>
      <c r="W109" s="2798">
        <v>1400</v>
      </c>
      <c r="X109" s="2798">
        <v>2</v>
      </c>
      <c r="Y109" s="2795" t="s">
        <v>295</v>
      </c>
      <c r="Z109" s="2795">
        <v>78.3</v>
      </c>
      <c r="AA109" s="2795" t="s">
        <v>187</v>
      </c>
      <c r="AB109" s="2795">
        <v>7146</v>
      </c>
      <c r="AS109" s="2791" t="s">
        <v>765</v>
      </c>
      <c r="AT109" s="2791" t="s">
        <v>624</v>
      </c>
      <c r="AU109" s="2791">
        <v>8799</v>
      </c>
      <c r="AW109" s="2791" t="s">
        <v>116</v>
      </c>
      <c r="AX109" s="2791" t="s">
        <v>81</v>
      </c>
      <c r="AY109" s="2791" t="s">
        <v>613</v>
      </c>
      <c r="AZ109" s="2791">
        <v>4200</v>
      </c>
      <c r="BB109" s="2791" t="s">
        <v>80</v>
      </c>
      <c r="BC109" s="2791" t="s">
        <v>81</v>
      </c>
      <c r="BD109" s="2791" t="s">
        <v>614</v>
      </c>
    </row>
    <row r="110" spans="2:56">
      <c r="B110" s="2793">
        <v>4101</v>
      </c>
      <c r="C110" s="2793" t="s">
        <v>602</v>
      </c>
      <c r="D110" s="2793">
        <v>-1</v>
      </c>
      <c r="E110" s="2793"/>
      <c r="F110" s="2793" t="s">
        <v>4179</v>
      </c>
      <c r="G110" s="2793" t="s">
        <v>602</v>
      </c>
      <c r="H110" s="2793" t="s">
        <v>602</v>
      </c>
      <c r="I110" s="2793">
        <v>4101</v>
      </c>
      <c r="J110" s="2793" t="s">
        <v>84</v>
      </c>
      <c r="M110" s="2793" t="s">
        <v>776</v>
      </c>
      <c r="N110" s="2794" t="s">
        <v>119</v>
      </c>
      <c r="O110" s="2795" t="s">
        <v>777</v>
      </c>
      <c r="S110" s="2798" t="s">
        <v>683</v>
      </c>
      <c r="T110" s="2798" t="s">
        <v>684</v>
      </c>
      <c r="U110" s="2798" t="s">
        <v>47</v>
      </c>
      <c r="V110" s="2798">
        <v>1</v>
      </c>
      <c r="W110" s="2798">
        <v>1400</v>
      </c>
      <c r="X110" s="2798">
        <v>2</v>
      </c>
      <c r="Y110" s="2795" t="s">
        <v>295</v>
      </c>
      <c r="Z110" s="2795">
        <v>78.78</v>
      </c>
      <c r="AA110" s="2795" t="s">
        <v>197</v>
      </c>
      <c r="AB110" s="2795">
        <v>7151</v>
      </c>
      <c r="AS110" s="2791" t="s">
        <v>770</v>
      </c>
      <c r="AT110" s="2791" t="s">
        <v>624</v>
      </c>
      <c r="AU110" s="2791">
        <v>8999</v>
      </c>
      <c r="AW110" s="2791" t="s">
        <v>98</v>
      </c>
      <c r="AX110" s="2791" t="s">
        <v>61</v>
      </c>
      <c r="AY110" s="2791" t="s">
        <v>613</v>
      </c>
      <c r="AZ110" s="2791">
        <v>4398</v>
      </c>
      <c r="BB110" s="2791" t="s">
        <v>60</v>
      </c>
      <c r="BC110" s="2791" t="s">
        <v>61</v>
      </c>
      <c r="BD110" s="2791" t="s">
        <v>614</v>
      </c>
    </row>
    <row r="111" spans="2:56">
      <c r="B111" s="2793">
        <v>4102</v>
      </c>
      <c r="C111" s="2793" t="s">
        <v>607</v>
      </c>
      <c r="D111" s="2793">
        <v>-1</v>
      </c>
      <c r="E111" s="2793"/>
      <c r="F111" s="2793"/>
      <c r="G111" s="2793" t="s">
        <v>607</v>
      </c>
      <c r="H111" s="2793" t="s">
        <v>607</v>
      </c>
      <c r="I111" s="2793">
        <v>4102</v>
      </c>
      <c r="J111" s="2793" t="s">
        <v>84</v>
      </c>
      <c r="M111" s="2793" t="s">
        <v>660</v>
      </c>
      <c r="N111" s="2794"/>
      <c r="O111" s="2795">
        <v>6171</v>
      </c>
      <c r="S111" s="2795" t="s">
        <v>691</v>
      </c>
      <c r="T111" s="2795" t="s">
        <v>692</v>
      </c>
      <c r="U111" s="2795" t="s">
        <v>1476</v>
      </c>
      <c r="V111" s="2795">
        <v>1</v>
      </c>
      <c r="W111" s="2795">
        <v>1400</v>
      </c>
      <c r="X111" s="2795">
        <v>2</v>
      </c>
      <c r="Y111" s="2795" t="s">
        <v>295</v>
      </c>
      <c r="Z111" s="2795">
        <v>78.790000000000006</v>
      </c>
      <c r="AA111" s="2795" t="s">
        <v>207</v>
      </c>
      <c r="AB111" s="2795">
        <v>7161</v>
      </c>
      <c r="AS111" s="2791" t="s">
        <v>774</v>
      </c>
      <c r="AT111" s="2791" t="s">
        <v>624</v>
      </c>
      <c r="AU111" s="2791">
        <v>8999</v>
      </c>
      <c r="AW111" s="2791" t="s">
        <v>116</v>
      </c>
      <c r="AX111" s="2791" t="s">
        <v>81</v>
      </c>
      <c r="AY111" s="2791" t="s">
        <v>613</v>
      </c>
      <c r="AZ111" s="2791">
        <v>4398</v>
      </c>
      <c r="BB111" s="2791" t="s">
        <v>80</v>
      </c>
      <c r="BC111" s="2791" t="s">
        <v>81</v>
      </c>
      <c r="BD111" s="2791" t="s">
        <v>614</v>
      </c>
    </row>
    <row r="112" spans="2:56">
      <c r="B112" s="2793">
        <v>4200</v>
      </c>
      <c r="C112" s="2793" t="s">
        <v>611</v>
      </c>
      <c r="D112" s="2793">
        <v>-1</v>
      </c>
      <c r="E112" s="2793"/>
      <c r="F112" s="2793" t="s">
        <v>5702</v>
      </c>
      <c r="G112" s="2793" t="s">
        <v>611</v>
      </c>
      <c r="H112" s="2793" t="s">
        <v>611</v>
      </c>
      <c r="I112" s="2793">
        <v>4200</v>
      </c>
      <c r="J112" s="2793" t="s">
        <v>84</v>
      </c>
      <c r="M112" s="2793" t="s">
        <v>665</v>
      </c>
      <c r="N112" s="2794"/>
      <c r="O112" s="2795">
        <v>6181</v>
      </c>
      <c r="S112" s="2795" t="s">
        <v>695</v>
      </c>
      <c r="T112" s="2795" t="s">
        <v>696</v>
      </c>
      <c r="U112" s="2795" t="s">
        <v>1476</v>
      </c>
      <c r="V112" s="2795">
        <v>1</v>
      </c>
      <c r="W112" s="2795">
        <v>1400</v>
      </c>
      <c r="X112" s="2795">
        <v>2</v>
      </c>
      <c r="Y112" s="2795" t="s">
        <v>295</v>
      </c>
      <c r="Z112" s="2795">
        <v>78.400000000000006</v>
      </c>
      <c r="AA112" s="2795" t="s">
        <v>225</v>
      </c>
      <c r="AB112" s="2795">
        <v>7196</v>
      </c>
      <c r="AS112" s="2791" t="s">
        <v>778</v>
      </c>
      <c r="AT112" s="2791" t="s">
        <v>624</v>
      </c>
      <c r="AU112" s="2791">
        <v>8099</v>
      </c>
      <c r="AW112" s="2791" t="s">
        <v>98</v>
      </c>
      <c r="AX112" s="2791" t="s">
        <v>61</v>
      </c>
      <c r="AY112" s="2791" t="s">
        <v>613</v>
      </c>
      <c r="AZ112" s="2791">
        <v>4999</v>
      </c>
      <c r="BB112" s="2791" t="s">
        <v>60</v>
      </c>
      <c r="BC112" s="2791" t="s">
        <v>61</v>
      </c>
      <c r="BD112" s="2791" t="s">
        <v>614</v>
      </c>
    </row>
    <row r="113" spans="2:56">
      <c r="B113" s="2793">
        <v>4298</v>
      </c>
      <c r="C113" s="2793" t="s">
        <v>713</v>
      </c>
      <c r="D113" s="2793"/>
      <c r="E113" s="2793" t="s">
        <v>708</v>
      </c>
      <c r="F113" s="2793"/>
      <c r="G113" s="2793" t="s">
        <v>5875</v>
      </c>
      <c r="H113" s="2793" t="s">
        <v>714</v>
      </c>
      <c r="I113" s="2793">
        <v>4298</v>
      </c>
      <c r="J113" s="2793"/>
      <c r="M113" s="2793" t="s">
        <v>671</v>
      </c>
      <c r="N113" s="2794"/>
      <c r="O113" s="2795">
        <v>6401</v>
      </c>
      <c r="S113" s="2795" t="s">
        <v>699</v>
      </c>
      <c r="T113" s="2795" t="s">
        <v>700</v>
      </c>
      <c r="U113" s="2795" t="s">
        <v>1476</v>
      </c>
      <c r="V113" s="2795">
        <v>1</v>
      </c>
      <c r="W113" s="2795">
        <v>1400</v>
      </c>
      <c r="X113" s="2795">
        <v>2</v>
      </c>
      <c r="Y113" s="2795" t="s">
        <v>295</v>
      </c>
      <c r="Z113" s="2795">
        <v>78.81</v>
      </c>
      <c r="AA113" s="2795" t="s">
        <v>253</v>
      </c>
      <c r="AB113" s="2795">
        <v>7211</v>
      </c>
      <c r="AS113" s="2791" t="s">
        <v>780</v>
      </c>
      <c r="AT113" s="2791" t="s">
        <v>624</v>
      </c>
      <c r="AU113" s="2791">
        <v>8099</v>
      </c>
      <c r="AW113" s="2791" t="s">
        <v>116</v>
      </c>
      <c r="AX113" s="2791" t="s">
        <v>81</v>
      </c>
      <c r="AY113" s="2791" t="s">
        <v>613</v>
      </c>
      <c r="AZ113" s="2791">
        <v>4999</v>
      </c>
      <c r="BB113" s="2791" t="s">
        <v>80</v>
      </c>
      <c r="BC113" s="2791" t="s">
        <v>81</v>
      </c>
      <c r="BD113" s="2791" t="s">
        <v>614</v>
      </c>
    </row>
    <row r="114" spans="2:56">
      <c r="B114" s="2793">
        <v>4398</v>
      </c>
      <c r="C114" s="2793" t="s">
        <v>719</v>
      </c>
      <c r="D114" s="2793">
        <v>-1</v>
      </c>
      <c r="E114" s="2793" t="s">
        <v>708</v>
      </c>
      <c r="F114" s="2793"/>
      <c r="G114" s="2793" t="s">
        <v>719</v>
      </c>
      <c r="H114" s="2793" t="s">
        <v>719</v>
      </c>
      <c r="I114" s="2793">
        <v>4398</v>
      </c>
      <c r="J114" s="2793" t="s">
        <v>84</v>
      </c>
      <c r="M114" s="2793" t="s">
        <v>676</v>
      </c>
      <c r="N114" s="2794"/>
      <c r="O114" s="2795">
        <v>6600</v>
      </c>
      <c r="S114" s="2795" t="s">
        <v>703</v>
      </c>
      <c r="T114" s="2795" t="s">
        <v>704</v>
      </c>
      <c r="U114" s="2795" t="s">
        <v>47</v>
      </c>
      <c r="V114" s="2795">
        <v>1</v>
      </c>
      <c r="W114" s="2795">
        <v>1400</v>
      </c>
      <c r="X114" s="2795">
        <v>2</v>
      </c>
      <c r="Y114" s="2795" t="s">
        <v>295</v>
      </c>
      <c r="Z114" s="2795">
        <v>78.5</v>
      </c>
      <c r="AA114" s="2795" t="s">
        <v>261</v>
      </c>
      <c r="AB114" s="2795">
        <v>7246</v>
      </c>
      <c r="AS114" s="2791" t="s">
        <v>782</v>
      </c>
      <c r="AT114" s="2791" t="s">
        <v>783</v>
      </c>
      <c r="AU114" s="2791">
        <v>7349</v>
      </c>
      <c r="AW114" s="2791" t="s">
        <v>98</v>
      </c>
      <c r="AX114" s="2791" t="s">
        <v>61</v>
      </c>
      <c r="AY114" s="2791" t="s">
        <v>783</v>
      </c>
      <c r="AZ114" s="2791">
        <v>7399</v>
      </c>
      <c r="BB114" s="2791" t="s">
        <v>116</v>
      </c>
      <c r="BC114" s="2791" t="s">
        <v>81</v>
      </c>
      <c r="BD114" s="2791" t="s">
        <v>614</v>
      </c>
    </row>
    <row r="115" spans="2:56">
      <c r="B115" s="2793">
        <v>4999</v>
      </c>
      <c r="C115" s="2793" t="s">
        <v>724</v>
      </c>
      <c r="D115" s="2793"/>
      <c r="E115" s="2793" t="s">
        <v>287</v>
      </c>
      <c r="F115" s="2793"/>
      <c r="G115" s="2793" t="s">
        <v>2614</v>
      </c>
      <c r="H115" s="2793" t="s">
        <v>725</v>
      </c>
      <c r="I115" s="2793">
        <v>4999</v>
      </c>
      <c r="J115" s="2793"/>
      <c r="M115" s="2793" t="s">
        <v>680</v>
      </c>
      <c r="N115" s="2794"/>
      <c r="O115" s="2795">
        <v>6601</v>
      </c>
      <c r="S115" s="2795" t="s">
        <v>687</v>
      </c>
      <c r="T115" s="2795" t="s">
        <v>688</v>
      </c>
      <c r="U115" s="2795" t="s">
        <v>3216</v>
      </c>
      <c r="V115" s="2795">
        <v>1</v>
      </c>
      <c r="W115" s="2795">
        <v>1400</v>
      </c>
      <c r="X115" s="2795">
        <v>2</v>
      </c>
      <c r="Y115" s="2795" t="s">
        <v>295</v>
      </c>
      <c r="Z115" s="2795">
        <v>78.819999999999993</v>
      </c>
      <c r="AA115" s="2795" t="s">
        <v>269</v>
      </c>
      <c r="AB115" s="2795">
        <v>7251</v>
      </c>
      <c r="AS115" s="2791" t="s">
        <v>786</v>
      </c>
      <c r="AT115" s="2791" t="s">
        <v>783</v>
      </c>
      <c r="AU115" s="2791">
        <v>7502</v>
      </c>
      <c r="AW115" s="2791" t="s">
        <v>98</v>
      </c>
      <c r="AX115" s="2791" t="s">
        <v>61</v>
      </c>
      <c r="AY115" s="2791" t="s">
        <v>623</v>
      </c>
      <c r="AZ115" s="2791">
        <v>6799</v>
      </c>
      <c r="BB115" s="2791" t="s">
        <v>98</v>
      </c>
      <c r="BC115" s="2791" t="s">
        <v>61</v>
      </c>
      <c r="BD115" s="2791" t="s">
        <v>614</v>
      </c>
    </row>
    <row r="116" spans="2:56">
      <c r="B116" s="2793">
        <v>5000</v>
      </c>
      <c r="C116" s="2793" t="s">
        <v>728</v>
      </c>
      <c r="D116" s="2793"/>
      <c r="E116" s="2793" t="s">
        <v>287</v>
      </c>
      <c r="F116" s="2793"/>
      <c r="G116" s="2793" t="s">
        <v>5877</v>
      </c>
      <c r="H116" s="2793" t="s">
        <v>729</v>
      </c>
      <c r="I116" s="2793">
        <v>5000</v>
      </c>
      <c r="J116" s="2793"/>
      <c r="M116" s="2793" t="s">
        <v>685</v>
      </c>
      <c r="N116" s="2794"/>
      <c r="O116" s="2795">
        <v>6602</v>
      </c>
      <c r="S116" s="2795" t="s">
        <v>709</v>
      </c>
      <c r="T116" s="2795" t="s">
        <v>710</v>
      </c>
      <c r="U116" s="2795" t="s">
        <v>47</v>
      </c>
      <c r="V116" s="2795">
        <v>1</v>
      </c>
      <c r="W116" s="2795">
        <v>1400</v>
      </c>
      <c r="X116" s="2795">
        <v>2</v>
      </c>
      <c r="Y116" s="2795" t="s">
        <v>295</v>
      </c>
      <c r="Z116" s="2795">
        <v>78.83</v>
      </c>
      <c r="AA116" s="2795" t="s">
        <v>279</v>
      </c>
      <c r="AB116" s="2795">
        <v>7261</v>
      </c>
      <c r="AS116" s="2791" t="s">
        <v>790</v>
      </c>
      <c r="AT116" s="2791" t="s">
        <v>783</v>
      </c>
      <c r="AU116" s="2791">
        <v>7502</v>
      </c>
      <c r="AW116" s="2791" t="s">
        <v>116</v>
      </c>
      <c r="AX116" s="2791" t="s">
        <v>81</v>
      </c>
      <c r="AY116" s="2791" t="s">
        <v>623</v>
      </c>
      <c r="AZ116" s="2791">
        <v>6799</v>
      </c>
      <c r="BB116" s="2791" t="s">
        <v>116</v>
      </c>
      <c r="BC116" s="2791" t="s">
        <v>81</v>
      </c>
      <c r="BD116" s="2791" t="s">
        <v>614</v>
      </c>
    </row>
    <row r="117" spans="2:56">
      <c r="B117" s="2793">
        <v>6</v>
      </c>
      <c r="C117" s="2793" t="s">
        <v>732</v>
      </c>
      <c r="D117" s="2793"/>
      <c r="E117" s="2793" t="s">
        <v>41</v>
      </c>
      <c r="F117" s="2793"/>
      <c r="G117" s="2793" t="s">
        <v>732</v>
      </c>
      <c r="H117" s="2793"/>
      <c r="I117" s="2793">
        <v>6</v>
      </c>
      <c r="J117" s="2793"/>
      <c r="M117" s="2793" t="s">
        <v>689</v>
      </c>
      <c r="N117" s="2794"/>
      <c r="O117" s="2795">
        <v>6603</v>
      </c>
      <c r="S117" s="2798" t="s">
        <v>730</v>
      </c>
      <c r="T117" s="2798" t="s">
        <v>715</v>
      </c>
      <c r="U117" s="2798" t="s">
        <v>47</v>
      </c>
      <c r="V117" s="2798">
        <v>1</v>
      </c>
      <c r="W117" s="2795">
        <v>1315</v>
      </c>
      <c r="X117" s="2798">
        <v>2</v>
      </c>
      <c r="Y117" s="2795" t="s">
        <v>295</v>
      </c>
      <c r="Z117" s="2795">
        <v>78.599999999999994</v>
      </c>
      <c r="AA117" s="2795" t="s">
        <v>300</v>
      </c>
      <c r="AB117" s="2795">
        <v>7296</v>
      </c>
      <c r="AS117" s="2791" t="s">
        <v>794</v>
      </c>
      <c r="AT117" s="2791" t="s">
        <v>783</v>
      </c>
      <c r="AU117" s="2791">
        <v>7525</v>
      </c>
      <c r="AW117" s="2791" t="s">
        <v>98</v>
      </c>
      <c r="AX117" s="2791" t="s">
        <v>61</v>
      </c>
      <c r="AY117" s="2791" t="s">
        <v>783</v>
      </c>
      <c r="AZ117" s="2791">
        <v>7099</v>
      </c>
      <c r="BB117" s="2791" t="s">
        <v>98</v>
      </c>
      <c r="BC117" s="2791" t="s">
        <v>61</v>
      </c>
      <c r="BD117" s="2791" t="s">
        <v>614</v>
      </c>
    </row>
    <row r="118" spans="2:56">
      <c r="B118" s="2793">
        <v>6098</v>
      </c>
      <c r="C118" s="2793" t="s">
        <v>736</v>
      </c>
      <c r="D118" s="2793"/>
      <c r="E118" s="2793" t="s">
        <v>708</v>
      </c>
      <c r="F118" s="2793"/>
      <c r="G118" s="2793" t="s">
        <v>737</v>
      </c>
      <c r="H118" s="2793" t="s">
        <v>737</v>
      </c>
      <c r="I118" s="2793">
        <v>6098</v>
      </c>
      <c r="J118" s="2793"/>
      <c r="M118" s="2793" t="s">
        <v>802</v>
      </c>
      <c r="N118" s="2794"/>
      <c r="O118" s="2795" t="s">
        <v>803</v>
      </c>
      <c r="S118" s="2798" t="s">
        <v>721</v>
      </c>
      <c r="T118" s="2798" t="s">
        <v>722</v>
      </c>
      <c r="U118" s="2798" t="s">
        <v>47</v>
      </c>
      <c r="V118" s="2798">
        <v>1</v>
      </c>
      <c r="W118" s="2795">
        <v>1315</v>
      </c>
      <c r="X118" s="2798">
        <v>2</v>
      </c>
      <c r="Y118" s="2795" t="s">
        <v>295</v>
      </c>
      <c r="Z118" s="2795">
        <v>78</v>
      </c>
      <c r="AA118" s="2795" t="s">
        <v>797</v>
      </c>
      <c r="AB118" s="2795">
        <v>7400</v>
      </c>
      <c r="AS118" s="2791" t="s">
        <v>798</v>
      </c>
      <c r="AT118" s="2791" t="s">
        <v>783</v>
      </c>
      <c r="AU118" s="2791">
        <v>7525</v>
      </c>
      <c r="AW118" s="2791" t="s">
        <v>116</v>
      </c>
      <c r="AX118" s="2791" t="s">
        <v>81</v>
      </c>
      <c r="AY118" s="2791" t="s">
        <v>783</v>
      </c>
      <c r="AZ118" s="2791">
        <v>7099</v>
      </c>
      <c r="BB118" s="2791" t="s">
        <v>116</v>
      </c>
      <c r="BC118" s="2791" t="s">
        <v>81</v>
      </c>
      <c r="BD118" s="2791" t="s">
        <v>614</v>
      </c>
    </row>
    <row r="119" spans="2:56">
      <c r="B119" s="2793">
        <v>6001</v>
      </c>
      <c r="C119" s="2793" t="s">
        <v>631</v>
      </c>
      <c r="D119" s="2793">
        <v>-1</v>
      </c>
      <c r="E119" s="2793"/>
      <c r="F119" s="2793" t="s">
        <v>4212</v>
      </c>
      <c r="G119" s="2793" t="s">
        <v>741</v>
      </c>
      <c r="H119" s="2793" t="s">
        <v>742</v>
      </c>
      <c r="I119" s="2793">
        <v>6001</v>
      </c>
      <c r="J119" s="2793" t="s">
        <v>84</v>
      </c>
      <c r="M119" s="2793" t="s">
        <v>809</v>
      </c>
      <c r="N119" s="2794"/>
      <c r="O119" s="2795" t="s">
        <v>810</v>
      </c>
      <c r="S119" s="2798" t="s">
        <v>747</v>
      </c>
      <c r="T119" s="2798" t="s">
        <v>748</v>
      </c>
      <c r="U119" s="2798" t="s">
        <v>47</v>
      </c>
      <c r="V119" s="2798">
        <v>1</v>
      </c>
      <c r="W119" s="2795">
        <v>1495</v>
      </c>
      <c r="X119" s="2798">
        <v>1</v>
      </c>
      <c r="Y119" s="2795" t="s">
        <v>295</v>
      </c>
      <c r="Z119" s="2795">
        <v>79</v>
      </c>
      <c r="AA119" s="2795" t="s">
        <v>800</v>
      </c>
      <c r="AB119" s="2795">
        <v>7500</v>
      </c>
      <c r="AS119" s="2791" t="s">
        <v>801</v>
      </c>
      <c r="AT119" s="2791" t="s">
        <v>783</v>
      </c>
      <c r="AU119" s="2791">
        <v>7539</v>
      </c>
      <c r="AW119" s="2791" t="s">
        <v>98</v>
      </c>
      <c r="AX119" s="2791" t="s">
        <v>61</v>
      </c>
      <c r="AY119" s="2791" t="s">
        <v>783</v>
      </c>
      <c r="AZ119" s="2791">
        <v>7348</v>
      </c>
      <c r="BB119" s="2791" t="s">
        <v>98</v>
      </c>
      <c r="BC119" s="2791" t="s">
        <v>61</v>
      </c>
      <c r="BD119" s="2791" t="s">
        <v>614</v>
      </c>
    </row>
    <row r="120" spans="2:56">
      <c r="B120" s="2793">
        <v>6011</v>
      </c>
      <c r="C120" s="2793" t="s">
        <v>746</v>
      </c>
      <c r="D120" s="2793">
        <v>-1</v>
      </c>
      <c r="E120" s="2793" t="s">
        <v>102</v>
      </c>
      <c r="F120" s="2793"/>
      <c r="G120" s="2793" t="s">
        <v>746</v>
      </c>
      <c r="H120" s="2793" t="s">
        <v>746</v>
      </c>
      <c r="I120" s="2793">
        <v>6011</v>
      </c>
      <c r="J120" s="2793" t="s">
        <v>84</v>
      </c>
      <c r="M120" s="2793" t="s">
        <v>693</v>
      </c>
      <c r="N120" s="2794"/>
      <c r="O120" s="2795">
        <v>6606</v>
      </c>
      <c r="S120" s="2795" t="s">
        <v>752</v>
      </c>
      <c r="T120" s="2795" t="s">
        <v>753</v>
      </c>
      <c r="U120" s="2795" t="s">
        <v>47</v>
      </c>
      <c r="V120" s="2795">
        <v>1</v>
      </c>
      <c r="W120" s="2795">
        <v>1495</v>
      </c>
      <c r="X120" s="2795">
        <v>2</v>
      </c>
      <c r="Y120" s="2795" t="s">
        <v>295</v>
      </c>
      <c r="Z120" s="2795">
        <v>79.010000000000005</v>
      </c>
      <c r="AA120" s="2795" t="s">
        <v>807</v>
      </c>
      <c r="AB120" s="2795">
        <v>7503</v>
      </c>
      <c r="AS120" s="2791" t="s">
        <v>808</v>
      </c>
      <c r="AT120" s="2791" t="s">
        <v>783</v>
      </c>
      <c r="AU120" s="2791">
        <v>7539</v>
      </c>
      <c r="AW120" s="2791" t="s">
        <v>116</v>
      </c>
      <c r="AX120" s="2791" t="s">
        <v>81</v>
      </c>
      <c r="AY120" s="2791" t="s">
        <v>783</v>
      </c>
      <c r="AZ120" s="2791">
        <v>7348</v>
      </c>
      <c r="BB120" s="2791" t="s">
        <v>116</v>
      </c>
      <c r="BC120" s="2791" t="s">
        <v>81</v>
      </c>
      <c r="BD120" s="2791" t="s">
        <v>614</v>
      </c>
    </row>
    <row r="121" spans="2:56">
      <c r="B121" s="2793">
        <v>6030</v>
      </c>
      <c r="C121" s="2793" t="s">
        <v>751</v>
      </c>
      <c r="D121" s="2793">
        <v>-1</v>
      </c>
      <c r="E121" s="2793" t="s">
        <v>102</v>
      </c>
      <c r="F121" s="2793"/>
      <c r="G121" s="2793" t="s">
        <v>751</v>
      </c>
      <c r="H121" s="2793" t="s">
        <v>751</v>
      </c>
      <c r="I121" s="2793">
        <v>6030</v>
      </c>
      <c r="J121" s="2793" t="s">
        <v>84</v>
      </c>
      <c r="M121" s="2793" t="s">
        <v>697</v>
      </c>
      <c r="N121" s="2794"/>
      <c r="O121" s="2793">
        <v>6671</v>
      </c>
      <c r="S121" s="2795" t="s">
        <v>756</v>
      </c>
      <c r="T121" s="2795" t="s">
        <v>757</v>
      </c>
      <c r="U121" s="2795" t="s">
        <v>47</v>
      </c>
      <c r="V121" s="2795">
        <v>1</v>
      </c>
      <c r="W121" s="2795">
        <v>1496</v>
      </c>
      <c r="X121" s="2795">
        <v>1</v>
      </c>
      <c r="Y121" s="2795" t="s">
        <v>295</v>
      </c>
      <c r="Z121" s="2795">
        <v>79.02</v>
      </c>
      <c r="AA121" s="2795" t="s">
        <v>811</v>
      </c>
      <c r="AB121" s="2795">
        <v>7505</v>
      </c>
    </row>
    <row r="122" spans="2:56">
      <c r="B122" s="2793">
        <v>6021</v>
      </c>
      <c r="C122" s="2793" t="s">
        <v>755</v>
      </c>
      <c r="D122" s="2793">
        <v>-1</v>
      </c>
      <c r="E122" s="2793" t="s">
        <v>102</v>
      </c>
      <c r="F122" s="2793"/>
      <c r="G122" s="2793" t="s">
        <v>755</v>
      </c>
      <c r="H122" s="2793" t="s">
        <v>755</v>
      </c>
      <c r="I122" s="2793">
        <v>6021</v>
      </c>
      <c r="J122" s="2793" t="s">
        <v>84</v>
      </c>
      <c r="M122" s="2793" t="s">
        <v>701</v>
      </c>
      <c r="N122" s="2794" t="s">
        <v>119</v>
      </c>
      <c r="O122" s="2795">
        <v>6672</v>
      </c>
      <c r="S122" s="2798" t="s">
        <v>762</v>
      </c>
      <c r="T122" s="2798" t="s">
        <v>763</v>
      </c>
      <c r="U122" s="2798" t="s">
        <v>47</v>
      </c>
      <c r="V122" s="2798">
        <v>1</v>
      </c>
      <c r="W122" s="2798">
        <v>1505</v>
      </c>
      <c r="X122" s="2798">
        <v>1</v>
      </c>
      <c r="Y122" s="2795" t="s">
        <v>295</v>
      </c>
      <c r="Z122" s="2795">
        <v>79.03</v>
      </c>
      <c r="AA122" s="2795" t="s">
        <v>815</v>
      </c>
      <c r="AB122" s="2795">
        <v>7506</v>
      </c>
    </row>
    <row r="123" spans="2:56">
      <c r="B123" s="2793">
        <v>6598</v>
      </c>
      <c r="C123" s="2793" t="s">
        <v>760</v>
      </c>
      <c r="D123" s="2793"/>
      <c r="E123" s="2793" t="s">
        <v>708</v>
      </c>
      <c r="F123" s="2793"/>
      <c r="G123" s="2793" t="s">
        <v>761</v>
      </c>
      <c r="H123" s="2793" t="s">
        <v>761</v>
      </c>
      <c r="I123" s="2793">
        <v>6598</v>
      </c>
      <c r="J123" s="2793"/>
      <c r="M123" s="2793" t="s">
        <v>705</v>
      </c>
      <c r="N123" s="2794"/>
      <c r="O123" s="2795">
        <v>6710</v>
      </c>
      <c r="S123" s="2798" t="s">
        <v>768</v>
      </c>
      <c r="T123" s="2798" t="s">
        <v>769</v>
      </c>
      <c r="U123" s="2798" t="s">
        <v>47</v>
      </c>
      <c r="V123" s="2798">
        <v>1</v>
      </c>
      <c r="W123" s="2798">
        <v>1505</v>
      </c>
      <c r="X123" s="2798">
        <v>2</v>
      </c>
      <c r="Y123" s="2795" t="s">
        <v>295</v>
      </c>
      <c r="Z123" s="2795">
        <v>79.040000000000006</v>
      </c>
      <c r="AA123" s="2795" t="s">
        <v>819</v>
      </c>
      <c r="AB123" s="2795">
        <v>7507</v>
      </c>
    </row>
    <row r="124" spans="2:56">
      <c r="B124" s="2793">
        <v>6401</v>
      </c>
      <c r="C124" s="2793" t="s">
        <v>671</v>
      </c>
      <c r="D124" s="2793">
        <v>1</v>
      </c>
      <c r="E124" s="2793"/>
      <c r="F124" s="2793" t="s">
        <v>5703</v>
      </c>
      <c r="G124" s="2793" t="s">
        <v>766</v>
      </c>
      <c r="H124" s="2793" t="s">
        <v>767</v>
      </c>
      <c r="I124" s="2793">
        <v>6401</v>
      </c>
      <c r="J124" s="2793" t="s">
        <v>84</v>
      </c>
      <c r="M124" s="2793" t="s">
        <v>711</v>
      </c>
      <c r="N124" s="2794"/>
      <c r="O124" s="2795">
        <v>6711</v>
      </c>
      <c r="S124" s="2798" t="s">
        <v>773</v>
      </c>
      <c r="T124" s="2798" t="s">
        <v>6437</v>
      </c>
      <c r="U124" s="2798" t="s">
        <v>6430</v>
      </c>
      <c r="V124" s="2798">
        <v>1</v>
      </c>
      <c r="W124" s="2798">
        <v>1505</v>
      </c>
      <c r="X124" s="2798">
        <v>2</v>
      </c>
      <c r="Y124" s="2795" t="s">
        <v>295</v>
      </c>
      <c r="Z124" s="2795">
        <v>79.05</v>
      </c>
      <c r="AA124" s="2795" t="s">
        <v>823</v>
      </c>
      <c r="AB124" s="2795">
        <v>7508</v>
      </c>
    </row>
    <row r="125" spans="2:56">
      <c r="B125" s="2793">
        <v>6411</v>
      </c>
      <c r="C125" s="2793" t="s">
        <v>771</v>
      </c>
      <c r="D125" s="2793">
        <v>1</v>
      </c>
      <c r="E125" s="2793" t="s">
        <v>102</v>
      </c>
      <c r="F125" s="2793"/>
      <c r="G125" s="2793" t="s">
        <v>771</v>
      </c>
      <c r="H125" s="2793" t="s">
        <v>771</v>
      </c>
      <c r="I125" s="2793">
        <v>6411</v>
      </c>
      <c r="J125" s="2793" t="s">
        <v>84</v>
      </c>
      <c r="M125" s="2793" t="s">
        <v>717</v>
      </c>
      <c r="N125" s="2794"/>
      <c r="O125" s="2795">
        <v>6791</v>
      </c>
      <c r="S125" s="2798" t="s">
        <v>788</v>
      </c>
      <c r="T125" s="2798" t="s">
        <v>789</v>
      </c>
      <c r="U125" s="2798" t="s">
        <v>5117</v>
      </c>
      <c r="V125" s="2798">
        <v>1</v>
      </c>
      <c r="W125" s="2798">
        <v>1505</v>
      </c>
      <c r="X125" s="2798">
        <v>2</v>
      </c>
      <c r="Y125" s="2795" t="s">
        <v>295</v>
      </c>
      <c r="Z125" s="2795">
        <v>79.06</v>
      </c>
      <c r="AA125" s="2795" t="s">
        <v>827</v>
      </c>
      <c r="AB125" s="2795">
        <v>7509</v>
      </c>
    </row>
    <row r="126" spans="2:56">
      <c r="B126" s="2793">
        <v>6421</v>
      </c>
      <c r="C126" s="2793" t="s">
        <v>775</v>
      </c>
      <c r="D126" s="2793">
        <v>1</v>
      </c>
      <c r="E126" s="2793" t="s">
        <v>102</v>
      </c>
      <c r="F126" s="2793"/>
      <c r="G126" s="2793" t="s">
        <v>775</v>
      </c>
      <c r="H126" s="2793" t="s">
        <v>775</v>
      </c>
      <c r="I126" s="2793">
        <v>6421</v>
      </c>
      <c r="J126" s="2793" t="s">
        <v>84</v>
      </c>
      <c r="M126" s="2793" t="s">
        <v>840</v>
      </c>
      <c r="N126" s="2794" t="s">
        <v>708</v>
      </c>
      <c r="O126" s="2795">
        <v>6812</v>
      </c>
      <c r="S126" s="2798" t="s">
        <v>792</v>
      </c>
      <c r="T126" s="2798" t="s">
        <v>793</v>
      </c>
      <c r="U126" s="2798" t="s">
        <v>5117</v>
      </c>
      <c r="V126" s="2798">
        <v>1</v>
      </c>
      <c r="W126" s="2798">
        <v>1505</v>
      </c>
      <c r="X126" s="2798">
        <v>2</v>
      </c>
      <c r="Y126" s="2795" t="s">
        <v>295</v>
      </c>
      <c r="Z126" s="2795">
        <v>79.069999999999993</v>
      </c>
      <c r="AA126" s="2795" t="s">
        <v>832</v>
      </c>
      <c r="AB126" s="2795">
        <v>7510</v>
      </c>
    </row>
    <row r="127" spans="2:56">
      <c r="B127" s="2793">
        <v>6531</v>
      </c>
      <c r="C127" s="2793" t="s">
        <v>779</v>
      </c>
      <c r="D127" s="2793">
        <v>1</v>
      </c>
      <c r="E127" s="2793" t="s">
        <v>102</v>
      </c>
      <c r="F127" s="2793"/>
      <c r="G127" s="2793" t="s">
        <v>779</v>
      </c>
      <c r="H127" s="2793" t="s">
        <v>779</v>
      </c>
      <c r="I127" s="2793">
        <v>6531</v>
      </c>
      <c r="J127" s="2793" t="s">
        <v>84</v>
      </c>
      <c r="M127" s="2793" t="s">
        <v>846</v>
      </c>
      <c r="N127" s="2794" t="s">
        <v>132</v>
      </c>
      <c r="O127" s="2795">
        <v>6829.2110000000002</v>
      </c>
      <c r="S127" s="2798" t="s">
        <v>795</v>
      </c>
      <c r="T127" s="2798" t="s">
        <v>796</v>
      </c>
      <c r="U127" s="2798" t="s">
        <v>5117</v>
      </c>
      <c r="V127" s="2798">
        <v>1</v>
      </c>
      <c r="W127" s="2798">
        <v>1505</v>
      </c>
      <c r="X127" s="2798">
        <v>2</v>
      </c>
      <c r="Y127" s="2795" t="s">
        <v>295</v>
      </c>
      <c r="Z127" s="2795">
        <v>79.08</v>
      </c>
      <c r="AA127" s="2795" t="s">
        <v>838</v>
      </c>
      <c r="AB127" s="2795">
        <v>7511</v>
      </c>
    </row>
    <row r="128" spans="2:56">
      <c r="B128" s="2793">
        <v>6510</v>
      </c>
      <c r="C128" s="2793" t="s">
        <v>781</v>
      </c>
      <c r="D128" s="2793">
        <v>1</v>
      </c>
      <c r="E128" s="2793" t="s">
        <v>102</v>
      </c>
      <c r="F128" s="2793"/>
      <c r="G128" s="2793" t="s">
        <v>781</v>
      </c>
      <c r="H128" s="2793" t="s">
        <v>781</v>
      </c>
      <c r="I128" s="2793">
        <v>6510</v>
      </c>
      <c r="J128" s="2793" t="s">
        <v>84</v>
      </c>
      <c r="M128" s="2793" t="s">
        <v>852</v>
      </c>
      <c r="N128" s="2794" t="s">
        <v>132</v>
      </c>
      <c r="O128" s="2795">
        <v>6829.2120000000004</v>
      </c>
      <c r="S128" s="2798" t="s">
        <v>799</v>
      </c>
      <c r="T128" s="2798" t="s">
        <v>785</v>
      </c>
      <c r="U128" s="2798" t="s">
        <v>5117</v>
      </c>
      <c r="V128" s="2798">
        <v>1</v>
      </c>
      <c r="W128" s="2798">
        <v>1505</v>
      </c>
      <c r="X128" s="2798">
        <v>2</v>
      </c>
      <c r="Y128" s="2795" t="s">
        <v>295</v>
      </c>
      <c r="Z128" s="2795">
        <v>79.09</v>
      </c>
      <c r="AA128" s="2795" t="s">
        <v>843</v>
      </c>
      <c r="AB128" s="2795">
        <v>7512</v>
      </c>
    </row>
    <row r="129" spans="2:28">
      <c r="B129" s="2793">
        <v>6505</v>
      </c>
      <c r="C129" s="2793" t="s">
        <v>5704</v>
      </c>
      <c r="D129" s="2793">
        <v>1</v>
      </c>
      <c r="E129" s="2793" t="s">
        <v>102</v>
      </c>
      <c r="F129" s="2793"/>
      <c r="G129" s="2793" t="s">
        <v>5704</v>
      </c>
      <c r="H129" s="2793" t="s">
        <v>5704</v>
      </c>
      <c r="I129" s="2793">
        <v>6505</v>
      </c>
      <c r="J129" s="2793" t="s">
        <v>84</v>
      </c>
      <c r="M129" s="2793" t="s">
        <v>858</v>
      </c>
      <c r="N129" s="2794"/>
      <c r="O129" s="2795">
        <v>6829.2190000000001</v>
      </c>
      <c r="S129" s="2798" t="s">
        <v>784</v>
      </c>
      <c r="T129" s="2798" t="s">
        <v>5961</v>
      </c>
      <c r="U129" s="2798" t="s">
        <v>3097</v>
      </c>
      <c r="V129" s="2798">
        <v>1</v>
      </c>
      <c r="W129" s="2798">
        <v>1505</v>
      </c>
      <c r="X129" s="2798">
        <v>2</v>
      </c>
      <c r="Y129" s="2795" t="s">
        <v>295</v>
      </c>
      <c r="Z129" s="2795">
        <v>79.099999999999994</v>
      </c>
      <c r="AA129" s="2795" t="s">
        <v>850</v>
      </c>
      <c r="AB129" s="2795">
        <v>7515</v>
      </c>
    </row>
    <row r="130" spans="2:28">
      <c r="B130" s="2793">
        <v>6521</v>
      </c>
      <c r="C130" s="2793" t="s">
        <v>787</v>
      </c>
      <c r="D130" s="2793">
        <v>1</v>
      </c>
      <c r="E130" s="2793" t="s">
        <v>102</v>
      </c>
      <c r="F130" s="2793"/>
      <c r="G130" s="2793" t="s">
        <v>787</v>
      </c>
      <c r="H130" s="2793" t="s">
        <v>787</v>
      </c>
      <c r="I130" s="2793">
        <v>6521</v>
      </c>
      <c r="J130" s="2793" t="s">
        <v>84</v>
      </c>
      <c r="M130" s="2793" t="s">
        <v>864</v>
      </c>
      <c r="N130" s="2794" t="s">
        <v>119</v>
      </c>
      <c r="O130" s="2795" t="s">
        <v>865</v>
      </c>
      <c r="S130" s="2798" t="s">
        <v>804</v>
      </c>
      <c r="T130" s="2798" t="s">
        <v>805</v>
      </c>
      <c r="U130" s="2798" t="s">
        <v>47</v>
      </c>
      <c r="V130" s="2798">
        <v>1</v>
      </c>
      <c r="W130" s="2798">
        <v>1503</v>
      </c>
      <c r="X130" s="2798">
        <v>1</v>
      </c>
      <c r="Y130" s="2795" t="s">
        <v>295</v>
      </c>
      <c r="Z130" s="2795">
        <v>79.11</v>
      </c>
      <c r="AA130" s="2795" t="s">
        <v>855</v>
      </c>
      <c r="AB130" s="2795">
        <v>7516</v>
      </c>
    </row>
    <row r="131" spans="2:28">
      <c r="B131" s="2793">
        <v>6542</v>
      </c>
      <c r="C131" s="2793" t="s">
        <v>791</v>
      </c>
      <c r="D131" s="2793">
        <v>1</v>
      </c>
      <c r="E131" s="2793" t="s">
        <v>102</v>
      </c>
      <c r="F131" s="2793"/>
      <c r="G131" s="2793" t="s">
        <v>791</v>
      </c>
      <c r="H131" s="2793" t="s">
        <v>791</v>
      </c>
      <c r="I131" s="2793">
        <v>6542</v>
      </c>
      <c r="J131" s="2793" t="s">
        <v>84</v>
      </c>
      <c r="M131" s="2793" t="s">
        <v>868</v>
      </c>
      <c r="N131" s="2794" t="s">
        <v>119</v>
      </c>
      <c r="O131" s="2795" t="s">
        <v>869</v>
      </c>
      <c r="S131" s="2798" t="s">
        <v>830</v>
      </c>
      <c r="T131" s="2798" t="s">
        <v>831</v>
      </c>
      <c r="U131" s="2798" t="s">
        <v>3372</v>
      </c>
      <c r="V131" s="2798">
        <v>1</v>
      </c>
      <c r="W131" s="2798">
        <v>1503</v>
      </c>
      <c r="X131" s="2798">
        <v>2</v>
      </c>
      <c r="Y131" s="2795" t="s">
        <v>295</v>
      </c>
      <c r="Z131" s="2795">
        <v>79.12</v>
      </c>
      <c r="AA131" s="2795" t="s">
        <v>860</v>
      </c>
      <c r="AB131" s="2795">
        <v>7517</v>
      </c>
    </row>
    <row r="132" spans="2:28">
      <c r="B132" s="2793">
        <v>6600</v>
      </c>
      <c r="C132" s="2793" t="s">
        <v>676</v>
      </c>
      <c r="D132" s="2793">
        <v>1</v>
      </c>
      <c r="E132" s="2793"/>
      <c r="F132" s="2793" t="s">
        <v>5705</v>
      </c>
      <c r="G132" s="2793" t="s">
        <v>676</v>
      </c>
      <c r="H132" s="2793" t="s">
        <v>676</v>
      </c>
      <c r="I132" s="2793">
        <v>6600</v>
      </c>
      <c r="J132" s="2793" t="s">
        <v>84</v>
      </c>
      <c r="M132" s="2793" t="s">
        <v>874</v>
      </c>
      <c r="N132" s="2794" t="s">
        <v>132</v>
      </c>
      <c r="O132" s="2795">
        <v>6829.2309999999998</v>
      </c>
      <c r="S132" s="2798" t="s">
        <v>813</v>
      </c>
      <c r="T132" s="2798" t="s">
        <v>814</v>
      </c>
      <c r="U132" s="2798" t="s">
        <v>3376</v>
      </c>
      <c r="V132" s="2798">
        <v>1</v>
      </c>
      <c r="W132" s="2798">
        <v>1503</v>
      </c>
      <c r="X132" s="2798">
        <v>2</v>
      </c>
      <c r="Y132" s="2795" t="s">
        <v>295</v>
      </c>
      <c r="Z132" s="2795">
        <v>79.13</v>
      </c>
      <c r="AA132" s="2795" t="s">
        <v>866</v>
      </c>
      <c r="AB132" s="2795">
        <v>7518</v>
      </c>
    </row>
    <row r="133" spans="2:28">
      <c r="B133" s="2793">
        <v>6601</v>
      </c>
      <c r="C133" s="2793" t="s">
        <v>680</v>
      </c>
      <c r="D133" s="2793">
        <v>1</v>
      </c>
      <c r="E133" s="2793"/>
      <c r="F133" s="2793" t="s">
        <v>5706</v>
      </c>
      <c r="G133" s="2793" t="s">
        <v>680</v>
      </c>
      <c r="H133" s="2793" t="s">
        <v>680</v>
      </c>
      <c r="I133" s="2793">
        <v>6601</v>
      </c>
      <c r="J133" s="2793" t="s">
        <v>84</v>
      </c>
      <c r="M133" s="2793" t="s">
        <v>878</v>
      </c>
      <c r="N133" s="2794" t="s">
        <v>879</v>
      </c>
      <c r="O133" s="2795">
        <v>6829.232</v>
      </c>
      <c r="S133" s="2798" t="s">
        <v>817</v>
      </c>
      <c r="T133" s="2798" t="s">
        <v>818</v>
      </c>
      <c r="U133" s="2798" t="s">
        <v>3376</v>
      </c>
      <c r="V133" s="2798">
        <v>1</v>
      </c>
      <c r="W133" s="2798">
        <v>1503</v>
      </c>
      <c r="X133" s="2798">
        <v>2</v>
      </c>
      <c r="Y133" s="2795" t="s">
        <v>295</v>
      </c>
      <c r="Z133" s="2795">
        <v>79.14</v>
      </c>
      <c r="AA133" s="2795" t="s">
        <v>870</v>
      </c>
      <c r="AB133" s="2795">
        <v>7519</v>
      </c>
    </row>
    <row r="134" spans="2:28">
      <c r="B134" s="2793">
        <v>6602</v>
      </c>
      <c r="C134" s="2793" t="s">
        <v>685</v>
      </c>
      <c r="D134" s="2793">
        <v>1</v>
      </c>
      <c r="E134" s="2793"/>
      <c r="F134" s="2793" t="s">
        <v>5707</v>
      </c>
      <c r="G134" s="2793" t="s">
        <v>685</v>
      </c>
      <c r="H134" s="2793" t="s">
        <v>685</v>
      </c>
      <c r="I134" s="2793">
        <v>6602</v>
      </c>
      <c r="J134" s="2793" t="s">
        <v>84</v>
      </c>
      <c r="M134" s="2793" t="s">
        <v>884</v>
      </c>
      <c r="N134" s="2794" t="s">
        <v>879</v>
      </c>
      <c r="O134" s="2795">
        <v>6829.2330000000002</v>
      </c>
      <c r="S134" s="2798" t="s">
        <v>821</v>
      </c>
      <c r="T134" s="2798" t="s">
        <v>822</v>
      </c>
      <c r="U134" s="2798" t="s">
        <v>3372</v>
      </c>
      <c r="V134" s="2798">
        <v>1</v>
      </c>
      <c r="W134" s="2798">
        <v>1503</v>
      </c>
      <c r="X134" s="2798">
        <v>2</v>
      </c>
      <c r="Y134" s="2795" t="s">
        <v>295</v>
      </c>
      <c r="Z134" s="2795">
        <v>79.150000000000006</v>
      </c>
      <c r="AA134" s="2795" t="s">
        <v>875</v>
      </c>
      <c r="AB134" s="2795">
        <v>7523</v>
      </c>
    </row>
    <row r="135" spans="2:28">
      <c r="B135" s="2793">
        <v>6606</v>
      </c>
      <c r="C135" s="2793" t="s">
        <v>693</v>
      </c>
      <c r="D135" s="2793">
        <v>1</v>
      </c>
      <c r="E135" s="2793"/>
      <c r="F135" s="2793" t="s">
        <v>5708</v>
      </c>
      <c r="G135" s="2793" t="s">
        <v>693</v>
      </c>
      <c r="H135" s="2793" t="s">
        <v>693</v>
      </c>
      <c r="I135" s="2793">
        <v>6606</v>
      </c>
      <c r="J135" s="2793" t="s">
        <v>84</v>
      </c>
      <c r="M135" s="2793" t="s">
        <v>888</v>
      </c>
      <c r="N135" s="2794" t="s">
        <v>879</v>
      </c>
      <c r="O135" s="2795">
        <v>6829.2340000000004</v>
      </c>
      <c r="S135" s="2798" t="s">
        <v>841</v>
      </c>
      <c r="T135" s="2798" t="s">
        <v>842</v>
      </c>
      <c r="U135" s="2798" t="s">
        <v>3372</v>
      </c>
      <c r="V135" s="2798">
        <v>1</v>
      </c>
      <c r="W135" s="2798">
        <v>1503</v>
      </c>
      <c r="X135" s="2798">
        <v>2</v>
      </c>
      <c r="Y135" s="2795" t="s">
        <v>6621</v>
      </c>
      <c r="Z135" s="2795">
        <v>1000</v>
      </c>
      <c r="AA135" s="2795" t="s">
        <v>882</v>
      </c>
      <c r="AB135" s="2795">
        <v>9120</v>
      </c>
    </row>
    <row r="136" spans="2:28">
      <c r="B136" s="2793">
        <v>6603</v>
      </c>
      <c r="C136" s="2793" t="s">
        <v>689</v>
      </c>
      <c r="D136" s="2793">
        <v>1</v>
      </c>
      <c r="E136" s="2793"/>
      <c r="F136" s="2793" t="s">
        <v>5709</v>
      </c>
      <c r="G136" s="2793" t="s">
        <v>689</v>
      </c>
      <c r="H136" s="2793" t="s">
        <v>689</v>
      </c>
      <c r="I136" s="2793">
        <v>6603</v>
      </c>
      <c r="J136" s="2793" t="s">
        <v>84</v>
      </c>
      <c r="M136" s="2793" t="s">
        <v>893</v>
      </c>
      <c r="N136" s="2794" t="s">
        <v>132</v>
      </c>
      <c r="O136" s="2795">
        <v>6829.2349999999997</v>
      </c>
      <c r="S136" s="2798" t="s">
        <v>825</v>
      </c>
      <c r="T136" s="2798" t="s">
        <v>826</v>
      </c>
      <c r="U136" s="2798" t="s">
        <v>3396</v>
      </c>
      <c r="V136" s="2798">
        <v>1</v>
      </c>
      <c r="W136" s="2798">
        <v>1503</v>
      </c>
      <c r="X136" s="2798">
        <v>2</v>
      </c>
      <c r="Y136" s="2795" t="s">
        <v>295</v>
      </c>
      <c r="Z136" s="2795">
        <v>80</v>
      </c>
      <c r="AA136" s="2795" t="s">
        <v>887</v>
      </c>
      <c r="AB136" s="2795">
        <v>9314</v>
      </c>
    </row>
    <row r="137" spans="2:28">
      <c r="B137" s="2793" t="s">
        <v>803</v>
      </c>
      <c r="C137" s="2793" t="s">
        <v>802</v>
      </c>
      <c r="D137" s="2793">
        <v>1</v>
      </c>
      <c r="E137" s="2793"/>
      <c r="F137" s="2793"/>
      <c r="G137" s="2793" t="s">
        <v>2410</v>
      </c>
      <c r="H137" s="2793" t="s">
        <v>2410</v>
      </c>
      <c r="I137" s="2793" t="s">
        <v>803</v>
      </c>
      <c r="J137" s="2793" t="s">
        <v>84</v>
      </c>
      <c r="M137" s="2793" t="s">
        <v>897</v>
      </c>
      <c r="N137" s="2794" t="s">
        <v>132</v>
      </c>
      <c r="O137" s="2795">
        <v>6829.2359999999999</v>
      </c>
      <c r="S137" s="2798" t="s">
        <v>847</v>
      </c>
      <c r="T137" s="2798" t="s">
        <v>848</v>
      </c>
      <c r="U137" s="2798" t="s">
        <v>47</v>
      </c>
      <c r="V137" s="2798">
        <v>1</v>
      </c>
      <c r="W137" s="2798">
        <v>1508</v>
      </c>
      <c r="X137" s="2798">
        <v>1</v>
      </c>
      <c r="Y137" s="2795" t="s">
        <v>295</v>
      </c>
      <c r="Z137" s="2795">
        <v>800</v>
      </c>
      <c r="AA137" s="2795" t="s">
        <v>5114</v>
      </c>
      <c r="AB137" s="2795">
        <v>9325</v>
      </c>
    </row>
    <row r="138" spans="2:28">
      <c r="B138" s="2793" t="s">
        <v>810</v>
      </c>
      <c r="C138" s="2793" t="s">
        <v>809</v>
      </c>
      <c r="D138" s="2793">
        <v>-1</v>
      </c>
      <c r="E138" s="2793"/>
      <c r="F138" s="2793"/>
      <c r="G138" s="2793" t="s">
        <v>746</v>
      </c>
      <c r="H138" s="2793" t="s">
        <v>746</v>
      </c>
      <c r="I138" s="2793" t="s">
        <v>810</v>
      </c>
      <c r="J138" s="2793" t="s">
        <v>84</v>
      </c>
      <c r="M138" s="2793" t="s">
        <v>901</v>
      </c>
      <c r="N138" s="2794" t="s">
        <v>132</v>
      </c>
      <c r="O138" s="2795">
        <v>6829.2370000000001</v>
      </c>
      <c r="S138" s="2798" t="s">
        <v>853</v>
      </c>
      <c r="T138" s="2798" t="s">
        <v>854</v>
      </c>
      <c r="U138" s="2798" t="s">
        <v>47</v>
      </c>
      <c r="V138" s="2798">
        <v>1</v>
      </c>
      <c r="W138" s="2798">
        <v>1508</v>
      </c>
      <c r="X138" s="2798">
        <v>2</v>
      </c>
      <c r="Y138" s="2795" t="s">
        <v>295</v>
      </c>
      <c r="Z138" s="2795">
        <v>900</v>
      </c>
      <c r="AA138" s="2795" t="s">
        <v>5115</v>
      </c>
      <c r="AB138" s="2795">
        <v>9331</v>
      </c>
    </row>
    <row r="139" spans="2:28">
      <c r="B139" s="2793">
        <v>6181</v>
      </c>
      <c r="C139" s="2793" t="s">
        <v>665</v>
      </c>
      <c r="D139" s="2793">
        <v>-1</v>
      </c>
      <c r="E139" s="2793"/>
      <c r="F139" s="2793" t="s">
        <v>5710</v>
      </c>
      <c r="G139" s="2793" t="s">
        <v>2396</v>
      </c>
      <c r="H139" s="2793" t="s">
        <v>2396</v>
      </c>
      <c r="I139" s="2793">
        <v>6181</v>
      </c>
      <c r="J139" s="2793" t="s">
        <v>84</v>
      </c>
      <c r="M139" s="2793" t="s">
        <v>909</v>
      </c>
      <c r="N139" s="2794"/>
      <c r="O139" s="2795">
        <v>6829.2389999999996</v>
      </c>
      <c r="S139" s="2798" t="s">
        <v>859</v>
      </c>
      <c r="T139" s="2798" t="s">
        <v>6438</v>
      </c>
      <c r="U139" s="2798" t="s">
        <v>6430</v>
      </c>
      <c r="V139" s="2798">
        <v>1</v>
      </c>
      <c r="W139" s="2798">
        <v>1508</v>
      </c>
      <c r="X139" s="2798">
        <v>2</v>
      </c>
      <c r="Y139" s="2795" t="s">
        <v>295</v>
      </c>
      <c r="Z139" s="2795">
        <v>1016</v>
      </c>
      <c r="AA139" s="2795" t="s">
        <v>899</v>
      </c>
      <c r="AB139" s="2795">
        <v>9367</v>
      </c>
    </row>
    <row r="140" spans="2:28">
      <c r="B140" s="2793">
        <v>6111</v>
      </c>
      <c r="C140" s="2793" t="s">
        <v>656</v>
      </c>
      <c r="D140" s="2793">
        <v>-1</v>
      </c>
      <c r="E140" s="2793"/>
      <c r="F140" s="2793" t="s">
        <v>5711</v>
      </c>
      <c r="G140" s="2793" t="s">
        <v>820</v>
      </c>
      <c r="H140" s="2793" t="s">
        <v>820</v>
      </c>
      <c r="I140" s="2793">
        <v>6111</v>
      </c>
      <c r="J140" s="2793" t="s">
        <v>84</v>
      </c>
      <c r="M140" s="2793" t="s">
        <v>915</v>
      </c>
      <c r="N140" s="2794" t="s">
        <v>119</v>
      </c>
      <c r="O140" s="2795" t="s">
        <v>916</v>
      </c>
      <c r="S140" s="2798" t="s">
        <v>885</v>
      </c>
      <c r="T140" s="2798" t="s">
        <v>886</v>
      </c>
      <c r="U140" s="2798" t="s">
        <v>5117</v>
      </c>
      <c r="V140" s="2798">
        <v>1</v>
      </c>
      <c r="W140" s="2798">
        <v>1508</v>
      </c>
      <c r="X140" s="2798">
        <v>2</v>
      </c>
      <c r="Y140" s="2795" t="s">
        <v>295</v>
      </c>
      <c r="Z140" s="2795">
        <v>84</v>
      </c>
      <c r="AA140" s="2795" t="s">
        <v>905</v>
      </c>
      <c r="AB140" s="2795">
        <v>9371</v>
      </c>
    </row>
    <row r="141" spans="2:28">
      <c r="B141" s="2793">
        <v>6111.01</v>
      </c>
      <c r="C141" s="2793" t="s">
        <v>772</v>
      </c>
      <c r="D141" s="2793">
        <v>-1</v>
      </c>
      <c r="E141" s="2793"/>
      <c r="F141" s="2793"/>
      <c r="G141" s="2793" t="s">
        <v>824</v>
      </c>
      <c r="H141" s="2793" t="s">
        <v>5712</v>
      </c>
      <c r="I141" s="2793">
        <v>6111.01</v>
      </c>
      <c r="J141" s="2793" t="s">
        <v>84</v>
      </c>
      <c r="M141" s="2793" t="s">
        <v>921</v>
      </c>
      <c r="N141" s="2794" t="s">
        <v>119</v>
      </c>
      <c r="O141" s="2795" t="s">
        <v>922</v>
      </c>
      <c r="S141" s="2798" t="s">
        <v>889</v>
      </c>
      <c r="T141" s="2798" t="s">
        <v>890</v>
      </c>
      <c r="U141" s="2798" t="s">
        <v>5117</v>
      </c>
      <c r="V141" s="2798">
        <v>1</v>
      </c>
      <c r="W141" s="2798">
        <v>1508</v>
      </c>
      <c r="X141" s="2798">
        <v>2</v>
      </c>
      <c r="Y141" s="2795" t="s">
        <v>295</v>
      </c>
      <c r="Z141" s="2795">
        <v>1601</v>
      </c>
      <c r="AA141" s="2795" t="s">
        <v>912</v>
      </c>
      <c r="AB141" s="2795">
        <v>9601</v>
      </c>
    </row>
    <row r="142" spans="2:28">
      <c r="B142" s="2793" t="s">
        <v>777</v>
      </c>
      <c r="C142" s="2793" t="s">
        <v>776</v>
      </c>
      <c r="D142" s="2793">
        <v>-1</v>
      </c>
      <c r="E142" s="2793" t="s">
        <v>119</v>
      </c>
      <c r="F142" s="2793"/>
      <c r="G142" s="2793" t="s">
        <v>2411</v>
      </c>
      <c r="H142" s="2793" t="s">
        <v>4304</v>
      </c>
      <c r="I142" s="2793" t="s">
        <v>777</v>
      </c>
      <c r="J142" s="2793" t="s">
        <v>84</v>
      </c>
      <c r="M142" s="2793" t="s">
        <v>926</v>
      </c>
      <c r="N142" s="2794" t="s">
        <v>119</v>
      </c>
      <c r="O142" s="2795" t="s">
        <v>927</v>
      </c>
      <c r="S142" s="2798" t="s">
        <v>894</v>
      </c>
      <c r="T142" s="2798" t="s">
        <v>895</v>
      </c>
      <c r="U142" s="2798" t="s">
        <v>5117</v>
      </c>
      <c r="V142" s="2798">
        <v>1</v>
      </c>
      <c r="W142" s="2798">
        <v>1508</v>
      </c>
      <c r="X142" s="2798">
        <v>2</v>
      </c>
      <c r="Y142" s="2795" t="s">
        <v>295</v>
      </c>
      <c r="Z142" s="2795">
        <v>9000</v>
      </c>
      <c r="AA142" s="2795" t="s">
        <v>918</v>
      </c>
      <c r="AB142" s="2795">
        <v>9690</v>
      </c>
    </row>
    <row r="143" spans="2:28">
      <c r="B143" s="2793">
        <v>6161</v>
      </c>
      <c r="C143" s="2793" t="s">
        <v>828</v>
      </c>
      <c r="D143" s="2793">
        <v>-1</v>
      </c>
      <c r="E143" s="2793" t="s">
        <v>102</v>
      </c>
      <c r="F143" s="2793"/>
      <c r="G143" s="2793" t="s">
        <v>829</v>
      </c>
      <c r="H143" s="2793" t="s">
        <v>829</v>
      </c>
      <c r="I143" s="2793">
        <v>6161</v>
      </c>
      <c r="J143" s="2793" t="s">
        <v>84</v>
      </c>
      <c r="M143" s="2793" t="s">
        <v>929</v>
      </c>
      <c r="N143" s="2794" t="s">
        <v>119</v>
      </c>
      <c r="O143" s="2795" t="s">
        <v>930</v>
      </c>
      <c r="S143" s="2798" t="s">
        <v>898</v>
      </c>
      <c r="T143" s="2798" t="s">
        <v>881</v>
      </c>
      <c r="U143" s="2798" t="s">
        <v>5117</v>
      </c>
      <c r="V143" s="2798">
        <v>1</v>
      </c>
      <c r="W143" s="2798">
        <v>1508</v>
      </c>
      <c r="X143" s="2798">
        <v>2</v>
      </c>
      <c r="Y143" s="2795" t="s">
        <v>295</v>
      </c>
    </row>
    <row r="144" spans="2:28">
      <c r="B144" s="2793">
        <v>6102</v>
      </c>
      <c r="C144" s="2793" t="s">
        <v>649</v>
      </c>
      <c r="D144" s="2793">
        <v>-1</v>
      </c>
      <c r="E144" s="2793" t="s">
        <v>119</v>
      </c>
      <c r="F144" s="2793" t="s">
        <v>4306</v>
      </c>
      <c r="G144" s="2793" t="s">
        <v>2412</v>
      </c>
      <c r="H144" s="2793" t="s">
        <v>2412</v>
      </c>
      <c r="I144" s="2793">
        <v>6102</v>
      </c>
      <c r="J144" s="2793" t="s">
        <v>84</v>
      </c>
      <c r="M144" s="2793" t="s">
        <v>933</v>
      </c>
      <c r="N144" s="2794" t="s">
        <v>708</v>
      </c>
      <c r="O144" s="2795">
        <v>6829.5110000000004</v>
      </c>
      <c r="S144" s="2798" t="s">
        <v>880</v>
      </c>
      <c r="T144" s="2798" t="s">
        <v>5960</v>
      </c>
      <c r="U144" s="2798" t="s">
        <v>3097</v>
      </c>
      <c r="V144" s="2798">
        <v>1</v>
      </c>
      <c r="W144" s="2798">
        <v>1508</v>
      </c>
      <c r="X144" s="2798">
        <v>2</v>
      </c>
      <c r="Y144" s="2795" t="s">
        <v>295</v>
      </c>
    </row>
    <row r="145" spans="2:25">
      <c r="B145" s="2793">
        <v>6101</v>
      </c>
      <c r="C145" s="2793" t="s">
        <v>643</v>
      </c>
      <c r="D145" s="2793">
        <v>-1</v>
      </c>
      <c r="E145" s="2793"/>
      <c r="F145" s="2793" t="s">
        <v>5713</v>
      </c>
      <c r="G145" s="2793" t="s">
        <v>816</v>
      </c>
      <c r="H145" s="2793" t="s">
        <v>816</v>
      </c>
      <c r="I145" s="2793">
        <v>6101</v>
      </c>
      <c r="J145" s="2793" t="s">
        <v>84</v>
      </c>
      <c r="M145" s="2793" t="s">
        <v>937</v>
      </c>
      <c r="N145" s="2794" t="s">
        <v>708</v>
      </c>
      <c r="O145" s="2795">
        <v>6829.5119999999997</v>
      </c>
      <c r="S145" s="2798" t="s">
        <v>902</v>
      </c>
      <c r="T145" s="2798" t="s">
        <v>903</v>
      </c>
      <c r="U145" s="2798" t="s">
        <v>47</v>
      </c>
      <c r="V145" s="2798">
        <v>1</v>
      </c>
      <c r="W145" s="2798">
        <v>1501</v>
      </c>
      <c r="X145" s="2798">
        <v>1</v>
      </c>
      <c r="Y145" s="2795" t="s">
        <v>295</v>
      </c>
    </row>
    <row r="146" spans="2:25">
      <c r="B146" s="2793">
        <v>6672</v>
      </c>
      <c r="C146" s="2793" t="s">
        <v>701</v>
      </c>
      <c r="D146" s="2793">
        <v>-1</v>
      </c>
      <c r="E146" s="2793" t="s">
        <v>119</v>
      </c>
      <c r="F146" s="2793" t="s">
        <v>4315</v>
      </c>
      <c r="G146" s="2793" t="s">
        <v>2413</v>
      </c>
      <c r="H146" s="2793" t="s">
        <v>2413</v>
      </c>
      <c r="I146" s="2793">
        <v>6672</v>
      </c>
      <c r="J146" s="2793" t="s">
        <v>84</v>
      </c>
      <c r="M146" s="2793" t="s">
        <v>938</v>
      </c>
      <c r="N146" s="2794" t="s">
        <v>708</v>
      </c>
      <c r="O146" s="2795">
        <v>6829.5190000000002</v>
      </c>
      <c r="S146" s="2798" t="s">
        <v>910</v>
      </c>
      <c r="T146" s="2798" t="s">
        <v>911</v>
      </c>
      <c r="U146" s="2798" t="s">
        <v>3435</v>
      </c>
      <c r="V146" s="2798">
        <v>1</v>
      </c>
      <c r="W146" s="2798">
        <v>1501</v>
      </c>
      <c r="X146" s="2798">
        <v>2</v>
      </c>
      <c r="Y146" s="2795" t="s">
        <v>295</v>
      </c>
    </row>
    <row r="147" spans="2:25">
      <c r="B147" s="2793">
        <v>6671</v>
      </c>
      <c r="C147" s="2793" t="s">
        <v>697</v>
      </c>
      <c r="D147" s="2793">
        <v>-1</v>
      </c>
      <c r="E147" s="2793"/>
      <c r="F147" s="2793" t="s">
        <v>5714</v>
      </c>
      <c r="G147" s="2793" t="s">
        <v>812</v>
      </c>
      <c r="H147" s="2793" t="s">
        <v>812</v>
      </c>
      <c r="I147" s="2793">
        <v>6671</v>
      </c>
      <c r="J147" s="2793" t="s">
        <v>84</v>
      </c>
      <c r="M147" s="2793" t="s">
        <v>940</v>
      </c>
      <c r="N147" s="2794" t="s">
        <v>941</v>
      </c>
      <c r="O147" s="2795" t="s">
        <v>942</v>
      </c>
      <c r="S147" s="2798" t="s">
        <v>917</v>
      </c>
      <c r="T147" s="2798" t="s">
        <v>6439</v>
      </c>
      <c r="U147" s="2798" t="s">
        <v>47</v>
      </c>
      <c r="V147" s="2798">
        <v>1</v>
      </c>
      <c r="W147" s="2798">
        <v>1501</v>
      </c>
      <c r="X147" s="2798">
        <v>2</v>
      </c>
      <c r="Y147" s="2795" t="s">
        <v>295</v>
      </c>
    </row>
    <row r="148" spans="2:25">
      <c r="B148" s="2793">
        <v>6171</v>
      </c>
      <c r="C148" s="2793" t="s">
        <v>660</v>
      </c>
      <c r="D148" s="2793">
        <v>-1</v>
      </c>
      <c r="E148" s="2793"/>
      <c r="F148" s="2793" t="s">
        <v>5715</v>
      </c>
      <c r="G148" s="2793" t="s">
        <v>2405</v>
      </c>
      <c r="H148" s="2793" t="s">
        <v>2405</v>
      </c>
      <c r="I148" s="2793">
        <v>6171</v>
      </c>
      <c r="J148" s="2793" t="s">
        <v>84</v>
      </c>
      <c r="M148" s="2793" t="s">
        <v>943</v>
      </c>
      <c r="N148" s="2794" t="s">
        <v>941</v>
      </c>
      <c r="O148" s="2795" t="s">
        <v>944</v>
      </c>
      <c r="S148" s="2798" t="s">
        <v>5587</v>
      </c>
      <c r="T148" s="2798" t="s">
        <v>5588</v>
      </c>
      <c r="U148" s="2798" t="s">
        <v>47</v>
      </c>
      <c r="V148" s="2798">
        <v>1</v>
      </c>
      <c r="W148" s="2798">
        <v>1501</v>
      </c>
      <c r="X148" s="2798">
        <v>2</v>
      </c>
      <c r="Y148" s="2795" t="s">
        <v>295</v>
      </c>
    </row>
    <row r="149" spans="2:25">
      <c r="B149" s="2793">
        <v>6689</v>
      </c>
      <c r="C149" s="2793" t="s">
        <v>833</v>
      </c>
      <c r="D149" s="2793"/>
      <c r="E149" s="2793" t="s">
        <v>287</v>
      </c>
      <c r="F149" s="2793"/>
      <c r="G149" s="2793" t="s">
        <v>834</v>
      </c>
      <c r="H149" s="2793" t="s">
        <v>835</v>
      </c>
      <c r="I149" s="2793">
        <v>6689</v>
      </c>
      <c r="J149" s="2793"/>
      <c r="M149" s="2793" t="s">
        <v>945</v>
      </c>
      <c r="N149" s="2794" t="s">
        <v>708</v>
      </c>
      <c r="O149" s="2795">
        <v>6829.5309999999999</v>
      </c>
      <c r="S149" s="2798" t="s">
        <v>923</v>
      </c>
      <c r="T149" s="2798" t="s">
        <v>924</v>
      </c>
      <c r="U149" s="2798" t="s">
        <v>47</v>
      </c>
      <c r="V149" s="2798">
        <v>1</v>
      </c>
      <c r="W149" s="2798">
        <v>1531</v>
      </c>
      <c r="X149" s="2798">
        <v>1</v>
      </c>
      <c r="Y149" s="2795" t="s">
        <v>295</v>
      </c>
    </row>
    <row r="150" spans="2:25">
      <c r="B150" s="2793">
        <v>6710</v>
      </c>
      <c r="C150" s="2793" t="s">
        <v>705</v>
      </c>
      <c r="D150" s="2793">
        <v>-1</v>
      </c>
      <c r="E150" s="2793"/>
      <c r="F150" s="2793" t="s">
        <v>5716</v>
      </c>
      <c r="G150" s="2793" t="s">
        <v>839</v>
      </c>
      <c r="H150" s="2793" t="s">
        <v>839</v>
      </c>
      <c r="I150" s="2793">
        <v>6710</v>
      </c>
      <c r="J150" s="2793" t="s">
        <v>84</v>
      </c>
      <c r="M150" s="2793" t="s">
        <v>947</v>
      </c>
      <c r="N150" s="2794" t="s">
        <v>948</v>
      </c>
      <c r="O150" s="2795">
        <v>6829.5320000000002</v>
      </c>
      <c r="S150" s="2798" t="s">
        <v>5919</v>
      </c>
      <c r="T150" s="2798" t="s">
        <v>6440</v>
      </c>
      <c r="U150" s="2798" t="s">
        <v>6430</v>
      </c>
      <c r="V150" s="2798">
        <v>1</v>
      </c>
      <c r="W150" s="2798">
        <v>1531</v>
      </c>
      <c r="X150" s="2798">
        <v>2</v>
      </c>
      <c r="Y150" s="2795" t="s">
        <v>295</v>
      </c>
    </row>
    <row r="151" spans="2:25">
      <c r="B151" s="2793">
        <v>6711</v>
      </c>
      <c r="C151" s="2793" t="s">
        <v>711</v>
      </c>
      <c r="D151" s="2793">
        <v>1</v>
      </c>
      <c r="E151" s="2793"/>
      <c r="F151" s="2793" t="s">
        <v>5717</v>
      </c>
      <c r="G151" s="2793" t="s">
        <v>851</v>
      </c>
      <c r="H151" s="2793" t="s">
        <v>851</v>
      </c>
      <c r="I151" s="2793">
        <v>6711</v>
      </c>
      <c r="J151" s="2793" t="s">
        <v>84</v>
      </c>
      <c r="M151" s="2793" t="s">
        <v>950</v>
      </c>
      <c r="N151" s="2794" t="s">
        <v>948</v>
      </c>
      <c r="O151" s="2795">
        <v>6829.5330000000004</v>
      </c>
      <c r="S151" s="2798" t="s">
        <v>928</v>
      </c>
      <c r="T151" s="2798" t="s">
        <v>5953</v>
      </c>
      <c r="U151" s="2798" t="s">
        <v>5117</v>
      </c>
      <c r="V151" s="2798">
        <v>1</v>
      </c>
      <c r="W151" s="2798">
        <v>1531</v>
      </c>
      <c r="X151" s="2798">
        <v>2</v>
      </c>
      <c r="Y151" s="2795" t="s">
        <v>295</v>
      </c>
    </row>
    <row r="152" spans="2:25">
      <c r="B152" s="2793">
        <v>6788</v>
      </c>
      <c r="C152" s="2793" t="s">
        <v>861</v>
      </c>
      <c r="D152" s="2793"/>
      <c r="E152" s="2793" t="s">
        <v>287</v>
      </c>
      <c r="F152" s="2793"/>
      <c r="G152" s="2793" t="s">
        <v>862</v>
      </c>
      <c r="H152" s="2793" t="s">
        <v>863</v>
      </c>
      <c r="I152" s="2793">
        <v>6788</v>
      </c>
      <c r="J152" s="2793"/>
      <c r="M152" s="2793" t="s">
        <v>953</v>
      </c>
      <c r="N152" s="2794" t="s">
        <v>948</v>
      </c>
      <c r="O152" s="2795">
        <v>6829.5339999999997</v>
      </c>
      <c r="S152" s="2798" t="s">
        <v>931</v>
      </c>
      <c r="T152" s="2798" t="s">
        <v>5954</v>
      </c>
      <c r="U152" s="2798" t="s">
        <v>5117</v>
      </c>
      <c r="V152" s="2798">
        <v>1</v>
      </c>
      <c r="W152" s="2798">
        <v>1531</v>
      </c>
      <c r="X152" s="2798">
        <v>2</v>
      </c>
      <c r="Y152" s="2795" t="s">
        <v>295</v>
      </c>
    </row>
    <row r="153" spans="2:25">
      <c r="B153" s="2793">
        <v>6791</v>
      </c>
      <c r="C153" s="2793" t="s">
        <v>717</v>
      </c>
      <c r="D153" s="2793">
        <v>1</v>
      </c>
      <c r="E153" s="2793"/>
      <c r="F153" s="2793" t="s">
        <v>5718</v>
      </c>
      <c r="G153" s="2793" t="s">
        <v>867</v>
      </c>
      <c r="H153" s="2793" t="s">
        <v>867</v>
      </c>
      <c r="I153" s="2793">
        <v>6791</v>
      </c>
      <c r="J153" s="2793" t="s">
        <v>84</v>
      </c>
      <c r="M153" s="2793" t="s">
        <v>955</v>
      </c>
      <c r="N153" s="2794" t="s">
        <v>708</v>
      </c>
      <c r="O153" s="2795">
        <v>6829.5349999999999</v>
      </c>
      <c r="S153" s="2798" t="s">
        <v>934</v>
      </c>
      <c r="T153" s="2798" t="s">
        <v>5955</v>
      </c>
      <c r="U153" s="2798" t="s">
        <v>5117</v>
      </c>
      <c r="V153" s="2798">
        <v>1</v>
      </c>
      <c r="W153" s="2798">
        <v>1531</v>
      </c>
      <c r="X153" s="2798">
        <v>2</v>
      </c>
      <c r="Y153" s="2795" t="s">
        <v>295</v>
      </c>
    </row>
    <row r="154" spans="2:25">
      <c r="B154" s="2793">
        <v>6799</v>
      </c>
      <c r="C154" s="2793" t="s">
        <v>871</v>
      </c>
      <c r="D154" s="2793"/>
      <c r="E154" s="2793" t="s">
        <v>287</v>
      </c>
      <c r="F154" s="2793"/>
      <c r="G154" s="2793" t="s">
        <v>872</v>
      </c>
      <c r="H154" s="2793" t="s">
        <v>873</v>
      </c>
      <c r="I154" s="2793">
        <v>6799</v>
      </c>
      <c r="J154" s="2793"/>
      <c r="M154" s="2793" t="s">
        <v>958</v>
      </c>
      <c r="N154" s="2794" t="s">
        <v>708</v>
      </c>
      <c r="O154" s="2795">
        <v>6829.5360000000001</v>
      </c>
      <c r="S154" s="2798" t="s">
        <v>946</v>
      </c>
      <c r="T154" s="2798" t="s">
        <v>6441</v>
      </c>
      <c r="U154" s="2798" t="s">
        <v>5117</v>
      </c>
      <c r="V154" s="2798">
        <v>1</v>
      </c>
      <c r="W154" s="2798">
        <v>1531</v>
      </c>
      <c r="X154" s="2798">
        <v>2</v>
      </c>
      <c r="Y154" s="2795" t="s">
        <v>295</v>
      </c>
    </row>
    <row r="155" spans="2:25">
      <c r="B155" s="2793">
        <v>6835</v>
      </c>
      <c r="C155" s="2793" t="s">
        <v>2408</v>
      </c>
      <c r="D155" s="2793"/>
      <c r="E155" s="2793" t="s">
        <v>708</v>
      </c>
      <c r="F155" s="2793"/>
      <c r="G155" s="2793" t="s">
        <v>2409</v>
      </c>
      <c r="H155" s="2793" t="s">
        <v>5719</v>
      </c>
      <c r="I155" s="2793">
        <v>6835</v>
      </c>
      <c r="J155" s="2793"/>
      <c r="M155" s="2793" t="s">
        <v>964</v>
      </c>
      <c r="N155" s="2794" t="s">
        <v>708</v>
      </c>
      <c r="O155" s="2795">
        <v>6829.5370000000003</v>
      </c>
      <c r="S155" s="2798" t="s">
        <v>949</v>
      </c>
      <c r="T155" s="2798" t="s">
        <v>5956</v>
      </c>
      <c r="U155" s="2798" t="s">
        <v>6442</v>
      </c>
      <c r="V155" s="2798">
        <v>1</v>
      </c>
      <c r="W155" s="2798">
        <v>1531</v>
      </c>
      <c r="X155" s="2798">
        <v>2</v>
      </c>
      <c r="Y155" s="2795" t="s">
        <v>295</v>
      </c>
    </row>
    <row r="156" spans="2:25">
      <c r="B156" s="2793">
        <v>6816</v>
      </c>
      <c r="C156" s="2793" t="s">
        <v>2401</v>
      </c>
      <c r="D156" s="2793">
        <v>1</v>
      </c>
      <c r="E156" s="2793"/>
      <c r="F156" s="2793"/>
      <c r="G156" s="2793" t="s">
        <v>2402</v>
      </c>
      <c r="H156" s="2793" t="s">
        <v>5720</v>
      </c>
      <c r="I156" s="2793">
        <v>6816</v>
      </c>
      <c r="J156" s="2793"/>
      <c r="M156" s="2793" t="s">
        <v>968</v>
      </c>
      <c r="N156" s="2794" t="s">
        <v>708</v>
      </c>
      <c r="O156" s="2795">
        <v>6829.5389999999998</v>
      </c>
      <c r="S156" s="2798" t="s">
        <v>939</v>
      </c>
      <c r="T156" s="2798" t="s">
        <v>5957</v>
      </c>
      <c r="U156" s="2798" t="s">
        <v>6420</v>
      </c>
      <c r="V156" s="2798">
        <v>1</v>
      </c>
      <c r="W156" s="2798">
        <v>1531</v>
      </c>
      <c r="X156" s="2798">
        <v>2</v>
      </c>
      <c r="Y156" s="2795" t="s">
        <v>295</v>
      </c>
    </row>
    <row r="157" spans="2:25">
      <c r="B157" s="2793">
        <v>6817</v>
      </c>
      <c r="C157" s="2793" t="s">
        <v>2403</v>
      </c>
      <c r="D157" s="2793">
        <v>1</v>
      </c>
      <c r="E157" s="2793"/>
      <c r="F157" s="2793"/>
      <c r="G157" s="2793" t="s">
        <v>2404</v>
      </c>
      <c r="H157" s="2793" t="s">
        <v>5721</v>
      </c>
      <c r="I157" s="2793">
        <v>6817</v>
      </c>
      <c r="J157" s="2793"/>
      <c r="M157" s="2793" t="s">
        <v>971</v>
      </c>
      <c r="N157" s="2794" t="s">
        <v>941</v>
      </c>
      <c r="O157" s="2795" t="s">
        <v>972</v>
      </c>
      <c r="S157" s="2798" t="s">
        <v>954</v>
      </c>
      <c r="T157" s="2798" t="s">
        <v>5958</v>
      </c>
      <c r="U157" s="2798" t="s">
        <v>5117</v>
      </c>
      <c r="V157" s="2798">
        <v>1</v>
      </c>
      <c r="W157" s="2798">
        <v>1531</v>
      </c>
      <c r="X157" s="2798">
        <v>2</v>
      </c>
      <c r="Y157" s="2795" t="s">
        <v>295</v>
      </c>
    </row>
    <row r="158" spans="2:25">
      <c r="B158" s="2793">
        <v>6830</v>
      </c>
      <c r="C158" s="2793" t="s">
        <v>2406</v>
      </c>
      <c r="D158" s="2793"/>
      <c r="E158" s="2793" t="s">
        <v>708</v>
      </c>
      <c r="F158" s="2793"/>
      <c r="G158" s="2793" t="s">
        <v>2407</v>
      </c>
      <c r="H158" s="2793" t="s">
        <v>5722</v>
      </c>
      <c r="I158" s="2793">
        <v>6830</v>
      </c>
      <c r="J158" s="2793"/>
      <c r="M158" s="2793" t="s">
        <v>975</v>
      </c>
      <c r="N158" s="2794" t="s">
        <v>941</v>
      </c>
      <c r="O158" s="2795" t="s">
        <v>976</v>
      </c>
      <c r="S158" s="2798" t="s">
        <v>951</v>
      </c>
      <c r="T158" s="2798" t="s">
        <v>5959</v>
      </c>
      <c r="U158" s="2798" t="s">
        <v>2862</v>
      </c>
      <c r="V158" s="2798">
        <v>1</v>
      </c>
      <c r="W158" s="2798">
        <v>1531</v>
      </c>
      <c r="X158" s="2798">
        <v>2</v>
      </c>
      <c r="Y158" s="2795" t="s">
        <v>295</v>
      </c>
    </row>
    <row r="159" spans="2:25">
      <c r="B159" s="2793">
        <v>6811</v>
      </c>
      <c r="C159" s="2793" t="s">
        <v>883</v>
      </c>
      <c r="D159" s="2793">
        <v>-1</v>
      </c>
      <c r="E159" s="2793" t="s">
        <v>708</v>
      </c>
      <c r="F159" s="2793"/>
      <c r="G159" s="2793" t="s">
        <v>5879</v>
      </c>
      <c r="H159" s="2793" t="s">
        <v>5723</v>
      </c>
      <c r="I159" s="2793">
        <v>6811</v>
      </c>
      <c r="J159" s="2793"/>
      <c r="M159" s="2793" t="s">
        <v>980</v>
      </c>
      <c r="N159" s="2794" t="s">
        <v>941</v>
      </c>
      <c r="O159" s="2795" t="s">
        <v>981</v>
      </c>
      <c r="S159" s="2798" t="s">
        <v>973</v>
      </c>
      <c r="T159" s="2798" t="s">
        <v>956</v>
      </c>
      <c r="U159" s="2798" t="s">
        <v>47</v>
      </c>
      <c r="V159" s="2798">
        <v>1</v>
      </c>
      <c r="W159" s="2798">
        <v>1531</v>
      </c>
      <c r="X159" s="2798">
        <v>2</v>
      </c>
      <c r="Y159" s="2795" t="s">
        <v>295</v>
      </c>
    </row>
    <row r="160" spans="2:25">
      <c r="B160" s="2793">
        <v>6812</v>
      </c>
      <c r="C160" s="2793" t="s">
        <v>840</v>
      </c>
      <c r="D160" s="2793">
        <v>1</v>
      </c>
      <c r="E160" s="2793" t="s">
        <v>708</v>
      </c>
      <c r="F160" s="2793"/>
      <c r="G160" s="2793" t="s">
        <v>840</v>
      </c>
      <c r="H160" s="2793" t="s">
        <v>5724</v>
      </c>
      <c r="I160" s="2793">
        <v>6812</v>
      </c>
      <c r="J160" s="2793" t="s">
        <v>84</v>
      </c>
      <c r="M160" s="2793" t="s">
        <v>986</v>
      </c>
      <c r="N160" s="2794" t="s">
        <v>941</v>
      </c>
      <c r="O160" s="2795" t="s">
        <v>987</v>
      </c>
      <c r="S160" s="2798" t="s">
        <v>959</v>
      </c>
      <c r="T160" s="2798" t="s">
        <v>960</v>
      </c>
      <c r="U160" s="2798" t="s">
        <v>47</v>
      </c>
      <c r="V160" s="2798">
        <v>1</v>
      </c>
      <c r="W160" s="2798">
        <v>1531</v>
      </c>
      <c r="X160" s="2798">
        <v>2</v>
      </c>
      <c r="Y160" s="2795" t="s">
        <v>295</v>
      </c>
    </row>
    <row r="161" spans="2:25">
      <c r="B161" s="2793">
        <v>6829</v>
      </c>
      <c r="C161" s="2793" t="s">
        <v>906</v>
      </c>
      <c r="D161" s="2793"/>
      <c r="E161" s="2793" t="s">
        <v>287</v>
      </c>
      <c r="F161" s="2793"/>
      <c r="G161" s="2793" t="s">
        <v>907</v>
      </c>
      <c r="H161" s="2793" t="s">
        <v>908</v>
      </c>
      <c r="I161" s="2793">
        <v>6829</v>
      </c>
      <c r="J161" s="2793"/>
      <c r="M161" s="2793" t="s">
        <v>992</v>
      </c>
      <c r="N161" s="2794"/>
      <c r="O161" s="2795">
        <v>8101</v>
      </c>
      <c r="S161" s="2798" t="s">
        <v>969</v>
      </c>
      <c r="T161" s="2798" t="s">
        <v>6443</v>
      </c>
      <c r="U161" s="2798" t="s">
        <v>3469</v>
      </c>
      <c r="V161" s="2798">
        <v>1</v>
      </c>
      <c r="W161" s="2798">
        <v>1531</v>
      </c>
      <c r="X161" s="2798">
        <v>2</v>
      </c>
      <c r="Y161" s="2795" t="s">
        <v>295</v>
      </c>
    </row>
    <row r="162" spans="2:25">
      <c r="B162" s="2793">
        <v>6829.2</v>
      </c>
      <c r="C162" s="2793" t="s">
        <v>913</v>
      </c>
      <c r="D162" s="2793"/>
      <c r="E162" s="2793" t="s">
        <v>708</v>
      </c>
      <c r="F162" s="2793"/>
      <c r="G162" s="2793" t="s">
        <v>914</v>
      </c>
      <c r="H162" s="2793" t="s">
        <v>5725</v>
      </c>
      <c r="I162" s="2793">
        <v>6829.2</v>
      </c>
      <c r="J162" s="2793"/>
      <c r="M162" s="2793" t="s">
        <v>998</v>
      </c>
      <c r="N162" s="2794" t="s">
        <v>999</v>
      </c>
      <c r="O162" s="2795">
        <v>8102</v>
      </c>
      <c r="S162" s="2798" t="s">
        <v>977</v>
      </c>
      <c r="T162" s="2798" t="s">
        <v>978</v>
      </c>
      <c r="U162" s="2798" t="s">
        <v>1371</v>
      </c>
      <c r="V162" s="2798">
        <v>1</v>
      </c>
      <c r="W162" s="2798">
        <v>1531</v>
      </c>
      <c r="X162" s="2798">
        <v>2</v>
      </c>
      <c r="Y162" s="2795" t="s">
        <v>295</v>
      </c>
    </row>
    <row r="163" spans="2:25">
      <c r="B163" s="2793">
        <v>6829.21</v>
      </c>
      <c r="C163" s="2793" t="s">
        <v>919</v>
      </c>
      <c r="D163" s="2793"/>
      <c r="E163" s="2793" t="s">
        <v>287</v>
      </c>
      <c r="F163" s="2793"/>
      <c r="G163" s="2793" t="s">
        <v>920</v>
      </c>
      <c r="H163" s="2793" t="s">
        <v>5726</v>
      </c>
      <c r="I163" s="2793">
        <v>6829.21</v>
      </c>
      <c r="J163" s="2793"/>
      <c r="M163" s="2793" t="s">
        <v>1005</v>
      </c>
      <c r="N163" s="2794"/>
      <c r="O163" s="2795">
        <v>8103</v>
      </c>
      <c r="S163" s="2798" t="s">
        <v>5621</v>
      </c>
      <c r="T163" s="2798" t="s">
        <v>5623</v>
      </c>
      <c r="U163" s="2798" t="s">
        <v>47</v>
      </c>
      <c r="V163" s="2798">
        <v>1</v>
      </c>
      <c r="W163" s="2798">
        <v>1511</v>
      </c>
      <c r="X163" s="2798">
        <v>1</v>
      </c>
      <c r="Y163" s="2795" t="s">
        <v>295</v>
      </c>
    </row>
    <row r="164" spans="2:25">
      <c r="B164" s="2793">
        <v>6829.2110000000002</v>
      </c>
      <c r="C164" s="2793" t="s">
        <v>846</v>
      </c>
      <c r="D164" s="2793">
        <v>-1</v>
      </c>
      <c r="E164" s="2793" t="s">
        <v>132</v>
      </c>
      <c r="F164" s="2793"/>
      <c r="G164" s="2793" t="s">
        <v>846</v>
      </c>
      <c r="H164" s="2793" t="s">
        <v>846</v>
      </c>
      <c r="I164" s="2793">
        <v>6829.2110000000002</v>
      </c>
      <c r="J164" s="2793" t="s">
        <v>84</v>
      </c>
      <c r="M164" s="2793" t="s">
        <v>1010</v>
      </c>
      <c r="N164" s="2794" t="s">
        <v>708</v>
      </c>
      <c r="O164" s="2795">
        <v>8104</v>
      </c>
      <c r="S164" s="2798" t="s">
        <v>5622</v>
      </c>
      <c r="T164" s="2798" t="s">
        <v>5624</v>
      </c>
      <c r="U164" s="2798" t="s">
        <v>3376</v>
      </c>
      <c r="V164" s="2798">
        <v>1</v>
      </c>
      <c r="W164" s="2798">
        <v>1511</v>
      </c>
      <c r="X164" s="2798">
        <v>2</v>
      </c>
      <c r="Y164" s="2795" t="s">
        <v>295</v>
      </c>
    </row>
    <row r="165" spans="2:25">
      <c r="B165" s="2793">
        <v>6829.2120000000004</v>
      </c>
      <c r="C165" s="2793" t="s">
        <v>852</v>
      </c>
      <c r="D165" s="2793">
        <v>-1</v>
      </c>
      <c r="E165" s="2793" t="s">
        <v>132</v>
      </c>
      <c r="F165" s="2793"/>
      <c r="G165" s="2793" t="s">
        <v>852</v>
      </c>
      <c r="H165" s="2793" t="s">
        <v>852</v>
      </c>
      <c r="I165" s="2793">
        <v>6829.2120000000004</v>
      </c>
      <c r="J165" s="2793" t="s">
        <v>84</v>
      </c>
      <c r="M165" s="2793" t="s">
        <v>1014</v>
      </c>
      <c r="N165" s="2794" t="s">
        <v>999</v>
      </c>
      <c r="O165" s="2795">
        <v>8109</v>
      </c>
      <c r="S165" s="2798" t="s">
        <v>982</v>
      </c>
      <c r="T165" s="2798" t="s">
        <v>6444</v>
      </c>
      <c r="U165" s="2798" t="s">
        <v>3376</v>
      </c>
      <c r="V165" s="2798">
        <v>1</v>
      </c>
      <c r="W165" s="2798">
        <v>1511</v>
      </c>
      <c r="X165" s="2798">
        <v>2</v>
      </c>
      <c r="Y165" s="2795" t="s">
        <v>295</v>
      </c>
    </row>
    <row r="166" spans="2:25">
      <c r="B166" s="2793" t="s">
        <v>865</v>
      </c>
      <c r="C166" s="2793" t="s">
        <v>864</v>
      </c>
      <c r="D166" s="2793">
        <v>-1</v>
      </c>
      <c r="E166" s="2793" t="s">
        <v>119</v>
      </c>
      <c r="F166" s="2793"/>
      <c r="G166" s="2793" t="s">
        <v>864</v>
      </c>
      <c r="H166" s="2793" t="s">
        <v>864</v>
      </c>
      <c r="I166" s="2793" t="s">
        <v>865</v>
      </c>
      <c r="J166" s="2793" t="s">
        <v>84</v>
      </c>
      <c r="M166" s="2793" t="s">
        <v>1019</v>
      </c>
      <c r="N166" s="2794" t="s">
        <v>213</v>
      </c>
      <c r="O166" s="2795">
        <v>8121</v>
      </c>
      <c r="S166" s="2798" t="s">
        <v>993</v>
      </c>
      <c r="T166" s="2798" t="s">
        <v>994</v>
      </c>
      <c r="U166" s="2798" t="s">
        <v>47</v>
      </c>
      <c r="V166" s="2798">
        <v>1</v>
      </c>
      <c r="W166" s="2798">
        <v>1538</v>
      </c>
      <c r="X166" s="2798">
        <v>1</v>
      </c>
      <c r="Y166" s="2795" t="s">
        <v>295</v>
      </c>
    </row>
    <row r="167" spans="2:25">
      <c r="B167" s="2793" t="s">
        <v>869</v>
      </c>
      <c r="C167" s="2793" t="s">
        <v>868</v>
      </c>
      <c r="D167" s="2793">
        <v>-1</v>
      </c>
      <c r="E167" s="2793" t="s">
        <v>119</v>
      </c>
      <c r="F167" s="2793"/>
      <c r="G167" s="2793" t="s">
        <v>868</v>
      </c>
      <c r="H167" s="2793" t="s">
        <v>868</v>
      </c>
      <c r="I167" s="2793" t="s">
        <v>869</v>
      </c>
      <c r="J167" s="2793" t="s">
        <v>84</v>
      </c>
      <c r="M167" s="2793" t="s">
        <v>1024</v>
      </c>
      <c r="N167" s="2794" t="s">
        <v>213</v>
      </c>
      <c r="O167" s="2795">
        <v>8130</v>
      </c>
      <c r="S167" s="2798" t="s">
        <v>1000</v>
      </c>
      <c r="T167" s="2798" t="s">
        <v>1001</v>
      </c>
      <c r="U167" s="2798" t="s">
        <v>47</v>
      </c>
      <c r="V167" s="2798">
        <v>1</v>
      </c>
      <c r="W167" s="2798">
        <v>1538</v>
      </c>
      <c r="X167" s="2798">
        <v>2</v>
      </c>
      <c r="Y167" s="2795" t="s">
        <v>295</v>
      </c>
    </row>
    <row r="168" spans="2:25">
      <c r="B168" s="2793">
        <v>6829.2190000000001</v>
      </c>
      <c r="C168" s="2793" t="s">
        <v>858</v>
      </c>
      <c r="D168" s="2793">
        <v>-1</v>
      </c>
      <c r="E168" s="2793"/>
      <c r="F168" s="2793"/>
      <c r="G168" s="2793" t="s">
        <v>932</v>
      </c>
      <c r="H168" s="2793" t="s">
        <v>932</v>
      </c>
      <c r="I168" s="2793">
        <v>6829.2190000000001</v>
      </c>
      <c r="J168" s="2793" t="s">
        <v>84</v>
      </c>
      <c r="M168" s="2793" t="s">
        <v>1029</v>
      </c>
      <c r="N168" s="2794"/>
      <c r="O168" s="2795">
        <v>8140</v>
      </c>
      <c r="S168" s="2798" t="s">
        <v>1006</v>
      </c>
      <c r="T168" s="2798" t="s">
        <v>1007</v>
      </c>
      <c r="U168" s="2798" t="s">
        <v>47</v>
      </c>
      <c r="V168" s="2798">
        <v>1</v>
      </c>
      <c r="W168" s="2798">
        <v>1539</v>
      </c>
      <c r="X168" s="2798">
        <v>1</v>
      </c>
      <c r="Y168" s="2795" t="s">
        <v>295</v>
      </c>
    </row>
    <row r="169" spans="2:25">
      <c r="B169" s="2793">
        <v>6829.23</v>
      </c>
      <c r="C169" s="2793" t="s">
        <v>935</v>
      </c>
      <c r="D169" s="2793"/>
      <c r="E169" s="2793" t="s">
        <v>287</v>
      </c>
      <c r="F169" s="2793"/>
      <c r="G169" s="2793" t="s">
        <v>936</v>
      </c>
      <c r="H169" s="2793" t="s">
        <v>5727</v>
      </c>
      <c r="I169" s="2793">
        <v>6829.23</v>
      </c>
      <c r="J169" s="2793"/>
      <c r="M169" s="2793" t="s">
        <v>1033</v>
      </c>
      <c r="N169" s="2794"/>
      <c r="O169" s="2795">
        <v>8151</v>
      </c>
      <c r="S169" s="2798" t="s">
        <v>5617</v>
      </c>
      <c r="T169" s="2798" t="s">
        <v>5619</v>
      </c>
      <c r="U169" s="2798" t="s">
        <v>3376</v>
      </c>
      <c r="V169" s="2798">
        <v>1</v>
      </c>
      <c r="W169" s="2798">
        <v>1539</v>
      </c>
      <c r="X169" s="2798">
        <v>2</v>
      </c>
      <c r="Y169" s="2795" t="s">
        <v>295</v>
      </c>
    </row>
    <row r="170" spans="2:25">
      <c r="B170" s="2793">
        <v>6829.2309999999998</v>
      </c>
      <c r="C170" s="2793" t="s">
        <v>874</v>
      </c>
      <c r="D170" s="2793">
        <v>-1</v>
      </c>
      <c r="E170" s="2793" t="s">
        <v>132</v>
      </c>
      <c r="F170" s="2793"/>
      <c r="G170" s="2793" t="s">
        <v>874</v>
      </c>
      <c r="H170" s="2793" t="s">
        <v>874</v>
      </c>
      <c r="I170" s="2793">
        <v>6829.2309999999998</v>
      </c>
      <c r="J170" s="2793" t="s">
        <v>84</v>
      </c>
      <c r="M170" s="2793" t="s">
        <v>1038</v>
      </c>
      <c r="N170" s="2794" t="s">
        <v>213</v>
      </c>
      <c r="O170" s="2795">
        <v>8152</v>
      </c>
      <c r="S170" s="2798" t="s">
        <v>5618</v>
      </c>
      <c r="T170" s="2798" t="s">
        <v>5620</v>
      </c>
      <c r="U170" s="2798" t="s">
        <v>47</v>
      </c>
      <c r="V170" s="2798">
        <v>1</v>
      </c>
      <c r="W170" s="2798">
        <v>1539</v>
      </c>
      <c r="X170" s="2798">
        <v>2</v>
      </c>
      <c r="Y170" s="2795" t="s">
        <v>295</v>
      </c>
    </row>
    <row r="171" spans="2:25">
      <c r="B171" s="2793" t="s">
        <v>916</v>
      </c>
      <c r="C171" s="2793" t="s">
        <v>915</v>
      </c>
      <c r="D171" s="2793">
        <v>-1</v>
      </c>
      <c r="E171" s="2793" t="s">
        <v>119</v>
      </c>
      <c r="F171" s="2793"/>
      <c r="G171" s="2793" t="s">
        <v>915</v>
      </c>
      <c r="H171" s="2793" t="s">
        <v>915</v>
      </c>
      <c r="I171" s="2793" t="s">
        <v>916</v>
      </c>
      <c r="J171" s="2793" t="s">
        <v>84</v>
      </c>
      <c r="M171" s="2793" t="s">
        <v>1044</v>
      </c>
      <c r="N171" s="2794" t="s">
        <v>331</v>
      </c>
      <c r="O171" s="2795">
        <v>8153</v>
      </c>
      <c r="S171" s="2798" t="s">
        <v>1051</v>
      </c>
      <c r="T171" s="2798" t="s">
        <v>1052</v>
      </c>
      <c r="U171" s="2798" t="s">
        <v>47</v>
      </c>
      <c r="V171" s="2798">
        <v>1</v>
      </c>
      <c r="W171" s="2798">
        <v>1521</v>
      </c>
      <c r="X171" s="2798">
        <v>2</v>
      </c>
      <c r="Y171" s="2795" t="s">
        <v>295</v>
      </c>
    </row>
    <row r="172" spans="2:25">
      <c r="B172" s="2793">
        <v>6829.232</v>
      </c>
      <c r="C172" s="2793" t="s">
        <v>878</v>
      </c>
      <c r="D172" s="2793">
        <v>-1</v>
      </c>
      <c r="E172" s="2793" t="s">
        <v>879</v>
      </c>
      <c r="F172" s="2793"/>
      <c r="G172" s="2793" t="s">
        <v>878</v>
      </c>
      <c r="H172" s="2793" t="s">
        <v>878</v>
      </c>
      <c r="I172" s="2793">
        <v>6829.232</v>
      </c>
      <c r="J172" s="2793" t="s">
        <v>84</v>
      </c>
      <c r="M172" s="2793" t="s">
        <v>1050</v>
      </c>
      <c r="N172" s="2794" t="s">
        <v>999</v>
      </c>
      <c r="O172" s="2795">
        <v>8156</v>
      </c>
      <c r="S172" s="2798" t="s">
        <v>1058</v>
      </c>
      <c r="T172" s="2798" t="s">
        <v>1059</v>
      </c>
      <c r="U172" s="2798" t="s">
        <v>47</v>
      </c>
      <c r="V172" s="2798">
        <v>1</v>
      </c>
      <c r="W172" s="2798">
        <v>1521</v>
      </c>
      <c r="X172" s="2798">
        <v>2</v>
      </c>
      <c r="Y172" s="2795" t="s">
        <v>295</v>
      </c>
    </row>
    <row r="173" spans="2:25">
      <c r="B173" s="2793" t="s">
        <v>922</v>
      </c>
      <c r="C173" s="2793" t="s">
        <v>921</v>
      </c>
      <c r="D173" s="2793">
        <v>-1</v>
      </c>
      <c r="E173" s="2793" t="s">
        <v>119</v>
      </c>
      <c r="F173" s="2793"/>
      <c r="G173" s="2793" t="s">
        <v>921</v>
      </c>
      <c r="H173" s="2793" t="s">
        <v>921</v>
      </c>
      <c r="I173" s="2793" t="s">
        <v>922</v>
      </c>
      <c r="J173" s="2793" t="s">
        <v>84</v>
      </c>
      <c r="M173" s="2793" t="s">
        <v>1057</v>
      </c>
      <c r="N173" s="2794" t="s">
        <v>213</v>
      </c>
      <c r="O173" s="2795">
        <v>8161</v>
      </c>
      <c r="S173" s="2798" t="s">
        <v>1062</v>
      </c>
      <c r="T173" s="2798" t="s">
        <v>1063</v>
      </c>
      <c r="U173" s="2798" t="s">
        <v>47</v>
      </c>
      <c r="V173" s="2798">
        <v>1</v>
      </c>
      <c r="W173" s="2798">
        <v>1521</v>
      </c>
      <c r="X173" s="2798">
        <v>2</v>
      </c>
      <c r="Y173" s="2795" t="s">
        <v>295</v>
      </c>
    </row>
    <row r="174" spans="2:25">
      <c r="B174" s="2793">
        <v>6829.2330000000002</v>
      </c>
      <c r="C174" s="2793" t="s">
        <v>884</v>
      </c>
      <c r="D174" s="2793">
        <v>-1</v>
      </c>
      <c r="E174" s="2793" t="s">
        <v>879</v>
      </c>
      <c r="F174" s="2793"/>
      <c r="G174" s="2793" t="s">
        <v>884</v>
      </c>
      <c r="H174" s="2793" t="s">
        <v>884</v>
      </c>
      <c r="I174" s="2793">
        <v>6829.2330000000002</v>
      </c>
      <c r="J174" s="2793" t="s">
        <v>84</v>
      </c>
      <c r="M174" s="2793" t="s">
        <v>1061</v>
      </c>
      <c r="N174" s="2794" t="s">
        <v>213</v>
      </c>
      <c r="O174" s="2795">
        <v>8162</v>
      </c>
      <c r="S174" s="2798" t="s">
        <v>1088</v>
      </c>
      <c r="T174" s="2798" t="s">
        <v>1089</v>
      </c>
      <c r="U174" s="2798" t="s">
        <v>5116</v>
      </c>
      <c r="V174" s="2798">
        <v>1</v>
      </c>
      <c r="W174" s="2798">
        <v>1521</v>
      </c>
      <c r="X174" s="2798">
        <v>2</v>
      </c>
      <c r="Y174" s="2795" t="s">
        <v>295</v>
      </c>
    </row>
    <row r="175" spans="2:25">
      <c r="B175" s="2793" t="s">
        <v>927</v>
      </c>
      <c r="C175" s="2793" t="s">
        <v>926</v>
      </c>
      <c r="D175" s="2793">
        <v>-1</v>
      </c>
      <c r="E175" s="2793" t="s">
        <v>119</v>
      </c>
      <c r="F175" s="2793"/>
      <c r="G175" s="2793" t="s">
        <v>926</v>
      </c>
      <c r="H175" s="2793" t="s">
        <v>926</v>
      </c>
      <c r="I175" s="2793" t="s">
        <v>927</v>
      </c>
      <c r="J175" s="2793" t="s">
        <v>84</v>
      </c>
      <c r="M175" s="2793" t="s">
        <v>1067</v>
      </c>
      <c r="N175" s="2794" t="s">
        <v>213</v>
      </c>
      <c r="O175" s="2795">
        <v>8163</v>
      </c>
      <c r="S175" s="2798" t="s">
        <v>1098</v>
      </c>
      <c r="T175" s="2798" t="s">
        <v>1099</v>
      </c>
      <c r="U175" s="2798" t="s">
        <v>47</v>
      </c>
      <c r="V175" s="2798">
        <v>1</v>
      </c>
      <c r="W175" s="2798">
        <v>1611</v>
      </c>
      <c r="X175" s="2798">
        <v>1</v>
      </c>
      <c r="Y175" s="2795" t="s">
        <v>295</v>
      </c>
    </row>
    <row r="176" spans="2:25">
      <c r="B176" s="2793" t="s">
        <v>930</v>
      </c>
      <c r="C176" s="2793" t="s">
        <v>929</v>
      </c>
      <c r="D176" s="2793">
        <v>-1</v>
      </c>
      <c r="E176" s="2793" t="s">
        <v>119</v>
      </c>
      <c r="F176" s="2793"/>
      <c r="G176" s="2793" t="s">
        <v>929</v>
      </c>
      <c r="H176" s="2793" t="s">
        <v>929</v>
      </c>
      <c r="I176" s="2793" t="s">
        <v>930</v>
      </c>
      <c r="J176" s="2793" t="s">
        <v>84</v>
      </c>
      <c r="M176" s="2793" t="s">
        <v>1072</v>
      </c>
      <c r="N176" s="2794" t="s">
        <v>213</v>
      </c>
      <c r="O176" s="2795">
        <v>8166</v>
      </c>
      <c r="S176" s="2798" t="s">
        <v>1105</v>
      </c>
      <c r="T176" s="2798" t="s">
        <v>1106</v>
      </c>
      <c r="U176" s="2798" t="s">
        <v>47</v>
      </c>
      <c r="V176" s="2798">
        <v>1</v>
      </c>
      <c r="W176" s="2798">
        <v>1601</v>
      </c>
      <c r="X176" s="2798">
        <v>1</v>
      </c>
      <c r="Y176" s="2795" t="s">
        <v>295</v>
      </c>
    </row>
    <row r="177" spans="2:25">
      <c r="B177" s="2793">
        <v>6829.2340000000004</v>
      </c>
      <c r="C177" s="2793" t="s">
        <v>888</v>
      </c>
      <c r="D177" s="2793">
        <v>-1</v>
      </c>
      <c r="E177" s="2793" t="s">
        <v>879</v>
      </c>
      <c r="F177" s="2793"/>
      <c r="G177" s="2793" t="s">
        <v>888</v>
      </c>
      <c r="H177" s="2793" t="s">
        <v>888</v>
      </c>
      <c r="I177" s="2793">
        <v>6829.2340000000004</v>
      </c>
      <c r="J177" s="2793" t="s">
        <v>84</v>
      </c>
      <c r="M177" s="2793" t="s">
        <v>1077</v>
      </c>
      <c r="N177" s="2794"/>
      <c r="O177" s="2795">
        <v>8171</v>
      </c>
      <c r="S177" s="2798" t="s">
        <v>1116</v>
      </c>
      <c r="T177" s="2798" t="s">
        <v>1117</v>
      </c>
      <c r="U177" s="2798" t="s">
        <v>47</v>
      </c>
      <c r="V177" s="2798">
        <v>1</v>
      </c>
      <c r="W177" s="2798">
        <v>1601</v>
      </c>
      <c r="X177" s="2798">
        <v>2</v>
      </c>
      <c r="Y177" s="2795" t="s">
        <v>295</v>
      </c>
    </row>
    <row r="178" spans="2:25">
      <c r="B178" s="2793">
        <v>6829.2349999999997</v>
      </c>
      <c r="C178" s="2793" t="s">
        <v>893</v>
      </c>
      <c r="D178" s="2793">
        <v>-1</v>
      </c>
      <c r="E178" s="2793" t="s">
        <v>132</v>
      </c>
      <c r="F178" s="2793"/>
      <c r="G178" s="2793" t="s">
        <v>893</v>
      </c>
      <c r="H178" s="2793" t="s">
        <v>893</v>
      </c>
      <c r="I178" s="2793">
        <v>6829.2349999999997</v>
      </c>
      <c r="J178" s="2793" t="s">
        <v>84</v>
      </c>
      <c r="M178" s="2793" t="s">
        <v>1083</v>
      </c>
      <c r="N178" s="2794"/>
      <c r="O178" s="2795">
        <v>8172</v>
      </c>
      <c r="S178" s="2798" t="s">
        <v>1120</v>
      </c>
      <c r="T178" s="2798" t="s">
        <v>1121</v>
      </c>
      <c r="U178" s="2798" t="s">
        <v>47</v>
      </c>
      <c r="V178" s="2798">
        <v>1</v>
      </c>
      <c r="W178" s="2798">
        <v>1601</v>
      </c>
      <c r="X178" s="2798">
        <v>2</v>
      </c>
      <c r="Y178" s="2795" t="s">
        <v>295</v>
      </c>
    </row>
    <row r="179" spans="2:25">
      <c r="B179" s="2793">
        <v>6829.2359999999999</v>
      </c>
      <c r="C179" s="2793" t="s">
        <v>897</v>
      </c>
      <c r="D179" s="2793">
        <v>-1</v>
      </c>
      <c r="E179" s="2793" t="s">
        <v>132</v>
      </c>
      <c r="F179" s="2793"/>
      <c r="G179" s="2793" t="s">
        <v>897</v>
      </c>
      <c r="H179" s="2793" t="s">
        <v>897</v>
      </c>
      <c r="I179" s="2793">
        <v>6829.2359999999999</v>
      </c>
      <c r="J179" s="2793" t="s">
        <v>84</v>
      </c>
      <c r="M179" s="2793" t="s">
        <v>1087</v>
      </c>
      <c r="N179" s="2794" t="s">
        <v>213</v>
      </c>
      <c r="O179" s="2795">
        <v>8173</v>
      </c>
      <c r="S179" s="2798" t="s">
        <v>1126</v>
      </c>
      <c r="T179" s="2798" t="s">
        <v>1127</v>
      </c>
      <c r="U179" s="2798" t="s">
        <v>47</v>
      </c>
      <c r="V179" s="2798">
        <v>1</v>
      </c>
      <c r="W179" s="2798">
        <v>1601</v>
      </c>
      <c r="X179" s="2798">
        <v>2</v>
      </c>
      <c r="Y179" s="2795" t="s">
        <v>295</v>
      </c>
    </row>
    <row r="180" spans="2:25">
      <c r="B180" s="2793">
        <v>6829.2370000000001</v>
      </c>
      <c r="C180" s="2793" t="s">
        <v>901</v>
      </c>
      <c r="D180" s="2793">
        <v>-1</v>
      </c>
      <c r="E180" s="2793" t="s">
        <v>132</v>
      </c>
      <c r="F180" s="2793"/>
      <c r="G180" s="2793" t="s">
        <v>952</v>
      </c>
      <c r="H180" s="2793" t="s">
        <v>901</v>
      </c>
      <c r="I180" s="2793">
        <v>6829.2370000000001</v>
      </c>
      <c r="J180" s="2793" t="s">
        <v>84</v>
      </c>
      <c r="M180" s="2793" t="s">
        <v>1091</v>
      </c>
      <c r="N180" s="2794" t="s">
        <v>331</v>
      </c>
      <c r="O180" s="2795">
        <v>8175</v>
      </c>
      <c r="S180" s="2798" t="s">
        <v>1131</v>
      </c>
      <c r="T180" s="2798" t="s">
        <v>1132</v>
      </c>
      <c r="U180" s="2798" t="s">
        <v>47</v>
      </c>
      <c r="V180" s="2798">
        <v>1</v>
      </c>
      <c r="W180" s="2798">
        <v>1601</v>
      </c>
      <c r="X180" s="2798">
        <v>2</v>
      </c>
      <c r="Y180" s="2795" t="s">
        <v>295</v>
      </c>
    </row>
    <row r="181" spans="2:25">
      <c r="B181" s="2793">
        <v>6829.2389999999996</v>
      </c>
      <c r="C181" s="2793" t="s">
        <v>909</v>
      </c>
      <c r="D181" s="2793">
        <v>-1</v>
      </c>
      <c r="E181" s="2793"/>
      <c r="F181" s="2793"/>
      <c r="G181" s="2793" t="s">
        <v>932</v>
      </c>
      <c r="H181" s="2793" t="s">
        <v>932</v>
      </c>
      <c r="I181" s="2793">
        <v>6829.2389999999996</v>
      </c>
      <c r="J181" s="2793" t="s">
        <v>84</v>
      </c>
      <c r="M181" s="2793" t="s">
        <v>1097</v>
      </c>
      <c r="N181" s="2794" t="s">
        <v>999</v>
      </c>
      <c r="O181" s="2795">
        <v>8176</v>
      </c>
      <c r="S181" s="2798" t="s">
        <v>1136</v>
      </c>
      <c r="T181" s="2798" t="s">
        <v>1137</v>
      </c>
      <c r="U181" s="2798" t="s">
        <v>47</v>
      </c>
      <c r="V181" s="2798">
        <v>1</v>
      </c>
      <c r="W181" s="2798">
        <v>1601</v>
      </c>
      <c r="X181" s="2798">
        <v>2</v>
      </c>
      <c r="Y181" s="2795" t="s">
        <v>295</v>
      </c>
    </row>
    <row r="182" spans="2:25">
      <c r="B182" s="2793">
        <v>6829.5</v>
      </c>
      <c r="C182" s="2793" t="s">
        <v>957</v>
      </c>
      <c r="D182" s="2793">
        <v>1</v>
      </c>
      <c r="E182" s="2793" t="s">
        <v>708</v>
      </c>
      <c r="F182" s="2793"/>
      <c r="G182" s="2793" t="s">
        <v>957</v>
      </c>
      <c r="H182" s="2793" t="s">
        <v>5745</v>
      </c>
      <c r="I182" s="2793">
        <v>6829.5</v>
      </c>
      <c r="J182" s="2793"/>
      <c r="M182" s="2793" t="s">
        <v>1104</v>
      </c>
      <c r="N182" s="2794" t="s">
        <v>119</v>
      </c>
      <c r="O182" s="2795">
        <v>8177</v>
      </c>
      <c r="S182" s="2798" t="s">
        <v>1156</v>
      </c>
      <c r="T182" s="2798" t="s">
        <v>1157</v>
      </c>
      <c r="U182" s="2798" t="s">
        <v>5116</v>
      </c>
      <c r="V182" s="2798">
        <v>1</v>
      </c>
      <c r="W182" s="2798">
        <v>1601</v>
      </c>
      <c r="X182" s="2798">
        <v>2</v>
      </c>
      <c r="Y182" s="2795" t="s">
        <v>295</v>
      </c>
    </row>
    <row r="183" spans="2:25">
      <c r="B183" s="2793">
        <v>6829.5110000000004</v>
      </c>
      <c r="C183" s="2793" t="s">
        <v>933</v>
      </c>
      <c r="D183" s="2793">
        <v>1</v>
      </c>
      <c r="E183" s="2793" t="s">
        <v>708</v>
      </c>
      <c r="F183" s="2793"/>
      <c r="G183" s="2793"/>
      <c r="H183" s="2793"/>
      <c r="I183" s="2793">
        <v>6829.5110000000004</v>
      </c>
      <c r="J183" s="2793" t="s">
        <v>84</v>
      </c>
      <c r="M183" s="2793" t="s">
        <v>1110</v>
      </c>
      <c r="N183" s="2794" t="s">
        <v>213</v>
      </c>
      <c r="O183" s="2795">
        <v>8181</v>
      </c>
      <c r="S183" s="2798" t="s">
        <v>1162</v>
      </c>
      <c r="T183" s="2798" t="s">
        <v>1163</v>
      </c>
      <c r="U183" s="2798" t="s">
        <v>47</v>
      </c>
      <c r="V183" s="2798">
        <v>1</v>
      </c>
      <c r="W183" s="2798">
        <v>1601</v>
      </c>
      <c r="X183" s="2798">
        <v>2</v>
      </c>
      <c r="Y183" s="2795" t="s">
        <v>295</v>
      </c>
    </row>
    <row r="184" spans="2:25">
      <c r="B184" s="2793">
        <v>6829.5119999999997</v>
      </c>
      <c r="C184" s="2793" t="s">
        <v>937</v>
      </c>
      <c r="D184" s="2793">
        <v>1</v>
      </c>
      <c r="E184" s="2793" t="s">
        <v>708</v>
      </c>
      <c r="F184" s="2793"/>
      <c r="G184" s="2793"/>
      <c r="H184" s="2793"/>
      <c r="I184" s="2793">
        <v>6829.5119999999997</v>
      </c>
      <c r="J184" s="2793" t="s">
        <v>84</v>
      </c>
      <c r="M184" s="2793" t="s">
        <v>1115</v>
      </c>
      <c r="N184" s="2794" t="s">
        <v>213</v>
      </c>
      <c r="O184" s="2795">
        <v>8182</v>
      </c>
      <c r="S184" s="2798" t="s">
        <v>1165</v>
      </c>
      <c r="T184" s="2798" t="s">
        <v>1166</v>
      </c>
      <c r="U184" s="2798" t="s">
        <v>47</v>
      </c>
      <c r="V184" s="2798">
        <v>1</v>
      </c>
      <c r="W184" s="2798">
        <v>1606</v>
      </c>
      <c r="X184" s="2798">
        <v>1</v>
      </c>
      <c r="Y184" s="2795" t="s">
        <v>295</v>
      </c>
    </row>
    <row r="185" spans="2:25">
      <c r="B185" s="2793" t="s">
        <v>942</v>
      </c>
      <c r="C185" s="2793" t="s">
        <v>940</v>
      </c>
      <c r="D185" s="2793">
        <v>1</v>
      </c>
      <c r="E185" s="2793" t="s">
        <v>941</v>
      </c>
      <c r="F185" s="2793"/>
      <c r="G185" s="2793"/>
      <c r="H185" s="2793"/>
      <c r="I185" s="2793" t="s">
        <v>942</v>
      </c>
      <c r="J185" s="2793" t="s">
        <v>84</v>
      </c>
      <c r="M185" s="2793" t="s">
        <v>1119</v>
      </c>
      <c r="N185" s="2794" t="s">
        <v>999</v>
      </c>
      <c r="O185" s="2795">
        <v>8196</v>
      </c>
      <c r="S185" s="2798" t="s">
        <v>1170</v>
      </c>
      <c r="T185" s="2798" t="s">
        <v>6445</v>
      </c>
      <c r="U185" s="2798" t="s">
        <v>47</v>
      </c>
      <c r="V185" s="2798">
        <v>1</v>
      </c>
      <c r="W185" s="2798">
        <v>1606</v>
      </c>
      <c r="X185" s="2798">
        <v>2</v>
      </c>
      <c r="Y185" s="2795" t="s">
        <v>295</v>
      </c>
    </row>
    <row r="186" spans="2:25">
      <c r="B186" s="2793" t="s">
        <v>944</v>
      </c>
      <c r="C186" s="2793" t="s">
        <v>943</v>
      </c>
      <c r="D186" s="2793">
        <v>1</v>
      </c>
      <c r="E186" s="2793" t="s">
        <v>941</v>
      </c>
      <c r="F186" s="2793"/>
      <c r="G186" s="2793"/>
      <c r="H186" s="2793"/>
      <c r="I186" s="2793" t="s">
        <v>944</v>
      </c>
      <c r="J186" s="2793" t="s">
        <v>84</v>
      </c>
      <c r="M186" s="2793" t="s">
        <v>1125</v>
      </c>
      <c r="N186" s="2794"/>
      <c r="O186" s="2795">
        <v>8201</v>
      </c>
      <c r="S186" s="2798" t="s">
        <v>1174</v>
      </c>
      <c r="T186" s="2798" t="s">
        <v>1175</v>
      </c>
      <c r="U186" s="2798" t="s">
        <v>47</v>
      </c>
      <c r="V186" s="2798">
        <v>1</v>
      </c>
      <c r="W186" s="2798">
        <v>1616</v>
      </c>
      <c r="X186" s="2798">
        <v>1</v>
      </c>
      <c r="Y186" s="2795" t="s">
        <v>295</v>
      </c>
    </row>
    <row r="187" spans="2:25">
      <c r="B187" s="2793">
        <v>6829.5190000000002</v>
      </c>
      <c r="C187" s="2793" t="s">
        <v>938</v>
      </c>
      <c r="D187" s="2793">
        <v>1</v>
      </c>
      <c r="E187" s="2793" t="s">
        <v>708</v>
      </c>
      <c r="F187" s="2793"/>
      <c r="G187" s="2793"/>
      <c r="H187" s="2793"/>
      <c r="I187" s="2793">
        <v>6829.5190000000002</v>
      </c>
      <c r="J187" s="2793" t="s">
        <v>84</v>
      </c>
      <c r="M187" s="2793" t="s">
        <v>1130</v>
      </c>
      <c r="N187" s="2794"/>
      <c r="O187" s="2795">
        <v>8202</v>
      </c>
      <c r="S187" s="2798" t="s">
        <v>1179</v>
      </c>
      <c r="T187" s="2798" t="s">
        <v>1180</v>
      </c>
      <c r="U187" s="2798" t="s">
        <v>47</v>
      </c>
      <c r="V187" s="2798">
        <v>1</v>
      </c>
      <c r="W187" s="2798">
        <v>1604</v>
      </c>
      <c r="X187" s="2798">
        <v>1</v>
      </c>
      <c r="Y187" s="2795" t="s">
        <v>295</v>
      </c>
    </row>
    <row r="188" spans="2:25">
      <c r="B188" s="2793">
        <v>6829.5309999999999</v>
      </c>
      <c r="C188" s="2793" t="s">
        <v>945</v>
      </c>
      <c r="D188" s="2793">
        <v>1</v>
      </c>
      <c r="E188" s="2793" t="s">
        <v>708</v>
      </c>
      <c r="F188" s="2793"/>
      <c r="G188" s="2793"/>
      <c r="H188" s="2793"/>
      <c r="I188" s="2793">
        <v>6829.5309999999999</v>
      </c>
      <c r="J188" s="2793" t="s">
        <v>84</v>
      </c>
      <c r="M188" s="2793" t="s">
        <v>1135</v>
      </c>
      <c r="N188" s="2794"/>
      <c r="O188" s="2795">
        <v>8203</v>
      </c>
      <c r="S188" s="2798" t="s">
        <v>1190</v>
      </c>
      <c r="T188" s="2798" t="s">
        <v>1191</v>
      </c>
      <c r="U188" s="2798" t="s">
        <v>1476</v>
      </c>
      <c r="V188" s="2798">
        <v>1</v>
      </c>
      <c r="W188" s="2798">
        <v>1604</v>
      </c>
      <c r="X188" s="2798">
        <v>2</v>
      </c>
      <c r="Y188" s="2795" t="s">
        <v>295</v>
      </c>
    </row>
    <row r="189" spans="2:25">
      <c r="B189" s="2793" t="s">
        <v>972</v>
      </c>
      <c r="C189" s="2793" t="s">
        <v>971</v>
      </c>
      <c r="D189" s="2793">
        <v>1</v>
      </c>
      <c r="E189" s="2793" t="s">
        <v>941</v>
      </c>
      <c r="F189" s="2793"/>
      <c r="G189" s="2793"/>
      <c r="H189" s="2793"/>
      <c r="I189" s="2793" t="s">
        <v>972</v>
      </c>
      <c r="J189" s="2793" t="s">
        <v>84</v>
      </c>
      <c r="M189" s="2793" t="s">
        <v>1140</v>
      </c>
      <c r="N189" s="2794" t="s">
        <v>708</v>
      </c>
      <c r="O189" s="2795">
        <v>8204</v>
      </c>
      <c r="S189" s="2798" t="s">
        <v>1193</v>
      </c>
      <c r="T189" s="2798" t="s">
        <v>1194</v>
      </c>
      <c r="U189" s="2798" t="s">
        <v>1476</v>
      </c>
      <c r="V189" s="2798">
        <v>1</v>
      </c>
      <c r="W189" s="2798">
        <v>1604</v>
      </c>
      <c r="X189" s="2798">
        <v>2</v>
      </c>
      <c r="Y189" s="2795" t="s">
        <v>295</v>
      </c>
    </row>
    <row r="190" spans="2:25">
      <c r="B190" s="2793">
        <v>6829.5320000000002</v>
      </c>
      <c r="C190" s="2793" t="s">
        <v>947</v>
      </c>
      <c r="D190" s="2793">
        <v>1</v>
      </c>
      <c r="E190" s="2793" t="s">
        <v>948</v>
      </c>
      <c r="F190" s="2793"/>
      <c r="G190" s="2793"/>
      <c r="H190" s="2793"/>
      <c r="I190" s="2793">
        <v>6829.5320000000002</v>
      </c>
      <c r="J190" s="2793" t="s">
        <v>84</v>
      </c>
      <c r="M190" s="2793" t="s">
        <v>1145</v>
      </c>
      <c r="N190" s="2794"/>
      <c r="O190" s="2795">
        <v>8209</v>
      </c>
      <c r="S190" s="2798" t="s">
        <v>1186</v>
      </c>
      <c r="T190" s="2798" t="s">
        <v>6446</v>
      </c>
      <c r="U190" s="2798" t="s">
        <v>47</v>
      </c>
      <c r="V190" s="2798">
        <v>1</v>
      </c>
      <c r="W190" s="2798">
        <v>1604</v>
      </c>
      <c r="X190" s="2798">
        <v>2</v>
      </c>
      <c r="Y190" s="2795" t="s">
        <v>295</v>
      </c>
    </row>
    <row r="191" spans="2:25">
      <c r="B191" s="2793" t="s">
        <v>976</v>
      </c>
      <c r="C191" s="2793" t="s">
        <v>975</v>
      </c>
      <c r="D191" s="2793">
        <v>1</v>
      </c>
      <c r="E191" s="2793" t="s">
        <v>941</v>
      </c>
      <c r="F191" s="2793"/>
      <c r="G191" s="2793"/>
      <c r="H191" s="2793"/>
      <c r="I191" s="2793" t="s">
        <v>976</v>
      </c>
      <c r="J191" s="2793" t="s">
        <v>84</v>
      </c>
      <c r="M191" s="2793" t="s">
        <v>1150</v>
      </c>
      <c r="N191" s="2794" t="s">
        <v>213</v>
      </c>
      <c r="O191" s="2795">
        <v>8221</v>
      </c>
      <c r="S191" s="2798" t="s">
        <v>1196</v>
      </c>
      <c r="T191" s="2798" t="s">
        <v>6447</v>
      </c>
      <c r="U191" s="2798" t="s">
        <v>47</v>
      </c>
      <c r="V191" s="2798">
        <v>1</v>
      </c>
      <c r="W191" s="2798">
        <v>1604</v>
      </c>
      <c r="X191" s="2798">
        <v>2</v>
      </c>
      <c r="Y191" s="2795" t="s">
        <v>6621</v>
      </c>
    </row>
    <row r="192" spans="2:25">
      <c r="B192" s="2793">
        <v>6829.5330000000004</v>
      </c>
      <c r="C192" s="2793" t="s">
        <v>950</v>
      </c>
      <c r="D192" s="2793">
        <v>1</v>
      </c>
      <c r="E192" s="2793" t="s">
        <v>948</v>
      </c>
      <c r="F192" s="2793"/>
      <c r="G192" s="2793"/>
      <c r="H192" s="2793"/>
      <c r="I192" s="2793">
        <v>6829.5330000000004</v>
      </c>
      <c r="J192" s="2793" t="s">
        <v>84</v>
      </c>
      <c r="M192" s="2793" t="s">
        <v>1152</v>
      </c>
      <c r="N192" s="2794"/>
      <c r="O192" s="2795">
        <v>8230</v>
      </c>
      <c r="S192" s="2798" t="s">
        <v>1198</v>
      </c>
      <c r="T192" s="2798" t="s">
        <v>1199</v>
      </c>
      <c r="U192" s="2798" t="s">
        <v>47</v>
      </c>
      <c r="V192" s="2798">
        <v>1</v>
      </c>
      <c r="W192" s="2798">
        <v>1605</v>
      </c>
      <c r="X192" s="2798">
        <v>1</v>
      </c>
      <c r="Y192" s="2795" t="s">
        <v>295</v>
      </c>
    </row>
    <row r="193" spans="2:25">
      <c r="B193" s="2793" t="s">
        <v>981</v>
      </c>
      <c r="C193" s="2793" t="s">
        <v>980</v>
      </c>
      <c r="D193" s="2793">
        <v>1</v>
      </c>
      <c r="E193" s="2793" t="s">
        <v>941</v>
      </c>
      <c r="F193" s="2793"/>
      <c r="G193" s="2793"/>
      <c r="H193" s="2793"/>
      <c r="I193" s="2793" t="s">
        <v>981</v>
      </c>
      <c r="J193" s="2793" t="s">
        <v>84</v>
      </c>
      <c r="M193" s="2793" t="s">
        <v>1155</v>
      </c>
      <c r="N193" s="2794"/>
      <c r="O193" s="2795">
        <v>8240</v>
      </c>
      <c r="S193" s="2798" t="s">
        <v>1205</v>
      </c>
      <c r="T193" s="2798" t="s">
        <v>5356</v>
      </c>
      <c r="U193" s="2798" t="s">
        <v>47</v>
      </c>
      <c r="V193" s="2798">
        <v>1</v>
      </c>
      <c r="W193" s="2798">
        <v>1621</v>
      </c>
      <c r="X193" s="2798">
        <v>1</v>
      </c>
      <c r="Y193" s="2795" t="s">
        <v>295</v>
      </c>
    </row>
    <row r="194" spans="2:25">
      <c r="B194" s="2793" t="s">
        <v>987</v>
      </c>
      <c r="C194" s="2793" t="s">
        <v>986</v>
      </c>
      <c r="D194" s="2793">
        <v>1</v>
      </c>
      <c r="E194" s="2793" t="s">
        <v>941</v>
      </c>
      <c r="F194" s="2793"/>
      <c r="G194" s="2793"/>
      <c r="H194" s="2793"/>
      <c r="I194" s="2793" t="s">
        <v>987</v>
      </c>
      <c r="J194" s="2793" t="s">
        <v>84</v>
      </c>
      <c r="M194" s="2793" t="s">
        <v>1158</v>
      </c>
      <c r="N194" s="2794"/>
      <c r="O194" s="2795">
        <v>8251</v>
      </c>
      <c r="S194" s="2798" t="s">
        <v>1223</v>
      </c>
      <c r="T194" s="2798" t="s">
        <v>1224</v>
      </c>
      <c r="U194" s="2798" t="s">
        <v>47</v>
      </c>
      <c r="V194" s="2798">
        <v>1</v>
      </c>
      <c r="W194" s="2798">
        <v>1621</v>
      </c>
      <c r="X194" s="2798">
        <v>2</v>
      </c>
      <c r="Y194" s="2795" t="s">
        <v>295</v>
      </c>
    </row>
    <row r="195" spans="2:25">
      <c r="B195" s="2793">
        <v>6829.5339999999997</v>
      </c>
      <c r="C195" s="2793" t="s">
        <v>953</v>
      </c>
      <c r="D195" s="2793">
        <v>1</v>
      </c>
      <c r="E195" s="2793" t="s">
        <v>948</v>
      </c>
      <c r="F195" s="2793"/>
      <c r="G195" s="2793"/>
      <c r="H195" s="2793"/>
      <c r="I195" s="2793">
        <v>6829.5339999999997</v>
      </c>
      <c r="J195" s="2793" t="s">
        <v>84</v>
      </c>
      <c r="M195" s="2793" t="s">
        <v>1161</v>
      </c>
      <c r="N195" s="2794"/>
      <c r="O195" s="2795">
        <v>8252</v>
      </c>
      <c r="S195" s="2798" t="s">
        <v>1233</v>
      </c>
      <c r="T195" s="2798" t="s">
        <v>1234</v>
      </c>
      <c r="U195" s="2798" t="s">
        <v>47</v>
      </c>
      <c r="V195" s="2798">
        <v>1</v>
      </c>
      <c r="W195" s="2798">
        <v>1631</v>
      </c>
      <c r="X195" s="2798">
        <v>1</v>
      </c>
      <c r="Y195" s="2795" t="s">
        <v>295</v>
      </c>
    </row>
    <row r="196" spans="2:25">
      <c r="B196" s="2793">
        <v>6829.5349999999999</v>
      </c>
      <c r="C196" s="2793" t="s">
        <v>955</v>
      </c>
      <c r="D196" s="2793">
        <v>1</v>
      </c>
      <c r="E196" s="2793" t="s">
        <v>708</v>
      </c>
      <c r="F196" s="2793"/>
      <c r="G196" s="2793"/>
      <c r="H196" s="2793"/>
      <c r="I196" s="2793">
        <v>6829.5349999999999</v>
      </c>
      <c r="J196" s="2793" t="s">
        <v>84</v>
      </c>
      <c r="M196" s="2793" t="s">
        <v>1164</v>
      </c>
      <c r="N196" s="2794" t="s">
        <v>331</v>
      </c>
      <c r="O196" s="2795">
        <v>8253</v>
      </c>
      <c r="S196" s="2798" t="s">
        <v>1245</v>
      </c>
      <c r="T196" s="2798" t="s">
        <v>1280</v>
      </c>
      <c r="U196" s="2798" t="s">
        <v>47</v>
      </c>
      <c r="V196" s="2798">
        <v>1</v>
      </c>
      <c r="W196" s="2798">
        <v>1701</v>
      </c>
      <c r="X196" s="2798">
        <v>1</v>
      </c>
      <c r="Y196" s="2795" t="s">
        <v>295</v>
      </c>
    </row>
    <row r="197" spans="2:25">
      <c r="B197" s="2793">
        <v>6829.5360000000001</v>
      </c>
      <c r="C197" s="2793" t="s">
        <v>958</v>
      </c>
      <c r="D197" s="2793">
        <v>1</v>
      </c>
      <c r="E197" s="2793" t="s">
        <v>708</v>
      </c>
      <c r="F197" s="2793"/>
      <c r="G197" s="2793"/>
      <c r="H197" s="2793"/>
      <c r="I197" s="2793">
        <v>6829.5360000000001</v>
      </c>
      <c r="J197" s="2793" t="s">
        <v>84</v>
      </c>
      <c r="M197" s="2793" t="s">
        <v>1169</v>
      </c>
      <c r="N197" s="2794"/>
      <c r="O197" s="2795">
        <v>8256</v>
      </c>
      <c r="S197" s="2798" t="s">
        <v>1264</v>
      </c>
      <c r="T197" s="2798" t="s">
        <v>1265</v>
      </c>
      <c r="U197" s="2798" t="s">
        <v>47</v>
      </c>
      <c r="V197" s="2798">
        <v>1</v>
      </c>
      <c r="W197" s="2798">
        <v>1701</v>
      </c>
      <c r="X197" s="2798">
        <v>2</v>
      </c>
      <c r="Y197" s="2795" t="s">
        <v>295</v>
      </c>
    </row>
    <row r="198" spans="2:25">
      <c r="B198" s="2793">
        <v>6829.5370000000003</v>
      </c>
      <c r="C198" s="2793" t="s">
        <v>964</v>
      </c>
      <c r="D198" s="2793">
        <v>1</v>
      </c>
      <c r="E198" s="2793" t="s">
        <v>708</v>
      </c>
      <c r="F198" s="2793"/>
      <c r="G198" s="2793"/>
      <c r="H198" s="2793"/>
      <c r="I198" s="2793">
        <v>6829.5370000000003</v>
      </c>
      <c r="J198" s="2793" t="s">
        <v>84</v>
      </c>
      <c r="M198" s="2793" t="s">
        <v>1173</v>
      </c>
      <c r="N198" s="2794" t="s">
        <v>213</v>
      </c>
      <c r="O198" s="2795">
        <v>8261</v>
      </c>
      <c r="S198" s="2798" t="s">
        <v>1269</v>
      </c>
      <c r="T198" s="2798" t="s">
        <v>1270</v>
      </c>
      <c r="U198" s="2798" t="s">
        <v>47</v>
      </c>
      <c r="V198" s="2798">
        <v>1</v>
      </c>
      <c r="W198" s="2798">
        <v>1701</v>
      </c>
      <c r="X198" s="2798">
        <v>2</v>
      </c>
      <c r="Y198" s="2795" t="s">
        <v>295</v>
      </c>
    </row>
    <row r="199" spans="2:25">
      <c r="B199" s="2793">
        <v>6829.5389999999998</v>
      </c>
      <c r="C199" s="2793" t="s">
        <v>968</v>
      </c>
      <c r="D199" s="2793">
        <v>1</v>
      </c>
      <c r="E199" s="2793" t="s">
        <v>708</v>
      </c>
      <c r="F199" s="2793"/>
      <c r="G199" s="2793"/>
      <c r="H199" s="2793"/>
      <c r="I199" s="2793">
        <v>6829.5389999999998</v>
      </c>
      <c r="J199" s="2793" t="s">
        <v>84</v>
      </c>
      <c r="M199" s="2793" t="s">
        <v>1178</v>
      </c>
      <c r="N199" s="2794" t="s">
        <v>213</v>
      </c>
      <c r="O199" s="2795">
        <v>8262</v>
      </c>
      <c r="S199" s="2798" t="s">
        <v>6053</v>
      </c>
      <c r="T199" s="2798" t="s">
        <v>6055</v>
      </c>
      <c r="U199" s="2798" t="s">
        <v>47</v>
      </c>
      <c r="V199" s="2798">
        <v>1</v>
      </c>
      <c r="W199" s="2798">
        <v>1701</v>
      </c>
      <c r="X199" s="2798">
        <v>2</v>
      </c>
      <c r="Y199" s="2795" t="s">
        <v>295</v>
      </c>
    </row>
    <row r="200" spans="2:25">
      <c r="B200" s="2793">
        <v>6839</v>
      </c>
      <c r="C200" s="2793" t="s">
        <v>961</v>
      </c>
      <c r="D200" s="2793"/>
      <c r="E200" s="2793" t="s">
        <v>287</v>
      </c>
      <c r="F200" s="2793"/>
      <c r="G200" s="2793" t="s">
        <v>962</v>
      </c>
      <c r="H200" s="2793" t="s">
        <v>963</v>
      </c>
      <c r="I200" s="2793">
        <v>6839</v>
      </c>
      <c r="J200" s="2793"/>
      <c r="M200" s="2793" t="s">
        <v>1183</v>
      </c>
      <c r="N200" s="2794" t="s">
        <v>213</v>
      </c>
      <c r="O200" s="2795">
        <v>8263</v>
      </c>
      <c r="S200" s="2798" t="s">
        <v>6054</v>
      </c>
      <c r="T200" s="2798" t="s">
        <v>6056</v>
      </c>
      <c r="U200" s="2798" t="s">
        <v>47</v>
      </c>
      <c r="V200" s="2798">
        <v>1</v>
      </c>
      <c r="W200" s="2798">
        <v>1701</v>
      </c>
      <c r="X200" s="2798">
        <v>2</v>
      </c>
      <c r="Y200" s="2795" t="s">
        <v>295</v>
      </c>
    </row>
    <row r="201" spans="2:25">
      <c r="B201" s="2793">
        <v>6841</v>
      </c>
      <c r="C201" s="2793" t="s">
        <v>967</v>
      </c>
      <c r="D201" s="2793">
        <v>-1</v>
      </c>
      <c r="E201" s="2793" t="s">
        <v>708</v>
      </c>
      <c r="F201" s="2793"/>
      <c r="G201" s="2793" t="s">
        <v>5746</v>
      </c>
      <c r="H201" s="2793" t="s">
        <v>5747</v>
      </c>
      <c r="I201" s="2793">
        <v>6841</v>
      </c>
      <c r="J201" s="2793"/>
      <c r="M201" s="2793" t="s">
        <v>1184</v>
      </c>
      <c r="N201" s="2794"/>
      <c r="O201" s="2795">
        <v>8266</v>
      </c>
      <c r="S201" s="2798" t="s">
        <v>1274</v>
      </c>
      <c r="T201" s="2798" t="s">
        <v>1275</v>
      </c>
      <c r="U201" s="2798" t="s">
        <v>47</v>
      </c>
      <c r="V201" s="2798">
        <v>1</v>
      </c>
      <c r="W201" s="2798">
        <v>1701</v>
      </c>
      <c r="X201" s="2798">
        <v>2</v>
      </c>
      <c r="Y201" s="2795" t="s">
        <v>295</v>
      </c>
    </row>
    <row r="202" spans="2:25">
      <c r="B202" s="2793">
        <v>6842</v>
      </c>
      <c r="C202" s="2793" t="s">
        <v>970</v>
      </c>
      <c r="D202" s="2793">
        <v>1</v>
      </c>
      <c r="E202" s="2793" t="s">
        <v>708</v>
      </c>
      <c r="F202" s="2793"/>
      <c r="G202" s="2793" t="s">
        <v>5748</v>
      </c>
      <c r="H202" s="2793" t="s">
        <v>5748</v>
      </c>
      <c r="I202" s="2793">
        <v>6842</v>
      </c>
      <c r="J202" s="2793"/>
      <c r="M202" s="2793" t="s">
        <v>1185</v>
      </c>
      <c r="N202" s="2794"/>
      <c r="O202" s="2795">
        <v>8271</v>
      </c>
      <c r="S202" s="2798" t="s">
        <v>6066</v>
      </c>
      <c r="T202" s="2798" t="s">
        <v>1290</v>
      </c>
      <c r="U202" s="2798" t="s">
        <v>47</v>
      </c>
      <c r="V202" s="2798">
        <v>1</v>
      </c>
      <c r="W202" s="2798">
        <v>1700</v>
      </c>
      <c r="X202" s="2798">
        <v>1</v>
      </c>
      <c r="Y202" s="2795" t="s">
        <v>295</v>
      </c>
    </row>
    <row r="203" spans="2:25">
      <c r="B203" s="2793">
        <v>6820</v>
      </c>
      <c r="C203" s="2793" t="s">
        <v>891</v>
      </c>
      <c r="D203" s="2793"/>
      <c r="E203" s="2793" t="s">
        <v>41</v>
      </c>
      <c r="F203" s="2793"/>
      <c r="G203" s="2793" t="s">
        <v>892</v>
      </c>
      <c r="H203" s="2793" t="s">
        <v>5728</v>
      </c>
      <c r="I203" s="2793">
        <v>6820</v>
      </c>
      <c r="J203" s="2793"/>
      <c r="M203" s="2793" t="s">
        <v>1189</v>
      </c>
      <c r="N203" s="2794" t="s">
        <v>213</v>
      </c>
      <c r="O203" s="2795">
        <v>8272</v>
      </c>
      <c r="S203" s="2798" t="s">
        <v>1294</v>
      </c>
      <c r="T203" s="2798" t="s">
        <v>1295</v>
      </c>
      <c r="U203" s="2798" t="s">
        <v>3752</v>
      </c>
      <c r="V203" s="2798">
        <v>1</v>
      </c>
      <c r="W203" s="2798">
        <v>1711</v>
      </c>
      <c r="X203" s="2798">
        <v>1</v>
      </c>
      <c r="Y203" s="2795" t="s">
        <v>295</v>
      </c>
    </row>
    <row r="204" spans="2:25">
      <c r="B204" s="2793">
        <v>6821</v>
      </c>
      <c r="C204" s="2793" t="s">
        <v>896</v>
      </c>
      <c r="D204" s="2793"/>
      <c r="E204" s="2793"/>
      <c r="F204" s="2793"/>
      <c r="G204" s="2793" t="s">
        <v>5729</v>
      </c>
      <c r="H204" s="2793" t="s">
        <v>5730</v>
      </c>
      <c r="I204" s="2793">
        <v>6821</v>
      </c>
      <c r="J204" s="2793"/>
      <c r="M204" s="2793" t="s">
        <v>1192</v>
      </c>
      <c r="N204" s="2794" t="s">
        <v>213</v>
      </c>
      <c r="O204" s="2795">
        <v>8273</v>
      </c>
      <c r="S204" s="2798" t="s">
        <v>1300</v>
      </c>
      <c r="T204" s="2798" t="s">
        <v>583</v>
      </c>
      <c r="U204" s="2798" t="s">
        <v>3752</v>
      </c>
      <c r="V204" s="2798">
        <v>1</v>
      </c>
      <c r="W204" s="2798">
        <v>1711</v>
      </c>
      <c r="X204" s="2798">
        <v>2</v>
      </c>
      <c r="Y204" s="2795" t="s">
        <v>295</v>
      </c>
    </row>
    <row r="205" spans="2:25">
      <c r="B205" s="2793">
        <v>6822</v>
      </c>
      <c r="C205" s="2793" t="s">
        <v>900</v>
      </c>
      <c r="D205" s="2793"/>
      <c r="E205" s="2793"/>
      <c r="F205" s="2793"/>
      <c r="G205" s="2793" t="s">
        <v>5731</v>
      </c>
      <c r="H205" s="2793" t="s">
        <v>5732</v>
      </c>
      <c r="I205" s="2793">
        <v>6822</v>
      </c>
      <c r="J205" s="2793"/>
      <c r="M205" s="2793" t="s">
        <v>1195</v>
      </c>
      <c r="N205" s="2794" t="s">
        <v>331</v>
      </c>
      <c r="O205" s="2795">
        <v>8275</v>
      </c>
      <c r="S205" s="2798" t="s">
        <v>1304</v>
      </c>
      <c r="T205" s="2798" t="s">
        <v>1305</v>
      </c>
      <c r="U205" s="2798" t="s">
        <v>47</v>
      </c>
      <c r="V205" s="2798">
        <v>1</v>
      </c>
      <c r="W205" s="2798">
        <v>1801</v>
      </c>
      <c r="X205" s="2798">
        <v>1</v>
      </c>
      <c r="Y205" s="2795" t="s">
        <v>295</v>
      </c>
    </row>
    <row r="206" spans="2:25">
      <c r="B206" s="2793">
        <v>7</v>
      </c>
      <c r="C206" s="2793" t="s">
        <v>2238</v>
      </c>
      <c r="D206" s="2793"/>
      <c r="E206" s="2793" t="s">
        <v>41</v>
      </c>
      <c r="F206" s="2793"/>
      <c r="G206" s="2793" t="s">
        <v>2238</v>
      </c>
      <c r="H206" s="2793"/>
      <c r="I206" s="2793">
        <v>7</v>
      </c>
      <c r="J206" s="2793"/>
      <c r="M206" s="2793" t="s">
        <v>1197</v>
      </c>
      <c r="N206" s="2794" t="s">
        <v>999</v>
      </c>
      <c r="O206" s="2795">
        <v>8276</v>
      </c>
      <c r="S206" s="2798" t="s">
        <v>1310</v>
      </c>
      <c r="T206" s="2798" t="s">
        <v>1311</v>
      </c>
      <c r="U206" s="2798" t="s">
        <v>47</v>
      </c>
      <c r="V206" s="2798">
        <v>1</v>
      </c>
      <c r="W206" s="2798">
        <v>1801</v>
      </c>
      <c r="X206" s="2798">
        <v>2</v>
      </c>
      <c r="Y206" s="2795" t="s">
        <v>295</v>
      </c>
    </row>
    <row r="207" spans="2:25">
      <c r="B207" s="2793">
        <v>7000</v>
      </c>
      <c r="C207" s="2793" t="s">
        <v>2239</v>
      </c>
      <c r="D207" s="2793"/>
      <c r="E207" s="2793" t="s">
        <v>41</v>
      </c>
      <c r="F207" s="2793"/>
      <c r="G207" s="2793" t="s">
        <v>2240</v>
      </c>
      <c r="H207" s="2793" t="s">
        <v>4923</v>
      </c>
      <c r="I207" s="2793">
        <v>7000</v>
      </c>
      <c r="J207" s="2793"/>
      <c r="M207" s="2793" t="s">
        <v>1201</v>
      </c>
      <c r="N207" s="2794" t="s">
        <v>119</v>
      </c>
      <c r="O207" s="2795">
        <v>8277</v>
      </c>
      <c r="S207" s="2798" t="s">
        <v>1315</v>
      </c>
      <c r="T207" s="2798" t="s">
        <v>1316</v>
      </c>
      <c r="U207" s="2798" t="s">
        <v>47</v>
      </c>
      <c r="V207" s="2798">
        <v>-1</v>
      </c>
      <c r="W207" s="2798">
        <v>1811</v>
      </c>
      <c r="X207" s="2798">
        <v>1</v>
      </c>
      <c r="Y207" s="2795" t="s">
        <v>295</v>
      </c>
    </row>
    <row r="208" spans="2:25">
      <c r="B208" s="2793">
        <v>7001</v>
      </c>
      <c r="C208" s="2793" t="s">
        <v>11</v>
      </c>
      <c r="D208" s="2793">
        <v>1</v>
      </c>
      <c r="E208" s="2793"/>
      <c r="F208" s="2793"/>
      <c r="G208" s="2793" t="s">
        <v>2241</v>
      </c>
      <c r="H208" s="2793" t="s">
        <v>2241</v>
      </c>
      <c r="I208" s="2793">
        <v>7001</v>
      </c>
      <c r="J208" s="2793" t="s">
        <v>84</v>
      </c>
      <c r="M208" s="2793" t="s">
        <v>1204</v>
      </c>
      <c r="N208" s="2794" t="s">
        <v>213</v>
      </c>
      <c r="O208" s="2795">
        <v>8281</v>
      </c>
      <c r="S208" s="2798" t="s">
        <v>1321</v>
      </c>
      <c r="T208" s="2798" t="s">
        <v>1322</v>
      </c>
      <c r="U208" s="2798" t="s">
        <v>47</v>
      </c>
      <c r="V208" s="2798">
        <v>-1</v>
      </c>
      <c r="W208" s="2798">
        <v>2901</v>
      </c>
      <c r="X208" s="2798">
        <v>1</v>
      </c>
      <c r="Y208" s="2795" t="s">
        <v>295</v>
      </c>
    </row>
    <row r="209" spans="2:25">
      <c r="B209" s="2793">
        <v>7011</v>
      </c>
      <c r="C209" s="2793" t="s">
        <v>417</v>
      </c>
      <c r="D209" s="2793">
        <v>1</v>
      </c>
      <c r="E209" s="2793" t="s">
        <v>102</v>
      </c>
      <c r="F209" s="2793"/>
      <c r="G209" s="2793" t="s">
        <v>417</v>
      </c>
      <c r="H209" s="2793" t="s">
        <v>417</v>
      </c>
      <c r="I209" s="2793">
        <v>7011</v>
      </c>
      <c r="J209" s="2793" t="s">
        <v>84</v>
      </c>
      <c r="M209" s="2793" t="s">
        <v>1209</v>
      </c>
      <c r="N209" s="2794" t="s">
        <v>213</v>
      </c>
      <c r="O209" s="2795">
        <v>8282</v>
      </c>
      <c r="S209" s="2798" t="s">
        <v>1326</v>
      </c>
      <c r="T209" s="2798" t="s">
        <v>1327</v>
      </c>
      <c r="U209" s="2798" t="s">
        <v>47</v>
      </c>
      <c r="V209" s="2798">
        <v>-1</v>
      </c>
      <c r="W209" s="2798"/>
      <c r="X209" s="2798">
        <v>2</v>
      </c>
      <c r="Y209" s="2795" t="s">
        <v>295</v>
      </c>
    </row>
    <row r="210" spans="2:25">
      <c r="B210" s="2793">
        <v>7012</v>
      </c>
      <c r="C210" s="2793" t="s">
        <v>423</v>
      </c>
      <c r="D210" s="2793">
        <v>1</v>
      </c>
      <c r="E210" s="2793" t="s">
        <v>102</v>
      </c>
      <c r="F210" s="2793"/>
      <c r="G210" s="2793" t="s">
        <v>423</v>
      </c>
      <c r="H210" s="2793" t="s">
        <v>423</v>
      </c>
      <c r="I210" s="2793">
        <v>7012</v>
      </c>
      <c r="J210" s="2793" t="s">
        <v>84</v>
      </c>
      <c r="M210" s="2793" t="s">
        <v>1214</v>
      </c>
      <c r="N210" s="2794"/>
      <c r="O210" s="2795">
        <v>8296</v>
      </c>
      <c r="S210" s="2798" t="s">
        <v>1331</v>
      </c>
      <c r="T210" s="2798" t="s">
        <v>1332</v>
      </c>
      <c r="U210" s="2798" t="s">
        <v>47</v>
      </c>
      <c r="V210" s="2798">
        <v>-1</v>
      </c>
      <c r="W210" s="2798"/>
      <c r="X210" s="2798">
        <v>2</v>
      </c>
      <c r="Y210" s="2795" t="s">
        <v>295</v>
      </c>
    </row>
    <row r="211" spans="2:25">
      <c r="B211" s="2793">
        <v>7013</v>
      </c>
      <c r="C211" s="2793" t="s">
        <v>430</v>
      </c>
      <c r="D211" s="2793">
        <v>1</v>
      </c>
      <c r="E211" s="2793" t="s">
        <v>102</v>
      </c>
      <c r="F211" s="2793"/>
      <c r="G211" s="2793" t="s">
        <v>430</v>
      </c>
      <c r="H211" s="2793" t="s">
        <v>430</v>
      </c>
      <c r="I211" s="2793">
        <v>7013</v>
      </c>
      <c r="J211" s="2793" t="s">
        <v>84</v>
      </c>
      <c r="M211" s="2793" t="s">
        <v>1218</v>
      </c>
      <c r="N211" s="2794"/>
      <c r="O211" s="2795">
        <v>8301</v>
      </c>
      <c r="S211" s="2798" t="s">
        <v>1336</v>
      </c>
      <c r="T211" s="2798" t="s">
        <v>1337</v>
      </c>
      <c r="U211" s="2798" t="s">
        <v>3799</v>
      </c>
      <c r="V211" s="2798">
        <v>-1</v>
      </c>
      <c r="W211" s="2798"/>
      <c r="X211" s="2798">
        <v>2</v>
      </c>
      <c r="Y211" s="2795" t="s">
        <v>295</v>
      </c>
    </row>
    <row r="212" spans="2:25">
      <c r="B212" s="2793">
        <v>7014</v>
      </c>
      <c r="C212" s="2793" t="s">
        <v>320</v>
      </c>
      <c r="D212" s="2793">
        <v>1</v>
      </c>
      <c r="E212" s="2793" t="s">
        <v>102</v>
      </c>
      <c r="F212" s="2793"/>
      <c r="G212" s="2793" t="s">
        <v>320</v>
      </c>
      <c r="H212" s="2793" t="s">
        <v>320</v>
      </c>
      <c r="I212" s="2793">
        <v>7014</v>
      </c>
      <c r="J212" s="2793" t="s">
        <v>84</v>
      </c>
      <c r="M212" s="2793" t="s">
        <v>1222</v>
      </c>
      <c r="N212" s="2794"/>
      <c r="O212" s="2795">
        <v>8302</v>
      </c>
      <c r="S212" s="2798" t="s">
        <v>1341</v>
      </c>
      <c r="T212" s="2798" t="s">
        <v>1342</v>
      </c>
      <c r="U212" s="2798" t="s">
        <v>47</v>
      </c>
      <c r="V212" s="2798">
        <v>1</v>
      </c>
      <c r="W212" s="2798">
        <v>1996</v>
      </c>
      <c r="X212" s="2798">
        <v>1</v>
      </c>
      <c r="Y212" s="2795" t="s">
        <v>295</v>
      </c>
    </row>
    <row r="213" spans="2:25">
      <c r="B213" s="2793">
        <v>7015</v>
      </c>
      <c r="C213" s="2793" t="s">
        <v>5733</v>
      </c>
      <c r="D213" s="2793">
        <v>1</v>
      </c>
      <c r="E213" s="2793" t="s">
        <v>102</v>
      </c>
      <c r="F213" s="2793"/>
      <c r="G213" s="2793" t="s">
        <v>5733</v>
      </c>
      <c r="H213" s="2793" t="s">
        <v>5733</v>
      </c>
      <c r="I213" s="2793">
        <v>7015</v>
      </c>
      <c r="J213" s="2793" t="s">
        <v>84</v>
      </c>
      <c r="M213" s="2793" t="s">
        <v>1227</v>
      </c>
      <c r="N213" s="2794"/>
      <c r="O213" s="2795">
        <v>8303</v>
      </c>
      <c r="S213" s="2798" t="s">
        <v>1357</v>
      </c>
      <c r="T213" s="2798" t="s">
        <v>1358</v>
      </c>
      <c r="U213" s="2798" t="s">
        <v>1359</v>
      </c>
      <c r="V213" s="2798">
        <v>1</v>
      </c>
      <c r="W213" s="2798">
        <v>2001</v>
      </c>
      <c r="X213" s="2798">
        <v>1</v>
      </c>
      <c r="Y213" s="2795" t="s">
        <v>295</v>
      </c>
    </row>
    <row r="214" spans="2:25">
      <c r="B214" s="2793">
        <v>7016</v>
      </c>
      <c r="C214" s="2793" t="s">
        <v>333</v>
      </c>
      <c r="D214" s="2793">
        <v>1</v>
      </c>
      <c r="E214" s="2793" t="s">
        <v>102</v>
      </c>
      <c r="F214" s="2793"/>
      <c r="G214" s="2793" t="s">
        <v>333</v>
      </c>
      <c r="H214" s="2793" t="s">
        <v>333</v>
      </c>
      <c r="I214" s="2793">
        <v>7016</v>
      </c>
      <c r="J214" s="2793" t="s">
        <v>84</v>
      </c>
      <c r="M214" s="2793" t="s">
        <v>1232</v>
      </c>
      <c r="N214" s="2794" t="s">
        <v>708</v>
      </c>
      <c r="O214" s="2795">
        <v>8304</v>
      </c>
      <c r="S214" s="2798" t="s">
        <v>1369</v>
      </c>
      <c r="T214" s="2798" t="s">
        <v>1370</v>
      </c>
      <c r="U214" s="2798" t="s">
        <v>1365</v>
      </c>
      <c r="V214" s="2798">
        <v>1</v>
      </c>
      <c r="W214" s="2798">
        <v>2001</v>
      </c>
      <c r="X214" s="2798">
        <v>2</v>
      </c>
      <c r="Y214" s="2795" t="s">
        <v>295</v>
      </c>
    </row>
    <row r="215" spans="2:25">
      <c r="B215" s="2793">
        <v>7023</v>
      </c>
      <c r="C215" s="2793" t="s">
        <v>347</v>
      </c>
      <c r="D215" s="2793">
        <v>1</v>
      </c>
      <c r="E215" s="2793" t="s">
        <v>102</v>
      </c>
      <c r="F215" s="2793"/>
      <c r="G215" s="2793" t="s">
        <v>5734</v>
      </c>
      <c r="H215" s="2793" t="s">
        <v>5734</v>
      </c>
      <c r="I215" s="2793">
        <v>7023</v>
      </c>
      <c r="J215" s="2793" t="s">
        <v>84</v>
      </c>
      <c r="M215" s="2793" t="s">
        <v>1239</v>
      </c>
      <c r="N215" s="2794" t="s">
        <v>999</v>
      </c>
      <c r="O215" s="2795">
        <v>8309</v>
      </c>
      <c r="S215" s="2798" t="s">
        <v>1375</v>
      </c>
      <c r="T215" s="2798" t="s">
        <v>1376</v>
      </c>
      <c r="U215" s="2798" t="s">
        <v>1365</v>
      </c>
      <c r="V215" s="2798">
        <v>1</v>
      </c>
      <c r="W215" s="2798">
        <v>2001</v>
      </c>
      <c r="X215" s="2798">
        <v>2</v>
      </c>
      <c r="Y215" s="2795" t="s">
        <v>295</v>
      </c>
    </row>
    <row r="216" spans="2:25">
      <c r="B216" s="2793">
        <v>7025</v>
      </c>
      <c r="C216" s="2793" t="s">
        <v>355</v>
      </c>
      <c r="D216" s="2793">
        <v>1</v>
      </c>
      <c r="E216" s="2793" t="s">
        <v>102</v>
      </c>
      <c r="F216" s="2793"/>
      <c r="G216" s="2793" t="s">
        <v>355</v>
      </c>
      <c r="H216" s="2793" t="s">
        <v>355</v>
      </c>
      <c r="I216" s="2793">
        <v>7025</v>
      </c>
      <c r="J216" s="2793" t="s">
        <v>84</v>
      </c>
      <c r="M216" s="2793" t="s">
        <v>1244</v>
      </c>
      <c r="N216" s="2794" t="s">
        <v>213</v>
      </c>
      <c r="O216" s="2795">
        <v>8321</v>
      </c>
      <c r="S216" s="2798" t="s">
        <v>1380</v>
      </c>
      <c r="T216" s="2798" t="s">
        <v>1381</v>
      </c>
      <c r="U216" s="2798" t="s">
        <v>1365</v>
      </c>
      <c r="V216" s="2798">
        <v>1</v>
      </c>
      <c r="W216" s="2798">
        <v>2001</v>
      </c>
      <c r="X216" s="2798">
        <v>2</v>
      </c>
      <c r="Y216" s="2795" t="s">
        <v>295</v>
      </c>
    </row>
    <row r="217" spans="2:25">
      <c r="B217" s="2793">
        <v>7026</v>
      </c>
      <c r="C217" s="2793" t="s">
        <v>363</v>
      </c>
      <c r="D217" s="2793">
        <v>1</v>
      </c>
      <c r="E217" s="2793" t="s">
        <v>102</v>
      </c>
      <c r="F217" s="2793"/>
      <c r="G217" s="2793" t="s">
        <v>363</v>
      </c>
      <c r="H217" s="2793" t="s">
        <v>363</v>
      </c>
      <c r="I217" s="2793">
        <v>7026</v>
      </c>
      <c r="J217" s="2793" t="s">
        <v>84</v>
      </c>
      <c r="M217" s="2793" t="s">
        <v>1249</v>
      </c>
      <c r="N217" s="2794" t="s">
        <v>213</v>
      </c>
      <c r="O217" s="2795">
        <v>8330</v>
      </c>
      <c r="S217" s="2798" t="s">
        <v>1363</v>
      </c>
      <c r="T217" s="2798" t="s">
        <v>1364</v>
      </c>
      <c r="U217" s="2798" t="s">
        <v>1365</v>
      </c>
      <c r="V217" s="2798">
        <v>1</v>
      </c>
      <c r="W217" s="2798">
        <v>2001</v>
      </c>
      <c r="X217" s="2798">
        <v>2</v>
      </c>
      <c r="Y217" s="2795" t="s">
        <v>295</v>
      </c>
    </row>
    <row r="218" spans="2:25">
      <c r="B218" s="2793">
        <v>7024</v>
      </c>
      <c r="C218" s="2793" t="s">
        <v>5735</v>
      </c>
      <c r="D218" s="2793">
        <v>1</v>
      </c>
      <c r="E218" s="2793" t="s">
        <v>102</v>
      </c>
      <c r="F218" s="2793"/>
      <c r="G218" s="2793" t="s">
        <v>5735</v>
      </c>
      <c r="H218" s="2793" t="s">
        <v>5735</v>
      </c>
      <c r="I218" s="2793">
        <v>7023</v>
      </c>
      <c r="J218" s="2793" t="s">
        <v>84</v>
      </c>
      <c r="M218" s="2793" t="s">
        <v>1254</v>
      </c>
      <c r="N218" s="2794"/>
      <c r="O218" s="2795">
        <v>8340</v>
      </c>
      <c r="S218" s="2798" t="s">
        <v>1385</v>
      </c>
      <c r="T218" s="2798" t="s">
        <v>1386</v>
      </c>
      <c r="U218" s="2798" t="s">
        <v>1371</v>
      </c>
      <c r="V218" s="2798">
        <v>1</v>
      </c>
      <c r="W218" s="2798">
        <v>2001</v>
      </c>
      <c r="X218" s="2798">
        <v>2</v>
      </c>
      <c r="Y218" s="2795" t="s">
        <v>295</v>
      </c>
    </row>
    <row r="219" spans="2:25">
      <c r="B219" s="2793">
        <v>7031</v>
      </c>
      <c r="C219" s="2793" t="s">
        <v>43</v>
      </c>
      <c r="D219" s="2793">
        <v>1</v>
      </c>
      <c r="E219" s="2793"/>
      <c r="F219" s="2793"/>
      <c r="G219" s="2793" t="s">
        <v>43</v>
      </c>
      <c r="H219" s="2793" t="s">
        <v>43</v>
      </c>
      <c r="I219" s="2793">
        <v>7031</v>
      </c>
      <c r="J219" s="2793" t="s">
        <v>84</v>
      </c>
      <c r="M219" s="2793" t="s">
        <v>1258</v>
      </c>
      <c r="N219" s="2794"/>
      <c r="O219" s="2795">
        <v>8351</v>
      </c>
      <c r="S219" s="2798" t="s">
        <v>1395</v>
      </c>
      <c r="T219" s="2798" t="s">
        <v>1396</v>
      </c>
      <c r="U219" s="2798" t="s">
        <v>47</v>
      </c>
      <c r="V219" s="2798">
        <v>1</v>
      </c>
      <c r="W219" s="2798">
        <v>2102</v>
      </c>
      <c r="X219" s="2798">
        <v>1</v>
      </c>
      <c r="Y219" s="2795" t="s">
        <v>295</v>
      </c>
    </row>
    <row r="220" spans="2:25">
      <c r="B220" s="2793">
        <v>7046</v>
      </c>
      <c r="C220" s="2793" t="s">
        <v>67</v>
      </c>
      <c r="D220" s="2793">
        <v>1</v>
      </c>
      <c r="E220" s="2793"/>
      <c r="F220" s="2793"/>
      <c r="G220" s="2793" t="s">
        <v>67</v>
      </c>
      <c r="H220" s="2793" t="s">
        <v>67</v>
      </c>
      <c r="I220" s="2793">
        <v>7046</v>
      </c>
      <c r="J220" s="2793" t="s">
        <v>84</v>
      </c>
      <c r="M220" s="2793" t="s">
        <v>1263</v>
      </c>
      <c r="N220" s="2794" t="s">
        <v>999</v>
      </c>
      <c r="O220" s="2795">
        <v>8352</v>
      </c>
      <c r="S220" s="2798" t="s">
        <v>1400</v>
      </c>
      <c r="T220" s="2798" t="s">
        <v>1401</v>
      </c>
      <c r="U220" s="2798" t="s">
        <v>47</v>
      </c>
      <c r="V220" s="2798">
        <v>1</v>
      </c>
      <c r="W220" s="2798">
        <v>2102</v>
      </c>
      <c r="X220" s="2798">
        <v>2</v>
      </c>
      <c r="Y220" s="2795" t="s">
        <v>295</v>
      </c>
    </row>
    <row r="221" spans="2:25">
      <c r="B221" s="2793">
        <v>7048</v>
      </c>
      <c r="C221" s="2793" t="s">
        <v>2242</v>
      </c>
      <c r="D221" s="2793"/>
      <c r="E221" s="2793" t="s">
        <v>287</v>
      </c>
      <c r="F221" s="2793"/>
      <c r="G221" s="2793" t="s">
        <v>2243</v>
      </c>
      <c r="H221" s="2793" t="s">
        <v>2243</v>
      </c>
      <c r="I221" s="2793">
        <v>7048</v>
      </c>
      <c r="J221" s="2793"/>
      <c r="M221" s="2793" t="s">
        <v>1268</v>
      </c>
      <c r="N221" s="2794" t="s">
        <v>331</v>
      </c>
      <c r="O221" s="2795">
        <v>8353</v>
      </c>
      <c r="S221" s="2798" t="s">
        <v>1390</v>
      </c>
      <c r="T221" s="2798" t="s">
        <v>1391</v>
      </c>
      <c r="U221" s="2798" t="s">
        <v>47</v>
      </c>
      <c r="V221" s="2798">
        <v>1</v>
      </c>
      <c r="W221" s="2798">
        <v>2101</v>
      </c>
      <c r="X221" s="2798">
        <v>1</v>
      </c>
      <c r="Y221" s="2795" t="s">
        <v>295</v>
      </c>
    </row>
    <row r="222" spans="2:25">
      <c r="B222" s="2793">
        <v>7051</v>
      </c>
      <c r="C222" s="2793" t="s">
        <v>86</v>
      </c>
      <c r="D222" s="2793">
        <v>-1</v>
      </c>
      <c r="E222" s="2793"/>
      <c r="F222" s="2793"/>
      <c r="G222" s="2793" t="s">
        <v>2244</v>
      </c>
      <c r="H222" s="2793" t="s">
        <v>2244</v>
      </c>
      <c r="I222" s="2793">
        <v>7051</v>
      </c>
      <c r="J222" s="2793" t="s">
        <v>84</v>
      </c>
      <c r="M222" s="2793" t="s">
        <v>1273</v>
      </c>
      <c r="N222" s="2794" t="s">
        <v>999</v>
      </c>
      <c r="O222" s="2795">
        <v>8356</v>
      </c>
      <c r="S222" s="2798" t="s">
        <v>1405</v>
      </c>
      <c r="T222" s="2798" t="s">
        <v>1406</v>
      </c>
      <c r="U222" s="2798" t="s">
        <v>47</v>
      </c>
      <c r="V222" s="2798">
        <v>1</v>
      </c>
      <c r="W222" s="2798">
        <v>2115</v>
      </c>
      <c r="X222" s="2798">
        <v>1</v>
      </c>
      <c r="Y222" s="2795" t="s">
        <v>295</v>
      </c>
    </row>
    <row r="223" spans="2:25">
      <c r="B223" s="2793">
        <v>7053</v>
      </c>
      <c r="C223" s="2793" t="s">
        <v>370</v>
      </c>
      <c r="D223" s="2793">
        <v>-1</v>
      </c>
      <c r="E223" s="2793" t="s">
        <v>102</v>
      </c>
      <c r="F223" s="2793"/>
      <c r="G223" s="2793" t="s">
        <v>370</v>
      </c>
      <c r="H223" s="2793" t="s">
        <v>370</v>
      </c>
      <c r="I223" s="2793">
        <v>7053</v>
      </c>
      <c r="J223" s="2793" t="s">
        <v>84</v>
      </c>
      <c r="M223" s="2793" t="s">
        <v>1278</v>
      </c>
      <c r="N223" s="2794" t="s">
        <v>213</v>
      </c>
      <c r="O223" s="2795">
        <v>8361</v>
      </c>
      <c r="S223" s="2798" t="s">
        <v>1410</v>
      </c>
      <c r="T223" s="2798" t="s">
        <v>1411</v>
      </c>
      <c r="U223" s="2798" t="s">
        <v>1412</v>
      </c>
      <c r="V223" s="2798">
        <v>1</v>
      </c>
      <c r="W223" s="2798">
        <v>2201</v>
      </c>
      <c r="X223" s="2798">
        <v>1</v>
      </c>
      <c r="Y223" s="2795" t="s">
        <v>295</v>
      </c>
    </row>
    <row r="224" spans="2:25">
      <c r="B224" s="2793">
        <v>7054</v>
      </c>
      <c r="C224" s="2793" t="s">
        <v>377</v>
      </c>
      <c r="D224" s="2793">
        <v>-1</v>
      </c>
      <c r="E224" s="2793" t="s">
        <v>102</v>
      </c>
      <c r="F224" s="2793"/>
      <c r="G224" s="2793" t="s">
        <v>377</v>
      </c>
      <c r="H224" s="2793" t="s">
        <v>377</v>
      </c>
      <c r="I224" s="2793">
        <v>7054</v>
      </c>
      <c r="J224" s="2793" t="s">
        <v>84</v>
      </c>
      <c r="M224" s="2793" t="s">
        <v>1283</v>
      </c>
      <c r="N224" s="2794" t="s">
        <v>213</v>
      </c>
      <c r="O224" s="2795">
        <v>8362</v>
      </c>
      <c r="S224" s="2798" t="s">
        <v>1416</v>
      </c>
      <c r="T224" s="2798" t="s">
        <v>1417</v>
      </c>
      <c r="U224" s="2798" t="s">
        <v>47</v>
      </c>
      <c r="V224" s="2798">
        <v>1</v>
      </c>
      <c r="W224" s="2798">
        <v>2202</v>
      </c>
      <c r="X224" s="2798">
        <v>1</v>
      </c>
      <c r="Y224" s="2795" t="s">
        <v>295</v>
      </c>
    </row>
    <row r="225" spans="2:25">
      <c r="B225" s="2793">
        <v>7055</v>
      </c>
      <c r="C225" s="2793" t="s">
        <v>384</v>
      </c>
      <c r="D225" s="2793">
        <v>-1</v>
      </c>
      <c r="E225" s="2793" t="s">
        <v>102</v>
      </c>
      <c r="F225" s="2793"/>
      <c r="G225" s="2793" t="s">
        <v>384</v>
      </c>
      <c r="H225" s="2793" t="s">
        <v>384</v>
      </c>
      <c r="I225" s="2793">
        <v>7055</v>
      </c>
      <c r="J225" s="2793" t="s">
        <v>84</v>
      </c>
      <c r="M225" s="2793" t="s">
        <v>1288</v>
      </c>
      <c r="N225" s="2794" t="s">
        <v>999</v>
      </c>
      <c r="O225" s="2795">
        <v>8363</v>
      </c>
      <c r="S225" s="2801" t="s">
        <v>1427</v>
      </c>
      <c r="T225" s="2798" t="s">
        <v>1428</v>
      </c>
      <c r="U225" s="2798" t="s">
        <v>1439</v>
      </c>
      <c r="V225" s="2798">
        <v>1</v>
      </c>
      <c r="W225" s="2798">
        <v>2202</v>
      </c>
      <c r="X225" s="2798">
        <v>1</v>
      </c>
      <c r="Y225" s="2795" t="s">
        <v>295</v>
      </c>
    </row>
    <row r="226" spans="2:25">
      <c r="B226" s="2793">
        <v>7058</v>
      </c>
      <c r="C226" s="2793" t="s">
        <v>5736</v>
      </c>
      <c r="D226" s="2793">
        <v>-1</v>
      </c>
      <c r="E226" s="2793" t="s">
        <v>102</v>
      </c>
      <c r="F226" s="2793"/>
      <c r="G226" s="2793" t="s">
        <v>5736</v>
      </c>
      <c r="H226" s="2793" t="s">
        <v>5736</v>
      </c>
      <c r="I226" s="2793">
        <v>7055</v>
      </c>
      <c r="J226" s="2793" t="s">
        <v>84</v>
      </c>
      <c r="M226" s="2793" t="s">
        <v>1293</v>
      </c>
      <c r="N226" s="2794" t="s">
        <v>999</v>
      </c>
      <c r="O226" s="2795">
        <v>8366</v>
      </c>
      <c r="S226" s="2798" t="s">
        <v>1421</v>
      </c>
      <c r="T226" s="2798" t="s">
        <v>1422</v>
      </c>
      <c r="U226" s="2798" t="s">
        <v>47</v>
      </c>
      <c r="V226" s="2798">
        <v>1</v>
      </c>
      <c r="W226" s="2798">
        <v>2202</v>
      </c>
      <c r="X226" s="2798">
        <v>2</v>
      </c>
      <c r="Y226" s="2795" t="s">
        <v>295</v>
      </c>
    </row>
    <row r="227" spans="2:25">
      <c r="B227" s="2793">
        <v>7056</v>
      </c>
      <c r="C227" s="2793" t="s">
        <v>390</v>
      </c>
      <c r="D227" s="2793">
        <v>-1</v>
      </c>
      <c r="E227" s="2793" t="s">
        <v>102</v>
      </c>
      <c r="F227" s="2793"/>
      <c r="G227" s="2793" t="s">
        <v>5737</v>
      </c>
      <c r="H227" s="2793" t="s">
        <v>5737</v>
      </c>
      <c r="I227" s="2793">
        <v>7056</v>
      </c>
      <c r="J227" s="2793" t="s">
        <v>84</v>
      </c>
      <c r="M227" s="2793" t="s">
        <v>1299</v>
      </c>
      <c r="N227" s="2794" t="s">
        <v>213</v>
      </c>
      <c r="O227" s="2795">
        <v>8371</v>
      </c>
      <c r="S227" s="2798" t="s">
        <v>1437</v>
      </c>
      <c r="T227" s="2798" t="s">
        <v>1438</v>
      </c>
      <c r="U227" s="2798" t="s">
        <v>1371</v>
      </c>
      <c r="V227" s="2798">
        <v>1</v>
      </c>
      <c r="W227" s="2798">
        <v>2202</v>
      </c>
      <c r="X227" s="2798">
        <v>2</v>
      </c>
      <c r="Y227" s="2795" t="s">
        <v>295</v>
      </c>
    </row>
    <row r="228" spans="2:25">
      <c r="B228" s="2793">
        <v>7057</v>
      </c>
      <c r="C228" s="2793" t="s">
        <v>397</v>
      </c>
      <c r="D228" s="2793">
        <v>-1</v>
      </c>
      <c r="E228" s="2793" t="s">
        <v>102</v>
      </c>
      <c r="F228" s="2793"/>
      <c r="G228" s="2793" t="s">
        <v>397</v>
      </c>
      <c r="H228" s="2793" t="s">
        <v>397</v>
      </c>
      <c r="I228" s="2793">
        <v>7057</v>
      </c>
      <c r="J228" s="2793" t="s">
        <v>84</v>
      </c>
      <c r="M228" s="2793" t="s">
        <v>1303</v>
      </c>
      <c r="N228" s="2794" t="s">
        <v>213</v>
      </c>
      <c r="O228" s="2795">
        <v>8372</v>
      </c>
      <c r="S228" s="2798" t="s">
        <v>1432</v>
      </c>
      <c r="T228" s="2798" t="s">
        <v>1433</v>
      </c>
      <c r="U228" s="2798" t="s">
        <v>1423</v>
      </c>
      <c r="V228" s="2798">
        <v>1</v>
      </c>
      <c r="W228" s="2798">
        <v>2202</v>
      </c>
      <c r="X228" s="2798">
        <v>2</v>
      </c>
      <c r="Y228" s="2795" t="s">
        <v>295</v>
      </c>
    </row>
    <row r="229" spans="2:25">
      <c r="B229" s="2793">
        <v>7061</v>
      </c>
      <c r="C229" s="2793" t="s">
        <v>104</v>
      </c>
      <c r="D229" s="2793">
        <v>-1</v>
      </c>
      <c r="E229" s="2793"/>
      <c r="F229" s="2793"/>
      <c r="G229" s="2793" t="s">
        <v>104</v>
      </c>
      <c r="H229" s="2793" t="s">
        <v>104</v>
      </c>
      <c r="I229" s="2793">
        <v>7061</v>
      </c>
      <c r="J229" s="2793" t="s">
        <v>84</v>
      </c>
      <c r="M229" s="2793" t="s">
        <v>1309</v>
      </c>
      <c r="N229" s="2794" t="s">
        <v>213</v>
      </c>
      <c r="O229" s="2795">
        <v>8373</v>
      </c>
      <c r="S229" s="2798" t="s">
        <v>1443</v>
      </c>
      <c r="T229" s="2798" t="s">
        <v>1444</v>
      </c>
      <c r="U229" s="2798" t="s">
        <v>3865</v>
      </c>
      <c r="V229" s="2798">
        <v>1</v>
      </c>
      <c r="W229" s="2798">
        <v>2202</v>
      </c>
      <c r="X229" s="2798">
        <v>2</v>
      </c>
      <c r="Y229" s="2795" t="s">
        <v>295</v>
      </c>
    </row>
    <row r="230" spans="2:25">
      <c r="B230" s="2793">
        <v>7071</v>
      </c>
      <c r="C230" s="2793" t="s">
        <v>120</v>
      </c>
      <c r="D230" s="2793">
        <v>-1</v>
      </c>
      <c r="E230" s="2793"/>
      <c r="F230" s="2793"/>
      <c r="G230" s="2793" t="s">
        <v>120</v>
      </c>
      <c r="H230" s="2793" t="s">
        <v>120</v>
      </c>
      <c r="I230" s="2793">
        <v>7071</v>
      </c>
      <c r="J230" s="2793" t="s">
        <v>84</v>
      </c>
      <c r="M230" s="2793" t="s">
        <v>1314</v>
      </c>
      <c r="N230" s="2794" t="s">
        <v>331</v>
      </c>
      <c r="O230" s="2795">
        <v>8375</v>
      </c>
      <c r="S230" s="2798" t="s">
        <v>1448</v>
      </c>
      <c r="T230" s="2798" t="s">
        <v>1449</v>
      </c>
      <c r="U230" s="2798" t="s">
        <v>1465</v>
      </c>
      <c r="V230" s="2798">
        <v>1</v>
      </c>
      <c r="W230" s="2798">
        <v>2202</v>
      </c>
      <c r="X230" s="2798">
        <v>2</v>
      </c>
      <c r="Y230" s="2795" t="s">
        <v>295</v>
      </c>
    </row>
    <row r="231" spans="2:25">
      <c r="B231" s="2793">
        <v>7096</v>
      </c>
      <c r="C231" s="2793" t="s">
        <v>133</v>
      </c>
      <c r="D231" s="2793">
        <v>-1</v>
      </c>
      <c r="E231" s="2793"/>
      <c r="F231" s="2793"/>
      <c r="G231" s="2793" t="s">
        <v>133</v>
      </c>
      <c r="H231" s="2793" t="s">
        <v>133</v>
      </c>
      <c r="I231" s="2793">
        <v>7096</v>
      </c>
      <c r="J231" s="2793" t="s">
        <v>84</v>
      </c>
      <c r="M231" s="2793" t="s">
        <v>1320</v>
      </c>
      <c r="N231" s="2794"/>
      <c r="O231" s="2795">
        <v>8376</v>
      </c>
      <c r="S231" s="2798" t="s">
        <v>1458</v>
      </c>
      <c r="T231" s="2798" t="s">
        <v>1459</v>
      </c>
      <c r="U231" s="2798" t="s">
        <v>47</v>
      </c>
      <c r="V231" s="2798">
        <v>1</v>
      </c>
      <c r="W231" s="2798">
        <v>2205</v>
      </c>
      <c r="X231" s="2798">
        <v>1</v>
      </c>
      <c r="Y231" s="2795" t="s">
        <v>295</v>
      </c>
    </row>
    <row r="232" spans="2:25">
      <c r="B232" s="2793">
        <v>7098</v>
      </c>
      <c r="C232" s="2793" t="s">
        <v>2245</v>
      </c>
      <c r="D232" s="2793"/>
      <c r="E232" s="2793" t="s">
        <v>287</v>
      </c>
      <c r="F232" s="2793"/>
      <c r="G232" s="2793" t="s">
        <v>2246</v>
      </c>
      <c r="H232" s="2793" t="s">
        <v>2246</v>
      </c>
      <c r="I232" s="2793">
        <v>7098</v>
      </c>
      <c r="J232" s="2793"/>
      <c r="M232" s="2793" t="s">
        <v>1325</v>
      </c>
      <c r="N232" s="2794" t="s">
        <v>119</v>
      </c>
      <c r="O232" s="2795">
        <v>8377</v>
      </c>
      <c r="S232" s="2798" t="s">
        <v>1490</v>
      </c>
      <c r="T232" s="2798" t="s">
        <v>1491</v>
      </c>
      <c r="U232" s="2798" t="s">
        <v>1439</v>
      </c>
      <c r="V232" s="2798">
        <v>1</v>
      </c>
      <c r="W232" s="2798">
        <v>2205</v>
      </c>
      <c r="X232" s="2798">
        <v>1</v>
      </c>
      <c r="Y232" s="2795" t="s">
        <v>295</v>
      </c>
    </row>
    <row r="233" spans="2:25">
      <c r="B233" s="2793">
        <v>7099</v>
      </c>
      <c r="C233" s="2793" t="s">
        <v>2247</v>
      </c>
      <c r="D233" s="2793"/>
      <c r="E233" s="2793" t="s">
        <v>287</v>
      </c>
      <c r="F233" s="2793"/>
      <c r="G233" s="2793" t="s">
        <v>2247</v>
      </c>
      <c r="H233" s="2793" t="s">
        <v>2247</v>
      </c>
      <c r="I233" s="2793">
        <v>7099</v>
      </c>
      <c r="J233" s="2793"/>
      <c r="M233" s="2793" t="s">
        <v>1330</v>
      </c>
      <c r="N233" s="2794" t="s">
        <v>213</v>
      </c>
      <c r="O233" s="2795">
        <v>8381</v>
      </c>
      <c r="S233" s="2798" t="s">
        <v>1463</v>
      </c>
      <c r="T233" s="2798" t="s">
        <v>1464</v>
      </c>
      <c r="U233" s="2798" t="s">
        <v>47</v>
      </c>
      <c r="V233" s="2798">
        <v>1</v>
      </c>
      <c r="W233" s="2798">
        <v>2205</v>
      </c>
      <c r="X233" s="2798">
        <v>2</v>
      </c>
      <c r="Y233" s="2795" t="s">
        <v>295</v>
      </c>
    </row>
    <row r="234" spans="2:25">
      <c r="B234" s="2793">
        <v>7100</v>
      </c>
      <c r="C234" s="2793" t="s">
        <v>2248</v>
      </c>
      <c r="D234" s="2793"/>
      <c r="E234" s="2793" t="s">
        <v>41</v>
      </c>
      <c r="F234" s="2793"/>
      <c r="G234" s="2793" t="s">
        <v>2249</v>
      </c>
      <c r="H234" s="2793" t="s">
        <v>4920</v>
      </c>
      <c r="I234" s="2793">
        <v>7100</v>
      </c>
      <c r="J234" s="2793"/>
      <c r="M234" s="2793" t="s">
        <v>1335</v>
      </c>
      <c r="N234" s="2794" t="s">
        <v>213</v>
      </c>
      <c r="O234" s="2795">
        <v>8382</v>
      </c>
      <c r="S234" s="2798" t="s">
        <v>1469</v>
      </c>
      <c r="T234" s="2798" t="s">
        <v>1470</v>
      </c>
      <c r="U234" s="2798" t="s">
        <v>47</v>
      </c>
      <c r="V234" s="2798">
        <v>1</v>
      </c>
      <c r="W234" s="2798">
        <v>2205</v>
      </c>
      <c r="X234" s="2798">
        <v>2</v>
      </c>
      <c r="Y234" s="2795" t="s">
        <v>295</v>
      </c>
    </row>
    <row r="235" spans="2:25">
      <c r="B235" s="2793">
        <v>7101</v>
      </c>
      <c r="C235" s="2793" t="s">
        <v>146</v>
      </c>
      <c r="D235" s="2793">
        <v>1</v>
      </c>
      <c r="E235" s="2793"/>
      <c r="F235" s="2793"/>
      <c r="G235" s="2793" t="s">
        <v>146</v>
      </c>
      <c r="H235" s="2793" t="s">
        <v>146</v>
      </c>
      <c r="I235" s="2793">
        <v>7101</v>
      </c>
      <c r="J235" s="2793" t="s">
        <v>84</v>
      </c>
      <c r="M235" s="2793" t="s">
        <v>1340</v>
      </c>
      <c r="N235" s="2794" t="s">
        <v>999</v>
      </c>
      <c r="O235" s="2795">
        <v>8396</v>
      </c>
      <c r="S235" s="2798" t="s">
        <v>1485</v>
      </c>
      <c r="T235" s="2798" t="s">
        <v>1486</v>
      </c>
      <c r="U235" s="2798" t="s">
        <v>1476</v>
      </c>
      <c r="V235" s="2798">
        <v>1</v>
      </c>
      <c r="W235" s="2798">
        <v>2205</v>
      </c>
      <c r="X235" s="2798">
        <v>2</v>
      </c>
      <c r="Y235" s="2795" t="s">
        <v>295</v>
      </c>
    </row>
    <row r="236" spans="2:25">
      <c r="B236" s="2793">
        <v>7105</v>
      </c>
      <c r="C236" s="2793" t="s">
        <v>157</v>
      </c>
      <c r="D236" s="2793">
        <v>1</v>
      </c>
      <c r="E236" s="2793"/>
      <c r="F236" s="2793"/>
      <c r="G236" s="2793" t="s">
        <v>157</v>
      </c>
      <c r="H236" s="2793" t="s">
        <v>157</v>
      </c>
      <c r="I236" s="2793">
        <v>7105</v>
      </c>
      <c r="J236" s="2793" t="s">
        <v>84</v>
      </c>
      <c r="M236" s="2793" t="s">
        <v>1346</v>
      </c>
      <c r="N236" s="2794"/>
      <c r="O236" s="2795">
        <v>8401</v>
      </c>
      <c r="S236" s="2798" t="s">
        <v>1474</v>
      </c>
      <c r="T236" s="2798" t="s">
        <v>1475</v>
      </c>
      <c r="U236" s="2798" t="s">
        <v>1423</v>
      </c>
      <c r="V236" s="2798">
        <v>1</v>
      </c>
      <c r="W236" s="2798">
        <v>2205</v>
      </c>
      <c r="X236" s="2798">
        <v>2</v>
      </c>
      <c r="Y236" s="2795" t="s">
        <v>295</v>
      </c>
    </row>
    <row r="237" spans="2:25">
      <c r="B237" s="2793">
        <v>7111</v>
      </c>
      <c r="C237" s="2793" t="s">
        <v>168</v>
      </c>
      <c r="D237" s="2793">
        <v>1</v>
      </c>
      <c r="E237" s="2793"/>
      <c r="F237" s="2793"/>
      <c r="G237" s="2793" t="s">
        <v>2250</v>
      </c>
      <c r="H237" s="2793" t="s">
        <v>2250</v>
      </c>
      <c r="I237" s="2793">
        <v>7111</v>
      </c>
      <c r="J237" s="2793" t="s">
        <v>84</v>
      </c>
      <c r="M237" s="2793" t="s">
        <v>1350</v>
      </c>
      <c r="N237" s="2794"/>
      <c r="O237" s="2795">
        <v>8402</v>
      </c>
      <c r="S237" s="2798" t="s">
        <v>1495</v>
      </c>
      <c r="T237" s="2798" t="s">
        <v>1496</v>
      </c>
      <c r="U237" s="2798" t="s">
        <v>1465</v>
      </c>
      <c r="V237" s="2798">
        <v>1</v>
      </c>
      <c r="W237" s="2798">
        <v>2205</v>
      </c>
      <c r="X237" s="2798">
        <v>2</v>
      </c>
      <c r="Y237" s="2795" t="s">
        <v>295</v>
      </c>
    </row>
    <row r="238" spans="2:25">
      <c r="B238" s="2793">
        <v>7121</v>
      </c>
      <c r="C238" s="2793" t="s">
        <v>176</v>
      </c>
      <c r="D238" s="2793">
        <v>1</v>
      </c>
      <c r="E238" s="2793"/>
      <c r="F238" s="2793"/>
      <c r="G238" s="2793" t="s">
        <v>176</v>
      </c>
      <c r="H238" s="2793" t="s">
        <v>2251</v>
      </c>
      <c r="I238" s="2793">
        <v>7121</v>
      </c>
      <c r="J238" s="2793" t="s">
        <v>84</v>
      </c>
      <c r="M238" s="2793" t="s">
        <v>1356</v>
      </c>
      <c r="N238" s="2794"/>
      <c r="O238" s="2795">
        <v>8403</v>
      </c>
      <c r="S238" s="2798" t="s">
        <v>1500</v>
      </c>
      <c r="T238" s="2798" t="s">
        <v>1501</v>
      </c>
      <c r="U238" s="2798" t="s">
        <v>47</v>
      </c>
      <c r="V238" s="2798">
        <v>1</v>
      </c>
      <c r="W238" s="2798">
        <v>2211</v>
      </c>
      <c r="X238" s="2798">
        <v>1</v>
      </c>
      <c r="Y238" s="2795" t="s">
        <v>295</v>
      </c>
    </row>
    <row r="239" spans="2:25">
      <c r="B239" s="2793">
        <v>7146</v>
      </c>
      <c r="C239" s="2793" t="s">
        <v>187</v>
      </c>
      <c r="D239" s="2793">
        <v>1</v>
      </c>
      <c r="E239" s="2793"/>
      <c r="F239" s="2793"/>
      <c r="G239" s="2793" t="s">
        <v>187</v>
      </c>
      <c r="H239" s="2793" t="s">
        <v>187</v>
      </c>
      <c r="I239" s="2793">
        <v>7146</v>
      </c>
      <c r="J239" s="2793" t="s">
        <v>84</v>
      </c>
      <c r="M239" s="2793" t="s">
        <v>1362</v>
      </c>
      <c r="N239" s="2794" t="s">
        <v>708</v>
      </c>
      <c r="O239" s="2795">
        <v>8404</v>
      </c>
      <c r="S239" s="2798" t="s">
        <v>1505</v>
      </c>
      <c r="T239" s="2798" t="s">
        <v>1506</v>
      </c>
      <c r="U239" s="2798" t="s">
        <v>47</v>
      </c>
      <c r="V239" s="2798">
        <v>1</v>
      </c>
      <c r="W239" s="2798">
        <v>2211</v>
      </c>
      <c r="X239" s="2798">
        <v>2</v>
      </c>
      <c r="Y239" s="2795" t="s">
        <v>295</v>
      </c>
    </row>
    <row r="240" spans="2:25">
      <c r="B240" s="2793">
        <v>7148</v>
      </c>
      <c r="C240" s="2793" t="s">
        <v>2252</v>
      </c>
      <c r="D240" s="2793"/>
      <c r="E240" s="2793" t="s">
        <v>287</v>
      </c>
      <c r="F240" s="2793"/>
      <c r="G240" s="2793" t="s">
        <v>2253</v>
      </c>
      <c r="H240" s="2793" t="s">
        <v>2253</v>
      </c>
      <c r="I240" s="2793">
        <v>7148</v>
      </c>
      <c r="J240" s="2793"/>
      <c r="M240" s="2793" t="s">
        <v>1368</v>
      </c>
      <c r="N240" s="2794" t="s">
        <v>999</v>
      </c>
      <c r="O240" s="2795">
        <v>8409</v>
      </c>
      <c r="S240" s="2798" t="s">
        <v>1510</v>
      </c>
      <c r="T240" s="2798" t="s">
        <v>1511</v>
      </c>
      <c r="U240" s="2798" t="s">
        <v>47</v>
      </c>
      <c r="V240" s="2798">
        <v>1</v>
      </c>
      <c r="W240" s="2798">
        <v>2211</v>
      </c>
      <c r="X240" s="2798">
        <v>2</v>
      </c>
      <c r="Y240" s="2795" t="s">
        <v>295</v>
      </c>
    </row>
    <row r="241" spans="2:25">
      <c r="B241" s="2793">
        <v>7151</v>
      </c>
      <c r="C241" s="2793" t="s">
        <v>197</v>
      </c>
      <c r="D241" s="2793">
        <v>-1</v>
      </c>
      <c r="E241" s="2793"/>
      <c r="F241" s="2793"/>
      <c r="G241" s="2793" t="s">
        <v>5744</v>
      </c>
      <c r="H241" s="2793" t="s">
        <v>5744</v>
      </c>
      <c r="I241" s="2793">
        <v>7151</v>
      </c>
      <c r="J241" s="2793" t="s">
        <v>84</v>
      </c>
      <c r="M241" s="2793" t="s">
        <v>1374</v>
      </c>
      <c r="N241" s="2794" t="s">
        <v>213</v>
      </c>
      <c r="O241" s="2795">
        <v>8421</v>
      </c>
      <c r="S241" s="2798" t="s">
        <v>1515</v>
      </c>
      <c r="T241" s="2798" t="s">
        <v>1516</v>
      </c>
      <c r="U241" s="2798" t="s">
        <v>47</v>
      </c>
      <c r="V241" s="2798">
        <v>1</v>
      </c>
      <c r="W241" s="2798">
        <v>2211</v>
      </c>
      <c r="X241" s="2798">
        <v>2</v>
      </c>
      <c r="Y241" s="2795" t="s">
        <v>295</v>
      </c>
    </row>
    <row r="242" spans="2:25">
      <c r="B242" s="2793">
        <v>7161</v>
      </c>
      <c r="C242" s="2793" t="s">
        <v>207</v>
      </c>
      <c r="D242" s="2793">
        <v>-1</v>
      </c>
      <c r="E242" s="2793"/>
      <c r="F242" s="2793"/>
      <c r="G242" s="2793" t="s">
        <v>207</v>
      </c>
      <c r="H242" s="2793" t="s">
        <v>207</v>
      </c>
      <c r="I242" s="2793">
        <v>7161</v>
      </c>
      <c r="J242" s="2793" t="s">
        <v>84</v>
      </c>
      <c r="M242" s="2793" t="s">
        <v>1379</v>
      </c>
      <c r="N242" s="2794" t="s">
        <v>213</v>
      </c>
      <c r="O242" s="2795">
        <v>8430</v>
      </c>
      <c r="S242" s="2798" t="s">
        <v>1520</v>
      </c>
      <c r="T242" s="2798" t="s">
        <v>1521</v>
      </c>
      <c r="U242" s="2798" t="s">
        <v>47</v>
      </c>
      <c r="V242" s="2798">
        <v>1</v>
      </c>
      <c r="W242" s="2798">
        <v>2211</v>
      </c>
      <c r="X242" s="2798">
        <v>2</v>
      </c>
      <c r="Y242" s="2795" t="s">
        <v>295</v>
      </c>
    </row>
    <row r="243" spans="2:25">
      <c r="B243" s="2793">
        <v>7165</v>
      </c>
      <c r="C243" s="2793" t="s">
        <v>403</v>
      </c>
      <c r="D243" s="2793">
        <v>-1</v>
      </c>
      <c r="E243" s="2793" t="s">
        <v>102</v>
      </c>
      <c r="F243" s="2793"/>
      <c r="G243" s="2793" t="s">
        <v>403</v>
      </c>
      <c r="H243" s="2793" t="s">
        <v>403</v>
      </c>
      <c r="I243" s="2793">
        <v>7165</v>
      </c>
      <c r="J243" s="2793" t="s">
        <v>84</v>
      </c>
      <c r="M243" s="2793" t="s">
        <v>1384</v>
      </c>
      <c r="N243" s="2794"/>
      <c r="O243" s="2795">
        <v>8440</v>
      </c>
      <c r="S243" s="2798" t="s">
        <v>1528</v>
      </c>
      <c r="T243" s="2798" t="s">
        <v>1529</v>
      </c>
      <c r="U243" s="2798" t="s">
        <v>6448</v>
      </c>
      <c r="V243" s="2798">
        <v>1</v>
      </c>
      <c r="W243" s="2798">
        <v>2221</v>
      </c>
      <c r="X243" s="2798">
        <v>1</v>
      </c>
      <c r="Y243" s="2795" t="s">
        <v>295</v>
      </c>
    </row>
    <row r="244" spans="2:25">
      <c r="B244" s="2793">
        <v>7171</v>
      </c>
      <c r="C244" s="2793" t="s">
        <v>217</v>
      </c>
      <c r="D244" s="2793">
        <v>-1</v>
      </c>
      <c r="E244" s="2793"/>
      <c r="F244" s="2793"/>
      <c r="G244" s="2793" t="s">
        <v>217</v>
      </c>
      <c r="H244" s="2793" t="s">
        <v>217</v>
      </c>
      <c r="I244" s="2793">
        <v>7171</v>
      </c>
      <c r="J244" s="2793" t="s">
        <v>84</v>
      </c>
      <c r="M244" s="2793" t="s">
        <v>1389</v>
      </c>
      <c r="N244" s="2794" t="s">
        <v>213</v>
      </c>
      <c r="O244" s="2795">
        <v>8451</v>
      </c>
      <c r="S244" s="2798" t="s">
        <v>1533</v>
      </c>
      <c r="T244" s="2798" t="s">
        <v>1534</v>
      </c>
      <c r="U244" s="2798" t="s">
        <v>6448</v>
      </c>
      <c r="V244" s="2798">
        <v>1</v>
      </c>
      <c r="W244" s="2798">
        <v>2221</v>
      </c>
      <c r="X244" s="2798">
        <v>2</v>
      </c>
      <c r="Y244" s="2795" t="s">
        <v>295</v>
      </c>
    </row>
    <row r="245" spans="2:25">
      <c r="B245" s="2793">
        <v>7196</v>
      </c>
      <c r="C245" s="2793" t="s">
        <v>225</v>
      </c>
      <c r="D245" s="2793">
        <v>-1</v>
      </c>
      <c r="E245" s="2793"/>
      <c r="F245" s="2793"/>
      <c r="G245" s="2793" t="s">
        <v>225</v>
      </c>
      <c r="H245" s="2793" t="s">
        <v>225</v>
      </c>
      <c r="I245" s="2793">
        <v>7196</v>
      </c>
      <c r="J245" s="2793" t="s">
        <v>84</v>
      </c>
      <c r="M245" s="2793" t="s">
        <v>1394</v>
      </c>
      <c r="N245" s="2794" t="s">
        <v>213</v>
      </c>
      <c r="O245" s="2795">
        <v>8452</v>
      </c>
      <c r="S245" s="2798" t="s">
        <v>1594</v>
      </c>
      <c r="T245" s="2798" t="s">
        <v>1595</v>
      </c>
      <c r="U245" s="2798" t="s">
        <v>47</v>
      </c>
      <c r="V245" s="2798">
        <v>1</v>
      </c>
      <c r="W245" s="2798">
        <v>2246</v>
      </c>
      <c r="X245" s="2798">
        <v>1</v>
      </c>
      <c r="Y245" s="2795" t="s">
        <v>295</v>
      </c>
    </row>
    <row r="246" spans="2:25">
      <c r="B246" s="2793">
        <v>7198</v>
      </c>
      <c r="C246" s="2793" t="s">
        <v>2254</v>
      </c>
      <c r="D246" s="2793"/>
      <c r="E246" s="2793" t="s">
        <v>287</v>
      </c>
      <c r="F246" s="2793"/>
      <c r="G246" s="2793" t="s">
        <v>2255</v>
      </c>
      <c r="H246" s="2793" t="s">
        <v>2255</v>
      </c>
      <c r="I246" s="2793">
        <v>7198</v>
      </c>
      <c r="J246" s="2793"/>
      <c r="M246" s="2793" t="s">
        <v>1399</v>
      </c>
      <c r="N246" s="2794" t="s">
        <v>331</v>
      </c>
      <c r="O246" s="2795">
        <v>8453</v>
      </c>
      <c r="S246" s="2798" t="s">
        <v>1538</v>
      </c>
      <c r="T246" s="2798" t="s">
        <v>1539</v>
      </c>
      <c r="U246" s="2798" t="s">
        <v>47</v>
      </c>
      <c r="V246" s="2798">
        <v>1</v>
      </c>
      <c r="W246" s="2798">
        <v>2231</v>
      </c>
      <c r="X246" s="2798">
        <v>1</v>
      </c>
      <c r="Y246" s="2795" t="s">
        <v>295</v>
      </c>
    </row>
    <row r="247" spans="2:25">
      <c r="B247" s="2793">
        <v>7199</v>
      </c>
      <c r="C247" s="2793" t="s">
        <v>2256</v>
      </c>
      <c r="D247" s="2793"/>
      <c r="E247" s="2793" t="s">
        <v>287</v>
      </c>
      <c r="F247" s="2793"/>
      <c r="G247" s="2793" t="s">
        <v>2256</v>
      </c>
      <c r="H247" s="2793" t="s">
        <v>2256</v>
      </c>
      <c r="I247" s="2793">
        <v>7199</v>
      </c>
      <c r="J247" s="2793"/>
      <c r="M247" s="2793" t="s">
        <v>1404</v>
      </c>
      <c r="N247" s="2794" t="s">
        <v>213</v>
      </c>
      <c r="O247" s="2795">
        <v>8456</v>
      </c>
      <c r="S247" s="2798" t="s">
        <v>1543</v>
      </c>
      <c r="T247" s="2798" t="s">
        <v>1544</v>
      </c>
      <c r="U247" s="2798" t="s">
        <v>1545</v>
      </c>
      <c r="V247" s="2798">
        <v>1</v>
      </c>
      <c r="W247" s="2798">
        <v>2231</v>
      </c>
      <c r="X247" s="2798">
        <v>2</v>
      </c>
      <c r="Y247" s="2795" t="s">
        <v>295</v>
      </c>
    </row>
    <row r="248" spans="2:25">
      <c r="B248" s="2793">
        <v>7200</v>
      </c>
      <c r="C248" s="2793" t="s">
        <v>2257</v>
      </c>
      <c r="D248" s="2793"/>
      <c r="E248" s="2793" t="s">
        <v>41</v>
      </c>
      <c r="F248" s="2793"/>
      <c r="G248" s="2793" t="s">
        <v>2258</v>
      </c>
      <c r="H248" s="2793" t="s">
        <v>4917</v>
      </c>
      <c r="I248" s="2793">
        <v>7200</v>
      </c>
      <c r="J248" s="2793"/>
      <c r="M248" s="2793" t="s">
        <v>1409</v>
      </c>
      <c r="N248" s="2794" t="s">
        <v>213</v>
      </c>
      <c r="O248" s="2795">
        <v>8461</v>
      </c>
      <c r="S248" s="2798" t="s">
        <v>1549</v>
      </c>
      <c r="T248" s="2798" t="s">
        <v>1550</v>
      </c>
      <c r="U248" s="2798" t="s">
        <v>47</v>
      </c>
      <c r="V248" s="2798">
        <v>1</v>
      </c>
      <c r="W248" s="2798">
        <v>2232</v>
      </c>
      <c r="X248" s="2798">
        <v>1</v>
      </c>
      <c r="Y248" s="2795" t="s">
        <v>295</v>
      </c>
    </row>
    <row r="249" spans="2:25">
      <c r="B249" s="2793">
        <v>7201</v>
      </c>
      <c r="C249" s="2793" t="s">
        <v>233</v>
      </c>
      <c r="D249" s="2793">
        <v>1</v>
      </c>
      <c r="E249" s="2793"/>
      <c r="F249" s="2793"/>
      <c r="G249" s="2793" t="s">
        <v>233</v>
      </c>
      <c r="H249" s="2793" t="s">
        <v>233</v>
      </c>
      <c r="I249" s="2793">
        <v>7201</v>
      </c>
      <c r="J249" s="2793" t="s">
        <v>84</v>
      </c>
      <c r="M249" s="2793" t="s">
        <v>1415</v>
      </c>
      <c r="N249" s="2794" t="s">
        <v>213</v>
      </c>
      <c r="O249" s="2795">
        <v>8462</v>
      </c>
      <c r="S249" s="2798" t="s">
        <v>1554</v>
      </c>
      <c r="T249" s="2798" t="s">
        <v>1555</v>
      </c>
      <c r="U249" s="2798" t="s">
        <v>1465</v>
      </c>
      <c r="V249" s="2798">
        <v>1</v>
      </c>
      <c r="W249" s="2798">
        <v>2232</v>
      </c>
      <c r="X249" s="2798">
        <v>2</v>
      </c>
      <c r="Y249" s="2795" t="s">
        <v>295</v>
      </c>
    </row>
    <row r="250" spans="2:25">
      <c r="B250" s="2793">
        <v>7201.01</v>
      </c>
      <c r="C250" s="2793" t="s">
        <v>243</v>
      </c>
      <c r="D250" s="2793">
        <v>1</v>
      </c>
      <c r="E250" s="2793" t="s">
        <v>708</v>
      </c>
      <c r="F250" s="2793"/>
      <c r="G250" s="2793" t="s">
        <v>2259</v>
      </c>
      <c r="H250" s="2793" t="s">
        <v>2259</v>
      </c>
      <c r="I250" s="2793">
        <v>7201.01</v>
      </c>
      <c r="J250" s="2793" t="s">
        <v>84</v>
      </c>
      <c r="M250" s="2793" t="s">
        <v>1420</v>
      </c>
      <c r="N250" s="2794" t="s">
        <v>213</v>
      </c>
      <c r="O250" s="2795">
        <v>8463</v>
      </c>
      <c r="S250" s="2798" t="s">
        <v>1559</v>
      </c>
      <c r="T250" s="2798" t="s">
        <v>1560</v>
      </c>
      <c r="U250" s="2798" t="s">
        <v>47</v>
      </c>
      <c r="V250" s="2798">
        <v>1</v>
      </c>
      <c r="W250" s="2798">
        <v>2241</v>
      </c>
      <c r="X250" s="2798">
        <v>1</v>
      </c>
      <c r="Y250" s="2795" t="s">
        <v>295</v>
      </c>
    </row>
    <row r="251" spans="2:25">
      <c r="B251" s="2793">
        <v>7211</v>
      </c>
      <c r="C251" s="2793" t="s">
        <v>253</v>
      </c>
      <c r="D251" s="2793">
        <v>1</v>
      </c>
      <c r="E251" s="2793"/>
      <c r="F251" s="2793"/>
      <c r="G251" s="2793" t="s">
        <v>253</v>
      </c>
      <c r="H251" s="2793" t="s">
        <v>253</v>
      </c>
      <c r="I251" s="2793">
        <v>7211</v>
      </c>
      <c r="J251" s="2793" t="s">
        <v>84</v>
      </c>
      <c r="M251" s="2793" t="s">
        <v>1426</v>
      </c>
      <c r="N251" s="2794" t="s">
        <v>213</v>
      </c>
      <c r="O251" s="2795">
        <v>8466</v>
      </c>
      <c r="S251" s="2798" t="s">
        <v>1569</v>
      </c>
      <c r="T251" s="2798" t="s">
        <v>1570</v>
      </c>
      <c r="U251" s="2798" t="s">
        <v>1439</v>
      </c>
      <c r="V251" s="2798">
        <v>1</v>
      </c>
      <c r="W251" s="2798">
        <v>2241</v>
      </c>
      <c r="X251" s="2798">
        <v>1</v>
      </c>
      <c r="Y251" s="2795" t="s">
        <v>295</v>
      </c>
    </row>
    <row r="252" spans="2:25">
      <c r="B252" s="2793">
        <v>7246</v>
      </c>
      <c r="C252" s="2793" t="s">
        <v>261</v>
      </c>
      <c r="D252" s="2793">
        <v>1</v>
      </c>
      <c r="E252" s="2793"/>
      <c r="F252" s="2793"/>
      <c r="G252" s="2793" t="s">
        <v>261</v>
      </c>
      <c r="H252" s="2793" t="s">
        <v>261</v>
      </c>
      <c r="I252" s="2793">
        <v>7246</v>
      </c>
      <c r="J252" s="2793" t="s">
        <v>84</v>
      </c>
      <c r="M252" s="2793" t="s">
        <v>1431</v>
      </c>
      <c r="N252" s="2794" t="s">
        <v>213</v>
      </c>
      <c r="O252" s="2795">
        <v>8471</v>
      </c>
      <c r="S252" s="2798" t="s">
        <v>1564</v>
      </c>
      <c r="T252" s="2798" t="s">
        <v>1565</v>
      </c>
      <c r="U252" s="2798" t="s">
        <v>47</v>
      </c>
      <c r="V252" s="2798">
        <v>1</v>
      </c>
      <c r="W252" s="2798">
        <v>2241</v>
      </c>
      <c r="X252" s="2798">
        <v>2</v>
      </c>
      <c r="Y252" s="2795" t="s">
        <v>295</v>
      </c>
    </row>
    <row r="253" spans="2:25">
      <c r="B253" s="2793">
        <v>7248</v>
      </c>
      <c r="C253" s="2793" t="s">
        <v>2260</v>
      </c>
      <c r="D253" s="2793"/>
      <c r="E253" s="2793" t="s">
        <v>287</v>
      </c>
      <c r="F253" s="2793"/>
      <c r="G253" s="2793" t="s">
        <v>2261</v>
      </c>
      <c r="H253" s="2793" t="s">
        <v>2261</v>
      </c>
      <c r="I253" s="2793">
        <v>7248</v>
      </c>
      <c r="J253" s="2793"/>
      <c r="M253" s="2793" t="s">
        <v>1436</v>
      </c>
      <c r="N253" s="2794" t="s">
        <v>213</v>
      </c>
      <c r="O253" s="2795">
        <v>8472</v>
      </c>
      <c r="S253" s="2798" t="s">
        <v>1579</v>
      </c>
      <c r="T253" s="2798" t="s">
        <v>1580</v>
      </c>
      <c r="U253" s="2798" t="s">
        <v>3865</v>
      </c>
      <c r="V253" s="2798">
        <v>1</v>
      </c>
      <c r="W253" s="2798">
        <v>2241</v>
      </c>
      <c r="X253" s="2798">
        <v>2</v>
      </c>
      <c r="Y253" s="2795" t="s">
        <v>295</v>
      </c>
    </row>
    <row r="254" spans="2:25">
      <c r="B254" s="2793">
        <v>7251</v>
      </c>
      <c r="C254" s="2793" t="s">
        <v>269</v>
      </c>
      <c r="D254" s="2793">
        <v>-1</v>
      </c>
      <c r="E254" s="2793"/>
      <c r="F254" s="2793"/>
      <c r="G254" s="2793" t="s">
        <v>269</v>
      </c>
      <c r="H254" s="2793" t="s">
        <v>269</v>
      </c>
      <c r="I254" s="2793">
        <v>7251</v>
      </c>
      <c r="J254" s="2793" t="s">
        <v>84</v>
      </c>
      <c r="M254" s="2793" t="s">
        <v>1442</v>
      </c>
      <c r="N254" s="2794" t="s">
        <v>213</v>
      </c>
      <c r="O254" s="2795">
        <v>8473</v>
      </c>
      <c r="S254" s="2798" t="s">
        <v>1584</v>
      </c>
      <c r="T254" s="2798" t="s">
        <v>1585</v>
      </c>
      <c r="U254" s="2798" t="s">
        <v>1371</v>
      </c>
      <c r="V254" s="2798">
        <v>1</v>
      </c>
      <c r="W254" s="2798">
        <v>2241</v>
      </c>
      <c r="X254" s="2798">
        <v>2</v>
      </c>
      <c r="Y254" s="2795" t="s">
        <v>295</v>
      </c>
    </row>
    <row r="255" spans="2:25">
      <c r="B255" s="2793">
        <v>7261</v>
      </c>
      <c r="C255" s="2793" t="s">
        <v>279</v>
      </c>
      <c r="D255" s="2793">
        <v>-1</v>
      </c>
      <c r="E255" s="2793"/>
      <c r="F255" s="2793"/>
      <c r="G255" s="2793" t="s">
        <v>2262</v>
      </c>
      <c r="H255" s="2793" t="s">
        <v>2262</v>
      </c>
      <c r="I255" s="2793">
        <v>7261</v>
      </c>
      <c r="J255" s="2793" t="s">
        <v>84</v>
      </c>
      <c r="M255" s="2793" t="s">
        <v>1447</v>
      </c>
      <c r="N255" s="2794" t="s">
        <v>331</v>
      </c>
      <c r="O255" s="2795">
        <v>8475</v>
      </c>
      <c r="S255" s="2798" t="s">
        <v>1574</v>
      </c>
      <c r="T255" s="2798" t="s">
        <v>1575</v>
      </c>
      <c r="U255" s="2798" t="s">
        <v>1423</v>
      </c>
      <c r="V255" s="2798">
        <v>1</v>
      </c>
      <c r="W255" s="2798">
        <v>2241</v>
      </c>
      <c r="X255" s="2798">
        <v>2</v>
      </c>
      <c r="Y255" s="2795" t="s">
        <v>295</v>
      </c>
    </row>
    <row r="256" spans="2:25">
      <c r="B256" s="2793">
        <v>7261.01</v>
      </c>
      <c r="C256" s="2793" t="s">
        <v>290</v>
      </c>
      <c r="D256" s="2793">
        <v>-1</v>
      </c>
      <c r="E256" s="2793" t="s">
        <v>708</v>
      </c>
      <c r="F256" s="2793"/>
      <c r="G256" s="2793" t="s">
        <v>2263</v>
      </c>
      <c r="H256" s="2793" t="s">
        <v>2263</v>
      </c>
      <c r="I256" s="2793">
        <v>7261.01</v>
      </c>
      <c r="J256" s="2793" t="s">
        <v>84</v>
      </c>
      <c r="M256" s="2793" t="s">
        <v>1452</v>
      </c>
      <c r="N256" s="2794" t="s">
        <v>999</v>
      </c>
      <c r="O256" s="2795">
        <v>8476</v>
      </c>
      <c r="S256" s="2798" t="s">
        <v>1589</v>
      </c>
      <c r="T256" s="2798" t="s">
        <v>1590</v>
      </c>
      <c r="U256" s="2798" t="s">
        <v>1465</v>
      </c>
      <c r="V256" s="2798">
        <v>1</v>
      </c>
      <c r="W256" s="2798">
        <v>2241</v>
      </c>
      <c r="X256" s="2798">
        <v>2</v>
      </c>
      <c r="Y256" s="2795" t="s">
        <v>295</v>
      </c>
    </row>
    <row r="257" spans="2:25">
      <c r="B257" s="2793">
        <v>7296</v>
      </c>
      <c r="C257" s="2793" t="s">
        <v>300</v>
      </c>
      <c r="D257" s="2793">
        <v>-1</v>
      </c>
      <c r="E257" s="2793"/>
      <c r="F257" s="2793"/>
      <c r="G257" s="2793" t="s">
        <v>300</v>
      </c>
      <c r="H257" s="2793" t="s">
        <v>300</v>
      </c>
      <c r="I257" s="2793">
        <v>7296</v>
      </c>
      <c r="J257" s="2793" t="s">
        <v>84</v>
      </c>
      <c r="M257" s="2793" t="s">
        <v>1457</v>
      </c>
      <c r="N257" s="2794" t="s">
        <v>119</v>
      </c>
      <c r="O257" s="2795">
        <v>8477</v>
      </c>
      <c r="S257" s="2798" t="s">
        <v>1599</v>
      </c>
      <c r="T257" s="2798" t="s">
        <v>6449</v>
      </c>
      <c r="U257" s="2798" t="s">
        <v>47</v>
      </c>
      <c r="V257" s="2798">
        <v>1</v>
      </c>
      <c r="W257" s="2798">
        <v>2315</v>
      </c>
      <c r="X257" s="2798">
        <v>1</v>
      </c>
      <c r="Y257" s="2795" t="s">
        <v>295</v>
      </c>
    </row>
    <row r="258" spans="2:25">
      <c r="B258" s="2793">
        <v>7298</v>
      </c>
      <c r="C258" s="2793" t="s">
        <v>2265</v>
      </c>
      <c r="D258" s="2793"/>
      <c r="E258" s="2793" t="s">
        <v>287</v>
      </c>
      <c r="F258" s="2793"/>
      <c r="G258" s="2793" t="s">
        <v>2266</v>
      </c>
      <c r="H258" s="2793" t="s">
        <v>2266</v>
      </c>
      <c r="I258" s="2793">
        <v>7298</v>
      </c>
      <c r="J258" s="2793"/>
      <c r="M258" s="2793" t="s">
        <v>1462</v>
      </c>
      <c r="N258" s="2794"/>
      <c r="O258" s="2795">
        <v>8481</v>
      </c>
      <c r="S258" s="2798" t="s">
        <v>1603</v>
      </c>
      <c r="T258" s="2798" t="s">
        <v>1604</v>
      </c>
      <c r="U258" s="2798" t="s">
        <v>47</v>
      </c>
      <c r="V258" s="2798">
        <v>1</v>
      </c>
      <c r="W258" s="2798">
        <v>2395</v>
      </c>
      <c r="X258" s="2798">
        <v>1</v>
      </c>
      <c r="Y258" s="2795" t="s">
        <v>295</v>
      </c>
    </row>
    <row r="259" spans="2:25">
      <c r="B259" s="2793">
        <v>7299</v>
      </c>
      <c r="C259" s="2793" t="s">
        <v>2267</v>
      </c>
      <c r="D259" s="2793"/>
      <c r="E259" s="2793" t="s">
        <v>287</v>
      </c>
      <c r="F259" s="2793"/>
      <c r="G259" s="2793" t="s">
        <v>2267</v>
      </c>
      <c r="H259" s="2793" t="s">
        <v>2267</v>
      </c>
      <c r="I259" s="2793">
        <v>7299</v>
      </c>
      <c r="J259" s="2793"/>
      <c r="M259" s="2793" t="s">
        <v>1468</v>
      </c>
      <c r="N259" s="2794"/>
      <c r="O259" s="2795">
        <v>8482</v>
      </c>
      <c r="S259" s="2798" t="s">
        <v>1608</v>
      </c>
      <c r="T259" s="2798" t="s">
        <v>6450</v>
      </c>
      <c r="U259" s="2798" t="s">
        <v>47</v>
      </c>
      <c r="V259" s="2798">
        <v>1</v>
      </c>
      <c r="W259" s="2798">
        <v>2395</v>
      </c>
      <c r="X259" s="2798">
        <v>2</v>
      </c>
      <c r="Y259" s="2795" t="s">
        <v>295</v>
      </c>
    </row>
    <row r="260" spans="2:25">
      <c r="B260" s="2793">
        <v>7309</v>
      </c>
      <c r="C260" s="2793" t="s">
        <v>314</v>
      </c>
      <c r="D260" s="2793">
        <v>1</v>
      </c>
      <c r="E260" s="2793"/>
      <c r="F260" s="2793"/>
      <c r="G260" s="2793" t="s">
        <v>2268</v>
      </c>
      <c r="H260" s="2793" t="s">
        <v>2268</v>
      </c>
      <c r="I260" s="2793">
        <v>7309</v>
      </c>
      <c r="J260" s="2793" t="s">
        <v>84</v>
      </c>
      <c r="M260" s="2793" t="s">
        <v>1473</v>
      </c>
      <c r="N260" s="2794" t="s">
        <v>999</v>
      </c>
      <c r="O260" s="2795">
        <v>8496</v>
      </c>
      <c r="S260" s="2798" t="s">
        <v>1612</v>
      </c>
      <c r="T260" s="2798" t="s">
        <v>6451</v>
      </c>
      <c r="U260" s="2798" t="s">
        <v>1613</v>
      </c>
      <c r="V260" s="2798">
        <v>1</v>
      </c>
      <c r="W260" s="2798">
        <v>2395</v>
      </c>
      <c r="X260" s="2798">
        <v>2</v>
      </c>
      <c r="Y260" s="2795" t="s">
        <v>295</v>
      </c>
    </row>
    <row r="261" spans="2:25">
      <c r="B261" s="2793">
        <v>7348</v>
      </c>
      <c r="C261" s="2793" t="s">
        <v>2269</v>
      </c>
      <c r="D261" s="2793"/>
      <c r="E261" s="2793" t="s">
        <v>287</v>
      </c>
      <c r="F261" s="2793"/>
      <c r="G261" s="2793" t="s">
        <v>2270</v>
      </c>
      <c r="H261" s="2793" t="s">
        <v>2270</v>
      </c>
      <c r="I261" s="2793">
        <v>7348</v>
      </c>
      <c r="J261" s="2793"/>
      <c r="M261" s="2793" t="s">
        <v>1479</v>
      </c>
      <c r="N261" s="2794"/>
      <c r="O261" s="2795">
        <v>8501</v>
      </c>
      <c r="S261" s="2798" t="s">
        <v>1617</v>
      </c>
      <c r="T261" s="2798" t="s">
        <v>6452</v>
      </c>
      <c r="U261" s="2798" t="s">
        <v>47</v>
      </c>
      <c r="V261" s="2798">
        <v>1</v>
      </c>
      <c r="W261" s="2798">
        <v>2395</v>
      </c>
      <c r="X261" s="2798">
        <v>2</v>
      </c>
      <c r="Y261" s="2795" t="s">
        <v>295</v>
      </c>
    </row>
    <row r="262" spans="2:25">
      <c r="B262" s="2793">
        <v>7349</v>
      </c>
      <c r="C262" s="2793" t="s">
        <v>503</v>
      </c>
      <c r="D262" s="2793">
        <v>1</v>
      </c>
      <c r="E262" s="2793"/>
      <c r="F262" s="2793"/>
      <c r="G262" s="2793" t="s">
        <v>2271</v>
      </c>
      <c r="H262" s="2793" t="s">
        <v>2271</v>
      </c>
      <c r="I262" s="2793">
        <v>7349</v>
      </c>
      <c r="J262" s="2793" t="s">
        <v>84</v>
      </c>
      <c r="M262" s="2793" t="s">
        <v>1484</v>
      </c>
      <c r="N262" s="2794"/>
      <c r="O262" s="2795">
        <v>8502</v>
      </c>
      <c r="S262" s="2798" t="s">
        <v>1621</v>
      </c>
      <c r="T262" s="2798" t="s">
        <v>1622</v>
      </c>
      <c r="U262" s="2798" t="s">
        <v>47</v>
      </c>
      <c r="V262" s="2798">
        <v>1</v>
      </c>
      <c r="W262" s="2798">
        <v>2396</v>
      </c>
      <c r="X262" s="2798">
        <v>1</v>
      </c>
      <c r="Y262" s="2795" t="s">
        <v>295</v>
      </c>
    </row>
    <row r="263" spans="2:25">
      <c r="B263" s="2793">
        <v>7399</v>
      </c>
      <c r="C263" s="2793" t="s">
        <v>2272</v>
      </c>
      <c r="D263" s="2793"/>
      <c r="E263" s="2793" t="s">
        <v>287</v>
      </c>
      <c r="F263" s="2793"/>
      <c r="G263" s="2793" t="s">
        <v>2273</v>
      </c>
      <c r="H263" s="2793" t="s">
        <v>2273</v>
      </c>
      <c r="I263" s="2793">
        <v>7399</v>
      </c>
      <c r="J263" s="2793"/>
      <c r="M263" s="2793" t="s">
        <v>1489</v>
      </c>
      <c r="N263" s="2794"/>
      <c r="O263" s="2795">
        <v>8503</v>
      </c>
      <c r="S263" s="2798" t="s">
        <v>1626</v>
      </c>
      <c r="T263" s="2798" t="s">
        <v>6453</v>
      </c>
      <c r="U263" s="2798" t="s">
        <v>1613</v>
      </c>
      <c r="V263" s="2798">
        <v>1</v>
      </c>
      <c r="W263" s="2798">
        <v>2396</v>
      </c>
      <c r="X263" s="2798">
        <v>2</v>
      </c>
      <c r="Y263" s="2795" t="s">
        <v>295</v>
      </c>
    </row>
    <row r="264" spans="2:25">
      <c r="B264" s="2793">
        <v>7500</v>
      </c>
      <c r="C264" s="2793" t="s">
        <v>800</v>
      </c>
      <c r="D264" s="2793"/>
      <c r="E264" s="2793" t="s">
        <v>41</v>
      </c>
      <c r="F264" s="2793"/>
      <c r="G264" s="2793" t="s">
        <v>800</v>
      </c>
      <c r="H264" s="2793"/>
      <c r="I264" s="2793">
        <v>7500</v>
      </c>
      <c r="J264" s="2793"/>
      <c r="M264" s="2793" t="s">
        <v>1494</v>
      </c>
      <c r="N264" s="2794" t="s">
        <v>708</v>
      </c>
      <c r="O264" s="2795">
        <v>8504</v>
      </c>
      <c r="S264" s="2798" t="s">
        <v>1637</v>
      </c>
      <c r="T264" s="2798" t="s">
        <v>1638</v>
      </c>
      <c r="U264" s="2798" t="s">
        <v>1359</v>
      </c>
      <c r="V264" s="2798">
        <v>1</v>
      </c>
      <c r="W264" s="2798">
        <v>2501</v>
      </c>
      <c r="X264" s="2798">
        <v>1</v>
      </c>
      <c r="Y264" s="2795" t="s">
        <v>295</v>
      </c>
    </row>
    <row r="265" spans="2:25">
      <c r="B265" s="2793">
        <v>7501</v>
      </c>
      <c r="C265" s="2793" t="s">
        <v>1994</v>
      </c>
      <c r="D265" s="2793"/>
      <c r="E265" s="2793" t="s">
        <v>41</v>
      </c>
      <c r="F265" s="2793"/>
      <c r="G265" s="2793" t="s">
        <v>2274</v>
      </c>
      <c r="H265" s="2793"/>
      <c r="I265" s="2793">
        <v>7501</v>
      </c>
      <c r="J265" s="2793"/>
      <c r="M265" s="2793" t="s">
        <v>1499</v>
      </c>
      <c r="N265" s="2794"/>
      <c r="O265" s="2795">
        <v>8509</v>
      </c>
      <c r="S265" s="2798" t="s">
        <v>1642</v>
      </c>
      <c r="T265" s="2798" t="s">
        <v>1643</v>
      </c>
      <c r="U265" s="2798" t="s">
        <v>1365</v>
      </c>
      <c r="V265" s="2798">
        <v>1</v>
      </c>
      <c r="W265" s="2798">
        <v>2501</v>
      </c>
      <c r="X265" s="2798">
        <v>2</v>
      </c>
      <c r="Y265" s="2795" t="s">
        <v>295</v>
      </c>
    </row>
    <row r="266" spans="2:25">
      <c r="B266" s="2793">
        <v>7502</v>
      </c>
      <c r="C266" s="2793" t="s">
        <v>2275</v>
      </c>
      <c r="D266" s="2793">
        <v>1</v>
      </c>
      <c r="E266" s="2793"/>
      <c r="F266" s="2793"/>
      <c r="G266" s="2793" t="s">
        <v>871</v>
      </c>
      <c r="H266" s="2793"/>
      <c r="I266" s="2793">
        <v>7502</v>
      </c>
      <c r="J266" s="2793"/>
      <c r="M266" s="2793" t="s">
        <v>1504</v>
      </c>
      <c r="N266" s="2794" t="s">
        <v>213</v>
      </c>
      <c r="O266" s="2795">
        <v>8521</v>
      </c>
      <c r="S266" s="2798" t="s">
        <v>1647</v>
      </c>
      <c r="T266" s="2798" t="s">
        <v>1648</v>
      </c>
      <c r="U266" s="2798" t="s">
        <v>1365</v>
      </c>
      <c r="V266" s="2798">
        <v>1</v>
      </c>
      <c r="W266" s="2798">
        <v>2501</v>
      </c>
      <c r="X266" s="2798">
        <v>2</v>
      </c>
      <c r="Y266" s="2795" t="s">
        <v>295</v>
      </c>
    </row>
    <row r="267" spans="2:25">
      <c r="B267" s="2793">
        <v>7503</v>
      </c>
      <c r="C267" s="2793" t="s">
        <v>807</v>
      </c>
      <c r="D267" s="2793">
        <v>1</v>
      </c>
      <c r="E267" s="2793"/>
      <c r="F267" s="2793"/>
      <c r="G267" s="2793" t="s">
        <v>2276</v>
      </c>
      <c r="H267" s="2793" t="s">
        <v>2277</v>
      </c>
      <c r="I267" s="2793">
        <v>7503</v>
      </c>
      <c r="J267" s="2793"/>
      <c r="M267" s="2793" t="s">
        <v>1509</v>
      </c>
      <c r="N267" s="2794" t="s">
        <v>213</v>
      </c>
      <c r="O267" s="2795">
        <v>8530</v>
      </c>
      <c r="S267" s="2798" t="s">
        <v>1652</v>
      </c>
      <c r="T267" s="2798" t="s">
        <v>1653</v>
      </c>
      <c r="U267" s="2798" t="s">
        <v>1365</v>
      </c>
      <c r="V267" s="2798">
        <v>1</v>
      </c>
      <c r="W267" s="2798">
        <v>2501</v>
      </c>
      <c r="X267" s="2798">
        <v>2</v>
      </c>
      <c r="Y267" s="2795" t="s">
        <v>295</v>
      </c>
    </row>
    <row r="268" spans="2:25">
      <c r="B268" s="2793">
        <v>7504</v>
      </c>
      <c r="C268" s="2793" t="s">
        <v>2417</v>
      </c>
      <c r="D268" s="2793">
        <v>1</v>
      </c>
      <c r="E268" s="2793" t="s">
        <v>119</v>
      </c>
      <c r="F268" s="2793"/>
      <c r="G268" s="2793" t="s">
        <v>701</v>
      </c>
      <c r="H268" s="2793"/>
      <c r="I268" s="2793">
        <v>7504</v>
      </c>
      <c r="J268" s="2793"/>
      <c r="M268" s="2793" t="s">
        <v>1514</v>
      </c>
      <c r="N268" s="2794"/>
      <c r="O268" s="2795">
        <v>8540</v>
      </c>
      <c r="S268" s="2798" t="s">
        <v>1657</v>
      </c>
      <c r="T268" s="2798" t="s">
        <v>1658</v>
      </c>
      <c r="U268" s="2798" t="s">
        <v>1371</v>
      </c>
      <c r="V268" s="2798">
        <v>1</v>
      </c>
      <c r="W268" s="2798">
        <v>2501</v>
      </c>
      <c r="X268" s="2798">
        <v>2</v>
      </c>
      <c r="Y268" s="2795" t="s">
        <v>295</v>
      </c>
    </row>
    <row r="269" spans="2:25">
      <c r="B269" s="2793">
        <v>7505</v>
      </c>
      <c r="C269" s="2793" t="s">
        <v>811</v>
      </c>
      <c r="D269" s="2793">
        <v>1</v>
      </c>
      <c r="E269" s="2793"/>
      <c r="F269" s="2793"/>
      <c r="G269" s="2793" t="s">
        <v>2278</v>
      </c>
      <c r="H269" s="2793" t="s">
        <v>2278</v>
      </c>
      <c r="I269" s="2793">
        <v>7505</v>
      </c>
      <c r="J269" s="2793"/>
      <c r="M269" s="2793" t="s">
        <v>1519</v>
      </c>
      <c r="N269" s="2794" t="s">
        <v>213</v>
      </c>
      <c r="O269" s="2795">
        <v>8551</v>
      </c>
      <c r="S269" s="2798" t="s">
        <v>1662</v>
      </c>
      <c r="T269" s="2798" t="s">
        <v>1663</v>
      </c>
      <c r="U269" s="2798" t="s">
        <v>47</v>
      </c>
      <c r="V269" s="2798">
        <v>1</v>
      </c>
      <c r="W269" s="2798">
        <v>2502</v>
      </c>
      <c r="X269" s="2798">
        <v>1</v>
      </c>
      <c r="Y269" s="2795" t="s">
        <v>295</v>
      </c>
    </row>
    <row r="270" spans="2:25">
      <c r="B270" s="2793">
        <v>7506</v>
      </c>
      <c r="C270" s="2793" t="s">
        <v>815</v>
      </c>
      <c r="D270" s="2793">
        <v>1</v>
      </c>
      <c r="E270" s="2793"/>
      <c r="F270" s="2793"/>
      <c r="G270" s="2793" t="s">
        <v>815</v>
      </c>
      <c r="H270" s="2793"/>
      <c r="I270" s="2793">
        <v>7506</v>
      </c>
      <c r="J270" s="2793"/>
      <c r="M270" s="2793" t="s">
        <v>1524</v>
      </c>
      <c r="N270" s="2794" t="s">
        <v>213</v>
      </c>
      <c r="O270" s="2795">
        <v>8552</v>
      </c>
      <c r="S270" s="2798" t="s">
        <v>1667</v>
      </c>
      <c r="T270" s="2798" t="s">
        <v>6454</v>
      </c>
      <c r="U270" s="2798" t="s">
        <v>1613</v>
      </c>
      <c r="V270" s="2798">
        <v>1</v>
      </c>
      <c r="W270" s="2798">
        <v>2502</v>
      </c>
      <c r="X270" s="2798">
        <v>2</v>
      </c>
      <c r="Y270" s="2795" t="s">
        <v>295</v>
      </c>
    </row>
    <row r="271" spans="2:25">
      <c r="B271" s="2793">
        <v>7507</v>
      </c>
      <c r="C271" s="2793" t="s">
        <v>819</v>
      </c>
      <c r="D271" s="2793">
        <v>1</v>
      </c>
      <c r="E271" s="2793"/>
      <c r="F271" s="2793"/>
      <c r="G271" s="2793" t="s">
        <v>819</v>
      </c>
      <c r="H271" s="2793"/>
      <c r="I271" s="2793">
        <v>7507</v>
      </c>
      <c r="J271" s="2793"/>
      <c r="M271" s="2793" t="s">
        <v>1527</v>
      </c>
      <c r="N271" s="2794" t="s">
        <v>331</v>
      </c>
      <c r="O271" s="2795">
        <v>8553</v>
      </c>
      <c r="S271" s="2798" t="s">
        <v>1671</v>
      </c>
      <c r="T271" s="2798" t="s">
        <v>1672</v>
      </c>
      <c r="U271" s="2798" t="s">
        <v>1673</v>
      </c>
      <c r="V271" s="2798">
        <v>1</v>
      </c>
      <c r="W271" s="2798">
        <v>2502</v>
      </c>
      <c r="X271" s="2798">
        <v>2</v>
      </c>
      <c r="Y271" s="2795" t="s">
        <v>295</v>
      </c>
    </row>
    <row r="272" spans="2:25">
      <c r="B272" s="2793">
        <v>7508</v>
      </c>
      <c r="C272" s="2793" t="s">
        <v>823</v>
      </c>
      <c r="D272" s="2793">
        <v>1</v>
      </c>
      <c r="E272" s="2793"/>
      <c r="F272" s="2793"/>
      <c r="G272" s="2793" t="s">
        <v>2279</v>
      </c>
      <c r="H272" s="2793"/>
      <c r="I272" s="2793">
        <v>7508</v>
      </c>
      <c r="J272" s="2793"/>
      <c r="M272" s="2793" t="s">
        <v>1532</v>
      </c>
      <c r="N272" s="2794" t="s">
        <v>999</v>
      </c>
      <c r="O272" s="2795">
        <v>8556</v>
      </c>
      <c r="S272" s="2798" t="s">
        <v>1677</v>
      </c>
      <c r="T272" s="2798" t="s">
        <v>1678</v>
      </c>
      <c r="U272" s="2798" t="s">
        <v>1673</v>
      </c>
      <c r="V272" s="2798">
        <v>1</v>
      </c>
      <c r="W272" s="2798">
        <v>2502</v>
      </c>
      <c r="X272" s="2798">
        <v>2</v>
      </c>
      <c r="Y272" s="2795" t="s">
        <v>295</v>
      </c>
    </row>
    <row r="273" spans="2:25">
      <c r="B273" s="2793">
        <v>7509</v>
      </c>
      <c r="C273" s="2793" t="s">
        <v>827</v>
      </c>
      <c r="D273" s="2793">
        <v>1</v>
      </c>
      <c r="E273" s="2793"/>
      <c r="F273" s="2793"/>
      <c r="G273" s="2793" t="s">
        <v>2280</v>
      </c>
      <c r="H273" s="2793"/>
      <c r="I273" s="2793">
        <v>7509</v>
      </c>
      <c r="J273" s="2793"/>
      <c r="M273" s="2793" t="s">
        <v>1537</v>
      </c>
      <c r="N273" s="2794"/>
      <c r="O273" s="2795">
        <v>8561</v>
      </c>
      <c r="S273" s="2798" t="s">
        <v>5589</v>
      </c>
      <c r="T273" s="2798" t="s">
        <v>5590</v>
      </c>
      <c r="U273" s="2798" t="s">
        <v>47</v>
      </c>
      <c r="V273" s="2798">
        <v>1</v>
      </c>
      <c r="W273" s="2798">
        <v>2502</v>
      </c>
      <c r="X273" s="2798">
        <v>2</v>
      </c>
      <c r="Y273" s="2795" t="s">
        <v>295</v>
      </c>
    </row>
    <row r="274" spans="2:25">
      <c r="B274" s="2793">
        <v>7510</v>
      </c>
      <c r="C274" s="2793" t="s">
        <v>832</v>
      </c>
      <c r="D274" s="2793">
        <v>1</v>
      </c>
      <c r="E274" s="2793"/>
      <c r="F274" s="2793"/>
      <c r="G274" s="2793" t="s">
        <v>2281</v>
      </c>
      <c r="H274" s="2793"/>
      <c r="I274" s="2793">
        <v>7510</v>
      </c>
      <c r="J274" s="2793"/>
      <c r="M274" s="2793" t="s">
        <v>1542</v>
      </c>
      <c r="N274" s="2794" t="s">
        <v>213</v>
      </c>
      <c r="O274" s="2795">
        <v>8562</v>
      </c>
      <c r="S274" s="2798" t="s">
        <v>1682</v>
      </c>
      <c r="T274" s="2798" t="s">
        <v>1683</v>
      </c>
      <c r="U274" s="2798" t="s">
        <v>47</v>
      </c>
      <c r="V274" s="2798">
        <v>1</v>
      </c>
      <c r="W274" s="2798">
        <v>2706</v>
      </c>
      <c r="X274" s="2798">
        <v>1</v>
      </c>
      <c r="Y274" s="2795" t="s">
        <v>295</v>
      </c>
    </row>
    <row r="275" spans="2:25">
      <c r="B275" s="2793">
        <v>7511</v>
      </c>
      <c r="C275" s="2793" t="s">
        <v>838</v>
      </c>
      <c r="D275" s="2793">
        <v>1</v>
      </c>
      <c r="E275" s="2793"/>
      <c r="F275" s="2793"/>
      <c r="G275" s="2793" t="s">
        <v>2282</v>
      </c>
      <c r="H275" s="2793"/>
      <c r="I275" s="2793">
        <v>7511</v>
      </c>
      <c r="J275" s="2793"/>
      <c r="M275" s="2793" t="s">
        <v>1548</v>
      </c>
      <c r="N275" s="2794"/>
      <c r="O275" s="2795">
        <v>8563</v>
      </c>
      <c r="S275" s="2798" t="s">
        <v>1687</v>
      </c>
      <c r="T275" s="2798" t="s">
        <v>1688</v>
      </c>
      <c r="U275" s="2798" t="s">
        <v>47</v>
      </c>
      <c r="V275" s="2798">
        <v>1</v>
      </c>
      <c r="W275" s="2798">
        <v>2701</v>
      </c>
      <c r="X275" s="2798">
        <v>1</v>
      </c>
      <c r="Y275" s="2795" t="s">
        <v>295</v>
      </c>
    </row>
    <row r="276" spans="2:25">
      <c r="B276" s="2793">
        <v>7512</v>
      </c>
      <c r="C276" s="2793" t="s">
        <v>843</v>
      </c>
      <c r="D276" s="2793">
        <v>1</v>
      </c>
      <c r="E276" s="2793"/>
      <c r="F276" s="2793"/>
      <c r="G276" s="2793" t="s">
        <v>2283</v>
      </c>
      <c r="H276" s="2793"/>
      <c r="I276" s="2793">
        <v>7512</v>
      </c>
      <c r="J276" s="2793"/>
      <c r="M276" s="2793" t="s">
        <v>1553</v>
      </c>
      <c r="N276" s="2794"/>
      <c r="O276" s="2795">
        <v>8566</v>
      </c>
      <c r="S276" s="2798" t="s">
        <v>1692</v>
      </c>
      <c r="T276" s="2798" t="s">
        <v>1693</v>
      </c>
      <c r="U276" s="2798" t="s">
        <v>1371</v>
      </c>
      <c r="V276" s="2798">
        <v>1</v>
      </c>
      <c r="W276" s="2798">
        <v>2701</v>
      </c>
      <c r="X276" s="2798">
        <v>2</v>
      </c>
      <c r="Y276" s="2795" t="s">
        <v>295</v>
      </c>
    </row>
    <row r="277" spans="2:25">
      <c r="B277" s="2793">
        <v>7515</v>
      </c>
      <c r="C277" s="2793" t="s">
        <v>850</v>
      </c>
      <c r="D277" s="2793">
        <v>1</v>
      </c>
      <c r="E277" s="2793"/>
      <c r="F277" s="2793"/>
      <c r="G277" s="2793" t="s">
        <v>2284</v>
      </c>
      <c r="H277" s="2793"/>
      <c r="I277" s="2793">
        <v>7515</v>
      </c>
      <c r="J277" s="2793"/>
      <c r="M277" s="2793" t="s">
        <v>1558</v>
      </c>
      <c r="N277" s="2794" t="s">
        <v>213</v>
      </c>
      <c r="O277" s="2795">
        <v>8571</v>
      </c>
      <c r="S277" s="2798" t="s">
        <v>1697</v>
      </c>
      <c r="T277" s="2798" t="s">
        <v>1698</v>
      </c>
      <c r="U277" s="2798" t="s">
        <v>47</v>
      </c>
      <c r="V277" s="2798">
        <v>1</v>
      </c>
      <c r="W277" s="2798">
        <v>2711</v>
      </c>
      <c r="X277" s="2798">
        <v>1</v>
      </c>
      <c r="Y277" s="2795" t="s">
        <v>295</v>
      </c>
    </row>
    <row r="278" spans="2:25">
      <c r="B278" s="2793">
        <v>7516</v>
      </c>
      <c r="C278" s="2793" t="s">
        <v>855</v>
      </c>
      <c r="D278" s="2793">
        <v>1</v>
      </c>
      <c r="E278" s="2793"/>
      <c r="F278" s="2793"/>
      <c r="G278" s="2793" t="s">
        <v>2285</v>
      </c>
      <c r="H278" s="2793"/>
      <c r="I278" s="2793">
        <v>7516</v>
      </c>
      <c r="J278" s="2793"/>
      <c r="M278" s="2793" t="s">
        <v>1563</v>
      </c>
      <c r="N278" s="2794"/>
      <c r="O278" s="2795">
        <v>8572</v>
      </c>
      <c r="S278" s="2798" t="s">
        <v>1702</v>
      </c>
      <c r="T278" s="2798" t="s">
        <v>1703</v>
      </c>
      <c r="U278" s="2798" t="s">
        <v>1371</v>
      </c>
      <c r="V278" s="2798">
        <v>1</v>
      </c>
      <c r="W278" s="2798">
        <v>2711</v>
      </c>
      <c r="X278" s="2798">
        <v>2</v>
      </c>
      <c r="Y278" s="2795" t="s">
        <v>295</v>
      </c>
    </row>
    <row r="279" spans="2:25">
      <c r="B279" s="2793">
        <v>7517</v>
      </c>
      <c r="C279" s="2793" t="s">
        <v>860</v>
      </c>
      <c r="D279" s="2793">
        <v>1</v>
      </c>
      <c r="E279" s="2793"/>
      <c r="F279" s="2793"/>
      <c r="G279" s="2793" t="s">
        <v>2286</v>
      </c>
      <c r="H279" s="2793"/>
      <c r="I279" s="2793">
        <v>7517</v>
      </c>
      <c r="J279" s="2793"/>
      <c r="M279" s="2793" t="s">
        <v>1568</v>
      </c>
      <c r="N279" s="2794"/>
      <c r="O279" s="2795">
        <v>8573</v>
      </c>
      <c r="S279" s="2798" t="s">
        <v>1707</v>
      </c>
      <c r="T279" s="2798" t="s">
        <v>1708</v>
      </c>
      <c r="U279" s="2798" t="s">
        <v>47</v>
      </c>
      <c r="V279" s="2798">
        <v>1</v>
      </c>
      <c r="W279" s="2798">
        <v>2715</v>
      </c>
      <c r="X279" s="2798">
        <v>1</v>
      </c>
      <c r="Y279" s="2795" t="s">
        <v>295</v>
      </c>
    </row>
    <row r="280" spans="2:25">
      <c r="B280" s="2793">
        <v>7518</v>
      </c>
      <c r="C280" s="2793" t="s">
        <v>866</v>
      </c>
      <c r="D280" s="2793">
        <v>1</v>
      </c>
      <c r="E280" s="2793"/>
      <c r="F280" s="2793"/>
      <c r="G280" s="2793" t="s">
        <v>2287</v>
      </c>
      <c r="H280" s="2793"/>
      <c r="I280" s="2793">
        <v>7518</v>
      </c>
      <c r="J280" s="2793"/>
      <c r="M280" s="2793" t="s">
        <v>1573</v>
      </c>
      <c r="N280" s="2794" t="s">
        <v>331</v>
      </c>
      <c r="O280" s="2795">
        <v>8575</v>
      </c>
      <c r="S280" s="2798" t="s">
        <v>1712</v>
      </c>
      <c r="T280" s="2798" t="s">
        <v>1713</v>
      </c>
      <c r="U280" s="2798" t="s">
        <v>47</v>
      </c>
      <c r="V280" s="2798">
        <v>1</v>
      </c>
      <c r="W280" s="2798">
        <v>2715</v>
      </c>
      <c r="X280" s="2798">
        <v>2</v>
      </c>
      <c r="Y280" s="2795" t="s">
        <v>295</v>
      </c>
    </row>
    <row r="281" spans="2:25">
      <c r="B281" s="2793">
        <v>7519</v>
      </c>
      <c r="C281" s="2793" t="s">
        <v>870</v>
      </c>
      <c r="D281" s="2793">
        <v>1</v>
      </c>
      <c r="E281" s="2793"/>
      <c r="F281" s="2793"/>
      <c r="G281" s="2793" t="s">
        <v>2288</v>
      </c>
      <c r="H281" s="2793"/>
      <c r="I281" s="2793">
        <v>7519</v>
      </c>
      <c r="J281" s="2793"/>
      <c r="M281" s="2793" t="s">
        <v>1578</v>
      </c>
      <c r="N281" s="2794" t="s">
        <v>999</v>
      </c>
      <c r="O281" s="2795">
        <v>8576</v>
      </c>
      <c r="S281" s="2798" t="s">
        <v>1717</v>
      </c>
      <c r="T281" s="2798" t="s">
        <v>1718</v>
      </c>
      <c r="U281" s="2798" t="s">
        <v>47</v>
      </c>
      <c r="V281" s="2798">
        <v>1</v>
      </c>
      <c r="W281" s="2798">
        <v>2715</v>
      </c>
      <c r="X281" s="2798">
        <v>2</v>
      </c>
      <c r="Y281" s="2795" t="s">
        <v>295</v>
      </c>
    </row>
    <row r="282" spans="2:25">
      <c r="B282" s="2793">
        <v>7523</v>
      </c>
      <c r="C282" s="2793" t="s">
        <v>875</v>
      </c>
      <c r="D282" s="2793">
        <v>1</v>
      </c>
      <c r="E282" s="2793"/>
      <c r="F282" s="2793"/>
      <c r="G282" s="2793" t="s">
        <v>932</v>
      </c>
      <c r="H282" s="2793"/>
      <c r="I282" s="2793">
        <v>7523</v>
      </c>
      <c r="J282" s="2793"/>
      <c r="M282" s="2793" t="s">
        <v>1583</v>
      </c>
      <c r="N282" s="2794" t="s">
        <v>119</v>
      </c>
      <c r="O282" s="2795">
        <v>8577</v>
      </c>
      <c r="S282" s="2798" t="s">
        <v>1722</v>
      </c>
      <c r="T282" s="2798" t="s">
        <v>6455</v>
      </c>
      <c r="U282" s="2798" t="s">
        <v>47</v>
      </c>
      <c r="V282" s="2798">
        <v>1</v>
      </c>
      <c r="W282" s="2798">
        <v>2715</v>
      </c>
      <c r="X282" s="2798">
        <v>2</v>
      </c>
      <c r="Y282" s="2795" t="s">
        <v>295</v>
      </c>
    </row>
    <row r="283" spans="2:25">
      <c r="B283" s="2793">
        <v>7525</v>
      </c>
      <c r="C283" s="2793" t="s">
        <v>2247</v>
      </c>
      <c r="D283" s="2793"/>
      <c r="E283" s="2793" t="s">
        <v>287</v>
      </c>
      <c r="F283" s="2793"/>
      <c r="G283" s="2793" t="s">
        <v>2247</v>
      </c>
      <c r="H283" s="2793"/>
      <c r="I283" s="2793">
        <v>7525</v>
      </c>
      <c r="J283" s="2793"/>
      <c r="M283" s="2793" t="s">
        <v>1588</v>
      </c>
      <c r="N283" s="2794" t="s">
        <v>213</v>
      </c>
      <c r="O283" s="2795">
        <v>8581</v>
      </c>
      <c r="S283" s="2798" t="s">
        <v>1736</v>
      </c>
      <c r="T283" s="2798" t="s">
        <v>1737</v>
      </c>
      <c r="U283" s="2798" t="s">
        <v>47</v>
      </c>
      <c r="V283" s="2798">
        <v>1</v>
      </c>
      <c r="W283" s="2798">
        <v>2715</v>
      </c>
      <c r="X283" s="2798">
        <v>2</v>
      </c>
      <c r="Y283" s="2795" t="s">
        <v>295</v>
      </c>
    </row>
    <row r="284" spans="2:25">
      <c r="B284" s="2793">
        <v>7526</v>
      </c>
      <c r="C284" s="2793" t="s">
        <v>1997</v>
      </c>
      <c r="D284" s="2793"/>
      <c r="E284" s="2793" t="s">
        <v>41</v>
      </c>
      <c r="F284" s="2793"/>
      <c r="G284" s="2793" t="s">
        <v>2289</v>
      </c>
      <c r="H284" s="2793"/>
      <c r="I284" s="2793">
        <v>7526</v>
      </c>
      <c r="J284" s="2793"/>
      <c r="M284" s="2793" t="s">
        <v>1593</v>
      </c>
      <c r="N284" s="2794" t="s">
        <v>213</v>
      </c>
      <c r="O284" s="2795">
        <v>8582</v>
      </c>
      <c r="S284" s="2798" t="s">
        <v>1741</v>
      </c>
      <c r="T284" s="2798" t="s">
        <v>1742</v>
      </c>
      <c r="U284" s="2798" t="s">
        <v>47</v>
      </c>
      <c r="V284" s="2798">
        <v>1</v>
      </c>
      <c r="W284" s="2798">
        <v>2715</v>
      </c>
      <c r="X284" s="2798">
        <v>2</v>
      </c>
      <c r="Y284" s="2795" t="s">
        <v>295</v>
      </c>
    </row>
    <row r="285" spans="2:25">
      <c r="B285" s="2793">
        <v>7527</v>
      </c>
      <c r="C285" s="2793" t="s">
        <v>2290</v>
      </c>
      <c r="D285" s="2793"/>
      <c r="E285" s="2793"/>
      <c r="F285" s="2793"/>
      <c r="G285" s="2793" t="s">
        <v>2290</v>
      </c>
      <c r="H285" s="2793"/>
      <c r="I285" s="2793">
        <v>7527</v>
      </c>
      <c r="J285" s="2793"/>
      <c r="M285" s="2793" t="s">
        <v>1598</v>
      </c>
      <c r="N285" s="2794" t="s">
        <v>999</v>
      </c>
      <c r="O285" s="2795">
        <v>8596</v>
      </c>
      <c r="S285" s="2798" t="s">
        <v>1746</v>
      </c>
      <c r="T285" s="2798" t="s">
        <v>1747</v>
      </c>
      <c r="U285" s="2798" t="s">
        <v>47</v>
      </c>
      <c r="V285" s="2798">
        <v>1</v>
      </c>
      <c r="W285" s="2798">
        <v>2801</v>
      </c>
      <c r="X285" s="2798">
        <v>1</v>
      </c>
      <c r="Y285" s="2795" t="s">
        <v>295</v>
      </c>
    </row>
    <row r="286" spans="2:25">
      <c r="B286" s="2793">
        <v>7528</v>
      </c>
      <c r="C286" s="2793" t="s">
        <v>2291</v>
      </c>
      <c r="D286" s="2793"/>
      <c r="E286" s="2793"/>
      <c r="F286" s="2793"/>
      <c r="G286" s="2793" t="s">
        <v>2291</v>
      </c>
      <c r="H286" s="2793"/>
      <c r="I286" s="2793">
        <v>7528</v>
      </c>
      <c r="J286" s="2793"/>
      <c r="M286" s="2793" t="s">
        <v>1602</v>
      </c>
      <c r="N286" s="2794"/>
      <c r="O286" s="2795">
        <v>8601</v>
      </c>
      <c r="S286" s="2798" t="s">
        <v>1751</v>
      </c>
      <c r="T286" s="2798" t="s">
        <v>1752</v>
      </c>
      <c r="U286" s="2798" t="s">
        <v>47</v>
      </c>
      <c r="V286" s="2798">
        <v>1</v>
      </c>
      <c r="W286" s="2798">
        <v>2401</v>
      </c>
      <c r="X286" s="2798">
        <v>1</v>
      </c>
      <c r="Y286" s="2795" t="s">
        <v>295</v>
      </c>
    </row>
    <row r="287" spans="2:25">
      <c r="B287" s="2793">
        <v>7529</v>
      </c>
      <c r="C287" s="2793" t="s">
        <v>2292</v>
      </c>
      <c r="D287" s="2793"/>
      <c r="E287" s="2793"/>
      <c r="F287" s="2793"/>
      <c r="G287" s="2793" t="s">
        <v>2292</v>
      </c>
      <c r="H287" s="2793"/>
      <c r="I287" s="2793">
        <v>7529</v>
      </c>
      <c r="J287" s="2793"/>
      <c r="M287" s="2793" t="s">
        <v>1607</v>
      </c>
      <c r="N287" s="2794"/>
      <c r="O287" s="2795">
        <v>8602</v>
      </c>
      <c r="S287" s="2798" t="s">
        <v>1756</v>
      </c>
      <c r="T287" s="2798" t="s">
        <v>1757</v>
      </c>
      <c r="U287" s="2798" t="s">
        <v>1628</v>
      </c>
      <c r="V287" s="2798">
        <v>1</v>
      </c>
      <c r="W287" s="2798">
        <v>2401</v>
      </c>
      <c r="X287" s="2798">
        <v>2</v>
      </c>
      <c r="Y287" s="2795" t="s">
        <v>295</v>
      </c>
    </row>
    <row r="288" spans="2:25">
      <c r="B288" s="2793">
        <v>7533</v>
      </c>
      <c r="C288" s="2793" t="s">
        <v>1999</v>
      </c>
      <c r="D288" s="2793"/>
      <c r="E288" s="2793" t="s">
        <v>41</v>
      </c>
      <c r="F288" s="2793"/>
      <c r="G288" s="2793" t="s">
        <v>2293</v>
      </c>
      <c r="H288" s="2793"/>
      <c r="I288" s="2793">
        <v>7533</v>
      </c>
      <c r="J288" s="2793"/>
      <c r="M288" s="2793" t="s">
        <v>1611</v>
      </c>
      <c r="N288" s="2794"/>
      <c r="O288" s="2795">
        <v>8603</v>
      </c>
      <c r="S288" s="2798" t="s">
        <v>1761</v>
      </c>
      <c r="T288" s="2798" t="s">
        <v>1762</v>
      </c>
      <c r="U288" s="2798" t="s">
        <v>47</v>
      </c>
      <c r="V288" s="2798">
        <v>1</v>
      </c>
      <c r="W288" s="2798">
        <v>2996</v>
      </c>
      <c r="X288" s="2798">
        <v>1</v>
      </c>
      <c r="Y288" s="2795" t="s">
        <v>295</v>
      </c>
    </row>
    <row r="289" spans="2:25">
      <c r="B289" s="2793">
        <v>7535</v>
      </c>
      <c r="C289" s="2793" t="s">
        <v>2294</v>
      </c>
      <c r="D289" s="2793">
        <v>1</v>
      </c>
      <c r="E289" s="2793"/>
      <c r="F289" s="2793"/>
      <c r="G289" s="2793" t="s">
        <v>2294</v>
      </c>
      <c r="H289" s="2793"/>
      <c r="I289" s="2793">
        <v>7535</v>
      </c>
      <c r="J289" s="2793"/>
      <c r="M289" s="2793" t="s">
        <v>1616</v>
      </c>
      <c r="N289" s="2794" t="s">
        <v>708</v>
      </c>
      <c r="O289" s="2795">
        <v>8604</v>
      </c>
      <c r="S289" s="2798" t="s">
        <v>1766</v>
      </c>
      <c r="T289" s="2798" t="s">
        <v>1767</v>
      </c>
      <c r="U289" s="2798" t="s">
        <v>47</v>
      </c>
      <c r="V289" s="2798">
        <v>1</v>
      </c>
      <c r="W289" s="2798">
        <v>2996</v>
      </c>
      <c r="X289" s="2798">
        <v>2</v>
      </c>
      <c r="Y289" s="2795" t="s">
        <v>295</v>
      </c>
    </row>
    <row r="290" spans="2:25">
      <c r="B290" s="2793">
        <v>7536</v>
      </c>
      <c r="C290" s="2793" t="s">
        <v>2295</v>
      </c>
      <c r="D290" s="2793">
        <v>1</v>
      </c>
      <c r="E290" s="2793"/>
      <c r="F290" s="2793"/>
      <c r="G290" s="2793" t="s">
        <v>2295</v>
      </c>
      <c r="H290" s="2793"/>
      <c r="I290" s="2793">
        <v>7536</v>
      </c>
      <c r="J290" s="2793"/>
      <c r="M290" s="2793" t="s">
        <v>1620</v>
      </c>
      <c r="N290" s="2794" t="s">
        <v>999</v>
      </c>
      <c r="O290" s="2795">
        <v>8609</v>
      </c>
      <c r="S290" s="2798" t="s">
        <v>1774</v>
      </c>
      <c r="T290" s="2798" t="s">
        <v>1775</v>
      </c>
      <c r="U290" s="2798" t="s">
        <v>1776</v>
      </c>
      <c r="V290" s="2798">
        <v>0</v>
      </c>
      <c r="W290" s="2798">
        <v>4001</v>
      </c>
      <c r="X290" s="2798">
        <v>2</v>
      </c>
      <c r="Y290" s="2795" t="s">
        <v>295</v>
      </c>
    </row>
    <row r="291" spans="2:25">
      <c r="B291" s="2793">
        <v>7537</v>
      </c>
      <c r="C291" s="2793" t="s">
        <v>2296</v>
      </c>
      <c r="D291" s="2793">
        <v>1</v>
      </c>
      <c r="E291" s="2793"/>
      <c r="F291" s="2793"/>
      <c r="G291" s="2793" t="s">
        <v>2296</v>
      </c>
      <c r="H291" s="2793"/>
      <c r="I291" s="2793">
        <v>7537</v>
      </c>
      <c r="J291" s="2793"/>
      <c r="M291" s="2793" t="s">
        <v>1625</v>
      </c>
      <c r="N291" s="2794" t="s">
        <v>213</v>
      </c>
      <c r="O291" s="2795">
        <v>8621</v>
      </c>
      <c r="S291" s="2798" t="s">
        <v>1780</v>
      </c>
      <c r="T291" s="2798" t="s">
        <v>1781</v>
      </c>
      <c r="U291" s="2798" t="s">
        <v>6456</v>
      </c>
      <c r="V291" s="2798">
        <v>1</v>
      </c>
      <c r="W291" s="2798">
        <v>4001</v>
      </c>
      <c r="X291" s="2798">
        <v>1</v>
      </c>
      <c r="Y291" s="2795" t="s">
        <v>295</v>
      </c>
    </row>
    <row r="292" spans="2:25">
      <c r="B292" s="2793">
        <v>7538</v>
      </c>
      <c r="C292" s="2793" t="s">
        <v>2297</v>
      </c>
      <c r="D292" s="2793">
        <v>1</v>
      </c>
      <c r="E292" s="2793"/>
      <c r="F292" s="2793"/>
      <c r="G292" s="2793" t="s">
        <v>2297</v>
      </c>
      <c r="H292" s="2793"/>
      <c r="I292" s="2793">
        <v>7538</v>
      </c>
      <c r="J292" s="2793"/>
      <c r="M292" s="2793" t="s">
        <v>1631</v>
      </c>
      <c r="N292" s="2794" t="s">
        <v>213</v>
      </c>
      <c r="O292" s="2795">
        <v>8630</v>
      </c>
      <c r="S292" s="2798" t="s">
        <v>1790</v>
      </c>
      <c r="T292" s="2798" t="s">
        <v>1791</v>
      </c>
      <c r="U292" s="2798" t="s">
        <v>1673</v>
      </c>
      <c r="V292" s="2798">
        <v>1</v>
      </c>
      <c r="W292" s="2798">
        <v>4015</v>
      </c>
      <c r="X292" s="2798">
        <v>2</v>
      </c>
      <c r="Y292" s="2795" t="s">
        <v>295</v>
      </c>
    </row>
    <row r="293" spans="2:25">
      <c r="B293" s="2793">
        <v>7539</v>
      </c>
      <c r="C293" s="2793" t="s">
        <v>2269</v>
      </c>
      <c r="D293" s="2793">
        <v>1</v>
      </c>
      <c r="E293" s="2793" t="s">
        <v>287</v>
      </c>
      <c r="F293" s="2793"/>
      <c r="G293" s="2793" t="s">
        <v>2269</v>
      </c>
      <c r="H293" s="2793"/>
      <c r="I293" s="2793">
        <v>7539</v>
      </c>
      <c r="J293" s="2793"/>
      <c r="M293" s="2793" t="s">
        <v>1636</v>
      </c>
      <c r="N293" s="2794"/>
      <c r="O293" s="2795">
        <v>8640</v>
      </c>
      <c r="S293" s="2798" t="s">
        <v>1795</v>
      </c>
      <c r="T293" s="2798" t="s">
        <v>1796</v>
      </c>
      <c r="U293" s="2798" t="s">
        <v>1673</v>
      </c>
      <c r="V293" s="2798">
        <v>1</v>
      </c>
      <c r="W293" s="2798">
        <v>4015</v>
      </c>
      <c r="X293" s="2798">
        <v>1</v>
      </c>
      <c r="Y293" s="2795" t="s">
        <v>295</v>
      </c>
    </row>
    <row r="294" spans="2:25">
      <c r="B294" s="2793">
        <v>8</v>
      </c>
      <c r="C294" s="2793" t="s">
        <v>974</v>
      </c>
      <c r="D294" s="2793"/>
      <c r="E294" s="2793" t="s">
        <v>41</v>
      </c>
      <c r="F294" s="2793"/>
      <c r="G294" s="2793" t="s">
        <v>974</v>
      </c>
      <c r="H294" s="2793" t="s">
        <v>974</v>
      </c>
      <c r="I294" s="2793">
        <v>8</v>
      </c>
      <c r="J294" s="2793"/>
      <c r="M294" s="2793" t="s">
        <v>1641</v>
      </c>
      <c r="N294" s="2794" t="s">
        <v>213</v>
      </c>
      <c r="O294" s="2795">
        <v>8651</v>
      </c>
      <c r="S294" s="2798" t="s">
        <v>1785</v>
      </c>
      <c r="T294" s="2798" t="s">
        <v>1786</v>
      </c>
      <c r="U294" s="2798" t="s">
        <v>1412</v>
      </c>
      <c r="V294" s="2798">
        <v>1</v>
      </c>
      <c r="W294" s="2798">
        <v>4002</v>
      </c>
      <c r="X294" s="2798">
        <v>1</v>
      </c>
      <c r="Y294" s="2795" t="s">
        <v>295</v>
      </c>
    </row>
    <row r="295" spans="2:25">
      <c r="B295" s="2793">
        <v>8000</v>
      </c>
      <c r="C295" s="2793" t="s">
        <v>979</v>
      </c>
      <c r="D295" s="2793"/>
      <c r="E295" s="2793" t="s">
        <v>41</v>
      </c>
      <c r="F295" s="2793"/>
      <c r="G295" s="2793" t="s">
        <v>979</v>
      </c>
      <c r="H295" s="2793" t="s">
        <v>979</v>
      </c>
      <c r="I295" s="2793">
        <v>8000</v>
      </c>
      <c r="J295" s="2793"/>
      <c r="M295" s="2793" t="s">
        <v>1646</v>
      </c>
      <c r="N295" s="2794" t="s">
        <v>213</v>
      </c>
      <c r="O295" s="2795">
        <v>8652</v>
      </c>
      <c r="S295" s="2798" t="s">
        <v>1828</v>
      </c>
      <c r="T295" s="2798" t="s">
        <v>1829</v>
      </c>
      <c r="U295" s="2798" t="s">
        <v>47</v>
      </c>
      <c r="V295" s="2798">
        <v>1</v>
      </c>
      <c r="W295" s="2798">
        <v>4201</v>
      </c>
      <c r="X295" s="2798">
        <v>1</v>
      </c>
      <c r="Y295" s="2795" t="s">
        <v>295</v>
      </c>
    </row>
    <row r="296" spans="2:25">
      <c r="B296" s="2793">
        <v>8001</v>
      </c>
      <c r="C296" s="2793" t="s">
        <v>984</v>
      </c>
      <c r="D296" s="2793">
        <v>-1</v>
      </c>
      <c r="E296" s="2793" t="s">
        <v>287</v>
      </c>
      <c r="F296" s="2793"/>
      <c r="G296" s="2793" t="s">
        <v>985</v>
      </c>
      <c r="H296" s="2793" t="s">
        <v>985</v>
      </c>
      <c r="I296" s="2793">
        <v>8001</v>
      </c>
      <c r="J296" s="2793"/>
      <c r="M296" s="2793" t="s">
        <v>1651</v>
      </c>
      <c r="N296" s="2794" t="s">
        <v>331</v>
      </c>
      <c r="O296" s="2795">
        <v>8653</v>
      </c>
      <c r="S296" s="2798" t="s">
        <v>1834</v>
      </c>
      <c r="T296" s="2798" t="s">
        <v>1835</v>
      </c>
      <c r="U296" s="2798" t="s">
        <v>47</v>
      </c>
      <c r="V296" s="2798">
        <v>1</v>
      </c>
      <c r="W296" s="2798">
        <v>4215</v>
      </c>
      <c r="X296" s="2798">
        <v>1</v>
      </c>
      <c r="Y296" s="2795" t="s">
        <v>6612</v>
      </c>
    </row>
    <row r="297" spans="2:25">
      <c r="B297" s="2793">
        <v>8002</v>
      </c>
      <c r="C297" s="2793" t="s">
        <v>990</v>
      </c>
      <c r="D297" s="2793">
        <v>-1</v>
      </c>
      <c r="E297" s="2793" t="s">
        <v>287</v>
      </c>
      <c r="F297" s="2793"/>
      <c r="G297" s="2793" t="s">
        <v>991</v>
      </c>
      <c r="H297" s="2793" t="s">
        <v>991</v>
      </c>
      <c r="I297" s="2793">
        <v>8002</v>
      </c>
      <c r="J297" s="2793"/>
      <c r="M297" s="2793" t="s">
        <v>1656</v>
      </c>
      <c r="N297" s="2794" t="s">
        <v>999</v>
      </c>
      <c r="O297" s="2795">
        <v>8656</v>
      </c>
      <c r="S297" s="2798" t="s">
        <v>1831</v>
      </c>
      <c r="T297" s="2798" t="s">
        <v>1832</v>
      </c>
      <c r="U297" s="2798" t="s">
        <v>47</v>
      </c>
      <c r="V297" s="2798">
        <v>1</v>
      </c>
      <c r="W297" s="2798">
        <v>4215</v>
      </c>
      <c r="X297" s="2798">
        <v>1</v>
      </c>
      <c r="Y297" s="2795" t="s">
        <v>295</v>
      </c>
    </row>
    <row r="298" spans="2:25">
      <c r="B298" s="2793">
        <v>8003</v>
      </c>
      <c r="C298" s="2793" t="s">
        <v>996</v>
      </c>
      <c r="D298" s="2793">
        <v>-1</v>
      </c>
      <c r="E298" s="2793" t="s">
        <v>287</v>
      </c>
      <c r="F298" s="2793"/>
      <c r="G298" s="2793" t="s">
        <v>997</v>
      </c>
      <c r="H298" s="2793" t="s">
        <v>997</v>
      </c>
      <c r="I298" s="2793">
        <v>8003</v>
      </c>
      <c r="J298" s="2793"/>
      <c r="M298" s="2793" t="s">
        <v>1661</v>
      </c>
      <c r="N298" s="2794" t="s">
        <v>213</v>
      </c>
      <c r="O298" s="2795">
        <v>8661</v>
      </c>
      <c r="S298" s="2798" t="s">
        <v>1837</v>
      </c>
      <c r="T298" s="2798" t="s">
        <v>1838</v>
      </c>
      <c r="U298" s="2798" t="s">
        <v>47</v>
      </c>
      <c r="V298" s="2798">
        <v>1</v>
      </c>
      <c r="W298" s="2798">
        <v>4301</v>
      </c>
      <c r="X298" s="2798">
        <v>1</v>
      </c>
      <c r="Y298" s="2795" t="s">
        <v>295</v>
      </c>
    </row>
    <row r="299" spans="2:25">
      <c r="B299" s="2793">
        <v>8004</v>
      </c>
      <c r="C299" s="2793" t="s">
        <v>1002</v>
      </c>
      <c r="D299" s="2793">
        <v>-1</v>
      </c>
      <c r="E299" s="2793" t="s">
        <v>1003</v>
      </c>
      <c r="F299" s="2793"/>
      <c r="G299" s="2793" t="s">
        <v>1004</v>
      </c>
      <c r="H299" s="2793" t="s">
        <v>1004</v>
      </c>
      <c r="I299" s="2793">
        <v>8004</v>
      </c>
      <c r="J299" s="2793"/>
      <c r="M299" s="2793" t="s">
        <v>1666</v>
      </c>
      <c r="N299" s="2794"/>
      <c r="O299" s="2795">
        <v>8662</v>
      </c>
      <c r="S299" s="2798" t="s">
        <v>1805</v>
      </c>
      <c r="T299" s="2798" t="s">
        <v>1806</v>
      </c>
      <c r="U299" s="2798" t="s">
        <v>47</v>
      </c>
      <c r="V299" s="2798">
        <v>1</v>
      </c>
      <c r="W299" s="2798">
        <v>4101</v>
      </c>
      <c r="X299" s="2798">
        <v>1</v>
      </c>
      <c r="Y299" s="2795" t="s">
        <v>295</v>
      </c>
    </row>
    <row r="300" spans="2:25">
      <c r="B300" s="2793">
        <v>8009</v>
      </c>
      <c r="C300" s="2793" t="s">
        <v>1009</v>
      </c>
      <c r="D300" s="2793">
        <v>-1</v>
      </c>
      <c r="E300" s="2793" t="s">
        <v>287</v>
      </c>
      <c r="F300" s="2793"/>
      <c r="G300" s="2793" t="s">
        <v>932</v>
      </c>
      <c r="H300" s="2793" t="s">
        <v>932</v>
      </c>
      <c r="I300" s="2793">
        <v>8009</v>
      </c>
      <c r="J300" s="2793"/>
      <c r="M300" s="2793" t="s">
        <v>1670</v>
      </c>
      <c r="N300" s="2794" t="s">
        <v>213</v>
      </c>
      <c r="O300" s="2795">
        <v>8663</v>
      </c>
      <c r="S300" s="2798" t="s">
        <v>1810</v>
      </c>
      <c r="T300" s="2798" t="s">
        <v>1811</v>
      </c>
      <c r="U300" s="2798" t="s">
        <v>47</v>
      </c>
      <c r="V300" s="2798">
        <v>1</v>
      </c>
      <c r="W300" s="2798">
        <v>4101</v>
      </c>
      <c r="X300" s="2798">
        <v>1</v>
      </c>
      <c r="Y300" s="2795" t="s">
        <v>6612</v>
      </c>
    </row>
    <row r="301" spans="2:25">
      <c r="B301" s="2793">
        <v>8010</v>
      </c>
      <c r="C301" s="2793" t="s">
        <v>1012</v>
      </c>
      <c r="D301" s="2793"/>
      <c r="E301" s="2793" t="s">
        <v>287</v>
      </c>
      <c r="F301" s="2793"/>
      <c r="G301" s="2793" t="s">
        <v>1013</v>
      </c>
      <c r="H301" s="2793" t="s">
        <v>1013</v>
      </c>
      <c r="I301" s="2793">
        <v>8010</v>
      </c>
      <c r="J301" s="2793"/>
      <c r="M301" s="2793" t="s">
        <v>1676</v>
      </c>
      <c r="N301" s="2794" t="s">
        <v>999</v>
      </c>
      <c r="O301" s="2795">
        <v>8666</v>
      </c>
      <c r="S301" s="2798" t="s">
        <v>1815</v>
      </c>
      <c r="T301" s="2798" t="s">
        <v>1816</v>
      </c>
      <c r="U301" s="2798" t="s">
        <v>47</v>
      </c>
      <c r="V301" s="2798">
        <v>1</v>
      </c>
      <c r="W301" s="2798">
        <v>4102</v>
      </c>
      <c r="X301" s="2798">
        <v>1</v>
      </c>
      <c r="Y301" s="2795" t="s">
        <v>295</v>
      </c>
    </row>
    <row r="302" spans="2:25">
      <c r="B302" s="2793">
        <v>8090</v>
      </c>
      <c r="C302" s="2793" t="s">
        <v>1017</v>
      </c>
      <c r="D302" s="2793"/>
      <c r="E302" s="2793" t="s">
        <v>287</v>
      </c>
      <c r="F302" s="2793"/>
      <c r="G302" s="2793" t="s">
        <v>1018</v>
      </c>
      <c r="H302" s="2793" t="s">
        <v>1018</v>
      </c>
      <c r="I302" s="2793">
        <v>8090</v>
      </c>
      <c r="J302" s="2793"/>
      <c r="M302" s="2793" t="s">
        <v>1681</v>
      </c>
      <c r="N302" s="2794" t="s">
        <v>213</v>
      </c>
      <c r="O302" s="2795">
        <v>8671</v>
      </c>
      <c r="S302" s="2798" t="s">
        <v>1820</v>
      </c>
      <c r="T302" s="2798" t="s">
        <v>1821</v>
      </c>
      <c r="U302" s="2798" t="s">
        <v>47</v>
      </c>
      <c r="V302" s="2798">
        <v>1</v>
      </c>
      <c r="W302" s="2798">
        <v>4200</v>
      </c>
      <c r="X302" s="2798">
        <v>1</v>
      </c>
      <c r="Y302" s="2795" t="s">
        <v>295</v>
      </c>
    </row>
    <row r="303" spans="2:25">
      <c r="B303" s="2793">
        <v>8040</v>
      </c>
      <c r="C303" s="2793" t="s">
        <v>1031</v>
      </c>
      <c r="D303" s="2793"/>
      <c r="E303" s="2793" t="s">
        <v>287</v>
      </c>
      <c r="F303" s="2793"/>
      <c r="G303" s="2793" t="s">
        <v>1032</v>
      </c>
      <c r="H303" s="2793" t="s">
        <v>1032</v>
      </c>
      <c r="I303" s="2793">
        <v>8040</v>
      </c>
      <c r="J303" s="2793"/>
      <c r="M303" s="2793" t="s">
        <v>1686</v>
      </c>
      <c r="N303" s="2794" t="s">
        <v>213</v>
      </c>
      <c r="O303" s="2795">
        <v>8672</v>
      </c>
      <c r="S303" s="2798" t="s">
        <v>1824</v>
      </c>
      <c r="T303" s="2798" t="s">
        <v>1825</v>
      </c>
      <c r="U303" s="2798" t="s">
        <v>1826</v>
      </c>
      <c r="V303" s="2798">
        <v>1</v>
      </c>
      <c r="W303" s="2798">
        <v>4200</v>
      </c>
      <c r="X303" s="2798">
        <v>2</v>
      </c>
      <c r="Y303" s="2795" t="s">
        <v>295</v>
      </c>
    </row>
    <row r="304" spans="2:25">
      <c r="B304" s="2793">
        <v>8050</v>
      </c>
      <c r="C304" s="2793" t="s">
        <v>1035</v>
      </c>
      <c r="D304" s="2793"/>
      <c r="E304" s="2793" t="s">
        <v>287</v>
      </c>
      <c r="F304" s="2793"/>
      <c r="G304" s="2793" t="s">
        <v>1036</v>
      </c>
      <c r="H304" s="2793" t="s">
        <v>1037</v>
      </c>
      <c r="I304" s="2793">
        <v>8050</v>
      </c>
      <c r="J304" s="2793"/>
      <c r="M304" s="2793" t="s">
        <v>1691</v>
      </c>
      <c r="N304" s="2794" t="s">
        <v>213</v>
      </c>
      <c r="O304" s="2795">
        <v>8673</v>
      </c>
      <c r="S304" s="2798" t="s">
        <v>1851</v>
      </c>
      <c r="T304" s="2798" t="s">
        <v>1852</v>
      </c>
      <c r="U304" s="2798" t="s">
        <v>47</v>
      </c>
      <c r="V304" s="2798">
        <v>-1</v>
      </c>
      <c r="W304" s="2798">
        <v>6401</v>
      </c>
      <c r="X304" s="2798">
        <v>1</v>
      </c>
      <c r="Y304" s="2795" t="s">
        <v>295</v>
      </c>
    </row>
    <row r="305" spans="2:25">
      <c r="B305" s="2793">
        <v>8051</v>
      </c>
      <c r="C305" s="2793" t="s">
        <v>1041</v>
      </c>
      <c r="D305" s="2793">
        <v>-1</v>
      </c>
      <c r="E305" s="2793" t="s">
        <v>287</v>
      </c>
      <c r="F305" s="2793"/>
      <c r="G305" s="2793" t="s">
        <v>1042</v>
      </c>
      <c r="H305" s="2793" t="s">
        <v>1043</v>
      </c>
      <c r="I305" s="2793">
        <v>8051</v>
      </c>
      <c r="J305" s="2793"/>
      <c r="M305" s="2793" t="s">
        <v>1696</v>
      </c>
      <c r="N305" s="2794" t="s">
        <v>331</v>
      </c>
      <c r="O305" s="2795">
        <v>8675</v>
      </c>
      <c r="S305" s="2798" t="s">
        <v>1844</v>
      </c>
      <c r="T305" s="2798" t="s">
        <v>1845</v>
      </c>
      <c r="U305" s="2798" t="s">
        <v>47</v>
      </c>
      <c r="V305" s="2798">
        <v>-2</v>
      </c>
      <c r="W305" s="2798"/>
      <c r="X305" s="2798">
        <v>1</v>
      </c>
      <c r="Y305" s="2795" t="s">
        <v>295</v>
      </c>
    </row>
    <row r="306" spans="2:25">
      <c r="B306" s="2793">
        <v>8053</v>
      </c>
      <c r="C306" s="2793" t="s">
        <v>1047</v>
      </c>
      <c r="D306" s="2793">
        <v>-1</v>
      </c>
      <c r="E306" s="2793" t="s">
        <v>1048</v>
      </c>
      <c r="F306" s="2793"/>
      <c r="G306" s="2793" t="s">
        <v>1049</v>
      </c>
      <c r="H306" s="2793" t="s">
        <v>1049</v>
      </c>
      <c r="I306" s="2793">
        <v>8053</v>
      </c>
      <c r="J306" s="2793"/>
      <c r="M306" s="2793" t="s">
        <v>1701</v>
      </c>
      <c r="N306" s="2794"/>
      <c r="O306" s="2795">
        <v>8676</v>
      </c>
      <c r="S306" s="2798" t="s">
        <v>1848</v>
      </c>
      <c r="T306" s="2798" t="s">
        <v>1849</v>
      </c>
      <c r="U306" s="2798" t="s">
        <v>47</v>
      </c>
      <c r="V306" s="2798">
        <v>-1</v>
      </c>
      <c r="W306" s="2798">
        <v>6001</v>
      </c>
      <c r="X306" s="2798">
        <v>1</v>
      </c>
      <c r="Y306" s="2795" t="s">
        <v>295</v>
      </c>
    </row>
    <row r="307" spans="2:25">
      <c r="B307" s="2793">
        <v>8052</v>
      </c>
      <c r="C307" s="2793" t="s">
        <v>1054</v>
      </c>
      <c r="D307" s="2793">
        <v>-1</v>
      </c>
      <c r="E307" s="2793" t="s">
        <v>287</v>
      </c>
      <c r="F307" s="2793"/>
      <c r="G307" s="2793" t="s">
        <v>1055</v>
      </c>
      <c r="H307" s="2793" t="s">
        <v>1056</v>
      </c>
      <c r="I307" s="2793">
        <v>8052</v>
      </c>
      <c r="J307" s="2793"/>
      <c r="M307" s="2793" t="s">
        <v>1706</v>
      </c>
      <c r="N307" s="2794" t="s">
        <v>119</v>
      </c>
      <c r="O307" s="2795">
        <v>8677</v>
      </c>
      <c r="S307" s="2798" t="s">
        <v>1854</v>
      </c>
      <c r="T307" s="2798" t="s">
        <v>1855</v>
      </c>
      <c r="U307" s="2798" t="s">
        <v>1856</v>
      </c>
      <c r="V307" s="2798">
        <v>-2</v>
      </c>
      <c r="W307" s="2798"/>
      <c r="X307" s="2798">
        <v>2</v>
      </c>
      <c r="Y307" s="2795" t="s">
        <v>295</v>
      </c>
    </row>
    <row r="308" spans="2:25">
      <c r="B308" s="2793">
        <v>8056</v>
      </c>
      <c r="C308" s="2793" t="s">
        <v>1060</v>
      </c>
      <c r="D308" s="2793">
        <v>-1</v>
      </c>
      <c r="E308" s="2793" t="s">
        <v>287</v>
      </c>
      <c r="F308" s="2793"/>
      <c r="G308" s="2793" t="s">
        <v>932</v>
      </c>
      <c r="H308" s="2793" t="s">
        <v>932</v>
      </c>
      <c r="I308" s="2793">
        <v>8056</v>
      </c>
      <c r="J308" s="2793"/>
      <c r="M308" s="2793" t="s">
        <v>1711</v>
      </c>
      <c r="N308" s="2794" t="s">
        <v>213</v>
      </c>
      <c r="O308" s="2795">
        <v>8681</v>
      </c>
      <c r="S308" s="2798" t="s">
        <v>1859</v>
      </c>
      <c r="T308" s="2798" t="s">
        <v>1860</v>
      </c>
      <c r="U308" s="2798" t="s">
        <v>1861</v>
      </c>
      <c r="V308" s="2798">
        <v>-2</v>
      </c>
      <c r="W308" s="2798"/>
      <c r="X308" s="2798">
        <v>2</v>
      </c>
      <c r="Y308" s="2795" t="s">
        <v>295</v>
      </c>
    </row>
    <row r="309" spans="2:25">
      <c r="B309" s="2793">
        <v>8060</v>
      </c>
      <c r="C309" s="2793" t="s">
        <v>1064</v>
      </c>
      <c r="D309" s="2793"/>
      <c r="E309" s="2793" t="s">
        <v>287</v>
      </c>
      <c r="F309" s="2793"/>
      <c r="G309" s="2793" t="s">
        <v>1065</v>
      </c>
      <c r="H309" s="2793" t="s">
        <v>1066</v>
      </c>
      <c r="I309" s="2793">
        <v>8060</v>
      </c>
      <c r="J309" s="2793"/>
      <c r="M309" s="2793" t="s">
        <v>1716</v>
      </c>
      <c r="N309" s="2794" t="s">
        <v>213</v>
      </c>
      <c r="O309" s="2795">
        <v>8682</v>
      </c>
      <c r="S309" s="2798" t="s">
        <v>1863</v>
      </c>
      <c r="T309" s="2798" t="s">
        <v>1864</v>
      </c>
      <c r="U309" s="2798" t="s">
        <v>1865</v>
      </c>
      <c r="V309" s="2798">
        <v>-2</v>
      </c>
      <c r="W309" s="2798"/>
      <c r="X309" s="2798">
        <v>2</v>
      </c>
      <c r="Y309" s="2795" t="s">
        <v>295</v>
      </c>
    </row>
    <row r="310" spans="2:25">
      <c r="B310" s="2793">
        <v>8061</v>
      </c>
      <c r="C310" s="2793" t="s">
        <v>1070</v>
      </c>
      <c r="D310" s="2793">
        <v>-1</v>
      </c>
      <c r="E310" s="2793" t="s">
        <v>287</v>
      </c>
      <c r="F310" s="2793"/>
      <c r="G310" s="2793" t="s">
        <v>1071</v>
      </c>
      <c r="H310" s="2793" t="s">
        <v>1071</v>
      </c>
      <c r="I310" s="2793">
        <v>8061</v>
      </c>
      <c r="J310" s="2793"/>
      <c r="M310" s="2793" t="s">
        <v>1721</v>
      </c>
      <c r="N310" s="2794" t="s">
        <v>999</v>
      </c>
      <c r="O310" s="2795">
        <v>8696</v>
      </c>
      <c r="S310" s="2798" t="s">
        <v>1868</v>
      </c>
      <c r="T310" s="2798" t="s">
        <v>1869</v>
      </c>
      <c r="U310" s="2798" t="s">
        <v>1870</v>
      </c>
      <c r="V310" s="2798">
        <v>-1</v>
      </c>
      <c r="W310" s="2798">
        <v>6001</v>
      </c>
      <c r="X310" s="2798">
        <v>2</v>
      </c>
      <c r="Y310" s="2795" t="s">
        <v>295</v>
      </c>
    </row>
    <row r="311" spans="2:25">
      <c r="B311" s="2793">
        <v>8062</v>
      </c>
      <c r="C311" s="2793" t="s">
        <v>1075</v>
      </c>
      <c r="D311" s="2793">
        <v>-1</v>
      </c>
      <c r="E311" s="2793" t="s">
        <v>287</v>
      </c>
      <c r="F311" s="2793"/>
      <c r="G311" s="2793" t="s">
        <v>1076</v>
      </c>
      <c r="H311" s="2793" t="s">
        <v>1076</v>
      </c>
      <c r="I311" s="2793">
        <v>8062</v>
      </c>
      <c r="J311" s="2793"/>
      <c r="M311" s="2793" t="s">
        <v>1725</v>
      </c>
      <c r="N311" s="2794"/>
      <c r="O311" s="2795">
        <v>8701</v>
      </c>
      <c r="S311" s="2798" t="s">
        <v>1872</v>
      </c>
      <c r="T311" s="2798" t="s">
        <v>1873</v>
      </c>
      <c r="U311" s="2798" t="s">
        <v>1874</v>
      </c>
      <c r="V311" s="2798">
        <v>-1</v>
      </c>
      <c r="W311" s="2798">
        <v>6401</v>
      </c>
      <c r="X311" s="2798">
        <v>2</v>
      </c>
      <c r="Y311" s="2795" t="s">
        <v>295</v>
      </c>
    </row>
    <row r="312" spans="2:25">
      <c r="B312" s="2793">
        <v>8063</v>
      </c>
      <c r="C312" s="2793" t="s">
        <v>1080</v>
      </c>
      <c r="D312" s="2793">
        <v>-1</v>
      </c>
      <c r="E312" s="2793" t="s">
        <v>287</v>
      </c>
      <c r="F312" s="2793"/>
      <c r="G312" s="2793" t="s">
        <v>1081</v>
      </c>
      <c r="H312" s="2793" t="s">
        <v>1082</v>
      </c>
      <c r="I312" s="2793">
        <v>8063</v>
      </c>
      <c r="J312" s="2793"/>
      <c r="M312" s="2793" t="s">
        <v>1730</v>
      </c>
      <c r="N312" s="2794"/>
      <c r="O312" s="2795">
        <v>8702</v>
      </c>
      <c r="S312" s="2798" t="s">
        <v>1840</v>
      </c>
      <c r="T312" s="2798" t="s">
        <v>1841</v>
      </c>
      <c r="U312" s="2798" t="s">
        <v>47</v>
      </c>
      <c r="V312" s="2798">
        <v>-1</v>
      </c>
      <c r="W312" s="2798">
        <v>6001</v>
      </c>
      <c r="X312" s="2798">
        <v>2</v>
      </c>
      <c r="Y312" s="2795" t="s">
        <v>295</v>
      </c>
    </row>
    <row r="313" spans="2:25">
      <c r="B313" s="2793">
        <v>8066</v>
      </c>
      <c r="C313" s="2793" t="s">
        <v>1086</v>
      </c>
      <c r="D313" s="2793">
        <v>-1</v>
      </c>
      <c r="E313" s="2793" t="s">
        <v>287</v>
      </c>
      <c r="F313" s="2793"/>
      <c r="G313" s="2793" t="s">
        <v>932</v>
      </c>
      <c r="H313" s="2793" t="s">
        <v>932</v>
      </c>
      <c r="I313" s="2793">
        <v>8066</v>
      </c>
      <c r="J313" s="2793"/>
      <c r="M313" s="2793" t="s">
        <v>1735</v>
      </c>
      <c r="N313" s="2794"/>
      <c r="O313" s="2795">
        <v>8703</v>
      </c>
      <c r="S313" s="2798" t="s">
        <v>1894</v>
      </c>
      <c r="T313" s="2798" t="s">
        <v>1895</v>
      </c>
      <c r="U313" s="2798" t="s">
        <v>47</v>
      </c>
      <c r="V313" s="2798">
        <v>-1</v>
      </c>
      <c r="W313" s="2798">
        <v>6401</v>
      </c>
      <c r="X313" s="2798">
        <v>2</v>
      </c>
      <c r="Y313" s="2795" t="s">
        <v>295</v>
      </c>
    </row>
    <row r="314" spans="2:25">
      <c r="B314" s="2793">
        <v>8070</v>
      </c>
      <c r="C314" s="2793" t="s">
        <v>1090</v>
      </c>
      <c r="D314" s="2793"/>
      <c r="E314" s="2793" t="s">
        <v>287</v>
      </c>
      <c r="F314" s="2793"/>
      <c r="G314" s="2793" t="s">
        <v>5749</v>
      </c>
      <c r="H314" s="2793" t="s">
        <v>1188</v>
      </c>
      <c r="I314" s="2793">
        <v>8070</v>
      </c>
      <c r="J314" s="2793"/>
      <c r="M314" s="2793" t="s">
        <v>1740</v>
      </c>
      <c r="N314" s="2794" t="s">
        <v>708</v>
      </c>
      <c r="O314" s="2795">
        <v>8704</v>
      </c>
      <c r="S314" s="2798" t="s">
        <v>1897</v>
      </c>
      <c r="T314" s="2798" t="s">
        <v>1898</v>
      </c>
      <c r="U314" s="2798" t="s">
        <v>1899</v>
      </c>
      <c r="V314" s="2798">
        <v>1</v>
      </c>
      <c r="W314" s="2798">
        <v>6600</v>
      </c>
      <c r="X314" s="2798">
        <v>1</v>
      </c>
      <c r="Y314" s="2795" t="s">
        <v>295</v>
      </c>
    </row>
    <row r="315" spans="2:25">
      <c r="B315" s="2793">
        <v>8071</v>
      </c>
      <c r="C315" s="2793" t="s">
        <v>1094</v>
      </c>
      <c r="D315" s="2793">
        <v>-1</v>
      </c>
      <c r="E315" s="2793" t="s">
        <v>287</v>
      </c>
      <c r="F315" s="2793"/>
      <c r="G315" s="2793" t="s">
        <v>1095</v>
      </c>
      <c r="H315" s="2793" t="s">
        <v>1096</v>
      </c>
      <c r="I315" s="2793">
        <v>8071</v>
      </c>
      <c r="J315" s="2793"/>
      <c r="M315" s="2793" t="s">
        <v>1745</v>
      </c>
      <c r="N315" s="2794"/>
      <c r="O315" s="2795">
        <v>8709</v>
      </c>
      <c r="S315" s="2798" t="s">
        <v>1901</v>
      </c>
      <c r="T315" s="2798" t="s">
        <v>1902</v>
      </c>
      <c r="U315" s="2798" t="s">
        <v>47</v>
      </c>
      <c r="V315" s="2798">
        <v>1</v>
      </c>
      <c r="W315" s="2798">
        <v>6600</v>
      </c>
      <c r="X315" s="2798">
        <v>2</v>
      </c>
      <c r="Y315" s="2795" t="s">
        <v>295</v>
      </c>
    </row>
    <row r="316" spans="2:25">
      <c r="B316" s="2793">
        <v>8072</v>
      </c>
      <c r="C316" s="2793" t="s">
        <v>1101</v>
      </c>
      <c r="D316" s="2793">
        <v>-1</v>
      </c>
      <c r="E316" s="2793" t="s">
        <v>287</v>
      </c>
      <c r="F316" s="2793"/>
      <c r="G316" s="2793" t="s">
        <v>1102</v>
      </c>
      <c r="H316" s="2793" t="s">
        <v>1103</v>
      </c>
      <c r="I316" s="2793">
        <v>8072</v>
      </c>
      <c r="J316" s="2793"/>
      <c r="M316" s="2793" t="s">
        <v>1750</v>
      </c>
      <c r="N316" s="2794" t="s">
        <v>213</v>
      </c>
      <c r="O316" s="2795">
        <v>8751</v>
      </c>
      <c r="S316" s="2798" t="s">
        <v>1905</v>
      </c>
      <c r="T316" s="2798" t="s">
        <v>1906</v>
      </c>
      <c r="U316" s="2798" t="s">
        <v>47</v>
      </c>
      <c r="V316" s="2798">
        <v>1</v>
      </c>
      <c r="W316" s="2798">
        <v>6601</v>
      </c>
      <c r="X316" s="2798">
        <v>1</v>
      </c>
      <c r="Y316" s="2795" t="s">
        <v>295</v>
      </c>
    </row>
    <row r="317" spans="2:25">
      <c r="B317" s="2793">
        <v>8073</v>
      </c>
      <c r="C317" s="2793" t="s">
        <v>1108</v>
      </c>
      <c r="D317" s="2793">
        <v>-1</v>
      </c>
      <c r="E317" s="2793" t="s">
        <v>287</v>
      </c>
      <c r="F317" s="2793"/>
      <c r="G317" s="2793" t="s">
        <v>1109</v>
      </c>
      <c r="H317" s="2793" t="s">
        <v>1109</v>
      </c>
      <c r="I317" s="2793">
        <v>8073</v>
      </c>
      <c r="J317" s="2793"/>
      <c r="M317" s="2793" t="s">
        <v>1755</v>
      </c>
      <c r="N317" s="2794" t="s">
        <v>213</v>
      </c>
      <c r="O317" s="2795">
        <v>8752</v>
      </c>
      <c r="S317" s="2798" t="s">
        <v>1910</v>
      </c>
      <c r="T317" s="2798" t="s">
        <v>1911</v>
      </c>
      <c r="U317" s="2798" t="s">
        <v>47</v>
      </c>
      <c r="V317" s="2798">
        <v>1</v>
      </c>
      <c r="W317" s="2798">
        <v>6601</v>
      </c>
      <c r="X317" s="2798">
        <v>2</v>
      </c>
      <c r="Y317" s="2795" t="s">
        <v>295</v>
      </c>
    </row>
    <row r="318" spans="2:25">
      <c r="B318" s="2793">
        <v>8075</v>
      </c>
      <c r="C318" s="2793" t="s">
        <v>1113</v>
      </c>
      <c r="D318" s="2793">
        <v>-1</v>
      </c>
      <c r="E318" s="2793" t="s">
        <v>1048</v>
      </c>
      <c r="F318" s="2793"/>
      <c r="G318" s="2793" t="s">
        <v>1114</v>
      </c>
      <c r="H318" s="2793" t="s">
        <v>1114</v>
      </c>
      <c r="I318" s="2793">
        <v>8075</v>
      </c>
      <c r="J318" s="2793"/>
      <c r="M318" s="2793" t="s">
        <v>1760</v>
      </c>
      <c r="N318" s="2794" t="s">
        <v>331</v>
      </c>
      <c r="O318" s="2795">
        <v>8753</v>
      </c>
      <c r="S318" s="2798" t="s">
        <v>1913</v>
      </c>
      <c r="T318" s="2798" t="s">
        <v>1914</v>
      </c>
      <c r="U318" s="2798" t="s">
        <v>47</v>
      </c>
      <c r="V318" s="2798">
        <v>1</v>
      </c>
      <c r="W318" s="2798">
        <v>6602</v>
      </c>
      <c r="X318" s="2798">
        <v>1</v>
      </c>
      <c r="Y318" s="2795" t="s">
        <v>295</v>
      </c>
    </row>
    <row r="319" spans="2:25">
      <c r="B319" s="2793">
        <v>8076</v>
      </c>
      <c r="C319" s="2793" t="s">
        <v>1118</v>
      </c>
      <c r="D319" s="2793">
        <v>-1</v>
      </c>
      <c r="E319" s="2793" t="s">
        <v>287</v>
      </c>
      <c r="F319" s="2793"/>
      <c r="G319" s="2793" t="s">
        <v>932</v>
      </c>
      <c r="H319" s="2793" t="s">
        <v>932</v>
      </c>
      <c r="I319" s="2793">
        <v>8076</v>
      </c>
      <c r="J319" s="2793"/>
      <c r="M319" s="2793" t="s">
        <v>1765</v>
      </c>
      <c r="N319" s="2794"/>
      <c r="O319" s="2795">
        <v>8756</v>
      </c>
      <c r="S319" s="2798" t="s">
        <v>1916</v>
      </c>
      <c r="T319" s="2798" t="s">
        <v>1917</v>
      </c>
      <c r="U319" s="2798" t="s">
        <v>47</v>
      </c>
      <c r="V319" s="2798">
        <v>1</v>
      </c>
      <c r="W319" s="2798">
        <v>6602</v>
      </c>
      <c r="X319" s="2798">
        <v>2</v>
      </c>
      <c r="Y319" s="2795" t="s">
        <v>295</v>
      </c>
    </row>
    <row r="320" spans="2:25">
      <c r="B320" s="2793">
        <v>8077</v>
      </c>
      <c r="C320" s="2793" t="s">
        <v>2414</v>
      </c>
      <c r="D320" s="2793">
        <v>-1</v>
      </c>
      <c r="E320" s="2793" t="s">
        <v>2415</v>
      </c>
      <c r="F320" s="2793"/>
      <c r="G320" s="2793" t="s">
        <v>2416</v>
      </c>
      <c r="H320" s="2793" t="s">
        <v>2416</v>
      </c>
      <c r="I320" s="2793">
        <v>8077</v>
      </c>
      <c r="J320" s="2793"/>
      <c r="M320" s="2793" t="s">
        <v>1770</v>
      </c>
      <c r="N320" s="2794"/>
      <c r="O320" s="2795">
        <v>8761</v>
      </c>
      <c r="S320" s="2798" t="s">
        <v>6169</v>
      </c>
      <c r="T320" s="2798" t="s">
        <v>6170</v>
      </c>
      <c r="U320" s="2798" t="s">
        <v>47</v>
      </c>
      <c r="V320" s="2798">
        <v>1</v>
      </c>
      <c r="W320" s="2798">
        <v>6606</v>
      </c>
      <c r="X320" s="2798">
        <v>2</v>
      </c>
      <c r="Y320" s="2795" t="s">
        <v>295</v>
      </c>
    </row>
    <row r="321" spans="2:25">
      <c r="B321" s="2793">
        <v>8080</v>
      </c>
      <c r="C321" s="2793" t="s">
        <v>1122</v>
      </c>
      <c r="D321" s="2793"/>
      <c r="E321" s="2793" t="s">
        <v>287</v>
      </c>
      <c r="F321" s="2793"/>
      <c r="G321" s="2793" t="s">
        <v>1123</v>
      </c>
      <c r="H321" s="2793" t="s">
        <v>1124</v>
      </c>
      <c r="I321" s="2793">
        <v>8080</v>
      </c>
      <c r="J321" s="2793"/>
      <c r="M321" s="2794" t="s">
        <v>1773</v>
      </c>
      <c r="N321" s="2794"/>
      <c r="O321" s="2795">
        <v>8762</v>
      </c>
      <c r="S321" s="2798" t="s">
        <v>1924</v>
      </c>
      <c r="T321" s="2798" t="s">
        <v>1925</v>
      </c>
      <c r="U321" s="2798" t="s">
        <v>47</v>
      </c>
      <c r="V321" s="2798">
        <v>1</v>
      </c>
      <c r="W321" s="2798">
        <v>6606</v>
      </c>
      <c r="X321" s="2798">
        <v>1</v>
      </c>
      <c r="Y321" s="2795" t="s">
        <v>295</v>
      </c>
    </row>
    <row r="322" spans="2:25">
      <c r="B322" s="2793">
        <v>8081</v>
      </c>
      <c r="C322" s="2793" t="s">
        <v>1128</v>
      </c>
      <c r="D322" s="2793">
        <v>-1</v>
      </c>
      <c r="E322" s="2793" t="s">
        <v>287</v>
      </c>
      <c r="F322" s="2793"/>
      <c r="G322" s="2793" t="s">
        <v>6638</v>
      </c>
      <c r="H322" s="2793" t="s">
        <v>1129</v>
      </c>
      <c r="I322" s="2793">
        <v>8081</v>
      </c>
      <c r="J322" s="2793"/>
      <c r="M322" s="2794" t="s">
        <v>1779</v>
      </c>
      <c r="N322" s="2794"/>
      <c r="O322" s="2795">
        <v>8763</v>
      </c>
      <c r="S322" s="2798" t="s">
        <v>1919</v>
      </c>
      <c r="T322" s="2798" t="s">
        <v>1920</v>
      </c>
      <c r="U322" s="2798" t="s">
        <v>47</v>
      </c>
      <c r="V322" s="2798">
        <v>1</v>
      </c>
      <c r="W322" s="2798">
        <v>6603</v>
      </c>
      <c r="X322" s="2798">
        <v>1</v>
      </c>
      <c r="Y322" s="2795" t="s">
        <v>295</v>
      </c>
    </row>
    <row r="323" spans="2:25">
      <c r="B323" s="2793">
        <v>8082</v>
      </c>
      <c r="C323" s="2793" t="s">
        <v>1133</v>
      </c>
      <c r="D323" s="2793">
        <v>-1</v>
      </c>
      <c r="E323" s="2793" t="s">
        <v>287</v>
      </c>
      <c r="F323" s="2793"/>
      <c r="G323" s="2793" t="s">
        <v>6639</v>
      </c>
      <c r="H323" s="2793" t="s">
        <v>1134</v>
      </c>
      <c r="I323" s="2793">
        <v>8082</v>
      </c>
      <c r="J323" s="2793"/>
      <c r="M323" s="2794" t="s">
        <v>1784</v>
      </c>
      <c r="N323" s="2794"/>
      <c r="O323" s="2795">
        <v>8766</v>
      </c>
      <c r="S323" s="2798" t="s">
        <v>1922</v>
      </c>
      <c r="T323" s="2798" t="s">
        <v>1923</v>
      </c>
      <c r="U323" s="2798" t="s">
        <v>47</v>
      </c>
      <c r="V323" s="2798">
        <v>1</v>
      </c>
      <c r="W323" s="2798">
        <v>6603</v>
      </c>
      <c r="X323" s="2798">
        <v>2</v>
      </c>
      <c r="Y323" s="2795" t="s">
        <v>295</v>
      </c>
    </row>
    <row r="324" spans="2:25">
      <c r="B324" s="2793">
        <v>8096</v>
      </c>
      <c r="C324" s="2793" t="s">
        <v>1138</v>
      </c>
      <c r="D324" s="2793">
        <v>-1</v>
      </c>
      <c r="E324" s="2793" t="s">
        <v>287</v>
      </c>
      <c r="F324" s="2793"/>
      <c r="G324" s="2793" t="s">
        <v>1139</v>
      </c>
      <c r="H324" s="2793" t="s">
        <v>1139</v>
      </c>
      <c r="I324" s="2793">
        <v>8096</v>
      </c>
      <c r="J324" s="2793"/>
      <c r="M324" s="2794" t="s">
        <v>1789</v>
      </c>
      <c r="N324" s="2794" t="s">
        <v>213</v>
      </c>
      <c r="O324" s="2795">
        <v>8771</v>
      </c>
      <c r="S324" s="2798" t="s">
        <v>1891</v>
      </c>
      <c r="T324" s="2798" t="s">
        <v>1892</v>
      </c>
      <c r="U324" s="2798" t="s">
        <v>47</v>
      </c>
      <c r="V324" s="2798">
        <v>1</v>
      </c>
      <c r="W324" s="2798">
        <v>6181</v>
      </c>
      <c r="X324" s="2798">
        <v>1</v>
      </c>
      <c r="Y324" s="2795" t="s">
        <v>295</v>
      </c>
    </row>
    <row r="325" spans="2:25">
      <c r="B325" s="2793">
        <v>8099</v>
      </c>
      <c r="C325" s="2793" t="s">
        <v>1143</v>
      </c>
      <c r="D325" s="2793"/>
      <c r="E325" s="2793" t="s">
        <v>287</v>
      </c>
      <c r="F325" s="2793"/>
      <c r="G325" s="2793" t="s">
        <v>1144</v>
      </c>
      <c r="H325" s="2793" t="s">
        <v>1144</v>
      </c>
      <c r="I325" s="2793">
        <v>8099</v>
      </c>
      <c r="J325" s="2793"/>
      <c r="M325" s="2794" t="s">
        <v>1794</v>
      </c>
      <c r="N325" s="2794" t="s">
        <v>213</v>
      </c>
      <c r="O325" s="2795">
        <v>8772</v>
      </c>
      <c r="S325" s="2798" t="s">
        <v>1885</v>
      </c>
      <c r="T325" s="2798" t="s">
        <v>6457</v>
      </c>
      <c r="U325" s="2798" t="s">
        <v>47</v>
      </c>
      <c r="V325" s="2798">
        <v>1</v>
      </c>
      <c r="W325" s="2798">
        <v>6111</v>
      </c>
      <c r="X325" s="2798">
        <v>1</v>
      </c>
      <c r="Y325" s="2795" t="s">
        <v>295</v>
      </c>
    </row>
    <row r="326" spans="2:25">
      <c r="B326" s="2793">
        <v>8100</v>
      </c>
      <c r="C326" s="2793" t="s">
        <v>1148</v>
      </c>
      <c r="D326" s="2793"/>
      <c r="E326" s="2793" t="s">
        <v>41</v>
      </c>
      <c r="F326" s="2793"/>
      <c r="G326" s="2793" t="s">
        <v>1149</v>
      </c>
      <c r="H326" s="2793"/>
      <c r="I326" s="2793">
        <v>8100</v>
      </c>
      <c r="J326" s="2793"/>
      <c r="M326" s="2794" t="s">
        <v>1799</v>
      </c>
      <c r="N326" s="2794"/>
      <c r="O326" s="2795">
        <v>8773</v>
      </c>
      <c r="S326" s="2798" t="s">
        <v>1882</v>
      </c>
      <c r="T326" s="2798" t="s">
        <v>1883</v>
      </c>
      <c r="U326" s="2798" t="s">
        <v>47</v>
      </c>
      <c r="V326" s="2798">
        <v>1</v>
      </c>
      <c r="W326" s="2798">
        <v>6102</v>
      </c>
      <c r="X326" s="2798">
        <v>1</v>
      </c>
      <c r="Y326" s="2795" t="s">
        <v>295</v>
      </c>
    </row>
    <row r="327" spans="2:25">
      <c r="B327" s="2793">
        <v>8101</v>
      </c>
      <c r="C327" s="2793" t="s">
        <v>992</v>
      </c>
      <c r="D327" s="2793">
        <v>-1</v>
      </c>
      <c r="E327" s="2793"/>
      <c r="F327" s="2793" t="s">
        <v>5696</v>
      </c>
      <c r="G327" s="2793" t="s">
        <v>985</v>
      </c>
      <c r="H327" s="2793"/>
      <c r="I327" s="2793">
        <v>8101</v>
      </c>
      <c r="J327" s="2793" t="s">
        <v>84</v>
      </c>
      <c r="M327" s="2794" t="s">
        <v>1804</v>
      </c>
      <c r="N327" s="2794" t="s">
        <v>331</v>
      </c>
      <c r="O327" s="2795">
        <v>8775</v>
      </c>
      <c r="S327" s="2798" t="s">
        <v>1876</v>
      </c>
      <c r="T327" s="2798" t="s">
        <v>1877</v>
      </c>
      <c r="U327" s="2798" t="s">
        <v>1878</v>
      </c>
      <c r="V327" s="2798">
        <v>1</v>
      </c>
      <c r="W327" s="2798">
        <v>6101</v>
      </c>
      <c r="X327" s="2798">
        <v>1</v>
      </c>
      <c r="Y327" s="2795" t="s">
        <v>6612</v>
      </c>
    </row>
    <row r="328" spans="2:25">
      <c r="B328" s="2793">
        <v>8102</v>
      </c>
      <c r="C328" s="2793" t="s">
        <v>998</v>
      </c>
      <c r="D328" s="2793">
        <v>-1</v>
      </c>
      <c r="E328" s="2793" t="s">
        <v>999</v>
      </c>
      <c r="F328" s="2793" t="s">
        <v>5696</v>
      </c>
      <c r="G328" s="2793" t="s">
        <v>991</v>
      </c>
      <c r="H328" s="2793"/>
      <c r="I328" s="2793">
        <v>8102</v>
      </c>
      <c r="J328" s="2793" t="s">
        <v>84</v>
      </c>
      <c r="M328" s="2794" t="s">
        <v>1809</v>
      </c>
      <c r="N328" s="2794"/>
      <c r="O328" s="2795">
        <v>8776</v>
      </c>
      <c r="S328" s="2798" t="s">
        <v>6091</v>
      </c>
      <c r="T328" s="2798" t="s">
        <v>6092</v>
      </c>
      <c r="U328" s="2798" t="s">
        <v>1878</v>
      </c>
      <c r="V328" s="2798">
        <v>1</v>
      </c>
      <c r="W328" s="2798">
        <v>6101</v>
      </c>
      <c r="X328" s="2798">
        <v>1</v>
      </c>
      <c r="Y328" s="2795" t="s">
        <v>295</v>
      </c>
    </row>
    <row r="329" spans="2:25">
      <c r="B329" s="2793">
        <v>8103</v>
      </c>
      <c r="C329" s="2793" t="s">
        <v>1005</v>
      </c>
      <c r="D329" s="2793">
        <v>-1</v>
      </c>
      <c r="E329" s="2793"/>
      <c r="F329" s="2793" t="s">
        <v>5696</v>
      </c>
      <c r="G329" s="2793" t="s">
        <v>997</v>
      </c>
      <c r="H329" s="2793"/>
      <c r="I329" s="2793">
        <v>8103</v>
      </c>
      <c r="J329" s="2793" t="s">
        <v>84</v>
      </c>
      <c r="M329" s="2794" t="s">
        <v>1814</v>
      </c>
      <c r="N329" s="2794" t="s">
        <v>119</v>
      </c>
      <c r="O329" s="2795">
        <v>8777</v>
      </c>
      <c r="S329" s="2798" t="s">
        <v>1930</v>
      </c>
      <c r="T329" s="2798" t="s">
        <v>1931</v>
      </c>
      <c r="U329" s="2798" t="s">
        <v>47</v>
      </c>
      <c r="V329" s="2798">
        <v>1</v>
      </c>
      <c r="W329" s="2798">
        <v>6672</v>
      </c>
      <c r="X329" s="2798">
        <v>1</v>
      </c>
      <c r="Y329" s="2795" t="s">
        <v>295</v>
      </c>
    </row>
    <row r="330" spans="2:25">
      <c r="B330" s="2793">
        <v>8104</v>
      </c>
      <c r="C330" s="2793" t="s">
        <v>1010</v>
      </c>
      <c r="D330" s="2793">
        <v>-1</v>
      </c>
      <c r="E330" s="2793" t="s">
        <v>708</v>
      </c>
      <c r="F330" s="2793" t="s">
        <v>5696</v>
      </c>
      <c r="G330" s="2793" t="s">
        <v>1004</v>
      </c>
      <c r="H330" s="2793"/>
      <c r="I330" s="2793">
        <v>8104</v>
      </c>
      <c r="J330" s="2793" t="s">
        <v>84</v>
      </c>
      <c r="M330" s="2794" t="s">
        <v>1819</v>
      </c>
      <c r="N330" s="2794" t="s">
        <v>999</v>
      </c>
      <c r="O330" s="2795">
        <v>8781</v>
      </c>
      <c r="S330" s="2798" t="s">
        <v>1927</v>
      </c>
      <c r="T330" s="2798" t="s">
        <v>1928</v>
      </c>
      <c r="U330" s="2798" t="s">
        <v>47</v>
      </c>
      <c r="V330" s="2798">
        <v>1</v>
      </c>
      <c r="W330" s="2798">
        <v>6671</v>
      </c>
      <c r="X330" s="2798">
        <v>1</v>
      </c>
      <c r="Y330" s="2795" t="s">
        <v>295</v>
      </c>
    </row>
    <row r="331" spans="2:25">
      <c r="B331" s="2793">
        <v>8109</v>
      </c>
      <c r="C331" s="2793" t="s">
        <v>1014</v>
      </c>
      <c r="D331" s="2793">
        <v>-1</v>
      </c>
      <c r="E331" s="2793" t="s">
        <v>999</v>
      </c>
      <c r="F331" s="2793" t="s">
        <v>5696</v>
      </c>
      <c r="G331" s="2793" t="s">
        <v>932</v>
      </c>
      <c r="H331" s="2793"/>
      <c r="I331" s="2793">
        <v>8109</v>
      </c>
      <c r="J331" s="2793" t="s">
        <v>84</v>
      </c>
      <c r="M331" s="2794" t="s">
        <v>1823</v>
      </c>
      <c r="N331" s="2794" t="s">
        <v>999</v>
      </c>
      <c r="O331" s="2795">
        <v>8782</v>
      </c>
      <c r="S331" s="2798" t="s">
        <v>1888</v>
      </c>
      <c r="T331" s="2798" t="s">
        <v>1889</v>
      </c>
      <c r="U331" s="2798" t="s">
        <v>47</v>
      </c>
      <c r="V331" s="2798">
        <v>1</v>
      </c>
      <c r="W331" s="2798">
        <v>6171</v>
      </c>
      <c r="X331" s="2798">
        <v>1</v>
      </c>
      <c r="Y331" s="2795" t="s">
        <v>295</v>
      </c>
    </row>
    <row r="332" spans="2:25">
      <c r="B332" s="2793">
        <v>8110</v>
      </c>
      <c r="C332" s="2793" t="s">
        <v>1168</v>
      </c>
      <c r="D332" s="2793"/>
      <c r="E332" s="2793" t="s">
        <v>287</v>
      </c>
      <c r="F332" s="2793"/>
      <c r="G332" s="2793" t="s">
        <v>1013</v>
      </c>
      <c r="H332" s="2793"/>
      <c r="I332" s="2793">
        <v>8110</v>
      </c>
      <c r="J332" s="2793"/>
      <c r="M332" s="2794" t="s">
        <v>1827</v>
      </c>
      <c r="N332" s="2794" t="s">
        <v>999</v>
      </c>
      <c r="O332" s="2795">
        <v>8796</v>
      </c>
      <c r="S332" s="2798" t="s">
        <v>1933</v>
      </c>
      <c r="T332" s="2798" t="s">
        <v>1934</v>
      </c>
      <c r="U332" s="2798" t="s">
        <v>47</v>
      </c>
      <c r="V332" s="2798">
        <v>1</v>
      </c>
      <c r="W332" s="2798">
        <v>6710</v>
      </c>
      <c r="X332" s="2798">
        <v>1</v>
      </c>
      <c r="Y332" s="2795" t="s">
        <v>295</v>
      </c>
    </row>
    <row r="333" spans="2:25">
      <c r="B333" s="2793">
        <v>8190</v>
      </c>
      <c r="C333" s="2793" t="s">
        <v>1171</v>
      </c>
      <c r="D333" s="2793"/>
      <c r="E333" s="2793" t="s">
        <v>287</v>
      </c>
      <c r="F333" s="2793"/>
      <c r="G333" s="2793" t="s">
        <v>1172</v>
      </c>
      <c r="H333" s="2793"/>
      <c r="I333" s="2793">
        <v>8190</v>
      </c>
      <c r="J333" s="2793"/>
      <c r="M333" s="2794" t="s">
        <v>1833</v>
      </c>
      <c r="N333" s="2794" t="s">
        <v>708</v>
      </c>
      <c r="O333" s="2795">
        <v>8901</v>
      </c>
      <c r="S333" s="2798" t="s">
        <v>1935</v>
      </c>
      <c r="T333" s="2798" t="s">
        <v>1936</v>
      </c>
      <c r="U333" s="2798" t="s">
        <v>47</v>
      </c>
      <c r="V333" s="2798">
        <v>1</v>
      </c>
      <c r="W333" s="2798">
        <v>6710</v>
      </c>
      <c r="X333" s="2798">
        <v>2</v>
      </c>
      <c r="Y333" s="2795" t="s">
        <v>295</v>
      </c>
    </row>
    <row r="334" spans="2:25">
      <c r="B334" s="2793">
        <v>8150</v>
      </c>
      <c r="C334" s="2793" t="s">
        <v>1177</v>
      </c>
      <c r="D334" s="2793"/>
      <c r="E334" s="2793" t="s">
        <v>287</v>
      </c>
      <c r="F334" s="2793"/>
      <c r="G334" s="2793" t="s">
        <v>1036</v>
      </c>
      <c r="H334" s="2793"/>
      <c r="I334" s="2793">
        <v>8150</v>
      </c>
      <c r="J334" s="2793"/>
      <c r="M334" s="2794" t="s">
        <v>1836</v>
      </c>
      <c r="N334" s="2794" t="s">
        <v>708</v>
      </c>
      <c r="O334" s="2795">
        <v>8902</v>
      </c>
      <c r="S334" s="2798" t="s">
        <v>1937</v>
      </c>
      <c r="T334" s="2798" t="s">
        <v>1938</v>
      </c>
      <c r="U334" s="2798" t="s">
        <v>47</v>
      </c>
      <c r="V334" s="2798">
        <v>1</v>
      </c>
      <c r="W334" s="2798">
        <v>6711</v>
      </c>
      <c r="X334" s="2798">
        <v>1</v>
      </c>
      <c r="Y334" s="2795" t="s">
        <v>295</v>
      </c>
    </row>
    <row r="335" spans="2:25">
      <c r="B335" s="2793">
        <v>8151</v>
      </c>
      <c r="C335" s="2793" t="s">
        <v>1033</v>
      </c>
      <c r="D335" s="2793">
        <v>-1</v>
      </c>
      <c r="E335" s="2793"/>
      <c r="F335" s="2793" t="s">
        <v>5696</v>
      </c>
      <c r="G335" s="2793" t="s">
        <v>1182</v>
      </c>
      <c r="H335" s="2793"/>
      <c r="I335" s="2793">
        <v>8151</v>
      </c>
      <c r="J335" s="2793" t="s">
        <v>84</v>
      </c>
      <c r="M335" s="2794" t="s">
        <v>1839</v>
      </c>
      <c r="N335" s="2794" t="s">
        <v>708</v>
      </c>
      <c r="O335" s="2795">
        <v>8903</v>
      </c>
      <c r="S335" s="2798" t="s">
        <v>1939</v>
      </c>
      <c r="T335" s="2798" t="s">
        <v>1940</v>
      </c>
      <c r="U335" s="2798" t="s">
        <v>47</v>
      </c>
      <c r="V335" s="2798">
        <v>1</v>
      </c>
      <c r="W335" s="2798">
        <v>6791</v>
      </c>
      <c r="X335" s="2798">
        <v>1</v>
      </c>
      <c r="Y335" s="2795" t="s">
        <v>295</v>
      </c>
    </row>
    <row r="336" spans="2:25">
      <c r="B336" s="2793">
        <v>8153</v>
      </c>
      <c r="C336" s="2793" t="s">
        <v>1044</v>
      </c>
      <c r="D336" s="2793">
        <v>-1</v>
      </c>
      <c r="E336" s="2793" t="s">
        <v>331</v>
      </c>
      <c r="F336" s="2793" t="s">
        <v>5696</v>
      </c>
      <c r="G336" s="2793" t="s">
        <v>1049</v>
      </c>
      <c r="H336" s="2793"/>
      <c r="I336" s="2793">
        <v>8153</v>
      </c>
      <c r="J336" s="2793" t="s">
        <v>84</v>
      </c>
      <c r="M336" s="2794" t="s">
        <v>1843</v>
      </c>
      <c r="N336" s="2794" t="s">
        <v>708</v>
      </c>
      <c r="O336" s="2795">
        <v>8904</v>
      </c>
      <c r="S336" s="2798" t="s">
        <v>1941</v>
      </c>
      <c r="T336" s="2798" t="s">
        <v>1942</v>
      </c>
      <c r="U336" s="2798" t="s">
        <v>47</v>
      </c>
      <c r="V336" s="2798">
        <v>1</v>
      </c>
      <c r="W336" s="2798">
        <v>6791</v>
      </c>
      <c r="X336" s="2798">
        <v>2</v>
      </c>
      <c r="Y336" s="2795" t="s">
        <v>295</v>
      </c>
    </row>
    <row r="337" spans="2:25">
      <c r="B337" s="2793">
        <v>8156</v>
      </c>
      <c r="C337" s="2793" t="s">
        <v>1050</v>
      </c>
      <c r="D337" s="2793">
        <v>-1</v>
      </c>
      <c r="E337" s="2793" t="s">
        <v>999</v>
      </c>
      <c r="F337" s="2793" t="s">
        <v>5696</v>
      </c>
      <c r="G337" s="2793" t="s">
        <v>932</v>
      </c>
      <c r="H337" s="2793"/>
      <c r="I337" s="2793">
        <v>8156</v>
      </c>
      <c r="J337" s="2793" t="s">
        <v>84</v>
      </c>
      <c r="M337" s="2794" t="s">
        <v>1847</v>
      </c>
      <c r="N337" s="2794" t="s">
        <v>708</v>
      </c>
      <c r="O337" s="2795">
        <v>8909</v>
      </c>
      <c r="S337" s="2798" t="s">
        <v>1946</v>
      </c>
      <c r="T337" s="2798" t="s">
        <v>1947</v>
      </c>
      <c r="U337" s="2798" t="s">
        <v>47</v>
      </c>
      <c r="V337" s="2798">
        <v>1</v>
      </c>
      <c r="W337" s="2798">
        <v>7046</v>
      </c>
      <c r="X337" s="2798">
        <v>1</v>
      </c>
      <c r="Y337" s="2795" t="s">
        <v>295</v>
      </c>
    </row>
    <row r="338" spans="2:25">
      <c r="B338" s="2793">
        <v>8170</v>
      </c>
      <c r="C338" s="2793" t="s">
        <v>1187</v>
      </c>
      <c r="D338" s="2793"/>
      <c r="E338" s="2793" t="s">
        <v>287</v>
      </c>
      <c r="F338" s="2793"/>
      <c r="G338" s="2793" t="s">
        <v>1188</v>
      </c>
      <c r="H338" s="2793"/>
      <c r="I338" s="2793">
        <v>8170</v>
      </c>
      <c r="J338" s="2793"/>
      <c r="M338" s="2794" t="s">
        <v>1850</v>
      </c>
      <c r="N338" s="2794" t="s">
        <v>708</v>
      </c>
      <c r="O338" s="2795">
        <v>8921</v>
      </c>
      <c r="S338" s="2798" t="s">
        <v>1948</v>
      </c>
      <c r="T338" s="2798" t="s">
        <v>1949</v>
      </c>
      <c r="U338" s="2798" t="s">
        <v>47</v>
      </c>
      <c r="V338" s="2798">
        <v>1</v>
      </c>
      <c r="W338" s="2798">
        <v>7046</v>
      </c>
      <c r="X338" s="2798">
        <v>2</v>
      </c>
      <c r="Y338" s="2795" t="s">
        <v>295</v>
      </c>
    </row>
    <row r="339" spans="2:25">
      <c r="B339" s="2793">
        <v>8171</v>
      </c>
      <c r="C339" s="2793" t="s">
        <v>1077</v>
      </c>
      <c r="D339" s="2793">
        <v>-1</v>
      </c>
      <c r="E339" s="2793"/>
      <c r="F339" s="2793" t="s">
        <v>5696</v>
      </c>
      <c r="G339" s="2793" t="s">
        <v>1095</v>
      </c>
      <c r="H339" s="2793"/>
      <c r="I339" s="2793">
        <v>8171</v>
      </c>
      <c r="J339" s="2793" t="s">
        <v>84</v>
      </c>
      <c r="M339" s="2794" t="s">
        <v>1853</v>
      </c>
      <c r="N339" s="2794" t="s">
        <v>708</v>
      </c>
      <c r="O339" s="2795">
        <v>8930</v>
      </c>
      <c r="S339" s="2798" t="s">
        <v>1957</v>
      </c>
      <c r="T339" s="2798" t="s">
        <v>1958</v>
      </c>
      <c r="U339" s="2798" t="s">
        <v>47</v>
      </c>
      <c r="V339" s="2798">
        <v>1</v>
      </c>
      <c r="W339" s="2798">
        <v>7096</v>
      </c>
      <c r="X339" s="2798">
        <v>1</v>
      </c>
      <c r="Y339" s="2795" t="s">
        <v>295</v>
      </c>
    </row>
    <row r="340" spans="2:25">
      <c r="B340" s="2793">
        <v>8172</v>
      </c>
      <c r="C340" s="2793" t="s">
        <v>1083</v>
      </c>
      <c r="D340" s="2793">
        <v>-1</v>
      </c>
      <c r="E340" s="2793"/>
      <c r="F340" s="2793" t="s">
        <v>5696</v>
      </c>
      <c r="G340" s="2793" t="s">
        <v>1102</v>
      </c>
      <c r="H340" s="2793"/>
      <c r="I340" s="2793">
        <v>8172</v>
      </c>
      <c r="J340" s="2793" t="s">
        <v>84</v>
      </c>
      <c r="M340" s="2794" t="s">
        <v>1858</v>
      </c>
      <c r="N340" s="2794" t="s">
        <v>708</v>
      </c>
      <c r="O340" s="2795">
        <v>8940</v>
      </c>
      <c r="S340" s="2798" t="s">
        <v>1960</v>
      </c>
      <c r="T340" s="2798" t="s">
        <v>1961</v>
      </c>
      <c r="U340" s="2798" t="s">
        <v>47</v>
      </c>
      <c r="V340" s="2798">
        <v>1</v>
      </c>
      <c r="W340" s="2798">
        <v>7096</v>
      </c>
      <c r="X340" s="2798">
        <v>2</v>
      </c>
      <c r="Y340" s="2795" t="s">
        <v>295</v>
      </c>
    </row>
    <row r="341" spans="2:25">
      <c r="B341" s="2793">
        <v>8175</v>
      </c>
      <c r="C341" s="2793" t="s">
        <v>1091</v>
      </c>
      <c r="D341" s="2793">
        <v>-1</v>
      </c>
      <c r="E341" s="2793" t="s">
        <v>331</v>
      </c>
      <c r="F341" s="2793" t="s">
        <v>5696</v>
      </c>
      <c r="G341" s="2793" t="s">
        <v>1114</v>
      </c>
      <c r="H341" s="2793"/>
      <c r="I341" s="2793">
        <v>8175</v>
      </c>
      <c r="J341" s="2793" t="s">
        <v>84</v>
      </c>
      <c r="M341" s="2794" t="s">
        <v>1862</v>
      </c>
      <c r="N341" s="2794" t="s">
        <v>708</v>
      </c>
      <c r="O341" s="2795">
        <v>8951</v>
      </c>
      <c r="S341" s="2798" t="s">
        <v>1971</v>
      </c>
      <c r="T341" s="2798" t="s">
        <v>1972</v>
      </c>
      <c r="U341" s="2798" t="s">
        <v>47</v>
      </c>
      <c r="V341" s="2798">
        <v>1</v>
      </c>
      <c r="W341" s="2798">
        <v>7146</v>
      </c>
      <c r="X341" s="2798">
        <v>1</v>
      </c>
      <c r="Y341" s="2795" t="s">
        <v>295</v>
      </c>
    </row>
    <row r="342" spans="2:25">
      <c r="B342" s="2793">
        <v>8176</v>
      </c>
      <c r="C342" s="2793" t="s">
        <v>1097</v>
      </c>
      <c r="D342" s="2793">
        <v>-1</v>
      </c>
      <c r="E342" s="2793" t="s">
        <v>999</v>
      </c>
      <c r="F342" s="2793" t="s">
        <v>5696</v>
      </c>
      <c r="G342" s="2793" t="s">
        <v>932</v>
      </c>
      <c r="H342" s="2793"/>
      <c r="I342" s="2793">
        <v>8176</v>
      </c>
      <c r="J342" s="2793" t="s">
        <v>84</v>
      </c>
      <c r="M342" s="2794" t="s">
        <v>1866</v>
      </c>
      <c r="N342" s="2794" t="s">
        <v>1867</v>
      </c>
      <c r="O342" s="2795">
        <v>8952</v>
      </c>
      <c r="S342" s="2798" t="s">
        <v>1978</v>
      </c>
      <c r="T342" s="2798" t="s">
        <v>1979</v>
      </c>
      <c r="U342" s="2798" t="s">
        <v>47</v>
      </c>
      <c r="V342" s="2798">
        <v>1</v>
      </c>
      <c r="W342" s="2798">
        <v>7196</v>
      </c>
      <c r="X342" s="2798">
        <v>1</v>
      </c>
      <c r="Y342" s="2795" t="s">
        <v>295</v>
      </c>
    </row>
    <row r="343" spans="2:25">
      <c r="B343" s="2793">
        <v>8177</v>
      </c>
      <c r="C343" s="2793" t="s">
        <v>1104</v>
      </c>
      <c r="D343" s="2793">
        <v>-1</v>
      </c>
      <c r="E343" s="2793" t="s">
        <v>119</v>
      </c>
      <c r="F343" s="2793"/>
      <c r="G343" s="2793" t="s">
        <v>2416</v>
      </c>
      <c r="H343" s="2793" t="s">
        <v>2416</v>
      </c>
      <c r="I343" s="2793">
        <v>8177</v>
      </c>
      <c r="J343" s="2793" t="s">
        <v>84</v>
      </c>
      <c r="M343" s="2794" t="s">
        <v>1871</v>
      </c>
      <c r="N343" s="2794" t="s">
        <v>1238</v>
      </c>
      <c r="O343" s="2795">
        <v>8953</v>
      </c>
      <c r="S343" s="2798" t="s">
        <v>1983</v>
      </c>
      <c r="T343" s="2798" t="s">
        <v>1984</v>
      </c>
      <c r="U343" s="2798" t="s">
        <v>47</v>
      </c>
      <c r="V343" s="2798">
        <v>1</v>
      </c>
      <c r="W343" s="2798">
        <v>7246</v>
      </c>
      <c r="X343" s="2798">
        <v>1</v>
      </c>
      <c r="Y343" s="2795" t="s">
        <v>295</v>
      </c>
    </row>
    <row r="344" spans="2:25">
      <c r="B344" s="2793">
        <v>8196</v>
      </c>
      <c r="C344" s="2793" t="s">
        <v>1119</v>
      </c>
      <c r="D344" s="2793">
        <v>-1</v>
      </c>
      <c r="E344" s="2793" t="s">
        <v>999</v>
      </c>
      <c r="F344" s="2793" t="s">
        <v>5696</v>
      </c>
      <c r="G344" s="2793" t="s">
        <v>1203</v>
      </c>
      <c r="H344" s="2793"/>
      <c r="I344" s="2793">
        <v>8196</v>
      </c>
      <c r="J344" s="2793" t="s">
        <v>84</v>
      </c>
      <c r="M344" s="2794" t="s">
        <v>1875</v>
      </c>
      <c r="N344" s="2794" t="s">
        <v>1867</v>
      </c>
      <c r="O344" s="2795">
        <v>8956</v>
      </c>
      <c r="S344" s="2798" t="s">
        <v>1990</v>
      </c>
      <c r="T344" s="2798" t="s">
        <v>1991</v>
      </c>
      <c r="U344" s="2798" t="s">
        <v>47</v>
      </c>
      <c r="V344" s="2798">
        <v>1</v>
      </c>
      <c r="W344" s="2798">
        <v>7296</v>
      </c>
      <c r="X344" s="2798">
        <v>1</v>
      </c>
      <c r="Y344" s="2795" t="s">
        <v>295</v>
      </c>
    </row>
    <row r="345" spans="2:25">
      <c r="B345" s="2793">
        <v>8199</v>
      </c>
      <c r="C345" s="2793" t="s">
        <v>1207</v>
      </c>
      <c r="D345" s="2793"/>
      <c r="E345" s="2793" t="s">
        <v>287</v>
      </c>
      <c r="F345" s="2793"/>
      <c r="G345" s="2793" t="s">
        <v>1208</v>
      </c>
      <c r="H345" s="2793"/>
      <c r="I345" s="2793">
        <v>8199</v>
      </c>
      <c r="J345" s="2793"/>
      <c r="M345" s="2794" t="s">
        <v>1880</v>
      </c>
      <c r="N345" s="2794" t="s">
        <v>1881</v>
      </c>
      <c r="O345" s="2795">
        <v>8961</v>
      </c>
      <c r="S345" s="2798" t="s">
        <v>1944</v>
      </c>
      <c r="T345" s="2798" t="s">
        <v>1945</v>
      </c>
      <c r="U345" s="2798" t="s">
        <v>47</v>
      </c>
      <c r="V345" s="2798">
        <v>1</v>
      </c>
      <c r="W345" s="2798">
        <v>7001</v>
      </c>
      <c r="X345" s="2798">
        <v>2</v>
      </c>
      <c r="Y345" s="2795" t="s">
        <v>295</v>
      </c>
    </row>
    <row r="346" spans="2:25">
      <c r="B346" s="2793">
        <v>8152</v>
      </c>
      <c r="C346" s="2793" t="s">
        <v>1038</v>
      </c>
      <c r="D346" s="2793">
        <v>-1</v>
      </c>
      <c r="E346" s="2793" t="s">
        <v>213</v>
      </c>
      <c r="F346" s="2793"/>
      <c r="G346" s="2793" t="s">
        <v>1055</v>
      </c>
      <c r="H346" s="2793"/>
      <c r="I346" s="2793">
        <v>8152</v>
      </c>
      <c r="J346" s="2793" t="s">
        <v>84</v>
      </c>
      <c r="M346" s="2794" t="s">
        <v>1884</v>
      </c>
      <c r="N346" s="2794" t="s">
        <v>1881</v>
      </c>
      <c r="O346" s="2795">
        <v>8962</v>
      </c>
      <c r="S346" s="2798" t="s">
        <v>1951</v>
      </c>
      <c r="T346" s="2798" t="s">
        <v>1952</v>
      </c>
      <c r="U346" s="2798" t="s">
        <v>47</v>
      </c>
      <c r="V346" s="2798">
        <v>1</v>
      </c>
      <c r="W346" s="2798">
        <v>7051</v>
      </c>
      <c r="X346" s="2798">
        <v>2</v>
      </c>
      <c r="Y346" s="2795" t="s">
        <v>295</v>
      </c>
    </row>
    <row r="347" spans="2:25">
      <c r="B347" s="2793">
        <v>8161</v>
      </c>
      <c r="C347" s="2793" t="s">
        <v>1057</v>
      </c>
      <c r="D347" s="2793">
        <v>-1</v>
      </c>
      <c r="E347" s="2793" t="s">
        <v>213</v>
      </c>
      <c r="F347" s="2793"/>
      <c r="G347" s="2793" t="s">
        <v>1071</v>
      </c>
      <c r="H347" s="2793"/>
      <c r="I347" s="2793">
        <v>8161</v>
      </c>
      <c r="J347" s="2793" t="s">
        <v>84</v>
      </c>
      <c r="M347" s="2794" t="s">
        <v>1887</v>
      </c>
      <c r="N347" s="2794" t="s">
        <v>708</v>
      </c>
      <c r="O347" s="2795">
        <v>8963</v>
      </c>
      <c r="S347" s="2798" t="s">
        <v>1953</v>
      </c>
      <c r="T347" s="2798" t="s">
        <v>1954</v>
      </c>
      <c r="U347" s="2798" t="s">
        <v>47</v>
      </c>
      <c r="V347" s="2798">
        <v>1</v>
      </c>
      <c r="W347" s="2798">
        <v>7061</v>
      </c>
      <c r="X347" s="2798">
        <v>2</v>
      </c>
      <c r="Y347" s="2795" t="s">
        <v>295</v>
      </c>
    </row>
    <row r="348" spans="2:25">
      <c r="B348" s="2793">
        <v>8162</v>
      </c>
      <c r="C348" s="2793" t="s">
        <v>1061</v>
      </c>
      <c r="D348" s="2793">
        <v>-1</v>
      </c>
      <c r="E348" s="2793" t="s">
        <v>213</v>
      </c>
      <c r="F348" s="2793"/>
      <c r="G348" s="2793" t="s">
        <v>1076</v>
      </c>
      <c r="H348" s="2793"/>
      <c r="I348" s="2793">
        <v>8162</v>
      </c>
      <c r="J348" s="2793" t="s">
        <v>84</v>
      </c>
      <c r="M348" s="2795" t="s">
        <v>1890</v>
      </c>
      <c r="N348" s="2795" t="s">
        <v>1867</v>
      </c>
      <c r="O348" s="2795">
        <v>8966</v>
      </c>
      <c r="S348" s="2798" t="s">
        <v>1955</v>
      </c>
      <c r="T348" s="2798" t="s">
        <v>1956</v>
      </c>
      <c r="U348" s="2798" t="s">
        <v>47</v>
      </c>
      <c r="V348" s="2798">
        <v>1</v>
      </c>
      <c r="W348" s="2798">
        <v>7071</v>
      </c>
      <c r="X348" s="2798">
        <v>2</v>
      </c>
      <c r="Y348" s="2795" t="s">
        <v>295</v>
      </c>
    </row>
    <row r="349" spans="2:25">
      <c r="B349" s="2793">
        <v>8163</v>
      </c>
      <c r="C349" s="2793" t="s">
        <v>1067</v>
      </c>
      <c r="D349" s="2793">
        <v>-1</v>
      </c>
      <c r="E349" s="2793" t="s">
        <v>213</v>
      </c>
      <c r="F349" s="2793"/>
      <c r="G349" s="2793" t="s">
        <v>1081</v>
      </c>
      <c r="H349" s="2793"/>
      <c r="I349" s="2793">
        <v>8163</v>
      </c>
      <c r="J349" s="2793" t="s">
        <v>84</v>
      </c>
      <c r="M349" s="2795" t="s">
        <v>1893</v>
      </c>
      <c r="N349" s="2795" t="s">
        <v>1881</v>
      </c>
      <c r="O349" s="2795">
        <v>8971</v>
      </c>
      <c r="S349" s="2798" t="s">
        <v>1963</v>
      </c>
      <c r="T349" s="2798" t="s">
        <v>1964</v>
      </c>
      <c r="U349" s="2798" t="s">
        <v>47</v>
      </c>
      <c r="V349" s="2798">
        <v>1</v>
      </c>
      <c r="W349" s="2798">
        <v>7101</v>
      </c>
      <c r="X349" s="2798">
        <v>2</v>
      </c>
      <c r="Y349" s="2795" t="s">
        <v>295</v>
      </c>
    </row>
    <row r="350" spans="2:25">
      <c r="B350" s="2793">
        <v>8166</v>
      </c>
      <c r="C350" s="2793" t="s">
        <v>1072</v>
      </c>
      <c r="D350" s="2793">
        <v>-1</v>
      </c>
      <c r="E350" s="2793" t="s">
        <v>213</v>
      </c>
      <c r="F350" s="2793"/>
      <c r="G350" s="2793" t="s">
        <v>932</v>
      </c>
      <c r="H350" s="2793"/>
      <c r="I350" s="2793">
        <v>8166</v>
      </c>
      <c r="J350" s="2793" t="s">
        <v>84</v>
      </c>
      <c r="M350" s="2795" t="s">
        <v>1896</v>
      </c>
      <c r="N350" s="2795" t="s">
        <v>1881</v>
      </c>
      <c r="O350" s="2795">
        <v>8972</v>
      </c>
      <c r="S350" s="2798" t="s">
        <v>1965</v>
      </c>
      <c r="T350" s="2798" t="s">
        <v>1966</v>
      </c>
      <c r="U350" s="2798" t="s">
        <v>47</v>
      </c>
      <c r="V350" s="2798">
        <v>1</v>
      </c>
      <c r="W350" s="2798">
        <v>7105</v>
      </c>
      <c r="X350" s="2798">
        <v>2</v>
      </c>
      <c r="Y350" s="2795" t="s">
        <v>295</v>
      </c>
    </row>
    <row r="351" spans="2:25">
      <c r="B351" s="2793">
        <v>8173</v>
      </c>
      <c r="C351" s="2793" t="s">
        <v>1087</v>
      </c>
      <c r="D351" s="2793">
        <v>-1</v>
      </c>
      <c r="E351" s="2793" t="s">
        <v>213</v>
      </c>
      <c r="F351" s="2793"/>
      <c r="G351" s="2793" t="s">
        <v>1109</v>
      </c>
      <c r="H351" s="2793"/>
      <c r="I351" s="2793">
        <v>8173</v>
      </c>
      <c r="J351" s="2793" t="s">
        <v>84</v>
      </c>
      <c r="M351" s="2795" t="s">
        <v>1900</v>
      </c>
      <c r="N351" s="2795" t="s">
        <v>1881</v>
      </c>
      <c r="O351" s="2795">
        <v>8973</v>
      </c>
      <c r="S351" s="2798" t="s">
        <v>1967</v>
      </c>
      <c r="T351" s="2798" t="s">
        <v>1968</v>
      </c>
      <c r="U351" s="2798" t="s">
        <v>47</v>
      </c>
      <c r="V351" s="2798">
        <v>1</v>
      </c>
      <c r="W351" s="2798">
        <v>7111</v>
      </c>
      <c r="X351" s="2798">
        <v>2</v>
      </c>
      <c r="Y351" s="2795" t="s">
        <v>295</v>
      </c>
    </row>
    <row r="352" spans="2:25">
      <c r="B352" s="2793">
        <v>8181</v>
      </c>
      <c r="C352" s="2793" t="s">
        <v>1110</v>
      </c>
      <c r="D352" s="2793">
        <v>-1</v>
      </c>
      <c r="E352" s="2793" t="s">
        <v>213</v>
      </c>
      <c r="F352" s="2793"/>
      <c r="G352" s="2793" t="s">
        <v>1129</v>
      </c>
      <c r="H352" s="2793" t="s">
        <v>1129</v>
      </c>
      <c r="I352" s="2793">
        <v>8181</v>
      </c>
      <c r="J352" s="2793" t="s">
        <v>84</v>
      </c>
      <c r="M352" s="2795" t="s">
        <v>1904</v>
      </c>
      <c r="N352" s="2795" t="s">
        <v>1238</v>
      </c>
      <c r="O352" s="2795">
        <v>8975</v>
      </c>
      <c r="S352" s="2798" t="s">
        <v>1973</v>
      </c>
      <c r="T352" s="2798" t="s">
        <v>1974</v>
      </c>
      <c r="U352" s="2798" t="s">
        <v>47</v>
      </c>
      <c r="V352" s="2798">
        <v>1</v>
      </c>
      <c r="W352" s="2798">
        <v>7151</v>
      </c>
      <c r="X352" s="2798">
        <v>2</v>
      </c>
      <c r="Y352" s="2795" t="s">
        <v>295</v>
      </c>
    </row>
    <row r="353" spans="2:25">
      <c r="B353" s="2793">
        <v>8182</v>
      </c>
      <c r="C353" s="2793" t="s">
        <v>1115</v>
      </c>
      <c r="D353" s="2793">
        <v>-1</v>
      </c>
      <c r="E353" s="2793" t="s">
        <v>213</v>
      </c>
      <c r="F353" s="2793"/>
      <c r="G353" s="2793" t="s">
        <v>1355</v>
      </c>
      <c r="H353" s="2793" t="s">
        <v>1355</v>
      </c>
      <c r="I353" s="2793">
        <v>8182</v>
      </c>
      <c r="J353" s="2793" t="s">
        <v>84</v>
      </c>
      <c r="M353" s="2795" t="s">
        <v>1909</v>
      </c>
      <c r="N353" s="2795" t="s">
        <v>1867</v>
      </c>
      <c r="O353" s="2795">
        <v>8976</v>
      </c>
      <c r="S353" s="2798" t="s">
        <v>1975</v>
      </c>
      <c r="T353" s="2798" t="s">
        <v>1976</v>
      </c>
      <c r="U353" s="2798" t="s">
        <v>47</v>
      </c>
      <c r="V353" s="2798">
        <v>1</v>
      </c>
      <c r="W353" s="2798">
        <v>7161</v>
      </c>
      <c r="X353" s="2798">
        <v>2</v>
      </c>
      <c r="Y353" s="2795" t="s">
        <v>295</v>
      </c>
    </row>
    <row r="354" spans="2:25">
      <c r="B354" s="2793">
        <v>8140</v>
      </c>
      <c r="C354" s="2793" t="s">
        <v>1029</v>
      </c>
      <c r="D354" s="2793">
        <v>-1</v>
      </c>
      <c r="E354" s="2793"/>
      <c r="F354" s="2793"/>
      <c r="G354" s="2793" t="s">
        <v>1032</v>
      </c>
      <c r="H354" s="2793"/>
      <c r="I354" s="2793">
        <v>8140</v>
      </c>
      <c r="J354" s="2793" t="s">
        <v>84</v>
      </c>
      <c r="M354" s="2795" t="s">
        <v>1912</v>
      </c>
      <c r="N354" s="2795" t="s">
        <v>941</v>
      </c>
      <c r="O354" s="2795">
        <v>8977</v>
      </c>
      <c r="S354" s="2798" t="s">
        <v>1980</v>
      </c>
      <c r="T354" s="2798" t="s">
        <v>1981</v>
      </c>
      <c r="U354" s="2798" t="s">
        <v>47</v>
      </c>
      <c r="V354" s="2798">
        <v>1</v>
      </c>
      <c r="W354" s="2798">
        <v>7211</v>
      </c>
      <c r="X354" s="2798">
        <v>2</v>
      </c>
      <c r="Y354" s="2795" t="s">
        <v>295</v>
      </c>
    </row>
    <row r="355" spans="2:25">
      <c r="B355" s="2793">
        <v>8160</v>
      </c>
      <c r="C355" s="2793" t="s">
        <v>2330</v>
      </c>
      <c r="D355" s="2793"/>
      <c r="E355" s="2793" t="s">
        <v>287</v>
      </c>
      <c r="F355" s="2793"/>
      <c r="G355" s="2793" t="s">
        <v>1066</v>
      </c>
      <c r="H355" s="2793"/>
      <c r="I355" s="2793">
        <v>8160</v>
      </c>
      <c r="J355" s="2793"/>
      <c r="M355" s="2795" t="s">
        <v>1915</v>
      </c>
      <c r="N355" s="2795" t="s">
        <v>1867</v>
      </c>
      <c r="O355" s="2795">
        <v>8981</v>
      </c>
      <c r="S355" s="2798" t="s">
        <v>1986</v>
      </c>
      <c r="T355" s="2798" t="s">
        <v>1987</v>
      </c>
      <c r="U355" s="2798" t="s">
        <v>47</v>
      </c>
      <c r="V355" s="2798">
        <v>1</v>
      </c>
      <c r="W355" s="2798">
        <v>7251</v>
      </c>
      <c r="X355" s="2798">
        <v>2</v>
      </c>
      <c r="Y355" s="2795" t="s">
        <v>295</v>
      </c>
    </row>
    <row r="356" spans="2:25">
      <c r="B356" s="2793">
        <v>8180</v>
      </c>
      <c r="C356" s="2793" t="s">
        <v>2331</v>
      </c>
      <c r="D356" s="2793"/>
      <c r="E356" s="2793" t="s">
        <v>287</v>
      </c>
      <c r="F356" s="2793"/>
      <c r="G356" s="2793" t="s">
        <v>1124</v>
      </c>
      <c r="H356" s="2793"/>
      <c r="I356" s="2793">
        <v>8180</v>
      </c>
      <c r="J356" s="2793"/>
      <c r="M356" s="2795" t="s">
        <v>1918</v>
      </c>
      <c r="N356" s="2795" t="s">
        <v>1867</v>
      </c>
      <c r="O356" s="2795">
        <v>8982</v>
      </c>
      <c r="S356" s="2798" t="s">
        <v>1988</v>
      </c>
      <c r="T356" s="2798" t="s">
        <v>1989</v>
      </c>
      <c r="U356" s="2798" t="s">
        <v>47</v>
      </c>
      <c r="V356" s="2798">
        <v>1</v>
      </c>
      <c r="W356" s="2798">
        <v>7261</v>
      </c>
      <c r="X356" s="2798">
        <v>2</v>
      </c>
      <c r="Y356" s="2795" t="s">
        <v>295</v>
      </c>
    </row>
    <row r="357" spans="2:25">
      <c r="B357" s="2793" t="s">
        <v>1211</v>
      </c>
      <c r="C357" s="2793" t="s">
        <v>1212</v>
      </c>
      <c r="D357" s="2793"/>
      <c r="E357" s="2793" t="s">
        <v>1213</v>
      </c>
      <c r="F357" s="2793"/>
      <c r="G357" s="2793" t="s">
        <v>1212</v>
      </c>
      <c r="H357" s="2793"/>
      <c r="I357" s="2793" t="s">
        <v>1211</v>
      </c>
      <c r="J357" s="2793"/>
      <c r="M357" s="2795" t="s">
        <v>1921</v>
      </c>
      <c r="N357" s="2795" t="s">
        <v>1867</v>
      </c>
      <c r="O357" s="2795">
        <v>8996</v>
      </c>
      <c r="S357" s="2798" t="s">
        <v>1993</v>
      </c>
      <c r="T357" s="2798" t="s">
        <v>1994</v>
      </c>
      <c r="U357" s="2798" t="s">
        <v>918</v>
      </c>
      <c r="V357" s="2798">
        <v>-2</v>
      </c>
      <c r="W357" s="2798"/>
      <c r="X357" s="2798">
        <v>2</v>
      </c>
      <c r="Y357" s="2795" t="s">
        <v>295</v>
      </c>
    </row>
    <row r="358" spans="2:25">
      <c r="B358" s="2793" t="s">
        <v>1216</v>
      </c>
      <c r="C358" s="2793" t="s">
        <v>1217</v>
      </c>
      <c r="D358" s="2793"/>
      <c r="E358" s="2793" t="s">
        <v>1213</v>
      </c>
      <c r="F358" s="2793"/>
      <c r="G358" s="2793" t="s">
        <v>1217</v>
      </c>
      <c r="H358" s="2793"/>
      <c r="I358" s="2793" t="s">
        <v>1216</v>
      </c>
      <c r="J358" s="2793"/>
      <c r="M358" s="2795" t="s">
        <v>1221</v>
      </c>
      <c r="N358" s="2795" t="s">
        <v>331</v>
      </c>
      <c r="O358" s="2795" t="s">
        <v>1220</v>
      </c>
      <c r="S358" s="2798" t="s">
        <v>1996</v>
      </c>
      <c r="T358" s="2798" t="s">
        <v>1997</v>
      </c>
      <c r="U358" s="2798" t="s">
        <v>918</v>
      </c>
      <c r="V358" s="2798">
        <v>-2</v>
      </c>
      <c r="W358" s="2798"/>
      <c r="X358" s="2798">
        <v>2</v>
      </c>
      <c r="Y358" s="2795" t="s">
        <v>295</v>
      </c>
    </row>
    <row r="359" spans="2:25">
      <c r="B359" s="2793" t="s">
        <v>1220</v>
      </c>
      <c r="C359" s="2793" t="s">
        <v>1221</v>
      </c>
      <c r="D359" s="2793">
        <v>-1</v>
      </c>
      <c r="E359" s="2793" t="s">
        <v>331</v>
      </c>
      <c r="F359" s="2793"/>
      <c r="G359" s="2793" t="s">
        <v>985</v>
      </c>
      <c r="H359" s="2793"/>
      <c r="I359" s="2793" t="s">
        <v>1220</v>
      </c>
      <c r="J359" s="2793" t="s">
        <v>84</v>
      </c>
      <c r="M359" s="2795" t="s">
        <v>1226</v>
      </c>
      <c r="N359" s="2795" t="s">
        <v>331</v>
      </c>
      <c r="O359" s="2795" t="s">
        <v>1225</v>
      </c>
      <c r="S359" s="2798" t="s">
        <v>1998</v>
      </c>
      <c r="T359" s="2798" t="s">
        <v>1999</v>
      </c>
      <c r="U359" s="2798" t="s">
        <v>918</v>
      </c>
      <c r="V359" s="2798">
        <v>-2</v>
      </c>
      <c r="W359" s="2798"/>
      <c r="X359" s="2798">
        <v>2</v>
      </c>
      <c r="Y359" s="2795" t="s">
        <v>295</v>
      </c>
    </row>
    <row r="360" spans="2:25">
      <c r="B360" s="2793" t="s">
        <v>1225</v>
      </c>
      <c r="C360" s="2793" t="s">
        <v>1226</v>
      </c>
      <c r="D360" s="2793">
        <v>-1</v>
      </c>
      <c r="E360" s="2793" t="s">
        <v>331</v>
      </c>
      <c r="F360" s="2793"/>
      <c r="G360" s="2793" t="s">
        <v>991</v>
      </c>
      <c r="H360" s="2793"/>
      <c r="I360" s="2793" t="s">
        <v>1225</v>
      </c>
      <c r="J360" s="2793" t="s">
        <v>84</v>
      </c>
      <c r="M360" s="2795" t="s">
        <v>1231</v>
      </c>
      <c r="N360" s="2795" t="s">
        <v>331</v>
      </c>
      <c r="O360" s="2795" t="s">
        <v>1230</v>
      </c>
      <c r="S360" s="2798" t="s">
        <v>2008</v>
      </c>
      <c r="T360" s="2798" t="s">
        <v>2009</v>
      </c>
      <c r="U360" s="2798" t="s">
        <v>47</v>
      </c>
      <c r="V360" s="2798">
        <v>-2</v>
      </c>
      <c r="W360" s="2798"/>
      <c r="X360" s="2798">
        <v>2</v>
      </c>
      <c r="Y360" s="2795" t="s">
        <v>295</v>
      </c>
    </row>
    <row r="361" spans="2:25">
      <c r="B361" s="2793" t="s">
        <v>1230</v>
      </c>
      <c r="C361" s="2793" t="s">
        <v>1231</v>
      </c>
      <c r="D361" s="2793">
        <v>-1</v>
      </c>
      <c r="E361" s="2793" t="s">
        <v>331</v>
      </c>
      <c r="F361" s="2793"/>
      <c r="G361" s="2793" t="s">
        <v>997</v>
      </c>
      <c r="H361" s="2793"/>
      <c r="I361" s="2793" t="s">
        <v>1230</v>
      </c>
      <c r="J361" s="2793" t="s">
        <v>84</v>
      </c>
      <c r="M361" s="2795" t="s">
        <v>1237</v>
      </c>
      <c r="N361" s="2795" t="s">
        <v>1238</v>
      </c>
      <c r="O361" s="2795" t="s">
        <v>1236</v>
      </c>
      <c r="S361" s="2798" t="s">
        <v>2010</v>
      </c>
      <c r="T361" s="2798" t="s">
        <v>2011</v>
      </c>
      <c r="U361" s="2798" t="s">
        <v>47</v>
      </c>
      <c r="V361" s="2798">
        <v>-2</v>
      </c>
      <c r="W361" s="2798"/>
      <c r="X361" s="2798">
        <v>2</v>
      </c>
      <c r="Y361" s="2795" t="s">
        <v>295</v>
      </c>
    </row>
    <row r="362" spans="2:25">
      <c r="B362" s="2793" t="s">
        <v>1236</v>
      </c>
      <c r="C362" s="2793" t="s">
        <v>1237</v>
      </c>
      <c r="D362" s="2793">
        <v>-1</v>
      </c>
      <c r="E362" s="2793" t="s">
        <v>1238</v>
      </c>
      <c r="F362" s="2793"/>
      <c r="G362" s="2793" t="s">
        <v>1004</v>
      </c>
      <c r="H362" s="2793"/>
      <c r="I362" s="2793" t="s">
        <v>1236</v>
      </c>
      <c r="J362" s="2793" t="s">
        <v>84</v>
      </c>
      <c r="M362" s="2795" t="s">
        <v>1243</v>
      </c>
      <c r="N362" s="2795" t="s">
        <v>331</v>
      </c>
      <c r="O362" s="2795" t="s">
        <v>1242</v>
      </c>
      <c r="S362" s="2798" t="s">
        <v>2003</v>
      </c>
      <c r="T362" s="2798" t="s">
        <v>2004</v>
      </c>
      <c r="U362" s="2798" t="s">
        <v>47</v>
      </c>
      <c r="V362" s="2798">
        <v>-2</v>
      </c>
      <c r="W362" s="2798"/>
      <c r="X362" s="2798">
        <v>2</v>
      </c>
      <c r="Y362" s="2795" t="s">
        <v>295</v>
      </c>
    </row>
    <row r="363" spans="2:25">
      <c r="B363" s="2793" t="s">
        <v>1242</v>
      </c>
      <c r="C363" s="2793" t="s">
        <v>1243</v>
      </c>
      <c r="D363" s="2793">
        <v>-1</v>
      </c>
      <c r="E363" s="2793" t="s">
        <v>331</v>
      </c>
      <c r="F363" s="2793"/>
      <c r="G363" s="2793" t="s">
        <v>932</v>
      </c>
      <c r="H363" s="2793"/>
      <c r="I363" s="2793" t="s">
        <v>1242</v>
      </c>
      <c r="J363" s="2793" t="s">
        <v>84</v>
      </c>
      <c r="M363" s="2795" t="s">
        <v>1257</v>
      </c>
      <c r="N363" s="2795" t="s">
        <v>331</v>
      </c>
      <c r="O363" s="2795" t="s">
        <v>1256</v>
      </c>
      <c r="S363" s="2798" t="s">
        <v>2006</v>
      </c>
      <c r="T363" s="2798" t="s">
        <v>2007</v>
      </c>
      <c r="U363" s="2798" t="s">
        <v>47</v>
      </c>
      <c r="V363" s="2798">
        <v>-2</v>
      </c>
      <c r="W363" s="2798"/>
      <c r="X363" s="2798">
        <v>2</v>
      </c>
      <c r="Y363" s="2795" t="s">
        <v>295</v>
      </c>
    </row>
    <row r="364" spans="2:25">
      <c r="B364" s="2793" t="s">
        <v>1247</v>
      </c>
      <c r="C364" s="2793" t="s">
        <v>1248</v>
      </c>
      <c r="D364" s="2793"/>
      <c r="E364" s="2793" t="s">
        <v>1048</v>
      </c>
      <c r="F364" s="2793"/>
      <c r="G364" s="2793" t="s">
        <v>1013</v>
      </c>
      <c r="H364" s="2793"/>
      <c r="I364" s="2793" t="s">
        <v>1247</v>
      </c>
      <c r="J364" s="2793"/>
      <c r="M364" s="2795" t="s">
        <v>1267</v>
      </c>
      <c r="N364" s="2795" t="s">
        <v>331</v>
      </c>
      <c r="O364" s="2795" t="s">
        <v>1266</v>
      </c>
      <c r="S364" s="2798" t="s">
        <v>2012</v>
      </c>
      <c r="T364" s="2798" t="s">
        <v>2013</v>
      </c>
      <c r="U364" s="2798" t="s">
        <v>47</v>
      </c>
      <c r="V364" s="2798">
        <v>1</v>
      </c>
      <c r="W364" s="2798"/>
      <c r="X364" s="2798">
        <v>9</v>
      </c>
      <c r="Y364" s="2795" t="s">
        <v>295</v>
      </c>
    </row>
    <row r="365" spans="2:25">
      <c r="B365" s="2793" t="s">
        <v>1252</v>
      </c>
      <c r="C365" s="2793" t="s">
        <v>1253</v>
      </c>
      <c r="D365" s="2793"/>
      <c r="E365" s="2793" t="s">
        <v>1048</v>
      </c>
      <c r="F365" s="2793"/>
      <c r="G365" s="2793" t="s">
        <v>1172</v>
      </c>
      <c r="H365" s="2793"/>
      <c r="I365" s="2793" t="s">
        <v>1252</v>
      </c>
      <c r="J365" s="2793"/>
      <c r="M365" s="2795" t="s">
        <v>1272</v>
      </c>
      <c r="N365" s="2795" t="s">
        <v>331</v>
      </c>
      <c r="O365" s="2795" t="s">
        <v>1271</v>
      </c>
      <c r="S365" s="2798" t="s">
        <v>2015</v>
      </c>
      <c r="T365" s="2798" t="s">
        <v>2016</v>
      </c>
      <c r="U365" s="2798" t="s">
        <v>47</v>
      </c>
      <c r="V365" s="2798">
        <v>1</v>
      </c>
      <c r="W365" s="2798"/>
      <c r="X365" s="2798">
        <v>9</v>
      </c>
      <c r="Y365" s="2795" t="s">
        <v>295</v>
      </c>
    </row>
    <row r="366" spans="2:25">
      <c r="B366" s="2793" t="s">
        <v>1256</v>
      </c>
      <c r="C366" s="2793" t="s">
        <v>1257</v>
      </c>
      <c r="D366" s="2793">
        <v>-1</v>
      </c>
      <c r="E366" s="2793" t="s">
        <v>331</v>
      </c>
      <c r="F366" s="2793"/>
      <c r="G366" s="2793" t="s">
        <v>1032</v>
      </c>
      <c r="H366" s="2793"/>
      <c r="I366" s="2793" t="s">
        <v>1256</v>
      </c>
      <c r="J366" s="2793" t="s">
        <v>84</v>
      </c>
      <c r="M366" s="2795" t="s">
        <v>1277</v>
      </c>
      <c r="N366" s="2795" t="s">
        <v>331</v>
      </c>
      <c r="O366" s="2795" t="s">
        <v>1276</v>
      </c>
      <c r="S366" s="2798" t="s">
        <v>2018</v>
      </c>
      <c r="T366" s="2798" t="s">
        <v>2019</v>
      </c>
      <c r="U366" s="2798" t="s">
        <v>47</v>
      </c>
      <c r="V366" s="2798">
        <v>1</v>
      </c>
      <c r="W366" s="2798"/>
      <c r="X366" s="2798">
        <v>9</v>
      </c>
      <c r="Y366" s="2795" t="s">
        <v>295</v>
      </c>
    </row>
    <row r="367" spans="2:25">
      <c r="B367" s="2793" t="s">
        <v>1261</v>
      </c>
      <c r="C367" s="2793" t="s">
        <v>1262</v>
      </c>
      <c r="D367" s="2793"/>
      <c r="E367" s="2793" t="s">
        <v>1048</v>
      </c>
      <c r="F367" s="2793"/>
      <c r="G367" s="2793" t="s">
        <v>1036</v>
      </c>
      <c r="H367" s="2793"/>
      <c r="I367" s="2793" t="s">
        <v>1261</v>
      </c>
      <c r="J367" s="2793"/>
      <c r="M367" s="2795" t="s">
        <v>1282</v>
      </c>
      <c r="N367" s="2795" t="s">
        <v>331</v>
      </c>
      <c r="O367" s="2795" t="s">
        <v>1281</v>
      </c>
      <c r="S367" s="2798" t="s">
        <v>2022</v>
      </c>
      <c r="T367" s="2798" t="s">
        <v>2023</v>
      </c>
      <c r="U367" s="2798" t="s">
        <v>47</v>
      </c>
      <c r="V367" s="2798">
        <v>1</v>
      </c>
      <c r="W367" s="2798"/>
      <c r="X367" s="2798">
        <v>9</v>
      </c>
      <c r="Y367" s="2795" t="s">
        <v>295</v>
      </c>
    </row>
    <row r="368" spans="2:25">
      <c r="B368" s="2793" t="s">
        <v>1266</v>
      </c>
      <c r="C368" s="2793" t="s">
        <v>1267</v>
      </c>
      <c r="D368" s="2793">
        <v>-1</v>
      </c>
      <c r="E368" s="2793" t="s">
        <v>331</v>
      </c>
      <c r="F368" s="2793"/>
      <c r="G368" s="2793" t="s">
        <v>1182</v>
      </c>
      <c r="H368" s="2793"/>
      <c r="I368" s="2793" t="s">
        <v>1266</v>
      </c>
      <c r="J368" s="2793" t="s">
        <v>84</v>
      </c>
      <c r="M368" s="2795" t="s">
        <v>1292</v>
      </c>
      <c r="N368" s="2795" t="s">
        <v>331</v>
      </c>
      <c r="O368" s="2795" t="s">
        <v>1291</v>
      </c>
      <c r="S368" s="2798" t="s">
        <v>2026</v>
      </c>
      <c r="T368" s="2798" t="s">
        <v>2027</v>
      </c>
      <c r="U368" s="2798" t="s">
        <v>47</v>
      </c>
      <c r="V368" s="2798">
        <v>1</v>
      </c>
      <c r="W368" s="2798"/>
      <c r="X368" s="2798">
        <v>9</v>
      </c>
      <c r="Y368" s="2795" t="s">
        <v>295</v>
      </c>
    </row>
    <row r="369" spans="2:25">
      <c r="B369" s="2793" t="s">
        <v>1271</v>
      </c>
      <c r="C369" s="2793" t="s">
        <v>1272</v>
      </c>
      <c r="D369" s="2793">
        <v>-1</v>
      </c>
      <c r="E369" s="2793" t="s">
        <v>331</v>
      </c>
      <c r="F369" s="2793"/>
      <c r="G369" s="2793" t="s">
        <v>1055</v>
      </c>
      <c r="H369" s="2793"/>
      <c r="I369" s="2793" t="s">
        <v>1271</v>
      </c>
      <c r="J369" s="2793" t="s">
        <v>84</v>
      </c>
      <c r="M369" s="2795" t="s">
        <v>1298</v>
      </c>
      <c r="N369" s="2795" t="s">
        <v>331</v>
      </c>
      <c r="O369" s="2795" t="s">
        <v>1297</v>
      </c>
      <c r="S369" s="2798" t="s">
        <v>2030</v>
      </c>
      <c r="T369" s="2798" t="s">
        <v>2031</v>
      </c>
      <c r="U369" s="2798" t="s">
        <v>47</v>
      </c>
      <c r="V369" s="2798">
        <v>1</v>
      </c>
      <c r="W369" s="2798"/>
      <c r="X369" s="2798">
        <v>9</v>
      </c>
      <c r="Y369" s="2795" t="s">
        <v>295</v>
      </c>
    </row>
    <row r="370" spans="2:25">
      <c r="B370" s="2793" t="s">
        <v>1276</v>
      </c>
      <c r="C370" s="2793" t="s">
        <v>1277</v>
      </c>
      <c r="D370" s="2793">
        <v>-1</v>
      </c>
      <c r="E370" s="2793" t="s">
        <v>331</v>
      </c>
      <c r="F370" s="2793"/>
      <c r="G370" s="2793" t="s">
        <v>1049</v>
      </c>
      <c r="H370" s="2793"/>
      <c r="I370" s="2793" t="s">
        <v>1276</v>
      </c>
      <c r="J370" s="2793" t="s">
        <v>84</v>
      </c>
      <c r="M370" s="2795" t="s">
        <v>1302</v>
      </c>
      <c r="N370" s="2795" t="s">
        <v>331</v>
      </c>
      <c r="O370" s="2795" t="s">
        <v>1301</v>
      </c>
      <c r="S370" s="2798" t="s">
        <v>2035</v>
      </c>
      <c r="T370" s="2798" t="s">
        <v>2036</v>
      </c>
      <c r="U370" s="2798" t="s">
        <v>47</v>
      </c>
      <c r="V370" s="2798">
        <v>1</v>
      </c>
      <c r="W370" s="2798"/>
      <c r="X370" s="2798">
        <v>9</v>
      </c>
      <c r="Y370" s="2795" t="s">
        <v>295</v>
      </c>
    </row>
    <row r="371" spans="2:25">
      <c r="B371" s="2793" t="s">
        <v>1281</v>
      </c>
      <c r="C371" s="2793" t="s">
        <v>1282</v>
      </c>
      <c r="D371" s="2793">
        <v>-1</v>
      </c>
      <c r="E371" s="2793" t="s">
        <v>331</v>
      </c>
      <c r="F371" s="2793"/>
      <c r="G371" s="2793" t="s">
        <v>932</v>
      </c>
      <c r="H371" s="2793"/>
      <c r="I371" s="2793" t="s">
        <v>1281</v>
      </c>
      <c r="J371" s="2793" t="s">
        <v>84</v>
      </c>
      <c r="M371" s="2795" t="s">
        <v>1308</v>
      </c>
      <c r="N371" s="2795" t="s">
        <v>331</v>
      </c>
      <c r="O371" s="2795" t="s">
        <v>1307</v>
      </c>
      <c r="S371" s="2798" t="s">
        <v>2038</v>
      </c>
      <c r="T371" s="2798" t="s">
        <v>2039</v>
      </c>
      <c r="U371" s="2798" t="s">
        <v>47</v>
      </c>
      <c r="V371" s="2798">
        <v>1</v>
      </c>
      <c r="W371" s="2798"/>
      <c r="X371" s="2798">
        <v>9</v>
      </c>
      <c r="Y371" s="2795" t="s">
        <v>295</v>
      </c>
    </row>
    <row r="372" spans="2:25">
      <c r="B372" s="2793" t="s">
        <v>1286</v>
      </c>
      <c r="C372" s="2793" t="s">
        <v>1287</v>
      </c>
      <c r="D372" s="2793"/>
      <c r="E372" s="2793" t="s">
        <v>1048</v>
      </c>
      <c r="F372" s="2793"/>
      <c r="G372" s="2793" t="s">
        <v>1066</v>
      </c>
      <c r="H372" s="2793"/>
      <c r="I372" s="2793" t="s">
        <v>1286</v>
      </c>
      <c r="J372" s="2793"/>
      <c r="M372" s="2794" t="s">
        <v>1319</v>
      </c>
      <c r="N372" s="2795" t="s">
        <v>331</v>
      </c>
      <c r="O372" s="2795" t="s">
        <v>1318</v>
      </c>
      <c r="S372" s="2798" t="s">
        <v>2042</v>
      </c>
      <c r="T372" s="2798" t="s">
        <v>2043</v>
      </c>
      <c r="U372" s="2798" t="s">
        <v>47</v>
      </c>
      <c r="V372" s="2798">
        <v>1</v>
      </c>
      <c r="W372" s="2798"/>
      <c r="X372" s="2798">
        <v>9</v>
      </c>
      <c r="Y372" s="2795" t="s">
        <v>295</v>
      </c>
    </row>
    <row r="373" spans="2:25">
      <c r="B373" s="2793" t="s">
        <v>1291</v>
      </c>
      <c r="C373" s="2793" t="s">
        <v>1292</v>
      </c>
      <c r="D373" s="2793">
        <v>-1</v>
      </c>
      <c r="E373" s="2793" t="s">
        <v>331</v>
      </c>
      <c r="F373" s="2793"/>
      <c r="G373" s="2793" t="s">
        <v>1071</v>
      </c>
      <c r="H373" s="2793"/>
      <c r="I373" s="2793" t="s">
        <v>1291</v>
      </c>
      <c r="J373" s="2793" t="s">
        <v>84</v>
      </c>
      <c r="M373" s="2794" t="s">
        <v>1324</v>
      </c>
      <c r="N373" s="2795" t="s">
        <v>331</v>
      </c>
      <c r="O373" s="2795" t="s">
        <v>1323</v>
      </c>
      <c r="S373" s="2798" t="s">
        <v>2045</v>
      </c>
      <c r="T373" s="2798" t="s">
        <v>2046</v>
      </c>
      <c r="U373" s="2798" t="s">
        <v>47</v>
      </c>
      <c r="V373" s="2798">
        <v>1</v>
      </c>
      <c r="W373" s="2798"/>
      <c r="X373" s="2798">
        <v>9</v>
      </c>
      <c r="Y373" s="2795" t="s">
        <v>295</v>
      </c>
    </row>
    <row r="374" spans="2:25">
      <c r="B374" s="2793" t="s">
        <v>1297</v>
      </c>
      <c r="C374" s="2793" t="s">
        <v>1298</v>
      </c>
      <c r="D374" s="2793">
        <v>-1</v>
      </c>
      <c r="E374" s="2793" t="s">
        <v>331</v>
      </c>
      <c r="F374" s="2793"/>
      <c r="G374" s="2793" t="s">
        <v>1076</v>
      </c>
      <c r="H374" s="2793"/>
      <c r="I374" s="2793" t="s">
        <v>1297</v>
      </c>
      <c r="J374" s="2793" t="s">
        <v>84</v>
      </c>
      <c r="M374" s="2794" t="s">
        <v>1329</v>
      </c>
      <c r="N374" s="2795" t="s">
        <v>331</v>
      </c>
      <c r="O374" s="2795" t="s">
        <v>1328</v>
      </c>
      <c r="S374" s="2798" t="s">
        <v>2048</v>
      </c>
      <c r="T374" s="2798" t="s">
        <v>2049</v>
      </c>
      <c r="U374" s="2798" t="s">
        <v>47</v>
      </c>
      <c r="V374" s="2798">
        <v>1</v>
      </c>
      <c r="W374" s="2798"/>
      <c r="X374" s="2798">
        <v>9</v>
      </c>
      <c r="Y374" s="2795" t="s">
        <v>295</v>
      </c>
    </row>
    <row r="375" spans="2:25">
      <c r="B375" s="2793" t="s">
        <v>1301</v>
      </c>
      <c r="C375" s="2793" t="s">
        <v>1302</v>
      </c>
      <c r="D375" s="2793">
        <v>-1</v>
      </c>
      <c r="E375" s="2793" t="s">
        <v>331</v>
      </c>
      <c r="F375" s="2793"/>
      <c r="G375" s="2793" t="s">
        <v>1081</v>
      </c>
      <c r="H375" s="2793"/>
      <c r="I375" s="2793" t="s">
        <v>1301</v>
      </c>
      <c r="J375" s="2793" t="s">
        <v>84</v>
      </c>
      <c r="M375" s="2794" t="s">
        <v>1334</v>
      </c>
      <c r="N375" s="2795" t="s">
        <v>331</v>
      </c>
      <c r="O375" s="2795" t="s">
        <v>1333</v>
      </c>
      <c r="S375" s="2798" t="s">
        <v>2051</v>
      </c>
      <c r="T375" s="2798" t="s">
        <v>2052</v>
      </c>
      <c r="U375" s="2798" t="s">
        <v>47</v>
      </c>
      <c r="V375" s="2798">
        <v>1</v>
      </c>
      <c r="W375" s="2798"/>
      <c r="X375" s="2798">
        <v>9</v>
      </c>
      <c r="Y375" s="2795" t="s">
        <v>295</v>
      </c>
    </row>
    <row r="376" spans="2:25">
      <c r="B376" s="2793" t="s">
        <v>1307</v>
      </c>
      <c r="C376" s="2793" t="s">
        <v>1308</v>
      </c>
      <c r="D376" s="2793">
        <v>-1</v>
      </c>
      <c r="E376" s="2793" t="s">
        <v>331</v>
      </c>
      <c r="F376" s="2793"/>
      <c r="G376" s="2793" t="s">
        <v>932</v>
      </c>
      <c r="H376" s="2793"/>
      <c r="I376" s="2793" t="s">
        <v>1307</v>
      </c>
      <c r="J376" s="2793" t="s">
        <v>84</v>
      </c>
      <c r="M376" s="2794" t="s">
        <v>1339</v>
      </c>
      <c r="N376" s="2795" t="s">
        <v>331</v>
      </c>
      <c r="O376" s="2795" t="s">
        <v>1338</v>
      </c>
      <c r="S376" s="2798" t="s">
        <v>2055</v>
      </c>
      <c r="T376" s="2798" t="s">
        <v>2056</v>
      </c>
      <c r="U376" s="2798" t="s">
        <v>47</v>
      </c>
      <c r="V376" s="2798">
        <v>1</v>
      </c>
      <c r="W376" s="2798"/>
      <c r="X376" s="2798">
        <v>9</v>
      </c>
      <c r="Y376" s="2795" t="s">
        <v>295</v>
      </c>
    </row>
    <row r="377" spans="2:25">
      <c r="B377" s="2793" t="s">
        <v>1312</v>
      </c>
      <c r="C377" s="2793" t="s">
        <v>1313</v>
      </c>
      <c r="D377" s="2793"/>
      <c r="E377" s="2793" t="s">
        <v>1048</v>
      </c>
      <c r="F377" s="2793"/>
      <c r="G377" s="2793" t="s">
        <v>1188</v>
      </c>
      <c r="H377" s="2793"/>
      <c r="I377" s="2793" t="s">
        <v>1312</v>
      </c>
      <c r="J377" s="2793"/>
      <c r="M377" s="2794" t="s">
        <v>1969</v>
      </c>
      <c r="N377" s="2795" t="s">
        <v>119</v>
      </c>
      <c r="O377" s="2795" t="s">
        <v>1970</v>
      </c>
      <c r="S377" s="2798" t="s">
        <v>2058</v>
      </c>
      <c r="T377" s="2798" t="s">
        <v>2059</v>
      </c>
      <c r="U377" s="2798" t="s">
        <v>47</v>
      </c>
      <c r="V377" s="2798">
        <v>1</v>
      </c>
      <c r="W377" s="2798"/>
      <c r="X377" s="2798">
        <v>9</v>
      </c>
      <c r="Y377" s="2795" t="s">
        <v>295</v>
      </c>
    </row>
    <row r="378" spans="2:25">
      <c r="B378" s="2793" t="s">
        <v>1318</v>
      </c>
      <c r="C378" s="2793" t="s">
        <v>1319</v>
      </c>
      <c r="D378" s="2793">
        <v>-1</v>
      </c>
      <c r="E378" s="2793" t="s">
        <v>331</v>
      </c>
      <c r="F378" s="2793"/>
      <c r="G378" s="2793" t="s">
        <v>1095</v>
      </c>
      <c r="H378" s="2793"/>
      <c r="I378" s="2793" t="s">
        <v>1318</v>
      </c>
      <c r="J378" s="2793" t="s">
        <v>84</v>
      </c>
      <c r="M378" s="2794" t="s">
        <v>1349</v>
      </c>
      <c r="N378" s="2795" t="s">
        <v>331</v>
      </c>
      <c r="O378" s="2795" t="s">
        <v>1348</v>
      </c>
      <c r="S378" s="2798" t="s">
        <v>2061</v>
      </c>
      <c r="T378" s="2798" t="s">
        <v>2062</v>
      </c>
      <c r="U378" s="2798" t="s">
        <v>47</v>
      </c>
      <c r="V378" s="2798">
        <v>1</v>
      </c>
      <c r="W378" s="2798"/>
      <c r="X378" s="2798">
        <v>9</v>
      </c>
      <c r="Y378" s="2795" t="s">
        <v>295</v>
      </c>
    </row>
    <row r="379" spans="2:25">
      <c r="B379" s="2793" t="s">
        <v>1323</v>
      </c>
      <c r="C379" s="2793" t="s">
        <v>1324</v>
      </c>
      <c r="D379" s="2793">
        <v>-1</v>
      </c>
      <c r="E379" s="2793" t="s">
        <v>331</v>
      </c>
      <c r="F379" s="2793"/>
      <c r="G379" s="2793" t="s">
        <v>1102</v>
      </c>
      <c r="H379" s="2793"/>
      <c r="I379" s="2793" t="s">
        <v>1323</v>
      </c>
      <c r="J379" s="2793" t="s">
        <v>84</v>
      </c>
      <c r="M379" s="2794" t="s">
        <v>1354</v>
      </c>
      <c r="N379" s="2795" t="s">
        <v>331</v>
      </c>
      <c r="O379" s="2795" t="s">
        <v>1353</v>
      </c>
      <c r="S379" s="2798" t="s">
        <v>2100</v>
      </c>
      <c r="T379" s="2798" t="s">
        <v>887</v>
      </c>
      <c r="U379" s="2798" t="s">
        <v>47</v>
      </c>
      <c r="V379" s="2798">
        <v>-2</v>
      </c>
      <c r="W379" s="2798"/>
      <c r="X379" s="2798">
        <v>2</v>
      </c>
      <c r="Y379" s="2795" t="s">
        <v>295</v>
      </c>
    </row>
    <row r="380" spans="2:25">
      <c r="B380" s="2793" t="s">
        <v>1328</v>
      </c>
      <c r="C380" s="2793" t="s">
        <v>1329</v>
      </c>
      <c r="D380" s="2793">
        <v>-1</v>
      </c>
      <c r="E380" s="2793" t="s">
        <v>331</v>
      </c>
      <c r="F380" s="2793"/>
      <c r="G380" s="2793" t="s">
        <v>1109</v>
      </c>
      <c r="H380" s="2793"/>
      <c r="I380" s="2793" t="s">
        <v>1328</v>
      </c>
      <c r="J380" s="2793" t="s">
        <v>84</v>
      </c>
      <c r="M380" s="2794" t="s">
        <v>1361</v>
      </c>
      <c r="N380" s="2795" t="s">
        <v>331</v>
      </c>
      <c r="O380" s="2795" t="s">
        <v>1360</v>
      </c>
      <c r="S380" s="2798" t="s">
        <v>1351</v>
      </c>
      <c r="T380" s="2798" t="s">
        <v>1352</v>
      </c>
      <c r="U380" s="2798" t="s">
        <v>47</v>
      </c>
      <c r="V380" s="2798">
        <v>-2</v>
      </c>
      <c r="W380" s="2798"/>
      <c r="X380" s="2798">
        <v>2</v>
      </c>
      <c r="Y380" s="2795" t="s">
        <v>295</v>
      </c>
    </row>
    <row r="381" spans="2:25">
      <c r="B381" s="2793" t="s">
        <v>1333</v>
      </c>
      <c r="C381" s="2793" t="s">
        <v>1334</v>
      </c>
      <c r="D381" s="2793">
        <v>-1</v>
      </c>
      <c r="E381" s="2793" t="s">
        <v>331</v>
      </c>
      <c r="F381" s="2793"/>
      <c r="G381" s="2793" t="s">
        <v>1114</v>
      </c>
      <c r="H381" s="2793"/>
      <c r="I381" s="2793" t="s">
        <v>1333</v>
      </c>
      <c r="J381" s="2793" t="s">
        <v>84</v>
      </c>
      <c r="M381" s="2794" t="s">
        <v>1378</v>
      </c>
      <c r="N381" s="2795" t="s">
        <v>331</v>
      </c>
      <c r="O381" s="2795" t="s">
        <v>1377</v>
      </c>
      <c r="S381" s="2798" t="s">
        <v>1347</v>
      </c>
      <c r="T381" s="2798" t="s">
        <v>6458</v>
      </c>
      <c r="U381" s="2798" t="s">
        <v>47</v>
      </c>
      <c r="V381" s="2798">
        <v>-2</v>
      </c>
      <c r="W381" s="2798"/>
      <c r="X381" s="2798">
        <v>2</v>
      </c>
      <c r="Y381" s="2795" t="s">
        <v>295</v>
      </c>
    </row>
    <row r="382" spans="2:25">
      <c r="B382" s="2793" t="s">
        <v>1338</v>
      </c>
      <c r="C382" s="2793" t="s">
        <v>1339</v>
      </c>
      <c r="D382" s="2793">
        <v>-1</v>
      </c>
      <c r="E382" s="2793" t="s">
        <v>331</v>
      </c>
      <c r="F382" s="2793"/>
      <c r="G382" s="2793" t="s">
        <v>932</v>
      </c>
      <c r="H382" s="2793"/>
      <c r="I382" s="2793" t="s">
        <v>1338</v>
      </c>
      <c r="J382" s="2793" t="s">
        <v>84</v>
      </c>
      <c r="M382" s="2794" t="s">
        <v>1383</v>
      </c>
      <c r="N382" s="2795" t="s">
        <v>331</v>
      </c>
      <c r="O382" s="2795" t="s">
        <v>1382</v>
      </c>
      <c r="S382" s="2798" t="s">
        <v>2156</v>
      </c>
      <c r="T382" s="2798" t="s">
        <v>2157</v>
      </c>
      <c r="U382" s="2798" t="s">
        <v>47</v>
      </c>
      <c r="V382" s="2798">
        <v>-2</v>
      </c>
      <c r="W382" s="2798"/>
      <c r="X382" s="2798">
        <v>2</v>
      </c>
      <c r="Y382" s="2795" t="s">
        <v>295</v>
      </c>
    </row>
    <row r="383" spans="2:25">
      <c r="B383" s="2793" t="s">
        <v>1970</v>
      </c>
      <c r="C383" s="2793" t="s">
        <v>1969</v>
      </c>
      <c r="D383" s="2793">
        <v>-1</v>
      </c>
      <c r="E383" s="2793" t="s">
        <v>119</v>
      </c>
      <c r="F383" s="2793"/>
      <c r="G383" s="2793" t="s">
        <v>2416</v>
      </c>
      <c r="H383" s="2793" t="s">
        <v>2416</v>
      </c>
      <c r="I383" s="2793" t="s">
        <v>1970</v>
      </c>
      <c r="J383" s="2793" t="s">
        <v>84</v>
      </c>
      <c r="M383" s="2794" t="s">
        <v>1388</v>
      </c>
      <c r="N383" s="2795" t="s">
        <v>331</v>
      </c>
      <c r="O383" s="2795" t="s">
        <v>1387</v>
      </c>
      <c r="S383" s="2798" t="s">
        <v>2176</v>
      </c>
      <c r="T383" s="2798" t="s">
        <v>2177</v>
      </c>
      <c r="U383" s="2798" t="s">
        <v>47</v>
      </c>
      <c r="V383" s="2798">
        <v>-2</v>
      </c>
      <c r="W383" s="2798"/>
      <c r="X383" s="2798">
        <v>2</v>
      </c>
      <c r="Y383" s="2795" t="s">
        <v>295</v>
      </c>
    </row>
    <row r="384" spans="2:25">
      <c r="B384" s="2793" t="s">
        <v>1344</v>
      </c>
      <c r="C384" s="2793" t="s">
        <v>1345</v>
      </c>
      <c r="D384" s="2793"/>
      <c r="E384" s="2793" t="s">
        <v>1048</v>
      </c>
      <c r="F384" s="2793"/>
      <c r="G384" s="2793" t="s">
        <v>1124</v>
      </c>
      <c r="H384" s="2793"/>
      <c r="I384" s="2793" t="s">
        <v>1344</v>
      </c>
      <c r="J384" s="2793"/>
      <c r="M384" s="2794" t="s">
        <v>1393</v>
      </c>
      <c r="N384" s="2795" t="s">
        <v>1238</v>
      </c>
      <c r="O384" s="2795" t="s">
        <v>1392</v>
      </c>
      <c r="S384" s="2798" t="s">
        <v>2178</v>
      </c>
      <c r="T384" s="2798" t="s">
        <v>2179</v>
      </c>
      <c r="U384" s="2798" t="s">
        <v>47</v>
      </c>
      <c r="V384" s="2798">
        <v>-2</v>
      </c>
      <c r="W384" s="2798"/>
      <c r="X384" s="2798">
        <v>2</v>
      </c>
      <c r="Y384" s="2795" t="s">
        <v>295</v>
      </c>
    </row>
    <row r="385" spans="2:25">
      <c r="B385" s="2793" t="s">
        <v>1348</v>
      </c>
      <c r="C385" s="2793" t="s">
        <v>1349</v>
      </c>
      <c r="D385" s="2793">
        <v>-1</v>
      </c>
      <c r="E385" s="2793" t="s">
        <v>331</v>
      </c>
      <c r="F385" s="2793"/>
      <c r="G385" s="2793" t="s">
        <v>1129</v>
      </c>
      <c r="H385" s="2793"/>
      <c r="I385" s="2793" t="s">
        <v>1348</v>
      </c>
      <c r="J385" s="2793" t="s">
        <v>84</v>
      </c>
      <c r="M385" s="2794" t="s">
        <v>1398</v>
      </c>
      <c r="N385" s="2795" t="s">
        <v>331</v>
      </c>
      <c r="O385" s="2795" t="s">
        <v>1397</v>
      </c>
      <c r="S385" s="2798" t="s">
        <v>2111</v>
      </c>
      <c r="T385" s="2798" t="s">
        <v>2112</v>
      </c>
      <c r="U385" s="2798" t="s">
        <v>47</v>
      </c>
      <c r="V385" s="2798">
        <v>-2</v>
      </c>
      <c r="W385" s="2798"/>
      <c r="X385" s="2798">
        <v>2</v>
      </c>
      <c r="Y385" s="2795" t="s">
        <v>295</v>
      </c>
    </row>
    <row r="386" spans="2:25">
      <c r="B386" s="2793" t="s">
        <v>1353</v>
      </c>
      <c r="C386" s="2793" t="s">
        <v>1354</v>
      </c>
      <c r="D386" s="2793">
        <v>-1</v>
      </c>
      <c r="E386" s="2793" t="s">
        <v>331</v>
      </c>
      <c r="F386" s="2793"/>
      <c r="G386" s="2793" t="s">
        <v>1355</v>
      </c>
      <c r="H386" s="2793"/>
      <c r="I386" s="2793" t="s">
        <v>1353</v>
      </c>
      <c r="J386" s="2793" t="s">
        <v>84</v>
      </c>
      <c r="M386" s="2794" t="s">
        <v>1414</v>
      </c>
      <c r="N386" s="2795" t="s">
        <v>331</v>
      </c>
      <c r="O386" s="2795" t="s">
        <v>1413</v>
      </c>
      <c r="S386" s="2798" t="s">
        <v>2113</v>
      </c>
      <c r="T386" s="2798" t="s">
        <v>2114</v>
      </c>
      <c r="U386" s="2798" t="s">
        <v>47</v>
      </c>
      <c r="V386" s="2798">
        <v>-2</v>
      </c>
      <c r="W386" s="2798"/>
      <c r="X386" s="2798">
        <v>2</v>
      </c>
      <c r="Y386" s="2795" t="s">
        <v>295</v>
      </c>
    </row>
    <row r="387" spans="2:25">
      <c r="B387" s="2793" t="s">
        <v>1360</v>
      </c>
      <c r="C387" s="2793" t="s">
        <v>1361</v>
      </c>
      <c r="D387" s="2793">
        <v>-1</v>
      </c>
      <c r="E387" s="2793" t="s">
        <v>331</v>
      </c>
      <c r="F387" s="2793"/>
      <c r="G387" s="2793" t="s">
        <v>1203</v>
      </c>
      <c r="H387" s="2793"/>
      <c r="I387" s="2793" t="s">
        <v>1360</v>
      </c>
      <c r="J387" s="2793" t="s">
        <v>84</v>
      </c>
      <c r="M387" s="2795" t="s">
        <v>1425</v>
      </c>
      <c r="N387" s="2795" t="s">
        <v>331</v>
      </c>
      <c r="O387" s="2795" t="s">
        <v>1424</v>
      </c>
      <c r="S387" s="2798" t="s">
        <v>2115</v>
      </c>
      <c r="T387" s="2798" t="s">
        <v>2116</v>
      </c>
      <c r="U387" s="2798" t="s">
        <v>47</v>
      </c>
      <c r="V387" s="2798">
        <v>-2</v>
      </c>
      <c r="W387" s="2798"/>
      <c r="X387" s="2798">
        <v>2</v>
      </c>
      <c r="Y387" s="2795" t="s">
        <v>295</v>
      </c>
    </row>
    <row r="388" spans="2:25">
      <c r="B388" s="2793" t="s">
        <v>1366</v>
      </c>
      <c r="C388" s="2793" t="s">
        <v>1367</v>
      </c>
      <c r="D388" s="2793"/>
      <c r="E388" s="2793" t="s">
        <v>1048</v>
      </c>
      <c r="F388" s="2793"/>
      <c r="G388" s="2793" t="s">
        <v>1208</v>
      </c>
      <c r="H388" s="2793"/>
      <c r="I388" s="2793" t="s">
        <v>1366</v>
      </c>
      <c r="J388" s="2793"/>
      <c r="M388" s="2795" t="s">
        <v>1430</v>
      </c>
      <c r="N388" s="2795" t="s">
        <v>331</v>
      </c>
      <c r="O388" s="2795" t="s">
        <v>1429</v>
      </c>
      <c r="S388" s="2798" t="s">
        <v>2117</v>
      </c>
      <c r="T388" s="2798" t="s">
        <v>2118</v>
      </c>
      <c r="U388" s="2798" t="s">
        <v>47</v>
      </c>
      <c r="V388" s="2798">
        <v>-2</v>
      </c>
      <c r="W388" s="2798"/>
      <c r="X388" s="2798">
        <v>2</v>
      </c>
      <c r="Y388" s="2795" t="s">
        <v>295</v>
      </c>
    </row>
    <row r="389" spans="2:25">
      <c r="B389" s="2793" t="s">
        <v>1372</v>
      </c>
      <c r="C389" s="2793" t="s">
        <v>1373</v>
      </c>
      <c r="D389" s="2793"/>
      <c r="E389" s="2793" t="s">
        <v>1213</v>
      </c>
      <c r="F389" s="2793"/>
      <c r="G389" s="2793" t="s">
        <v>1373</v>
      </c>
      <c r="H389" s="2793"/>
      <c r="I389" s="2793" t="s">
        <v>1372</v>
      </c>
      <c r="J389" s="2793"/>
      <c r="M389" s="2795" t="s">
        <v>1435</v>
      </c>
      <c r="N389" s="2795" t="s">
        <v>331</v>
      </c>
      <c r="O389" s="2795" t="s">
        <v>1434</v>
      </c>
      <c r="S389" s="2798" t="s">
        <v>2120</v>
      </c>
      <c r="T389" s="2798" t="s">
        <v>2121</v>
      </c>
      <c r="U389" s="2798" t="s">
        <v>47</v>
      </c>
      <c r="V389" s="2798">
        <v>-2</v>
      </c>
      <c r="W389" s="2798"/>
      <c r="X389" s="2798">
        <v>2</v>
      </c>
      <c r="Y389" s="2795" t="s">
        <v>295</v>
      </c>
    </row>
    <row r="390" spans="2:25">
      <c r="B390" s="2793" t="s">
        <v>1377</v>
      </c>
      <c r="C390" s="2793" t="s">
        <v>1378</v>
      </c>
      <c r="D390" s="2793">
        <v>-1</v>
      </c>
      <c r="E390" s="2793" t="s">
        <v>331</v>
      </c>
      <c r="F390" s="2793"/>
      <c r="G390" s="2793" t="s">
        <v>985</v>
      </c>
      <c r="H390" s="2793"/>
      <c r="I390" s="2793" t="s">
        <v>1377</v>
      </c>
      <c r="J390" s="2793" t="s">
        <v>84</v>
      </c>
      <c r="M390" s="2795" t="s">
        <v>1441</v>
      </c>
      <c r="N390" s="2795" t="s">
        <v>331</v>
      </c>
      <c r="O390" s="2795" t="s">
        <v>1440</v>
      </c>
      <c r="S390" s="2798" t="s">
        <v>2125</v>
      </c>
      <c r="T390" s="2798" t="s">
        <v>2126</v>
      </c>
      <c r="U390" s="2798" t="s">
        <v>47</v>
      </c>
      <c r="V390" s="2798">
        <v>-2</v>
      </c>
      <c r="W390" s="2798"/>
      <c r="X390" s="2798">
        <v>2</v>
      </c>
      <c r="Y390" s="2795" t="s">
        <v>295</v>
      </c>
    </row>
    <row r="391" spans="2:25">
      <c r="B391" s="2793" t="s">
        <v>1382</v>
      </c>
      <c r="C391" s="2793" t="s">
        <v>1383</v>
      </c>
      <c r="D391" s="2793">
        <v>-1</v>
      </c>
      <c r="E391" s="2793" t="s">
        <v>331</v>
      </c>
      <c r="F391" s="2793"/>
      <c r="G391" s="2793" t="s">
        <v>991</v>
      </c>
      <c r="H391" s="2793"/>
      <c r="I391" s="2793" t="s">
        <v>1382</v>
      </c>
      <c r="J391" s="2793" t="s">
        <v>84</v>
      </c>
      <c r="M391" s="2795" t="s">
        <v>1451</v>
      </c>
      <c r="N391" s="2795" t="s">
        <v>331</v>
      </c>
      <c r="O391" s="2795" t="s">
        <v>1450</v>
      </c>
      <c r="S391" s="2798" t="s">
        <v>2127</v>
      </c>
      <c r="T391" s="2798" t="s">
        <v>2128</v>
      </c>
      <c r="U391" s="2798" t="s">
        <v>47</v>
      </c>
      <c r="V391" s="2798">
        <v>-2</v>
      </c>
      <c r="W391" s="2798"/>
      <c r="X391" s="2798">
        <v>2</v>
      </c>
      <c r="Y391" s="2795" t="s">
        <v>295</v>
      </c>
    </row>
    <row r="392" spans="2:25">
      <c r="B392" s="2793" t="s">
        <v>1387</v>
      </c>
      <c r="C392" s="2793" t="s">
        <v>1388</v>
      </c>
      <c r="D392" s="2793">
        <v>-1</v>
      </c>
      <c r="E392" s="2793" t="s">
        <v>331</v>
      </c>
      <c r="F392" s="2793"/>
      <c r="G392" s="2793" t="s">
        <v>997</v>
      </c>
      <c r="H392" s="2793"/>
      <c r="I392" s="2793" t="s">
        <v>1387</v>
      </c>
      <c r="J392" s="2793" t="s">
        <v>84</v>
      </c>
      <c r="M392" s="2795" t="s">
        <v>1456</v>
      </c>
      <c r="N392" s="2795" t="s">
        <v>331</v>
      </c>
      <c r="O392" s="2795" t="s">
        <v>1455</v>
      </c>
      <c r="S392" s="2798" t="s">
        <v>6149</v>
      </c>
      <c r="T392" s="2798" t="s">
        <v>6150</v>
      </c>
      <c r="U392" s="2798" t="s">
        <v>47</v>
      </c>
      <c r="V392" s="2798">
        <v>-2</v>
      </c>
      <c r="W392" s="2798"/>
      <c r="X392" s="2798">
        <v>2</v>
      </c>
      <c r="Y392" s="2795" t="s">
        <v>6634</v>
      </c>
    </row>
    <row r="393" spans="2:25">
      <c r="B393" s="2793" t="s">
        <v>1392</v>
      </c>
      <c r="C393" s="2793" t="s">
        <v>1393</v>
      </c>
      <c r="D393" s="2793">
        <v>-1</v>
      </c>
      <c r="E393" s="2793" t="s">
        <v>1238</v>
      </c>
      <c r="F393" s="2793"/>
      <c r="G393" s="2793" t="s">
        <v>1004</v>
      </c>
      <c r="H393" s="2793"/>
      <c r="I393" s="2793" t="s">
        <v>1392</v>
      </c>
      <c r="J393" s="2793" t="s">
        <v>84</v>
      </c>
      <c r="M393" s="2795" t="s">
        <v>1461</v>
      </c>
      <c r="N393" s="2795" t="s">
        <v>331</v>
      </c>
      <c r="O393" s="2795" t="s">
        <v>1460</v>
      </c>
      <c r="S393" s="2798" t="s">
        <v>2149</v>
      </c>
      <c r="T393" s="2798" t="s">
        <v>2159</v>
      </c>
      <c r="U393" s="2798" t="s">
        <v>47</v>
      </c>
      <c r="V393" s="2798">
        <v>-2</v>
      </c>
      <c r="W393" s="2798"/>
      <c r="X393" s="2798">
        <v>2</v>
      </c>
      <c r="Y393" s="2795" t="s">
        <v>295</v>
      </c>
    </row>
    <row r="394" spans="2:25">
      <c r="B394" s="2793" t="s">
        <v>1397</v>
      </c>
      <c r="C394" s="2793" t="s">
        <v>1398</v>
      </c>
      <c r="D394" s="2793">
        <v>-1</v>
      </c>
      <c r="E394" s="2793" t="s">
        <v>331</v>
      </c>
      <c r="F394" s="2793"/>
      <c r="G394" s="2793" t="s">
        <v>932</v>
      </c>
      <c r="H394" s="2793"/>
      <c r="I394" s="2793" t="s">
        <v>1397</v>
      </c>
      <c r="J394" s="2793" t="s">
        <v>84</v>
      </c>
      <c r="M394" s="2795" t="s">
        <v>1467</v>
      </c>
      <c r="N394" s="2795" t="s">
        <v>331</v>
      </c>
      <c r="O394" s="2795" t="s">
        <v>1466</v>
      </c>
      <c r="S394" s="2798" t="s">
        <v>2160</v>
      </c>
      <c r="T394" s="2798" t="s">
        <v>2161</v>
      </c>
      <c r="U394" s="2798" t="s">
        <v>47</v>
      </c>
      <c r="V394" s="2798">
        <v>-2</v>
      </c>
      <c r="W394" s="2798"/>
      <c r="X394" s="2798">
        <v>2</v>
      </c>
      <c r="Y394" s="2795" t="s">
        <v>295</v>
      </c>
    </row>
    <row r="395" spans="2:25">
      <c r="B395" s="2793" t="s">
        <v>1402</v>
      </c>
      <c r="C395" s="2793" t="s">
        <v>1403</v>
      </c>
      <c r="D395" s="2793"/>
      <c r="E395" s="2793" t="s">
        <v>1048</v>
      </c>
      <c r="F395" s="2793"/>
      <c r="G395" s="2793" t="s">
        <v>1013</v>
      </c>
      <c r="H395" s="2793"/>
      <c r="I395" s="2793" t="s">
        <v>1402</v>
      </c>
      <c r="J395" s="2793"/>
      <c r="M395" s="2795" t="s">
        <v>1478</v>
      </c>
      <c r="N395" s="2795" t="s">
        <v>331</v>
      </c>
      <c r="O395" s="2795" t="s">
        <v>1477</v>
      </c>
      <c r="S395" s="2798" t="s">
        <v>2144</v>
      </c>
      <c r="T395" s="2798" t="s">
        <v>2145</v>
      </c>
      <c r="U395" s="2798" t="s">
        <v>47</v>
      </c>
      <c r="V395" s="2798">
        <v>-2</v>
      </c>
      <c r="W395" s="2798"/>
      <c r="X395" s="2798">
        <v>2</v>
      </c>
      <c r="Y395" s="2795" t="s">
        <v>295</v>
      </c>
    </row>
    <row r="396" spans="2:25">
      <c r="B396" s="2793" t="s">
        <v>1407</v>
      </c>
      <c r="C396" s="2793" t="s">
        <v>1408</v>
      </c>
      <c r="D396" s="2793"/>
      <c r="E396" s="2793" t="s">
        <v>1048</v>
      </c>
      <c r="F396" s="2793"/>
      <c r="G396" s="2793" t="s">
        <v>1172</v>
      </c>
      <c r="H396" s="2793"/>
      <c r="I396" s="2793" t="s">
        <v>1407</v>
      </c>
      <c r="J396" s="2793"/>
      <c r="M396" s="2795" t="s">
        <v>1483</v>
      </c>
      <c r="N396" s="2795" t="s">
        <v>331</v>
      </c>
      <c r="O396" s="2795" t="s">
        <v>1482</v>
      </c>
      <c r="S396" s="2798" t="s">
        <v>2130</v>
      </c>
      <c r="T396" s="2798" t="s">
        <v>2131</v>
      </c>
      <c r="U396" s="2798" t="s">
        <v>47</v>
      </c>
      <c r="V396" s="2798">
        <v>-2</v>
      </c>
      <c r="W396" s="2798"/>
      <c r="X396" s="2798">
        <v>2</v>
      </c>
      <c r="Y396" s="2795" t="s">
        <v>295</v>
      </c>
    </row>
    <row r="397" spans="2:25">
      <c r="B397" s="2793" t="s">
        <v>1413</v>
      </c>
      <c r="C397" s="2793" t="s">
        <v>1414</v>
      </c>
      <c r="D397" s="2793">
        <v>-1</v>
      </c>
      <c r="E397" s="2793" t="s">
        <v>331</v>
      </c>
      <c r="F397" s="2793"/>
      <c r="G397" s="2793" t="s">
        <v>1032</v>
      </c>
      <c r="H397" s="2793"/>
      <c r="I397" s="2793" t="s">
        <v>1413</v>
      </c>
      <c r="J397" s="2793" t="s">
        <v>84</v>
      </c>
      <c r="M397" s="2795" t="s">
        <v>1488</v>
      </c>
      <c r="N397" s="2795" t="s">
        <v>331</v>
      </c>
      <c r="O397" s="2795" t="s">
        <v>1487</v>
      </c>
      <c r="S397" s="2798" t="s">
        <v>2064</v>
      </c>
      <c r="T397" s="2798" t="s">
        <v>2065</v>
      </c>
      <c r="U397" s="2798" t="s">
        <v>47</v>
      </c>
      <c r="V397" s="2798">
        <v>-2</v>
      </c>
      <c r="W397" s="2798"/>
      <c r="X397" s="2798">
        <v>2</v>
      </c>
      <c r="Y397" s="2795" t="s">
        <v>295</v>
      </c>
    </row>
    <row r="398" spans="2:25">
      <c r="B398" s="2793" t="s">
        <v>1418</v>
      </c>
      <c r="C398" s="2793" t="s">
        <v>1419</v>
      </c>
      <c r="D398" s="2793"/>
      <c r="E398" s="2793" t="s">
        <v>1048</v>
      </c>
      <c r="F398" s="2793"/>
      <c r="G398" s="2793" t="s">
        <v>1036</v>
      </c>
      <c r="H398" s="2793"/>
      <c r="I398" s="2793" t="s">
        <v>1418</v>
      </c>
      <c r="J398" s="2793"/>
      <c r="M398" s="2795" t="s">
        <v>1493</v>
      </c>
      <c r="N398" s="2795" t="s">
        <v>331</v>
      </c>
      <c r="O398" s="2795" t="s">
        <v>1492</v>
      </c>
      <c r="S398" s="2798" t="s">
        <v>2067</v>
      </c>
      <c r="T398" s="2798" t="s">
        <v>2068</v>
      </c>
      <c r="U398" s="2798" t="s">
        <v>47</v>
      </c>
      <c r="V398" s="2798">
        <v>-2</v>
      </c>
      <c r="W398" s="2798"/>
      <c r="X398" s="2798">
        <v>2</v>
      </c>
      <c r="Y398" s="2795" t="s">
        <v>295</v>
      </c>
    </row>
    <row r="399" spans="2:25">
      <c r="B399" s="2793" t="s">
        <v>1424</v>
      </c>
      <c r="C399" s="2793" t="s">
        <v>1425</v>
      </c>
      <c r="D399" s="2793">
        <v>-1</v>
      </c>
      <c r="E399" s="2793" t="s">
        <v>331</v>
      </c>
      <c r="F399" s="2793"/>
      <c r="G399" s="2793" t="s">
        <v>1182</v>
      </c>
      <c r="H399" s="2793"/>
      <c r="I399" s="2793" t="s">
        <v>1424</v>
      </c>
      <c r="J399" s="2793" t="s">
        <v>84</v>
      </c>
      <c r="M399" s="2795" t="s">
        <v>1498</v>
      </c>
      <c r="N399" s="2795" t="s">
        <v>331</v>
      </c>
      <c r="O399" s="2795" t="s">
        <v>1497</v>
      </c>
      <c r="S399" s="2798" t="s">
        <v>2069</v>
      </c>
      <c r="T399" s="2798" t="s">
        <v>2070</v>
      </c>
      <c r="U399" s="2798" t="s">
        <v>47</v>
      </c>
      <c r="V399" s="2798">
        <v>-2</v>
      </c>
      <c r="W399" s="2798"/>
      <c r="X399" s="2798">
        <v>2</v>
      </c>
      <c r="Y399" s="2795" t="s">
        <v>295</v>
      </c>
    </row>
    <row r="400" spans="2:25">
      <c r="B400" s="2793" t="s">
        <v>1429</v>
      </c>
      <c r="C400" s="2793" t="s">
        <v>1430</v>
      </c>
      <c r="D400" s="2793">
        <v>-1</v>
      </c>
      <c r="E400" s="2793" t="s">
        <v>331</v>
      </c>
      <c r="F400" s="2793"/>
      <c r="G400" s="2793" t="s">
        <v>1055</v>
      </c>
      <c r="H400" s="2793"/>
      <c r="I400" s="2793" t="s">
        <v>1429</v>
      </c>
      <c r="J400" s="2793" t="s">
        <v>84</v>
      </c>
      <c r="M400" s="2795" t="s">
        <v>2033</v>
      </c>
      <c r="N400" s="2795" t="s">
        <v>119</v>
      </c>
      <c r="O400" s="2795" t="s">
        <v>2034</v>
      </c>
      <c r="S400" s="2798" t="s">
        <v>2072</v>
      </c>
      <c r="T400" s="2798" t="s">
        <v>2073</v>
      </c>
      <c r="U400" s="2798" t="s">
        <v>47</v>
      </c>
      <c r="V400" s="2798">
        <v>-2</v>
      </c>
      <c r="W400" s="2798"/>
      <c r="X400" s="2798">
        <v>2</v>
      </c>
      <c r="Y400" s="2795" t="s">
        <v>295</v>
      </c>
    </row>
    <row r="401" spans="2:25">
      <c r="B401" s="2793" t="s">
        <v>1434</v>
      </c>
      <c r="C401" s="2793" t="s">
        <v>1435</v>
      </c>
      <c r="D401" s="2793">
        <v>-1</v>
      </c>
      <c r="E401" s="2793" t="s">
        <v>331</v>
      </c>
      <c r="F401" s="2793"/>
      <c r="G401" s="2793" t="s">
        <v>1049</v>
      </c>
      <c r="H401" s="2793"/>
      <c r="I401" s="2793" t="s">
        <v>1434</v>
      </c>
      <c r="J401" s="2793" t="s">
        <v>84</v>
      </c>
      <c r="M401" s="2795" t="s">
        <v>1508</v>
      </c>
      <c r="N401" s="2795" t="s">
        <v>331</v>
      </c>
      <c r="O401" s="2795" t="s">
        <v>1507</v>
      </c>
      <c r="S401" s="2798" t="s">
        <v>2075</v>
      </c>
      <c r="T401" s="2798" t="s">
        <v>2076</v>
      </c>
      <c r="U401" s="2798" t="s">
        <v>47</v>
      </c>
      <c r="V401" s="2798">
        <v>-2</v>
      </c>
      <c r="W401" s="2798"/>
      <c r="X401" s="2798">
        <v>2</v>
      </c>
      <c r="Y401" s="2795" t="s">
        <v>295</v>
      </c>
    </row>
    <row r="402" spans="2:25">
      <c r="B402" s="2793" t="s">
        <v>1440</v>
      </c>
      <c r="C402" s="2793" t="s">
        <v>1441</v>
      </c>
      <c r="D402" s="2793">
        <v>-1</v>
      </c>
      <c r="E402" s="2793" t="s">
        <v>331</v>
      </c>
      <c r="F402" s="2793"/>
      <c r="G402" s="2793" t="s">
        <v>932</v>
      </c>
      <c r="H402" s="2793"/>
      <c r="I402" s="2793" t="s">
        <v>1440</v>
      </c>
      <c r="J402" s="2793" t="s">
        <v>84</v>
      </c>
      <c r="M402" s="2795" t="s">
        <v>1513</v>
      </c>
      <c r="N402" s="2795" t="s">
        <v>331</v>
      </c>
      <c r="O402" s="2795" t="s">
        <v>1512</v>
      </c>
      <c r="S402" s="2798" t="s">
        <v>2077</v>
      </c>
      <c r="T402" s="2798" t="s">
        <v>2078</v>
      </c>
      <c r="U402" s="2798" t="s">
        <v>47</v>
      </c>
      <c r="V402" s="2798">
        <v>-2</v>
      </c>
      <c r="W402" s="2798"/>
      <c r="X402" s="2798">
        <v>2</v>
      </c>
      <c r="Y402" s="2795" t="s">
        <v>295</v>
      </c>
    </row>
    <row r="403" spans="2:25">
      <c r="B403" s="2793" t="s">
        <v>1445</v>
      </c>
      <c r="C403" s="2793" t="s">
        <v>1446</v>
      </c>
      <c r="D403" s="2793"/>
      <c r="E403" s="2793" t="s">
        <v>1048</v>
      </c>
      <c r="F403" s="2793"/>
      <c r="G403" s="2793" t="s">
        <v>1066</v>
      </c>
      <c r="H403" s="2793"/>
      <c r="I403" s="2793" t="s">
        <v>1445</v>
      </c>
      <c r="J403" s="2793"/>
      <c r="M403" s="2795" t="s">
        <v>1518</v>
      </c>
      <c r="N403" s="2795" t="s">
        <v>331</v>
      </c>
      <c r="O403" s="2795" t="s">
        <v>1517</v>
      </c>
      <c r="S403" s="2798" t="s">
        <v>2079</v>
      </c>
      <c r="T403" s="2798" t="s">
        <v>2080</v>
      </c>
      <c r="U403" s="2798" t="s">
        <v>47</v>
      </c>
      <c r="V403" s="2798">
        <v>-2</v>
      </c>
      <c r="W403" s="2798"/>
      <c r="X403" s="2798">
        <v>2</v>
      </c>
      <c r="Y403" s="2795" t="s">
        <v>295</v>
      </c>
    </row>
    <row r="404" spans="2:25">
      <c r="B404" s="2793" t="s">
        <v>1450</v>
      </c>
      <c r="C404" s="2793" t="s">
        <v>1451</v>
      </c>
      <c r="D404" s="2793">
        <v>-1</v>
      </c>
      <c r="E404" s="2793" t="s">
        <v>331</v>
      </c>
      <c r="F404" s="2793"/>
      <c r="G404" s="2793" t="s">
        <v>1071</v>
      </c>
      <c r="H404" s="2793"/>
      <c r="I404" s="2793" t="s">
        <v>1450</v>
      </c>
      <c r="J404" s="2793" t="s">
        <v>84</v>
      </c>
      <c r="M404" s="2795" t="s">
        <v>1531</v>
      </c>
      <c r="N404" s="2795" t="s">
        <v>331</v>
      </c>
      <c r="O404" s="2795" t="s">
        <v>1530</v>
      </c>
      <c r="S404" s="2798" t="s">
        <v>2081</v>
      </c>
      <c r="T404" s="2798" t="s">
        <v>2082</v>
      </c>
      <c r="U404" s="2798" t="s">
        <v>47</v>
      </c>
      <c r="V404" s="2798">
        <v>-2</v>
      </c>
      <c r="W404" s="2798"/>
      <c r="X404" s="2798">
        <v>2</v>
      </c>
      <c r="Y404" s="2795" t="s">
        <v>295</v>
      </c>
    </row>
    <row r="405" spans="2:25">
      <c r="B405" s="2793" t="s">
        <v>1455</v>
      </c>
      <c r="C405" s="2793" t="s">
        <v>1456</v>
      </c>
      <c r="D405" s="2793">
        <v>-1</v>
      </c>
      <c r="E405" s="2793" t="s">
        <v>331</v>
      </c>
      <c r="F405" s="2793"/>
      <c r="G405" s="2793" t="s">
        <v>1076</v>
      </c>
      <c r="H405" s="2793"/>
      <c r="I405" s="2793" t="s">
        <v>1455</v>
      </c>
      <c r="J405" s="2793" t="s">
        <v>84</v>
      </c>
      <c r="M405" s="2795" t="s">
        <v>1536</v>
      </c>
      <c r="N405" s="2795" t="s">
        <v>331</v>
      </c>
      <c r="O405" s="2795" t="s">
        <v>1535</v>
      </c>
      <c r="S405" s="2798" t="s">
        <v>2083</v>
      </c>
      <c r="T405" s="2798" t="s">
        <v>2084</v>
      </c>
      <c r="U405" s="2798" t="s">
        <v>47</v>
      </c>
      <c r="V405" s="2798">
        <v>-2</v>
      </c>
      <c r="W405" s="2798"/>
      <c r="X405" s="2798">
        <v>2</v>
      </c>
      <c r="Y405" s="2795" t="s">
        <v>295</v>
      </c>
    </row>
    <row r="406" spans="2:25">
      <c r="B406" s="2793" t="s">
        <v>1460</v>
      </c>
      <c r="C406" s="2793" t="s">
        <v>1461</v>
      </c>
      <c r="D406" s="2793">
        <v>-1</v>
      </c>
      <c r="E406" s="2793" t="s">
        <v>331</v>
      </c>
      <c r="F406" s="2793"/>
      <c r="G406" s="2793" t="s">
        <v>1081</v>
      </c>
      <c r="H406" s="2793"/>
      <c r="I406" s="2793" t="s">
        <v>1460</v>
      </c>
      <c r="J406" s="2793" t="s">
        <v>84</v>
      </c>
      <c r="M406" s="2795" t="s">
        <v>1541</v>
      </c>
      <c r="N406" s="2795" t="s">
        <v>331</v>
      </c>
      <c r="O406" s="2795" t="s">
        <v>1540</v>
      </c>
      <c r="S406" s="2798" t="s">
        <v>2085</v>
      </c>
      <c r="T406" s="2798" t="s">
        <v>2086</v>
      </c>
      <c r="U406" s="2798" t="s">
        <v>47</v>
      </c>
      <c r="V406" s="2798">
        <v>-2</v>
      </c>
      <c r="W406" s="2798"/>
      <c r="X406" s="2798">
        <v>2</v>
      </c>
      <c r="Y406" s="2795" t="s">
        <v>295</v>
      </c>
    </row>
    <row r="407" spans="2:25">
      <c r="B407" s="2793" t="s">
        <v>1466</v>
      </c>
      <c r="C407" s="2793" t="s">
        <v>1467</v>
      </c>
      <c r="D407" s="2793">
        <v>-1</v>
      </c>
      <c r="E407" s="2793" t="s">
        <v>331</v>
      </c>
      <c r="F407" s="2793"/>
      <c r="G407" s="2793" t="s">
        <v>932</v>
      </c>
      <c r="H407" s="2793"/>
      <c r="I407" s="2793" t="s">
        <v>1466</v>
      </c>
      <c r="J407" s="2793" t="s">
        <v>84</v>
      </c>
      <c r="M407" s="2795" t="s">
        <v>1547</v>
      </c>
      <c r="N407" s="2795" t="s">
        <v>1238</v>
      </c>
      <c r="O407" s="2795" t="s">
        <v>1546</v>
      </c>
      <c r="S407" s="2798" t="s">
        <v>2088</v>
      </c>
      <c r="T407" s="2798" t="s">
        <v>2089</v>
      </c>
      <c r="U407" s="2798" t="s">
        <v>47</v>
      </c>
      <c r="V407" s="2798">
        <v>-2</v>
      </c>
      <c r="W407" s="2798"/>
      <c r="X407" s="2798">
        <v>2</v>
      </c>
      <c r="Y407" s="2795" t="s">
        <v>295</v>
      </c>
    </row>
    <row r="408" spans="2:25">
      <c r="B408" s="2793" t="s">
        <v>1471</v>
      </c>
      <c r="C408" s="2793" t="s">
        <v>1472</v>
      </c>
      <c r="D408" s="2793"/>
      <c r="E408" s="2793" t="s">
        <v>1048</v>
      </c>
      <c r="F408" s="2793"/>
      <c r="G408" s="2793" t="s">
        <v>1188</v>
      </c>
      <c r="H408" s="2793"/>
      <c r="I408" s="2793" t="s">
        <v>1471</v>
      </c>
      <c r="J408" s="2793"/>
      <c r="M408" s="2795" t="s">
        <v>1552</v>
      </c>
      <c r="N408" s="2795" t="s">
        <v>331</v>
      </c>
      <c r="O408" s="2795" t="s">
        <v>1551</v>
      </c>
      <c r="S408" s="2798" t="s">
        <v>2091</v>
      </c>
      <c r="T408" s="2798" t="s">
        <v>2092</v>
      </c>
      <c r="U408" s="2798" t="s">
        <v>47</v>
      </c>
      <c r="V408" s="2798">
        <v>-2</v>
      </c>
      <c r="W408" s="2798"/>
      <c r="X408" s="2798">
        <v>2</v>
      </c>
      <c r="Y408" s="2795" t="s">
        <v>295</v>
      </c>
    </row>
    <row r="409" spans="2:25">
      <c r="B409" s="2793" t="s">
        <v>1477</v>
      </c>
      <c r="C409" s="2793" t="s">
        <v>1478</v>
      </c>
      <c r="D409" s="2793">
        <v>-1</v>
      </c>
      <c r="E409" s="2793" t="s">
        <v>331</v>
      </c>
      <c r="F409" s="2793"/>
      <c r="G409" s="2793" t="s">
        <v>1095</v>
      </c>
      <c r="H409" s="2793"/>
      <c r="I409" s="2793" t="s">
        <v>1477</v>
      </c>
      <c r="J409" s="2793" t="s">
        <v>84</v>
      </c>
      <c r="M409" s="2795" t="s">
        <v>1567</v>
      </c>
      <c r="N409" s="2795" t="s">
        <v>331</v>
      </c>
      <c r="O409" s="2795" t="s">
        <v>1566</v>
      </c>
      <c r="S409" s="2798" t="s">
        <v>2094</v>
      </c>
      <c r="T409" s="2798" t="s">
        <v>2095</v>
      </c>
      <c r="U409" s="2798" t="s">
        <v>47</v>
      </c>
      <c r="V409" s="2798">
        <v>-2</v>
      </c>
      <c r="W409" s="2798"/>
      <c r="X409" s="2798">
        <v>2</v>
      </c>
      <c r="Y409" s="2795" t="s">
        <v>295</v>
      </c>
    </row>
    <row r="410" spans="2:25">
      <c r="B410" s="2793" t="s">
        <v>1482</v>
      </c>
      <c r="C410" s="2793" t="s">
        <v>1483</v>
      </c>
      <c r="D410" s="2793">
        <v>-1</v>
      </c>
      <c r="E410" s="2793" t="s">
        <v>331</v>
      </c>
      <c r="F410" s="2793"/>
      <c r="G410" s="2793" t="s">
        <v>1102</v>
      </c>
      <c r="H410" s="2793"/>
      <c r="I410" s="2793" t="s">
        <v>1482</v>
      </c>
      <c r="J410" s="2793" t="s">
        <v>84</v>
      </c>
      <c r="M410" s="2795" t="s">
        <v>1577</v>
      </c>
      <c r="N410" s="2795" t="s">
        <v>331</v>
      </c>
      <c r="O410" s="2795" t="s">
        <v>1576</v>
      </c>
      <c r="S410" s="2798" t="s">
        <v>2096</v>
      </c>
      <c r="T410" s="2798" t="s">
        <v>2097</v>
      </c>
      <c r="U410" s="2798" t="s">
        <v>47</v>
      </c>
      <c r="V410" s="2798">
        <v>-2</v>
      </c>
      <c r="W410" s="2798"/>
      <c r="X410" s="2798">
        <v>2</v>
      </c>
      <c r="Y410" s="2795" t="s">
        <v>295</v>
      </c>
    </row>
    <row r="411" spans="2:25">
      <c r="B411" s="2793" t="s">
        <v>1487</v>
      </c>
      <c r="C411" s="2793" t="s">
        <v>1488</v>
      </c>
      <c r="D411" s="2793">
        <v>-1</v>
      </c>
      <c r="E411" s="2793" t="s">
        <v>331</v>
      </c>
      <c r="F411" s="2793"/>
      <c r="G411" s="2793" t="s">
        <v>1109</v>
      </c>
      <c r="H411" s="2793"/>
      <c r="I411" s="2793" t="s">
        <v>1487</v>
      </c>
      <c r="J411" s="2793" t="s">
        <v>84</v>
      </c>
      <c r="M411" s="2795" t="s">
        <v>1582</v>
      </c>
      <c r="N411" s="2795" t="s">
        <v>331</v>
      </c>
      <c r="O411" s="2795" t="s">
        <v>1581</v>
      </c>
      <c r="S411" s="2798" t="s">
        <v>2153</v>
      </c>
      <c r="T411" s="2798" t="s">
        <v>2154</v>
      </c>
      <c r="U411" s="2798" t="s">
        <v>47</v>
      </c>
      <c r="V411" s="2798">
        <v>-2</v>
      </c>
      <c r="W411" s="2798"/>
      <c r="X411" s="2798">
        <v>2</v>
      </c>
      <c r="Y411" s="2795" t="s">
        <v>295</v>
      </c>
    </row>
    <row r="412" spans="2:25">
      <c r="B412" s="2793" t="s">
        <v>1492</v>
      </c>
      <c r="C412" s="2793" t="s">
        <v>1493</v>
      </c>
      <c r="D412" s="2793">
        <v>-1</v>
      </c>
      <c r="E412" s="2793" t="s">
        <v>331</v>
      </c>
      <c r="F412" s="2793"/>
      <c r="G412" s="2793" t="s">
        <v>1114</v>
      </c>
      <c r="H412" s="2793"/>
      <c r="I412" s="2793" t="s">
        <v>1492</v>
      </c>
      <c r="J412" s="2793" t="s">
        <v>84</v>
      </c>
      <c r="M412" s="2795" t="s">
        <v>1587</v>
      </c>
      <c r="N412" s="2795" t="s">
        <v>331</v>
      </c>
      <c r="O412" s="2795" t="s">
        <v>1586</v>
      </c>
      <c r="S412" s="2798" t="s">
        <v>6103</v>
      </c>
      <c r="T412" s="2798" t="s">
        <v>6102</v>
      </c>
      <c r="U412" s="2798" t="s">
        <v>47</v>
      </c>
      <c r="V412" s="2798">
        <v>-2</v>
      </c>
      <c r="W412" s="2798"/>
      <c r="X412" s="2798">
        <v>2</v>
      </c>
      <c r="Y412" s="2795" t="s">
        <v>6619</v>
      </c>
    </row>
    <row r="413" spans="2:25">
      <c r="B413" s="2793" t="s">
        <v>1497</v>
      </c>
      <c r="C413" s="2793" t="s">
        <v>1498</v>
      </c>
      <c r="D413" s="2793">
        <v>-1</v>
      </c>
      <c r="E413" s="2793" t="s">
        <v>331</v>
      </c>
      <c r="F413" s="2793"/>
      <c r="G413" s="2793" t="s">
        <v>932</v>
      </c>
      <c r="H413" s="2793"/>
      <c r="I413" s="2793" t="s">
        <v>1497</v>
      </c>
      <c r="J413" s="2793" t="s">
        <v>84</v>
      </c>
      <c r="M413" s="2795" t="s">
        <v>1592</v>
      </c>
      <c r="N413" s="2795" t="s">
        <v>331</v>
      </c>
      <c r="O413" s="2795" t="s">
        <v>1591</v>
      </c>
      <c r="S413" s="2798" t="s">
        <v>2181</v>
      </c>
      <c r="T413" s="2798" t="s">
        <v>912</v>
      </c>
      <c r="U413" s="2798" t="s">
        <v>47</v>
      </c>
      <c r="V413" s="2798">
        <v>-2</v>
      </c>
      <c r="W413" s="2798"/>
      <c r="X413" s="2798">
        <v>2</v>
      </c>
      <c r="Y413" s="2795" t="s">
        <v>295</v>
      </c>
    </row>
    <row r="414" spans="2:25">
      <c r="B414" s="2793" t="s">
        <v>2034</v>
      </c>
      <c r="C414" s="2793" t="s">
        <v>2033</v>
      </c>
      <c r="D414" s="2793">
        <v>-1</v>
      </c>
      <c r="E414" s="2793" t="s">
        <v>119</v>
      </c>
      <c r="F414" s="2793"/>
      <c r="G414" s="2793" t="s">
        <v>2416</v>
      </c>
      <c r="H414" s="2793" t="s">
        <v>2416</v>
      </c>
      <c r="I414" s="2793" t="s">
        <v>2034</v>
      </c>
      <c r="J414" s="2793" t="s">
        <v>84</v>
      </c>
      <c r="M414" s="2795" t="s">
        <v>1601</v>
      </c>
      <c r="N414" s="2795" t="s">
        <v>331</v>
      </c>
      <c r="O414" s="2795" t="s">
        <v>1600</v>
      </c>
      <c r="S414" s="2798" t="s">
        <v>2187</v>
      </c>
      <c r="T414" s="2798" t="s">
        <v>2188</v>
      </c>
      <c r="U414" s="2798" t="s">
        <v>47</v>
      </c>
      <c r="V414" s="2798">
        <v>-2</v>
      </c>
      <c r="W414" s="2798"/>
      <c r="X414" s="2798">
        <v>2</v>
      </c>
      <c r="Y414" s="2795" t="s">
        <v>295</v>
      </c>
    </row>
    <row r="415" spans="2:25">
      <c r="B415" s="2793" t="s">
        <v>1502</v>
      </c>
      <c r="C415" s="2793" t="s">
        <v>1503</v>
      </c>
      <c r="D415" s="2793"/>
      <c r="E415" s="2793" t="s">
        <v>1048</v>
      </c>
      <c r="F415" s="2793"/>
      <c r="G415" s="2793" t="s">
        <v>1124</v>
      </c>
      <c r="H415" s="2793"/>
      <c r="I415" s="2793" t="s">
        <v>1502</v>
      </c>
      <c r="J415" s="2793"/>
      <c r="M415" s="2795" t="s">
        <v>1606</v>
      </c>
      <c r="N415" s="2795" t="s">
        <v>331</v>
      </c>
      <c r="O415" s="2795" t="s">
        <v>1605</v>
      </c>
      <c r="S415" s="2798" t="s">
        <v>2184</v>
      </c>
      <c r="T415" s="2798" t="s">
        <v>2185</v>
      </c>
      <c r="U415" s="2798" t="s">
        <v>47</v>
      </c>
      <c r="V415" s="2798">
        <v>-2</v>
      </c>
      <c r="W415" s="2798"/>
      <c r="X415" s="2798">
        <v>2</v>
      </c>
      <c r="Y415" s="2795" t="s">
        <v>295</v>
      </c>
    </row>
    <row r="416" spans="2:25">
      <c r="B416" s="2793" t="s">
        <v>1507</v>
      </c>
      <c r="C416" s="2793" t="s">
        <v>1508</v>
      </c>
      <c r="D416" s="2793">
        <v>-1</v>
      </c>
      <c r="E416" s="2793" t="s">
        <v>331</v>
      </c>
      <c r="F416" s="2793"/>
      <c r="G416" s="2793" t="s">
        <v>1129</v>
      </c>
      <c r="H416" s="2793"/>
      <c r="I416" s="2793" t="s">
        <v>1507</v>
      </c>
      <c r="J416" s="2793" t="s">
        <v>84</v>
      </c>
      <c r="M416" s="2795" t="s">
        <v>1610</v>
      </c>
      <c r="N416" s="2795" t="s">
        <v>331</v>
      </c>
      <c r="O416" s="2795" t="s">
        <v>1609</v>
      </c>
      <c r="S416" s="2798" t="s">
        <v>2190</v>
      </c>
      <c r="T416" s="2798" t="s">
        <v>2191</v>
      </c>
      <c r="U416" s="2798" t="s">
        <v>47</v>
      </c>
      <c r="V416" s="2798">
        <v>-2</v>
      </c>
      <c r="W416" s="2798"/>
      <c r="X416" s="2798">
        <v>2</v>
      </c>
      <c r="Y416" s="2795" t="s">
        <v>295</v>
      </c>
    </row>
    <row r="417" spans="2:25">
      <c r="B417" s="2793" t="s">
        <v>1512</v>
      </c>
      <c r="C417" s="2793" t="s">
        <v>1513</v>
      </c>
      <c r="D417" s="2793">
        <v>-1</v>
      </c>
      <c r="E417" s="2793" t="s">
        <v>331</v>
      </c>
      <c r="F417" s="2793"/>
      <c r="G417" s="2793" t="s">
        <v>1355</v>
      </c>
      <c r="H417" s="2793"/>
      <c r="I417" s="2793" t="s">
        <v>1512</v>
      </c>
      <c r="J417" s="2793" t="s">
        <v>84</v>
      </c>
      <c r="M417" s="2795" t="s">
        <v>1615</v>
      </c>
      <c r="N417" s="2795" t="s">
        <v>331</v>
      </c>
      <c r="O417" s="2795" t="s">
        <v>1614</v>
      </c>
      <c r="S417" s="2798" t="s">
        <v>2193</v>
      </c>
      <c r="T417" s="2798" t="s">
        <v>2194</v>
      </c>
      <c r="U417" s="2798" t="s">
        <v>47</v>
      </c>
      <c r="V417" s="2798">
        <v>-2</v>
      </c>
      <c r="W417" s="2798"/>
      <c r="X417" s="2798">
        <v>2</v>
      </c>
      <c r="Y417" s="2795" t="s">
        <v>295</v>
      </c>
    </row>
    <row r="418" spans="2:25">
      <c r="B418" s="2793" t="s">
        <v>1517</v>
      </c>
      <c r="C418" s="2793" t="s">
        <v>1518</v>
      </c>
      <c r="D418" s="2793">
        <v>-1</v>
      </c>
      <c r="E418" s="2793" t="s">
        <v>331</v>
      </c>
      <c r="F418" s="2793"/>
      <c r="G418" s="2793" t="s">
        <v>1203</v>
      </c>
      <c r="H418" s="2793"/>
      <c r="I418" s="2793" t="s">
        <v>1517</v>
      </c>
      <c r="J418" s="2793" t="s">
        <v>84</v>
      </c>
      <c r="M418" s="2795" t="s">
        <v>1624</v>
      </c>
      <c r="N418" s="2795" t="s">
        <v>331</v>
      </c>
      <c r="O418" s="2795" t="s">
        <v>1623</v>
      </c>
      <c r="S418" s="2798" t="s">
        <v>2197</v>
      </c>
      <c r="T418" s="2798" t="s">
        <v>2198</v>
      </c>
      <c r="U418" s="2798" t="s">
        <v>47</v>
      </c>
      <c r="V418" s="2798">
        <v>-2</v>
      </c>
      <c r="W418" s="2798"/>
      <c r="X418" s="2798">
        <v>2</v>
      </c>
      <c r="Y418" s="2795" t="s">
        <v>295</v>
      </c>
    </row>
    <row r="419" spans="2:25">
      <c r="B419" s="2793" t="s">
        <v>1522</v>
      </c>
      <c r="C419" s="2793" t="s">
        <v>1523</v>
      </c>
      <c r="D419" s="2793"/>
      <c r="E419" s="2793" t="s">
        <v>1048</v>
      </c>
      <c r="F419" s="2793"/>
      <c r="G419" s="2793" t="s">
        <v>1208</v>
      </c>
      <c r="H419" s="2793"/>
      <c r="I419" s="2793" t="s">
        <v>1522</v>
      </c>
      <c r="J419" s="2793"/>
      <c r="M419" s="2795" t="s">
        <v>1630</v>
      </c>
      <c r="N419" s="2795" t="s">
        <v>331</v>
      </c>
      <c r="O419" s="2795" t="s">
        <v>1629</v>
      </c>
      <c r="S419" s="2798" t="s">
        <v>2200</v>
      </c>
      <c r="T419" s="2798" t="s">
        <v>2201</v>
      </c>
      <c r="U419" s="2798" t="s">
        <v>47</v>
      </c>
      <c r="V419" s="2798">
        <v>-2</v>
      </c>
      <c r="W419" s="2798"/>
      <c r="X419" s="2798">
        <v>2</v>
      </c>
      <c r="Y419" s="2795" t="s">
        <v>295</v>
      </c>
    </row>
    <row r="420" spans="2:25">
      <c r="B420" s="2793" t="s">
        <v>1525</v>
      </c>
      <c r="C420" s="2793" t="s">
        <v>1526</v>
      </c>
      <c r="D420" s="2793"/>
      <c r="E420" s="2793" t="s">
        <v>1213</v>
      </c>
      <c r="F420" s="2793"/>
      <c r="G420" s="2793" t="s">
        <v>1526</v>
      </c>
      <c r="H420" s="2793"/>
      <c r="I420" s="2793" t="s">
        <v>1525</v>
      </c>
      <c r="J420" s="2793"/>
      <c r="M420" s="2795" t="s">
        <v>1635</v>
      </c>
      <c r="N420" s="2795" t="s">
        <v>331</v>
      </c>
      <c r="O420" s="2795" t="s">
        <v>1634</v>
      </c>
      <c r="S420" s="2798" t="s">
        <v>122</v>
      </c>
      <c r="T420" s="2798" t="s">
        <v>123</v>
      </c>
      <c r="U420" s="2798" t="s">
        <v>47</v>
      </c>
      <c r="V420" s="2798">
        <v>1</v>
      </c>
      <c r="W420" s="2798">
        <v>1101</v>
      </c>
      <c r="X420" s="2798">
        <v>2</v>
      </c>
      <c r="Y420" s="2795" t="s">
        <v>213</v>
      </c>
    </row>
    <row r="421" spans="2:25">
      <c r="B421" s="2793" t="s">
        <v>1530</v>
      </c>
      <c r="C421" s="2793" t="s">
        <v>1531</v>
      </c>
      <c r="D421" s="2793">
        <v>-1</v>
      </c>
      <c r="E421" s="2793" t="s">
        <v>331</v>
      </c>
      <c r="F421" s="2793"/>
      <c r="G421" s="2793" t="s">
        <v>985</v>
      </c>
      <c r="H421" s="2793"/>
      <c r="I421" s="2793" t="s">
        <v>1530</v>
      </c>
      <c r="J421" s="2793" t="s">
        <v>84</v>
      </c>
      <c r="M421" s="2795" t="s">
        <v>1640</v>
      </c>
      <c r="N421" s="2795" t="s">
        <v>331</v>
      </c>
      <c r="O421" s="2795" t="s">
        <v>1639</v>
      </c>
      <c r="S421" s="2798" t="s">
        <v>438</v>
      </c>
      <c r="T421" s="2798" t="s">
        <v>439</v>
      </c>
      <c r="U421" s="2798" t="s">
        <v>47</v>
      </c>
      <c r="V421" s="2798">
        <v>1</v>
      </c>
      <c r="W421" s="2798">
        <v>1123</v>
      </c>
      <c r="X421" s="2798">
        <v>1</v>
      </c>
      <c r="Y421" s="2795" t="s">
        <v>213</v>
      </c>
    </row>
    <row r="422" spans="2:25">
      <c r="B422" s="2793" t="s">
        <v>1535</v>
      </c>
      <c r="C422" s="2793" t="s">
        <v>1536</v>
      </c>
      <c r="D422" s="2793">
        <v>-1</v>
      </c>
      <c r="E422" s="2793" t="s">
        <v>331</v>
      </c>
      <c r="F422" s="2793"/>
      <c r="G422" s="2793" t="s">
        <v>991</v>
      </c>
      <c r="H422" s="2793"/>
      <c r="I422" s="2793" t="s">
        <v>1535</v>
      </c>
      <c r="J422" s="2793" t="s">
        <v>84</v>
      </c>
      <c r="M422" s="2795" t="s">
        <v>1645</v>
      </c>
      <c r="N422" s="2795" t="s">
        <v>331</v>
      </c>
      <c r="O422" s="2795" t="s">
        <v>1644</v>
      </c>
      <c r="S422" s="2798" t="s">
        <v>412</v>
      </c>
      <c r="T422" s="2798" t="s">
        <v>413</v>
      </c>
      <c r="U422" s="2798" t="s">
        <v>47</v>
      </c>
      <c r="V422" s="2798">
        <v>1</v>
      </c>
      <c r="W422" s="2798">
        <v>1122</v>
      </c>
      <c r="X422" s="2798">
        <v>2</v>
      </c>
      <c r="Y422" s="2795" t="s">
        <v>213</v>
      </c>
    </row>
    <row r="423" spans="2:25">
      <c r="B423" s="2793" t="s">
        <v>1540</v>
      </c>
      <c r="C423" s="2793" t="s">
        <v>1541</v>
      </c>
      <c r="D423" s="2793">
        <v>-1</v>
      </c>
      <c r="E423" s="2793" t="s">
        <v>331</v>
      </c>
      <c r="F423" s="2793"/>
      <c r="G423" s="2793" t="s">
        <v>997</v>
      </c>
      <c r="H423" s="2793"/>
      <c r="I423" s="2793" t="s">
        <v>1540</v>
      </c>
      <c r="J423" s="2793" t="s">
        <v>84</v>
      </c>
      <c r="M423" s="2795" t="s">
        <v>2098</v>
      </c>
      <c r="N423" s="2795" t="s">
        <v>119</v>
      </c>
      <c r="O423" s="2795" t="s">
        <v>2099</v>
      </c>
      <c r="S423" s="2798" t="s">
        <v>487</v>
      </c>
      <c r="T423" s="2798" t="s">
        <v>488</v>
      </c>
      <c r="U423" s="2798" t="s">
        <v>1371</v>
      </c>
      <c r="V423" s="2798">
        <v>1</v>
      </c>
      <c r="W423" s="2798">
        <v>1125</v>
      </c>
      <c r="X423" s="2798">
        <v>2</v>
      </c>
      <c r="Y423" s="2795" t="s">
        <v>213</v>
      </c>
    </row>
    <row r="424" spans="2:25">
      <c r="B424" s="2793" t="s">
        <v>1546</v>
      </c>
      <c r="C424" s="2793" t="s">
        <v>1547</v>
      </c>
      <c r="D424" s="2793">
        <v>-1</v>
      </c>
      <c r="E424" s="2793" t="s">
        <v>1238</v>
      </c>
      <c r="F424" s="2793"/>
      <c r="G424" s="2793" t="s">
        <v>1004</v>
      </c>
      <c r="H424" s="2793"/>
      <c r="I424" s="2793" t="s">
        <v>1546</v>
      </c>
      <c r="J424" s="2793" t="s">
        <v>84</v>
      </c>
      <c r="M424" s="2795" t="s">
        <v>1655</v>
      </c>
      <c r="N424" s="2795" t="s">
        <v>331</v>
      </c>
      <c r="O424" s="2795" t="s">
        <v>1654</v>
      </c>
      <c r="S424" s="2798" t="s">
        <v>658</v>
      </c>
      <c r="T424" s="2798" t="s">
        <v>659</v>
      </c>
      <c r="U424" s="2798" t="s">
        <v>47</v>
      </c>
      <c r="V424" s="2798">
        <v>1</v>
      </c>
      <c r="W424" s="2798">
        <v>1221</v>
      </c>
      <c r="X424" s="2798">
        <v>2</v>
      </c>
      <c r="Y424" s="2795" t="s">
        <v>213</v>
      </c>
    </row>
    <row r="425" spans="2:25">
      <c r="B425" s="2793" t="s">
        <v>1551</v>
      </c>
      <c r="C425" s="2793" t="s">
        <v>1552</v>
      </c>
      <c r="D425" s="2793">
        <v>-1</v>
      </c>
      <c r="E425" s="2793" t="s">
        <v>331</v>
      </c>
      <c r="F425" s="2793"/>
      <c r="G425" s="2793" t="s">
        <v>932</v>
      </c>
      <c r="H425" s="2793"/>
      <c r="I425" s="2793" t="s">
        <v>1551</v>
      </c>
      <c r="J425" s="2793" t="s">
        <v>84</v>
      </c>
      <c r="M425" s="2795" t="s">
        <v>1660</v>
      </c>
      <c r="N425" s="2795" t="s">
        <v>331</v>
      </c>
      <c r="O425" s="2795" t="s">
        <v>1659</v>
      </c>
      <c r="S425" s="2798" t="s">
        <v>743</v>
      </c>
      <c r="T425" s="2798" t="s">
        <v>744</v>
      </c>
      <c r="U425" s="2798" t="s">
        <v>47</v>
      </c>
      <c r="V425" s="2798">
        <v>1</v>
      </c>
      <c r="W425" s="2798">
        <v>1315</v>
      </c>
      <c r="X425" s="2798">
        <v>1</v>
      </c>
      <c r="Y425" s="2795" t="s">
        <v>213</v>
      </c>
    </row>
    <row r="426" spans="2:25">
      <c r="B426" s="2793" t="s">
        <v>1556</v>
      </c>
      <c r="C426" s="2793" t="s">
        <v>1557</v>
      </c>
      <c r="D426" s="2793"/>
      <c r="E426" s="2793" t="s">
        <v>1048</v>
      </c>
      <c r="F426" s="2793"/>
      <c r="G426" s="2793" t="s">
        <v>1013</v>
      </c>
      <c r="H426" s="2793"/>
      <c r="I426" s="2793" t="s">
        <v>1556</v>
      </c>
      <c r="J426" s="2793"/>
      <c r="M426" s="2795" t="s">
        <v>1665</v>
      </c>
      <c r="N426" s="2795" t="s">
        <v>331</v>
      </c>
      <c r="O426" s="2795" t="s">
        <v>1664</v>
      </c>
      <c r="S426" s="2798" t="s">
        <v>726</v>
      </c>
      <c r="T426" s="2798" t="s">
        <v>221</v>
      </c>
      <c r="U426" s="2798" t="s">
        <v>47</v>
      </c>
      <c r="V426" s="2798">
        <v>1</v>
      </c>
      <c r="W426" s="2798">
        <v>1315</v>
      </c>
      <c r="X426" s="2798">
        <v>2</v>
      </c>
      <c r="Y426" s="2795" t="s">
        <v>213</v>
      </c>
    </row>
    <row r="427" spans="2:25">
      <c r="B427" s="2793" t="s">
        <v>1561</v>
      </c>
      <c r="C427" s="2793" t="s">
        <v>1562</v>
      </c>
      <c r="D427" s="2793"/>
      <c r="E427" s="2793" t="s">
        <v>1048</v>
      </c>
      <c r="F427" s="2793"/>
      <c r="G427" s="2793" t="s">
        <v>1172</v>
      </c>
      <c r="H427" s="2793"/>
      <c r="I427" s="2793" t="s">
        <v>1561</v>
      </c>
      <c r="J427" s="2793"/>
      <c r="M427" s="2795" t="s">
        <v>1680</v>
      </c>
      <c r="N427" s="2795"/>
      <c r="O427" s="2795" t="s">
        <v>1679</v>
      </c>
      <c r="S427" s="2802" t="s">
        <v>733</v>
      </c>
      <c r="T427" s="2802" t="s">
        <v>734</v>
      </c>
      <c r="U427" s="2802" t="s">
        <v>47</v>
      </c>
      <c r="V427" s="2802">
        <v>1</v>
      </c>
      <c r="W427" s="2802">
        <v>1315</v>
      </c>
      <c r="X427" s="2802">
        <v>2</v>
      </c>
      <c r="Y427" s="2795" t="s">
        <v>213</v>
      </c>
    </row>
    <row r="428" spans="2:25">
      <c r="B428" s="2793" t="s">
        <v>1566</v>
      </c>
      <c r="C428" s="2793" t="s">
        <v>1567</v>
      </c>
      <c r="D428" s="2793">
        <v>-1</v>
      </c>
      <c r="E428" s="2793" t="s">
        <v>331</v>
      </c>
      <c r="F428" s="2793"/>
      <c r="G428" s="2793" t="s">
        <v>1032</v>
      </c>
      <c r="H428" s="2793"/>
      <c r="I428" s="2793" t="s">
        <v>1566</v>
      </c>
      <c r="J428" s="2793" t="s">
        <v>84</v>
      </c>
      <c r="M428" s="2795" t="s">
        <v>1685</v>
      </c>
      <c r="N428" s="2795"/>
      <c r="O428" s="2795" t="s">
        <v>1684</v>
      </c>
      <c r="S428" s="2802" t="s">
        <v>738</v>
      </c>
      <c r="T428" s="2802" t="s">
        <v>739</v>
      </c>
      <c r="U428" s="2802" t="s">
        <v>47</v>
      </c>
      <c r="V428" s="2802">
        <v>1</v>
      </c>
      <c r="W428" s="2802">
        <v>1315</v>
      </c>
      <c r="X428" s="2802">
        <v>2</v>
      </c>
      <c r="Y428" s="2795" t="s">
        <v>213</v>
      </c>
    </row>
    <row r="429" spans="2:25">
      <c r="B429" s="2793" t="s">
        <v>1571</v>
      </c>
      <c r="C429" s="2793" t="s">
        <v>1572</v>
      </c>
      <c r="D429" s="2793"/>
      <c r="E429" s="2793" t="s">
        <v>1048</v>
      </c>
      <c r="F429" s="2793"/>
      <c r="G429" s="2793" t="s">
        <v>1036</v>
      </c>
      <c r="H429" s="2793"/>
      <c r="I429" s="2793" t="s">
        <v>1571</v>
      </c>
      <c r="J429" s="2793"/>
      <c r="M429" s="2795" t="s">
        <v>1690</v>
      </c>
      <c r="N429" s="2795"/>
      <c r="O429" s="2795" t="s">
        <v>1689</v>
      </c>
      <c r="S429" s="2802" t="s">
        <v>836</v>
      </c>
      <c r="T429" s="2802" t="s">
        <v>837</v>
      </c>
      <c r="U429" s="2802" t="s">
        <v>3376</v>
      </c>
      <c r="V429" s="2802">
        <v>1</v>
      </c>
      <c r="W429" s="2802">
        <v>1503</v>
      </c>
      <c r="X429" s="2802">
        <v>2</v>
      </c>
      <c r="Y429" s="2795" t="s">
        <v>213</v>
      </c>
    </row>
    <row r="430" spans="2:25">
      <c r="B430" s="2793" t="s">
        <v>1576</v>
      </c>
      <c r="C430" s="2793" t="s">
        <v>1577</v>
      </c>
      <c r="D430" s="2793">
        <v>-1</v>
      </c>
      <c r="E430" s="2793" t="s">
        <v>331</v>
      </c>
      <c r="F430" s="2793"/>
      <c r="G430" s="2793" t="s">
        <v>1182</v>
      </c>
      <c r="H430" s="2793"/>
      <c r="I430" s="2793" t="s">
        <v>1576</v>
      </c>
      <c r="J430" s="2793" t="s">
        <v>84</v>
      </c>
      <c r="M430" s="2795" t="s">
        <v>1695</v>
      </c>
      <c r="N430" s="2795" t="s">
        <v>708</v>
      </c>
      <c r="O430" s="2795" t="s">
        <v>1694</v>
      </c>
      <c r="S430" s="2802" t="s">
        <v>2203</v>
      </c>
      <c r="T430" s="2802" t="s">
        <v>2204</v>
      </c>
      <c r="U430" s="2802" t="s">
        <v>47</v>
      </c>
      <c r="V430" s="2802">
        <v>1</v>
      </c>
      <c r="W430" s="2802">
        <v>1531</v>
      </c>
      <c r="X430" s="2802">
        <v>2</v>
      </c>
      <c r="Y430" s="2795" t="s">
        <v>213</v>
      </c>
    </row>
    <row r="431" spans="2:25">
      <c r="B431" s="2793" t="s">
        <v>1581</v>
      </c>
      <c r="C431" s="2793" t="s">
        <v>1582</v>
      </c>
      <c r="D431" s="2793">
        <v>-1</v>
      </c>
      <c r="E431" s="2793" t="s">
        <v>331</v>
      </c>
      <c r="F431" s="2793"/>
      <c r="G431" s="2793" t="s">
        <v>1055</v>
      </c>
      <c r="H431" s="2793"/>
      <c r="I431" s="2793" t="s">
        <v>1581</v>
      </c>
      <c r="J431" s="2793" t="s">
        <v>84</v>
      </c>
      <c r="M431" s="2795" t="s">
        <v>1700</v>
      </c>
      <c r="N431" s="2795"/>
      <c r="O431" s="2795" t="s">
        <v>1699</v>
      </c>
      <c r="S431" s="2802" t="s">
        <v>965</v>
      </c>
      <c r="T431" s="2802" t="s">
        <v>966</v>
      </c>
      <c r="U431" s="2802" t="s">
        <v>47</v>
      </c>
      <c r="V431" s="2802">
        <v>1</v>
      </c>
      <c r="W431" s="2802">
        <v>1531</v>
      </c>
      <c r="X431" s="2802">
        <v>2</v>
      </c>
      <c r="Y431" s="2795" t="s">
        <v>213</v>
      </c>
    </row>
    <row r="432" spans="2:25">
      <c r="B432" s="2793" t="s">
        <v>1586</v>
      </c>
      <c r="C432" s="2793" t="s">
        <v>1587</v>
      </c>
      <c r="D432" s="2793">
        <v>-1</v>
      </c>
      <c r="E432" s="2793" t="s">
        <v>331</v>
      </c>
      <c r="F432" s="2793"/>
      <c r="G432" s="2793" t="s">
        <v>1049</v>
      </c>
      <c r="H432" s="2793"/>
      <c r="I432" s="2793" t="s">
        <v>1586</v>
      </c>
      <c r="J432" s="2793" t="s">
        <v>84</v>
      </c>
      <c r="M432" s="2795" t="s">
        <v>1724</v>
      </c>
      <c r="N432" s="2795"/>
      <c r="O432" s="2795" t="s">
        <v>1723</v>
      </c>
      <c r="S432" s="2802" t="s">
        <v>1011</v>
      </c>
      <c r="T432" s="2802" t="s">
        <v>303</v>
      </c>
      <c r="U432" s="2802" t="s">
        <v>47</v>
      </c>
      <c r="V432" s="2802">
        <v>1</v>
      </c>
      <c r="W432" s="2802">
        <v>1515</v>
      </c>
      <c r="X432" s="2802">
        <v>1</v>
      </c>
      <c r="Y432" s="2795" t="s">
        <v>213</v>
      </c>
    </row>
    <row r="433" spans="2:25">
      <c r="B433" s="2793" t="s">
        <v>1591</v>
      </c>
      <c r="C433" s="2793" t="s">
        <v>1592</v>
      </c>
      <c r="D433" s="2793">
        <v>-1</v>
      </c>
      <c r="E433" s="2793" t="s">
        <v>331</v>
      </c>
      <c r="F433" s="2793"/>
      <c r="G433" s="2793" t="s">
        <v>932</v>
      </c>
      <c r="H433" s="2793"/>
      <c r="I433" s="2793" t="s">
        <v>1591</v>
      </c>
      <c r="J433" s="2793" t="s">
        <v>84</v>
      </c>
      <c r="M433" s="2795" t="s">
        <v>1729</v>
      </c>
      <c r="N433" s="2795"/>
      <c r="O433" s="2795" t="s">
        <v>1728</v>
      </c>
      <c r="S433" s="2795" t="s">
        <v>1015</v>
      </c>
      <c r="T433" s="2795" t="s">
        <v>1016</v>
      </c>
      <c r="U433" s="2795" t="s">
        <v>47</v>
      </c>
      <c r="V433" s="2795">
        <v>1</v>
      </c>
      <c r="W433" s="2795">
        <v>1515</v>
      </c>
      <c r="X433" s="2795">
        <v>2</v>
      </c>
      <c r="Y433" s="2795" t="s">
        <v>213</v>
      </c>
    </row>
    <row r="434" spans="2:25">
      <c r="B434" s="2793" t="s">
        <v>1596</v>
      </c>
      <c r="C434" s="2793" t="s">
        <v>1597</v>
      </c>
      <c r="D434" s="2793"/>
      <c r="E434" s="2793" t="s">
        <v>1048</v>
      </c>
      <c r="F434" s="2793"/>
      <c r="G434" s="2793" t="s">
        <v>1066</v>
      </c>
      <c r="H434" s="2793"/>
      <c r="I434" s="2793" t="s">
        <v>1596</v>
      </c>
      <c r="J434" s="2793"/>
      <c r="M434" s="2795" t="s">
        <v>1734</v>
      </c>
      <c r="N434" s="2795" t="s">
        <v>331</v>
      </c>
      <c r="O434" s="2795" t="s">
        <v>1733</v>
      </c>
      <c r="S434" s="2795" t="s">
        <v>1020</v>
      </c>
      <c r="T434" s="2795" t="s">
        <v>1021</v>
      </c>
      <c r="U434" s="2795" t="s">
        <v>47</v>
      </c>
      <c r="V434" s="2795">
        <v>1</v>
      </c>
      <c r="W434" s="2795">
        <v>1515</v>
      </c>
      <c r="X434" s="2795">
        <v>2</v>
      </c>
      <c r="Y434" s="2795" t="s">
        <v>213</v>
      </c>
    </row>
    <row r="435" spans="2:25">
      <c r="B435" s="2793" t="s">
        <v>1600</v>
      </c>
      <c r="C435" s="2793" t="s">
        <v>1601</v>
      </c>
      <c r="D435" s="2793">
        <v>-1</v>
      </c>
      <c r="E435" s="2793" t="s">
        <v>331</v>
      </c>
      <c r="F435" s="2793"/>
      <c r="G435" s="2793" t="s">
        <v>1071</v>
      </c>
      <c r="H435" s="2793"/>
      <c r="I435" s="2793" t="s">
        <v>1600</v>
      </c>
      <c r="J435" s="2793" t="s">
        <v>84</v>
      </c>
      <c r="M435" s="2795" t="s">
        <v>1739</v>
      </c>
      <c r="N435" s="2795"/>
      <c r="O435" s="2795" t="s">
        <v>1738</v>
      </c>
      <c r="S435" s="2795" t="s">
        <v>1025</v>
      </c>
      <c r="T435" s="2795" t="s">
        <v>1026</v>
      </c>
      <c r="U435" s="2795" t="s">
        <v>47</v>
      </c>
      <c r="V435" s="2795">
        <v>1</v>
      </c>
      <c r="W435" s="2795">
        <v>1515</v>
      </c>
      <c r="X435" s="2795">
        <v>2</v>
      </c>
      <c r="Y435" s="2795" t="s">
        <v>213</v>
      </c>
    </row>
    <row r="436" spans="2:25">
      <c r="B436" s="2793" t="s">
        <v>1605</v>
      </c>
      <c r="C436" s="2793" t="s">
        <v>1606</v>
      </c>
      <c r="D436" s="2793">
        <v>-1</v>
      </c>
      <c r="E436" s="2793" t="s">
        <v>331</v>
      </c>
      <c r="F436" s="2793"/>
      <c r="G436" s="2793" t="s">
        <v>1076</v>
      </c>
      <c r="H436" s="2793"/>
      <c r="I436" s="2793" t="s">
        <v>1605</v>
      </c>
      <c r="J436" s="2793" t="s">
        <v>84</v>
      </c>
      <c r="M436" s="2795" t="s">
        <v>1749</v>
      </c>
      <c r="N436" s="2795"/>
      <c r="O436" s="2795" t="s">
        <v>1748</v>
      </c>
      <c r="S436" s="2795" t="s">
        <v>1030</v>
      </c>
      <c r="T436" s="2795" t="s">
        <v>1727</v>
      </c>
      <c r="U436" s="2795" t="s">
        <v>47</v>
      </c>
      <c r="V436" s="2795">
        <v>1</v>
      </c>
      <c r="W436" s="2795">
        <v>1515</v>
      </c>
      <c r="X436" s="2795">
        <v>2</v>
      </c>
      <c r="Y436" s="2795" t="s">
        <v>213</v>
      </c>
    </row>
    <row r="437" spans="2:25">
      <c r="B437" s="2793" t="s">
        <v>1609</v>
      </c>
      <c r="C437" s="2793" t="s">
        <v>1610</v>
      </c>
      <c r="D437" s="2793">
        <v>-1</v>
      </c>
      <c r="E437" s="2793" t="s">
        <v>331</v>
      </c>
      <c r="F437" s="2793"/>
      <c r="G437" s="2793" t="s">
        <v>1081</v>
      </c>
      <c r="H437" s="2793"/>
      <c r="I437" s="2793" t="s">
        <v>1609</v>
      </c>
      <c r="J437" s="2793" t="s">
        <v>84</v>
      </c>
      <c r="M437" s="2795" t="s">
        <v>1754</v>
      </c>
      <c r="N437" s="2795"/>
      <c r="O437" s="2795" t="s">
        <v>1753</v>
      </c>
      <c r="S437" s="2795" t="s">
        <v>1034</v>
      </c>
      <c r="T437" s="2795" t="s">
        <v>1732</v>
      </c>
      <c r="U437" s="2795" t="s">
        <v>47</v>
      </c>
      <c r="V437" s="2795">
        <v>1</v>
      </c>
      <c r="W437" s="2795">
        <v>1515</v>
      </c>
      <c r="X437" s="2795">
        <v>2</v>
      </c>
      <c r="Y437" s="2795" t="s">
        <v>213</v>
      </c>
    </row>
    <row r="438" spans="2:25">
      <c r="B438" s="2793" t="s">
        <v>1614</v>
      </c>
      <c r="C438" s="2793" t="s">
        <v>1615</v>
      </c>
      <c r="D438" s="2793">
        <v>-1</v>
      </c>
      <c r="E438" s="2793" t="s">
        <v>331</v>
      </c>
      <c r="F438" s="2793"/>
      <c r="G438" s="2793" t="s">
        <v>932</v>
      </c>
      <c r="H438" s="2793"/>
      <c r="I438" s="2793" t="s">
        <v>1614</v>
      </c>
      <c r="J438" s="2793" t="s">
        <v>84</v>
      </c>
      <c r="M438" s="2795" t="s">
        <v>1759</v>
      </c>
      <c r="N438" s="2795"/>
      <c r="O438" s="2795" t="s">
        <v>1758</v>
      </c>
      <c r="S438" s="2795" t="s">
        <v>1039</v>
      </c>
      <c r="T438" s="2795" t="s">
        <v>1040</v>
      </c>
      <c r="U438" s="2795" t="s">
        <v>47</v>
      </c>
      <c r="V438" s="2795">
        <v>1</v>
      </c>
      <c r="W438" s="2795">
        <v>1515</v>
      </c>
      <c r="X438" s="2795">
        <v>2</v>
      </c>
      <c r="Y438" s="2795" t="s">
        <v>213</v>
      </c>
    </row>
    <row r="439" spans="2:25">
      <c r="B439" s="2793" t="s">
        <v>1618</v>
      </c>
      <c r="C439" s="2793" t="s">
        <v>1619</v>
      </c>
      <c r="D439" s="2793"/>
      <c r="E439" s="2793" t="s">
        <v>1048</v>
      </c>
      <c r="F439" s="2793"/>
      <c r="G439" s="2793" t="s">
        <v>1188</v>
      </c>
      <c r="H439" s="2793"/>
      <c r="I439" s="2793" t="s">
        <v>1618</v>
      </c>
      <c r="J439" s="2793"/>
      <c r="M439" s="2795" t="s">
        <v>1764</v>
      </c>
      <c r="N439" s="2795"/>
      <c r="O439" s="2795" t="s">
        <v>1763</v>
      </c>
      <c r="S439" s="2795" t="s">
        <v>1045</v>
      </c>
      <c r="T439" s="2795" t="s">
        <v>1046</v>
      </c>
      <c r="U439" s="2795" t="s">
        <v>47</v>
      </c>
      <c r="V439" s="2795">
        <v>1</v>
      </c>
      <c r="W439" s="2795">
        <v>1515</v>
      </c>
      <c r="X439" s="2795">
        <v>2</v>
      </c>
      <c r="Y439" s="2795" t="s">
        <v>213</v>
      </c>
    </row>
    <row r="440" spans="2:25">
      <c r="B440" s="2793" t="s">
        <v>1623</v>
      </c>
      <c r="C440" s="2793" t="s">
        <v>1624</v>
      </c>
      <c r="D440" s="2793">
        <v>-1</v>
      </c>
      <c r="E440" s="2793" t="s">
        <v>331</v>
      </c>
      <c r="F440" s="2793"/>
      <c r="G440" s="2793" t="s">
        <v>1095</v>
      </c>
      <c r="H440" s="2793"/>
      <c r="I440" s="2793" t="s">
        <v>1623</v>
      </c>
      <c r="J440" s="2793" t="s">
        <v>84</v>
      </c>
      <c r="M440" s="2795" t="s">
        <v>1772</v>
      </c>
      <c r="N440" s="2795"/>
      <c r="O440" s="2795" t="s">
        <v>1771</v>
      </c>
      <c r="S440" s="2795" t="s">
        <v>988</v>
      </c>
      <c r="T440" s="2795" t="s">
        <v>989</v>
      </c>
      <c r="U440" s="2795" t="s">
        <v>3376</v>
      </c>
      <c r="V440" s="2795">
        <v>1</v>
      </c>
      <c r="W440" s="2795">
        <v>1511</v>
      </c>
      <c r="X440" s="2795">
        <v>2</v>
      </c>
      <c r="Y440" s="2795" t="s">
        <v>213</v>
      </c>
    </row>
    <row r="441" spans="2:25">
      <c r="B441" s="2793" t="s">
        <v>1629</v>
      </c>
      <c r="C441" s="2793" t="s">
        <v>1630</v>
      </c>
      <c r="D441" s="2793">
        <v>-1</v>
      </c>
      <c r="E441" s="2793" t="s">
        <v>331</v>
      </c>
      <c r="F441" s="2793"/>
      <c r="G441" s="2793" t="s">
        <v>1102</v>
      </c>
      <c r="H441" s="2793"/>
      <c r="I441" s="2793" t="s">
        <v>1629</v>
      </c>
      <c r="J441" s="2793" t="s">
        <v>84</v>
      </c>
      <c r="M441" s="2795" t="s">
        <v>1778</v>
      </c>
      <c r="N441" s="2795"/>
      <c r="O441" s="2795" t="s">
        <v>1777</v>
      </c>
      <c r="S441" s="2795" t="s">
        <v>1068</v>
      </c>
      <c r="T441" s="2795" t="s">
        <v>1069</v>
      </c>
      <c r="U441" s="2795" t="s">
        <v>47</v>
      </c>
      <c r="V441" s="2795">
        <v>1</v>
      </c>
      <c r="W441" s="2795">
        <v>1521</v>
      </c>
      <c r="X441" s="2795">
        <v>2</v>
      </c>
      <c r="Y441" s="2795" t="s">
        <v>213</v>
      </c>
    </row>
    <row r="442" spans="2:25">
      <c r="B442" s="2793" t="s">
        <v>1634</v>
      </c>
      <c r="C442" s="2793" t="s">
        <v>1635</v>
      </c>
      <c r="D442" s="2793">
        <v>-1</v>
      </c>
      <c r="E442" s="2793" t="s">
        <v>331</v>
      </c>
      <c r="F442" s="2793"/>
      <c r="G442" s="2793" t="s">
        <v>1109</v>
      </c>
      <c r="H442" s="2793"/>
      <c r="I442" s="2793" t="s">
        <v>1634</v>
      </c>
      <c r="J442" s="2793" t="s">
        <v>84</v>
      </c>
      <c r="M442" s="2795" t="s">
        <v>1783</v>
      </c>
      <c r="N442" s="2795"/>
      <c r="O442" s="2795" t="s">
        <v>1782</v>
      </c>
      <c r="S442" s="2795" t="s">
        <v>1073</v>
      </c>
      <c r="T442" s="2795" t="s">
        <v>1074</v>
      </c>
      <c r="U442" s="2795" t="s">
        <v>47</v>
      </c>
      <c r="V442" s="2795">
        <v>1</v>
      </c>
      <c r="W442" s="2795">
        <v>1521</v>
      </c>
      <c r="X442" s="2795">
        <v>2</v>
      </c>
      <c r="Y442" s="2795" t="s">
        <v>213</v>
      </c>
    </row>
    <row r="443" spans="2:25">
      <c r="B443" s="2793" t="s">
        <v>1639</v>
      </c>
      <c r="C443" s="2793" t="s">
        <v>1640</v>
      </c>
      <c r="D443" s="2793">
        <v>-1</v>
      </c>
      <c r="E443" s="2793" t="s">
        <v>331</v>
      </c>
      <c r="F443" s="2793"/>
      <c r="G443" s="2793" t="s">
        <v>1114</v>
      </c>
      <c r="H443" s="2793"/>
      <c r="I443" s="2793" t="s">
        <v>1639</v>
      </c>
      <c r="J443" s="2793" t="s">
        <v>84</v>
      </c>
      <c r="M443" s="2795" t="s">
        <v>1788</v>
      </c>
      <c r="N443" s="2795" t="s">
        <v>331</v>
      </c>
      <c r="O443" s="2795" t="s">
        <v>1787</v>
      </c>
      <c r="S443" s="2795" t="s">
        <v>1078</v>
      </c>
      <c r="T443" s="2795" t="s">
        <v>1079</v>
      </c>
      <c r="U443" s="2795" t="s">
        <v>47</v>
      </c>
      <c r="V443" s="2795">
        <v>1</v>
      </c>
      <c r="W443" s="2795">
        <v>1521</v>
      </c>
      <c r="X443" s="2795">
        <v>2</v>
      </c>
      <c r="Y443" s="2795" t="s">
        <v>213</v>
      </c>
    </row>
    <row r="444" spans="2:25">
      <c r="B444" s="2793" t="s">
        <v>1644</v>
      </c>
      <c r="C444" s="2793" t="s">
        <v>1645</v>
      </c>
      <c r="D444" s="2793">
        <v>-1</v>
      </c>
      <c r="E444" s="2793" t="s">
        <v>331</v>
      </c>
      <c r="F444" s="2793"/>
      <c r="G444" s="2793" t="s">
        <v>932</v>
      </c>
      <c r="H444" s="2793"/>
      <c r="I444" s="2793" t="s">
        <v>1644</v>
      </c>
      <c r="J444" s="2793" t="s">
        <v>84</v>
      </c>
      <c r="M444" s="2795" t="s">
        <v>1793</v>
      </c>
      <c r="N444" s="2795"/>
      <c r="O444" s="2795" t="s">
        <v>1792</v>
      </c>
      <c r="S444" s="2795" t="s">
        <v>1084</v>
      </c>
      <c r="T444" s="2795" t="s">
        <v>1085</v>
      </c>
      <c r="U444" s="2795" t="s">
        <v>47</v>
      </c>
      <c r="V444" s="2795">
        <v>1</v>
      </c>
      <c r="W444" s="2795">
        <v>1521</v>
      </c>
      <c r="X444" s="2795">
        <v>1</v>
      </c>
      <c r="Y444" s="2795" t="s">
        <v>213</v>
      </c>
    </row>
    <row r="445" spans="2:25">
      <c r="B445" s="2793" t="s">
        <v>2099</v>
      </c>
      <c r="C445" s="2793" t="s">
        <v>2098</v>
      </c>
      <c r="D445" s="2793">
        <v>-1</v>
      </c>
      <c r="E445" s="2793" t="s">
        <v>119</v>
      </c>
      <c r="F445" s="2793"/>
      <c r="G445" s="2793" t="s">
        <v>2416</v>
      </c>
      <c r="H445" s="2793" t="s">
        <v>2416</v>
      </c>
      <c r="I445" s="2793" t="s">
        <v>2099</v>
      </c>
      <c r="J445" s="2793" t="s">
        <v>84</v>
      </c>
      <c r="M445" s="2795" t="s">
        <v>2151</v>
      </c>
      <c r="N445" s="2795" t="s">
        <v>119</v>
      </c>
      <c r="O445" s="2795" t="s">
        <v>2152</v>
      </c>
      <c r="S445" s="2795" t="s">
        <v>1092</v>
      </c>
      <c r="T445" s="2795" t="s">
        <v>1093</v>
      </c>
      <c r="U445" s="2795" t="s">
        <v>47</v>
      </c>
      <c r="V445" s="2795">
        <v>1</v>
      </c>
      <c r="W445" s="2795">
        <v>1521</v>
      </c>
      <c r="X445" s="2795">
        <v>2</v>
      </c>
      <c r="Y445" s="2795" t="s">
        <v>213</v>
      </c>
    </row>
    <row r="446" spans="2:25">
      <c r="B446" s="2793" t="s">
        <v>1649</v>
      </c>
      <c r="C446" s="2793" t="s">
        <v>1650</v>
      </c>
      <c r="D446" s="2793"/>
      <c r="E446" s="2793" t="s">
        <v>1048</v>
      </c>
      <c r="F446" s="2793"/>
      <c r="G446" s="2793" t="s">
        <v>1124</v>
      </c>
      <c r="H446" s="2793"/>
      <c r="I446" s="2793" t="s">
        <v>1649</v>
      </c>
      <c r="J446" s="2793"/>
      <c r="M446" s="2795" t="s">
        <v>1803</v>
      </c>
      <c r="N446" s="2795"/>
      <c r="O446" s="2795" t="s">
        <v>1802</v>
      </c>
      <c r="S446" s="2795" t="s">
        <v>1141</v>
      </c>
      <c r="T446" s="2795" t="s">
        <v>1142</v>
      </c>
      <c r="U446" s="2795" t="s">
        <v>47</v>
      </c>
      <c r="V446" s="2795">
        <v>1</v>
      </c>
      <c r="W446" s="2795">
        <v>1601</v>
      </c>
      <c r="X446" s="2795">
        <v>2</v>
      </c>
      <c r="Y446" s="2795" t="s">
        <v>213</v>
      </c>
    </row>
    <row r="447" spans="2:25">
      <c r="B447" s="2793" t="s">
        <v>1654</v>
      </c>
      <c r="C447" s="2793" t="s">
        <v>1655</v>
      </c>
      <c r="D447" s="2793">
        <v>-1</v>
      </c>
      <c r="E447" s="2793" t="s">
        <v>331</v>
      </c>
      <c r="F447" s="2793"/>
      <c r="G447" s="2793" t="s">
        <v>1129</v>
      </c>
      <c r="H447" s="2793"/>
      <c r="I447" s="2793" t="s">
        <v>1654</v>
      </c>
      <c r="J447" s="2793" t="s">
        <v>84</v>
      </c>
      <c r="M447" s="2795" t="s">
        <v>1808</v>
      </c>
      <c r="N447" s="2795"/>
      <c r="O447" s="2795" t="s">
        <v>1807</v>
      </c>
      <c r="S447" s="2803" t="s">
        <v>1146</v>
      </c>
      <c r="T447" s="2804" t="s">
        <v>1147</v>
      </c>
      <c r="U447" s="2795" t="s">
        <v>47</v>
      </c>
      <c r="V447" s="2795">
        <v>1</v>
      </c>
      <c r="W447" s="2795">
        <v>1601</v>
      </c>
      <c r="X447" s="2795">
        <v>2</v>
      </c>
      <c r="Y447" s="2795" t="s">
        <v>213</v>
      </c>
    </row>
    <row r="448" spans="2:25">
      <c r="B448" s="2793" t="s">
        <v>1659</v>
      </c>
      <c r="C448" s="2793" t="s">
        <v>1660</v>
      </c>
      <c r="D448" s="2793">
        <v>-1</v>
      </c>
      <c r="E448" s="2793" t="s">
        <v>331</v>
      </c>
      <c r="F448" s="2793"/>
      <c r="G448" s="2793" t="s">
        <v>1355</v>
      </c>
      <c r="H448" s="2793"/>
      <c r="I448" s="2793" t="s">
        <v>1659</v>
      </c>
      <c r="J448" s="2793" t="s">
        <v>84</v>
      </c>
      <c r="M448" s="2795" t="s">
        <v>1813</v>
      </c>
      <c r="N448" s="2795"/>
      <c r="O448" s="2795" t="s">
        <v>1812</v>
      </c>
      <c r="S448" s="2803" t="s">
        <v>1151</v>
      </c>
      <c r="T448" s="2804" t="s">
        <v>491</v>
      </c>
      <c r="U448" s="2795" t="s">
        <v>47</v>
      </c>
      <c r="V448" s="2795">
        <v>1</v>
      </c>
      <c r="W448" s="2795">
        <v>1601</v>
      </c>
      <c r="X448" s="2795">
        <v>2</v>
      </c>
      <c r="Y448" s="2795" t="s">
        <v>213</v>
      </c>
    </row>
    <row r="449" spans="2:25">
      <c r="B449" s="2793" t="s">
        <v>1664</v>
      </c>
      <c r="C449" s="2793" t="s">
        <v>1665</v>
      </c>
      <c r="D449" s="2793">
        <v>-1</v>
      </c>
      <c r="E449" s="2793" t="s">
        <v>331</v>
      </c>
      <c r="F449" s="2793"/>
      <c r="G449" s="2793" t="s">
        <v>1203</v>
      </c>
      <c r="H449" s="2793"/>
      <c r="I449" s="2793" t="s">
        <v>1664</v>
      </c>
      <c r="J449" s="2793" t="s">
        <v>84</v>
      </c>
      <c r="M449" s="2795"/>
      <c r="N449" s="2795"/>
      <c r="O449" s="2795"/>
      <c r="S449" s="2795" t="s">
        <v>1153</v>
      </c>
      <c r="T449" s="2795" t="s">
        <v>1154</v>
      </c>
      <c r="U449" s="2795" t="s">
        <v>47</v>
      </c>
      <c r="V449" s="2795">
        <v>1</v>
      </c>
      <c r="W449" s="2795">
        <v>1601</v>
      </c>
      <c r="X449" s="2795">
        <v>1</v>
      </c>
      <c r="Y449" s="2795" t="s">
        <v>213</v>
      </c>
    </row>
    <row r="450" spans="2:25">
      <c r="B450" s="2793" t="s">
        <v>1668</v>
      </c>
      <c r="C450" s="2793" t="s">
        <v>1669</v>
      </c>
      <c r="D450" s="2793"/>
      <c r="E450" s="2793" t="s">
        <v>1048</v>
      </c>
      <c r="F450" s="2793"/>
      <c r="G450" s="2793" t="s">
        <v>1208</v>
      </c>
      <c r="H450" s="2793"/>
      <c r="I450" s="2793" t="s">
        <v>1668</v>
      </c>
      <c r="J450" s="2793"/>
      <c r="M450" s="2795"/>
      <c r="N450" s="2795"/>
      <c r="O450" s="2795"/>
      <c r="S450" s="2795" t="s">
        <v>1159</v>
      </c>
      <c r="T450" s="2795" t="s">
        <v>1160</v>
      </c>
      <c r="U450" s="2795" t="s">
        <v>47</v>
      </c>
      <c r="V450" s="2795">
        <v>1</v>
      </c>
      <c r="W450" s="2795">
        <v>1601</v>
      </c>
      <c r="X450" s="2795">
        <v>2</v>
      </c>
      <c r="Y450" s="2795" t="s">
        <v>213</v>
      </c>
    </row>
    <row r="451" spans="2:25">
      <c r="B451" s="2793" t="s">
        <v>1674</v>
      </c>
      <c r="C451" s="2793" t="s">
        <v>1675</v>
      </c>
      <c r="D451" s="2793"/>
      <c r="E451" s="2793" t="s">
        <v>41</v>
      </c>
      <c r="F451" s="2793"/>
      <c r="G451" s="2793" t="s">
        <v>1675</v>
      </c>
      <c r="H451" s="2793"/>
      <c r="I451" s="2793" t="s">
        <v>1674</v>
      </c>
      <c r="J451" s="2793"/>
      <c r="M451" s="2795"/>
      <c r="N451" s="2795"/>
      <c r="O451" s="2795"/>
      <c r="S451" s="2795" t="s">
        <v>1111</v>
      </c>
      <c r="T451" s="2795" t="s">
        <v>1112</v>
      </c>
      <c r="U451" s="2795" t="s">
        <v>47</v>
      </c>
      <c r="V451" s="2795">
        <v>1</v>
      </c>
      <c r="W451" s="2795">
        <v>1601</v>
      </c>
      <c r="X451" s="2795">
        <v>2</v>
      </c>
      <c r="Y451" s="2795" t="s">
        <v>213</v>
      </c>
    </row>
    <row r="452" spans="2:25">
      <c r="B452" s="2793" t="s">
        <v>1679</v>
      </c>
      <c r="C452" s="2793" t="s">
        <v>1680</v>
      </c>
      <c r="D452" s="2793">
        <v>-1</v>
      </c>
      <c r="E452" s="2793"/>
      <c r="F452" s="2793"/>
      <c r="G452" s="2793" t="s">
        <v>985</v>
      </c>
      <c r="H452" s="2793"/>
      <c r="I452" s="2793" t="s">
        <v>1679</v>
      </c>
      <c r="J452" s="2793" t="s">
        <v>84</v>
      </c>
      <c r="S452" s="2795" t="s">
        <v>1202</v>
      </c>
      <c r="T452" s="2795" t="s">
        <v>1199</v>
      </c>
      <c r="U452" s="2795" t="s">
        <v>47</v>
      </c>
      <c r="V452" s="2795">
        <v>1</v>
      </c>
      <c r="W452" s="2795">
        <v>1605</v>
      </c>
      <c r="X452" s="2795">
        <v>1</v>
      </c>
      <c r="Y452" s="2795" t="s">
        <v>213</v>
      </c>
    </row>
    <row r="453" spans="2:25">
      <c r="B453" s="2793" t="s">
        <v>1684</v>
      </c>
      <c r="C453" s="2793" t="s">
        <v>1685</v>
      </c>
      <c r="D453" s="2793">
        <v>-1</v>
      </c>
      <c r="E453" s="2793"/>
      <c r="F453" s="2793"/>
      <c r="G453" s="2793" t="s">
        <v>991</v>
      </c>
      <c r="H453" s="2793"/>
      <c r="I453" s="2793" t="s">
        <v>1684</v>
      </c>
      <c r="J453" s="2793" t="s">
        <v>84</v>
      </c>
      <c r="S453" s="2795" t="s">
        <v>1210</v>
      </c>
      <c r="T453" s="2795" t="s">
        <v>5118</v>
      </c>
      <c r="U453" s="2795" t="s">
        <v>47</v>
      </c>
      <c r="V453" s="2795">
        <v>1</v>
      </c>
      <c r="W453" s="2795">
        <v>1621</v>
      </c>
      <c r="X453" s="2795">
        <v>2</v>
      </c>
      <c r="Y453" s="2795" t="s">
        <v>213</v>
      </c>
    </row>
    <row r="454" spans="2:25">
      <c r="B454" s="2793" t="s">
        <v>1689</v>
      </c>
      <c r="C454" s="2793" t="s">
        <v>1690</v>
      </c>
      <c r="D454" s="2793">
        <v>-1</v>
      </c>
      <c r="E454" s="2793"/>
      <c r="F454" s="2793"/>
      <c r="G454" s="2793" t="s">
        <v>997</v>
      </c>
      <c r="H454" s="2793"/>
      <c r="I454" s="2793" t="s">
        <v>1689</v>
      </c>
      <c r="J454" s="2793" t="s">
        <v>84</v>
      </c>
      <c r="S454" s="2795" t="s">
        <v>1215</v>
      </c>
      <c r="T454" s="2795" t="s">
        <v>5119</v>
      </c>
      <c r="U454" s="2795" t="s">
        <v>47</v>
      </c>
      <c r="V454" s="2795">
        <v>1</v>
      </c>
      <c r="W454" s="2795">
        <v>1621</v>
      </c>
      <c r="X454" s="2795">
        <v>2</v>
      </c>
      <c r="Y454" s="2795" t="s">
        <v>213</v>
      </c>
    </row>
    <row r="455" spans="2:25">
      <c r="B455" s="2793" t="s">
        <v>1694</v>
      </c>
      <c r="C455" s="2793" t="s">
        <v>1695</v>
      </c>
      <c r="D455" s="2793">
        <v>-1</v>
      </c>
      <c r="E455" s="2793" t="s">
        <v>708</v>
      </c>
      <c r="F455" s="2793"/>
      <c r="G455" s="2793" t="s">
        <v>1004</v>
      </c>
      <c r="H455" s="2793"/>
      <c r="I455" s="2793" t="s">
        <v>1694</v>
      </c>
      <c r="J455" s="2793" t="s">
        <v>84</v>
      </c>
      <c r="S455" s="2795" t="s">
        <v>1219</v>
      </c>
      <c r="T455" s="2795" t="s">
        <v>5120</v>
      </c>
      <c r="U455" s="2795" t="s">
        <v>47</v>
      </c>
      <c r="V455" s="2795">
        <v>1</v>
      </c>
      <c r="W455" s="2795">
        <v>1621</v>
      </c>
      <c r="X455" s="2795">
        <v>1</v>
      </c>
      <c r="Y455" s="2795" t="s">
        <v>213</v>
      </c>
    </row>
    <row r="456" spans="2:25">
      <c r="B456" s="2793" t="s">
        <v>1699</v>
      </c>
      <c r="C456" s="2793" t="s">
        <v>1700</v>
      </c>
      <c r="D456" s="2793">
        <v>-1</v>
      </c>
      <c r="E456" s="2793"/>
      <c r="F456" s="2793"/>
      <c r="G456" s="2793" t="s">
        <v>932</v>
      </c>
      <c r="H456" s="2793"/>
      <c r="I456" s="2793" t="s">
        <v>1699</v>
      </c>
      <c r="J456" s="2793" t="s">
        <v>84</v>
      </c>
      <c r="S456" s="2795" t="s">
        <v>1228</v>
      </c>
      <c r="T456" s="2795" t="s">
        <v>1229</v>
      </c>
      <c r="U456" s="2795" t="s">
        <v>47</v>
      </c>
      <c r="V456" s="2795">
        <v>1</v>
      </c>
      <c r="W456" s="2795">
        <v>1621</v>
      </c>
      <c r="X456" s="2795">
        <v>2</v>
      </c>
      <c r="Y456" s="2795" t="s">
        <v>213</v>
      </c>
    </row>
    <row r="457" spans="2:25">
      <c r="B457" s="2793" t="s">
        <v>1704</v>
      </c>
      <c r="C457" s="2793" t="s">
        <v>1705</v>
      </c>
      <c r="D457" s="2793"/>
      <c r="E457" s="2793" t="s">
        <v>287</v>
      </c>
      <c r="F457" s="2793"/>
      <c r="G457" s="2793" t="s">
        <v>1013</v>
      </c>
      <c r="H457" s="2793"/>
      <c r="I457" s="2793" t="s">
        <v>1704</v>
      </c>
      <c r="J457" s="2793"/>
      <c r="S457" s="2795" t="s">
        <v>1240</v>
      </c>
      <c r="T457" s="2795" t="s">
        <v>1241</v>
      </c>
      <c r="U457" s="2795" t="s">
        <v>47</v>
      </c>
      <c r="V457" s="2795">
        <v>1</v>
      </c>
      <c r="W457" s="2795">
        <v>1631</v>
      </c>
      <c r="X457" s="2795">
        <v>1</v>
      </c>
      <c r="Y457" s="2795" t="s">
        <v>213</v>
      </c>
    </row>
    <row r="458" spans="2:25">
      <c r="B458" s="2793" t="s">
        <v>1709</v>
      </c>
      <c r="C458" s="2793" t="s">
        <v>1710</v>
      </c>
      <c r="D458" s="2793"/>
      <c r="E458" s="2793" t="s">
        <v>287</v>
      </c>
      <c r="F458" s="2793"/>
      <c r="G458" s="2793" t="s">
        <v>1172</v>
      </c>
      <c r="H458" s="2793"/>
      <c r="I458" s="2793" t="s">
        <v>1709</v>
      </c>
      <c r="J458" s="2793"/>
      <c r="S458" s="2795" t="s">
        <v>1289</v>
      </c>
      <c r="T458" s="2795" t="s">
        <v>5121</v>
      </c>
      <c r="U458" s="2795" t="s">
        <v>47</v>
      </c>
      <c r="V458" s="2795">
        <v>-1</v>
      </c>
      <c r="W458" s="2795">
        <v>1700</v>
      </c>
      <c r="X458" s="2795">
        <v>1</v>
      </c>
      <c r="Y458" s="2795" t="s">
        <v>213</v>
      </c>
    </row>
    <row r="459" spans="2:25">
      <c r="B459" s="2793" t="s">
        <v>1714</v>
      </c>
      <c r="C459" s="2793" t="s">
        <v>1715</v>
      </c>
      <c r="D459" s="2793">
        <v>-1</v>
      </c>
      <c r="E459" s="2793"/>
      <c r="F459" s="2793"/>
      <c r="G459" s="2793" t="s">
        <v>1032</v>
      </c>
      <c r="H459" s="2793"/>
      <c r="I459" s="2793" t="s">
        <v>1714</v>
      </c>
      <c r="J459" s="2793"/>
      <c r="S459" s="2795" t="s">
        <v>1250</v>
      </c>
      <c r="T459" s="2795" t="s">
        <v>1251</v>
      </c>
      <c r="U459" s="2795" t="s">
        <v>47</v>
      </c>
      <c r="V459" s="2795">
        <v>1</v>
      </c>
      <c r="W459" s="2795">
        <v>1701</v>
      </c>
      <c r="X459" s="2795">
        <v>2</v>
      </c>
      <c r="Y459" s="2795" t="s">
        <v>213</v>
      </c>
    </row>
    <row r="460" spans="2:25">
      <c r="B460" s="2793" t="s">
        <v>1719</v>
      </c>
      <c r="C460" s="2793" t="s">
        <v>1720</v>
      </c>
      <c r="D460" s="2793"/>
      <c r="E460" s="2793" t="s">
        <v>287</v>
      </c>
      <c r="F460" s="2793"/>
      <c r="G460" s="2793" t="s">
        <v>1036</v>
      </c>
      <c r="H460" s="2793"/>
      <c r="I460" s="2793" t="s">
        <v>1719</v>
      </c>
      <c r="J460" s="2793"/>
      <c r="S460" s="2795" t="s">
        <v>1255</v>
      </c>
      <c r="T460" s="2795" t="s">
        <v>574</v>
      </c>
      <c r="U460" s="2795" t="s">
        <v>47</v>
      </c>
      <c r="V460" s="2795">
        <v>1</v>
      </c>
      <c r="W460" s="2795">
        <v>1701</v>
      </c>
      <c r="X460" s="2795">
        <v>2</v>
      </c>
      <c r="Y460" s="2795" t="s">
        <v>213</v>
      </c>
    </row>
    <row r="461" spans="2:25">
      <c r="B461" s="2793" t="s">
        <v>1723</v>
      </c>
      <c r="C461" s="2793" t="s">
        <v>1724</v>
      </c>
      <c r="D461" s="2793">
        <v>-1</v>
      </c>
      <c r="E461" s="2793"/>
      <c r="F461" s="2793"/>
      <c r="G461" s="2793" t="s">
        <v>1182</v>
      </c>
      <c r="H461" s="2793"/>
      <c r="I461" s="2793" t="s">
        <v>1723</v>
      </c>
      <c r="J461" s="2793" t="s">
        <v>84</v>
      </c>
      <c r="S461" s="2795" t="s">
        <v>1259</v>
      </c>
      <c r="T461" s="2795" t="s">
        <v>1260</v>
      </c>
      <c r="U461" s="2795" t="s">
        <v>47</v>
      </c>
      <c r="V461" s="2795">
        <v>1</v>
      </c>
      <c r="W461" s="2795">
        <v>1701</v>
      </c>
      <c r="X461" s="2795">
        <v>1</v>
      </c>
      <c r="Y461" s="2795" t="s">
        <v>213</v>
      </c>
    </row>
    <row r="462" spans="2:25">
      <c r="B462" s="2793" t="s">
        <v>1728</v>
      </c>
      <c r="C462" s="2793" t="s">
        <v>1729</v>
      </c>
      <c r="D462" s="2793">
        <v>-1</v>
      </c>
      <c r="E462" s="2793"/>
      <c r="F462" s="2793"/>
      <c r="G462" s="2793" t="s">
        <v>1055</v>
      </c>
      <c r="H462" s="2793"/>
      <c r="I462" s="2793" t="s">
        <v>1728</v>
      </c>
      <c r="J462" s="2793" t="s">
        <v>84</v>
      </c>
      <c r="S462" s="2795" t="s">
        <v>1284</v>
      </c>
      <c r="T462" s="2795" t="s">
        <v>1285</v>
      </c>
      <c r="U462" s="2795" t="s">
        <v>47</v>
      </c>
      <c r="V462" s="2795">
        <v>1</v>
      </c>
      <c r="W462" s="2795">
        <v>1701</v>
      </c>
      <c r="X462" s="2795">
        <v>2</v>
      </c>
      <c r="Y462" s="2795" t="s">
        <v>213</v>
      </c>
    </row>
    <row r="463" spans="2:25">
      <c r="B463" s="2793" t="s">
        <v>1733</v>
      </c>
      <c r="C463" s="2793" t="s">
        <v>1734</v>
      </c>
      <c r="D463" s="2793">
        <v>-1</v>
      </c>
      <c r="E463" s="2793" t="s">
        <v>331</v>
      </c>
      <c r="F463" s="2793"/>
      <c r="G463" s="2793" t="s">
        <v>1049</v>
      </c>
      <c r="H463" s="2793"/>
      <c r="I463" s="2793" t="s">
        <v>1733</v>
      </c>
      <c r="J463" s="2793" t="s">
        <v>84</v>
      </c>
      <c r="S463" s="2795" t="s">
        <v>1279</v>
      </c>
      <c r="T463" s="2795" t="s">
        <v>1280</v>
      </c>
      <c r="U463" s="2795" t="s">
        <v>47</v>
      </c>
      <c r="V463" s="2795">
        <v>-1</v>
      </c>
      <c r="W463" s="2795">
        <v>1701</v>
      </c>
      <c r="X463" s="2795">
        <v>2</v>
      </c>
      <c r="Y463" s="2795" t="s">
        <v>213</v>
      </c>
    </row>
    <row r="464" spans="2:25">
      <c r="B464" s="2793" t="s">
        <v>1738</v>
      </c>
      <c r="C464" s="2793" t="s">
        <v>1739</v>
      </c>
      <c r="D464" s="2793">
        <v>-1</v>
      </c>
      <c r="E464" s="2793"/>
      <c r="F464" s="2793"/>
      <c r="G464" s="2793" t="s">
        <v>932</v>
      </c>
      <c r="H464" s="2793"/>
      <c r="I464" s="2793" t="s">
        <v>1738</v>
      </c>
      <c r="J464" s="2793" t="s">
        <v>84</v>
      </c>
      <c r="S464" s="2795" t="s">
        <v>1453</v>
      </c>
      <c r="T464" s="2795" t="s">
        <v>1454</v>
      </c>
      <c r="U464" s="2795" t="s">
        <v>47</v>
      </c>
      <c r="V464" s="2795">
        <v>1</v>
      </c>
      <c r="W464" s="2795">
        <v>2203</v>
      </c>
      <c r="X464" s="2795">
        <v>1</v>
      </c>
      <c r="Y464" s="2795" t="s">
        <v>213</v>
      </c>
    </row>
    <row r="465" spans="2:25">
      <c r="B465" s="2793" t="s">
        <v>1743</v>
      </c>
      <c r="C465" s="2793" t="s">
        <v>1744</v>
      </c>
      <c r="D465" s="2793"/>
      <c r="E465" s="2793" t="s">
        <v>287</v>
      </c>
      <c r="F465" s="2793"/>
      <c r="G465" s="2793" t="s">
        <v>1066</v>
      </c>
      <c r="H465" s="2793"/>
      <c r="I465" s="2793" t="s">
        <v>1743</v>
      </c>
      <c r="J465" s="2793"/>
      <c r="S465" s="2795" t="s">
        <v>1480</v>
      </c>
      <c r="T465" s="2795" t="s">
        <v>1481</v>
      </c>
      <c r="U465" s="2795" t="s">
        <v>1371</v>
      </c>
      <c r="V465" s="2795">
        <v>1</v>
      </c>
      <c r="W465" s="2795">
        <v>2205</v>
      </c>
      <c r="X465" s="2795">
        <v>2</v>
      </c>
      <c r="Y465" s="2795" t="s">
        <v>213</v>
      </c>
    </row>
    <row r="466" spans="2:25">
      <c r="B466" s="2793" t="s">
        <v>1748</v>
      </c>
      <c r="C466" s="2793" t="s">
        <v>1749</v>
      </c>
      <c r="D466" s="2793">
        <v>-1</v>
      </c>
      <c r="E466" s="2793"/>
      <c r="F466" s="2793"/>
      <c r="G466" s="2793" t="s">
        <v>1071</v>
      </c>
      <c r="H466" s="2793"/>
      <c r="I466" s="2793" t="s">
        <v>1748</v>
      </c>
      <c r="J466" s="2793" t="s">
        <v>84</v>
      </c>
      <c r="S466" s="2795" t="s">
        <v>1632</v>
      </c>
      <c r="T466" s="2795" t="s">
        <v>1633</v>
      </c>
      <c r="U466" s="2795" t="s">
        <v>1628</v>
      </c>
      <c r="V466" s="2795">
        <v>1</v>
      </c>
      <c r="W466" s="2795">
        <v>2396</v>
      </c>
      <c r="X466" s="2795">
        <v>2</v>
      </c>
      <c r="Y466" s="2795" t="s">
        <v>213</v>
      </c>
    </row>
    <row r="467" spans="2:25">
      <c r="B467" s="2793" t="s">
        <v>1753</v>
      </c>
      <c r="C467" s="2793" t="s">
        <v>1754</v>
      </c>
      <c r="D467" s="2793">
        <v>-1</v>
      </c>
      <c r="E467" s="2793"/>
      <c r="F467" s="2793"/>
      <c r="G467" s="2793" t="s">
        <v>1076</v>
      </c>
      <c r="H467" s="2793"/>
      <c r="I467" s="2793" t="s">
        <v>1753</v>
      </c>
      <c r="J467" s="2793" t="s">
        <v>84</v>
      </c>
      <c r="S467" s="2795" t="s">
        <v>1726</v>
      </c>
      <c r="T467" s="2795" t="s">
        <v>1727</v>
      </c>
      <c r="U467" s="2795" t="s">
        <v>47</v>
      </c>
      <c r="V467" s="2795">
        <v>1</v>
      </c>
      <c r="W467" s="2795">
        <v>2715</v>
      </c>
      <c r="X467" s="2795">
        <v>2</v>
      </c>
      <c r="Y467" s="2795" t="s">
        <v>213</v>
      </c>
    </row>
    <row r="468" spans="2:25">
      <c r="B468" s="2793" t="s">
        <v>1758</v>
      </c>
      <c r="C468" s="2793" t="s">
        <v>1759</v>
      </c>
      <c r="D468" s="2793">
        <v>-1</v>
      </c>
      <c r="E468" s="2793"/>
      <c r="F468" s="2793"/>
      <c r="G468" s="2793" t="s">
        <v>1081</v>
      </c>
      <c r="H468" s="2793"/>
      <c r="I468" s="2793" t="s">
        <v>1758</v>
      </c>
      <c r="J468" s="2793" t="s">
        <v>84</v>
      </c>
      <c r="S468" s="2795" t="s">
        <v>1731</v>
      </c>
      <c r="T468" s="2795" t="s">
        <v>1732</v>
      </c>
      <c r="U468" s="2798" t="s">
        <v>47</v>
      </c>
      <c r="V468" s="2798">
        <v>1</v>
      </c>
      <c r="W468" s="2798">
        <v>2715</v>
      </c>
      <c r="X468" s="2798">
        <v>2</v>
      </c>
      <c r="Y468" s="2795" t="s">
        <v>213</v>
      </c>
    </row>
    <row r="469" spans="2:25">
      <c r="B469" s="2793" t="s">
        <v>1763</v>
      </c>
      <c r="C469" s="2793" t="s">
        <v>1764</v>
      </c>
      <c r="D469" s="2793">
        <v>-1</v>
      </c>
      <c r="E469" s="2793"/>
      <c r="F469" s="2793"/>
      <c r="G469" s="2793" t="s">
        <v>932</v>
      </c>
      <c r="H469" s="2793"/>
      <c r="I469" s="2793" t="s">
        <v>1763</v>
      </c>
      <c r="J469" s="2793" t="s">
        <v>84</v>
      </c>
      <c r="S469" s="2795" t="s">
        <v>1800</v>
      </c>
      <c r="T469" s="2795" t="s">
        <v>1801</v>
      </c>
      <c r="U469" s="2795" t="s">
        <v>47</v>
      </c>
      <c r="V469" s="2795">
        <v>1</v>
      </c>
      <c r="W469" s="2795">
        <v>4015</v>
      </c>
      <c r="X469" s="2795">
        <v>2</v>
      </c>
      <c r="Y469" s="2795" t="s">
        <v>213</v>
      </c>
    </row>
    <row r="470" spans="2:25">
      <c r="B470" s="2793" t="s">
        <v>1768</v>
      </c>
      <c r="C470" s="2793" t="s">
        <v>1769</v>
      </c>
      <c r="D470" s="2793"/>
      <c r="E470" s="2793" t="s">
        <v>287</v>
      </c>
      <c r="F470" s="2793"/>
      <c r="G470" s="2793" t="s">
        <v>1188</v>
      </c>
      <c r="H470" s="2793"/>
      <c r="I470" s="2793" t="s">
        <v>1768</v>
      </c>
      <c r="J470" s="2793"/>
      <c r="S470" s="2801" t="s">
        <v>2000</v>
      </c>
      <c r="T470" s="2801" t="s">
        <v>2001</v>
      </c>
      <c r="U470" s="2795" t="s">
        <v>47</v>
      </c>
      <c r="V470" s="2795">
        <v>-2</v>
      </c>
      <c r="W470" s="2795"/>
      <c r="X470" s="2795">
        <v>2</v>
      </c>
      <c r="Y470" s="2795" t="s">
        <v>213</v>
      </c>
    </row>
    <row r="471" spans="2:25">
      <c r="B471" s="2793" t="s">
        <v>1771</v>
      </c>
      <c r="C471" s="2793" t="s">
        <v>1772</v>
      </c>
      <c r="D471" s="2793">
        <v>-1</v>
      </c>
      <c r="E471" s="2793"/>
      <c r="F471" s="2793"/>
      <c r="G471" s="2793" t="s">
        <v>1095</v>
      </c>
      <c r="H471" s="2793"/>
      <c r="I471" s="2793" t="s">
        <v>1771</v>
      </c>
      <c r="J471" s="2793" t="s">
        <v>84</v>
      </c>
      <c r="S471" s="2801" t="s">
        <v>2103</v>
      </c>
      <c r="T471" s="2801" t="s">
        <v>2104</v>
      </c>
      <c r="U471" s="2795" t="s">
        <v>47</v>
      </c>
      <c r="V471" s="2795">
        <v>-2</v>
      </c>
      <c r="W471" s="2795"/>
      <c r="X471" s="2795">
        <v>2</v>
      </c>
      <c r="Y471" s="2795" t="s">
        <v>213</v>
      </c>
    </row>
    <row r="472" spans="2:25">
      <c r="B472" s="2793" t="s">
        <v>1777</v>
      </c>
      <c r="C472" s="2793" t="s">
        <v>1778</v>
      </c>
      <c r="D472" s="2793">
        <v>-1</v>
      </c>
      <c r="E472" s="2793"/>
      <c r="F472" s="2793"/>
      <c r="G472" s="2793" t="s">
        <v>1102</v>
      </c>
      <c r="H472" s="2793"/>
      <c r="I472" s="2793" t="s">
        <v>1777</v>
      </c>
      <c r="J472" s="2793" t="s">
        <v>84</v>
      </c>
      <c r="S472" s="2801" t="s">
        <v>2106</v>
      </c>
      <c r="T472" s="2801" t="s">
        <v>2107</v>
      </c>
      <c r="U472" s="2795" t="s">
        <v>47</v>
      </c>
      <c r="V472" s="2795">
        <v>-2</v>
      </c>
      <c r="W472" s="2795"/>
      <c r="X472" s="2795">
        <v>2</v>
      </c>
      <c r="Y472" s="2795" t="s">
        <v>213</v>
      </c>
    </row>
    <row r="473" spans="2:25">
      <c r="B473" s="2793" t="s">
        <v>1782</v>
      </c>
      <c r="C473" s="2793" t="s">
        <v>1783</v>
      </c>
      <c r="D473" s="2793">
        <v>-1</v>
      </c>
      <c r="E473" s="2793"/>
      <c r="F473" s="2793"/>
      <c r="G473" s="2793" t="s">
        <v>1109</v>
      </c>
      <c r="H473" s="2793"/>
      <c r="I473" s="2793" t="s">
        <v>1782</v>
      </c>
      <c r="J473" s="2793" t="s">
        <v>84</v>
      </c>
      <c r="S473" s="2795" t="s">
        <v>2108</v>
      </c>
      <c r="T473" s="2795" t="s">
        <v>2109</v>
      </c>
      <c r="U473" s="2795" t="s">
        <v>47</v>
      </c>
      <c r="V473" s="2795">
        <v>-2</v>
      </c>
      <c r="W473" s="2795"/>
      <c r="X473" s="2795">
        <v>2</v>
      </c>
      <c r="Y473" s="2795" t="s">
        <v>213</v>
      </c>
    </row>
    <row r="474" spans="2:25">
      <c r="B474" s="2793" t="s">
        <v>1787</v>
      </c>
      <c r="C474" s="2793" t="s">
        <v>1788</v>
      </c>
      <c r="D474" s="2793">
        <v>-1</v>
      </c>
      <c r="E474" s="2793" t="s">
        <v>331</v>
      </c>
      <c r="F474" s="2793"/>
      <c r="G474" s="2793" t="s">
        <v>1114</v>
      </c>
      <c r="H474" s="2793"/>
      <c r="I474" s="2793" t="s">
        <v>1787</v>
      </c>
      <c r="J474" s="2793" t="s">
        <v>84</v>
      </c>
      <c r="S474" s="2795" t="s">
        <v>2123</v>
      </c>
      <c r="T474" s="2795" t="s">
        <v>2124</v>
      </c>
      <c r="U474" s="2795" t="s">
        <v>47</v>
      </c>
      <c r="V474" s="2795">
        <v>-2</v>
      </c>
      <c r="W474" s="2795"/>
      <c r="X474" s="2795">
        <v>2</v>
      </c>
      <c r="Y474" s="2795" t="s">
        <v>213</v>
      </c>
    </row>
    <row r="475" spans="2:25">
      <c r="B475" s="2793" t="s">
        <v>1792</v>
      </c>
      <c r="C475" s="2793" t="s">
        <v>1793</v>
      </c>
      <c r="D475" s="2793">
        <v>-1</v>
      </c>
      <c r="E475" s="2793"/>
      <c r="F475" s="2793"/>
      <c r="G475" s="2793" t="s">
        <v>932</v>
      </c>
      <c r="H475" s="2793"/>
      <c r="I475" s="2793" t="s">
        <v>1792</v>
      </c>
      <c r="J475" s="2793" t="s">
        <v>84</v>
      </c>
      <c r="S475" s="2795" t="s">
        <v>2133</v>
      </c>
      <c r="T475" s="2795" t="s">
        <v>2134</v>
      </c>
      <c r="U475" s="2795" t="s">
        <v>47</v>
      </c>
      <c r="V475" s="2795">
        <v>-2</v>
      </c>
      <c r="W475" s="2795"/>
      <c r="X475" s="2795">
        <v>2</v>
      </c>
      <c r="Y475" s="2795" t="s">
        <v>213</v>
      </c>
    </row>
    <row r="476" spans="2:25">
      <c r="B476" s="2793" t="s">
        <v>2152</v>
      </c>
      <c r="C476" s="2793" t="s">
        <v>2151</v>
      </c>
      <c r="D476" s="2793">
        <v>-1</v>
      </c>
      <c r="E476" s="2793" t="s">
        <v>119</v>
      </c>
      <c r="F476" s="2793"/>
      <c r="G476" s="2793" t="s">
        <v>2416</v>
      </c>
      <c r="H476" s="2793" t="s">
        <v>2416</v>
      </c>
      <c r="I476" s="2793" t="s">
        <v>2152</v>
      </c>
      <c r="J476" s="2793" t="s">
        <v>84</v>
      </c>
      <c r="S476" s="2795" t="s">
        <v>2135</v>
      </c>
      <c r="T476" s="2795" t="s">
        <v>2136</v>
      </c>
      <c r="U476" s="2795" t="s">
        <v>47</v>
      </c>
      <c r="V476" s="2795">
        <v>-2</v>
      </c>
      <c r="W476" s="2795"/>
      <c r="X476" s="2795">
        <v>2</v>
      </c>
      <c r="Y476" s="2795" t="s">
        <v>213</v>
      </c>
    </row>
    <row r="477" spans="2:25">
      <c r="B477" s="2793" t="s">
        <v>1797</v>
      </c>
      <c r="C477" s="2793" t="s">
        <v>1798</v>
      </c>
      <c r="D477" s="2793"/>
      <c r="E477" s="2793" t="s">
        <v>287</v>
      </c>
      <c r="F477" s="2793"/>
      <c r="G477" s="2793" t="s">
        <v>1124</v>
      </c>
      <c r="H477" s="2793"/>
      <c r="I477" s="2793" t="s">
        <v>1797</v>
      </c>
      <c r="J477" s="2793"/>
      <c r="S477" s="2795" t="s">
        <v>2138</v>
      </c>
      <c r="T477" s="2795" t="s">
        <v>2139</v>
      </c>
      <c r="U477" s="2795" t="s">
        <v>47</v>
      </c>
      <c r="V477" s="2795">
        <v>-2</v>
      </c>
      <c r="W477" s="2795"/>
      <c r="X477" s="2795">
        <v>2</v>
      </c>
      <c r="Y477" s="2795" t="s">
        <v>213</v>
      </c>
    </row>
    <row r="478" spans="2:25">
      <c r="B478" s="2793" t="s">
        <v>1802</v>
      </c>
      <c r="C478" s="2793" t="s">
        <v>1803</v>
      </c>
      <c r="D478" s="2793">
        <v>-1</v>
      </c>
      <c r="E478" s="2793"/>
      <c r="F478" s="2793"/>
      <c r="G478" s="2793" t="s">
        <v>1129</v>
      </c>
      <c r="H478" s="2793"/>
      <c r="I478" s="2793" t="s">
        <v>1802</v>
      </c>
      <c r="J478" s="2793" t="s">
        <v>84</v>
      </c>
      <c r="S478" s="2795" t="s">
        <v>2141</v>
      </c>
      <c r="T478" s="2795" t="s">
        <v>2142</v>
      </c>
      <c r="U478" s="2795" t="s">
        <v>47</v>
      </c>
      <c r="V478" s="2795">
        <v>-2</v>
      </c>
      <c r="W478" s="2795"/>
      <c r="X478" s="2795">
        <v>2</v>
      </c>
      <c r="Y478" s="2795" t="s">
        <v>213</v>
      </c>
    </row>
    <row r="479" spans="2:25">
      <c r="B479" s="2793" t="s">
        <v>1807</v>
      </c>
      <c r="C479" s="2793" t="s">
        <v>1808</v>
      </c>
      <c r="D479" s="2793">
        <v>-1</v>
      </c>
      <c r="E479" s="2793"/>
      <c r="F479" s="2793"/>
      <c r="G479" s="2793" t="s">
        <v>1355</v>
      </c>
      <c r="H479" s="2793"/>
      <c r="I479" s="2793" t="s">
        <v>1807</v>
      </c>
      <c r="J479" s="2793" t="s">
        <v>84</v>
      </c>
      <c r="S479" s="2795" t="s">
        <v>2147</v>
      </c>
      <c r="T479" s="2795" t="s">
        <v>2148</v>
      </c>
      <c r="U479" s="2795" t="s">
        <v>47</v>
      </c>
      <c r="V479" s="2795">
        <v>-2</v>
      </c>
      <c r="W479" s="2795"/>
      <c r="X479" s="2795">
        <v>2</v>
      </c>
      <c r="Y479" s="2795" t="s">
        <v>213</v>
      </c>
    </row>
    <row r="480" spans="2:25">
      <c r="B480" s="2793" t="s">
        <v>1812</v>
      </c>
      <c r="C480" s="2793" t="s">
        <v>1813</v>
      </c>
      <c r="D480" s="2793">
        <v>-1</v>
      </c>
      <c r="E480" s="2793"/>
      <c r="F480" s="2793"/>
      <c r="G480" s="2793" t="s">
        <v>1203</v>
      </c>
      <c r="H480" s="2793"/>
      <c r="I480" s="2793" t="s">
        <v>1812</v>
      </c>
      <c r="J480" s="2793" t="s">
        <v>84</v>
      </c>
      <c r="S480" s="2795" t="s">
        <v>2163</v>
      </c>
      <c r="T480" s="2795" t="s">
        <v>2164</v>
      </c>
      <c r="U480" s="2795" t="s">
        <v>47</v>
      </c>
      <c r="V480" s="2795">
        <v>-2</v>
      </c>
      <c r="W480" s="2795"/>
      <c r="X480" s="2795">
        <v>2</v>
      </c>
      <c r="Y480" s="2795" t="s">
        <v>213</v>
      </c>
    </row>
    <row r="481" spans="2:25">
      <c r="B481" s="2793" t="s">
        <v>1817</v>
      </c>
      <c r="C481" s="2793" t="s">
        <v>1818</v>
      </c>
      <c r="D481" s="2793"/>
      <c r="E481" s="2793" t="s">
        <v>287</v>
      </c>
      <c r="F481" s="2793"/>
      <c r="G481" s="2793" t="s">
        <v>1208</v>
      </c>
      <c r="H481" s="2793"/>
      <c r="I481" s="2793" t="s">
        <v>1817</v>
      </c>
      <c r="J481" s="2793"/>
      <c r="S481" s="2795" t="s">
        <v>2165</v>
      </c>
      <c r="T481" s="2795" t="s">
        <v>2166</v>
      </c>
      <c r="U481" s="2795" t="s">
        <v>47</v>
      </c>
      <c r="V481" s="2795">
        <v>-2</v>
      </c>
      <c r="W481" s="2795"/>
      <c r="X481" s="2795">
        <v>2</v>
      </c>
      <c r="Y481" s="2795" t="s">
        <v>213</v>
      </c>
    </row>
    <row r="482" spans="2:25">
      <c r="B482" s="2793">
        <v>8200</v>
      </c>
      <c r="C482" s="2793" t="s">
        <v>1822</v>
      </c>
      <c r="D482" s="2793"/>
      <c r="E482" s="2793" t="s">
        <v>41</v>
      </c>
      <c r="F482" s="2793"/>
      <c r="G482" s="2793" t="s">
        <v>1822</v>
      </c>
      <c r="H482" s="2793"/>
      <c r="I482" s="2793">
        <v>8200</v>
      </c>
      <c r="J482" s="2793"/>
      <c r="S482" s="2795" t="s">
        <v>2167</v>
      </c>
      <c r="T482" s="2795" t="s">
        <v>2168</v>
      </c>
      <c r="U482" s="2795" t="s">
        <v>47</v>
      </c>
      <c r="V482" s="2795">
        <v>-2</v>
      </c>
      <c r="W482" s="2795"/>
      <c r="X482" s="2795">
        <v>2</v>
      </c>
      <c r="Y482" s="2795" t="s">
        <v>213</v>
      </c>
    </row>
    <row r="483" spans="2:25">
      <c r="B483" s="2793">
        <v>8201</v>
      </c>
      <c r="C483" s="2793" t="s">
        <v>1125</v>
      </c>
      <c r="D483" s="2793">
        <v>-1</v>
      </c>
      <c r="E483" s="2793"/>
      <c r="F483" s="2793" t="s">
        <v>5698</v>
      </c>
      <c r="G483" s="2793" t="s">
        <v>985</v>
      </c>
      <c r="H483" s="2793"/>
      <c r="I483" s="2793">
        <v>8201</v>
      </c>
      <c r="J483" s="2793" t="s">
        <v>84</v>
      </c>
      <c r="S483" s="2795" t="s">
        <v>2172</v>
      </c>
      <c r="T483" s="2795" t="s">
        <v>2173</v>
      </c>
      <c r="U483" s="2795" t="s">
        <v>47</v>
      </c>
      <c r="V483" s="2795">
        <v>-2</v>
      </c>
      <c r="W483" s="2795"/>
      <c r="X483" s="2795">
        <v>2</v>
      </c>
      <c r="Y483" s="2795" t="s">
        <v>213</v>
      </c>
    </row>
    <row r="484" spans="2:25">
      <c r="B484" s="2793">
        <v>8202</v>
      </c>
      <c r="C484" s="2793" t="s">
        <v>1130</v>
      </c>
      <c r="D484" s="2793">
        <v>-1</v>
      </c>
      <c r="E484" s="2793"/>
      <c r="F484" s="2793" t="s">
        <v>5698</v>
      </c>
      <c r="G484" s="2793" t="s">
        <v>991</v>
      </c>
      <c r="H484" s="2793"/>
      <c r="I484" s="2793">
        <v>8202</v>
      </c>
      <c r="J484" s="2793" t="s">
        <v>84</v>
      </c>
      <c r="S484" s="2795" t="s">
        <v>2169</v>
      </c>
      <c r="T484" s="2795" t="s">
        <v>2170</v>
      </c>
      <c r="U484" s="2795" t="s">
        <v>47</v>
      </c>
      <c r="V484" s="2795">
        <v>-2</v>
      </c>
      <c r="W484" s="2795"/>
      <c r="X484" s="2795">
        <v>2</v>
      </c>
      <c r="Y484" s="2795" t="s">
        <v>213</v>
      </c>
    </row>
    <row r="485" spans="2:25">
      <c r="B485" s="2793">
        <v>8203</v>
      </c>
      <c r="C485" s="2793" t="s">
        <v>1135</v>
      </c>
      <c r="D485" s="2793">
        <v>-1</v>
      </c>
      <c r="E485" s="2793"/>
      <c r="F485" s="2793" t="s">
        <v>5698</v>
      </c>
      <c r="G485" s="2793" t="s">
        <v>997</v>
      </c>
      <c r="H485" s="2793"/>
      <c r="I485" s="2793">
        <v>8203</v>
      </c>
      <c r="J485" s="2793" t="s">
        <v>84</v>
      </c>
      <c r="S485" s="2795" t="s">
        <v>2174</v>
      </c>
      <c r="T485" s="2795" t="s">
        <v>2175</v>
      </c>
      <c r="U485" s="2795" t="s">
        <v>47</v>
      </c>
      <c r="V485" s="2795">
        <v>-2</v>
      </c>
      <c r="W485" s="2795"/>
      <c r="X485" s="2795">
        <v>2</v>
      </c>
      <c r="Y485" s="2795" t="s">
        <v>213</v>
      </c>
    </row>
    <row r="486" spans="2:25">
      <c r="B486" s="2793">
        <v>8204</v>
      </c>
      <c r="C486" s="2793" t="s">
        <v>1140</v>
      </c>
      <c r="D486" s="2793">
        <v>-1</v>
      </c>
      <c r="E486" s="2793" t="s">
        <v>708</v>
      </c>
      <c r="F486" s="2793" t="s">
        <v>5698</v>
      </c>
      <c r="G486" s="2793" t="s">
        <v>1004</v>
      </c>
      <c r="H486" s="2793"/>
      <c r="I486" s="2793">
        <v>8204</v>
      </c>
      <c r="J486" s="2793" t="s">
        <v>84</v>
      </c>
    </row>
    <row r="487" spans="2:25">
      <c r="B487" s="2793">
        <v>8209</v>
      </c>
      <c r="C487" s="2793" t="s">
        <v>1145</v>
      </c>
      <c r="D487" s="2793">
        <v>-1</v>
      </c>
      <c r="E487" s="2793"/>
      <c r="F487" s="2793" t="s">
        <v>5698</v>
      </c>
      <c r="G487" s="2793" t="s">
        <v>932</v>
      </c>
      <c r="H487" s="2793"/>
      <c r="I487" s="2793">
        <v>8209</v>
      </c>
      <c r="J487" s="2793" t="s">
        <v>84</v>
      </c>
    </row>
    <row r="488" spans="2:25">
      <c r="B488" s="2793">
        <v>8210</v>
      </c>
      <c r="C488" s="2793" t="s">
        <v>1842</v>
      </c>
      <c r="D488" s="2793"/>
      <c r="E488" s="2793" t="s">
        <v>287</v>
      </c>
      <c r="F488" s="2793"/>
      <c r="G488" s="2793" t="s">
        <v>1013</v>
      </c>
      <c r="H488" s="2793"/>
      <c r="I488" s="2793">
        <v>8210</v>
      </c>
      <c r="J488" s="2793"/>
    </row>
    <row r="489" spans="2:25">
      <c r="B489" s="2793">
        <v>8290</v>
      </c>
      <c r="C489" s="2793" t="s">
        <v>1846</v>
      </c>
      <c r="D489" s="2793"/>
      <c r="E489" s="2793" t="s">
        <v>287</v>
      </c>
      <c r="F489" s="2793"/>
      <c r="G489" s="2793" t="s">
        <v>1172</v>
      </c>
      <c r="H489" s="2793"/>
      <c r="I489" s="2793">
        <v>8290</v>
      </c>
      <c r="J489" s="2793"/>
    </row>
    <row r="490" spans="2:25">
      <c r="B490" s="2793">
        <v>8240</v>
      </c>
      <c r="C490" s="2793" t="s">
        <v>1155</v>
      </c>
      <c r="D490" s="2793">
        <v>-1</v>
      </c>
      <c r="E490" s="2793"/>
      <c r="F490" s="2793"/>
      <c r="G490" s="2793" t="s">
        <v>1032</v>
      </c>
      <c r="H490" s="2793"/>
      <c r="I490" s="2793">
        <v>8240</v>
      </c>
      <c r="J490" s="2793" t="s">
        <v>84</v>
      </c>
    </row>
    <row r="491" spans="2:25">
      <c r="B491" s="2793">
        <v>8250</v>
      </c>
      <c r="C491" s="2793" t="s">
        <v>1857</v>
      </c>
      <c r="D491" s="2793"/>
      <c r="E491" s="2793" t="s">
        <v>287</v>
      </c>
      <c r="F491" s="2793"/>
      <c r="G491" s="2793" t="s">
        <v>1036</v>
      </c>
      <c r="H491" s="2793"/>
      <c r="I491" s="2793">
        <v>8250</v>
      </c>
      <c r="J491" s="2793"/>
    </row>
    <row r="492" spans="2:25">
      <c r="B492" s="2793">
        <v>8251</v>
      </c>
      <c r="C492" s="2793" t="s">
        <v>1158</v>
      </c>
      <c r="D492" s="2793">
        <v>-1</v>
      </c>
      <c r="E492" s="2793"/>
      <c r="F492" s="2793" t="s">
        <v>5698</v>
      </c>
      <c r="G492" s="2793" t="s">
        <v>1182</v>
      </c>
      <c r="H492" s="2793"/>
      <c r="I492" s="2793">
        <v>8251</v>
      </c>
      <c r="J492" s="2793" t="s">
        <v>84</v>
      </c>
    </row>
    <row r="493" spans="2:25">
      <c r="B493" s="2793">
        <v>8252</v>
      </c>
      <c r="C493" s="2793" t="s">
        <v>1161</v>
      </c>
      <c r="D493" s="2793">
        <v>-1</v>
      </c>
      <c r="E493" s="2793"/>
      <c r="F493" s="2793" t="s">
        <v>5698</v>
      </c>
      <c r="G493" s="2793" t="s">
        <v>1055</v>
      </c>
      <c r="H493" s="2793"/>
      <c r="I493" s="2793">
        <v>8252</v>
      </c>
      <c r="J493" s="2793" t="s">
        <v>84</v>
      </c>
    </row>
    <row r="494" spans="2:25">
      <c r="B494" s="2793">
        <v>8253</v>
      </c>
      <c r="C494" s="2793" t="s">
        <v>1164</v>
      </c>
      <c r="D494" s="2793">
        <v>-1</v>
      </c>
      <c r="E494" s="2793" t="s">
        <v>331</v>
      </c>
      <c r="F494" s="2793" t="s">
        <v>5698</v>
      </c>
      <c r="G494" s="2793" t="s">
        <v>1049</v>
      </c>
      <c r="H494" s="2793"/>
      <c r="I494" s="2793">
        <v>8253</v>
      </c>
      <c r="J494" s="2793" t="s">
        <v>84</v>
      </c>
    </row>
    <row r="495" spans="2:25">
      <c r="B495" s="2793">
        <v>8256</v>
      </c>
      <c r="C495" s="2793" t="s">
        <v>1169</v>
      </c>
      <c r="D495" s="2793">
        <v>-1</v>
      </c>
      <c r="E495" s="2793"/>
      <c r="F495" s="2793" t="s">
        <v>5698</v>
      </c>
      <c r="G495" s="2793" t="s">
        <v>932</v>
      </c>
      <c r="H495" s="2793"/>
      <c r="I495" s="2793">
        <v>8256</v>
      </c>
      <c r="J495" s="2793" t="s">
        <v>84</v>
      </c>
    </row>
    <row r="496" spans="2:25">
      <c r="B496" s="2793">
        <v>8260</v>
      </c>
      <c r="C496" s="2793" t="s">
        <v>1879</v>
      </c>
      <c r="D496" s="2793"/>
      <c r="E496" s="2793" t="s">
        <v>287</v>
      </c>
      <c r="F496" s="2793"/>
      <c r="G496" s="2793" t="s">
        <v>1066</v>
      </c>
      <c r="H496" s="2793"/>
      <c r="I496" s="2793">
        <v>8260</v>
      </c>
      <c r="J496" s="2793"/>
    </row>
    <row r="497" spans="2:10">
      <c r="B497" s="2793">
        <v>8266</v>
      </c>
      <c r="C497" s="2793" t="s">
        <v>1184</v>
      </c>
      <c r="D497" s="2793">
        <v>-1</v>
      </c>
      <c r="E497" s="2793"/>
      <c r="F497" s="2793" t="s">
        <v>5698</v>
      </c>
      <c r="G497" s="2793" t="s">
        <v>932</v>
      </c>
      <c r="H497" s="2793"/>
      <c r="I497" s="2793">
        <v>8266</v>
      </c>
      <c r="J497" s="2793" t="s">
        <v>84</v>
      </c>
    </row>
    <row r="498" spans="2:10">
      <c r="B498" s="2793">
        <v>8270</v>
      </c>
      <c r="C498" s="2793" t="s">
        <v>1886</v>
      </c>
      <c r="D498" s="2793"/>
      <c r="E498" s="2793" t="s">
        <v>287</v>
      </c>
      <c r="F498" s="2793"/>
      <c r="G498" s="2793" t="s">
        <v>1188</v>
      </c>
      <c r="H498" s="2793"/>
      <c r="I498" s="2793">
        <v>8270</v>
      </c>
      <c r="J498" s="2793"/>
    </row>
    <row r="499" spans="2:10">
      <c r="B499" s="2793">
        <v>8271</v>
      </c>
      <c r="C499" s="2793" t="s">
        <v>1185</v>
      </c>
      <c r="D499" s="2793">
        <v>-1</v>
      </c>
      <c r="E499" s="2793"/>
      <c r="F499" s="2793" t="s">
        <v>5698</v>
      </c>
      <c r="G499" s="2793" t="s">
        <v>1095</v>
      </c>
      <c r="H499" s="2793"/>
      <c r="I499" s="2793">
        <v>8271</v>
      </c>
      <c r="J499" s="2793" t="s">
        <v>84</v>
      </c>
    </row>
    <row r="500" spans="2:10">
      <c r="B500" s="2793">
        <v>8275</v>
      </c>
      <c r="C500" s="2793" t="s">
        <v>1195</v>
      </c>
      <c r="D500" s="2793">
        <v>-1</v>
      </c>
      <c r="E500" s="2793" t="s">
        <v>331</v>
      </c>
      <c r="F500" s="2793" t="s">
        <v>5698</v>
      </c>
      <c r="G500" s="2793" t="s">
        <v>1114</v>
      </c>
      <c r="H500" s="2793"/>
      <c r="I500" s="2793">
        <v>8275</v>
      </c>
      <c r="J500" s="2793" t="s">
        <v>84</v>
      </c>
    </row>
    <row r="501" spans="2:10">
      <c r="B501" s="2793">
        <v>8276</v>
      </c>
      <c r="C501" s="2793" t="s">
        <v>1197</v>
      </c>
      <c r="D501" s="2793">
        <v>-1</v>
      </c>
      <c r="E501" s="2793" t="s">
        <v>999</v>
      </c>
      <c r="F501" s="2793" t="s">
        <v>5698</v>
      </c>
      <c r="G501" s="2793" t="s">
        <v>932</v>
      </c>
      <c r="H501" s="2793"/>
      <c r="I501" s="2793">
        <v>8276</v>
      </c>
      <c r="J501" s="2793" t="s">
        <v>84</v>
      </c>
    </row>
    <row r="502" spans="2:10">
      <c r="B502" s="2793">
        <v>8277</v>
      </c>
      <c r="C502" s="2793" t="s">
        <v>1201</v>
      </c>
      <c r="D502" s="2793">
        <v>-1</v>
      </c>
      <c r="E502" s="2793" t="s">
        <v>119</v>
      </c>
      <c r="F502" s="2793"/>
      <c r="G502" s="2793" t="s">
        <v>2416</v>
      </c>
      <c r="H502" s="2793" t="s">
        <v>2416</v>
      </c>
      <c r="I502" s="2793">
        <v>8277</v>
      </c>
      <c r="J502" s="2793" t="s">
        <v>84</v>
      </c>
    </row>
    <row r="503" spans="2:10">
      <c r="B503" s="2793">
        <v>8296</v>
      </c>
      <c r="C503" s="2793" t="s">
        <v>1214</v>
      </c>
      <c r="D503" s="2793">
        <v>-1</v>
      </c>
      <c r="E503" s="2793"/>
      <c r="F503" s="2793" t="s">
        <v>5698</v>
      </c>
      <c r="G503" s="2793" t="s">
        <v>1203</v>
      </c>
      <c r="H503" s="2793"/>
      <c r="I503" s="2793">
        <v>8296</v>
      </c>
      <c r="J503" s="2793" t="s">
        <v>84</v>
      </c>
    </row>
    <row r="504" spans="2:10">
      <c r="B504" s="2793">
        <v>8299</v>
      </c>
      <c r="C504" s="2793" t="s">
        <v>1903</v>
      </c>
      <c r="D504" s="2793"/>
      <c r="E504" s="2793" t="s">
        <v>287</v>
      </c>
      <c r="F504" s="2793"/>
      <c r="G504" s="2793" t="s">
        <v>1208</v>
      </c>
      <c r="H504" s="2793"/>
      <c r="I504" s="2793">
        <v>8299</v>
      </c>
      <c r="J504" s="2793"/>
    </row>
    <row r="505" spans="2:10">
      <c r="B505" s="2793">
        <v>8261</v>
      </c>
      <c r="C505" s="2793" t="s">
        <v>1173</v>
      </c>
      <c r="D505" s="2793">
        <v>-1</v>
      </c>
      <c r="E505" s="2793" t="s">
        <v>213</v>
      </c>
      <c r="F505" s="2793"/>
      <c r="G505" s="2793" t="s">
        <v>1071</v>
      </c>
      <c r="H505" s="2793"/>
      <c r="I505" s="2793">
        <v>8261</v>
      </c>
      <c r="J505" s="2793" t="s">
        <v>84</v>
      </c>
    </row>
    <row r="506" spans="2:10">
      <c r="B506" s="2793">
        <v>8262</v>
      </c>
      <c r="C506" s="2793" t="s">
        <v>1178</v>
      </c>
      <c r="D506" s="2793">
        <v>-1</v>
      </c>
      <c r="E506" s="2793" t="s">
        <v>213</v>
      </c>
      <c r="F506" s="2793"/>
      <c r="G506" s="2793" t="s">
        <v>1076</v>
      </c>
      <c r="H506" s="2793"/>
      <c r="I506" s="2793">
        <v>8262</v>
      </c>
      <c r="J506" s="2793" t="s">
        <v>84</v>
      </c>
    </row>
    <row r="507" spans="2:10">
      <c r="B507" s="2793">
        <v>8263</v>
      </c>
      <c r="C507" s="2793" t="s">
        <v>1183</v>
      </c>
      <c r="D507" s="2793">
        <v>-1</v>
      </c>
      <c r="E507" s="2793" t="s">
        <v>213</v>
      </c>
      <c r="F507" s="2793"/>
      <c r="G507" s="2793" t="s">
        <v>1081</v>
      </c>
      <c r="H507" s="2793"/>
      <c r="I507" s="2793">
        <v>8263</v>
      </c>
      <c r="J507" s="2793" t="s">
        <v>84</v>
      </c>
    </row>
    <row r="508" spans="2:10">
      <c r="B508" s="2793">
        <v>8272</v>
      </c>
      <c r="C508" s="2793" t="s">
        <v>1189</v>
      </c>
      <c r="D508" s="2793">
        <v>-1</v>
      </c>
      <c r="E508" s="2793" t="s">
        <v>213</v>
      </c>
      <c r="F508" s="2793"/>
      <c r="G508" s="2793" t="s">
        <v>1102</v>
      </c>
      <c r="H508" s="2793"/>
      <c r="I508" s="2793">
        <v>8272</v>
      </c>
      <c r="J508" s="2793" t="s">
        <v>84</v>
      </c>
    </row>
    <row r="509" spans="2:10">
      <c r="B509" s="2793">
        <v>8273</v>
      </c>
      <c r="C509" s="2793" t="s">
        <v>1192</v>
      </c>
      <c r="D509" s="2793">
        <v>-1</v>
      </c>
      <c r="E509" s="2793" t="s">
        <v>213</v>
      </c>
      <c r="F509" s="2793"/>
      <c r="G509" s="2793" t="s">
        <v>1109</v>
      </c>
      <c r="H509" s="2793"/>
      <c r="I509" s="2793">
        <v>8273</v>
      </c>
      <c r="J509" s="2793" t="s">
        <v>84</v>
      </c>
    </row>
    <row r="510" spans="2:10">
      <c r="B510" s="2793">
        <v>8281</v>
      </c>
      <c r="C510" s="2793" t="s">
        <v>1204</v>
      </c>
      <c r="D510" s="2793">
        <v>-1</v>
      </c>
      <c r="E510" s="2793" t="s">
        <v>213</v>
      </c>
      <c r="F510" s="2793"/>
      <c r="G510" s="2793" t="s">
        <v>1129</v>
      </c>
      <c r="H510" s="2793"/>
      <c r="I510" s="2793">
        <v>8281</v>
      </c>
      <c r="J510" s="2793" t="s">
        <v>84</v>
      </c>
    </row>
    <row r="511" spans="2:10">
      <c r="B511" s="2793">
        <v>8282</v>
      </c>
      <c r="C511" s="2793" t="s">
        <v>1209</v>
      </c>
      <c r="D511" s="2793">
        <v>-1</v>
      </c>
      <c r="E511" s="2793" t="s">
        <v>213</v>
      </c>
      <c r="F511" s="2793"/>
      <c r="G511" s="2793" t="s">
        <v>1355</v>
      </c>
      <c r="H511" s="2793"/>
      <c r="I511" s="2793">
        <v>8282</v>
      </c>
      <c r="J511" s="2793" t="s">
        <v>84</v>
      </c>
    </row>
    <row r="512" spans="2:10">
      <c r="B512" s="2793">
        <v>8280</v>
      </c>
      <c r="C512" s="2793" t="s">
        <v>2332</v>
      </c>
      <c r="D512" s="2793"/>
      <c r="E512" s="2793" t="s">
        <v>287</v>
      </c>
      <c r="F512" s="2793"/>
      <c r="G512" s="2793" t="s">
        <v>1124</v>
      </c>
      <c r="H512" s="2793"/>
      <c r="I512" s="2793">
        <v>8280</v>
      </c>
      <c r="J512" s="2793"/>
    </row>
    <row r="513" spans="2:10">
      <c r="B513" s="2793">
        <v>8300</v>
      </c>
      <c r="C513" s="2793" t="s">
        <v>1907</v>
      </c>
      <c r="D513" s="2793"/>
      <c r="E513" s="2793" t="s">
        <v>41</v>
      </c>
      <c r="F513" s="2793"/>
      <c r="G513" s="2793" t="s">
        <v>1908</v>
      </c>
      <c r="H513" s="2793"/>
      <c r="I513" s="2793">
        <v>8300</v>
      </c>
      <c r="J513" s="2793"/>
    </row>
    <row r="514" spans="2:10">
      <c r="B514" s="2793">
        <v>8301</v>
      </c>
      <c r="C514" s="2793" t="s">
        <v>1218</v>
      </c>
      <c r="D514" s="2793">
        <v>1</v>
      </c>
      <c r="E514" s="2793"/>
      <c r="F514" s="2793" t="s">
        <v>5699</v>
      </c>
      <c r="G514" s="2793" t="s">
        <v>985</v>
      </c>
      <c r="H514" s="2793"/>
      <c r="I514" s="2793">
        <v>8301</v>
      </c>
      <c r="J514" s="2793" t="s">
        <v>84</v>
      </c>
    </row>
    <row r="515" spans="2:10">
      <c r="B515" s="2793">
        <v>8302</v>
      </c>
      <c r="C515" s="2793" t="s">
        <v>1222</v>
      </c>
      <c r="D515" s="2793">
        <v>1</v>
      </c>
      <c r="E515" s="2793"/>
      <c r="F515" s="2793" t="s">
        <v>5699</v>
      </c>
      <c r="G515" s="2793" t="s">
        <v>991</v>
      </c>
      <c r="H515" s="2793"/>
      <c r="I515" s="2793">
        <v>8302</v>
      </c>
      <c r="J515" s="2793" t="s">
        <v>84</v>
      </c>
    </row>
    <row r="516" spans="2:10">
      <c r="B516" s="2793">
        <v>8303</v>
      </c>
      <c r="C516" s="2793" t="s">
        <v>1227</v>
      </c>
      <c r="D516" s="2793">
        <v>1</v>
      </c>
      <c r="E516" s="2793"/>
      <c r="F516" s="2793" t="s">
        <v>5699</v>
      </c>
      <c r="G516" s="2793" t="s">
        <v>997</v>
      </c>
      <c r="H516" s="2793"/>
      <c r="I516" s="2793">
        <v>8303</v>
      </c>
      <c r="J516" s="2793" t="s">
        <v>84</v>
      </c>
    </row>
    <row r="517" spans="2:10">
      <c r="B517" s="2793">
        <v>8304</v>
      </c>
      <c r="C517" s="2793" t="s">
        <v>1232</v>
      </c>
      <c r="D517" s="2793">
        <v>1</v>
      </c>
      <c r="E517" s="2793" t="s">
        <v>708</v>
      </c>
      <c r="F517" s="2793" t="s">
        <v>5699</v>
      </c>
      <c r="G517" s="2793" t="s">
        <v>1004</v>
      </c>
      <c r="H517" s="2793"/>
      <c r="I517" s="2793">
        <v>8304</v>
      </c>
      <c r="J517" s="2793" t="s">
        <v>84</v>
      </c>
    </row>
    <row r="518" spans="2:10">
      <c r="B518" s="2793">
        <v>8309</v>
      </c>
      <c r="C518" s="2793" t="s">
        <v>1239</v>
      </c>
      <c r="D518" s="2793">
        <v>1</v>
      </c>
      <c r="E518" s="2793" t="s">
        <v>999</v>
      </c>
      <c r="F518" s="2793" t="s">
        <v>5699</v>
      </c>
      <c r="G518" s="2793" t="s">
        <v>932</v>
      </c>
      <c r="H518" s="2793"/>
      <c r="I518" s="2793">
        <v>8309</v>
      </c>
      <c r="J518" s="2793" t="s">
        <v>84</v>
      </c>
    </row>
    <row r="519" spans="2:10">
      <c r="B519" s="2793">
        <v>8310</v>
      </c>
      <c r="C519" s="2793" t="s">
        <v>1926</v>
      </c>
      <c r="D519" s="2793"/>
      <c r="E519" s="2793" t="s">
        <v>287</v>
      </c>
      <c r="F519" s="2793"/>
      <c r="G519" s="2793" t="s">
        <v>1013</v>
      </c>
      <c r="H519" s="2793"/>
      <c r="I519" s="2793">
        <v>8310</v>
      </c>
      <c r="J519" s="2793"/>
    </row>
    <row r="520" spans="2:10">
      <c r="B520" s="2793">
        <v>8390</v>
      </c>
      <c r="C520" s="2793" t="s">
        <v>1929</v>
      </c>
      <c r="D520" s="2793"/>
      <c r="E520" s="2793" t="s">
        <v>287</v>
      </c>
      <c r="F520" s="2793"/>
      <c r="G520" s="2793" t="s">
        <v>1172</v>
      </c>
      <c r="H520" s="2793"/>
      <c r="I520" s="2793">
        <v>8390</v>
      </c>
      <c r="J520" s="2793"/>
    </row>
    <row r="521" spans="2:10">
      <c r="B521" s="2793">
        <v>8350</v>
      </c>
      <c r="C521" s="2793" t="s">
        <v>1932</v>
      </c>
      <c r="D521" s="2793"/>
      <c r="E521" s="2793" t="s">
        <v>287</v>
      </c>
      <c r="F521" s="2793"/>
      <c r="G521" s="2793" t="s">
        <v>1036</v>
      </c>
      <c r="H521" s="2793"/>
      <c r="I521" s="2793">
        <v>8350</v>
      </c>
      <c r="J521" s="2793"/>
    </row>
    <row r="522" spans="2:10">
      <c r="B522" s="2793">
        <v>8351</v>
      </c>
      <c r="C522" s="2793" t="s">
        <v>1258</v>
      </c>
      <c r="D522" s="2793">
        <v>1</v>
      </c>
      <c r="E522" s="2793"/>
      <c r="F522" s="2793" t="s">
        <v>5699</v>
      </c>
      <c r="G522" s="2793" t="s">
        <v>1182</v>
      </c>
      <c r="H522" s="2793"/>
      <c r="I522" s="2793">
        <v>8351</v>
      </c>
      <c r="J522" s="2793" t="s">
        <v>84</v>
      </c>
    </row>
    <row r="523" spans="2:10">
      <c r="B523" s="2793">
        <v>8352</v>
      </c>
      <c r="C523" s="2793" t="s">
        <v>1263</v>
      </c>
      <c r="D523" s="2793">
        <v>1</v>
      </c>
      <c r="E523" s="2793" t="s">
        <v>999</v>
      </c>
      <c r="F523" s="2793" t="s">
        <v>5699</v>
      </c>
      <c r="G523" s="2793" t="s">
        <v>1055</v>
      </c>
      <c r="H523" s="2793"/>
      <c r="I523" s="2793">
        <v>8352</v>
      </c>
      <c r="J523" s="2793" t="s">
        <v>84</v>
      </c>
    </row>
    <row r="524" spans="2:10">
      <c r="B524" s="2793">
        <v>8353</v>
      </c>
      <c r="C524" s="2793" t="s">
        <v>1268</v>
      </c>
      <c r="D524" s="2793">
        <v>1</v>
      </c>
      <c r="E524" s="2793" t="s">
        <v>331</v>
      </c>
      <c r="F524" s="2793" t="s">
        <v>5699</v>
      </c>
      <c r="G524" s="2793" t="s">
        <v>1049</v>
      </c>
      <c r="H524" s="2793"/>
      <c r="I524" s="2793">
        <v>8353</v>
      </c>
      <c r="J524" s="2793" t="s">
        <v>84</v>
      </c>
    </row>
    <row r="525" spans="2:10">
      <c r="B525" s="2793">
        <v>8356</v>
      </c>
      <c r="C525" s="2793" t="s">
        <v>1273</v>
      </c>
      <c r="D525" s="2793">
        <v>1</v>
      </c>
      <c r="E525" s="2793" t="s">
        <v>999</v>
      </c>
      <c r="F525" s="2793" t="s">
        <v>5699</v>
      </c>
      <c r="G525" s="2793" t="s">
        <v>932</v>
      </c>
      <c r="H525" s="2793"/>
      <c r="I525" s="2793">
        <v>8356</v>
      </c>
      <c r="J525" s="2793" t="s">
        <v>84</v>
      </c>
    </row>
    <row r="526" spans="2:10">
      <c r="B526" s="2793">
        <v>8360</v>
      </c>
      <c r="C526" s="2793" t="s">
        <v>1943</v>
      </c>
      <c r="D526" s="2793"/>
      <c r="E526" s="2793" t="s">
        <v>287</v>
      </c>
      <c r="F526" s="2793"/>
      <c r="G526" s="2793" t="s">
        <v>1066</v>
      </c>
      <c r="H526" s="2793"/>
      <c r="I526" s="2793">
        <v>8360</v>
      </c>
      <c r="J526" s="2793"/>
    </row>
    <row r="527" spans="2:10">
      <c r="B527" s="2793">
        <v>8363</v>
      </c>
      <c r="C527" s="2793" t="s">
        <v>1288</v>
      </c>
      <c r="D527" s="2793">
        <v>1</v>
      </c>
      <c r="E527" s="2793" t="s">
        <v>999</v>
      </c>
      <c r="F527" s="2793" t="s">
        <v>5699</v>
      </c>
      <c r="G527" s="2793" t="s">
        <v>1081</v>
      </c>
      <c r="H527" s="2793"/>
      <c r="I527" s="2793">
        <v>8363</v>
      </c>
      <c r="J527" s="2793" t="s">
        <v>84</v>
      </c>
    </row>
    <row r="528" spans="2:10">
      <c r="B528" s="2793">
        <v>8366</v>
      </c>
      <c r="C528" s="2793" t="s">
        <v>1293</v>
      </c>
      <c r="D528" s="2793">
        <v>1</v>
      </c>
      <c r="E528" s="2793" t="s">
        <v>999</v>
      </c>
      <c r="F528" s="2793" t="s">
        <v>5699</v>
      </c>
      <c r="G528" s="2793" t="s">
        <v>932</v>
      </c>
      <c r="H528" s="2793"/>
      <c r="I528" s="2793">
        <v>8366</v>
      </c>
      <c r="J528" s="2793" t="s">
        <v>84</v>
      </c>
    </row>
    <row r="529" spans="2:10">
      <c r="B529" s="2793">
        <v>8370</v>
      </c>
      <c r="C529" s="2793" t="s">
        <v>1950</v>
      </c>
      <c r="D529" s="2793"/>
      <c r="E529" s="2793" t="s">
        <v>287</v>
      </c>
      <c r="F529" s="2793"/>
      <c r="G529" s="2793" t="s">
        <v>1188</v>
      </c>
      <c r="H529" s="2793"/>
      <c r="I529" s="2793">
        <v>8370</v>
      </c>
      <c r="J529" s="2793"/>
    </row>
    <row r="530" spans="2:10">
      <c r="B530" s="2793">
        <v>8375</v>
      </c>
      <c r="C530" s="2793" t="s">
        <v>1314</v>
      </c>
      <c r="D530" s="2793">
        <v>1</v>
      </c>
      <c r="E530" s="2793" t="s">
        <v>331</v>
      </c>
      <c r="F530" s="2793" t="s">
        <v>5699</v>
      </c>
      <c r="G530" s="2793" t="s">
        <v>1114</v>
      </c>
      <c r="H530" s="2793"/>
      <c r="I530" s="2793">
        <v>8375</v>
      </c>
      <c r="J530" s="2793" t="s">
        <v>84</v>
      </c>
    </row>
    <row r="531" spans="2:10">
      <c r="B531" s="2793">
        <v>8376</v>
      </c>
      <c r="C531" s="2793" t="s">
        <v>1320</v>
      </c>
      <c r="D531" s="2793">
        <v>1</v>
      </c>
      <c r="E531" s="2793"/>
      <c r="F531" s="2793" t="s">
        <v>5699</v>
      </c>
      <c r="G531" s="2793" t="s">
        <v>932</v>
      </c>
      <c r="H531" s="2793"/>
      <c r="I531" s="2793">
        <v>8376</v>
      </c>
      <c r="J531" s="2793" t="s">
        <v>84</v>
      </c>
    </row>
    <row r="532" spans="2:10">
      <c r="B532" s="2793">
        <v>8377</v>
      </c>
      <c r="C532" s="2793" t="s">
        <v>1325</v>
      </c>
      <c r="D532" s="2793">
        <v>1</v>
      </c>
      <c r="E532" s="2793" t="s">
        <v>119</v>
      </c>
      <c r="F532" s="2793"/>
      <c r="G532" s="2793" t="s">
        <v>2416</v>
      </c>
      <c r="H532" s="2793" t="s">
        <v>2416</v>
      </c>
      <c r="I532" s="2793">
        <v>8377</v>
      </c>
      <c r="J532" s="2793" t="s">
        <v>84</v>
      </c>
    </row>
    <row r="533" spans="2:10">
      <c r="B533" s="2793">
        <v>8396</v>
      </c>
      <c r="C533" s="2793" t="s">
        <v>1340</v>
      </c>
      <c r="D533" s="2793">
        <v>1</v>
      </c>
      <c r="E533" s="2793" t="s">
        <v>999</v>
      </c>
      <c r="F533" s="2793" t="s">
        <v>5699</v>
      </c>
      <c r="G533" s="2793" t="s">
        <v>1203</v>
      </c>
      <c r="H533" s="2793"/>
      <c r="I533" s="2793">
        <v>8396</v>
      </c>
      <c r="J533" s="2793" t="s">
        <v>84</v>
      </c>
    </row>
    <row r="534" spans="2:10">
      <c r="B534" s="2793">
        <v>8399</v>
      </c>
      <c r="C534" s="2793" t="s">
        <v>1959</v>
      </c>
      <c r="D534" s="2793"/>
      <c r="E534" s="2793" t="s">
        <v>287</v>
      </c>
      <c r="F534" s="2793"/>
      <c r="G534" s="2793" t="s">
        <v>1208</v>
      </c>
      <c r="H534" s="2793"/>
      <c r="I534" s="2793">
        <v>8399</v>
      </c>
      <c r="J534" s="2793"/>
    </row>
    <row r="535" spans="2:10">
      <c r="B535" s="2793">
        <v>8361</v>
      </c>
      <c r="C535" s="2793" t="s">
        <v>1278</v>
      </c>
      <c r="D535" s="2793">
        <v>1</v>
      </c>
      <c r="E535" s="2793" t="s">
        <v>213</v>
      </c>
      <c r="F535" s="2793"/>
      <c r="G535" s="2793" t="s">
        <v>1071</v>
      </c>
      <c r="H535" s="2793"/>
      <c r="I535" s="2793">
        <v>8361</v>
      </c>
      <c r="J535" s="2793" t="s">
        <v>84</v>
      </c>
    </row>
    <row r="536" spans="2:10">
      <c r="B536" s="2793">
        <v>8362</v>
      </c>
      <c r="C536" s="2793" t="s">
        <v>1283</v>
      </c>
      <c r="D536" s="2793">
        <v>1</v>
      </c>
      <c r="E536" s="2793" t="s">
        <v>213</v>
      </c>
      <c r="F536" s="2793"/>
      <c r="G536" s="2793" t="s">
        <v>1076</v>
      </c>
      <c r="H536" s="2793"/>
      <c r="I536" s="2793">
        <v>8362</v>
      </c>
      <c r="J536" s="2793" t="s">
        <v>84</v>
      </c>
    </row>
    <row r="537" spans="2:10">
      <c r="B537" s="2793">
        <v>8371</v>
      </c>
      <c r="C537" s="2793" t="s">
        <v>1299</v>
      </c>
      <c r="D537" s="2793">
        <v>1</v>
      </c>
      <c r="E537" s="2793" t="s">
        <v>213</v>
      </c>
      <c r="F537" s="2793"/>
      <c r="G537" s="2793" t="s">
        <v>1095</v>
      </c>
      <c r="H537" s="2793"/>
      <c r="I537" s="2793">
        <v>8371</v>
      </c>
      <c r="J537" s="2793" t="s">
        <v>84</v>
      </c>
    </row>
    <row r="538" spans="2:10">
      <c r="B538" s="2793">
        <v>8372</v>
      </c>
      <c r="C538" s="2793" t="s">
        <v>1303</v>
      </c>
      <c r="D538" s="2793">
        <v>1</v>
      </c>
      <c r="E538" s="2793" t="s">
        <v>213</v>
      </c>
      <c r="F538" s="2793"/>
      <c r="G538" s="2793" t="s">
        <v>1102</v>
      </c>
      <c r="H538" s="2793"/>
      <c r="I538" s="2793">
        <v>8372</v>
      </c>
      <c r="J538" s="2793" t="s">
        <v>84</v>
      </c>
    </row>
    <row r="539" spans="2:10">
      <c r="B539" s="2793">
        <v>8373</v>
      </c>
      <c r="C539" s="2793" t="s">
        <v>1309</v>
      </c>
      <c r="D539" s="2793">
        <v>1</v>
      </c>
      <c r="E539" s="2793" t="s">
        <v>213</v>
      </c>
      <c r="F539" s="2793"/>
      <c r="G539" s="2793" t="s">
        <v>1109</v>
      </c>
      <c r="H539" s="2793"/>
      <c r="I539" s="2793">
        <v>8373</v>
      </c>
      <c r="J539" s="2793" t="s">
        <v>84</v>
      </c>
    </row>
    <row r="540" spans="2:10">
      <c r="B540" s="2793">
        <v>8381</v>
      </c>
      <c r="C540" s="2793" t="s">
        <v>1330</v>
      </c>
      <c r="D540" s="2793">
        <v>1</v>
      </c>
      <c r="E540" s="2793" t="s">
        <v>213</v>
      </c>
      <c r="F540" s="2793"/>
      <c r="G540" s="2793" t="s">
        <v>1129</v>
      </c>
      <c r="H540" s="2793"/>
      <c r="I540" s="2793">
        <v>8381</v>
      </c>
      <c r="J540" s="2793" t="s">
        <v>84</v>
      </c>
    </row>
    <row r="541" spans="2:10">
      <c r="B541" s="2793">
        <v>8382</v>
      </c>
      <c r="C541" s="2793" t="s">
        <v>1335</v>
      </c>
      <c r="D541" s="2793">
        <v>1</v>
      </c>
      <c r="E541" s="2793" t="s">
        <v>213</v>
      </c>
      <c r="F541" s="2793"/>
      <c r="G541" s="2793" t="s">
        <v>1355</v>
      </c>
      <c r="H541" s="2793"/>
      <c r="I541" s="2793">
        <v>8382</v>
      </c>
      <c r="J541" s="2793" t="s">
        <v>84</v>
      </c>
    </row>
    <row r="542" spans="2:10">
      <c r="B542" s="2793">
        <v>8340</v>
      </c>
      <c r="C542" s="2793" t="s">
        <v>1254</v>
      </c>
      <c r="D542" s="2793">
        <v>1</v>
      </c>
      <c r="E542" s="2793"/>
      <c r="F542" s="2793"/>
      <c r="G542" s="2793" t="s">
        <v>1032</v>
      </c>
      <c r="H542" s="2793"/>
      <c r="I542" s="2793">
        <v>8340</v>
      </c>
      <c r="J542" s="2793" t="s">
        <v>84</v>
      </c>
    </row>
    <row r="543" spans="2:10">
      <c r="B543" s="2793">
        <v>8380</v>
      </c>
      <c r="C543" s="2793" t="s">
        <v>2333</v>
      </c>
      <c r="D543" s="2793"/>
      <c r="E543" s="2793" t="s">
        <v>287</v>
      </c>
      <c r="F543" s="2793"/>
      <c r="G543" s="2793" t="s">
        <v>1124</v>
      </c>
      <c r="H543" s="2793"/>
      <c r="I543" s="2793">
        <v>8380</v>
      </c>
      <c r="J543" s="2793"/>
    </row>
    <row r="544" spans="2:10">
      <c r="B544" s="2793">
        <v>8400</v>
      </c>
      <c r="C544" s="2793" t="s">
        <v>1962</v>
      </c>
      <c r="D544" s="2793"/>
      <c r="E544" s="2793" t="s">
        <v>41</v>
      </c>
      <c r="F544" s="2793"/>
      <c r="G544" s="2793" t="s">
        <v>1962</v>
      </c>
      <c r="H544" s="2793"/>
      <c r="I544" s="2793">
        <v>8400</v>
      </c>
      <c r="J544" s="2793"/>
    </row>
    <row r="545" spans="2:10">
      <c r="B545" s="2793">
        <v>8401</v>
      </c>
      <c r="C545" s="2793" t="s">
        <v>1346</v>
      </c>
      <c r="D545" s="2793">
        <v>-1</v>
      </c>
      <c r="E545" s="2793"/>
      <c r="F545" s="2793" t="s">
        <v>5701</v>
      </c>
      <c r="G545" s="2793" t="s">
        <v>985</v>
      </c>
      <c r="H545" s="2793"/>
      <c r="I545" s="2793">
        <v>8401</v>
      </c>
      <c r="J545" s="2793" t="s">
        <v>84</v>
      </c>
    </row>
    <row r="546" spans="2:10">
      <c r="B546" s="2793">
        <v>8402</v>
      </c>
      <c r="C546" s="2793" t="s">
        <v>1350</v>
      </c>
      <c r="D546" s="2793">
        <v>-1</v>
      </c>
      <c r="E546" s="2793"/>
      <c r="F546" s="2793" t="s">
        <v>5701</v>
      </c>
      <c r="G546" s="2793" t="s">
        <v>991</v>
      </c>
      <c r="H546" s="2793"/>
      <c r="I546" s="2793">
        <v>8402</v>
      </c>
      <c r="J546" s="2793" t="s">
        <v>84</v>
      </c>
    </row>
    <row r="547" spans="2:10">
      <c r="B547" s="2793">
        <v>8403</v>
      </c>
      <c r="C547" s="2793" t="s">
        <v>1356</v>
      </c>
      <c r="D547" s="2793">
        <v>-1</v>
      </c>
      <c r="E547" s="2793"/>
      <c r="F547" s="2793" t="s">
        <v>5701</v>
      </c>
      <c r="G547" s="2793" t="s">
        <v>997</v>
      </c>
      <c r="H547" s="2793"/>
      <c r="I547" s="2793">
        <v>8403</v>
      </c>
      <c r="J547" s="2793" t="s">
        <v>84</v>
      </c>
    </row>
    <row r="548" spans="2:10">
      <c r="B548" s="2793">
        <v>8404</v>
      </c>
      <c r="C548" s="2793" t="s">
        <v>1362</v>
      </c>
      <c r="D548" s="2793">
        <v>-1</v>
      </c>
      <c r="E548" s="2793" t="s">
        <v>708</v>
      </c>
      <c r="F548" s="2793" t="s">
        <v>5701</v>
      </c>
      <c r="G548" s="2793" t="s">
        <v>1004</v>
      </c>
      <c r="H548" s="2793"/>
      <c r="I548" s="2793">
        <v>8404</v>
      </c>
      <c r="J548" s="2793" t="s">
        <v>84</v>
      </c>
    </row>
    <row r="549" spans="2:10">
      <c r="B549" s="2793">
        <v>8409</v>
      </c>
      <c r="C549" s="2793" t="s">
        <v>1368</v>
      </c>
      <c r="D549" s="2793">
        <v>-1</v>
      </c>
      <c r="E549" s="2793" t="s">
        <v>999</v>
      </c>
      <c r="F549" s="2793" t="s">
        <v>5701</v>
      </c>
      <c r="G549" s="2793" t="s">
        <v>932</v>
      </c>
      <c r="H549" s="2793"/>
      <c r="I549" s="2793">
        <v>8409</v>
      </c>
      <c r="J549" s="2793" t="s">
        <v>84</v>
      </c>
    </row>
    <row r="550" spans="2:10">
      <c r="B550" s="2793">
        <v>8410</v>
      </c>
      <c r="C550" s="2793" t="s">
        <v>1977</v>
      </c>
      <c r="D550" s="2793"/>
      <c r="E550" s="2793" t="s">
        <v>287</v>
      </c>
      <c r="F550" s="2793"/>
      <c r="G550" s="2793" t="s">
        <v>1013</v>
      </c>
      <c r="H550" s="2793"/>
      <c r="I550" s="2793">
        <v>8410</v>
      </c>
      <c r="J550" s="2793"/>
    </row>
    <row r="551" spans="2:10">
      <c r="B551" s="2793">
        <v>8453</v>
      </c>
      <c r="C551" s="2793" t="s">
        <v>1399</v>
      </c>
      <c r="D551" s="2793">
        <v>-1</v>
      </c>
      <c r="E551" s="2793" t="s">
        <v>331</v>
      </c>
      <c r="F551" s="2793" t="s">
        <v>5701</v>
      </c>
      <c r="G551" s="2793" t="s">
        <v>1049</v>
      </c>
      <c r="H551" s="2793"/>
      <c r="I551" s="2793">
        <v>8453</v>
      </c>
      <c r="J551" s="2793" t="s">
        <v>84</v>
      </c>
    </row>
    <row r="552" spans="2:10">
      <c r="B552" s="2793">
        <v>8490</v>
      </c>
      <c r="C552" s="2793" t="s">
        <v>1982</v>
      </c>
      <c r="D552" s="2793"/>
      <c r="E552" s="2793" t="s">
        <v>287</v>
      </c>
      <c r="F552" s="2793"/>
      <c r="G552" s="2793" t="s">
        <v>1172</v>
      </c>
      <c r="H552" s="2793"/>
      <c r="I552" s="2793">
        <v>8490</v>
      </c>
      <c r="J552" s="2793"/>
    </row>
    <row r="553" spans="2:10">
      <c r="B553" s="2793">
        <v>8470</v>
      </c>
      <c r="C553" s="2793" t="s">
        <v>1985</v>
      </c>
      <c r="D553" s="2793"/>
      <c r="E553" s="2793" t="s">
        <v>287</v>
      </c>
      <c r="F553" s="2793"/>
      <c r="G553" s="2793" t="s">
        <v>1188</v>
      </c>
      <c r="H553" s="2793"/>
      <c r="I553" s="2793">
        <v>8470</v>
      </c>
      <c r="J553" s="2793"/>
    </row>
    <row r="554" spans="2:10">
      <c r="B554" s="2793">
        <v>8475</v>
      </c>
      <c r="C554" s="2793" t="s">
        <v>1447</v>
      </c>
      <c r="D554" s="2793">
        <v>-1</v>
      </c>
      <c r="E554" s="2793" t="s">
        <v>331</v>
      </c>
      <c r="F554" s="2793" t="s">
        <v>5701</v>
      </c>
      <c r="G554" s="2793" t="s">
        <v>1114</v>
      </c>
      <c r="H554" s="2793"/>
      <c r="I554" s="2793">
        <v>8475</v>
      </c>
      <c r="J554" s="2793" t="s">
        <v>84</v>
      </c>
    </row>
    <row r="555" spans="2:10">
      <c r="B555" s="2793">
        <v>8476</v>
      </c>
      <c r="C555" s="2793" t="s">
        <v>1452</v>
      </c>
      <c r="D555" s="2793">
        <v>-1</v>
      </c>
      <c r="E555" s="2793" t="s">
        <v>999</v>
      </c>
      <c r="F555" s="2793" t="s">
        <v>5701</v>
      </c>
      <c r="G555" s="2793" t="s">
        <v>932</v>
      </c>
      <c r="H555" s="2793"/>
      <c r="I555" s="2793">
        <v>8476</v>
      </c>
      <c r="J555" s="2793" t="s">
        <v>84</v>
      </c>
    </row>
    <row r="556" spans="2:10">
      <c r="B556" s="2793">
        <v>8477</v>
      </c>
      <c r="C556" s="2793" t="s">
        <v>1457</v>
      </c>
      <c r="D556" s="2793">
        <v>-1</v>
      </c>
      <c r="E556" s="2793" t="s">
        <v>119</v>
      </c>
      <c r="F556" s="2793"/>
      <c r="G556" s="2793" t="s">
        <v>2416</v>
      </c>
      <c r="H556" s="2793" t="s">
        <v>2416</v>
      </c>
      <c r="I556" s="2793">
        <v>8477</v>
      </c>
      <c r="J556" s="2793" t="s">
        <v>84</v>
      </c>
    </row>
    <row r="557" spans="2:10">
      <c r="B557" s="2793">
        <v>8480</v>
      </c>
      <c r="C557" s="2793" t="s">
        <v>1992</v>
      </c>
      <c r="D557" s="2793"/>
      <c r="E557" s="2793" t="s">
        <v>287</v>
      </c>
      <c r="F557" s="2793"/>
      <c r="G557" s="2793" t="s">
        <v>1124</v>
      </c>
      <c r="H557" s="2793"/>
      <c r="I557" s="2793">
        <v>8480</v>
      </c>
      <c r="J557" s="2793"/>
    </row>
    <row r="558" spans="2:10">
      <c r="B558" s="2793">
        <v>8481</v>
      </c>
      <c r="C558" s="2793" t="s">
        <v>1462</v>
      </c>
      <c r="D558" s="2793">
        <v>-1</v>
      </c>
      <c r="E558" s="2793"/>
      <c r="F558" s="2793" t="s">
        <v>5701</v>
      </c>
      <c r="G558" s="2793" t="s">
        <v>1129</v>
      </c>
      <c r="H558" s="2793"/>
      <c r="I558" s="2793">
        <v>8481</v>
      </c>
      <c r="J558" s="2793" t="s">
        <v>84</v>
      </c>
    </row>
    <row r="559" spans="2:10">
      <c r="B559" s="2793">
        <v>8482</v>
      </c>
      <c r="C559" s="2793" t="s">
        <v>1468</v>
      </c>
      <c r="D559" s="2793">
        <v>-1</v>
      </c>
      <c r="E559" s="2793"/>
      <c r="F559" s="2793" t="s">
        <v>5701</v>
      </c>
      <c r="G559" s="2793" t="s">
        <v>1355</v>
      </c>
      <c r="H559" s="2793"/>
      <c r="I559" s="2793">
        <v>8482</v>
      </c>
      <c r="J559" s="2793" t="s">
        <v>84</v>
      </c>
    </row>
    <row r="560" spans="2:10">
      <c r="B560" s="2793">
        <v>8496</v>
      </c>
      <c r="C560" s="2793" t="s">
        <v>1473</v>
      </c>
      <c r="D560" s="2793">
        <v>-1</v>
      </c>
      <c r="E560" s="2793" t="s">
        <v>999</v>
      </c>
      <c r="F560" s="2793" t="s">
        <v>5701</v>
      </c>
      <c r="G560" s="2793" t="s">
        <v>1203</v>
      </c>
      <c r="H560" s="2793"/>
      <c r="I560" s="2793">
        <v>8496</v>
      </c>
      <c r="J560" s="2793" t="s">
        <v>84</v>
      </c>
    </row>
    <row r="561" spans="2:10">
      <c r="B561" s="2793">
        <v>8499</v>
      </c>
      <c r="C561" s="2793" t="s">
        <v>2002</v>
      </c>
      <c r="D561" s="2793"/>
      <c r="E561" s="2793" t="s">
        <v>287</v>
      </c>
      <c r="F561" s="2793"/>
      <c r="G561" s="2793" t="s">
        <v>1208</v>
      </c>
      <c r="H561" s="2793"/>
      <c r="I561" s="2793">
        <v>8499</v>
      </c>
      <c r="J561" s="2793"/>
    </row>
    <row r="562" spans="2:10">
      <c r="B562" s="2793">
        <v>8451</v>
      </c>
      <c r="C562" s="2793" t="s">
        <v>1389</v>
      </c>
      <c r="D562" s="2793">
        <v>-1</v>
      </c>
      <c r="E562" s="2793" t="s">
        <v>213</v>
      </c>
      <c r="F562" s="2793"/>
      <c r="G562" s="2793" t="s">
        <v>1182</v>
      </c>
      <c r="H562" s="2793"/>
      <c r="I562" s="2793">
        <v>8451</v>
      </c>
      <c r="J562" s="2793" t="s">
        <v>84</v>
      </c>
    </row>
    <row r="563" spans="2:10">
      <c r="B563" s="2793">
        <v>8452</v>
      </c>
      <c r="C563" s="2793" t="s">
        <v>1394</v>
      </c>
      <c r="D563" s="2793">
        <v>-1</v>
      </c>
      <c r="E563" s="2793" t="s">
        <v>213</v>
      </c>
      <c r="F563" s="2793"/>
      <c r="G563" s="2793" t="s">
        <v>1055</v>
      </c>
      <c r="H563" s="2793"/>
      <c r="I563" s="2793">
        <v>8452</v>
      </c>
      <c r="J563" s="2793" t="s">
        <v>84</v>
      </c>
    </row>
    <row r="564" spans="2:10">
      <c r="B564" s="2793">
        <v>8456</v>
      </c>
      <c r="C564" s="2793" t="s">
        <v>1404</v>
      </c>
      <c r="D564" s="2793">
        <v>-1</v>
      </c>
      <c r="E564" s="2793" t="s">
        <v>213</v>
      </c>
      <c r="F564" s="2793"/>
      <c r="G564" s="2793" t="s">
        <v>932</v>
      </c>
      <c r="H564" s="2793"/>
      <c r="I564" s="2793">
        <v>8456</v>
      </c>
      <c r="J564" s="2793" t="s">
        <v>84</v>
      </c>
    </row>
    <row r="565" spans="2:10">
      <c r="B565" s="2793">
        <v>8461</v>
      </c>
      <c r="C565" s="2793" t="s">
        <v>1409</v>
      </c>
      <c r="D565" s="2793">
        <v>-1</v>
      </c>
      <c r="E565" s="2793" t="s">
        <v>213</v>
      </c>
      <c r="F565" s="2793"/>
      <c r="G565" s="2793" t="s">
        <v>1071</v>
      </c>
      <c r="H565" s="2793"/>
      <c r="I565" s="2793">
        <v>8461</v>
      </c>
      <c r="J565" s="2793" t="s">
        <v>84</v>
      </c>
    </row>
    <row r="566" spans="2:10">
      <c r="B566" s="2793">
        <v>8462</v>
      </c>
      <c r="C566" s="2793" t="s">
        <v>1415</v>
      </c>
      <c r="D566" s="2793">
        <v>-1</v>
      </c>
      <c r="E566" s="2793" t="s">
        <v>213</v>
      </c>
      <c r="F566" s="2793"/>
      <c r="G566" s="2793" t="s">
        <v>1076</v>
      </c>
      <c r="H566" s="2793"/>
      <c r="I566" s="2793">
        <v>8462</v>
      </c>
      <c r="J566" s="2793" t="s">
        <v>84</v>
      </c>
    </row>
    <row r="567" spans="2:10">
      <c r="B567" s="2793">
        <v>8463</v>
      </c>
      <c r="C567" s="2793" t="s">
        <v>1420</v>
      </c>
      <c r="D567" s="2793">
        <v>-1</v>
      </c>
      <c r="E567" s="2793" t="s">
        <v>213</v>
      </c>
      <c r="F567" s="2793"/>
      <c r="G567" s="2793" t="s">
        <v>1081</v>
      </c>
      <c r="H567" s="2793"/>
      <c r="I567" s="2793">
        <v>8463</v>
      </c>
      <c r="J567" s="2793" t="s">
        <v>84</v>
      </c>
    </row>
    <row r="568" spans="2:10">
      <c r="B568" s="2793">
        <v>8466</v>
      </c>
      <c r="C568" s="2793" t="s">
        <v>1426</v>
      </c>
      <c r="D568" s="2793">
        <v>-1</v>
      </c>
      <c r="E568" s="2793" t="s">
        <v>213</v>
      </c>
      <c r="F568" s="2793"/>
      <c r="G568" s="2793" t="s">
        <v>932</v>
      </c>
      <c r="H568" s="2793"/>
      <c r="I568" s="2793">
        <v>8466</v>
      </c>
      <c r="J568" s="2793" t="s">
        <v>84</v>
      </c>
    </row>
    <row r="569" spans="2:10">
      <c r="B569" s="2793">
        <v>8471</v>
      </c>
      <c r="C569" s="2793" t="s">
        <v>1431</v>
      </c>
      <c r="D569" s="2793">
        <v>-1</v>
      </c>
      <c r="E569" s="2793" t="s">
        <v>213</v>
      </c>
      <c r="F569" s="2793"/>
      <c r="G569" s="2793" t="s">
        <v>1095</v>
      </c>
      <c r="H569" s="2793"/>
      <c r="I569" s="2793">
        <v>8471</v>
      </c>
      <c r="J569" s="2793" t="s">
        <v>84</v>
      </c>
    </row>
    <row r="570" spans="2:10">
      <c r="B570" s="2793">
        <v>8472</v>
      </c>
      <c r="C570" s="2793" t="s">
        <v>1436</v>
      </c>
      <c r="D570" s="2793">
        <v>-1</v>
      </c>
      <c r="E570" s="2793" t="s">
        <v>213</v>
      </c>
      <c r="F570" s="2793"/>
      <c r="G570" s="2793" t="s">
        <v>1102</v>
      </c>
      <c r="H570" s="2793"/>
      <c r="I570" s="2793">
        <v>8472</v>
      </c>
      <c r="J570" s="2793" t="s">
        <v>84</v>
      </c>
    </row>
    <row r="571" spans="2:10">
      <c r="B571" s="2793">
        <v>8473</v>
      </c>
      <c r="C571" s="2793" t="s">
        <v>1442</v>
      </c>
      <c r="D571" s="2793">
        <v>-1</v>
      </c>
      <c r="E571" s="2793" t="s">
        <v>213</v>
      </c>
      <c r="F571" s="2793"/>
      <c r="G571" s="2793" t="s">
        <v>1109</v>
      </c>
      <c r="H571" s="2793"/>
      <c r="I571" s="2793">
        <v>8473</v>
      </c>
      <c r="J571" s="2793" t="s">
        <v>84</v>
      </c>
    </row>
    <row r="572" spans="2:10">
      <c r="B572" s="2793">
        <v>8440</v>
      </c>
      <c r="C572" s="2793" t="s">
        <v>1384</v>
      </c>
      <c r="D572" s="2793">
        <v>-1</v>
      </c>
      <c r="E572" s="2793"/>
      <c r="F572" s="2793"/>
      <c r="G572" s="2793" t="s">
        <v>1032</v>
      </c>
      <c r="H572" s="2793"/>
      <c r="I572" s="2793">
        <v>8440</v>
      </c>
      <c r="J572" s="2793" t="s">
        <v>84</v>
      </c>
    </row>
    <row r="573" spans="2:10">
      <c r="B573" s="2793">
        <v>8450</v>
      </c>
      <c r="C573" s="2793" t="s">
        <v>2334</v>
      </c>
      <c r="D573" s="2793"/>
      <c r="E573" s="2793" t="s">
        <v>287</v>
      </c>
      <c r="F573" s="2793"/>
      <c r="G573" s="2793" t="s">
        <v>1036</v>
      </c>
      <c r="H573" s="2793"/>
      <c r="I573" s="2793">
        <v>8450</v>
      </c>
      <c r="J573" s="2793"/>
    </row>
    <row r="574" spans="2:10">
      <c r="B574" s="2793">
        <v>8460</v>
      </c>
      <c r="C574" s="2793" t="s">
        <v>2335</v>
      </c>
      <c r="D574" s="2793"/>
      <c r="E574" s="2793" t="s">
        <v>287</v>
      </c>
      <c r="F574" s="2793"/>
      <c r="G574" s="2793" t="s">
        <v>1066</v>
      </c>
      <c r="H574" s="2793"/>
      <c r="I574" s="2793">
        <v>8460</v>
      </c>
      <c r="J574" s="2793"/>
    </row>
    <row r="575" spans="2:10">
      <c r="B575" s="2793">
        <v>8500</v>
      </c>
      <c r="C575" s="2793" t="s">
        <v>2005</v>
      </c>
      <c r="D575" s="2793"/>
      <c r="E575" s="2793" t="s">
        <v>41</v>
      </c>
      <c r="F575" s="2793"/>
      <c r="G575" s="2793" t="s">
        <v>2005</v>
      </c>
      <c r="H575" s="2793"/>
      <c r="I575" s="2793">
        <v>8500</v>
      </c>
      <c r="J575" s="2793"/>
    </row>
    <row r="576" spans="2:10">
      <c r="B576" s="2793">
        <v>8501</v>
      </c>
      <c r="C576" s="2793" t="s">
        <v>1479</v>
      </c>
      <c r="D576" s="2793">
        <v>-1</v>
      </c>
      <c r="E576" s="2793"/>
      <c r="F576" s="2793" t="s">
        <v>4179</v>
      </c>
      <c r="G576" s="2793" t="s">
        <v>985</v>
      </c>
      <c r="H576" s="2793"/>
      <c r="I576" s="2793">
        <v>8501</v>
      </c>
      <c r="J576" s="2793" t="s">
        <v>84</v>
      </c>
    </row>
    <row r="577" spans="2:10">
      <c r="B577" s="2793">
        <v>8502</v>
      </c>
      <c r="C577" s="2793" t="s">
        <v>1484</v>
      </c>
      <c r="D577" s="2793">
        <v>-1</v>
      </c>
      <c r="E577" s="2793"/>
      <c r="F577" s="2793" t="s">
        <v>4179</v>
      </c>
      <c r="G577" s="2793" t="s">
        <v>991</v>
      </c>
      <c r="H577" s="2793"/>
      <c r="I577" s="2793">
        <v>8502</v>
      </c>
      <c r="J577" s="2793" t="s">
        <v>84</v>
      </c>
    </row>
    <row r="578" spans="2:10">
      <c r="B578" s="2793">
        <v>8503</v>
      </c>
      <c r="C578" s="2793" t="s">
        <v>1489</v>
      </c>
      <c r="D578" s="2793">
        <v>-1</v>
      </c>
      <c r="E578" s="2793"/>
      <c r="F578" s="2793" t="s">
        <v>4179</v>
      </c>
      <c r="G578" s="2793" t="s">
        <v>997</v>
      </c>
      <c r="H578" s="2793"/>
      <c r="I578" s="2793">
        <v>8503</v>
      </c>
      <c r="J578" s="2793" t="s">
        <v>84</v>
      </c>
    </row>
    <row r="579" spans="2:10">
      <c r="B579" s="2793">
        <v>8504</v>
      </c>
      <c r="C579" s="2793" t="s">
        <v>1494</v>
      </c>
      <c r="D579" s="2793">
        <v>-1</v>
      </c>
      <c r="E579" s="2793" t="s">
        <v>708</v>
      </c>
      <c r="F579" s="2793" t="s">
        <v>4179</v>
      </c>
      <c r="G579" s="2793" t="s">
        <v>1004</v>
      </c>
      <c r="H579" s="2793"/>
      <c r="I579" s="2793">
        <v>8504</v>
      </c>
      <c r="J579" s="2793" t="s">
        <v>84</v>
      </c>
    </row>
    <row r="580" spans="2:10">
      <c r="B580" s="2793">
        <v>8509</v>
      </c>
      <c r="C580" s="2793" t="s">
        <v>1499</v>
      </c>
      <c r="D580" s="2793">
        <v>-1</v>
      </c>
      <c r="E580" s="2793"/>
      <c r="F580" s="2793" t="s">
        <v>4179</v>
      </c>
      <c r="G580" s="2793" t="s">
        <v>932</v>
      </c>
      <c r="H580" s="2793"/>
      <c r="I580" s="2793">
        <v>8509</v>
      </c>
      <c r="J580" s="2793" t="s">
        <v>84</v>
      </c>
    </row>
    <row r="581" spans="2:10">
      <c r="B581" s="2793">
        <v>8510</v>
      </c>
      <c r="C581" s="2793" t="s">
        <v>2021</v>
      </c>
      <c r="D581" s="2793"/>
      <c r="E581" s="2793" t="s">
        <v>287</v>
      </c>
      <c r="F581" s="2793"/>
      <c r="G581" s="2793" t="s">
        <v>1013</v>
      </c>
      <c r="H581" s="2793"/>
      <c r="I581" s="2793">
        <v>8510</v>
      </c>
      <c r="J581" s="2793"/>
    </row>
    <row r="582" spans="2:10">
      <c r="B582" s="2793">
        <v>8590</v>
      </c>
      <c r="C582" s="2793" t="s">
        <v>2025</v>
      </c>
      <c r="D582" s="2793"/>
      <c r="E582" s="2793" t="s">
        <v>287</v>
      </c>
      <c r="F582" s="2793"/>
      <c r="G582" s="2793" t="s">
        <v>1172</v>
      </c>
      <c r="H582" s="2793"/>
      <c r="I582" s="2793">
        <v>8590</v>
      </c>
      <c r="J582" s="2793"/>
    </row>
    <row r="583" spans="2:10">
      <c r="B583" s="2793">
        <v>8550</v>
      </c>
      <c r="C583" s="2793" t="s">
        <v>2029</v>
      </c>
      <c r="D583" s="2793"/>
      <c r="E583" s="2793" t="s">
        <v>287</v>
      </c>
      <c r="F583" s="2793"/>
      <c r="G583" s="2793" t="s">
        <v>1036</v>
      </c>
      <c r="H583" s="2793"/>
      <c r="I583" s="2793">
        <v>8550</v>
      </c>
      <c r="J583" s="2793"/>
    </row>
    <row r="584" spans="2:10">
      <c r="B584" s="2793">
        <v>8553</v>
      </c>
      <c r="C584" s="2793" t="s">
        <v>1527</v>
      </c>
      <c r="D584" s="2793">
        <v>-1</v>
      </c>
      <c r="E584" s="2793" t="s">
        <v>331</v>
      </c>
      <c r="F584" s="2793" t="s">
        <v>4179</v>
      </c>
      <c r="G584" s="2793" t="s">
        <v>1049</v>
      </c>
      <c r="H584" s="2793"/>
      <c r="I584" s="2793">
        <v>8553</v>
      </c>
      <c r="J584" s="2793" t="s">
        <v>84</v>
      </c>
    </row>
    <row r="585" spans="2:10">
      <c r="B585" s="2793">
        <v>8556</v>
      </c>
      <c r="C585" s="2793" t="s">
        <v>1532</v>
      </c>
      <c r="D585" s="2793">
        <v>-1</v>
      </c>
      <c r="E585" s="2793" t="s">
        <v>999</v>
      </c>
      <c r="F585" s="2793" t="s">
        <v>4179</v>
      </c>
      <c r="G585" s="2793" t="s">
        <v>932</v>
      </c>
      <c r="H585" s="2793"/>
      <c r="I585" s="2793">
        <v>8556</v>
      </c>
      <c r="J585" s="2793" t="s">
        <v>84</v>
      </c>
    </row>
    <row r="586" spans="2:10">
      <c r="B586" s="2793">
        <v>8560</v>
      </c>
      <c r="C586" s="2793" t="s">
        <v>2041</v>
      </c>
      <c r="D586" s="2793"/>
      <c r="E586" s="2793" t="s">
        <v>287</v>
      </c>
      <c r="F586" s="2793"/>
      <c r="G586" s="2793" t="s">
        <v>1066</v>
      </c>
      <c r="H586" s="2793"/>
      <c r="I586" s="2793">
        <v>8560</v>
      </c>
      <c r="J586" s="2793"/>
    </row>
    <row r="587" spans="2:10">
      <c r="B587" s="2793">
        <v>8561</v>
      </c>
      <c r="C587" s="2793" t="s">
        <v>1537</v>
      </c>
      <c r="D587" s="2793">
        <v>-1</v>
      </c>
      <c r="E587" s="2793"/>
      <c r="F587" s="2793" t="s">
        <v>4179</v>
      </c>
      <c r="G587" s="2793" t="s">
        <v>1071</v>
      </c>
      <c r="H587" s="2793"/>
      <c r="I587" s="2793">
        <v>8561</v>
      </c>
      <c r="J587" s="2793" t="s">
        <v>84</v>
      </c>
    </row>
    <row r="588" spans="2:10">
      <c r="B588" s="2793">
        <v>8563</v>
      </c>
      <c r="C588" s="2793" t="s">
        <v>1548</v>
      </c>
      <c r="D588" s="2793">
        <v>-1</v>
      </c>
      <c r="E588" s="2793"/>
      <c r="F588" s="2793" t="s">
        <v>4179</v>
      </c>
      <c r="G588" s="2793" t="s">
        <v>1081</v>
      </c>
      <c r="H588" s="2793"/>
      <c r="I588" s="2793">
        <v>8563</v>
      </c>
      <c r="J588" s="2793" t="s">
        <v>84</v>
      </c>
    </row>
    <row r="589" spans="2:10">
      <c r="B589" s="2793">
        <v>8566</v>
      </c>
      <c r="C589" s="2793" t="s">
        <v>1553</v>
      </c>
      <c r="D589" s="2793">
        <v>-1</v>
      </c>
      <c r="E589" s="2793"/>
      <c r="F589" s="2793" t="s">
        <v>4179</v>
      </c>
      <c r="G589" s="2793" t="s">
        <v>932</v>
      </c>
      <c r="H589" s="2793"/>
      <c r="I589" s="2793">
        <v>8566</v>
      </c>
      <c r="J589" s="2793" t="s">
        <v>84</v>
      </c>
    </row>
    <row r="590" spans="2:10">
      <c r="B590" s="2793">
        <v>8570</v>
      </c>
      <c r="C590" s="2793" t="s">
        <v>2054</v>
      </c>
      <c r="D590" s="2793"/>
      <c r="E590" s="2793" t="s">
        <v>287</v>
      </c>
      <c r="F590" s="2793"/>
      <c r="G590" s="2793" t="s">
        <v>1188</v>
      </c>
      <c r="H590" s="2793"/>
      <c r="I590" s="2793">
        <v>8570</v>
      </c>
      <c r="J590" s="2793"/>
    </row>
    <row r="591" spans="2:10">
      <c r="B591" s="2793">
        <v>8572</v>
      </c>
      <c r="C591" s="2793" t="s">
        <v>1563</v>
      </c>
      <c r="D591" s="2793">
        <v>-1</v>
      </c>
      <c r="E591" s="2793"/>
      <c r="F591" s="2793" t="s">
        <v>4179</v>
      </c>
      <c r="G591" s="2793" t="s">
        <v>1102</v>
      </c>
      <c r="H591" s="2793"/>
      <c r="I591" s="2793">
        <v>8572</v>
      </c>
      <c r="J591" s="2793" t="s">
        <v>84</v>
      </c>
    </row>
    <row r="592" spans="2:10">
      <c r="B592" s="2793">
        <v>8573</v>
      </c>
      <c r="C592" s="2793" t="s">
        <v>1568</v>
      </c>
      <c r="D592" s="2793">
        <v>-1</v>
      </c>
      <c r="E592" s="2793"/>
      <c r="F592" s="2793" t="s">
        <v>4179</v>
      </c>
      <c r="G592" s="2793" t="s">
        <v>1109</v>
      </c>
      <c r="H592" s="2793"/>
      <c r="I592" s="2793">
        <v>8573</v>
      </c>
      <c r="J592" s="2793" t="s">
        <v>84</v>
      </c>
    </row>
    <row r="593" spans="2:10">
      <c r="B593" s="2793">
        <v>8575</v>
      </c>
      <c r="C593" s="2793" t="s">
        <v>1573</v>
      </c>
      <c r="D593" s="2793">
        <v>-1</v>
      </c>
      <c r="E593" s="2793" t="s">
        <v>331</v>
      </c>
      <c r="F593" s="2793" t="s">
        <v>4179</v>
      </c>
      <c r="G593" s="2793" t="s">
        <v>1114</v>
      </c>
      <c r="H593" s="2793"/>
      <c r="I593" s="2793">
        <v>8575</v>
      </c>
      <c r="J593" s="2793" t="s">
        <v>84</v>
      </c>
    </row>
    <row r="594" spans="2:10">
      <c r="B594" s="2793">
        <v>8576</v>
      </c>
      <c r="C594" s="2793" t="s">
        <v>1578</v>
      </c>
      <c r="D594" s="2793">
        <v>-1</v>
      </c>
      <c r="E594" s="2793" t="s">
        <v>999</v>
      </c>
      <c r="F594" s="2793" t="s">
        <v>4179</v>
      </c>
      <c r="G594" s="2793" t="s">
        <v>932</v>
      </c>
      <c r="H594" s="2793"/>
      <c r="I594" s="2793">
        <v>8576</v>
      </c>
      <c r="J594" s="2793" t="s">
        <v>84</v>
      </c>
    </row>
    <row r="595" spans="2:10">
      <c r="B595" s="2793">
        <v>8577</v>
      </c>
      <c r="C595" s="2793" t="s">
        <v>1583</v>
      </c>
      <c r="D595" s="2793">
        <v>-1</v>
      </c>
      <c r="E595" s="2793" t="s">
        <v>119</v>
      </c>
      <c r="F595" s="2793"/>
      <c r="G595" s="2793" t="s">
        <v>2416</v>
      </c>
      <c r="H595" s="2793" t="s">
        <v>2416</v>
      </c>
      <c r="I595" s="2793">
        <v>8577</v>
      </c>
      <c r="J595" s="2793" t="s">
        <v>84</v>
      </c>
    </row>
    <row r="596" spans="2:10">
      <c r="B596" s="2793">
        <v>8596</v>
      </c>
      <c r="C596" s="2793" t="s">
        <v>1598</v>
      </c>
      <c r="D596" s="2793">
        <v>-1</v>
      </c>
      <c r="E596" s="2793" t="s">
        <v>999</v>
      </c>
      <c r="F596" s="2793" t="s">
        <v>4179</v>
      </c>
      <c r="G596" s="2793" t="s">
        <v>1203</v>
      </c>
      <c r="H596" s="2793"/>
      <c r="I596" s="2793">
        <v>8596</v>
      </c>
      <c r="J596" s="2793" t="s">
        <v>84</v>
      </c>
    </row>
    <row r="597" spans="2:10">
      <c r="B597" s="2793">
        <v>8599</v>
      </c>
      <c r="C597" s="2793" t="s">
        <v>2071</v>
      </c>
      <c r="D597" s="2793"/>
      <c r="E597" s="2793" t="s">
        <v>287</v>
      </c>
      <c r="F597" s="2793"/>
      <c r="G597" s="2793" t="s">
        <v>1208</v>
      </c>
      <c r="H597" s="2793"/>
      <c r="I597" s="2793">
        <v>8599</v>
      </c>
      <c r="J597" s="2793"/>
    </row>
    <row r="598" spans="2:10">
      <c r="B598" s="2793">
        <v>8551</v>
      </c>
      <c r="C598" s="2793" t="s">
        <v>1519</v>
      </c>
      <c r="D598" s="2793">
        <v>-1</v>
      </c>
      <c r="E598" s="2793" t="s">
        <v>213</v>
      </c>
      <c r="F598" s="2793"/>
      <c r="G598" s="2793" t="s">
        <v>1182</v>
      </c>
      <c r="H598" s="2793"/>
      <c r="I598" s="2793">
        <v>8551</v>
      </c>
      <c r="J598" s="2793" t="s">
        <v>84</v>
      </c>
    </row>
    <row r="599" spans="2:10">
      <c r="B599" s="2793">
        <v>8552</v>
      </c>
      <c r="C599" s="2793" t="s">
        <v>1524</v>
      </c>
      <c r="D599" s="2793">
        <v>-1</v>
      </c>
      <c r="E599" s="2793" t="s">
        <v>213</v>
      </c>
      <c r="F599" s="2793"/>
      <c r="G599" s="2793" t="s">
        <v>1055</v>
      </c>
      <c r="H599" s="2793"/>
      <c r="I599" s="2793">
        <v>8552</v>
      </c>
      <c r="J599" s="2793" t="s">
        <v>84</v>
      </c>
    </row>
    <row r="600" spans="2:10">
      <c r="B600" s="2793">
        <v>8562</v>
      </c>
      <c r="C600" s="2793" t="s">
        <v>1542</v>
      </c>
      <c r="D600" s="2793">
        <v>-1</v>
      </c>
      <c r="E600" s="2793" t="s">
        <v>213</v>
      </c>
      <c r="F600" s="2793"/>
      <c r="G600" s="2793" t="s">
        <v>1076</v>
      </c>
      <c r="H600" s="2793"/>
      <c r="I600" s="2793">
        <v>8562</v>
      </c>
      <c r="J600" s="2793" t="s">
        <v>84</v>
      </c>
    </row>
    <row r="601" spans="2:10">
      <c r="B601" s="2793">
        <v>8571</v>
      </c>
      <c r="C601" s="2793" t="s">
        <v>1558</v>
      </c>
      <c r="D601" s="2793">
        <v>-1</v>
      </c>
      <c r="E601" s="2793" t="s">
        <v>213</v>
      </c>
      <c r="F601" s="2793"/>
      <c r="G601" s="2793" t="s">
        <v>1095</v>
      </c>
      <c r="H601" s="2793"/>
      <c r="I601" s="2793">
        <v>8571</v>
      </c>
      <c r="J601" s="2793" t="s">
        <v>84</v>
      </c>
    </row>
    <row r="602" spans="2:10">
      <c r="B602" s="2793">
        <v>8581</v>
      </c>
      <c r="C602" s="2793" t="s">
        <v>1588</v>
      </c>
      <c r="D602" s="2793">
        <v>-1</v>
      </c>
      <c r="E602" s="2793" t="s">
        <v>213</v>
      </c>
      <c r="F602" s="2793"/>
      <c r="G602" s="2793" t="s">
        <v>1129</v>
      </c>
      <c r="H602" s="2793"/>
      <c r="I602" s="2793">
        <v>8581</v>
      </c>
      <c r="J602" s="2793" t="s">
        <v>84</v>
      </c>
    </row>
    <row r="603" spans="2:10">
      <c r="B603" s="2793">
        <v>8582</v>
      </c>
      <c r="C603" s="2793" t="s">
        <v>1593</v>
      </c>
      <c r="D603" s="2793">
        <v>-1</v>
      </c>
      <c r="E603" s="2793" t="s">
        <v>213</v>
      </c>
      <c r="F603" s="2793"/>
      <c r="G603" s="2793" t="s">
        <v>1355</v>
      </c>
      <c r="H603" s="2793"/>
      <c r="I603" s="2793">
        <v>8582</v>
      </c>
      <c r="J603" s="2793" t="s">
        <v>84</v>
      </c>
    </row>
    <row r="604" spans="2:10">
      <c r="B604" s="2793">
        <v>8540</v>
      </c>
      <c r="C604" s="2793" t="s">
        <v>1514</v>
      </c>
      <c r="D604" s="2793">
        <v>-1</v>
      </c>
      <c r="E604" s="2793"/>
      <c r="F604" s="2793"/>
      <c r="G604" s="2793" t="s">
        <v>1032</v>
      </c>
      <c r="H604" s="2793"/>
      <c r="I604" s="2793">
        <v>8540</v>
      </c>
      <c r="J604" s="2793" t="s">
        <v>84</v>
      </c>
    </row>
    <row r="605" spans="2:10">
      <c r="B605" s="2793">
        <v>8580</v>
      </c>
      <c r="C605" s="2793" t="s">
        <v>2336</v>
      </c>
      <c r="D605" s="2793"/>
      <c r="E605" s="2793" t="s">
        <v>287</v>
      </c>
      <c r="F605" s="2793"/>
      <c r="G605" s="2793" t="s">
        <v>1124</v>
      </c>
      <c r="H605" s="2793"/>
      <c r="I605" s="2793">
        <v>8580</v>
      </c>
      <c r="J605" s="2793"/>
    </row>
    <row r="606" spans="2:10">
      <c r="B606" s="2793">
        <v>8600</v>
      </c>
      <c r="C606" s="2793" t="s">
        <v>2074</v>
      </c>
      <c r="D606" s="2793"/>
      <c r="E606" s="2793" t="s">
        <v>41</v>
      </c>
      <c r="F606" s="2793"/>
      <c r="G606" s="2793" t="s">
        <v>2074</v>
      </c>
      <c r="H606" s="2793"/>
      <c r="I606" s="2793">
        <v>8600</v>
      </c>
      <c r="J606" s="2793"/>
    </row>
    <row r="607" spans="2:10">
      <c r="B607" s="2793">
        <v>8601</v>
      </c>
      <c r="C607" s="2793" t="s">
        <v>1602</v>
      </c>
      <c r="D607" s="2793">
        <v>-1</v>
      </c>
      <c r="E607" s="2793"/>
      <c r="F607" s="2793"/>
      <c r="G607" s="2793" t="s">
        <v>985</v>
      </c>
      <c r="H607" s="2793"/>
      <c r="I607" s="2793">
        <v>8601</v>
      </c>
      <c r="J607" s="2793" t="s">
        <v>84</v>
      </c>
    </row>
    <row r="608" spans="2:10" ht="12.75">
      <c r="B608" s="2805">
        <v>8602</v>
      </c>
      <c r="C608" s="2793" t="s">
        <v>1607</v>
      </c>
      <c r="D608" s="2793">
        <v>-1</v>
      </c>
      <c r="E608" s="2793"/>
      <c r="F608" s="2793"/>
      <c r="G608" s="2793" t="s">
        <v>991</v>
      </c>
      <c r="H608" s="2793"/>
      <c r="I608" s="2805">
        <v>8602</v>
      </c>
      <c r="J608" s="2793" t="s">
        <v>84</v>
      </c>
    </row>
    <row r="609" spans="2:10" ht="12.75">
      <c r="B609" s="2805">
        <v>8603</v>
      </c>
      <c r="C609" s="2793" t="s">
        <v>1611</v>
      </c>
      <c r="D609" s="2793">
        <v>-1</v>
      </c>
      <c r="E609" s="2793"/>
      <c r="F609" s="2793"/>
      <c r="G609" s="2793" t="s">
        <v>997</v>
      </c>
      <c r="H609" s="2793"/>
      <c r="I609" s="2805">
        <v>8603</v>
      </c>
      <c r="J609" s="2793" t="s">
        <v>84</v>
      </c>
    </row>
    <row r="610" spans="2:10" ht="12.75">
      <c r="B610" s="2805">
        <v>8604</v>
      </c>
      <c r="C610" s="2793" t="s">
        <v>1616</v>
      </c>
      <c r="D610" s="2793">
        <v>-1</v>
      </c>
      <c r="E610" s="2793" t="s">
        <v>708</v>
      </c>
      <c r="F610" s="2793"/>
      <c r="G610" s="2793" t="s">
        <v>1004</v>
      </c>
      <c r="H610" s="2793"/>
      <c r="I610" s="2805">
        <v>8604</v>
      </c>
      <c r="J610" s="2793" t="s">
        <v>84</v>
      </c>
    </row>
    <row r="611" spans="2:10" ht="12.75">
      <c r="B611" s="2805">
        <v>8609</v>
      </c>
      <c r="C611" s="2793" t="s">
        <v>1620</v>
      </c>
      <c r="D611" s="2793">
        <v>-1</v>
      </c>
      <c r="E611" s="2793" t="s">
        <v>999</v>
      </c>
      <c r="F611" s="2793"/>
      <c r="G611" s="2793" t="s">
        <v>932</v>
      </c>
      <c r="H611" s="2793"/>
      <c r="I611" s="2805">
        <v>8609</v>
      </c>
      <c r="J611" s="2793" t="s">
        <v>84</v>
      </c>
    </row>
    <row r="612" spans="2:10" ht="12.75">
      <c r="B612" s="2805">
        <v>8610</v>
      </c>
      <c r="C612" s="2793" t="s">
        <v>2087</v>
      </c>
      <c r="D612" s="2793"/>
      <c r="E612" s="2793" t="s">
        <v>287</v>
      </c>
      <c r="F612" s="2793"/>
      <c r="G612" s="2793" t="s">
        <v>1013</v>
      </c>
      <c r="H612" s="2793"/>
      <c r="I612" s="2805">
        <v>8610</v>
      </c>
      <c r="J612" s="2793"/>
    </row>
    <row r="613" spans="2:10" ht="12.75">
      <c r="B613" s="2805">
        <v>8690</v>
      </c>
      <c r="C613" s="2793" t="s">
        <v>2090</v>
      </c>
      <c r="D613" s="2793"/>
      <c r="E613" s="2793" t="s">
        <v>287</v>
      </c>
      <c r="F613" s="2793"/>
      <c r="G613" s="2793" t="s">
        <v>1172</v>
      </c>
      <c r="H613" s="2793"/>
      <c r="I613" s="2805">
        <v>8690</v>
      </c>
      <c r="J613" s="2793"/>
    </row>
    <row r="614" spans="2:10" ht="12.75">
      <c r="B614" s="2805">
        <v>8650</v>
      </c>
      <c r="C614" s="2793" t="s">
        <v>2093</v>
      </c>
      <c r="D614" s="2793"/>
      <c r="E614" s="2793" t="s">
        <v>287</v>
      </c>
      <c r="F614" s="2793"/>
      <c r="G614" s="2793" t="s">
        <v>1036</v>
      </c>
      <c r="H614" s="2793"/>
      <c r="I614" s="2805">
        <v>8650</v>
      </c>
      <c r="J614" s="2793"/>
    </row>
    <row r="615" spans="2:10" ht="12.75">
      <c r="B615" s="2805">
        <v>8653</v>
      </c>
      <c r="C615" s="2793" t="s">
        <v>1651</v>
      </c>
      <c r="D615" s="2793">
        <v>-1</v>
      </c>
      <c r="E615" s="2793" t="s">
        <v>331</v>
      </c>
      <c r="F615" s="2793"/>
      <c r="G615" s="2793" t="s">
        <v>1049</v>
      </c>
      <c r="H615" s="2793"/>
      <c r="I615" s="2805">
        <v>8653</v>
      </c>
      <c r="J615" s="2793" t="s">
        <v>84</v>
      </c>
    </row>
    <row r="616" spans="2:10" ht="12.75">
      <c r="B616" s="2805">
        <v>8656</v>
      </c>
      <c r="C616" s="2793" t="s">
        <v>1656</v>
      </c>
      <c r="D616" s="2793">
        <v>-1</v>
      </c>
      <c r="E616" s="2793" t="s">
        <v>999</v>
      </c>
      <c r="F616" s="2793"/>
      <c r="G616" s="2793" t="s">
        <v>932</v>
      </c>
      <c r="H616" s="2793"/>
      <c r="I616" s="2805">
        <v>8656</v>
      </c>
      <c r="J616" s="2793" t="s">
        <v>84</v>
      </c>
    </row>
    <row r="617" spans="2:10" ht="12.75">
      <c r="B617" s="2805">
        <v>8660</v>
      </c>
      <c r="C617" s="2793" t="s">
        <v>2102</v>
      </c>
      <c r="D617" s="2793"/>
      <c r="E617" s="2793" t="s">
        <v>287</v>
      </c>
      <c r="F617" s="2793"/>
      <c r="G617" s="2793" t="s">
        <v>1066</v>
      </c>
      <c r="H617" s="2793"/>
      <c r="I617" s="2805">
        <v>8660</v>
      </c>
      <c r="J617" s="2793"/>
    </row>
    <row r="618" spans="2:10" ht="12.75">
      <c r="B618" s="2805">
        <v>8662</v>
      </c>
      <c r="C618" s="2793" t="s">
        <v>1666</v>
      </c>
      <c r="D618" s="2793">
        <v>-1</v>
      </c>
      <c r="E618" s="2793"/>
      <c r="F618" s="2793"/>
      <c r="G618" s="2793" t="s">
        <v>1076</v>
      </c>
      <c r="H618" s="2793"/>
      <c r="I618" s="2805">
        <v>8662</v>
      </c>
      <c r="J618" s="2793" t="s">
        <v>84</v>
      </c>
    </row>
    <row r="619" spans="2:10" ht="12.75">
      <c r="B619" s="2805">
        <v>8666</v>
      </c>
      <c r="C619" s="2793" t="s">
        <v>1676</v>
      </c>
      <c r="D619" s="2793">
        <v>-1</v>
      </c>
      <c r="E619" s="2793" t="s">
        <v>999</v>
      </c>
      <c r="F619" s="2793"/>
      <c r="G619" s="2793" t="s">
        <v>932</v>
      </c>
      <c r="H619" s="2793"/>
      <c r="I619" s="2805">
        <v>8666</v>
      </c>
      <c r="J619" s="2793" t="s">
        <v>84</v>
      </c>
    </row>
    <row r="620" spans="2:10" ht="12.75">
      <c r="B620" s="2805">
        <v>8670</v>
      </c>
      <c r="C620" s="2793" t="s">
        <v>2110</v>
      </c>
      <c r="D620" s="2793"/>
      <c r="E620" s="2793" t="s">
        <v>287</v>
      </c>
      <c r="F620" s="2793"/>
      <c r="G620" s="2793" t="s">
        <v>1188</v>
      </c>
      <c r="H620" s="2793"/>
      <c r="I620" s="2805">
        <v>8670</v>
      </c>
      <c r="J620" s="2793"/>
    </row>
    <row r="621" spans="2:10" ht="12.75">
      <c r="B621" s="2805">
        <v>8675</v>
      </c>
      <c r="C621" s="2793" t="s">
        <v>1696</v>
      </c>
      <c r="D621" s="2793">
        <v>-1</v>
      </c>
      <c r="E621" s="2793" t="s">
        <v>331</v>
      </c>
      <c r="F621" s="2793"/>
      <c r="G621" s="2793" t="s">
        <v>1114</v>
      </c>
      <c r="H621" s="2793"/>
      <c r="I621" s="2805">
        <v>8675</v>
      </c>
      <c r="J621" s="2793" t="s">
        <v>84</v>
      </c>
    </row>
    <row r="622" spans="2:10" ht="12.75">
      <c r="B622" s="2805">
        <v>8676</v>
      </c>
      <c r="C622" s="2793" t="s">
        <v>1701</v>
      </c>
      <c r="D622" s="2793">
        <v>-1</v>
      </c>
      <c r="E622" s="2793"/>
      <c r="F622" s="2793"/>
      <c r="G622" s="2793" t="s">
        <v>932</v>
      </c>
      <c r="H622" s="2793"/>
      <c r="I622" s="2805">
        <v>8676</v>
      </c>
      <c r="J622" s="2793" t="s">
        <v>84</v>
      </c>
    </row>
    <row r="623" spans="2:10" ht="12.75">
      <c r="B623" s="2805">
        <v>8677</v>
      </c>
      <c r="C623" s="2793" t="s">
        <v>1706</v>
      </c>
      <c r="D623" s="2793">
        <v>-1</v>
      </c>
      <c r="E623" s="2793" t="s">
        <v>119</v>
      </c>
      <c r="F623" s="2793"/>
      <c r="G623" s="2793" t="s">
        <v>2416</v>
      </c>
      <c r="H623" s="2793" t="s">
        <v>2416</v>
      </c>
      <c r="I623" s="2805">
        <v>8677</v>
      </c>
      <c r="J623" s="2793" t="s">
        <v>84</v>
      </c>
    </row>
    <row r="624" spans="2:10" ht="12.75">
      <c r="B624" s="2805">
        <v>8696</v>
      </c>
      <c r="C624" s="2793" t="s">
        <v>1721</v>
      </c>
      <c r="D624" s="2793">
        <v>-1</v>
      </c>
      <c r="E624" s="2793" t="s">
        <v>999</v>
      </c>
      <c r="F624" s="2793"/>
      <c r="G624" s="2793" t="s">
        <v>1203</v>
      </c>
      <c r="H624" s="2793"/>
      <c r="I624" s="2805">
        <v>8696</v>
      </c>
      <c r="J624" s="2793" t="s">
        <v>84</v>
      </c>
    </row>
    <row r="625" spans="2:10" ht="12.75">
      <c r="B625" s="2805">
        <v>8699</v>
      </c>
      <c r="C625" s="2793" t="s">
        <v>2119</v>
      </c>
      <c r="D625" s="2793"/>
      <c r="E625" s="2793" t="s">
        <v>287</v>
      </c>
      <c r="F625" s="2793"/>
      <c r="G625" s="2793" t="s">
        <v>1208</v>
      </c>
      <c r="H625" s="2793"/>
      <c r="I625" s="2805">
        <v>8699</v>
      </c>
      <c r="J625" s="2793"/>
    </row>
    <row r="626" spans="2:10" ht="12.75">
      <c r="B626" s="2805">
        <v>8651</v>
      </c>
      <c r="C626" s="2793" t="s">
        <v>1641</v>
      </c>
      <c r="D626" s="2793">
        <v>-1</v>
      </c>
      <c r="E626" s="2793" t="s">
        <v>213</v>
      </c>
      <c r="F626" s="2793"/>
      <c r="G626" s="2793" t="s">
        <v>1182</v>
      </c>
      <c r="H626" s="2793"/>
      <c r="I626" s="2805">
        <v>8651</v>
      </c>
      <c r="J626" s="2793" t="s">
        <v>84</v>
      </c>
    </row>
    <row r="627" spans="2:10" ht="12.75">
      <c r="B627" s="2805">
        <v>8652</v>
      </c>
      <c r="C627" s="2793" t="s">
        <v>1646</v>
      </c>
      <c r="D627" s="2793">
        <v>-1</v>
      </c>
      <c r="E627" s="2793" t="s">
        <v>213</v>
      </c>
      <c r="F627" s="2793"/>
      <c r="G627" s="2793" t="s">
        <v>1055</v>
      </c>
      <c r="H627" s="2793"/>
      <c r="I627" s="2805">
        <v>8652</v>
      </c>
      <c r="J627" s="2793" t="s">
        <v>84</v>
      </c>
    </row>
    <row r="628" spans="2:10" ht="12.75">
      <c r="B628" s="2805">
        <v>8661</v>
      </c>
      <c r="C628" s="2793" t="s">
        <v>1661</v>
      </c>
      <c r="D628" s="2793">
        <v>-1</v>
      </c>
      <c r="E628" s="2793" t="s">
        <v>213</v>
      </c>
      <c r="F628" s="2793"/>
      <c r="G628" s="2793" t="s">
        <v>1071</v>
      </c>
      <c r="H628" s="2793"/>
      <c r="I628" s="2805">
        <v>8661</v>
      </c>
      <c r="J628" s="2793" t="s">
        <v>84</v>
      </c>
    </row>
    <row r="629" spans="2:10" ht="12.75">
      <c r="B629" s="2805">
        <v>8663</v>
      </c>
      <c r="C629" s="2793" t="s">
        <v>1670</v>
      </c>
      <c r="D629" s="2793">
        <v>-1</v>
      </c>
      <c r="E629" s="2793" t="s">
        <v>213</v>
      </c>
      <c r="F629" s="2793"/>
      <c r="G629" s="2793" t="s">
        <v>1081</v>
      </c>
      <c r="H629" s="2793"/>
      <c r="I629" s="2805">
        <v>8663</v>
      </c>
      <c r="J629" s="2793" t="s">
        <v>84</v>
      </c>
    </row>
    <row r="630" spans="2:10" ht="12.75">
      <c r="B630" s="2805">
        <v>8671</v>
      </c>
      <c r="C630" s="2793" t="s">
        <v>1681</v>
      </c>
      <c r="D630" s="2793">
        <v>-1</v>
      </c>
      <c r="E630" s="2793" t="s">
        <v>213</v>
      </c>
      <c r="F630" s="2793"/>
      <c r="G630" s="2793" t="s">
        <v>1095</v>
      </c>
      <c r="H630" s="2793"/>
      <c r="I630" s="2805">
        <v>8671</v>
      </c>
      <c r="J630" s="2793" t="s">
        <v>84</v>
      </c>
    </row>
    <row r="631" spans="2:10" ht="12.75">
      <c r="B631" s="2805">
        <v>8672</v>
      </c>
      <c r="C631" s="2793" t="s">
        <v>1686</v>
      </c>
      <c r="D631" s="2793">
        <v>-1</v>
      </c>
      <c r="E631" s="2793" t="s">
        <v>213</v>
      </c>
      <c r="F631" s="2793"/>
      <c r="G631" s="2793" t="s">
        <v>1102</v>
      </c>
      <c r="H631" s="2793"/>
      <c r="I631" s="2805">
        <v>8672</v>
      </c>
      <c r="J631" s="2793" t="s">
        <v>84</v>
      </c>
    </row>
    <row r="632" spans="2:10" ht="12.75">
      <c r="B632" s="2805">
        <v>8673</v>
      </c>
      <c r="C632" s="2793" t="s">
        <v>1691</v>
      </c>
      <c r="D632" s="2793">
        <v>-1</v>
      </c>
      <c r="E632" s="2793" t="s">
        <v>213</v>
      </c>
      <c r="F632" s="2793"/>
      <c r="G632" s="2793" t="s">
        <v>1109</v>
      </c>
      <c r="H632" s="2793"/>
      <c r="I632" s="2805">
        <v>8673</v>
      </c>
      <c r="J632" s="2793" t="s">
        <v>84</v>
      </c>
    </row>
    <row r="633" spans="2:10" ht="12.75">
      <c r="B633" s="2805">
        <v>8681</v>
      </c>
      <c r="C633" s="2793" t="s">
        <v>1711</v>
      </c>
      <c r="D633" s="2793">
        <v>-1</v>
      </c>
      <c r="E633" s="2793" t="s">
        <v>213</v>
      </c>
      <c r="F633" s="2793"/>
      <c r="G633" s="2793" t="s">
        <v>1129</v>
      </c>
      <c r="H633" s="2793"/>
      <c r="I633" s="2805">
        <v>8681</v>
      </c>
      <c r="J633" s="2793" t="s">
        <v>84</v>
      </c>
    </row>
    <row r="634" spans="2:10" ht="12.75">
      <c r="B634" s="2805">
        <v>8682</v>
      </c>
      <c r="C634" s="2793" t="s">
        <v>1716</v>
      </c>
      <c r="D634" s="2793">
        <v>-1</v>
      </c>
      <c r="E634" s="2793" t="s">
        <v>213</v>
      </c>
      <c r="F634" s="2793"/>
      <c r="G634" s="2793" t="s">
        <v>1355</v>
      </c>
      <c r="H634" s="2793"/>
      <c r="I634" s="2805">
        <v>8682</v>
      </c>
      <c r="J634" s="2793" t="s">
        <v>84</v>
      </c>
    </row>
    <row r="635" spans="2:10" ht="12.75">
      <c r="B635" s="2805">
        <v>8640</v>
      </c>
      <c r="C635" s="2793" t="s">
        <v>1636</v>
      </c>
      <c r="D635" s="2793">
        <v>-1</v>
      </c>
      <c r="E635" s="2793"/>
      <c r="F635" s="2793"/>
      <c r="G635" s="2793" t="s">
        <v>1032</v>
      </c>
      <c r="H635" s="2793"/>
      <c r="I635" s="2805">
        <v>8640</v>
      </c>
      <c r="J635" s="2793" t="s">
        <v>84</v>
      </c>
    </row>
    <row r="636" spans="2:10" ht="12.75">
      <c r="B636" s="2805">
        <v>8680</v>
      </c>
      <c r="C636" s="2793" t="s">
        <v>2337</v>
      </c>
      <c r="D636" s="2793"/>
      <c r="E636" s="2793" t="s">
        <v>287</v>
      </c>
      <c r="F636" s="2793"/>
      <c r="G636" s="2793" t="s">
        <v>1124</v>
      </c>
      <c r="H636" s="2793"/>
      <c r="I636" s="2805">
        <v>8680</v>
      </c>
      <c r="J636" s="2793"/>
    </row>
    <row r="637" spans="2:10" ht="12.75">
      <c r="B637" s="2805">
        <v>8700</v>
      </c>
      <c r="C637" s="2793" t="s">
        <v>2122</v>
      </c>
      <c r="D637" s="2793"/>
      <c r="E637" s="2793" t="s">
        <v>41</v>
      </c>
      <c r="F637" s="2793"/>
      <c r="G637" s="2793" t="s">
        <v>2122</v>
      </c>
      <c r="H637" s="2793"/>
      <c r="I637" s="2805">
        <v>8700</v>
      </c>
      <c r="J637" s="2793"/>
    </row>
    <row r="638" spans="2:10" ht="12.75">
      <c r="B638" s="2805">
        <v>8701</v>
      </c>
      <c r="C638" s="2793" t="s">
        <v>1725</v>
      </c>
      <c r="D638" s="2793">
        <v>-1</v>
      </c>
      <c r="E638" s="2793"/>
      <c r="F638" s="2793" t="s">
        <v>5702</v>
      </c>
      <c r="G638" s="2793" t="s">
        <v>985</v>
      </c>
      <c r="H638" s="2793"/>
      <c r="I638" s="2805">
        <v>8701</v>
      </c>
      <c r="J638" s="2793" t="s">
        <v>84</v>
      </c>
    </row>
    <row r="639" spans="2:10" ht="12.75">
      <c r="B639" s="2805">
        <v>8702</v>
      </c>
      <c r="C639" s="2793" t="s">
        <v>1730</v>
      </c>
      <c r="D639" s="2793">
        <v>-1</v>
      </c>
      <c r="E639" s="2793"/>
      <c r="F639" s="2793" t="s">
        <v>5702</v>
      </c>
      <c r="G639" s="2793" t="s">
        <v>991</v>
      </c>
      <c r="H639" s="2793"/>
      <c r="I639" s="2805">
        <v>8702</v>
      </c>
      <c r="J639" s="2793" t="s">
        <v>84</v>
      </c>
    </row>
    <row r="640" spans="2:10" ht="12.75">
      <c r="B640" s="2805">
        <v>8703</v>
      </c>
      <c r="C640" s="2793" t="s">
        <v>1735</v>
      </c>
      <c r="D640" s="2793">
        <v>-1</v>
      </c>
      <c r="E640" s="2793"/>
      <c r="F640" s="2793" t="s">
        <v>5702</v>
      </c>
      <c r="G640" s="2793" t="s">
        <v>997</v>
      </c>
      <c r="H640" s="2793"/>
      <c r="I640" s="2805">
        <v>8703</v>
      </c>
      <c r="J640" s="2793" t="s">
        <v>84</v>
      </c>
    </row>
    <row r="641" spans="2:10" ht="12.75">
      <c r="B641" s="2805">
        <v>8704</v>
      </c>
      <c r="C641" s="2793" t="s">
        <v>1740</v>
      </c>
      <c r="D641" s="2793">
        <v>-1</v>
      </c>
      <c r="E641" s="2793" t="s">
        <v>708</v>
      </c>
      <c r="F641" s="2793" t="s">
        <v>5702</v>
      </c>
      <c r="G641" s="2793" t="s">
        <v>1004</v>
      </c>
      <c r="H641" s="2793"/>
      <c r="I641" s="2805">
        <v>8704</v>
      </c>
      <c r="J641" s="2793" t="s">
        <v>84</v>
      </c>
    </row>
    <row r="642" spans="2:10" ht="12.75">
      <c r="B642" s="2805">
        <v>8709</v>
      </c>
      <c r="C642" s="2793" t="s">
        <v>1745</v>
      </c>
      <c r="D642" s="2793">
        <v>-1</v>
      </c>
      <c r="E642" s="2793"/>
      <c r="F642" s="2793" t="s">
        <v>5702</v>
      </c>
      <c r="G642" s="2793" t="s">
        <v>932</v>
      </c>
      <c r="H642" s="2793"/>
      <c r="I642" s="2805">
        <v>8709</v>
      </c>
      <c r="J642" s="2793" t="s">
        <v>84</v>
      </c>
    </row>
    <row r="643" spans="2:10" ht="12.75">
      <c r="B643" s="2805">
        <v>8710</v>
      </c>
      <c r="C643" s="2793" t="s">
        <v>2132</v>
      </c>
      <c r="D643" s="2793"/>
      <c r="E643" s="2793" t="s">
        <v>287</v>
      </c>
      <c r="F643" s="2793"/>
      <c r="G643" s="2793" t="s">
        <v>1013</v>
      </c>
      <c r="H643" s="2793"/>
      <c r="I643" s="2805">
        <v>8710</v>
      </c>
      <c r="J643" s="2793"/>
    </row>
    <row r="644" spans="2:10" ht="12.75">
      <c r="B644" s="2805">
        <v>8753</v>
      </c>
      <c r="C644" s="2793" t="s">
        <v>1760</v>
      </c>
      <c r="D644" s="2793">
        <v>-1</v>
      </c>
      <c r="E644" s="2793" t="s">
        <v>331</v>
      </c>
      <c r="F644" s="2793" t="s">
        <v>5702</v>
      </c>
      <c r="G644" s="2793" t="s">
        <v>1049</v>
      </c>
      <c r="H644" s="2793"/>
      <c r="I644" s="2805">
        <v>8753</v>
      </c>
      <c r="J644" s="2793" t="s">
        <v>84</v>
      </c>
    </row>
    <row r="645" spans="2:10" ht="12.75">
      <c r="B645" s="2805">
        <v>8790</v>
      </c>
      <c r="C645" s="2793" t="s">
        <v>2137</v>
      </c>
      <c r="D645" s="2793"/>
      <c r="E645" s="2793" t="s">
        <v>287</v>
      </c>
      <c r="F645" s="2793"/>
      <c r="G645" s="2793" t="s">
        <v>1172</v>
      </c>
      <c r="H645" s="2793"/>
      <c r="I645" s="2805">
        <v>8790</v>
      </c>
      <c r="J645" s="2793"/>
    </row>
    <row r="646" spans="2:10" ht="12.75">
      <c r="B646" s="2805">
        <v>8740</v>
      </c>
      <c r="C646" s="2793" t="s">
        <v>2143</v>
      </c>
      <c r="D646" s="2793">
        <v>-1</v>
      </c>
      <c r="E646" s="2793"/>
      <c r="F646" s="2793"/>
      <c r="G646" s="2793" t="s">
        <v>1032</v>
      </c>
      <c r="H646" s="2793"/>
      <c r="I646" s="2805">
        <v>8740</v>
      </c>
      <c r="J646" s="2793"/>
    </row>
    <row r="647" spans="2:10">
      <c r="B647" s="2793">
        <v>8750</v>
      </c>
      <c r="C647" s="2793" t="s">
        <v>2146</v>
      </c>
      <c r="D647" s="2793"/>
      <c r="E647" s="2793" t="s">
        <v>287</v>
      </c>
      <c r="F647" s="2793"/>
      <c r="G647" s="2793" t="s">
        <v>1036</v>
      </c>
      <c r="H647" s="2793"/>
      <c r="I647" s="2793">
        <v>8750</v>
      </c>
      <c r="J647" s="2793"/>
    </row>
    <row r="648" spans="2:10">
      <c r="B648" s="2793">
        <v>8756</v>
      </c>
      <c r="C648" s="2793" t="s">
        <v>1765</v>
      </c>
      <c r="D648" s="2793">
        <v>-1</v>
      </c>
      <c r="E648" s="2793"/>
      <c r="F648" s="2793" t="s">
        <v>5702</v>
      </c>
      <c r="G648" s="2793" t="s">
        <v>932</v>
      </c>
      <c r="H648" s="2793"/>
      <c r="I648" s="2793">
        <v>8756</v>
      </c>
      <c r="J648" s="2793" t="s">
        <v>84</v>
      </c>
    </row>
    <row r="649" spans="2:10">
      <c r="B649" s="2793">
        <v>8760</v>
      </c>
      <c r="C649" s="2793" t="s">
        <v>2150</v>
      </c>
      <c r="D649" s="2793"/>
      <c r="E649" s="2793" t="s">
        <v>287</v>
      </c>
      <c r="F649" s="2793"/>
      <c r="G649" s="2793" t="s">
        <v>1066</v>
      </c>
      <c r="H649" s="2793"/>
      <c r="I649" s="2793">
        <v>8760</v>
      </c>
      <c r="J649" s="2793"/>
    </row>
    <row r="650" spans="2:10">
      <c r="B650" s="2793">
        <v>8761</v>
      </c>
      <c r="C650" s="2793" t="s">
        <v>1770</v>
      </c>
      <c r="D650" s="2793">
        <v>-1</v>
      </c>
      <c r="E650" s="2793"/>
      <c r="F650" s="2793" t="s">
        <v>5702</v>
      </c>
      <c r="G650" s="2793" t="s">
        <v>1071</v>
      </c>
      <c r="H650" s="2793"/>
      <c r="I650" s="2793">
        <v>8761</v>
      </c>
      <c r="J650" s="2793" t="s">
        <v>84</v>
      </c>
    </row>
    <row r="651" spans="2:10">
      <c r="B651" s="2793">
        <v>8762</v>
      </c>
      <c r="C651" s="2794" t="s">
        <v>1773</v>
      </c>
      <c r="D651" s="2793">
        <v>-1</v>
      </c>
      <c r="E651" s="2793"/>
      <c r="F651" s="2793" t="s">
        <v>5702</v>
      </c>
      <c r="G651" s="2793" t="s">
        <v>1076</v>
      </c>
      <c r="H651" s="2793"/>
      <c r="I651" s="2793">
        <v>8762</v>
      </c>
      <c r="J651" s="2793" t="s">
        <v>84</v>
      </c>
    </row>
    <row r="652" spans="2:10">
      <c r="B652" s="2793">
        <v>8763</v>
      </c>
      <c r="C652" s="2794" t="s">
        <v>1779</v>
      </c>
      <c r="D652" s="2793">
        <v>-1</v>
      </c>
      <c r="E652" s="2793"/>
      <c r="F652" s="2793" t="s">
        <v>5702</v>
      </c>
      <c r="G652" s="2793" t="s">
        <v>1081</v>
      </c>
      <c r="H652" s="2793"/>
      <c r="I652" s="2793">
        <v>8763</v>
      </c>
      <c r="J652" s="2793" t="s">
        <v>84</v>
      </c>
    </row>
    <row r="653" spans="2:10">
      <c r="B653" s="2793">
        <v>8766</v>
      </c>
      <c r="C653" s="2794" t="s">
        <v>1784</v>
      </c>
      <c r="D653" s="2793">
        <v>-1</v>
      </c>
      <c r="E653" s="2793"/>
      <c r="F653" s="2793" t="s">
        <v>5702</v>
      </c>
      <c r="G653" s="2793" t="s">
        <v>932</v>
      </c>
      <c r="H653" s="2793"/>
      <c r="I653" s="2793">
        <v>8766</v>
      </c>
      <c r="J653" s="2793" t="s">
        <v>84</v>
      </c>
    </row>
    <row r="654" spans="2:10">
      <c r="B654" s="2793">
        <v>8770</v>
      </c>
      <c r="C654" s="2794" t="s">
        <v>2162</v>
      </c>
      <c r="D654" s="2793"/>
      <c r="E654" s="2793" t="s">
        <v>287</v>
      </c>
      <c r="F654" s="2793"/>
      <c r="G654" s="2793" t="s">
        <v>1188</v>
      </c>
      <c r="H654" s="2793"/>
      <c r="I654" s="2793">
        <v>8770</v>
      </c>
      <c r="J654" s="2793"/>
    </row>
    <row r="655" spans="2:10">
      <c r="B655" s="2793">
        <v>8773</v>
      </c>
      <c r="C655" s="2793" t="s">
        <v>1799</v>
      </c>
      <c r="D655" s="2793">
        <v>-1</v>
      </c>
      <c r="E655" s="2793"/>
      <c r="F655" s="2793" t="s">
        <v>5702</v>
      </c>
      <c r="G655" s="2793" t="s">
        <v>1109</v>
      </c>
      <c r="H655" s="2793"/>
      <c r="I655" s="2793">
        <v>8773</v>
      </c>
      <c r="J655" s="2793" t="s">
        <v>84</v>
      </c>
    </row>
    <row r="656" spans="2:10">
      <c r="B656" s="2793">
        <v>8775</v>
      </c>
      <c r="C656" s="2793" t="s">
        <v>1804</v>
      </c>
      <c r="D656" s="2793">
        <v>-1</v>
      </c>
      <c r="E656" s="2793" t="s">
        <v>331</v>
      </c>
      <c r="F656" s="2793" t="s">
        <v>5702</v>
      </c>
      <c r="G656" s="2793" t="s">
        <v>1114</v>
      </c>
      <c r="H656" s="2793"/>
      <c r="I656" s="2793">
        <v>8775</v>
      </c>
      <c r="J656" s="2793" t="s">
        <v>84</v>
      </c>
    </row>
    <row r="657" spans="2:10">
      <c r="B657" s="2793">
        <v>8776</v>
      </c>
      <c r="C657" s="2793" t="s">
        <v>1809</v>
      </c>
      <c r="D657" s="2793">
        <v>-1</v>
      </c>
      <c r="E657" s="2793"/>
      <c r="F657" s="2793" t="s">
        <v>5702</v>
      </c>
      <c r="G657" s="2793" t="s">
        <v>932</v>
      </c>
      <c r="H657" s="2793"/>
      <c r="I657" s="2793">
        <v>8776</v>
      </c>
      <c r="J657" s="2793" t="s">
        <v>84</v>
      </c>
    </row>
    <row r="658" spans="2:10">
      <c r="B658" s="2793">
        <v>8777</v>
      </c>
      <c r="C658" s="2793" t="s">
        <v>1814</v>
      </c>
      <c r="D658" s="2793">
        <v>-1</v>
      </c>
      <c r="E658" s="2793" t="s">
        <v>119</v>
      </c>
      <c r="F658" s="2793"/>
      <c r="G658" s="2793" t="s">
        <v>2416</v>
      </c>
      <c r="H658" s="2793" t="s">
        <v>2416</v>
      </c>
      <c r="I658" s="2793">
        <v>8777</v>
      </c>
      <c r="J658" s="2793" t="s">
        <v>84</v>
      </c>
    </row>
    <row r="659" spans="2:10">
      <c r="B659" s="2793">
        <v>8780</v>
      </c>
      <c r="C659" s="2793" t="s">
        <v>2171</v>
      </c>
      <c r="D659" s="2793"/>
      <c r="E659" s="2793" t="s">
        <v>287</v>
      </c>
      <c r="F659" s="2793"/>
      <c r="G659" s="2793" t="s">
        <v>1124</v>
      </c>
      <c r="H659" s="2793"/>
      <c r="I659" s="2793">
        <v>8780</v>
      </c>
      <c r="J659" s="2793"/>
    </row>
    <row r="660" spans="2:10">
      <c r="B660" s="2793">
        <v>8781</v>
      </c>
      <c r="C660" s="2793" t="s">
        <v>1819</v>
      </c>
      <c r="D660" s="2793">
        <v>-1</v>
      </c>
      <c r="E660" s="2793" t="s">
        <v>999</v>
      </c>
      <c r="F660" s="2793" t="s">
        <v>5702</v>
      </c>
      <c r="G660" s="2793" t="s">
        <v>1129</v>
      </c>
      <c r="H660" s="2793"/>
      <c r="I660" s="2793">
        <v>8781</v>
      </c>
      <c r="J660" s="2793" t="s">
        <v>84</v>
      </c>
    </row>
    <row r="661" spans="2:10">
      <c r="B661" s="2793">
        <v>8782</v>
      </c>
      <c r="C661" s="2793" t="s">
        <v>1823</v>
      </c>
      <c r="D661" s="2793">
        <v>-1</v>
      </c>
      <c r="E661" s="2793" t="s">
        <v>999</v>
      </c>
      <c r="F661" s="2793" t="s">
        <v>5702</v>
      </c>
      <c r="G661" s="2793" t="s">
        <v>1355</v>
      </c>
      <c r="H661" s="2793"/>
      <c r="I661" s="2793">
        <v>8782</v>
      </c>
      <c r="J661" s="2793" t="s">
        <v>84</v>
      </c>
    </row>
    <row r="662" spans="2:10">
      <c r="B662" s="2793">
        <v>8796</v>
      </c>
      <c r="C662" s="2793" t="s">
        <v>1827</v>
      </c>
      <c r="D662" s="2793">
        <v>-1</v>
      </c>
      <c r="E662" s="2793" t="s">
        <v>999</v>
      </c>
      <c r="F662" s="2793" t="s">
        <v>5702</v>
      </c>
      <c r="G662" s="2793" t="s">
        <v>1203</v>
      </c>
      <c r="H662" s="2793"/>
      <c r="I662" s="2793">
        <v>8796</v>
      </c>
      <c r="J662" s="2793" t="s">
        <v>84</v>
      </c>
    </row>
    <row r="663" spans="2:10">
      <c r="B663" s="2793">
        <v>8799</v>
      </c>
      <c r="C663" s="2793" t="s">
        <v>2180</v>
      </c>
      <c r="D663" s="2793"/>
      <c r="E663" s="2793" t="s">
        <v>287</v>
      </c>
      <c r="F663" s="2793"/>
      <c r="G663" s="2793" t="s">
        <v>1208</v>
      </c>
      <c r="H663" s="2793"/>
      <c r="I663" s="2793">
        <v>8799</v>
      </c>
      <c r="J663" s="2793"/>
    </row>
    <row r="664" spans="2:10">
      <c r="B664" s="2793">
        <v>8751</v>
      </c>
      <c r="C664" s="2793" t="s">
        <v>1750</v>
      </c>
      <c r="D664" s="2793">
        <v>-1</v>
      </c>
      <c r="E664" s="2793" t="s">
        <v>213</v>
      </c>
      <c r="F664" s="2793"/>
      <c r="G664" s="2793" t="s">
        <v>1182</v>
      </c>
      <c r="H664" s="2793"/>
      <c r="I664" s="2793">
        <v>8751</v>
      </c>
      <c r="J664" s="2793" t="s">
        <v>84</v>
      </c>
    </row>
    <row r="665" spans="2:10">
      <c r="B665" s="2793">
        <v>8752</v>
      </c>
      <c r="C665" s="2793" t="s">
        <v>1755</v>
      </c>
      <c r="D665" s="2793">
        <v>-1</v>
      </c>
      <c r="E665" s="2793" t="s">
        <v>213</v>
      </c>
      <c r="F665" s="2793"/>
      <c r="G665" s="2793" t="s">
        <v>1055</v>
      </c>
      <c r="H665" s="2793"/>
      <c r="I665" s="2793">
        <v>8752</v>
      </c>
      <c r="J665" s="2793" t="s">
        <v>84</v>
      </c>
    </row>
    <row r="666" spans="2:10">
      <c r="B666" s="2793">
        <v>8771</v>
      </c>
      <c r="C666" s="2793" t="s">
        <v>1789</v>
      </c>
      <c r="D666" s="2793">
        <v>-1</v>
      </c>
      <c r="E666" s="2793" t="s">
        <v>213</v>
      </c>
      <c r="F666" s="2793"/>
      <c r="G666" s="2793" t="s">
        <v>1095</v>
      </c>
      <c r="H666" s="2793"/>
      <c r="I666" s="2793">
        <v>8771</v>
      </c>
      <c r="J666" s="2793" t="s">
        <v>84</v>
      </c>
    </row>
    <row r="667" spans="2:10">
      <c r="B667" s="2793">
        <v>8772</v>
      </c>
      <c r="C667" s="2793" t="s">
        <v>1794</v>
      </c>
      <c r="D667" s="2793">
        <v>-1</v>
      </c>
      <c r="E667" s="2793" t="s">
        <v>213</v>
      </c>
      <c r="F667" s="2793"/>
      <c r="G667" s="2793" t="s">
        <v>1102</v>
      </c>
      <c r="H667" s="2793"/>
      <c r="I667" s="2793">
        <v>8772</v>
      </c>
      <c r="J667" s="2793" t="s">
        <v>84</v>
      </c>
    </row>
    <row r="668" spans="2:10">
      <c r="B668" s="2793">
        <v>8800</v>
      </c>
      <c r="C668" s="2793" t="s">
        <v>2183</v>
      </c>
      <c r="D668" s="2793"/>
      <c r="E668" s="2793" t="s">
        <v>708</v>
      </c>
      <c r="F668" s="2793"/>
      <c r="G668" s="2793" t="s">
        <v>2183</v>
      </c>
      <c r="H668" s="2793"/>
      <c r="I668" s="2793">
        <v>8800</v>
      </c>
      <c r="J668" s="2793"/>
    </row>
    <row r="669" spans="2:10">
      <c r="B669" s="2793">
        <v>8801</v>
      </c>
      <c r="C669" s="2793" t="s">
        <v>2186</v>
      </c>
      <c r="D669" s="2793">
        <v>-1</v>
      </c>
      <c r="E669" s="2793" t="s">
        <v>708</v>
      </c>
      <c r="F669" s="2793"/>
      <c r="G669" s="2793" t="s">
        <v>985</v>
      </c>
      <c r="H669" s="2793"/>
      <c r="I669" s="2793">
        <v>8801</v>
      </c>
      <c r="J669" s="2793"/>
    </row>
    <row r="670" spans="2:10">
      <c r="B670" s="2793">
        <v>8802</v>
      </c>
      <c r="C670" s="2793" t="s">
        <v>2189</v>
      </c>
      <c r="D670" s="2793">
        <v>-1</v>
      </c>
      <c r="E670" s="2793" t="s">
        <v>1867</v>
      </c>
      <c r="F670" s="2793"/>
      <c r="G670" s="2793" t="s">
        <v>991</v>
      </c>
      <c r="H670" s="2793"/>
      <c r="I670" s="2793">
        <v>8802</v>
      </c>
      <c r="J670" s="2793"/>
    </row>
    <row r="671" spans="2:10">
      <c r="B671" s="2793">
        <v>8803</v>
      </c>
      <c r="C671" s="2793" t="s">
        <v>2192</v>
      </c>
      <c r="D671" s="2793">
        <v>-1</v>
      </c>
      <c r="E671" s="2793" t="s">
        <v>1867</v>
      </c>
      <c r="F671" s="2793"/>
      <c r="G671" s="2793" t="s">
        <v>997</v>
      </c>
      <c r="H671" s="2793"/>
      <c r="I671" s="2793">
        <v>8803</v>
      </c>
      <c r="J671" s="2793"/>
    </row>
    <row r="672" spans="2:10">
      <c r="B672" s="2793">
        <v>8804</v>
      </c>
      <c r="C672" s="2793" t="s">
        <v>2196</v>
      </c>
      <c r="D672" s="2793">
        <v>-1</v>
      </c>
      <c r="E672" s="2793" t="s">
        <v>708</v>
      </c>
      <c r="F672" s="2793"/>
      <c r="G672" s="2793" t="s">
        <v>1004</v>
      </c>
      <c r="H672" s="2793"/>
      <c r="I672" s="2793">
        <v>8804</v>
      </c>
      <c r="J672" s="2793"/>
    </row>
    <row r="673" spans="2:10">
      <c r="B673" s="2793">
        <v>8809</v>
      </c>
      <c r="C673" s="2793" t="s">
        <v>2199</v>
      </c>
      <c r="D673" s="2793">
        <v>-1</v>
      </c>
      <c r="E673" s="2793" t="s">
        <v>1867</v>
      </c>
      <c r="F673" s="2793"/>
      <c r="G673" s="2793" t="s">
        <v>932</v>
      </c>
      <c r="H673" s="2793"/>
      <c r="I673" s="2793">
        <v>8809</v>
      </c>
      <c r="J673" s="2793"/>
    </row>
    <row r="674" spans="2:10">
      <c r="B674" s="2793">
        <v>8810</v>
      </c>
      <c r="C674" s="2793" t="s">
        <v>2202</v>
      </c>
      <c r="D674" s="2793"/>
      <c r="E674" s="2793" t="s">
        <v>1003</v>
      </c>
      <c r="F674" s="2793"/>
      <c r="G674" s="2793" t="s">
        <v>1013</v>
      </c>
      <c r="H674" s="2793"/>
      <c r="I674" s="2793">
        <v>8810</v>
      </c>
      <c r="J674" s="2793"/>
    </row>
    <row r="675" spans="2:10">
      <c r="B675" s="2793">
        <v>8890</v>
      </c>
      <c r="C675" s="2793" t="s">
        <v>2205</v>
      </c>
      <c r="D675" s="2793"/>
      <c r="E675" s="2793" t="s">
        <v>1003</v>
      </c>
      <c r="F675" s="2793"/>
      <c r="G675" s="2793" t="s">
        <v>1172</v>
      </c>
      <c r="H675" s="2793"/>
      <c r="I675" s="2793">
        <v>8890</v>
      </c>
      <c r="J675" s="2793"/>
    </row>
    <row r="676" spans="2:10">
      <c r="B676" s="2793">
        <v>8840</v>
      </c>
      <c r="C676" s="2793" t="s">
        <v>2208</v>
      </c>
      <c r="D676" s="2793">
        <v>-1</v>
      </c>
      <c r="E676" s="2793" t="s">
        <v>708</v>
      </c>
      <c r="F676" s="2793"/>
      <c r="G676" s="2793" t="s">
        <v>1032</v>
      </c>
      <c r="H676" s="2793"/>
      <c r="I676" s="2793">
        <v>8840</v>
      </c>
      <c r="J676" s="2793"/>
    </row>
    <row r="677" spans="2:10">
      <c r="B677" s="2793">
        <v>8850</v>
      </c>
      <c r="C677" s="2793" t="s">
        <v>2209</v>
      </c>
      <c r="D677" s="2793"/>
      <c r="E677" s="2793" t="s">
        <v>1003</v>
      </c>
      <c r="F677" s="2793"/>
      <c r="G677" s="2793" t="s">
        <v>1036</v>
      </c>
      <c r="H677" s="2793"/>
      <c r="I677" s="2793">
        <v>8850</v>
      </c>
      <c r="J677" s="2793"/>
    </row>
    <row r="678" spans="2:10">
      <c r="B678" s="2793">
        <v>8851</v>
      </c>
      <c r="C678" s="2793" t="s">
        <v>2210</v>
      </c>
      <c r="D678" s="2793">
        <v>-1</v>
      </c>
      <c r="E678" s="2793" t="s">
        <v>1867</v>
      </c>
      <c r="F678" s="2793"/>
      <c r="G678" s="2793" t="s">
        <v>1182</v>
      </c>
      <c r="H678" s="2793"/>
      <c r="I678" s="2793">
        <v>8851</v>
      </c>
      <c r="J678" s="2793"/>
    </row>
    <row r="679" spans="2:10">
      <c r="B679" s="2793">
        <v>8852</v>
      </c>
      <c r="C679" s="2793" t="s">
        <v>2211</v>
      </c>
      <c r="D679" s="2793">
        <v>-1</v>
      </c>
      <c r="E679" s="2793" t="s">
        <v>1867</v>
      </c>
      <c r="F679" s="2793"/>
      <c r="G679" s="2793" t="s">
        <v>1055</v>
      </c>
      <c r="H679" s="2793"/>
      <c r="I679" s="2793">
        <v>8852</v>
      </c>
      <c r="J679" s="2793"/>
    </row>
    <row r="680" spans="2:10">
      <c r="B680" s="2793">
        <v>8853</v>
      </c>
      <c r="C680" s="2793" t="s">
        <v>2212</v>
      </c>
      <c r="D680" s="2793">
        <v>-1</v>
      </c>
      <c r="E680" s="2793" t="s">
        <v>1238</v>
      </c>
      <c r="F680" s="2793"/>
      <c r="G680" s="2793" t="s">
        <v>1049</v>
      </c>
      <c r="H680" s="2793"/>
      <c r="I680" s="2793">
        <v>8853</v>
      </c>
      <c r="J680" s="2793"/>
    </row>
    <row r="681" spans="2:10">
      <c r="B681" s="2793">
        <v>8856</v>
      </c>
      <c r="C681" s="2793" t="s">
        <v>2213</v>
      </c>
      <c r="D681" s="2793">
        <v>-1</v>
      </c>
      <c r="E681" s="2793" t="s">
        <v>1867</v>
      </c>
      <c r="F681" s="2793"/>
      <c r="G681" s="2793" t="s">
        <v>932</v>
      </c>
      <c r="H681" s="2793"/>
      <c r="I681" s="2793">
        <v>8856</v>
      </c>
      <c r="J681" s="2793"/>
    </row>
    <row r="682" spans="2:10">
      <c r="B682" s="2793">
        <v>8860</v>
      </c>
      <c r="C682" s="2793" t="s">
        <v>2214</v>
      </c>
      <c r="D682" s="2793"/>
      <c r="E682" s="2793" t="s">
        <v>1003</v>
      </c>
      <c r="F682" s="2793"/>
      <c r="G682" s="2793" t="s">
        <v>1066</v>
      </c>
      <c r="H682" s="2793"/>
      <c r="I682" s="2793">
        <v>8860</v>
      </c>
      <c r="J682" s="2793"/>
    </row>
    <row r="683" spans="2:10">
      <c r="B683" s="2793">
        <v>8861</v>
      </c>
      <c r="C683" s="2793" t="s">
        <v>2215</v>
      </c>
      <c r="D683" s="2793">
        <v>-1</v>
      </c>
      <c r="E683" s="2793" t="s">
        <v>1867</v>
      </c>
      <c r="F683" s="2793"/>
      <c r="G683" s="2793" t="s">
        <v>1071</v>
      </c>
      <c r="H683" s="2793"/>
      <c r="I683" s="2793">
        <v>8861</v>
      </c>
      <c r="J683" s="2793"/>
    </row>
    <row r="684" spans="2:10">
      <c r="B684" s="2793">
        <v>8862</v>
      </c>
      <c r="C684" s="2793" t="s">
        <v>2216</v>
      </c>
      <c r="D684" s="2793">
        <v>-1</v>
      </c>
      <c r="E684" s="2793" t="s">
        <v>1867</v>
      </c>
      <c r="F684" s="2793"/>
      <c r="G684" s="2793" t="s">
        <v>1076</v>
      </c>
      <c r="H684" s="2793"/>
      <c r="I684" s="2793">
        <v>8862</v>
      </c>
      <c r="J684" s="2793"/>
    </row>
    <row r="685" spans="2:10">
      <c r="B685" s="2793">
        <v>8863</v>
      </c>
      <c r="C685" s="2793" t="s">
        <v>2217</v>
      </c>
      <c r="D685" s="2793">
        <v>-1</v>
      </c>
      <c r="E685" s="2793" t="s">
        <v>1867</v>
      </c>
      <c r="F685" s="2793"/>
      <c r="G685" s="2793" t="s">
        <v>1081</v>
      </c>
      <c r="H685" s="2793"/>
      <c r="I685" s="2793">
        <v>8863</v>
      </c>
      <c r="J685" s="2793"/>
    </row>
    <row r="686" spans="2:10">
      <c r="B686" s="2793">
        <v>8866</v>
      </c>
      <c r="C686" s="2793" t="s">
        <v>2218</v>
      </c>
      <c r="D686" s="2793">
        <v>-1</v>
      </c>
      <c r="E686" s="2793" t="s">
        <v>1867</v>
      </c>
      <c r="F686" s="2793"/>
      <c r="G686" s="2793" t="s">
        <v>932</v>
      </c>
      <c r="H686" s="2793"/>
      <c r="I686" s="2793">
        <v>8866</v>
      </c>
      <c r="J686" s="2793"/>
    </row>
    <row r="687" spans="2:10">
      <c r="B687" s="2793">
        <v>8870</v>
      </c>
      <c r="C687" s="2793" t="s">
        <v>2219</v>
      </c>
      <c r="D687" s="2793"/>
      <c r="E687" s="2793" t="s">
        <v>1003</v>
      </c>
      <c r="F687" s="2793"/>
      <c r="G687" s="2793" t="s">
        <v>1188</v>
      </c>
      <c r="H687" s="2793"/>
      <c r="I687" s="2793">
        <v>8870</v>
      </c>
      <c r="J687" s="2793"/>
    </row>
    <row r="688" spans="2:10">
      <c r="B688" s="2793">
        <v>8871</v>
      </c>
      <c r="C688" s="2793" t="s">
        <v>2220</v>
      </c>
      <c r="D688" s="2793">
        <v>-1</v>
      </c>
      <c r="E688" s="2793" t="s">
        <v>1867</v>
      </c>
      <c r="F688" s="2793"/>
      <c r="G688" s="2793" t="s">
        <v>1095</v>
      </c>
      <c r="H688" s="2793"/>
      <c r="I688" s="2793">
        <v>8871</v>
      </c>
      <c r="J688" s="2793"/>
    </row>
    <row r="689" spans="2:10">
      <c r="B689" s="2793">
        <v>8872</v>
      </c>
      <c r="C689" s="2793" t="s">
        <v>2221</v>
      </c>
      <c r="D689" s="2793">
        <v>-1</v>
      </c>
      <c r="E689" s="2793" t="s">
        <v>1867</v>
      </c>
      <c r="F689" s="2793"/>
      <c r="G689" s="2793" t="s">
        <v>1102</v>
      </c>
      <c r="H689" s="2793"/>
      <c r="I689" s="2793">
        <v>8872</v>
      </c>
      <c r="J689" s="2793"/>
    </row>
    <row r="690" spans="2:10">
      <c r="B690" s="2793">
        <v>8873</v>
      </c>
      <c r="C690" s="2793" t="s">
        <v>2222</v>
      </c>
      <c r="D690" s="2793">
        <v>-1</v>
      </c>
      <c r="E690" s="2793" t="s">
        <v>1867</v>
      </c>
      <c r="F690" s="2793"/>
      <c r="G690" s="2793" t="s">
        <v>1109</v>
      </c>
      <c r="H690" s="2793"/>
      <c r="I690" s="2793">
        <v>8873</v>
      </c>
      <c r="J690" s="2793"/>
    </row>
    <row r="691" spans="2:10">
      <c r="B691" s="2793">
        <v>8875</v>
      </c>
      <c r="C691" s="2793" t="s">
        <v>2223</v>
      </c>
      <c r="D691" s="2793">
        <v>-1</v>
      </c>
      <c r="E691" s="2793" t="s">
        <v>1238</v>
      </c>
      <c r="F691" s="2793"/>
      <c r="G691" s="2793" t="s">
        <v>1114</v>
      </c>
      <c r="H691" s="2793"/>
      <c r="I691" s="2793">
        <v>8875</v>
      </c>
      <c r="J691" s="2793"/>
    </row>
    <row r="692" spans="2:10">
      <c r="B692" s="2793">
        <v>8876</v>
      </c>
      <c r="C692" s="2793" t="s">
        <v>2224</v>
      </c>
      <c r="D692" s="2793">
        <v>-1</v>
      </c>
      <c r="E692" s="2793" t="s">
        <v>1867</v>
      </c>
      <c r="F692" s="2793"/>
      <c r="G692" s="2793" t="s">
        <v>932</v>
      </c>
      <c r="H692" s="2793"/>
      <c r="I692" s="2793">
        <v>8876</v>
      </c>
      <c r="J692" s="2793"/>
    </row>
    <row r="693" spans="2:10">
      <c r="B693" s="2793">
        <v>8877</v>
      </c>
      <c r="C693" s="2793" t="s">
        <v>1830</v>
      </c>
      <c r="D693" s="2793">
        <v>-1</v>
      </c>
      <c r="E693" s="2793" t="s">
        <v>119</v>
      </c>
      <c r="F693" s="2793"/>
      <c r="G693" s="2793" t="s">
        <v>2416</v>
      </c>
      <c r="H693" s="2793" t="s">
        <v>2416</v>
      </c>
      <c r="I693" s="2793">
        <v>8877</v>
      </c>
      <c r="J693" s="2793"/>
    </row>
    <row r="694" spans="2:10">
      <c r="B694" s="2793">
        <v>8880</v>
      </c>
      <c r="C694" s="2793" t="s">
        <v>2225</v>
      </c>
      <c r="D694" s="2793"/>
      <c r="E694" s="2793" t="s">
        <v>1003</v>
      </c>
      <c r="F694" s="2793"/>
      <c r="G694" s="2793" t="s">
        <v>1124</v>
      </c>
      <c r="H694" s="2793"/>
      <c r="I694" s="2793">
        <v>8880</v>
      </c>
      <c r="J694" s="2793"/>
    </row>
    <row r="695" spans="2:10">
      <c r="B695" s="2793">
        <v>8881</v>
      </c>
      <c r="C695" s="2793" t="s">
        <v>2226</v>
      </c>
      <c r="D695" s="2793">
        <v>-1</v>
      </c>
      <c r="E695" s="2793" t="s">
        <v>1867</v>
      </c>
      <c r="F695" s="2793"/>
      <c r="G695" s="2793" t="s">
        <v>1129</v>
      </c>
      <c r="H695" s="2793"/>
      <c r="I695" s="2793">
        <v>8881</v>
      </c>
      <c r="J695" s="2793"/>
    </row>
    <row r="696" spans="2:10">
      <c r="B696" s="2793">
        <v>8882</v>
      </c>
      <c r="C696" s="2793" t="s">
        <v>2227</v>
      </c>
      <c r="D696" s="2793">
        <v>-1</v>
      </c>
      <c r="E696" s="2793" t="s">
        <v>1867</v>
      </c>
      <c r="F696" s="2793"/>
      <c r="G696" s="2793" t="s">
        <v>1355</v>
      </c>
      <c r="H696" s="2793"/>
      <c r="I696" s="2793">
        <v>8882</v>
      </c>
      <c r="J696" s="2793"/>
    </row>
    <row r="697" spans="2:10">
      <c r="B697" s="2793">
        <v>8896</v>
      </c>
      <c r="C697" s="2793" t="s">
        <v>2228</v>
      </c>
      <c r="D697" s="2793">
        <v>-1</v>
      </c>
      <c r="E697" s="2793" t="s">
        <v>1867</v>
      </c>
      <c r="F697" s="2793"/>
      <c r="G697" s="2793" t="s">
        <v>1203</v>
      </c>
      <c r="H697" s="2793"/>
      <c r="I697" s="2793">
        <v>8896</v>
      </c>
      <c r="J697" s="2793"/>
    </row>
    <row r="698" spans="2:10">
      <c r="B698" s="2793">
        <v>8899</v>
      </c>
      <c r="C698" s="2793" t="s">
        <v>2229</v>
      </c>
      <c r="D698" s="2793"/>
      <c r="E698" s="2793" t="s">
        <v>1003</v>
      </c>
      <c r="F698" s="2793"/>
      <c r="G698" s="2793" t="s">
        <v>1208</v>
      </c>
      <c r="H698" s="2793"/>
      <c r="I698" s="2793">
        <v>8899</v>
      </c>
      <c r="J698" s="2793"/>
    </row>
    <row r="699" spans="2:10">
      <c r="B699" s="2793">
        <v>8900</v>
      </c>
      <c r="C699" s="2793" t="s">
        <v>2230</v>
      </c>
      <c r="D699" s="2793"/>
      <c r="E699" s="2793" t="s">
        <v>708</v>
      </c>
      <c r="F699" s="2793"/>
      <c r="G699" s="2793" t="s">
        <v>2230</v>
      </c>
      <c r="H699" s="2793"/>
      <c r="I699" s="2793">
        <v>8900</v>
      </c>
      <c r="J699" s="2793"/>
    </row>
    <row r="700" spans="2:10">
      <c r="B700" s="2793">
        <v>8901</v>
      </c>
      <c r="C700" s="2793" t="s">
        <v>1833</v>
      </c>
      <c r="D700" s="2793">
        <v>-1</v>
      </c>
      <c r="E700" s="2793" t="s">
        <v>708</v>
      </c>
      <c r="F700" s="2793"/>
      <c r="G700" s="2793" t="s">
        <v>985</v>
      </c>
      <c r="H700" s="2793"/>
      <c r="I700" s="2793">
        <v>8901</v>
      </c>
      <c r="J700" s="2793" t="s">
        <v>84</v>
      </c>
    </row>
    <row r="701" spans="2:10">
      <c r="B701" s="2793">
        <v>8902</v>
      </c>
      <c r="C701" s="2793" t="s">
        <v>1836</v>
      </c>
      <c r="D701" s="2793">
        <v>-1</v>
      </c>
      <c r="E701" s="2793" t="s">
        <v>708</v>
      </c>
      <c r="F701" s="2793"/>
      <c r="G701" s="2793" t="s">
        <v>991</v>
      </c>
      <c r="H701" s="2793"/>
      <c r="I701" s="2793">
        <v>8902</v>
      </c>
      <c r="J701" s="2793" t="s">
        <v>84</v>
      </c>
    </row>
    <row r="702" spans="2:10">
      <c r="B702" s="2793">
        <v>8903</v>
      </c>
      <c r="C702" s="2793" t="s">
        <v>1839</v>
      </c>
      <c r="D702" s="2793">
        <v>-1</v>
      </c>
      <c r="E702" s="2793" t="s">
        <v>708</v>
      </c>
      <c r="F702" s="2793"/>
      <c r="G702" s="2793" t="s">
        <v>997</v>
      </c>
      <c r="H702" s="2793"/>
      <c r="I702" s="2793">
        <v>8903</v>
      </c>
      <c r="J702" s="2793" t="s">
        <v>84</v>
      </c>
    </row>
    <row r="703" spans="2:10">
      <c r="B703" s="2793">
        <v>8904</v>
      </c>
      <c r="C703" s="2793" t="s">
        <v>1843</v>
      </c>
      <c r="D703" s="2793">
        <v>-1</v>
      </c>
      <c r="E703" s="2793" t="s">
        <v>708</v>
      </c>
      <c r="F703" s="2793"/>
      <c r="G703" s="2793" t="s">
        <v>1004</v>
      </c>
      <c r="H703" s="2793"/>
      <c r="I703" s="2793">
        <v>8904</v>
      </c>
      <c r="J703" s="2793" t="s">
        <v>84</v>
      </c>
    </row>
    <row r="704" spans="2:10">
      <c r="B704" s="2793">
        <v>8909</v>
      </c>
      <c r="C704" s="2793" t="s">
        <v>1847</v>
      </c>
      <c r="D704" s="2793">
        <v>-1</v>
      </c>
      <c r="E704" s="2793" t="s">
        <v>708</v>
      </c>
      <c r="F704" s="2793"/>
      <c r="G704" s="2793" t="s">
        <v>932</v>
      </c>
      <c r="H704" s="2793"/>
      <c r="I704" s="2793">
        <v>8909</v>
      </c>
      <c r="J704" s="2793" t="s">
        <v>84</v>
      </c>
    </row>
    <row r="705" spans="2:10">
      <c r="B705" s="2793">
        <v>8910</v>
      </c>
      <c r="C705" s="2793" t="s">
        <v>2231</v>
      </c>
      <c r="D705" s="2793"/>
      <c r="E705" s="2793" t="s">
        <v>1003</v>
      </c>
      <c r="F705" s="2793"/>
      <c r="G705" s="2793" t="s">
        <v>1013</v>
      </c>
      <c r="H705" s="2793"/>
      <c r="I705" s="2793">
        <v>8910</v>
      </c>
      <c r="J705" s="2793"/>
    </row>
    <row r="706" spans="2:10">
      <c r="B706" s="2793">
        <v>8990</v>
      </c>
      <c r="C706" s="2793" t="s">
        <v>2232</v>
      </c>
      <c r="D706" s="2793"/>
      <c r="E706" s="2793" t="s">
        <v>1003</v>
      </c>
      <c r="F706" s="2793"/>
      <c r="G706" s="2793" t="s">
        <v>1172</v>
      </c>
      <c r="H706" s="2793"/>
      <c r="I706" s="2793">
        <v>8990</v>
      </c>
      <c r="J706" s="2793"/>
    </row>
    <row r="707" spans="2:10">
      <c r="B707" s="2793">
        <v>8940</v>
      </c>
      <c r="C707" s="2793" t="s">
        <v>1858</v>
      </c>
      <c r="D707" s="2793">
        <v>-1</v>
      </c>
      <c r="E707" s="2793" t="s">
        <v>708</v>
      </c>
      <c r="F707" s="2793"/>
      <c r="G707" s="2793" t="s">
        <v>1032</v>
      </c>
      <c r="H707" s="2793"/>
      <c r="I707" s="2793">
        <v>8940</v>
      </c>
      <c r="J707" s="2793" t="s">
        <v>84</v>
      </c>
    </row>
    <row r="708" spans="2:10">
      <c r="B708" s="2793">
        <v>8950</v>
      </c>
      <c r="C708" s="2793" t="s">
        <v>2233</v>
      </c>
      <c r="D708" s="2793"/>
      <c r="E708" s="2793" t="s">
        <v>1003</v>
      </c>
      <c r="F708" s="2793"/>
      <c r="G708" s="2793" t="s">
        <v>1036</v>
      </c>
      <c r="H708" s="2793"/>
      <c r="I708" s="2793">
        <v>8950</v>
      </c>
      <c r="J708" s="2793"/>
    </row>
    <row r="709" spans="2:10">
      <c r="B709" s="2793">
        <v>8951</v>
      </c>
      <c r="C709" s="2793" t="s">
        <v>1862</v>
      </c>
      <c r="D709" s="2793">
        <v>-1</v>
      </c>
      <c r="E709" s="2793" t="s">
        <v>708</v>
      </c>
      <c r="F709" s="2793"/>
      <c r="G709" s="2793" t="s">
        <v>1182</v>
      </c>
      <c r="H709" s="2793"/>
      <c r="I709" s="2793">
        <v>8951</v>
      </c>
      <c r="J709" s="2793" t="s">
        <v>84</v>
      </c>
    </row>
    <row r="710" spans="2:10">
      <c r="B710" s="2793">
        <v>8952</v>
      </c>
      <c r="C710" s="2793" t="s">
        <v>1866</v>
      </c>
      <c r="D710" s="2793">
        <v>-1</v>
      </c>
      <c r="E710" s="2793" t="s">
        <v>1867</v>
      </c>
      <c r="F710" s="2793"/>
      <c r="G710" s="2793" t="s">
        <v>1055</v>
      </c>
      <c r="H710" s="2793"/>
      <c r="I710" s="2793">
        <v>8952</v>
      </c>
      <c r="J710" s="2793" t="s">
        <v>84</v>
      </c>
    </row>
    <row r="711" spans="2:10">
      <c r="B711" s="2793">
        <v>8953</v>
      </c>
      <c r="C711" s="2793" t="s">
        <v>1871</v>
      </c>
      <c r="D711" s="2793">
        <v>-1</v>
      </c>
      <c r="E711" s="2793" t="s">
        <v>1238</v>
      </c>
      <c r="F711" s="2793"/>
      <c r="G711" s="2793" t="s">
        <v>1049</v>
      </c>
      <c r="H711" s="2793"/>
      <c r="I711" s="2793">
        <v>8953</v>
      </c>
      <c r="J711" s="2793" t="s">
        <v>84</v>
      </c>
    </row>
    <row r="712" spans="2:10">
      <c r="B712" s="2793">
        <v>8956</v>
      </c>
      <c r="C712" s="2793" t="s">
        <v>1875</v>
      </c>
      <c r="D712" s="2793">
        <v>-1</v>
      </c>
      <c r="E712" s="2793" t="s">
        <v>1867</v>
      </c>
      <c r="F712" s="2793"/>
      <c r="G712" s="2793" t="s">
        <v>932</v>
      </c>
      <c r="H712" s="2793"/>
      <c r="I712" s="2793">
        <v>8956</v>
      </c>
      <c r="J712" s="2793" t="s">
        <v>84</v>
      </c>
    </row>
    <row r="713" spans="2:10">
      <c r="B713" s="2793">
        <v>8960</v>
      </c>
      <c r="C713" s="2793" t="s">
        <v>2234</v>
      </c>
      <c r="D713" s="2793"/>
      <c r="E713" s="2793" t="s">
        <v>1003</v>
      </c>
      <c r="F713" s="2793"/>
      <c r="G713" s="2793" t="s">
        <v>1066</v>
      </c>
      <c r="H713" s="2793"/>
      <c r="I713" s="2793">
        <v>8960</v>
      </c>
      <c r="J713" s="2793"/>
    </row>
    <row r="714" spans="2:10">
      <c r="B714" s="2793">
        <v>8963</v>
      </c>
      <c r="C714" s="2793" t="s">
        <v>1887</v>
      </c>
      <c r="D714" s="2793">
        <v>-1</v>
      </c>
      <c r="E714" s="2793" t="s">
        <v>708</v>
      </c>
      <c r="F714" s="2793"/>
      <c r="G714" s="2793" t="s">
        <v>1081</v>
      </c>
      <c r="H714" s="2793"/>
      <c r="I714" s="2793">
        <v>8963</v>
      </c>
      <c r="J714" s="2793" t="s">
        <v>84</v>
      </c>
    </row>
    <row r="715" spans="2:10">
      <c r="B715" s="2793">
        <v>8966</v>
      </c>
      <c r="C715" s="2793" t="s">
        <v>1890</v>
      </c>
      <c r="D715" s="2793">
        <v>-1</v>
      </c>
      <c r="E715" s="2793" t="s">
        <v>1867</v>
      </c>
      <c r="F715" s="2793"/>
      <c r="G715" s="2793" t="s">
        <v>932</v>
      </c>
      <c r="H715" s="2793"/>
      <c r="I715" s="2793">
        <v>8966</v>
      </c>
      <c r="J715" s="2793" t="s">
        <v>84</v>
      </c>
    </row>
    <row r="716" spans="2:10">
      <c r="B716" s="2793">
        <v>8970</v>
      </c>
      <c r="C716" s="2793" t="s">
        <v>2235</v>
      </c>
      <c r="D716" s="2793"/>
      <c r="E716" s="2793" t="s">
        <v>1003</v>
      </c>
      <c r="F716" s="2793"/>
      <c r="G716" s="2793" t="s">
        <v>1188</v>
      </c>
      <c r="H716" s="2793"/>
      <c r="I716" s="2793">
        <v>8970</v>
      </c>
      <c r="J716" s="2793"/>
    </row>
    <row r="717" spans="2:10">
      <c r="B717" s="2793">
        <v>8975</v>
      </c>
      <c r="C717" s="2793" t="s">
        <v>1904</v>
      </c>
      <c r="D717" s="2793">
        <v>-1</v>
      </c>
      <c r="E717" s="2793" t="s">
        <v>1238</v>
      </c>
      <c r="F717" s="2793"/>
      <c r="G717" s="2793" t="s">
        <v>1114</v>
      </c>
      <c r="H717" s="2793"/>
      <c r="I717" s="2793">
        <v>8975</v>
      </c>
      <c r="J717" s="2793" t="s">
        <v>84</v>
      </c>
    </row>
    <row r="718" spans="2:10">
      <c r="B718" s="2793">
        <v>8976</v>
      </c>
      <c r="C718" s="2793" t="s">
        <v>1909</v>
      </c>
      <c r="D718" s="2793">
        <v>-1</v>
      </c>
      <c r="E718" s="2793" t="s">
        <v>1867</v>
      </c>
      <c r="F718" s="2793"/>
      <c r="G718" s="2793" t="s">
        <v>932</v>
      </c>
      <c r="H718" s="2793"/>
      <c r="I718" s="2793">
        <v>8976</v>
      </c>
      <c r="J718" s="2793" t="s">
        <v>84</v>
      </c>
    </row>
    <row r="719" spans="2:10">
      <c r="B719" s="2793">
        <v>8977</v>
      </c>
      <c r="C719" s="2793" t="s">
        <v>1912</v>
      </c>
      <c r="D719" s="2793">
        <v>-1</v>
      </c>
      <c r="E719" s="2793" t="s">
        <v>941</v>
      </c>
      <c r="F719" s="2793"/>
      <c r="G719" s="2793" t="s">
        <v>2416</v>
      </c>
      <c r="H719" s="2793" t="s">
        <v>2416</v>
      </c>
      <c r="I719" s="2793">
        <v>8977</v>
      </c>
      <c r="J719" s="2793" t="s">
        <v>84</v>
      </c>
    </row>
    <row r="720" spans="2:10">
      <c r="B720" s="2793">
        <v>8980</v>
      </c>
      <c r="C720" s="2793" t="s">
        <v>2236</v>
      </c>
      <c r="D720" s="2793"/>
      <c r="E720" s="2793" t="s">
        <v>1003</v>
      </c>
      <c r="F720" s="2793"/>
      <c r="G720" s="2793" t="s">
        <v>1124</v>
      </c>
      <c r="H720" s="2793"/>
      <c r="I720" s="2793">
        <v>8980</v>
      </c>
      <c r="J720" s="2793"/>
    </row>
    <row r="721" spans="2:10">
      <c r="B721" s="2793">
        <v>8981</v>
      </c>
      <c r="C721" s="2793" t="s">
        <v>1915</v>
      </c>
      <c r="D721" s="2793">
        <v>-1</v>
      </c>
      <c r="E721" s="2793" t="s">
        <v>1867</v>
      </c>
      <c r="F721" s="2793"/>
      <c r="G721" s="2793" t="s">
        <v>1129</v>
      </c>
      <c r="H721" s="2793"/>
      <c r="I721" s="2793">
        <v>8981</v>
      </c>
      <c r="J721" s="2793" t="s">
        <v>84</v>
      </c>
    </row>
    <row r="722" spans="2:10">
      <c r="B722" s="2793">
        <v>8982</v>
      </c>
      <c r="C722" s="2793" t="s">
        <v>1918</v>
      </c>
      <c r="D722" s="2793">
        <v>-1</v>
      </c>
      <c r="E722" s="2793" t="s">
        <v>1867</v>
      </c>
      <c r="F722" s="2793"/>
      <c r="G722" s="2793" t="s">
        <v>1355</v>
      </c>
      <c r="H722" s="2793"/>
      <c r="I722" s="2793">
        <v>8982</v>
      </c>
      <c r="J722" s="2793" t="s">
        <v>84</v>
      </c>
    </row>
    <row r="723" spans="2:10">
      <c r="B723" s="2793">
        <v>8996</v>
      </c>
      <c r="C723" s="2793" t="s">
        <v>1921</v>
      </c>
      <c r="D723" s="2793">
        <v>-1</v>
      </c>
      <c r="E723" s="2793" t="s">
        <v>1867</v>
      </c>
      <c r="F723" s="2793"/>
      <c r="G723" s="2793" t="s">
        <v>1203</v>
      </c>
      <c r="H723" s="2793"/>
      <c r="I723" s="2793">
        <v>8996</v>
      </c>
      <c r="J723" s="2793" t="s">
        <v>84</v>
      </c>
    </row>
    <row r="724" spans="2:10">
      <c r="B724" s="2793">
        <v>8999</v>
      </c>
      <c r="C724" s="2793" t="s">
        <v>2237</v>
      </c>
      <c r="D724" s="2793"/>
      <c r="E724" s="2793" t="s">
        <v>1003</v>
      </c>
      <c r="F724" s="2793"/>
      <c r="G724" s="2793" t="s">
        <v>1208</v>
      </c>
      <c r="H724" s="2793"/>
      <c r="I724" s="2793">
        <v>8999</v>
      </c>
      <c r="J724" s="2793"/>
    </row>
    <row r="725" spans="2:10">
      <c r="B725" s="2793">
        <v>8961</v>
      </c>
      <c r="C725" s="2793" t="s">
        <v>1880</v>
      </c>
      <c r="D725" s="2793">
        <v>-1</v>
      </c>
      <c r="E725" s="2793" t="s">
        <v>1881</v>
      </c>
      <c r="F725" s="2793"/>
      <c r="G725" s="2793" t="s">
        <v>1071</v>
      </c>
      <c r="H725" s="2793"/>
      <c r="I725" s="2793">
        <v>8961</v>
      </c>
      <c r="J725" s="2793" t="s">
        <v>84</v>
      </c>
    </row>
    <row r="726" spans="2:10">
      <c r="B726" s="2793">
        <v>8962</v>
      </c>
      <c r="C726" s="2793" t="s">
        <v>1884</v>
      </c>
      <c r="D726" s="2793">
        <v>-1</v>
      </c>
      <c r="E726" s="2793" t="s">
        <v>1881</v>
      </c>
      <c r="F726" s="2793"/>
      <c r="G726" s="2793" t="s">
        <v>1076</v>
      </c>
      <c r="H726" s="2793"/>
      <c r="I726" s="2793">
        <v>8962</v>
      </c>
      <c r="J726" s="2793" t="s">
        <v>84</v>
      </c>
    </row>
    <row r="727" spans="2:10">
      <c r="B727" s="2793">
        <v>8971</v>
      </c>
      <c r="C727" s="2793" t="s">
        <v>1893</v>
      </c>
      <c r="D727" s="2793">
        <v>-1</v>
      </c>
      <c r="E727" s="2793" t="s">
        <v>1881</v>
      </c>
      <c r="F727" s="2793"/>
      <c r="G727" s="2793" t="s">
        <v>1095</v>
      </c>
      <c r="H727" s="2793"/>
      <c r="I727" s="2793">
        <v>8971</v>
      </c>
      <c r="J727" s="2793" t="s">
        <v>84</v>
      </c>
    </row>
    <row r="728" spans="2:10">
      <c r="B728" s="2793">
        <v>8972</v>
      </c>
      <c r="C728" s="2793" t="s">
        <v>1896</v>
      </c>
      <c r="D728" s="2793">
        <v>-1</v>
      </c>
      <c r="E728" s="2793" t="s">
        <v>1881</v>
      </c>
      <c r="F728" s="2793"/>
      <c r="G728" s="2793" t="s">
        <v>1102</v>
      </c>
      <c r="H728" s="2793"/>
      <c r="I728" s="2793">
        <v>8972</v>
      </c>
      <c r="J728" s="2793" t="s">
        <v>84</v>
      </c>
    </row>
    <row r="729" spans="2:10">
      <c r="B729" s="2793">
        <v>8973</v>
      </c>
      <c r="C729" s="2793" t="s">
        <v>1900</v>
      </c>
      <c r="D729" s="2793">
        <v>-1</v>
      </c>
      <c r="E729" s="2793" t="s">
        <v>1881</v>
      </c>
      <c r="F729" s="2793"/>
      <c r="G729" s="2793" t="s">
        <v>1109</v>
      </c>
      <c r="H729" s="2793"/>
      <c r="I729" s="2793">
        <v>8973</v>
      </c>
      <c r="J729" s="2793" t="s">
        <v>84</v>
      </c>
    </row>
    <row r="730" spans="2:10">
      <c r="B730" s="2793" t="s">
        <v>1211</v>
      </c>
      <c r="C730" s="2793" t="s">
        <v>1212</v>
      </c>
      <c r="D730" s="2793"/>
      <c r="E730" s="2793" t="s">
        <v>1213</v>
      </c>
      <c r="F730" s="2793"/>
      <c r="G730" s="2793" t="s">
        <v>1212</v>
      </c>
      <c r="H730" s="2793"/>
      <c r="I730" s="2793" t="s">
        <v>1211</v>
      </c>
      <c r="J730" s="2793"/>
    </row>
    <row r="731" spans="2:10">
      <c r="B731" s="2793" t="s">
        <v>2338</v>
      </c>
      <c r="C731" s="2793" t="s">
        <v>2339</v>
      </c>
      <c r="D731" s="2793">
        <v>-1</v>
      </c>
      <c r="E731" s="2793" t="s">
        <v>331</v>
      </c>
      <c r="F731" s="2793"/>
      <c r="G731" s="2793" t="s">
        <v>985</v>
      </c>
      <c r="H731" s="2793"/>
      <c r="I731" s="2793" t="s">
        <v>2338</v>
      </c>
      <c r="J731" s="2793"/>
    </row>
    <row r="732" spans="2:10">
      <c r="B732" s="2793" t="s">
        <v>2340</v>
      </c>
      <c r="C732" s="2793" t="s">
        <v>2341</v>
      </c>
      <c r="D732" s="2793">
        <v>-1</v>
      </c>
      <c r="E732" s="2793" t="s">
        <v>331</v>
      </c>
      <c r="F732" s="2793"/>
      <c r="G732" s="2793" t="s">
        <v>991</v>
      </c>
      <c r="H732" s="2793"/>
      <c r="I732" s="2793" t="s">
        <v>2340</v>
      </c>
      <c r="J732" s="2793"/>
    </row>
    <row r="733" spans="2:10">
      <c r="B733" s="2793" t="s">
        <v>2342</v>
      </c>
      <c r="C733" s="2793" t="s">
        <v>2343</v>
      </c>
      <c r="D733" s="2793">
        <v>-1</v>
      </c>
      <c r="E733" s="2793" t="s">
        <v>331</v>
      </c>
      <c r="F733" s="2793"/>
      <c r="G733" s="2793" t="s">
        <v>997</v>
      </c>
      <c r="H733" s="2793"/>
      <c r="I733" s="2793" t="s">
        <v>2342</v>
      </c>
      <c r="J733" s="2793"/>
    </row>
    <row r="734" spans="2:10">
      <c r="B734" s="2793" t="s">
        <v>2344</v>
      </c>
      <c r="C734" s="2793" t="s">
        <v>2345</v>
      </c>
      <c r="D734" s="2793">
        <v>-1</v>
      </c>
      <c r="E734" s="2793" t="s">
        <v>1238</v>
      </c>
      <c r="F734" s="2793"/>
      <c r="G734" s="2793" t="s">
        <v>1004</v>
      </c>
      <c r="H734" s="2793"/>
      <c r="I734" s="2793" t="s">
        <v>2344</v>
      </c>
      <c r="J734" s="2793"/>
    </row>
    <row r="735" spans="2:10">
      <c r="B735" s="2793" t="s">
        <v>2346</v>
      </c>
      <c r="C735" s="2793" t="s">
        <v>2347</v>
      </c>
      <c r="D735" s="2793">
        <v>-1</v>
      </c>
      <c r="E735" s="2793" t="s">
        <v>331</v>
      </c>
      <c r="F735" s="2793"/>
      <c r="G735" s="2793" t="s">
        <v>932</v>
      </c>
      <c r="H735" s="2793"/>
      <c r="I735" s="2793" t="s">
        <v>2346</v>
      </c>
      <c r="J735" s="2793"/>
    </row>
    <row r="736" spans="2:10">
      <c r="B736" s="2793" t="s">
        <v>2348</v>
      </c>
      <c r="C736" s="2793" t="s">
        <v>2349</v>
      </c>
      <c r="D736" s="2793"/>
      <c r="E736" s="2793" t="s">
        <v>1048</v>
      </c>
      <c r="F736" s="2793"/>
      <c r="G736" s="2793" t="s">
        <v>1013</v>
      </c>
      <c r="H736" s="2793"/>
      <c r="I736" s="2793" t="s">
        <v>2348</v>
      </c>
      <c r="J736" s="2793"/>
    </row>
    <row r="737" spans="2:10">
      <c r="B737" s="2793" t="s">
        <v>2350</v>
      </c>
      <c r="C737" s="2793" t="s">
        <v>2351</v>
      </c>
      <c r="D737" s="2793"/>
      <c r="E737" s="2793" t="s">
        <v>1048</v>
      </c>
      <c r="F737" s="2793"/>
      <c r="G737" s="2793" t="s">
        <v>1172</v>
      </c>
      <c r="H737" s="2793"/>
      <c r="I737" s="2793" t="s">
        <v>2350</v>
      </c>
      <c r="J737" s="2793"/>
    </row>
    <row r="738" spans="2:10">
      <c r="B738" s="2793" t="s">
        <v>2352</v>
      </c>
      <c r="C738" s="2793" t="s">
        <v>2353</v>
      </c>
      <c r="D738" s="2793"/>
      <c r="E738" s="2793" t="s">
        <v>331</v>
      </c>
      <c r="F738" s="2793"/>
      <c r="G738" s="2793" t="s">
        <v>1032</v>
      </c>
      <c r="H738" s="2793"/>
      <c r="I738" s="2793" t="s">
        <v>2352</v>
      </c>
      <c r="J738" s="2793"/>
    </row>
    <row r="739" spans="2:10">
      <c r="B739" s="2793" t="s">
        <v>2354</v>
      </c>
      <c r="C739" s="2793" t="s">
        <v>2355</v>
      </c>
      <c r="D739" s="2793"/>
      <c r="E739" s="2793" t="s">
        <v>1048</v>
      </c>
      <c r="F739" s="2793"/>
      <c r="G739" s="2793" t="s">
        <v>1036</v>
      </c>
      <c r="H739" s="2793"/>
      <c r="I739" s="2793" t="s">
        <v>2354</v>
      </c>
      <c r="J739" s="2793"/>
    </row>
    <row r="740" spans="2:10">
      <c r="B740" s="2793" t="s">
        <v>2356</v>
      </c>
      <c r="C740" s="2793" t="s">
        <v>2357</v>
      </c>
      <c r="D740" s="2793">
        <v>-1</v>
      </c>
      <c r="E740" s="2793" t="s">
        <v>331</v>
      </c>
      <c r="F740" s="2793"/>
      <c r="G740" s="2793" t="s">
        <v>1182</v>
      </c>
      <c r="H740" s="2793"/>
      <c r="I740" s="2793" t="s">
        <v>2356</v>
      </c>
      <c r="J740" s="2793"/>
    </row>
    <row r="741" spans="2:10">
      <c r="B741" s="2793" t="s">
        <v>2358</v>
      </c>
      <c r="C741" s="2793" t="s">
        <v>2359</v>
      </c>
      <c r="D741" s="2793">
        <v>-1</v>
      </c>
      <c r="E741" s="2793" t="s">
        <v>331</v>
      </c>
      <c r="F741" s="2793"/>
      <c r="G741" s="2793" t="s">
        <v>1055</v>
      </c>
      <c r="H741" s="2793"/>
      <c r="I741" s="2793" t="s">
        <v>2358</v>
      </c>
      <c r="J741" s="2793"/>
    </row>
    <row r="742" spans="2:10">
      <c r="B742" s="2793" t="s">
        <v>2360</v>
      </c>
      <c r="C742" s="2793" t="s">
        <v>2361</v>
      </c>
      <c r="D742" s="2793">
        <v>-1</v>
      </c>
      <c r="E742" s="2793" t="s">
        <v>331</v>
      </c>
      <c r="F742" s="2793"/>
      <c r="G742" s="2793" t="s">
        <v>1049</v>
      </c>
      <c r="H742" s="2793"/>
      <c r="I742" s="2793" t="s">
        <v>2360</v>
      </c>
      <c r="J742" s="2793"/>
    </row>
    <row r="743" spans="2:10">
      <c r="B743" s="2793" t="s">
        <v>2362</v>
      </c>
      <c r="C743" s="2793" t="s">
        <v>2363</v>
      </c>
      <c r="D743" s="2793">
        <v>-1</v>
      </c>
      <c r="E743" s="2793" t="s">
        <v>331</v>
      </c>
      <c r="F743" s="2793"/>
      <c r="G743" s="2793" t="s">
        <v>932</v>
      </c>
      <c r="H743" s="2793"/>
      <c r="I743" s="2793" t="s">
        <v>2362</v>
      </c>
      <c r="J743" s="2793"/>
    </row>
    <row r="744" spans="2:10">
      <c r="B744" s="2793" t="s">
        <v>2364</v>
      </c>
      <c r="C744" s="2793" t="s">
        <v>2365</v>
      </c>
      <c r="D744" s="2793"/>
      <c r="E744" s="2793" t="s">
        <v>1048</v>
      </c>
      <c r="F744" s="2793"/>
      <c r="G744" s="2793" t="s">
        <v>1066</v>
      </c>
      <c r="H744" s="2793"/>
      <c r="I744" s="2793" t="s">
        <v>2364</v>
      </c>
      <c r="J744" s="2793"/>
    </row>
    <row r="745" spans="2:10">
      <c r="B745" s="2793" t="s">
        <v>2366</v>
      </c>
      <c r="C745" s="2793" t="s">
        <v>2367</v>
      </c>
      <c r="D745" s="2793">
        <v>-1</v>
      </c>
      <c r="E745" s="2793" t="s">
        <v>331</v>
      </c>
      <c r="F745" s="2793"/>
      <c r="G745" s="2793" t="s">
        <v>1071</v>
      </c>
      <c r="H745" s="2793"/>
      <c r="I745" s="2793" t="s">
        <v>2366</v>
      </c>
      <c r="J745" s="2793"/>
    </row>
    <row r="746" spans="2:10">
      <c r="B746" s="2793" t="s">
        <v>2368</v>
      </c>
      <c r="C746" s="2793" t="s">
        <v>2369</v>
      </c>
      <c r="D746" s="2793">
        <v>-1</v>
      </c>
      <c r="E746" s="2793" t="s">
        <v>331</v>
      </c>
      <c r="F746" s="2793"/>
      <c r="G746" s="2793" t="s">
        <v>1076</v>
      </c>
      <c r="H746" s="2793"/>
      <c r="I746" s="2793" t="s">
        <v>2368</v>
      </c>
      <c r="J746" s="2793"/>
    </row>
    <row r="747" spans="2:10">
      <c r="B747" s="2793" t="s">
        <v>2370</v>
      </c>
      <c r="C747" s="2793" t="s">
        <v>2371</v>
      </c>
      <c r="D747" s="2793">
        <v>-1</v>
      </c>
      <c r="E747" s="2793" t="s">
        <v>331</v>
      </c>
      <c r="F747" s="2793"/>
      <c r="G747" s="2793" t="s">
        <v>1081</v>
      </c>
      <c r="H747" s="2793"/>
      <c r="I747" s="2793" t="s">
        <v>2370</v>
      </c>
      <c r="J747" s="2793"/>
    </row>
    <row r="748" spans="2:10">
      <c r="B748" s="2793" t="s">
        <v>2372</v>
      </c>
      <c r="C748" s="2793" t="s">
        <v>2373</v>
      </c>
      <c r="D748" s="2793">
        <v>-1</v>
      </c>
      <c r="E748" s="2793" t="s">
        <v>331</v>
      </c>
      <c r="F748" s="2793"/>
      <c r="G748" s="2793" t="s">
        <v>932</v>
      </c>
      <c r="H748" s="2793"/>
      <c r="I748" s="2793" t="s">
        <v>2372</v>
      </c>
      <c r="J748" s="2793"/>
    </row>
    <row r="749" spans="2:10">
      <c r="B749" s="2793" t="s">
        <v>2374</v>
      </c>
      <c r="C749" s="2793" t="s">
        <v>2375</v>
      </c>
      <c r="D749" s="2793"/>
      <c r="E749" s="2793" t="s">
        <v>1048</v>
      </c>
      <c r="F749" s="2793"/>
      <c r="G749" s="2793" t="s">
        <v>1188</v>
      </c>
      <c r="H749" s="2793"/>
      <c r="I749" s="2793" t="s">
        <v>2374</v>
      </c>
      <c r="J749" s="2793"/>
    </row>
    <row r="750" spans="2:10">
      <c r="B750" s="2793" t="s">
        <v>2376</v>
      </c>
      <c r="C750" s="2793" t="s">
        <v>2377</v>
      </c>
      <c r="D750" s="2793">
        <v>-1</v>
      </c>
      <c r="E750" s="2793" t="s">
        <v>331</v>
      </c>
      <c r="F750" s="2793"/>
      <c r="G750" s="2793" t="s">
        <v>1095</v>
      </c>
      <c r="H750" s="2793"/>
      <c r="I750" s="2793" t="s">
        <v>2376</v>
      </c>
      <c r="J750" s="2793"/>
    </row>
    <row r="751" spans="2:10">
      <c r="B751" s="2793" t="s">
        <v>2378</v>
      </c>
      <c r="C751" s="2793" t="s">
        <v>2379</v>
      </c>
      <c r="D751" s="2793">
        <v>-1</v>
      </c>
      <c r="E751" s="2793" t="s">
        <v>331</v>
      </c>
      <c r="F751" s="2793"/>
      <c r="G751" s="2793" t="s">
        <v>1102</v>
      </c>
      <c r="H751" s="2793"/>
      <c r="I751" s="2793" t="s">
        <v>2378</v>
      </c>
      <c r="J751" s="2793"/>
    </row>
    <row r="752" spans="2:10">
      <c r="B752" s="2793" t="s">
        <v>2380</v>
      </c>
      <c r="C752" s="2793" t="s">
        <v>2381</v>
      </c>
      <c r="D752" s="2793">
        <v>-1</v>
      </c>
      <c r="E752" s="2793" t="s">
        <v>331</v>
      </c>
      <c r="F752" s="2793"/>
      <c r="G752" s="2793" t="s">
        <v>1109</v>
      </c>
      <c r="H752" s="2793"/>
      <c r="I752" s="2793" t="s">
        <v>2380</v>
      </c>
      <c r="J752" s="2793"/>
    </row>
    <row r="753" spans="2:10">
      <c r="B753" s="2793" t="s">
        <v>2382</v>
      </c>
      <c r="C753" s="2793" t="s">
        <v>2383</v>
      </c>
      <c r="D753" s="2793">
        <v>-1</v>
      </c>
      <c r="E753" s="2793" t="s">
        <v>331</v>
      </c>
      <c r="F753" s="2793"/>
      <c r="G753" s="2793" t="s">
        <v>1114</v>
      </c>
      <c r="H753" s="2793"/>
      <c r="I753" s="2793" t="s">
        <v>2382</v>
      </c>
      <c r="J753" s="2793"/>
    </row>
    <row r="754" spans="2:10">
      <c r="B754" s="2793" t="s">
        <v>2384</v>
      </c>
      <c r="C754" s="2793" t="s">
        <v>2385</v>
      </c>
      <c r="D754" s="2793">
        <v>-1</v>
      </c>
      <c r="E754" s="2793" t="s">
        <v>331</v>
      </c>
      <c r="F754" s="2793"/>
      <c r="G754" s="2793" t="s">
        <v>932</v>
      </c>
      <c r="H754" s="2793"/>
      <c r="I754" s="2793" t="s">
        <v>2384</v>
      </c>
      <c r="J754" s="2793"/>
    </row>
    <row r="755" spans="2:10">
      <c r="B755" s="2793" t="s">
        <v>2386</v>
      </c>
      <c r="C755" s="2793" t="s">
        <v>2387</v>
      </c>
      <c r="D755" s="2793"/>
      <c r="E755" s="2793" t="s">
        <v>1048</v>
      </c>
      <c r="F755" s="2793"/>
      <c r="G755" s="2793" t="s">
        <v>1124</v>
      </c>
      <c r="H755" s="2793"/>
      <c r="I755" s="2793" t="s">
        <v>2386</v>
      </c>
      <c r="J755" s="2793"/>
    </row>
    <row r="756" spans="2:10">
      <c r="B756" s="2793" t="s">
        <v>2388</v>
      </c>
      <c r="C756" s="2793" t="s">
        <v>2389</v>
      </c>
      <c r="D756" s="2793">
        <v>-1</v>
      </c>
      <c r="E756" s="2793" t="s">
        <v>331</v>
      </c>
      <c r="F756" s="2793"/>
      <c r="G756" s="2793" t="s">
        <v>1129</v>
      </c>
      <c r="H756" s="2793"/>
      <c r="I756" s="2793" t="s">
        <v>2388</v>
      </c>
      <c r="J756" s="2793"/>
    </row>
    <row r="757" spans="2:10">
      <c r="B757" s="2793" t="s">
        <v>2390</v>
      </c>
      <c r="C757" s="2793" t="s">
        <v>2391</v>
      </c>
      <c r="D757" s="2793">
        <v>-1</v>
      </c>
      <c r="E757" s="2793" t="s">
        <v>331</v>
      </c>
      <c r="F757" s="2793"/>
      <c r="G757" s="2793" t="s">
        <v>1355</v>
      </c>
      <c r="H757" s="2793"/>
      <c r="I757" s="2793" t="s">
        <v>2390</v>
      </c>
      <c r="J757" s="2793"/>
    </row>
    <row r="758" spans="2:10">
      <c r="B758" s="2793" t="s">
        <v>2392</v>
      </c>
      <c r="C758" s="2793" t="s">
        <v>2393</v>
      </c>
      <c r="D758" s="2793">
        <v>-1</v>
      </c>
      <c r="E758" s="2793" t="s">
        <v>331</v>
      </c>
      <c r="F758" s="2793"/>
      <c r="G758" s="2793" t="s">
        <v>1203</v>
      </c>
      <c r="H758" s="2793"/>
      <c r="I758" s="2793" t="s">
        <v>2392</v>
      </c>
      <c r="J758" s="2793"/>
    </row>
    <row r="759" spans="2:10">
      <c r="B759" s="2793" t="s">
        <v>2394</v>
      </c>
      <c r="C759" s="2793" t="s">
        <v>2395</v>
      </c>
      <c r="D759" s="2793"/>
      <c r="E759" s="2793" t="s">
        <v>1048</v>
      </c>
      <c r="F759" s="2793"/>
      <c r="G759" s="2793" t="s">
        <v>1208</v>
      </c>
      <c r="H759" s="2793"/>
      <c r="I759" s="2793" t="s">
        <v>2394</v>
      </c>
      <c r="J759" s="2793"/>
    </row>
    <row r="760" spans="2:10">
      <c r="B760" s="2793">
        <v>19</v>
      </c>
      <c r="C760" s="2793" t="s">
        <v>2298</v>
      </c>
      <c r="D760" s="2793"/>
      <c r="E760" s="2793" t="s">
        <v>41</v>
      </c>
      <c r="F760" s="2793"/>
      <c r="G760" s="2793"/>
      <c r="H760" s="2793"/>
      <c r="I760" s="2793">
        <v>19</v>
      </c>
      <c r="J760" s="2793"/>
    </row>
    <row r="761" spans="2:10">
      <c r="B761" s="2793">
        <v>1122.1231</v>
      </c>
      <c r="C761" s="2793" t="s">
        <v>167</v>
      </c>
      <c r="D761" s="2793">
        <v>-1</v>
      </c>
      <c r="E761" s="2793"/>
      <c r="F761" s="2793"/>
      <c r="G761" s="2793" t="s">
        <v>167</v>
      </c>
      <c r="H761" s="2793"/>
      <c r="I761" s="2793">
        <v>1122.1231</v>
      </c>
      <c r="J761" s="2793" t="s">
        <v>84</v>
      </c>
    </row>
    <row r="762" spans="2:10">
      <c r="B762" s="2793">
        <v>1125.1231</v>
      </c>
      <c r="C762" s="2793" t="s">
        <v>206</v>
      </c>
      <c r="D762" s="2793">
        <v>-1</v>
      </c>
      <c r="E762" s="2793"/>
      <c r="F762" s="2793"/>
      <c r="G762" s="2793" t="s">
        <v>206</v>
      </c>
      <c r="H762" s="2793"/>
      <c r="I762" s="2793">
        <v>1125.1231</v>
      </c>
      <c r="J762" s="2793" t="s">
        <v>84</v>
      </c>
    </row>
    <row r="763" spans="2:10">
      <c r="B763" s="2793">
        <v>1221.1231</v>
      </c>
      <c r="C763" s="2793" t="s">
        <v>242</v>
      </c>
      <c r="D763" s="2793">
        <v>-1</v>
      </c>
      <c r="E763" s="2793"/>
      <c r="F763" s="2793"/>
      <c r="G763" s="2793" t="s">
        <v>242</v>
      </c>
      <c r="H763" s="2793"/>
      <c r="I763" s="2793">
        <v>1221.1231</v>
      </c>
      <c r="J763" s="2793" t="s">
        <v>84</v>
      </c>
    </row>
    <row r="764" spans="2:10">
      <c r="B764" s="2793">
        <v>1400.1470999999999</v>
      </c>
      <c r="C764" s="2793" t="s">
        <v>354</v>
      </c>
      <c r="D764" s="2793">
        <v>-1</v>
      </c>
      <c r="E764" s="2793"/>
      <c r="F764" s="2793"/>
      <c r="G764" s="2793" t="s">
        <v>354</v>
      </c>
      <c r="H764" s="2793"/>
      <c r="I764" s="2793">
        <v>1400.1470999999999</v>
      </c>
      <c r="J764" s="2793" t="s">
        <v>84</v>
      </c>
    </row>
    <row r="765" spans="2:10">
      <c r="B765" s="2793">
        <v>1503.1504</v>
      </c>
      <c r="C765" s="2793" t="s">
        <v>416</v>
      </c>
      <c r="D765" s="2793">
        <v>-1</v>
      </c>
      <c r="E765" s="2793"/>
      <c r="F765" s="2793"/>
      <c r="G765" s="2793" t="s">
        <v>416</v>
      </c>
      <c r="H765" s="2793"/>
      <c r="I765" s="2793">
        <v>1503.1504</v>
      </c>
      <c r="J765" s="2793" t="s">
        <v>84</v>
      </c>
    </row>
    <row r="766" spans="2:10">
      <c r="B766" s="2793">
        <v>1501.1502</v>
      </c>
      <c r="C766" s="2793" t="s">
        <v>402</v>
      </c>
      <c r="D766" s="2793">
        <v>-1</v>
      </c>
      <c r="E766" s="2793"/>
      <c r="F766" s="2793"/>
      <c r="G766" s="2793" t="s">
        <v>402</v>
      </c>
      <c r="H766" s="2793"/>
      <c r="I766" s="2793">
        <v>1501.1502</v>
      </c>
      <c r="J766" s="2793" t="s">
        <v>84</v>
      </c>
    </row>
    <row r="767" spans="2:10">
      <c r="B767" s="2793">
        <v>1511.1512</v>
      </c>
      <c r="C767" s="2793" t="s">
        <v>445</v>
      </c>
      <c r="D767" s="2793">
        <v>-1</v>
      </c>
      <c r="E767" s="2793"/>
      <c r="F767" s="2793"/>
      <c r="G767" s="2793" t="s">
        <v>445</v>
      </c>
      <c r="H767" s="2793"/>
      <c r="I767" s="2793">
        <v>1511.1512</v>
      </c>
      <c r="J767" s="2793" t="s">
        <v>84</v>
      </c>
    </row>
    <row r="768" spans="2:10">
      <c r="B768" s="2793">
        <v>1521.1522</v>
      </c>
      <c r="C768" s="2793" t="s">
        <v>460</v>
      </c>
      <c r="D768" s="2793">
        <v>-1</v>
      </c>
      <c r="E768" s="2793"/>
      <c r="F768" s="2793"/>
      <c r="G768" s="2793" t="s">
        <v>460</v>
      </c>
      <c r="H768" s="2793"/>
      <c r="I768" s="2793">
        <v>1521.1522</v>
      </c>
      <c r="J768" s="2793" t="s">
        <v>84</v>
      </c>
    </row>
    <row r="769" spans="2:10">
      <c r="B769" s="2793">
        <v>1601.1603</v>
      </c>
      <c r="C769" s="2793" t="s">
        <v>491</v>
      </c>
      <c r="D769" s="2793">
        <v>-1</v>
      </c>
      <c r="E769" s="2793"/>
      <c r="F769" s="2793"/>
      <c r="G769" s="2793" t="s">
        <v>491</v>
      </c>
      <c r="H769" s="2793"/>
      <c r="I769" s="2793">
        <v>1601.1603</v>
      </c>
      <c r="J769" s="2793" t="s">
        <v>84</v>
      </c>
    </row>
    <row r="770" spans="2:10">
      <c r="B770" s="2793">
        <v>1605.1608000000001</v>
      </c>
      <c r="C770" s="2793" t="s">
        <v>515</v>
      </c>
      <c r="D770" s="2793">
        <v>-1</v>
      </c>
      <c r="E770" s="2793"/>
      <c r="F770" s="2793"/>
      <c r="G770" s="2793" t="s">
        <v>515</v>
      </c>
      <c r="H770" s="2793"/>
      <c r="I770" s="2793">
        <v>1605.1608000000001</v>
      </c>
      <c r="J770" s="2793" t="s">
        <v>84</v>
      </c>
    </row>
    <row r="771" spans="2:10">
      <c r="B771" s="2793">
        <v>1604.1606999999999</v>
      </c>
      <c r="C771" s="2793" t="s">
        <v>502</v>
      </c>
      <c r="D771" s="2793">
        <v>-1</v>
      </c>
      <c r="E771" s="2793"/>
      <c r="F771" s="2793"/>
      <c r="G771" s="2793" t="s">
        <v>502</v>
      </c>
      <c r="H771" s="2793"/>
      <c r="I771" s="2793">
        <v>1604.1606999999999</v>
      </c>
      <c r="J771" s="2793" t="s">
        <v>84</v>
      </c>
    </row>
    <row r="772" spans="2:10">
      <c r="B772" s="2793">
        <v>1621.1623999999999</v>
      </c>
      <c r="C772" s="2793" t="s">
        <v>537</v>
      </c>
      <c r="D772" s="2793">
        <v>-1</v>
      </c>
      <c r="E772" s="2793"/>
      <c r="F772" s="2793"/>
      <c r="G772" s="2793" t="s">
        <v>537</v>
      </c>
      <c r="H772" s="2793"/>
      <c r="I772" s="2793">
        <v>1621.1623999999999</v>
      </c>
      <c r="J772" s="2793" t="s">
        <v>84</v>
      </c>
    </row>
    <row r="773" spans="2:10">
      <c r="B773" s="2793">
        <v>1631.1632999999999</v>
      </c>
      <c r="C773" s="2793" t="s">
        <v>553</v>
      </c>
      <c r="D773" s="2793">
        <v>-1</v>
      </c>
      <c r="E773" s="2793"/>
      <c r="F773" s="2793"/>
      <c r="G773" s="2793" t="s">
        <v>553</v>
      </c>
      <c r="H773" s="2793"/>
      <c r="I773" s="2793">
        <v>1631.1632999999999</v>
      </c>
      <c r="J773" s="2793" t="s">
        <v>84</v>
      </c>
    </row>
    <row r="774" spans="2:10">
      <c r="B774" s="2793">
        <v>1701.1703</v>
      </c>
      <c r="C774" s="2793" t="s">
        <v>574</v>
      </c>
      <c r="D774" s="2793">
        <v>-1</v>
      </c>
      <c r="E774" s="2793"/>
      <c r="F774" s="2793"/>
      <c r="G774" s="2793" t="s">
        <v>574</v>
      </c>
      <c r="H774" s="2793"/>
      <c r="I774" s="2793">
        <v>1701.1703</v>
      </c>
      <c r="J774" s="2793" t="s">
        <v>84</v>
      </c>
    </row>
    <row r="775" spans="2:10">
      <c r="B775" s="2793">
        <v>1711.1712</v>
      </c>
      <c r="C775" s="2793" t="s">
        <v>583</v>
      </c>
      <c r="D775" s="2793">
        <v>-1</v>
      </c>
      <c r="E775" s="2793"/>
      <c r="F775" s="2793"/>
      <c r="G775" s="2793" t="s">
        <v>583</v>
      </c>
      <c r="H775" s="2793"/>
      <c r="I775" s="2793">
        <v>1711.1712</v>
      </c>
      <c r="J775" s="2793" t="s">
        <v>84</v>
      </c>
    </row>
    <row r="776" spans="2:10">
      <c r="B776" s="2793">
        <v>1991.1992</v>
      </c>
      <c r="C776" s="2793" t="s">
        <v>2299</v>
      </c>
      <c r="D776" s="2793">
        <v>-1</v>
      </c>
      <c r="E776" s="2793"/>
      <c r="F776" s="2793"/>
      <c r="G776" s="2793" t="s">
        <v>932</v>
      </c>
      <c r="H776" s="2793"/>
      <c r="I776" s="2793">
        <v>1991.1992</v>
      </c>
      <c r="J776" s="2793"/>
    </row>
    <row r="777" spans="2:10">
      <c r="B777" s="2793">
        <v>1015.1001</v>
      </c>
      <c r="C777" s="2793" t="s">
        <v>42</v>
      </c>
      <c r="D777" s="2793">
        <v>1</v>
      </c>
      <c r="E777" s="2793"/>
      <c r="F777" s="2793"/>
      <c r="G777" s="2793"/>
      <c r="H777" s="2793"/>
      <c r="I777" s="2793">
        <v>1015.1001</v>
      </c>
      <c r="J777" s="2793" t="s">
        <v>84</v>
      </c>
    </row>
    <row r="778" spans="2:10">
      <c r="B778" s="2793">
        <v>1015.1002</v>
      </c>
      <c r="C778" s="2793" t="s">
        <v>66</v>
      </c>
      <c r="D778" s="2793">
        <v>1</v>
      </c>
      <c r="E778" s="2793"/>
      <c r="F778" s="2793"/>
      <c r="G778" s="2793"/>
      <c r="H778" s="2793"/>
      <c r="I778" s="2793">
        <v>1015.1002</v>
      </c>
      <c r="J778" s="2793" t="s">
        <v>84</v>
      </c>
    </row>
    <row r="779" spans="2:10">
      <c r="B779" s="2793">
        <v>1015.1011999999999</v>
      </c>
      <c r="C779" s="2793" t="s">
        <v>85</v>
      </c>
      <c r="D779" s="2793">
        <v>1</v>
      </c>
      <c r="E779" s="2793"/>
      <c r="F779" s="2793"/>
      <c r="G779" s="2793"/>
      <c r="H779" s="2793"/>
      <c r="I779" s="2793">
        <v>1015.1011999999999</v>
      </c>
      <c r="J779" s="2793" t="s">
        <v>84</v>
      </c>
    </row>
    <row r="780" spans="2:10">
      <c r="B780" s="2793">
        <v>1400.1401000000001</v>
      </c>
      <c r="C780" s="2793" t="s">
        <v>278</v>
      </c>
      <c r="D780" s="2793">
        <v>1</v>
      </c>
      <c r="E780" s="2793"/>
      <c r="F780" s="2793"/>
      <c r="G780" s="2793"/>
      <c r="H780" s="2793"/>
      <c r="I780" s="2793">
        <v>1400.1401000000001</v>
      </c>
      <c r="J780" s="2793" t="s">
        <v>84</v>
      </c>
    </row>
    <row r="781" spans="2:10">
      <c r="B781" s="2793">
        <v>1400.1402</v>
      </c>
      <c r="C781" s="2793" t="s">
        <v>289</v>
      </c>
      <c r="D781" s="2793">
        <v>1</v>
      </c>
      <c r="E781" s="2793"/>
      <c r="F781" s="2793"/>
      <c r="G781" s="2793"/>
      <c r="H781" s="2793"/>
      <c r="I781" s="2793">
        <v>1400.1402</v>
      </c>
      <c r="J781" s="2793" t="s">
        <v>84</v>
      </c>
    </row>
    <row r="782" spans="2:10">
      <c r="B782" s="2793">
        <v>1400.1403</v>
      </c>
      <c r="C782" s="2793" t="s">
        <v>299</v>
      </c>
      <c r="D782" s="2793">
        <v>1</v>
      </c>
      <c r="E782" s="2793"/>
      <c r="F782" s="2793"/>
      <c r="G782" s="2793"/>
      <c r="H782" s="2793"/>
      <c r="I782" s="2793">
        <v>1400.1403</v>
      </c>
      <c r="J782" s="2793" t="s">
        <v>84</v>
      </c>
    </row>
    <row r="783" spans="2:10">
      <c r="B783" s="2793">
        <v>1400.1404</v>
      </c>
      <c r="C783" s="2793" t="s">
        <v>307</v>
      </c>
      <c r="D783" s="2793">
        <v>-1</v>
      </c>
      <c r="E783" s="2793"/>
      <c r="F783" s="2793"/>
      <c r="G783" s="2793"/>
      <c r="H783" s="2793"/>
      <c r="I783" s="2793">
        <v>1400.1404</v>
      </c>
      <c r="J783" s="2793" t="s">
        <v>84</v>
      </c>
    </row>
    <row r="784" spans="2:10">
      <c r="B784" s="2793">
        <v>1400.1405</v>
      </c>
      <c r="C784" s="2793" t="s">
        <v>313</v>
      </c>
      <c r="D784" s="2793">
        <v>1</v>
      </c>
      <c r="E784" s="2793"/>
      <c r="F784" s="2793"/>
      <c r="G784" s="2793"/>
      <c r="H784" s="2793"/>
      <c r="I784" s="2793">
        <v>1400.1405</v>
      </c>
      <c r="J784" s="2793" t="s">
        <v>84</v>
      </c>
    </row>
    <row r="785" spans="2:10">
      <c r="B785" s="2793">
        <v>1400.1405999999999</v>
      </c>
      <c r="C785" s="2793" t="s">
        <v>319</v>
      </c>
      <c r="D785" s="2793">
        <v>1</v>
      </c>
      <c r="E785" s="2793"/>
      <c r="F785" s="2793"/>
      <c r="G785" s="2793"/>
      <c r="H785" s="2793"/>
      <c r="I785" s="2793">
        <v>1400.1405999999999</v>
      </c>
      <c r="J785" s="2793" t="s">
        <v>84</v>
      </c>
    </row>
    <row r="786" spans="2:10">
      <c r="B786" s="2793">
        <v>1400.1406999999999</v>
      </c>
      <c r="C786" s="2793" t="s">
        <v>325</v>
      </c>
      <c r="D786" s="2793">
        <v>-1</v>
      </c>
      <c r="E786" s="2793"/>
      <c r="F786" s="2793"/>
      <c r="G786" s="2793"/>
      <c r="H786" s="2793"/>
      <c r="I786" s="2793">
        <v>1400.1406999999999</v>
      </c>
      <c r="J786" s="2793" t="s">
        <v>84</v>
      </c>
    </row>
    <row r="787" spans="2:10">
      <c r="B787" s="2793">
        <v>1400.1407999999999</v>
      </c>
      <c r="C787" s="2793" t="s">
        <v>332</v>
      </c>
      <c r="D787" s="2793">
        <v>1</v>
      </c>
      <c r="E787" s="2793"/>
      <c r="F787" s="2793"/>
      <c r="G787" s="2793"/>
      <c r="H787" s="2793"/>
      <c r="I787" s="2793">
        <v>1400.1407999999999</v>
      </c>
      <c r="J787" s="2793" t="s">
        <v>84</v>
      </c>
    </row>
    <row r="788" spans="2:10">
      <c r="B788" s="2793">
        <v>1400.1411000000001</v>
      </c>
      <c r="C788" s="2793" t="s">
        <v>339</v>
      </c>
      <c r="D788" s="2793">
        <v>1</v>
      </c>
      <c r="E788" s="2793"/>
      <c r="F788" s="2793"/>
      <c r="G788" s="2793"/>
      <c r="H788" s="2793"/>
      <c r="I788" s="2793">
        <v>1400.1411000000001</v>
      </c>
      <c r="J788" s="2793" t="s">
        <v>84</v>
      </c>
    </row>
    <row r="789" spans="2:10">
      <c r="B789" s="2793">
        <v>1400.5001</v>
      </c>
      <c r="C789" s="2793" t="s">
        <v>362</v>
      </c>
      <c r="D789" s="2793">
        <v>1</v>
      </c>
      <c r="E789" s="2793"/>
      <c r="F789" s="2793"/>
      <c r="G789" s="2793"/>
      <c r="H789" s="2793"/>
      <c r="I789" s="2793">
        <v>1400.5001</v>
      </c>
      <c r="J789" s="2793" t="s">
        <v>84</v>
      </c>
    </row>
    <row r="790" spans="2:10">
      <c r="B790" s="2793">
        <v>1400.5101</v>
      </c>
      <c r="C790" s="2793" t="s">
        <v>369</v>
      </c>
      <c r="D790" s="2793">
        <v>1</v>
      </c>
      <c r="E790" s="2793"/>
      <c r="F790" s="2793"/>
      <c r="G790" s="2793"/>
      <c r="H790" s="2793"/>
      <c r="I790" s="2793">
        <v>1400.5101</v>
      </c>
      <c r="J790" s="2793" t="s">
        <v>84</v>
      </c>
    </row>
    <row r="791" spans="2:10">
      <c r="B791" s="2793">
        <v>1400.5400999999999</v>
      </c>
      <c r="C791" s="2793" t="s">
        <v>376</v>
      </c>
      <c r="D791" s="2793">
        <v>1</v>
      </c>
      <c r="E791" s="2793"/>
      <c r="F791" s="2793"/>
      <c r="G791" s="2793"/>
      <c r="H791" s="2793"/>
      <c r="I791" s="2793">
        <v>1400.5400999999999</v>
      </c>
      <c r="J791" s="2793" t="s">
        <v>84</v>
      </c>
    </row>
    <row r="792" spans="2:10">
      <c r="B792" s="2793">
        <v>1400.1421</v>
      </c>
      <c r="C792" s="2793" t="s">
        <v>346</v>
      </c>
      <c r="D792" s="2793">
        <v>1</v>
      </c>
      <c r="E792" s="2793"/>
      <c r="F792" s="2793"/>
      <c r="G792" s="2793"/>
      <c r="H792" s="2793"/>
      <c r="I792" s="2793">
        <v>1400.1421</v>
      </c>
      <c r="J792" s="2793" t="s">
        <v>84</v>
      </c>
    </row>
    <row r="793" spans="2:10">
      <c r="B793" s="2793">
        <v>1621.1622</v>
      </c>
      <c r="C793" s="2793" t="s">
        <v>531</v>
      </c>
      <c r="D793" s="2793">
        <v>-1</v>
      </c>
      <c r="E793" s="2793"/>
      <c r="F793" s="2793"/>
      <c r="G793" s="2793"/>
      <c r="H793" s="2793"/>
      <c r="I793" s="2793">
        <v>1621.1622</v>
      </c>
      <c r="J793" s="2793" t="s">
        <v>84</v>
      </c>
    </row>
    <row r="794" spans="2:10">
      <c r="B794" s="2793">
        <v>1601.1602</v>
      </c>
      <c r="C794" s="2793" t="s">
        <v>486</v>
      </c>
      <c r="D794" s="2793">
        <v>-1</v>
      </c>
      <c r="E794" s="2793"/>
      <c r="F794" s="2793"/>
      <c r="G794" s="2793"/>
      <c r="H794" s="2793"/>
      <c r="I794" s="2793">
        <v>1601.1602</v>
      </c>
      <c r="J794" s="2793" t="s">
        <v>84</v>
      </c>
    </row>
    <row r="795" spans="2:10">
      <c r="B795" s="2793">
        <v>1701.1702</v>
      </c>
      <c r="C795" s="2793" t="s">
        <v>568</v>
      </c>
      <c r="D795" s="2793">
        <v>-1</v>
      </c>
      <c r="E795" s="2793"/>
      <c r="F795" s="2793"/>
      <c r="G795" s="2793"/>
      <c r="H795" s="2793"/>
      <c r="I795" s="2793">
        <v>1701.1702</v>
      </c>
      <c r="J795" s="2793" t="s">
        <v>84</v>
      </c>
    </row>
    <row r="796" spans="2:10">
      <c r="B796" s="2793">
        <v>1996.1623</v>
      </c>
      <c r="C796" s="2793" t="s">
        <v>604</v>
      </c>
      <c r="D796" s="2793">
        <v>1</v>
      </c>
      <c r="E796" s="2793"/>
      <c r="F796" s="2793"/>
      <c r="G796" s="2793"/>
      <c r="H796" s="2793"/>
      <c r="I796" s="2793">
        <v>1996.1623</v>
      </c>
      <c r="J796" s="2793" t="s">
        <v>84</v>
      </c>
    </row>
    <row r="797" spans="2:10">
      <c r="B797" s="2793">
        <v>1631.1632</v>
      </c>
      <c r="C797" s="2793" t="s">
        <v>549</v>
      </c>
      <c r="D797" s="2793">
        <v>-1</v>
      </c>
      <c r="E797" s="2793"/>
      <c r="F797" s="2793"/>
      <c r="G797" s="2793"/>
      <c r="H797" s="2793"/>
      <c r="I797" s="2793">
        <v>1631.1632</v>
      </c>
      <c r="J797" s="2793" t="s">
        <v>84</v>
      </c>
    </row>
    <row r="798" spans="2:10">
      <c r="B798" s="2793">
        <v>1521.1523</v>
      </c>
      <c r="C798" s="2793" t="s">
        <v>465</v>
      </c>
      <c r="D798" s="2793">
        <v>-1</v>
      </c>
      <c r="E798" s="2793"/>
      <c r="F798" s="2793"/>
      <c r="G798" s="2793"/>
      <c r="H798" s="2793"/>
      <c r="I798" s="2793">
        <v>1521.1523</v>
      </c>
      <c r="J798" s="2793" t="s">
        <v>84</v>
      </c>
    </row>
    <row r="799" spans="2:10">
      <c r="B799" s="2795">
        <v>1535</v>
      </c>
      <c r="C799" s="2795" t="s">
        <v>2300</v>
      </c>
      <c r="D799" s="2795"/>
      <c r="E799" s="2795"/>
      <c r="F799" s="2795"/>
      <c r="G799" s="2795"/>
      <c r="H799" s="2795"/>
      <c r="I799" s="2795">
        <v>1535</v>
      </c>
      <c r="J799" s="2795"/>
    </row>
    <row r="800" spans="2:10">
      <c r="B800" s="2795">
        <v>1705</v>
      </c>
      <c r="C800" s="2795" t="s">
        <v>2301</v>
      </c>
      <c r="D800" s="2795"/>
      <c r="E800" s="2795"/>
      <c r="F800" s="2795"/>
      <c r="G800" s="2795"/>
      <c r="H800" s="2795"/>
      <c r="I800" s="2795">
        <v>1705</v>
      </c>
      <c r="J800" s="2795"/>
    </row>
    <row r="801" spans="2:10">
      <c r="B801" s="2795">
        <v>1829</v>
      </c>
      <c r="C801" s="2795" t="s">
        <v>434</v>
      </c>
      <c r="D801" s="2795"/>
      <c r="E801" s="2795"/>
      <c r="F801" s="2795"/>
      <c r="G801" s="2795"/>
      <c r="H801" s="2795"/>
      <c r="I801" s="2795">
        <v>1829</v>
      </c>
      <c r="J801" s="2795"/>
    </row>
    <row r="802" spans="2:10">
      <c r="B802" s="2795">
        <v>1991</v>
      </c>
      <c r="C802" s="2795" t="s">
        <v>2302</v>
      </c>
      <c r="D802" s="2795"/>
      <c r="E802" s="2795"/>
      <c r="F802" s="2795"/>
      <c r="G802" s="2795" t="s">
        <v>2303</v>
      </c>
      <c r="H802" s="2795"/>
      <c r="I802" s="2795">
        <v>1991</v>
      </c>
      <c r="J802" s="2795"/>
    </row>
    <row r="803" spans="2:10">
      <c r="B803" s="2795">
        <v>1997</v>
      </c>
      <c r="C803" s="2795" t="s">
        <v>449</v>
      </c>
      <c r="D803" s="2795"/>
      <c r="E803" s="2795"/>
      <c r="F803" s="2795"/>
      <c r="G803" s="2795"/>
      <c r="H803" s="2795"/>
      <c r="I803" s="2795">
        <v>1997</v>
      </c>
      <c r="J803" s="2795"/>
    </row>
    <row r="804" spans="2:10">
      <c r="B804" s="2795">
        <v>1314</v>
      </c>
      <c r="C804" s="2795" t="s">
        <v>211</v>
      </c>
      <c r="D804" s="2795"/>
      <c r="E804" s="2795"/>
      <c r="F804" s="2795"/>
      <c r="G804" s="2795"/>
      <c r="H804" s="2795"/>
      <c r="I804" s="2795">
        <v>1314</v>
      </c>
      <c r="J804" s="2795"/>
    </row>
    <row r="805" spans="2:10">
      <c r="B805" s="2795">
        <v>1704</v>
      </c>
      <c r="C805" s="2795" t="s">
        <v>407</v>
      </c>
      <c r="D805" s="2795"/>
      <c r="E805" s="2795"/>
      <c r="F805" s="2795"/>
      <c r="G805" s="2795"/>
      <c r="H805" s="2795"/>
      <c r="I805" s="2795">
        <v>1704</v>
      </c>
      <c r="J805" s="2795"/>
    </row>
    <row r="806" spans="2:10">
      <c r="B806" s="2795">
        <v>9314</v>
      </c>
      <c r="C806" s="2795" t="s">
        <v>887</v>
      </c>
      <c r="D806" s="2795"/>
      <c r="E806" s="2795"/>
      <c r="F806" s="2795"/>
      <c r="G806" s="2795"/>
      <c r="H806" s="2795"/>
      <c r="I806" s="2795">
        <v>9314</v>
      </c>
      <c r="J806" s="2795"/>
    </row>
    <row r="807" spans="2:10">
      <c r="B807" s="2795">
        <v>6064</v>
      </c>
      <c r="C807" s="2795" t="s">
        <v>637</v>
      </c>
      <c r="D807" s="2795"/>
      <c r="E807" s="2795"/>
      <c r="F807" s="2795"/>
      <c r="G807" s="2795"/>
      <c r="H807" s="2795"/>
      <c r="I807" s="2795">
        <v>6064</v>
      </c>
      <c r="J807" s="2795"/>
    </row>
    <row r="808" spans="2:10">
      <c r="B808" s="2795">
        <v>6095</v>
      </c>
      <c r="C808" s="2795" t="s">
        <v>2304</v>
      </c>
      <c r="D808" s="2795"/>
      <c r="E808" s="2795"/>
      <c r="F808" s="2795"/>
      <c r="G808" s="2795"/>
      <c r="H808" s="2795"/>
      <c r="I808" s="2795">
        <v>6095</v>
      </c>
      <c r="J808" s="2795"/>
    </row>
    <row r="809" spans="2:10">
      <c r="B809" s="2795">
        <v>6820</v>
      </c>
      <c r="C809" s="2795" t="s">
        <v>2305</v>
      </c>
      <c r="D809" s="2795"/>
      <c r="E809" s="2795" t="s">
        <v>41</v>
      </c>
      <c r="F809" s="2795"/>
      <c r="G809" s="2795"/>
      <c r="H809" s="2795"/>
      <c r="I809" s="2795">
        <v>6820</v>
      </c>
      <c r="J809" s="2795"/>
    </row>
    <row r="810" spans="2:10">
      <c r="B810" s="2795">
        <v>7400</v>
      </c>
      <c r="C810" s="2795" t="s">
        <v>797</v>
      </c>
      <c r="D810" s="2795"/>
      <c r="E810" s="2795"/>
      <c r="F810" s="2795"/>
      <c r="G810" s="2795"/>
      <c r="H810" s="2795"/>
      <c r="I810" s="2795">
        <v>7400</v>
      </c>
      <c r="J810" s="2795"/>
    </row>
    <row r="811" spans="2:10">
      <c r="B811" s="2795">
        <v>7500</v>
      </c>
      <c r="C811" s="2795" t="s">
        <v>800</v>
      </c>
      <c r="D811" s="2795"/>
      <c r="E811" s="2795" t="s">
        <v>41</v>
      </c>
      <c r="F811" s="2795"/>
      <c r="G811" s="2795"/>
      <c r="H811" s="2795"/>
      <c r="I811" s="2795">
        <v>7500</v>
      </c>
      <c r="J811" s="2795"/>
    </row>
    <row r="812" spans="2:10">
      <c r="B812" s="2795">
        <v>9010</v>
      </c>
      <c r="C812" s="2795" t="s">
        <v>2306</v>
      </c>
      <c r="D812" s="2795"/>
      <c r="E812" s="2795"/>
      <c r="F812" s="2795"/>
      <c r="G812" s="2795"/>
      <c r="H812" s="2795"/>
      <c r="I812" s="2795">
        <v>9010</v>
      </c>
      <c r="J812" s="2795"/>
    </row>
    <row r="813" spans="2:10">
      <c r="B813" s="2795">
        <v>9020</v>
      </c>
      <c r="C813" s="2795" t="s">
        <v>2307</v>
      </c>
      <c r="D813" s="2795"/>
      <c r="E813" s="2795"/>
      <c r="F813" s="2795"/>
      <c r="G813" s="2795"/>
      <c r="H813" s="2795"/>
      <c r="I813" s="2795">
        <v>9020</v>
      </c>
      <c r="J813" s="2795"/>
    </row>
    <row r="814" spans="2:10">
      <c r="B814" s="2795">
        <v>9100</v>
      </c>
      <c r="C814" s="2795" t="s">
        <v>5738</v>
      </c>
      <c r="D814" s="2795"/>
      <c r="E814" s="2795"/>
      <c r="F814" s="2795"/>
      <c r="G814" s="2795"/>
      <c r="H814" s="2795"/>
      <c r="I814" s="2795">
        <v>9100</v>
      </c>
      <c r="J814" s="2795"/>
    </row>
    <row r="815" spans="2:10">
      <c r="B815" s="2795">
        <v>9101</v>
      </c>
      <c r="C815" s="2795" t="s">
        <v>2308</v>
      </c>
      <c r="D815" s="2795"/>
      <c r="E815" s="2795"/>
      <c r="F815" s="2795"/>
      <c r="G815" s="2795"/>
      <c r="H815" s="2795"/>
      <c r="I815" s="2795">
        <v>9101</v>
      </c>
      <c r="J815" s="2795"/>
    </row>
    <row r="816" spans="2:10">
      <c r="B816" s="2795">
        <v>9120</v>
      </c>
      <c r="C816" s="2795" t="s">
        <v>882</v>
      </c>
      <c r="D816" s="2795"/>
      <c r="E816" s="2795"/>
      <c r="F816" s="2795"/>
      <c r="G816" s="2795"/>
      <c r="H816" s="2795"/>
      <c r="I816" s="2795">
        <v>9120</v>
      </c>
      <c r="J816" s="2795"/>
    </row>
    <row r="817" spans="2:10">
      <c r="B817" s="2795">
        <v>9130</v>
      </c>
      <c r="C817" s="2795" t="s">
        <v>2309</v>
      </c>
      <c r="D817" s="2795"/>
      <c r="E817" s="2795"/>
      <c r="F817" s="2795"/>
      <c r="G817" s="2795"/>
      <c r="H817" s="2795"/>
      <c r="I817" s="2795">
        <v>9130</v>
      </c>
      <c r="J817" s="2795"/>
    </row>
    <row r="818" spans="2:10">
      <c r="B818" s="2795">
        <v>9210</v>
      </c>
      <c r="C818" s="2795" t="s">
        <v>2310</v>
      </c>
      <c r="D818" s="2795"/>
      <c r="E818" s="2795"/>
      <c r="F818" s="2795"/>
      <c r="G818" s="2795"/>
      <c r="H818" s="2795"/>
      <c r="I818" s="2795">
        <v>9210</v>
      </c>
      <c r="J818" s="2795"/>
    </row>
    <row r="819" spans="2:10">
      <c r="B819" s="2795">
        <v>9220</v>
      </c>
      <c r="C819" s="2795" t="s">
        <v>2311</v>
      </c>
      <c r="D819" s="2795"/>
      <c r="E819" s="2795"/>
      <c r="F819" s="2795"/>
      <c r="G819" s="2795"/>
      <c r="H819" s="2795"/>
      <c r="I819" s="2795">
        <v>9220</v>
      </c>
      <c r="J819" s="2795"/>
    </row>
    <row r="820" spans="2:10">
      <c r="B820" s="2795">
        <v>9250</v>
      </c>
      <c r="C820" s="2795" t="s">
        <v>2312</v>
      </c>
      <c r="D820" s="2795"/>
      <c r="E820" s="2795"/>
      <c r="F820" s="2795"/>
      <c r="G820" s="2795"/>
      <c r="H820" s="2795"/>
      <c r="I820" s="2795">
        <v>9250</v>
      </c>
      <c r="J820" s="2795"/>
    </row>
    <row r="821" spans="2:10">
      <c r="B821" s="2795">
        <v>9260</v>
      </c>
      <c r="C821" s="2795" t="s">
        <v>2313</v>
      </c>
      <c r="D821" s="2795"/>
      <c r="E821" s="2795"/>
      <c r="F821" s="2795"/>
      <c r="G821" s="2795"/>
      <c r="H821" s="2795"/>
      <c r="I821" s="2795">
        <v>9260</v>
      </c>
      <c r="J821" s="2795"/>
    </row>
    <row r="822" spans="2:10">
      <c r="B822" s="2795">
        <v>9300</v>
      </c>
      <c r="C822" s="2795" t="s">
        <v>2314</v>
      </c>
      <c r="D822" s="2795"/>
      <c r="E822" s="2795"/>
      <c r="F822" s="2795"/>
      <c r="G822" s="2795"/>
      <c r="H822" s="2795"/>
      <c r="I822" s="2795">
        <v>9300</v>
      </c>
      <c r="J822" s="2795"/>
    </row>
    <row r="823" spans="2:10">
      <c r="B823" s="2795">
        <v>9301</v>
      </c>
      <c r="C823" s="2795" t="s">
        <v>2315</v>
      </c>
      <c r="D823" s="2795"/>
      <c r="E823" s="2795"/>
      <c r="F823" s="2795"/>
      <c r="G823" s="2795"/>
      <c r="H823" s="2795"/>
      <c r="I823" s="2795">
        <v>9301</v>
      </c>
      <c r="J823" s="2795"/>
    </row>
    <row r="824" spans="2:10">
      <c r="B824" s="2795">
        <v>9302</v>
      </c>
      <c r="C824" s="2795" t="s">
        <v>2316</v>
      </c>
      <c r="D824" s="2795"/>
      <c r="E824" s="2795"/>
      <c r="F824" s="2795"/>
      <c r="G824" s="2795"/>
      <c r="H824" s="2795"/>
      <c r="I824" s="2795">
        <v>9302</v>
      </c>
      <c r="J824" s="2795"/>
    </row>
    <row r="825" spans="2:10">
      <c r="B825" s="2795">
        <v>9303</v>
      </c>
      <c r="C825" s="2795" t="s">
        <v>2317</v>
      </c>
      <c r="D825" s="2795"/>
      <c r="E825" s="2795"/>
      <c r="F825" s="2795"/>
      <c r="G825" s="2795"/>
      <c r="H825" s="2795"/>
      <c r="I825" s="2795">
        <v>9303</v>
      </c>
      <c r="J825" s="2795"/>
    </row>
    <row r="826" spans="2:10">
      <c r="B826" s="2795">
        <v>9305</v>
      </c>
      <c r="C826" s="2795" t="s">
        <v>2318</v>
      </c>
      <c r="D826" s="2795"/>
      <c r="E826" s="2795"/>
      <c r="F826" s="2795"/>
      <c r="G826" s="2795"/>
      <c r="H826" s="2795"/>
      <c r="I826" s="2795">
        <v>9305</v>
      </c>
      <c r="J826" s="2795"/>
    </row>
    <row r="827" spans="2:10">
      <c r="B827" s="2795">
        <v>9310</v>
      </c>
      <c r="C827" s="2795" t="s">
        <v>2319</v>
      </c>
      <c r="D827" s="2795"/>
      <c r="E827" s="2795"/>
      <c r="F827" s="2795"/>
      <c r="G827" s="2795"/>
      <c r="H827" s="2795"/>
      <c r="I827" s="2795">
        <v>9310</v>
      </c>
      <c r="J827" s="2795"/>
    </row>
    <row r="828" spans="2:10">
      <c r="B828" s="2795">
        <v>9321</v>
      </c>
      <c r="C828" s="2795" t="s">
        <v>2320</v>
      </c>
      <c r="D828" s="2795"/>
      <c r="E828" s="2795"/>
      <c r="F828" s="2795"/>
      <c r="G828" s="2795"/>
      <c r="H828" s="2795"/>
      <c r="I828" s="2795">
        <v>9321</v>
      </c>
      <c r="J828" s="2795"/>
    </row>
    <row r="829" spans="2:10">
      <c r="B829" s="2795">
        <v>9331</v>
      </c>
      <c r="C829" s="2795" t="s">
        <v>5115</v>
      </c>
      <c r="D829" s="2795"/>
      <c r="E829" s="2795"/>
      <c r="F829" s="2795"/>
      <c r="G829" s="2795"/>
      <c r="H829" s="2795"/>
      <c r="I829" s="2795">
        <v>9331</v>
      </c>
      <c r="J829" s="2795"/>
    </row>
    <row r="830" spans="2:10">
      <c r="B830" s="2795">
        <v>9336</v>
      </c>
      <c r="C830" s="2795" t="s">
        <v>2321</v>
      </c>
      <c r="D830" s="2795"/>
      <c r="E830" s="2795"/>
      <c r="F830" s="2795"/>
      <c r="G830" s="2795"/>
      <c r="H830" s="2795"/>
      <c r="I830" s="2795">
        <v>9336</v>
      </c>
      <c r="J830" s="2795"/>
    </row>
    <row r="831" spans="2:10">
      <c r="B831" s="2795">
        <v>9351</v>
      </c>
      <c r="C831" s="2795" t="s">
        <v>2322</v>
      </c>
      <c r="D831" s="2795"/>
      <c r="E831" s="2795"/>
      <c r="F831" s="2795"/>
      <c r="G831" s="2795"/>
      <c r="H831" s="2795"/>
      <c r="I831" s="2795">
        <v>9351</v>
      </c>
      <c r="J831" s="2795"/>
    </row>
    <row r="832" spans="2:10">
      <c r="B832" s="2795">
        <v>9361</v>
      </c>
      <c r="C832" s="2795" t="s">
        <v>2323</v>
      </c>
      <c r="D832" s="2795"/>
      <c r="E832" s="2795"/>
      <c r="F832" s="2795"/>
      <c r="G832" s="2795"/>
      <c r="H832" s="2795"/>
      <c r="I832" s="2795">
        <v>9361</v>
      </c>
      <c r="J832" s="2795"/>
    </row>
    <row r="833" spans="2:10">
      <c r="B833" s="2795">
        <v>9363</v>
      </c>
      <c r="C833" s="2795" t="s">
        <v>2324</v>
      </c>
      <c r="D833" s="2795"/>
      <c r="E833" s="2795"/>
      <c r="F833" s="2795"/>
      <c r="G833" s="2795"/>
      <c r="H833" s="2795"/>
      <c r="I833" s="2795">
        <v>9363</v>
      </c>
      <c r="J833" s="2795"/>
    </row>
    <row r="834" spans="2:10">
      <c r="B834" s="2795">
        <v>9367</v>
      </c>
      <c r="C834" s="2795" t="s">
        <v>899</v>
      </c>
      <c r="D834" s="2795"/>
      <c r="E834" s="2795"/>
      <c r="F834" s="2795"/>
      <c r="G834" s="2795"/>
      <c r="H834" s="2795"/>
      <c r="I834" s="2795">
        <v>9367</v>
      </c>
      <c r="J834" s="2795"/>
    </row>
    <row r="835" spans="2:10">
      <c r="B835" s="2795">
        <v>9390</v>
      </c>
      <c r="C835" s="2795" t="s">
        <v>2325</v>
      </c>
      <c r="D835" s="2795"/>
      <c r="E835" s="2795"/>
      <c r="F835" s="2795"/>
      <c r="G835" s="2795"/>
      <c r="H835" s="2795"/>
      <c r="I835" s="2795">
        <v>9390</v>
      </c>
      <c r="J835" s="2795"/>
    </row>
    <row r="836" spans="2:10">
      <c r="B836" s="2795">
        <v>9509</v>
      </c>
      <c r="C836" s="2795" t="s">
        <v>2326</v>
      </c>
      <c r="D836" s="2795"/>
      <c r="E836" s="2795"/>
      <c r="F836" s="2795"/>
      <c r="G836" s="2795"/>
      <c r="H836" s="2795"/>
      <c r="I836" s="2795">
        <v>9509</v>
      </c>
      <c r="J836" s="2795"/>
    </row>
    <row r="837" spans="2:10">
      <c r="B837" s="2795">
        <v>9601</v>
      </c>
      <c r="C837" s="2795" t="s">
        <v>912</v>
      </c>
      <c r="D837" s="2795"/>
      <c r="E837" s="2795"/>
      <c r="F837" s="2795"/>
      <c r="G837" s="2795"/>
      <c r="H837" s="2795"/>
      <c r="I837" s="2795">
        <v>9601</v>
      </c>
      <c r="J837" s="2795"/>
    </row>
    <row r="838" spans="2:10">
      <c r="B838" s="2795">
        <v>9611</v>
      </c>
      <c r="C838" s="2795" t="s">
        <v>2327</v>
      </c>
      <c r="D838" s="2795"/>
      <c r="E838" s="2795"/>
      <c r="F838" s="2795"/>
      <c r="G838" s="2795"/>
      <c r="H838" s="2795"/>
      <c r="I838" s="2795">
        <v>9611</v>
      </c>
      <c r="J838" s="2795"/>
    </row>
    <row r="839" spans="2:10">
      <c r="B839" s="2795">
        <v>9621</v>
      </c>
      <c r="C839" s="2795" t="s">
        <v>2328</v>
      </c>
      <c r="D839" s="2795"/>
      <c r="E839" s="2795"/>
      <c r="F839" s="2795"/>
      <c r="G839" s="2795"/>
      <c r="H839" s="2795"/>
      <c r="I839" s="2795">
        <v>9621</v>
      </c>
      <c r="J839" s="2795"/>
    </row>
    <row r="840" spans="2:10">
      <c r="B840" s="2795">
        <v>7400</v>
      </c>
      <c r="C840" s="2795" t="s">
        <v>509</v>
      </c>
      <c r="D840" s="2795">
        <v>1</v>
      </c>
      <c r="E840" s="2795"/>
      <c r="F840" s="2795"/>
      <c r="G840" s="2795" t="s">
        <v>509</v>
      </c>
      <c r="H840" s="2795"/>
      <c r="I840" s="2795">
        <v>7400</v>
      </c>
      <c r="J840" s="2795"/>
    </row>
    <row r="841" spans="2:10">
      <c r="B841" s="2795">
        <v>9325</v>
      </c>
      <c r="C841" s="2795" t="s">
        <v>5114</v>
      </c>
      <c r="D841" s="2795"/>
      <c r="E841" s="2795"/>
      <c r="F841" s="2795"/>
      <c r="G841" s="2795"/>
      <c r="H841" s="2795"/>
      <c r="I841" s="2795">
        <v>9325</v>
      </c>
      <c r="J841" s="2795"/>
    </row>
    <row r="842" spans="2:10">
      <c r="B842" s="2795">
        <v>9690</v>
      </c>
      <c r="C842" s="2795" t="s">
        <v>918</v>
      </c>
      <c r="D842" s="2795"/>
      <c r="E842" s="2795"/>
      <c r="F842" s="2795"/>
      <c r="G842" s="2795"/>
      <c r="H842" s="2795"/>
      <c r="I842" s="2795">
        <v>9690</v>
      </c>
      <c r="J842" s="2795"/>
    </row>
    <row r="843" spans="2:10">
      <c r="B843" s="2795">
        <v>9371</v>
      </c>
      <c r="C843" s="2795" t="s">
        <v>905</v>
      </c>
      <c r="D843" s="2795"/>
      <c r="E843" s="2795"/>
      <c r="F843" s="2795"/>
      <c r="G843" s="2795"/>
      <c r="H843" s="2795"/>
      <c r="I843" s="2795">
        <v>9371</v>
      </c>
      <c r="J843" s="2795"/>
    </row>
    <row r="844" spans="2:10">
      <c r="B844" s="2795">
        <v>8021</v>
      </c>
      <c r="C844" s="2795" t="s">
        <v>1022</v>
      </c>
      <c r="D844" s="2795">
        <v>-1</v>
      </c>
      <c r="E844" s="2795" t="s">
        <v>5739</v>
      </c>
      <c r="F844" s="2795"/>
      <c r="G844" s="2795" t="s">
        <v>1023</v>
      </c>
      <c r="H844" s="2795"/>
      <c r="I844" s="2795">
        <v>8021</v>
      </c>
      <c r="J844" s="2795"/>
    </row>
    <row r="845" spans="2:10">
      <c r="B845" s="2795">
        <v>8030</v>
      </c>
      <c r="C845" s="2795" t="s">
        <v>1027</v>
      </c>
      <c r="D845" s="2795">
        <v>-1</v>
      </c>
      <c r="E845" s="2795" t="s">
        <v>5739</v>
      </c>
      <c r="F845" s="2795"/>
      <c r="G845" s="2795" t="s">
        <v>1028</v>
      </c>
      <c r="H845" s="2795"/>
      <c r="I845" s="2795">
        <v>8030</v>
      </c>
      <c r="J845" s="2795"/>
    </row>
    <row r="846" spans="2:10">
      <c r="B846" s="2795">
        <v>8121</v>
      </c>
      <c r="C846" s="2795" t="s">
        <v>1019</v>
      </c>
      <c r="D846" s="2795">
        <v>-1</v>
      </c>
      <c r="E846" s="2795" t="s">
        <v>213</v>
      </c>
      <c r="F846" s="2795"/>
      <c r="G846" s="2795" t="s">
        <v>1023</v>
      </c>
      <c r="H846" s="2795"/>
      <c r="I846" s="2795">
        <v>8121</v>
      </c>
      <c r="J846" s="2795" t="s">
        <v>84</v>
      </c>
    </row>
    <row r="847" spans="2:10">
      <c r="B847" s="2795">
        <v>8130</v>
      </c>
      <c r="C847" s="2795" t="s">
        <v>1024</v>
      </c>
      <c r="D847" s="2795">
        <v>-1</v>
      </c>
      <c r="E847" s="2795" t="s">
        <v>213</v>
      </c>
      <c r="F847" s="2795"/>
      <c r="G847" s="2795" t="s">
        <v>1028</v>
      </c>
      <c r="H847" s="2795"/>
      <c r="I847" s="2795">
        <v>8130</v>
      </c>
      <c r="J847" s="2795" t="s">
        <v>84</v>
      </c>
    </row>
    <row r="848" spans="2:10">
      <c r="B848" s="2795">
        <v>8221</v>
      </c>
      <c r="C848" s="2795" t="s">
        <v>1150</v>
      </c>
      <c r="D848" s="2795">
        <v>-1</v>
      </c>
      <c r="E848" s="2795" t="s">
        <v>213</v>
      </c>
      <c r="F848" s="2795"/>
      <c r="G848" s="2795" t="s">
        <v>1023</v>
      </c>
      <c r="H848" s="2795"/>
      <c r="I848" s="2795">
        <v>8221</v>
      </c>
      <c r="J848" s="2795" t="s">
        <v>84</v>
      </c>
    </row>
    <row r="849" spans="2:10">
      <c r="B849" s="2795">
        <v>8230</v>
      </c>
      <c r="C849" s="2795" t="s">
        <v>1152</v>
      </c>
      <c r="D849" s="2795">
        <v>-1</v>
      </c>
      <c r="E849" s="2795"/>
      <c r="F849" s="2795" t="s">
        <v>5698</v>
      </c>
      <c r="G849" s="2795" t="s">
        <v>1028</v>
      </c>
      <c r="H849" s="2795"/>
      <c r="I849" s="2795">
        <v>8230</v>
      </c>
      <c r="J849" s="2795" t="s">
        <v>84</v>
      </c>
    </row>
    <row r="850" spans="2:10">
      <c r="B850" s="2795">
        <v>8321</v>
      </c>
      <c r="C850" s="2795" t="s">
        <v>1244</v>
      </c>
      <c r="D850" s="2795">
        <v>1</v>
      </c>
      <c r="E850" s="2795" t="s">
        <v>213</v>
      </c>
      <c r="F850" s="2795"/>
      <c r="G850" s="2795" t="s">
        <v>1023</v>
      </c>
      <c r="H850" s="2795"/>
      <c r="I850" s="2795">
        <v>8321</v>
      </c>
      <c r="J850" s="2795" t="s">
        <v>84</v>
      </c>
    </row>
    <row r="851" spans="2:10">
      <c r="B851" s="2795">
        <v>8330</v>
      </c>
      <c r="C851" s="2795" t="s">
        <v>1249</v>
      </c>
      <c r="D851" s="2795">
        <v>1</v>
      </c>
      <c r="E851" s="2795" t="s">
        <v>213</v>
      </c>
      <c r="F851" s="2795"/>
      <c r="G851" s="2795" t="s">
        <v>1028</v>
      </c>
      <c r="H851" s="2795"/>
      <c r="I851" s="2795">
        <v>8330</v>
      </c>
      <c r="J851" s="2795" t="s">
        <v>84</v>
      </c>
    </row>
    <row r="852" spans="2:10">
      <c r="B852" s="2795">
        <v>8421</v>
      </c>
      <c r="C852" s="2795" t="s">
        <v>1374</v>
      </c>
      <c r="D852" s="2795">
        <v>-1</v>
      </c>
      <c r="E852" s="2795" t="s">
        <v>213</v>
      </c>
      <c r="F852" s="2795"/>
      <c r="G852" s="2795" t="s">
        <v>1023</v>
      </c>
      <c r="H852" s="2795"/>
      <c r="I852" s="2795">
        <v>8421</v>
      </c>
      <c r="J852" s="2795" t="s">
        <v>84</v>
      </c>
    </row>
    <row r="853" spans="2:10">
      <c r="B853" s="2795">
        <v>8430</v>
      </c>
      <c r="C853" s="2795" t="s">
        <v>1379</v>
      </c>
      <c r="D853" s="2795">
        <v>-1</v>
      </c>
      <c r="E853" s="2795" t="s">
        <v>213</v>
      </c>
      <c r="F853" s="2795"/>
      <c r="G853" s="2795" t="s">
        <v>1028</v>
      </c>
      <c r="H853" s="2795"/>
      <c r="I853" s="2795">
        <v>8430</v>
      </c>
      <c r="J853" s="2795" t="s">
        <v>84</v>
      </c>
    </row>
    <row r="854" spans="2:10">
      <c r="B854" s="2795">
        <v>8521</v>
      </c>
      <c r="C854" s="2795" t="s">
        <v>1504</v>
      </c>
      <c r="D854" s="2795">
        <v>-1</v>
      </c>
      <c r="E854" s="2795" t="s">
        <v>213</v>
      </c>
      <c r="F854" s="2795"/>
      <c r="G854" s="2795" t="s">
        <v>1023</v>
      </c>
      <c r="H854" s="2795"/>
      <c r="I854" s="2795">
        <v>8521</v>
      </c>
      <c r="J854" s="2795" t="s">
        <v>84</v>
      </c>
    </row>
    <row r="855" spans="2:10">
      <c r="B855" s="2795">
        <v>8530</v>
      </c>
      <c r="C855" s="2795" t="s">
        <v>1509</v>
      </c>
      <c r="D855" s="2795">
        <v>-1</v>
      </c>
      <c r="E855" s="2795" t="s">
        <v>213</v>
      </c>
      <c r="F855" s="2795"/>
      <c r="G855" s="2795" t="s">
        <v>1028</v>
      </c>
      <c r="H855" s="2795"/>
      <c r="I855" s="2795">
        <v>8530</v>
      </c>
      <c r="J855" s="2795" t="s">
        <v>84</v>
      </c>
    </row>
    <row r="856" spans="2:10">
      <c r="B856" s="2795">
        <v>8621</v>
      </c>
      <c r="C856" s="2795" t="s">
        <v>1625</v>
      </c>
      <c r="D856" s="2795">
        <v>-1</v>
      </c>
      <c r="E856" s="2795" t="s">
        <v>213</v>
      </c>
      <c r="F856" s="2795"/>
      <c r="G856" s="2795" t="s">
        <v>1023</v>
      </c>
      <c r="H856" s="2795"/>
      <c r="I856" s="2795">
        <v>8621</v>
      </c>
      <c r="J856" s="2795" t="s">
        <v>84</v>
      </c>
    </row>
    <row r="857" spans="2:10">
      <c r="B857" s="2795">
        <v>8630</v>
      </c>
      <c r="C857" s="2795" t="s">
        <v>1631</v>
      </c>
      <c r="D857" s="2795">
        <v>-1</v>
      </c>
      <c r="E857" s="2795" t="s">
        <v>213</v>
      </c>
      <c r="F857" s="2795"/>
      <c r="G857" s="2795" t="s">
        <v>1028</v>
      </c>
      <c r="H857" s="2795"/>
      <c r="I857" s="2795">
        <v>8630</v>
      </c>
      <c r="J857" s="2795" t="s">
        <v>84</v>
      </c>
    </row>
    <row r="858" spans="2:10">
      <c r="B858" s="2795">
        <v>8721</v>
      </c>
      <c r="C858" s="2795" t="s">
        <v>2140</v>
      </c>
      <c r="D858" s="2795">
        <v>-1</v>
      </c>
      <c r="E858" s="2795"/>
      <c r="F858" s="2795"/>
      <c r="G858" s="2795" t="s">
        <v>1023</v>
      </c>
      <c r="H858" s="2795"/>
      <c r="I858" s="2795">
        <v>8721</v>
      </c>
      <c r="J858" s="2795"/>
    </row>
    <row r="859" spans="2:10">
      <c r="B859" s="2795">
        <v>8730</v>
      </c>
      <c r="C859" s="2795" t="s">
        <v>2329</v>
      </c>
      <c r="D859" s="2795">
        <v>-1</v>
      </c>
      <c r="E859" s="2795" t="s">
        <v>213</v>
      </c>
      <c r="F859" s="2795"/>
      <c r="G859" s="2795" t="s">
        <v>1028</v>
      </c>
      <c r="H859" s="2795"/>
      <c r="I859" s="2795">
        <v>8730</v>
      </c>
      <c r="J859" s="2795"/>
    </row>
    <row r="860" spans="2:10">
      <c r="B860" s="2795">
        <v>8821</v>
      </c>
      <c r="C860" s="2795" t="s">
        <v>2206</v>
      </c>
      <c r="D860" s="2795">
        <v>-1</v>
      </c>
      <c r="E860" s="2795" t="s">
        <v>1867</v>
      </c>
      <c r="F860" s="2795"/>
      <c r="G860" s="2795" t="s">
        <v>1023</v>
      </c>
      <c r="H860" s="2795"/>
      <c r="I860" s="2795">
        <v>8821</v>
      </c>
      <c r="J860" s="2795"/>
    </row>
    <row r="861" spans="2:10">
      <c r="B861" s="2795">
        <v>8830</v>
      </c>
      <c r="C861" s="2795" t="s">
        <v>2207</v>
      </c>
      <c r="D861" s="2795">
        <v>-1</v>
      </c>
      <c r="E861" s="2795" t="s">
        <v>1867</v>
      </c>
      <c r="F861" s="2795"/>
      <c r="G861" s="2795" t="s">
        <v>1028</v>
      </c>
      <c r="H861" s="2795"/>
      <c r="I861" s="2795">
        <v>8830</v>
      </c>
      <c r="J861" s="2795"/>
    </row>
    <row r="862" spans="2:10">
      <c r="B862" s="2795">
        <v>8921</v>
      </c>
      <c r="C862" s="2795" t="s">
        <v>1850</v>
      </c>
      <c r="D862" s="2795">
        <v>-1</v>
      </c>
      <c r="E862" s="2795" t="s">
        <v>708</v>
      </c>
      <c r="F862" s="2795"/>
      <c r="G862" s="2795" t="s">
        <v>1023</v>
      </c>
      <c r="H862" s="2795"/>
      <c r="I862" s="2795">
        <v>8921</v>
      </c>
      <c r="J862" s="2795" t="s">
        <v>84</v>
      </c>
    </row>
    <row r="863" spans="2:10">
      <c r="B863" s="2795">
        <v>8930</v>
      </c>
      <c r="C863" s="2795" t="s">
        <v>1853</v>
      </c>
      <c r="D863" s="2795">
        <v>-1</v>
      </c>
      <c r="E863" s="2795" t="s">
        <v>708</v>
      </c>
      <c r="F863" s="2795"/>
      <c r="G863" s="2795" t="s">
        <v>1028</v>
      </c>
      <c r="H863" s="2795"/>
      <c r="I863" s="2795">
        <v>8930</v>
      </c>
      <c r="J863" s="2795" t="s">
        <v>84</v>
      </c>
    </row>
    <row r="864" spans="2:10">
      <c r="B864" s="2795">
        <v>1515</v>
      </c>
      <c r="C864" s="2795" t="s">
        <v>303</v>
      </c>
      <c r="D864" s="2795">
        <v>1</v>
      </c>
      <c r="E864" s="2795" t="s">
        <v>331</v>
      </c>
      <c r="F864" s="2795" t="s">
        <v>5740</v>
      </c>
      <c r="G864" s="2795" t="s">
        <v>303</v>
      </c>
      <c r="H864" s="2795"/>
      <c r="I864" s="2795">
        <v>1515</v>
      </c>
      <c r="J864" s="2795" t="s">
        <v>84</v>
      </c>
    </row>
    <row r="865" spans="2:10">
      <c r="B865" s="2795">
        <v>6810</v>
      </c>
      <c r="C865" s="2795" t="s">
        <v>2397</v>
      </c>
      <c r="D865" s="2795"/>
      <c r="E865" s="2795" t="s">
        <v>5739</v>
      </c>
      <c r="F865" s="2795"/>
      <c r="G865" s="2795" t="s">
        <v>2398</v>
      </c>
      <c r="H865" s="2795" t="s">
        <v>2398</v>
      </c>
      <c r="I865" s="2795">
        <v>6810</v>
      </c>
      <c r="J865" s="2795"/>
    </row>
    <row r="866" spans="2:10">
      <c r="B866" s="2795">
        <v>6815</v>
      </c>
      <c r="C866" s="2795" t="s">
        <v>2399</v>
      </c>
      <c r="D866" s="2795"/>
      <c r="E866" s="2795" t="s">
        <v>5739</v>
      </c>
      <c r="F866" s="2795"/>
      <c r="G866" s="2795" t="s">
        <v>2400</v>
      </c>
      <c r="H866" s="2795" t="s">
        <v>2400</v>
      </c>
      <c r="I866" s="2795">
        <v>6815</v>
      </c>
      <c r="J866" s="2795"/>
    </row>
    <row r="867" spans="2:10">
      <c r="B867" s="2795">
        <v>4210</v>
      </c>
      <c r="C867" s="2795" t="s">
        <v>707</v>
      </c>
      <c r="D867" s="2795">
        <v>-1</v>
      </c>
      <c r="E867" s="2795" t="s">
        <v>5739</v>
      </c>
      <c r="F867" s="2795"/>
      <c r="G867" s="2795" t="s">
        <v>707</v>
      </c>
      <c r="H867" s="2795" t="s">
        <v>707</v>
      </c>
      <c r="I867" s="2795">
        <v>4210</v>
      </c>
      <c r="J867" s="2795"/>
    </row>
    <row r="868" spans="2:10">
      <c r="B868" s="2795">
        <v>6805</v>
      </c>
      <c r="C868" s="2795" t="s">
        <v>876</v>
      </c>
      <c r="D868" s="2795">
        <v>1</v>
      </c>
      <c r="E868" s="2795" t="s">
        <v>5741</v>
      </c>
      <c r="F868" s="2795"/>
      <c r="G868" s="2795" t="s">
        <v>877</v>
      </c>
      <c r="H868" s="2795" t="s">
        <v>877</v>
      </c>
      <c r="I868" s="2795">
        <v>6805</v>
      </c>
      <c r="J868" s="2795"/>
    </row>
    <row r="869" spans="2:10">
      <c r="B869" s="2795">
        <v>6710.11</v>
      </c>
      <c r="C869" s="2795" t="s">
        <v>844</v>
      </c>
      <c r="D869" s="2795">
        <v>-1</v>
      </c>
      <c r="E869" s="2795" t="s">
        <v>5739</v>
      </c>
      <c r="F869" s="2795"/>
      <c r="G869" s="2795" t="s">
        <v>845</v>
      </c>
      <c r="H869" s="2795" t="s">
        <v>845</v>
      </c>
      <c r="I869" s="2795">
        <v>6710.11</v>
      </c>
      <c r="J869" s="2795"/>
    </row>
    <row r="870" spans="2:10">
      <c r="B870" s="2795">
        <v>6711.01</v>
      </c>
      <c r="C870" s="2795" t="s">
        <v>856</v>
      </c>
      <c r="D870" s="2795">
        <v>1</v>
      </c>
      <c r="E870" s="2795" t="s">
        <v>5739</v>
      </c>
      <c r="F870" s="2795"/>
      <c r="G870" s="2795" t="s">
        <v>857</v>
      </c>
      <c r="H870" s="2795" t="s">
        <v>857</v>
      </c>
      <c r="I870" s="2795">
        <v>6711.01</v>
      </c>
      <c r="J870" s="2795"/>
    </row>
    <row r="871" spans="2:10">
      <c r="B871" s="2795">
        <v>7296.11</v>
      </c>
      <c r="C871" s="2795" t="s">
        <v>308</v>
      </c>
      <c r="D871" s="2795">
        <v>-1</v>
      </c>
      <c r="E871" s="2795" t="s">
        <v>5741</v>
      </c>
      <c r="F871" s="2795"/>
      <c r="G871" s="2795" t="s">
        <v>2264</v>
      </c>
      <c r="H871" s="2795" t="s">
        <v>2264</v>
      </c>
      <c r="I871" s="2795">
        <v>7296.11</v>
      </c>
      <c r="J871" s="2795"/>
    </row>
    <row r="872" spans="2:10">
      <c r="B872" s="2795">
        <v>1123</v>
      </c>
      <c r="C872" s="2795" t="s">
        <v>138</v>
      </c>
      <c r="D872" s="2795">
        <v>1</v>
      </c>
      <c r="E872" s="2795" t="s">
        <v>5739</v>
      </c>
      <c r="F872" s="2795"/>
      <c r="G872" s="2795" t="s">
        <v>138</v>
      </c>
      <c r="H872" s="2795" t="s">
        <v>138</v>
      </c>
      <c r="I872" s="2795">
        <v>1123</v>
      </c>
      <c r="J872" s="2795"/>
    </row>
    <row r="873" spans="2:10">
      <c r="B873" s="2795">
        <v>2203</v>
      </c>
      <c r="C873" s="2795" t="s">
        <v>480</v>
      </c>
      <c r="D873" s="2795">
        <v>-1</v>
      </c>
      <c r="E873" s="2795" t="s">
        <v>5739</v>
      </c>
      <c r="F873" s="2795"/>
      <c r="G873" s="2795" t="s">
        <v>480</v>
      </c>
      <c r="H873" s="2795" t="s">
        <v>480</v>
      </c>
      <c r="I873" s="2795">
        <v>2203</v>
      </c>
      <c r="J873" s="2795"/>
    </row>
    <row r="874" spans="2:10">
      <c r="B874" s="2795">
        <v>7021</v>
      </c>
      <c r="C874" s="2795" t="s">
        <v>340</v>
      </c>
      <c r="D874" s="2795">
        <v>1</v>
      </c>
      <c r="E874" s="2795" t="s">
        <v>5742</v>
      </c>
      <c r="F874" s="2795"/>
      <c r="G874" s="2795" t="s">
        <v>5743</v>
      </c>
      <c r="H874" s="2795" t="s">
        <v>5743</v>
      </c>
      <c r="I874" s="2795">
        <v>7021</v>
      </c>
      <c r="J874" s="2795"/>
    </row>
    <row r="875" spans="2:10">
      <c r="B875" s="2795">
        <v>7221</v>
      </c>
      <c r="C875" s="2795" t="s">
        <v>410</v>
      </c>
      <c r="D875" s="2795">
        <v>1</v>
      </c>
      <c r="E875" s="2795" t="s">
        <v>5742</v>
      </c>
      <c r="F875" s="2795"/>
      <c r="G875" s="2795" t="s">
        <v>410</v>
      </c>
      <c r="H875" s="2795" t="s">
        <v>410</v>
      </c>
      <c r="I875" s="2795">
        <v>7221</v>
      </c>
      <c r="J875" s="2795"/>
    </row>
  </sheetData>
  <sheetProtection algorithmName="SHA-512" hashValue="jLUhzk6E/EzimtSCxglFoRa5iAmh/vQ6YIc8dIf/cgXYgoB5kT15DQ7S7IbAU7PodjhuVI2UM2v1IeV1sHZFlQ==" saltValue="VqXnO2MW+gyc5iSBDW25EA==" spinCount="100000" sheet="1" scenarios="1" formatCells="0" autoFilter="0"/>
  <phoneticPr fontId="163"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R61"/>
  <sheetViews>
    <sheetView showGridLines="0" workbookViewId="0">
      <selection activeCell="C8" sqref="C8"/>
    </sheetView>
  </sheetViews>
  <sheetFormatPr defaultColWidth="9.140625" defaultRowHeight="12"/>
  <cols>
    <col min="1" max="1" width="2.7109375" style="1330" customWidth="1"/>
    <col min="2" max="2" width="21.5703125" style="1329" customWidth="1"/>
    <col min="3" max="3" width="36.85546875" style="1329" customWidth="1"/>
    <col min="4" max="4" width="11.85546875" style="1329" customWidth="1"/>
    <col min="5" max="5" width="9.85546875" style="1329" customWidth="1"/>
    <col min="6" max="6" width="12.7109375" style="1329" customWidth="1"/>
    <col min="7" max="8" width="12.7109375" style="1330" hidden="1" customWidth="1"/>
    <col min="9" max="9" width="11.140625" style="1329" customWidth="1"/>
    <col min="10" max="10" width="15.7109375" style="1329" customWidth="1"/>
    <col min="11" max="11" width="2.5703125" style="1329" customWidth="1"/>
    <col min="12" max="12" width="5" style="1329" customWidth="1"/>
    <col min="13" max="13" width="9.140625" style="1"/>
    <col min="14" max="14" width="14" style="1" customWidth="1"/>
    <col min="15" max="15" width="12.7109375" style="1" customWidth="1"/>
    <col min="16" max="16" width="9.140625" style="1"/>
    <col min="17" max="17" width="12.7109375" style="1" customWidth="1"/>
    <col min="18" max="16384" width="9.140625" style="1"/>
  </cols>
  <sheetData>
    <row r="1" spans="1:18">
      <c r="A1" s="1331"/>
      <c r="B1" s="1332"/>
      <c r="C1" s="1332"/>
      <c r="D1" s="1332"/>
      <c r="E1" s="1332"/>
      <c r="F1" s="1332"/>
      <c r="G1" s="1331"/>
      <c r="H1" s="1331"/>
      <c r="I1" s="1332"/>
      <c r="J1" s="1332"/>
      <c r="K1" s="1332"/>
      <c r="L1" s="1332"/>
      <c r="M1" s="833"/>
      <c r="N1" s="833"/>
      <c r="O1" s="833"/>
    </row>
    <row r="2" spans="1:18" s="963" customFormat="1" ht="12.75" customHeight="1">
      <c r="A2" s="1333"/>
      <c r="B2" s="1334"/>
      <c r="C2" s="1334"/>
      <c r="D2" s="1334"/>
      <c r="E2" s="847"/>
      <c r="F2" s="847"/>
      <c r="G2" s="655"/>
      <c r="H2" s="655"/>
      <c r="I2" s="847"/>
      <c r="J2" s="847"/>
      <c r="K2" s="847"/>
      <c r="L2" s="1420"/>
      <c r="M2" s="1420"/>
      <c r="N2" s="1420"/>
      <c r="O2" s="1420"/>
    </row>
    <row r="3" spans="1:18" s="963" customFormat="1" ht="31.5" customHeight="1">
      <c r="A3" s="1335"/>
      <c r="B3" s="1336"/>
      <c r="C3" s="1337" t="s">
        <v>2418</v>
      </c>
      <c r="D3" s="1337"/>
      <c r="E3" s="1337"/>
      <c r="F3" s="1337"/>
      <c r="G3" s="1338"/>
      <c r="H3" s="1338"/>
      <c r="I3" s="1421"/>
      <c r="J3" s="1422" t="s">
        <v>2419</v>
      </c>
      <c r="K3" s="1423"/>
      <c r="N3" s="1424" t="s">
        <v>2420</v>
      </c>
      <c r="O3" s="1424"/>
      <c r="P3" s="1418"/>
      <c r="Q3" s="1418"/>
      <c r="R3" s="1451"/>
    </row>
    <row r="4" spans="1:18" s="963" customFormat="1" ht="18" customHeight="1">
      <c r="A4" s="1339"/>
      <c r="B4" s="1340"/>
      <c r="C4" s="1341"/>
      <c r="D4" s="1341"/>
      <c r="E4" s="1341"/>
      <c r="F4" s="1341"/>
      <c r="G4" s="1342"/>
      <c r="H4" s="1342"/>
      <c r="I4" s="1341"/>
      <c r="J4" s="1341"/>
      <c r="K4" s="1425"/>
      <c r="L4" s="1426"/>
      <c r="N4" s="1427" t="s">
        <v>2421</v>
      </c>
      <c r="O4" s="1424"/>
      <c r="P4" s="1418"/>
      <c r="Q4" s="1418"/>
      <c r="R4" s="1451"/>
    </row>
    <row r="5" spans="1:18" ht="18">
      <c r="A5" s="1343"/>
      <c r="B5" s="1344" t="s">
        <v>2422</v>
      </c>
      <c r="C5" s="2786" t="s">
        <v>6653</v>
      </c>
      <c r="D5" s="1345" t="s">
        <v>2423</v>
      </c>
      <c r="E5" s="1346" t="s">
        <v>2424</v>
      </c>
      <c r="F5" s="1347">
        <v>43830</v>
      </c>
      <c r="G5" s="1348" t="s">
        <v>2425</v>
      </c>
      <c r="H5" s="1349">
        <f>DATE(YEAR($F$5)-2,12,31)</f>
        <v>43100</v>
      </c>
      <c r="I5" s="1428" t="s">
        <v>2426</v>
      </c>
      <c r="J5" s="1429" t="s">
        <v>2427</v>
      </c>
      <c r="K5" s="1430"/>
      <c r="L5" s="963"/>
      <c r="N5" s="1424" t="s">
        <v>2428</v>
      </c>
      <c r="O5" s="642">
        <v>211.1225</v>
      </c>
      <c r="P5" s="637"/>
      <c r="Q5" s="637"/>
      <c r="R5" s="855"/>
    </row>
    <row r="6" spans="1:18" s="963" customFormat="1" ht="18" customHeight="1">
      <c r="A6" s="1350"/>
      <c r="B6" s="1351" t="s">
        <v>2429</v>
      </c>
      <c r="C6" s="1352" t="s">
        <v>6652</v>
      </c>
      <c r="D6" s="1345"/>
      <c r="E6" s="1353" t="s">
        <v>2430</v>
      </c>
      <c r="F6" s="1354">
        <f>DATE(YEAR($F$5)-1,12,31)</f>
        <v>43465</v>
      </c>
      <c r="G6" s="1355" t="s">
        <v>2431</v>
      </c>
      <c r="H6" s="1356">
        <f>DATE(YEAR($F$5)-3,12,31)</f>
        <v>42735</v>
      </c>
      <c r="I6" s="1428" t="s">
        <v>2432</v>
      </c>
      <c r="J6" s="1431">
        <v>43811</v>
      </c>
      <c r="K6" s="1430"/>
      <c r="N6" s="642" t="s">
        <v>2433</v>
      </c>
      <c r="O6" s="1418" t="s">
        <v>2434</v>
      </c>
      <c r="P6" s="1418"/>
      <c r="Q6" s="1418"/>
      <c r="R6" s="1451"/>
    </row>
    <row r="7" spans="1:18" s="963" customFormat="1" ht="18" customHeight="1">
      <c r="A7" s="1350"/>
      <c r="B7" s="1351" t="s">
        <v>2435</v>
      </c>
      <c r="C7" s="1352" t="s">
        <v>6649</v>
      </c>
      <c r="D7" s="1345" t="s">
        <v>2436</v>
      </c>
      <c r="E7" s="1357" t="s">
        <v>2437</v>
      </c>
      <c r="F7" s="1358" t="s">
        <v>6650</v>
      </c>
      <c r="G7" s="1355" t="s">
        <v>2438</v>
      </c>
      <c r="H7" s="1359" t="str">
        <f>IF(ISERROR(YEAR($H5)),"日期错",IF(AND(MONTH($H5)=12,DAY($H5)=31),YEAR($H5)&amp;"年度",YEAR($H5)&amp;"年"))&amp;" "&amp;IF(OR(ISERROR(YEAR($H5)),AND(MONTH($H5)=12,DAY($H5)=31)),"",IF(MONTH($H5)=1,MONTH($H5)&amp;"月","1-"&amp;MONTH($H5)&amp;"月"))</f>
        <v xml:space="preserve">2017年度 </v>
      </c>
      <c r="I7" s="1428" t="s">
        <v>2439</v>
      </c>
      <c r="J7" s="1432" t="s">
        <v>2440</v>
      </c>
      <c r="K7" s="1430"/>
      <c r="L7" s="1433"/>
      <c r="N7" s="642" t="s">
        <v>2441</v>
      </c>
      <c r="O7" s="1418" t="s">
        <v>2442</v>
      </c>
      <c r="P7" s="1418"/>
      <c r="Q7" s="1418"/>
      <c r="R7" s="1451"/>
    </row>
    <row r="8" spans="1:18" s="963" customFormat="1" ht="18" customHeight="1">
      <c r="A8" s="1350"/>
      <c r="B8" s="1360" t="s">
        <v>2443</v>
      </c>
      <c r="C8" s="1361"/>
      <c r="D8" s="1345"/>
      <c r="E8" s="1353" t="s">
        <v>2444</v>
      </c>
      <c r="F8" s="1362" t="s">
        <v>6651</v>
      </c>
      <c r="G8" s="1355" t="s">
        <v>2445</v>
      </c>
      <c r="H8" s="1359" t="str">
        <f>IF(ISERROR(YEAR($H6)),"日期错",IF(AND(MONTH($H6)=12,DAY($H6)=31),YEAR($H6)&amp;"年度",YEAR($H6)&amp;"年"))&amp;" "&amp;IF(OR(ISERROR(YEAR($H6)),AND(MONTH($H6)=12,DAY($H6)=31)),"",IF(MONTH($H6)=1,MONTH($H6)&amp;"月","1-"&amp;MONTH($H6)&amp;"月"))</f>
        <v xml:space="preserve">2016年度 </v>
      </c>
      <c r="I8" s="1428" t="s">
        <v>2446</v>
      </c>
      <c r="J8" s="1432" t="s">
        <v>2447</v>
      </c>
      <c r="K8" s="1434"/>
      <c r="N8" s="642" t="s">
        <v>2448</v>
      </c>
      <c r="O8" s="1435">
        <v>41273</v>
      </c>
      <c r="P8" s="1418"/>
      <c r="Q8" s="1418"/>
      <c r="R8" s="1451"/>
    </row>
    <row r="9" spans="1:18" s="963" customFormat="1" ht="18" customHeight="1">
      <c r="A9" s="1350"/>
      <c r="B9" s="1363" t="s">
        <v>2449</v>
      </c>
      <c r="C9" s="1361"/>
      <c r="D9" s="1364" t="s">
        <v>2450</v>
      </c>
      <c r="E9" s="1365" t="s">
        <v>6654</v>
      </c>
      <c r="F9" s="1366">
        <v>43864</v>
      </c>
      <c r="G9" s="1367" t="s">
        <v>2451</v>
      </c>
      <c r="H9" s="1368" t="s">
        <v>2452</v>
      </c>
      <c r="I9" s="1428" t="s">
        <v>2453</v>
      </c>
      <c r="J9" s="1432" t="s">
        <v>2454</v>
      </c>
      <c r="K9" s="1436"/>
      <c r="N9" s="1427" t="s">
        <v>2455</v>
      </c>
      <c r="O9" s="1424"/>
      <c r="P9" s="1418"/>
      <c r="Q9" s="1418"/>
      <c r="R9" s="1451"/>
    </row>
    <row r="10" spans="1:18" s="963" customFormat="1" ht="18" customHeight="1">
      <c r="A10" s="1350"/>
      <c r="B10" s="1360" t="s">
        <v>2456</v>
      </c>
      <c r="C10" s="1369"/>
      <c r="D10" s="1370" t="s">
        <v>2457</v>
      </c>
      <c r="E10" s="1371"/>
      <c r="F10" s="1372"/>
      <c r="G10" s="1373" t="s">
        <v>2458</v>
      </c>
      <c r="H10" s="1374" t="s">
        <v>2459</v>
      </c>
      <c r="I10" s="1437" t="s">
        <v>2460</v>
      </c>
      <c r="J10" s="1438" t="s">
        <v>2461</v>
      </c>
      <c r="K10" s="1439"/>
      <c r="N10" s="1424" t="s">
        <v>2462</v>
      </c>
      <c r="O10" s="1424" t="s">
        <v>2463</v>
      </c>
      <c r="P10" s="1418"/>
      <c r="Q10" s="1418"/>
      <c r="R10" s="1451"/>
    </row>
    <row r="11" spans="1:18" s="963" customFormat="1" ht="18" customHeight="1">
      <c r="A11" s="1350"/>
      <c r="B11" s="1375"/>
      <c r="C11" s="1376"/>
      <c r="D11" s="1376"/>
      <c r="E11" s="1341"/>
      <c r="F11" s="1341"/>
      <c r="G11" s="1342"/>
      <c r="H11" s="1342"/>
      <c r="I11" s="1341"/>
      <c r="J11" s="1341"/>
      <c r="K11" s="1425"/>
      <c r="N11" s="1424" t="s">
        <v>2464</v>
      </c>
      <c r="O11" s="1424" t="s">
        <v>2465</v>
      </c>
      <c r="P11" s="1418"/>
      <c r="Q11" s="1418"/>
      <c r="R11" s="1451"/>
    </row>
    <row r="12" spans="1:18" s="963" customFormat="1" ht="18" customHeight="1">
      <c r="A12" s="1350"/>
      <c r="B12" s="1377"/>
      <c r="C12" s="1378"/>
      <c r="D12" s="1378"/>
      <c r="E12" s="1379"/>
      <c r="F12" s="1379"/>
      <c r="G12" s="1380"/>
      <c r="H12" s="1380"/>
      <c r="I12" s="1379"/>
      <c r="J12" s="1379"/>
      <c r="K12" s="1440"/>
      <c r="N12" s="1424" t="s">
        <v>2466</v>
      </c>
      <c r="O12" s="1441">
        <v>41279</v>
      </c>
      <c r="P12" s="1418"/>
      <c r="Q12" s="1418"/>
      <c r="R12" s="1451"/>
    </row>
    <row r="13" spans="1:18" s="963" customFormat="1" ht="18" customHeight="1">
      <c r="A13" s="1350"/>
      <c r="B13" s="1381" t="s">
        <v>2467</v>
      </c>
      <c r="C13" s="1382"/>
      <c r="D13" s="1383"/>
      <c r="E13" s="1384"/>
      <c r="F13" s="1384"/>
      <c r="G13" s="1385"/>
      <c r="H13" s="1385"/>
      <c r="I13" s="1442"/>
      <c r="J13" s="1442"/>
      <c r="K13" s="1443"/>
      <c r="N13" s="1424" t="s">
        <v>2460</v>
      </c>
      <c r="O13" s="1424" t="s">
        <v>2442</v>
      </c>
      <c r="P13" s="1418"/>
      <c r="Q13" s="1418"/>
      <c r="R13" s="1451"/>
    </row>
    <row r="14" spans="1:18" s="963" customFormat="1" ht="18" customHeight="1">
      <c r="A14" s="1350"/>
      <c r="B14" s="1386" t="s">
        <v>2468</v>
      </c>
      <c r="C14" s="1387"/>
      <c r="D14" s="1388"/>
      <c r="E14" s="1389"/>
      <c r="F14" s="1390" t="s">
        <v>2469</v>
      </c>
      <c r="G14" s="1391"/>
      <c r="H14" s="1391"/>
      <c r="I14" s="1444"/>
      <c r="J14" s="1444"/>
      <c r="K14" s="1445"/>
      <c r="N14" s="1427" t="s">
        <v>2470</v>
      </c>
      <c r="O14" s="1424"/>
      <c r="P14" s="1418"/>
      <c r="Q14" s="1418"/>
      <c r="R14" s="1451"/>
    </row>
    <row r="15" spans="1:18" s="963" customFormat="1" ht="18" customHeight="1">
      <c r="A15" s="1350"/>
      <c r="B15" s="1386" t="s">
        <v>2471</v>
      </c>
      <c r="C15" s="1387"/>
      <c r="D15" s="1388"/>
      <c r="E15" s="1389"/>
      <c r="F15" s="1390" t="s">
        <v>2469</v>
      </c>
      <c r="G15" s="1391"/>
      <c r="H15" s="1391"/>
      <c r="I15" s="1444"/>
      <c r="J15" s="1444"/>
      <c r="K15" s="1445"/>
      <c r="N15" s="1424" t="s">
        <v>2472</v>
      </c>
      <c r="O15" s="1424" t="s">
        <v>2473</v>
      </c>
      <c r="P15" s="1418"/>
      <c r="Q15" s="1418"/>
      <c r="R15" s="1451"/>
    </row>
    <row r="16" spans="1:18" s="963" customFormat="1" ht="18" customHeight="1">
      <c r="A16" s="1350"/>
      <c r="B16" s="1386" t="s">
        <v>2474</v>
      </c>
      <c r="C16" s="1387"/>
      <c r="D16" s="1388"/>
      <c r="E16" s="1389"/>
      <c r="F16" s="1390" t="s">
        <v>2469</v>
      </c>
      <c r="G16" s="1391"/>
      <c r="H16" s="1391"/>
      <c r="I16" s="1444"/>
      <c r="J16" s="1444"/>
      <c r="K16" s="1445"/>
      <c r="N16" s="1424" t="s">
        <v>2475</v>
      </c>
      <c r="O16" s="1424" t="s">
        <v>2476</v>
      </c>
      <c r="P16" s="1418"/>
      <c r="Q16" s="1418"/>
      <c r="R16" s="1451"/>
    </row>
    <row r="17" spans="1:15" s="963" customFormat="1" ht="18" customHeight="1">
      <c r="A17" s="1350"/>
      <c r="B17" s="1386" t="s">
        <v>2477</v>
      </c>
      <c r="C17" s="1387"/>
      <c r="D17" s="1387"/>
      <c r="E17" s="1389"/>
      <c r="F17" s="1390" t="s">
        <v>2469</v>
      </c>
      <c r="G17" s="1391"/>
      <c r="H17" s="1391"/>
      <c r="I17" s="1444"/>
      <c r="J17" s="1444"/>
      <c r="K17" s="1445"/>
    </row>
    <row r="18" spans="1:15" s="963" customFormat="1" ht="18" customHeight="1">
      <c r="A18" s="1350"/>
      <c r="B18" s="1392"/>
      <c r="C18" s="1387"/>
      <c r="D18" s="1387"/>
      <c r="E18" s="1389"/>
      <c r="F18" s="1393"/>
      <c r="G18" s="1391"/>
      <c r="H18" s="1391"/>
      <c r="I18" s="1444"/>
      <c r="J18" s="1444"/>
      <c r="K18" s="1445"/>
      <c r="N18" s="1420"/>
      <c r="O18" s="1420"/>
    </row>
    <row r="19" spans="1:15" s="963" customFormat="1" ht="18" customHeight="1">
      <c r="A19" s="1350"/>
      <c r="B19" s="1381" t="s">
        <v>2478</v>
      </c>
      <c r="C19" s="1382"/>
      <c r="D19" s="1383"/>
      <c r="E19" s="1384"/>
      <c r="F19" s="1384"/>
      <c r="G19" s="1385"/>
      <c r="H19" s="1385"/>
      <c r="I19" s="1442"/>
      <c r="J19" s="1442"/>
      <c r="K19" s="1443"/>
      <c r="N19" s="1420"/>
      <c r="O19" s="1420"/>
    </row>
    <row r="20" spans="1:15" s="963" customFormat="1" ht="18" customHeight="1">
      <c r="A20" s="1350"/>
      <c r="B20" s="1394" t="s">
        <v>2479</v>
      </c>
      <c r="C20" s="1387"/>
      <c r="D20" s="1387"/>
      <c r="E20" s="1389"/>
      <c r="F20" s="1390" t="s">
        <v>2469</v>
      </c>
      <c r="G20" s="1391"/>
      <c r="H20" s="1391"/>
      <c r="I20" s="1389"/>
      <c r="J20" s="1389"/>
      <c r="K20" s="1445"/>
      <c r="N20" s="1420"/>
      <c r="O20" s="1420"/>
    </row>
    <row r="21" spans="1:15" s="963" customFormat="1" ht="18" customHeight="1">
      <c r="A21" s="1350"/>
      <c r="B21" s="1394" t="s">
        <v>2480</v>
      </c>
      <c r="C21" s="1387"/>
      <c r="D21" s="1387"/>
      <c r="E21" s="1389"/>
      <c r="F21" s="1390" t="s">
        <v>2469</v>
      </c>
      <c r="G21" s="1391"/>
      <c r="H21" s="1391"/>
      <c r="I21" s="1389"/>
      <c r="J21" s="1389"/>
      <c r="K21" s="1445"/>
      <c r="N21" s="1420"/>
      <c r="O21" s="1420"/>
    </row>
    <row r="22" spans="1:15" s="963" customFormat="1" ht="18" customHeight="1">
      <c r="A22" s="1350"/>
      <c r="B22" s="1394" t="s">
        <v>2481</v>
      </c>
      <c r="C22" s="1387"/>
      <c r="D22" s="1387"/>
      <c r="E22" s="1389"/>
      <c r="F22" s="1390" t="s">
        <v>2469</v>
      </c>
      <c r="G22" s="1391"/>
      <c r="H22" s="1391"/>
      <c r="I22" s="1389"/>
      <c r="J22" s="1389"/>
      <c r="K22" s="1445"/>
      <c r="N22" s="1420"/>
      <c r="O22" s="1420"/>
    </row>
    <row r="23" spans="1:15" s="963" customFormat="1" ht="18" customHeight="1">
      <c r="A23" s="1350"/>
      <c r="B23" s="1394" t="s">
        <v>2482</v>
      </c>
      <c r="C23" s="1387"/>
      <c r="D23" s="1387"/>
      <c r="E23" s="1389"/>
      <c r="F23" s="1390" t="s">
        <v>2469</v>
      </c>
      <c r="G23" s="1391"/>
      <c r="H23" s="1391"/>
      <c r="I23" s="1389"/>
      <c r="J23" s="1389"/>
      <c r="K23" s="1445"/>
      <c r="N23" s="1420"/>
      <c r="O23" s="1420"/>
    </row>
    <row r="24" spans="1:15" s="963" customFormat="1" ht="18" customHeight="1">
      <c r="A24" s="1350"/>
      <c r="B24" s="1394" t="s">
        <v>2483</v>
      </c>
      <c r="C24" s="1387"/>
      <c r="D24" s="1387"/>
      <c r="E24" s="1389"/>
      <c r="F24" s="1390" t="s">
        <v>2469</v>
      </c>
      <c r="G24" s="1391"/>
      <c r="H24" s="1391"/>
      <c r="I24" s="1389"/>
      <c r="J24" s="1389"/>
      <c r="K24" s="1445"/>
      <c r="N24" s="1420"/>
      <c r="O24" s="1420"/>
    </row>
    <row r="25" spans="1:15" s="963" customFormat="1" ht="18" customHeight="1">
      <c r="A25" s="1350"/>
      <c r="B25" s="1394" t="s">
        <v>2484</v>
      </c>
      <c r="C25" s="1387"/>
      <c r="D25" s="1387"/>
      <c r="E25" s="1389"/>
      <c r="F25" s="1390" t="s">
        <v>2469</v>
      </c>
      <c r="G25" s="1391"/>
      <c r="H25" s="1391"/>
      <c r="I25" s="1389"/>
      <c r="J25" s="1389"/>
      <c r="K25" s="1445"/>
      <c r="N25" s="1420"/>
      <c r="O25" s="1420"/>
    </row>
    <row r="26" spans="1:15" s="963" customFormat="1" ht="18" customHeight="1">
      <c r="A26" s="1350"/>
      <c r="B26" s="1394" t="s">
        <v>2485</v>
      </c>
      <c r="C26" s="1387"/>
      <c r="D26" s="1387"/>
      <c r="E26" s="1389"/>
      <c r="F26" s="1390" t="s">
        <v>2469</v>
      </c>
      <c r="G26" s="1391"/>
      <c r="H26" s="1391"/>
      <c r="I26" s="1389"/>
      <c r="J26" s="1389"/>
      <c r="K26" s="1445"/>
      <c r="N26" s="1420"/>
      <c r="O26" s="1420"/>
    </row>
    <row r="27" spans="1:15" s="963" customFormat="1" ht="18" customHeight="1">
      <c r="A27" s="1350"/>
      <c r="B27" s="1394" t="s">
        <v>2486</v>
      </c>
      <c r="C27" s="1387"/>
      <c r="D27" s="1387"/>
      <c r="E27" s="1389"/>
      <c r="F27" s="1390" t="s">
        <v>2469</v>
      </c>
      <c r="G27" s="1391"/>
      <c r="H27" s="1391"/>
      <c r="I27" s="1389"/>
      <c r="J27" s="1389"/>
      <c r="K27" s="1445"/>
      <c r="N27" s="1420"/>
      <c r="O27" s="1420"/>
    </row>
    <row r="28" spans="1:15" s="963" customFormat="1" ht="18" customHeight="1">
      <c r="A28" s="1350"/>
      <c r="B28" s="1394" t="s">
        <v>2487</v>
      </c>
      <c r="C28" s="1387"/>
      <c r="D28" s="1387"/>
      <c r="E28" s="1389"/>
      <c r="F28" s="1390" t="s">
        <v>2469</v>
      </c>
      <c r="G28" s="1391"/>
      <c r="H28" s="1391"/>
      <c r="I28" s="1389"/>
      <c r="J28" s="1389"/>
      <c r="K28" s="1445"/>
      <c r="N28" s="1420"/>
      <c r="O28" s="1420"/>
    </row>
    <row r="29" spans="1:15" s="963" customFormat="1" ht="18" customHeight="1">
      <c r="A29" s="1350"/>
      <c r="B29" s="1395"/>
      <c r="C29" s="1387"/>
      <c r="D29" s="1387"/>
      <c r="E29" s="1389"/>
      <c r="F29" s="1393"/>
      <c r="G29" s="1391"/>
      <c r="H29" s="1391"/>
      <c r="I29" s="1389"/>
      <c r="J29" s="1389"/>
      <c r="K29" s="1445"/>
      <c r="N29" s="1420"/>
      <c r="O29" s="1420"/>
    </row>
    <row r="30" spans="1:15" s="963" customFormat="1" ht="18" customHeight="1">
      <c r="A30" s="1350"/>
      <c r="B30" s="1381" t="s">
        <v>2488</v>
      </c>
      <c r="C30" s="1382"/>
      <c r="D30" s="1383"/>
      <c r="E30" s="1384"/>
      <c r="F30" s="1384"/>
      <c r="G30" s="1385"/>
      <c r="H30" s="1385"/>
      <c r="I30" s="1442"/>
      <c r="J30" s="1446"/>
      <c r="K30" s="1443"/>
      <c r="N30" s="1420"/>
      <c r="O30" s="1420"/>
    </row>
    <row r="31" spans="1:15" s="963" customFormat="1" ht="18" customHeight="1">
      <c r="A31" s="1350"/>
      <c r="B31" s="1396" t="s">
        <v>2489</v>
      </c>
      <c r="C31" s="1387"/>
      <c r="D31" s="1387"/>
      <c r="E31" s="1389"/>
      <c r="F31" s="1397" t="s">
        <v>2469</v>
      </c>
      <c r="G31" s="1391"/>
      <c r="H31" s="1391"/>
      <c r="I31" s="1389"/>
      <c r="J31" s="1389"/>
      <c r="K31" s="1445"/>
      <c r="N31" s="1420"/>
      <c r="O31" s="1420"/>
    </row>
    <row r="32" spans="1:15" s="963" customFormat="1" ht="18" customHeight="1">
      <c r="A32" s="1350"/>
      <c r="B32" s="1396" t="s">
        <v>2490</v>
      </c>
      <c r="C32" s="1387"/>
      <c r="D32" s="1387"/>
      <c r="E32" s="1389"/>
      <c r="F32" s="1397" t="s">
        <v>2469</v>
      </c>
      <c r="G32" s="1391"/>
      <c r="H32" s="1391"/>
      <c r="I32" s="1389"/>
      <c r="J32" s="1389"/>
      <c r="K32" s="1445"/>
      <c r="N32" s="1420"/>
      <c r="O32" s="1420"/>
    </row>
    <row r="33" spans="1:15" s="963" customFormat="1" ht="18" customHeight="1">
      <c r="A33" s="1350"/>
      <c r="B33" s="1396" t="s">
        <v>2491</v>
      </c>
      <c r="C33" s="1387"/>
      <c r="D33" s="1387"/>
      <c r="E33" s="1389"/>
      <c r="F33" s="1397" t="s">
        <v>2469</v>
      </c>
      <c r="G33" s="1391"/>
      <c r="H33" s="1391"/>
      <c r="I33" s="1389"/>
      <c r="J33" s="1389"/>
      <c r="K33" s="1445"/>
      <c r="N33" s="1420"/>
      <c r="O33" s="1420"/>
    </row>
    <row r="34" spans="1:15" s="963" customFormat="1" ht="18" customHeight="1">
      <c r="A34" s="1350"/>
      <c r="B34" s="1396" t="s">
        <v>2492</v>
      </c>
      <c r="C34" s="1387"/>
      <c r="D34" s="1387"/>
      <c r="E34" s="1389"/>
      <c r="F34" s="1397" t="s">
        <v>2469</v>
      </c>
      <c r="G34" s="1391"/>
      <c r="H34" s="1391"/>
      <c r="I34" s="1389"/>
      <c r="J34" s="1389"/>
      <c r="K34" s="1445"/>
      <c r="N34" s="1420"/>
      <c r="O34" s="1420"/>
    </row>
    <row r="35" spans="1:15" s="963" customFormat="1" ht="18" customHeight="1">
      <c r="A35" s="1350"/>
      <c r="B35" s="1396" t="s">
        <v>2493</v>
      </c>
      <c r="C35" s="1387"/>
      <c r="D35" s="1387"/>
      <c r="E35" s="1389"/>
      <c r="F35" s="1390" t="s">
        <v>2469</v>
      </c>
      <c r="G35" s="1391"/>
      <c r="H35" s="1391"/>
      <c r="I35" s="1389"/>
      <c r="J35" s="1389"/>
      <c r="K35" s="1445"/>
      <c r="N35" s="1420"/>
      <c r="O35" s="1420"/>
    </row>
    <row r="36" spans="1:15" s="963" customFormat="1" ht="18" customHeight="1">
      <c r="A36" s="1350"/>
      <c r="B36" s="1398"/>
      <c r="C36" s="1387"/>
      <c r="D36" s="1387"/>
      <c r="E36" s="1389"/>
      <c r="F36" s="1393"/>
      <c r="G36" s="1391"/>
      <c r="H36" s="1391"/>
      <c r="I36" s="1389"/>
      <c r="J36" s="1389"/>
      <c r="K36" s="1445"/>
      <c r="N36" s="1420"/>
      <c r="O36" s="1420"/>
    </row>
    <row r="37" spans="1:15" s="963" customFormat="1" ht="18" customHeight="1">
      <c r="A37" s="1350"/>
      <c r="B37" s="1399" t="s">
        <v>2494</v>
      </c>
      <c r="C37" s="1382"/>
      <c r="D37" s="1383"/>
      <c r="E37" s="1384"/>
      <c r="F37" s="1384"/>
      <c r="G37" s="1385"/>
      <c r="H37" s="1385"/>
      <c r="I37" s="1442"/>
      <c r="J37" s="1446"/>
      <c r="K37" s="1443"/>
      <c r="N37" s="1420"/>
      <c r="O37" s="1420"/>
    </row>
    <row r="38" spans="1:15" s="963" customFormat="1" ht="18" customHeight="1">
      <c r="A38" s="1350"/>
      <c r="B38" s="1396" t="s">
        <v>2495</v>
      </c>
      <c r="C38" s="1387"/>
      <c r="D38" s="1387"/>
      <c r="E38" s="1389"/>
      <c r="F38" s="1390" t="s">
        <v>2469</v>
      </c>
      <c r="G38" s="1391"/>
      <c r="H38" s="1391"/>
      <c r="I38" s="1389"/>
      <c r="J38" s="1389"/>
      <c r="K38" s="1445"/>
      <c r="N38" s="1420"/>
      <c r="O38" s="1420"/>
    </row>
    <row r="39" spans="1:15" s="963" customFormat="1" ht="18" customHeight="1">
      <c r="A39" s="1350"/>
      <c r="B39" s="1396" t="s">
        <v>2496</v>
      </c>
      <c r="C39" s="1387"/>
      <c r="D39" s="1387"/>
      <c r="E39" s="1389"/>
      <c r="F39" s="1390" t="s">
        <v>2469</v>
      </c>
      <c r="G39" s="1391"/>
      <c r="H39" s="1391"/>
      <c r="I39" s="1389"/>
      <c r="J39" s="1389"/>
      <c r="K39" s="1445"/>
      <c r="N39" s="1420"/>
      <c r="O39" s="1420"/>
    </row>
    <row r="40" spans="1:15" s="963" customFormat="1" ht="18" customHeight="1">
      <c r="A40" s="1350"/>
      <c r="B40" s="1396" t="s">
        <v>2497</v>
      </c>
      <c r="C40" s="1387"/>
      <c r="D40" s="1387"/>
      <c r="E40" s="1389"/>
      <c r="F40" s="1390" t="s">
        <v>2469</v>
      </c>
      <c r="G40" s="1391"/>
      <c r="H40" s="1391"/>
      <c r="I40" s="1389"/>
      <c r="J40" s="1389"/>
      <c r="K40" s="1445"/>
      <c r="N40" s="1420"/>
      <c r="O40" s="1420"/>
    </row>
    <row r="41" spans="1:15" s="963" customFormat="1" ht="18" customHeight="1">
      <c r="A41" s="1350"/>
      <c r="B41" s="1396" t="s">
        <v>2498</v>
      </c>
      <c r="C41" s="1387"/>
      <c r="D41" s="1387"/>
      <c r="E41" s="1389"/>
      <c r="F41" s="1390" t="s">
        <v>2469</v>
      </c>
      <c r="G41" s="1391"/>
      <c r="H41" s="1391"/>
      <c r="I41" s="1389"/>
      <c r="J41" s="1389"/>
      <c r="K41" s="1445"/>
      <c r="N41" s="1420"/>
      <c r="O41" s="1420"/>
    </row>
    <row r="42" spans="1:15" s="963" customFormat="1" ht="18" customHeight="1">
      <c r="A42" s="1350"/>
      <c r="B42" s="1396" t="s">
        <v>2499</v>
      </c>
      <c r="C42" s="1387"/>
      <c r="D42" s="1387"/>
      <c r="E42" s="1389"/>
      <c r="F42" s="1390" t="s">
        <v>2469</v>
      </c>
      <c r="G42" s="1391"/>
      <c r="H42" s="1391"/>
      <c r="I42" s="1389"/>
      <c r="J42" s="1389"/>
      <c r="K42" s="1445"/>
      <c r="N42" s="1420"/>
      <c r="O42" s="1420"/>
    </row>
    <row r="43" spans="1:15" s="963" customFormat="1" ht="18" customHeight="1">
      <c r="A43" s="1350"/>
      <c r="B43" s="1398"/>
      <c r="C43" s="1387"/>
      <c r="D43" s="1387"/>
      <c r="E43" s="1389"/>
      <c r="F43" s="1393"/>
      <c r="G43" s="1391"/>
      <c r="H43" s="1391"/>
      <c r="I43" s="1389"/>
      <c r="J43" s="1389"/>
      <c r="K43" s="1445"/>
      <c r="N43" s="1420"/>
      <c r="O43" s="1420"/>
    </row>
    <row r="44" spans="1:15" s="963" customFormat="1" ht="18" customHeight="1">
      <c r="A44" s="1350"/>
      <c r="B44" s="1399" t="s">
        <v>2500</v>
      </c>
      <c r="C44" s="1382"/>
      <c r="D44" s="1383"/>
      <c r="E44" s="1384"/>
      <c r="F44" s="1384"/>
      <c r="G44" s="1385"/>
      <c r="H44" s="1385"/>
      <c r="I44" s="1442"/>
      <c r="J44" s="1446"/>
      <c r="K44" s="1443"/>
      <c r="N44" s="1420"/>
      <c r="O44" s="1420"/>
    </row>
    <row r="45" spans="1:15" s="963" customFormat="1" ht="18" customHeight="1">
      <c r="A45" s="1350"/>
      <c r="B45" s="1400" t="s">
        <v>2501</v>
      </c>
      <c r="C45" s="1400" t="s">
        <v>2502</v>
      </c>
      <c r="D45" s="1401" t="s">
        <v>2503</v>
      </c>
      <c r="E45" s="1400"/>
      <c r="F45" s="1400" t="s">
        <v>2504</v>
      </c>
      <c r="G45" s="1400" t="s">
        <v>2505</v>
      </c>
      <c r="H45" s="1400" t="s">
        <v>2506</v>
      </c>
      <c r="I45" s="1400" t="s">
        <v>2507</v>
      </c>
      <c r="J45" s="1400" t="s">
        <v>2508</v>
      </c>
      <c r="K45" s="1443"/>
      <c r="N45" s="1420"/>
      <c r="O45" s="1420"/>
    </row>
    <row r="46" spans="1:15" s="963" customFormat="1" ht="18" customHeight="1">
      <c r="A46" s="1350"/>
      <c r="B46" s="1402"/>
      <c r="C46" s="1403" t="s">
        <v>2509</v>
      </c>
      <c r="D46" s="1404"/>
      <c r="E46" s="1405"/>
      <c r="F46" s="1406"/>
      <c r="G46" s="1407"/>
      <c r="H46" s="1407"/>
      <c r="I46" s="1406"/>
      <c r="J46" s="1406"/>
      <c r="K46" s="1447"/>
      <c r="N46" s="1420"/>
      <c r="O46" s="1420"/>
    </row>
    <row r="47" spans="1:15" s="963" customFormat="1" ht="18" customHeight="1">
      <c r="A47" s="1350"/>
      <c r="B47" s="1402"/>
      <c r="C47" s="1403" t="s">
        <v>2510</v>
      </c>
      <c r="D47" s="1404"/>
      <c r="E47" s="1405"/>
      <c r="F47" s="1406"/>
      <c r="G47" s="1407"/>
      <c r="H47" s="1407"/>
      <c r="I47" s="1406"/>
      <c r="J47" s="1406"/>
      <c r="K47" s="1447"/>
      <c r="N47" s="1420"/>
      <c r="O47" s="1420"/>
    </row>
    <row r="48" spans="1:15" s="963" customFormat="1" ht="18" customHeight="1">
      <c r="A48" s="1350"/>
      <c r="B48" s="1402"/>
      <c r="C48" s="1403" t="s">
        <v>2511</v>
      </c>
      <c r="D48" s="1404"/>
      <c r="E48" s="1405"/>
      <c r="F48" s="1406"/>
      <c r="G48" s="1407"/>
      <c r="H48" s="1407"/>
      <c r="I48" s="1406"/>
      <c r="J48" s="1406"/>
      <c r="K48" s="1447"/>
      <c r="N48" s="1420"/>
      <c r="O48" s="1420"/>
    </row>
    <row r="49" spans="1:15" s="963" customFormat="1" ht="18" customHeight="1">
      <c r="A49" s="1350"/>
      <c r="B49" s="1402"/>
      <c r="C49" s="1403" t="s">
        <v>2512</v>
      </c>
      <c r="D49" s="1404"/>
      <c r="E49" s="1405"/>
      <c r="F49" s="1408"/>
      <c r="G49" s="1407"/>
      <c r="H49" s="1407"/>
      <c r="I49" s="1406"/>
      <c r="J49" s="1406"/>
      <c r="K49" s="1447"/>
      <c r="N49" s="1420"/>
      <c r="O49" s="1420"/>
    </row>
    <row r="50" spans="1:15" s="963" customFormat="1" ht="18" customHeight="1">
      <c r="A50" s="1350"/>
      <c r="B50" s="1402"/>
      <c r="C50" s="1403" t="s">
        <v>2513</v>
      </c>
      <c r="D50" s="1404"/>
      <c r="E50" s="1405"/>
      <c r="F50" s="1406"/>
      <c r="G50" s="1407"/>
      <c r="H50" s="1407"/>
      <c r="I50" s="1406"/>
      <c r="J50" s="1406"/>
      <c r="K50" s="1447"/>
      <c r="N50" s="1420"/>
      <c r="O50" s="1420"/>
    </row>
    <row r="51" spans="1:15" s="963" customFormat="1" ht="18" customHeight="1">
      <c r="A51" s="1350"/>
      <c r="B51" s="1402"/>
      <c r="C51" s="1403" t="s">
        <v>2514</v>
      </c>
      <c r="D51" s="1404"/>
      <c r="E51" s="1405"/>
      <c r="F51" s="1406"/>
      <c r="G51" s="1407"/>
      <c r="H51" s="1407"/>
      <c r="I51" s="1406"/>
      <c r="J51" s="1406"/>
      <c r="K51" s="1447"/>
      <c r="N51" s="1420"/>
      <c r="O51" s="1420"/>
    </row>
    <row r="52" spans="1:15" s="963" customFormat="1" ht="18" customHeight="1">
      <c r="A52" s="1350"/>
      <c r="B52" s="1402"/>
      <c r="C52" s="1403" t="s">
        <v>2515</v>
      </c>
      <c r="D52" s="1404"/>
      <c r="E52" s="1405"/>
      <c r="F52" s="1406"/>
      <c r="G52" s="1407"/>
      <c r="H52" s="1407"/>
      <c r="I52" s="1406"/>
      <c r="J52" s="1406"/>
      <c r="K52" s="1447"/>
      <c r="N52" s="1420"/>
      <c r="O52" s="1420"/>
    </row>
    <row r="53" spans="1:15" s="963" customFormat="1" ht="18" customHeight="1">
      <c r="A53" s="1350"/>
      <c r="B53" s="1402"/>
      <c r="C53" s="1403" t="s">
        <v>2516</v>
      </c>
      <c r="D53" s="1404"/>
      <c r="E53" s="1405"/>
      <c r="F53" s="1406"/>
      <c r="G53" s="1407"/>
      <c r="H53" s="1407"/>
      <c r="I53" s="1406"/>
      <c r="J53" s="1406"/>
      <c r="K53" s="1447"/>
      <c r="N53" s="1420"/>
      <c r="O53" s="1420"/>
    </row>
    <row r="54" spans="1:15" s="963" customFormat="1" ht="18" customHeight="1">
      <c r="A54" s="1350"/>
      <c r="B54" s="1402"/>
      <c r="C54" s="1403" t="s">
        <v>2517</v>
      </c>
      <c r="D54" s="1404"/>
      <c r="E54" s="1405"/>
      <c r="F54" s="1406"/>
      <c r="G54" s="1407"/>
      <c r="H54" s="1407"/>
      <c r="I54" s="1406"/>
      <c r="J54" s="1406"/>
      <c r="K54" s="1447"/>
      <c r="N54" s="1420"/>
      <c r="O54" s="1420"/>
    </row>
    <row r="55" spans="1:15" s="963" customFormat="1" ht="18" customHeight="1">
      <c r="A55" s="1350"/>
      <c r="B55" s="1402"/>
      <c r="C55" s="1403" t="s">
        <v>2518</v>
      </c>
      <c r="D55" s="1404"/>
      <c r="E55" s="1405"/>
      <c r="F55" s="1406"/>
      <c r="G55" s="1407"/>
      <c r="H55" s="1407"/>
      <c r="I55" s="1406"/>
      <c r="J55" s="1406"/>
      <c r="K55" s="1447"/>
      <c r="N55" s="1420"/>
      <c r="O55" s="1420"/>
    </row>
    <row r="56" spans="1:15" s="963" customFormat="1" ht="18" customHeight="1">
      <c r="A56" s="1350"/>
      <c r="B56" s="1402"/>
      <c r="C56" s="1403" t="s">
        <v>2519</v>
      </c>
      <c r="D56" s="1404"/>
      <c r="E56" s="1405"/>
      <c r="F56" s="1406"/>
      <c r="G56" s="1407"/>
      <c r="H56" s="1407"/>
      <c r="I56" s="1406"/>
      <c r="J56" s="1406"/>
      <c r="K56" s="1447"/>
      <c r="N56" s="1420"/>
      <c r="O56" s="1420"/>
    </row>
    <row r="57" spans="1:15" s="963" customFormat="1" ht="18" customHeight="1">
      <c r="A57" s="1350"/>
      <c r="B57" s="1409"/>
      <c r="C57" s="1410"/>
      <c r="D57" s="1404"/>
      <c r="E57" s="1405"/>
      <c r="F57" s="1406"/>
      <c r="G57" s="1407"/>
      <c r="H57" s="1407"/>
      <c r="I57" s="1406"/>
      <c r="J57" s="1406"/>
      <c r="K57" s="1447"/>
      <c r="N57" s="1420"/>
      <c r="O57" s="1420"/>
    </row>
    <row r="58" spans="1:15" s="963" customFormat="1" ht="18" customHeight="1">
      <c r="A58" s="1350"/>
      <c r="B58" s="1411"/>
      <c r="C58" s="1412"/>
      <c r="D58" s="1412"/>
      <c r="E58" s="1413"/>
      <c r="F58" s="1413"/>
      <c r="G58" s="1414"/>
      <c r="H58" s="1414"/>
      <c r="I58" s="1413"/>
      <c r="J58" s="1413"/>
      <c r="K58" s="1448"/>
      <c r="N58" s="1420"/>
      <c r="O58" s="1420"/>
    </row>
    <row r="59" spans="1:15" s="1329" customFormat="1" ht="30.75" customHeight="1">
      <c r="A59" s="1350"/>
      <c r="B59" s="1415"/>
      <c r="C59" s="1416"/>
      <c r="D59" s="1416"/>
      <c r="E59" s="1416"/>
      <c r="F59" s="1416"/>
      <c r="G59" s="1417"/>
      <c r="H59" s="1417"/>
      <c r="I59" s="1416"/>
      <c r="J59" s="1416"/>
      <c r="K59" s="1449"/>
      <c r="L59" s="1450"/>
      <c r="N59" s="1332"/>
      <c r="O59" s="1332"/>
    </row>
    <row r="60" spans="1:15" ht="36.75" customHeight="1">
      <c r="B60" s="963"/>
      <c r="C60" s="963"/>
      <c r="D60" s="963"/>
      <c r="E60" s="963"/>
      <c r="F60" s="963"/>
      <c r="G60" s="1418"/>
      <c r="H60" s="1418"/>
      <c r="I60" s="963"/>
      <c r="J60" s="963"/>
      <c r="K60" s="963"/>
    </row>
    <row r="61" spans="1:15" ht="14.25">
      <c r="C61" s="1419"/>
      <c r="D61" s="1419"/>
    </row>
  </sheetData>
  <sheetProtection algorithmName="SHA-512" hashValue="NtsNSD8AflTNfQDJmIP3whcTMXw5rHxdwoaJuQA4XRZ88LK6CO+vTUiUL3veRGsGShiuvVzYzl2qLdDs6x5XDQ==" saltValue="25DVH5lOa9thNr+mt/xDPw==" spinCount="100000" sheet="1" scenarios="1" formatCells="0" autoFilter="0"/>
  <phoneticPr fontId="163" type="noConversion"/>
  <conditionalFormatting sqref="C46:K59 I44:J44 C45:J45 K44:K45 C44:D44 B30:D30 I30 B20:K29 E12:H12 C38:K43 I12:K19 E14:H18 B12:D19 J30:K36 B31:I36 B37:D37 I37:K37 B38:B59 B3:K3">
    <cfRule type="expression" dxfId="4119" priority="1" stopIfTrue="1">
      <formula>#REF!=TRUE</formula>
    </cfRule>
  </conditionalFormatting>
  <dataValidations count="4">
    <dataValidation allowBlank="1" showInputMessage="1" prompt="前2年度" sqref="G7"/>
    <dataValidation allowBlank="1" showInputMessage="1" prompt="前2年末" sqref="G5"/>
    <dataValidation allowBlank="1" showInputMessage="1" prompt="前3年末" sqref="G6"/>
    <dataValidation allowBlank="1" showInputMessage="1" prompt="前3年度" sqref="G8"/>
  </dataValidations>
  <hyperlinks>
    <hyperlink ref="F14" location="preBS!F9" display="&gt;&gt;"/>
    <hyperlink ref="F15" location="preIS!F10" display="&gt;&gt;"/>
    <hyperlink ref="F16" location="preCF!F9" display="&gt;&gt;"/>
    <hyperlink ref="F17" location="preCE!F9" display="&gt;&gt;"/>
    <hyperlink ref="F20" location="TB!F9" display="&gt;&gt;"/>
    <hyperlink ref="F21" location="AJE!K9" display="&gt;&gt;"/>
    <hyperlink ref="F22" location="CFJE!K9" display="&gt;&gt;"/>
    <hyperlink ref="F23" location="UJE!K9" display="&gt;&gt;"/>
    <hyperlink ref="F24" location="AJE1!K9" display="&gt;&gt;"/>
    <hyperlink ref="F25" location="noteChecks!F9" display="&gt;&gt;"/>
    <hyperlink ref="F26" location="Checks!F9" display="&gt;&gt;"/>
    <hyperlink ref="F27" location="CFWP1!F9" display="&gt;&gt;"/>
    <hyperlink ref="F28" location="CFWP2!F9" display="&gt;&gt;"/>
    <hyperlink ref="F35" location="Notes!G9" display="&gt;&gt;"/>
    <hyperlink ref="F38" location="未审报表分析!F9" display="&gt;&gt;"/>
    <hyperlink ref="F39" location="已审报表分析!F9" display="&gt;&gt;"/>
    <hyperlink ref="F40" location="未审财务指标分析!F9" display="&gt;&gt;"/>
    <hyperlink ref="F41" location="已审财务指标分析!F9" display="&gt;&gt;"/>
    <hyperlink ref="F42" location="非财务信息!F9" display="&gt;&gt;"/>
  </hyperlinks>
  <pageMargins left="0.78740157480314998" right="0" top="0.98425196850393704" bottom="0.98425196850393704" header="0.511811023622047" footer="0.511811023622047"/>
  <pageSetup paperSize="9" scale="90" orientation="portrait" blackAndWhite="1"/>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L23"/>
  <sheetViews>
    <sheetView topLeftCell="A4" workbookViewId="0">
      <selection activeCell="D9" sqref="D9"/>
    </sheetView>
  </sheetViews>
  <sheetFormatPr defaultRowHeight="15.75"/>
  <cols>
    <col min="1" max="1" width="3.42578125" style="3127" customWidth="1"/>
    <col min="2" max="2" width="28" style="3127" customWidth="1"/>
    <col min="3" max="3" width="15" style="3166" customWidth="1"/>
    <col min="4" max="4" width="15.42578125" style="3166" customWidth="1"/>
    <col min="5" max="5" width="14.42578125" style="3166" customWidth="1"/>
    <col min="6" max="6" width="16.28515625" style="3166" customWidth="1"/>
    <col min="7" max="7" width="13.140625" style="3166" customWidth="1"/>
    <col min="8" max="8" width="14.7109375" style="3166" customWidth="1"/>
    <col min="9" max="9" width="17.140625" style="3127" customWidth="1"/>
    <col min="10" max="10" width="12.28515625" style="3127" bestFit="1" customWidth="1"/>
    <col min="11" max="11" width="12.85546875" style="3127" customWidth="1"/>
    <col min="12" max="16384" width="9.140625" style="3127"/>
  </cols>
  <sheetData>
    <row r="1" spans="2:12" ht="31.5">
      <c r="B1" s="3379" t="s">
        <v>6907</v>
      </c>
      <c r="C1" s="3380"/>
      <c r="D1" s="3380"/>
      <c r="E1" s="3380"/>
      <c r="F1" s="3380"/>
      <c r="G1" s="3380"/>
      <c r="H1" s="3380"/>
    </row>
    <row r="2" spans="2:12">
      <c r="B2" s="3381" t="s">
        <v>6908</v>
      </c>
      <c r="C2" s="3382"/>
      <c r="D2" s="3382"/>
      <c r="E2" s="3382"/>
      <c r="F2" s="3382"/>
      <c r="G2" s="3382"/>
      <c r="H2" s="3382"/>
    </row>
    <row r="3" spans="2:12" ht="15.75" customHeight="1">
      <c r="B3" s="3128"/>
      <c r="C3" s="3129"/>
      <c r="D3" s="3129"/>
      <c r="E3" s="3129"/>
      <c r="F3" s="3129"/>
      <c r="G3" s="3129"/>
      <c r="H3" s="3130"/>
    </row>
    <row r="4" spans="2:12" ht="16.5" thickBot="1">
      <c r="B4" s="3131"/>
      <c r="C4" s="3129"/>
      <c r="D4" s="3129"/>
      <c r="E4" s="3129"/>
      <c r="F4" s="3129"/>
      <c r="G4" s="3129"/>
      <c r="H4" s="3130"/>
    </row>
    <row r="5" spans="2:12" ht="43.5" customHeight="1" thickTop="1">
      <c r="B5" s="3132" t="s">
        <v>6909</v>
      </c>
      <c r="C5" s="3133" t="s">
        <v>6910</v>
      </c>
      <c r="D5" s="3133" t="s">
        <v>6911</v>
      </c>
      <c r="E5" s="3133" t="s">
        <v>6912</v>
      </c>
      <c r="F5" s="3134" t="s">
        <v>6913</v>
      </c>
      <c r="G5" s="3135" t="s">
        <v>6914</v>
      </c>
      <c r="H5" s="3136" t="s">
        <v>6915</v>
      </c>
    </row>
    <row r="6" spans="2:12">
      <c r="B6" s="3137" t="s">
        <v>6916</v>
      </c>
      <c r="C6" s="3138"/>
      <c r="D6" s="3139">
        <v>0.25</v>
      </c>
      <c r="E6" s="3140"/>
      <c r="F6" s="3139">
        <v>0.25</v>
      </c>
      <c r="G6" s="3140"/>
      <c r="H6" s="3141"/>
    </row>
    <row r="7" spans="2:12" ht="18" customHeight="1">
      <c r="B7" s="3142" t="s">
        <v>6917</v>
      </c>
      <c r="C7" s="3143">
        <f>坏账及减值表!D7+坏账及减值表!D10</f>
        <v>2884911.78</v>
      </c>
      <c r="D7" s="3144">
        <f>C7*$D$6</f>
        <v>721227.95</v>
      </c>
      <c r="E7" s="3144">
        <f>坏账及减值表!E10+坏账及减值表!E7</f>
        <v>4808810.0199999996</v>
      </c>
      <c r="F7" s="3144">
        <f>ROUND(E7*$F$6,2)</f>
        <v>1202202.51</v>
      </c>
      <c r="G7" s="3145"/>
      <c r="H7" s="3146">
        <f>F7-G7</f>
        <v>1202202.51</v>
      </c>
      <c r="I7" s="3147"/>
      <c r="J7" s="3148"/>
    </row>
    <row r="8" spans="2:12" ht="18" customHeight="1">
      <c r="B8" s="3142" t="s">
        <v>5254</v>
      </c>
      <c r="C8" s="3143">
        <f>坏账及减值表!D13</f>
        <v>0</v>
      </c>
      <c r="D8" s="3144">
        <f t="shared" ref="D8:D12" si="0">C8*$D$6</f>
        <v>0</v>
      </c>
      <c r="E8" s="3144"/>
      <c r="F8" s="3144">
        <f t="shared" ref="F8:F12" si="1">ROUND(E8*$F$6,2)</f>
        <v>0</v>
      </c>
      <c r="G8" s="3145"/>
      <c r="H8" s="3146">
        <f t="shared" ref="H8:H12" si="2">F8-G8</f>
        <v>0</v>
      </c>
      <c r="I8" s="3147"/>
    </row>
    <row r="9" spans="2:12" ht="18" customHeight="1">
      <c r="B9" s="3142" t="s">
        <v>6918</v>
      </c>
      <c r="C9" s="3149">
        <f>坏账及减值表!D16</f>
        <v>58285.06</v>
      </c>
      <c r="D9" s="3144">
        <f t="shared" si="0"/>
        <v>14571.27</v>
      </c>
      <c r="E9" s="3150">
        <f>坏账及减值表!E16</f>
        <v>289567.38</v>
      </c>
      <c r="F9" s="3144">
        <f>ROUND(E9*$F$6,2)</f>
        <v>72391.850000000006</v>
      </c>
      <c r="G9" s="3145"/>
      <c r="H9" s="3146">
        <f>F9-G9</f>
        <v>72391.850000000006</v>
      </c>
      <c r="I9" s="3147"/>
      <c r="J9" s="3148"/>
    </row>
    <row r="10" spans="2:12" ht="18" customHeight="1">
      <c r="B10" s="3151" t="s">
        <v>6919</v>
      </c>
      <c r="C10" s="3149"/>
      <c r="D10" s="3144">
        <f t="shared" si="0"/>
        <v>0</v>
      </c>
      <c r="E10" s="3152"/>
      <c r="F10" s="3144">
        <f>ROUND(E10*$F$6,2)</f>
        <v>0</v>
      </c>
      <c r="G10" s="3145"/>
      <c r="H10" s="3146">
        <f>F10-G10</f>
        <v>0</v>
      </c>
      <c r="I10" s="3147"/>
      <c r="J10" s="3147"/>
    </row>
    <row r="11" spans="2:12" ht="36">
      <c r="B11" s="3153" t="s">
        <v>6920</v>
      </c>
      <c r="C11" s="3154"/>
      <c r="D11" s="3144">
        <f t="shared" si="0"/>
        <v>0</v>
      </c>
      <c r="E11" s="3155"/>
      <c r="F11" s="3144">
        <f>ROUND(E11*$F$6,2)</f>
        <v>0</v>
      </c>
      <c r="G11" s="3145"/>
      <c r="H11" s="3146">
        <f>F11-G11</f>
        <v>0</v>
      </c>
      <c r="I11" s="3147"/>
      <c r="J11" s="3156"/>
    </row>
    <row r="12" spans="2:12" ht="18" customHeight="1">
      <c r="B12" s="3157" t="s">
        <v>6921</v>
      </c>
      <c r="C12" s="3154">
        <v>2140827.92</v>
      </c>
      <c r="D12" s="3144">
        <f t="shared" si="0"/>
        <v>535206.98</v>
      </c>
      <c r="E12" s="3158">
        <v>2140827.92</v>
      </c>
      <c r="F12" s="3144">
        <f t="shared" si="1"/>
        <v>535206.98</v>
      </c>
      <c r="G12" s="3145"/>
      <c r="H12" s="3146">
        <f t="shared" si="2"/>
        <v>535206.98</v>
      </c>
      <c r="I12" s="3147"/>
    </row>
    <row r="13" spans="2:12" ht="18.75" customHeight="1" thickBot="1">
      <c r="B13" s="3159" t="s">
        <v>6922</v>
      </c>
      <c r="C13" s="3160">
        <f t="shared" ref="C13" si="3">SUM(C7:C12)</f>
        <v>5084024.76</v>
      </c>
      <c r="D13" s="3160">
        <f>SUM(D7:D12)</f>
        <v>1271006.2</v>
      </c>
      <c r="E13" s="3160">
        <f>SUM(E7:E12)</f>
        <v>7239205.3200000003</v>
      </c>
      <c r="F13" s="3160">
        <f>SUM(F7:F12)</f>
        <v>1809801.34</v>
      </c>
      <c r="G13" s="3160">
        <f>BS!G42</f>
        <v>1809801.34</v>
      </c>
      <c r="H13" s="3160">
        <f>F13-G13</f>
        <v>0</v>
      </c>
      <c r="I13" s="3147">
        <v>146243.85</v>
      </c>
      <c r="K13" s="3147"/>
      <c r="L13" s="3147"/>
    </row>
    <row r="14" spans="2:12" ht="18" customHeight="1" thickTop="1">
      <c r="B14" s="3142" t="s">
        <v>6923</v>
      </c>
      <c r="C14" s="3149"/>
      <c r="D14" s="3161"/>
      <c r="E14" s="3161"/>
      <c r="F14" s="3144">
        <f>ROUND(E14*$F$6,2)</f>
        <v>0</v>
      </c>
      <c r="G14" s="3145"/>
      <c r="H14" s="3162"/>
      <c r="I14" s="3147"/>
    </row>
    <row r="15" spans="2:12" ht="18" customHeight="1">
      <c r="B15" s="3142"/>
      <c r="C15" s="3149"/>
      <c r="D15" s="3161"/>
      <c r="E15" s="3161"/>
      <c r="F15" s="3161"/>
      <c r="G15" s="3145"/>
      <c r="H15" s="3162"/>
      <c r="I15" s="3148"/>
    </row>
    <row r="16" spans="2:12" ht="18.75" customHeight="1">
      <c r="B16" s="3142"/>
      <c r="C16" s="3149"/>
      <c r="D16" s="3161"/>
      <c r="E16" s="3161"/>
      <c r="F16" s="3161"/>
      <c r="G16" s="3161"/>
      <c r="H16" s="3146">
        <f>F16-G16</f>
        <v>0</v>
      </c>
      <c r="I16" s="3148"/>
    </row>
    <row r="17" spans="2:9" ht="18.75" customHeight="1" thickBot="1">
      <c r="B17" s="3159" t="s">
        <v>6924</v>
      </c>
      <c r="C17" s="3163"/>
      <c r="D17" s="3164"/>
      <c r="E17" s="3164"/>
      <c r="F17" s="3164"/>
      <c r="G17" s="3164"/>
      <c r="H17" s="3165"/>
    </row>
    <row r="18" spans="2:9" ht="16.5" thickTop="1">
      <c r="G18" s="3166">
        <f>F18/0.15</f>
        <v>0</v>
      </c>
    </row>
    <row r="19" spans="2:9">
      <c r="B19" s="3167" t="s">
        <v>6925</v>
      </c>
      <c r="D19" s="3166">
        <f>BS!H42</f>
        <v>1185152.1499999999</v>
      </c>
      <c r="F19" s="3166">
        <f>BS!G42</f>
        <v>1809801.34</v>
      </c>
    </row>
    <row r="20" spans="2:9">
      <c r="G20" s="3168"/>
    </row>
    <row r="21" spans="2:9">
      <c r="B21" s="3127" t="s">
        <v>6926</v>
      </c>
      <c r="D21" s="3166">
        <f>D13-D19</f>
        <v>85854.05</v>
      </c>
      <c r="F21" s="3166">
        <f>F13-F19</f>
        <v>0</v>
      </c>
      <c r="I21" s="3371"/>
    </row>
    <row r="22" spans="2:9">
      <c r="D22" s="3166">
        <f>AJE!O21</f>
        <v>85854.05</v>
      </c>
    </row>
    <row r="23" spans="2:9">
      <c r="B23" s="3169" t="s">
        <v>6927</v>
      </c>
      <c r="D23" s="3166">
        <f>D21-D22</f>
        <v>0</v>
      </c>
      <c r="F23" s="3166">
        <f>F19-D19</f>
        <v>624649.18999999994</v>
      </c>
    </row>
  </sheetData>
  <protectedRanges>
    <protectedRange password="CC99" sqref="C7:F12" name="区域1"/>
  </protectedRanges>
  <mergeCells count="2">
    <mergeCell ref="B1:H1"/>
    <mergeCell ref="B2:H2"/>
  </mergeCells>
  <phoneticPr fontId="16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60"/>
  <sheetViews>
    <sheetView workbookViewId="0">
      <selection activeCell="C29" sqref="C29"/>
    </sheetView>
  </sheetViews>
  <sheetFormatPr defaultRowHeight="15.75"/>
  <cols>
    <col min="1" max="1" width="3.7109375" style="3300" customWidth="1"/>
    <col min="2" max="2" width="26.42578125" style="3232" customWidth="1"/>
    <col min="3" max="3" width="13.85546875" style="3297" bestFit="1" customWidth="1"/>
    <col min="4" max="4" width="25.7109375" style="3297" customWidth="1"/>
    <col min="5" max="5" width="12.28515625" style="3232" bestFit="1" customWidth="1"/>
    <col min="6" max="6" width="39" style="3232" customWidth="1"/>
    <col min="7" max="7" width="15.5703125" style="3232" bestFit="1" customWidth="1"/>
    <col min="8" max="8" width="11.28515625" style="3232" bestFit="1" customWidth="1"/>
    <col min="9" max="9" width="13" style="3232" bestFit="1" customWidth="1"/>
    <col min="10" max="10" width="14" style="3232" customWidth="1"/>
    <col min="11" max="11" width="14.140625" style="3232" customWidth="1"/>
    <col min="12" max="12" width="11.5703125" style="3232" bestFit="1" customWidth="1"/>
    <col min="13" max="14" width="9.140625" style="3232"/>
    <col min="15" max="15" width="13" style="3232" bestFit="1" customWidth="1"/>
    <col min="16" max="16384" width="9.140625" style="3232"/>
  </cols>
  <sheetData>
    <row r="1" spans="1:12" ht="12.75">
      <c r="A1" s="3232"/>
      <c r="B1" s="3383" t="s">
        <v>6955</v>
      </c>
      <c r="C1" s="3384"/>
      <c r="D1" s="3384"/>
    </row>
    <row r="2" spans="1:12" ht="13.5" thickBot="1">
      <c r="A2" s="3232"/>
      <c r="B2" s="3385" t="s">
        <v>6956</v>
      </c>
      <c r="C2" s="3384"/>
      <c r="D2" s="3384"/>
    </row>
    <row r="3" spans="1:12" ht="18.75" customHeight="1" thickTop="1">
      <c r="A3" s="3232"/>
      <c r="B3" s="3233" t="s">
        <v>6751</v>
      </c>
      <c r="C3" s="3234" t="s">
        <v>6956</v>
      </c>
      <c r="D3" s="3235" t="s">
        <v>6175</v>
      </c>
    </row>
    <row r="4" spans="1:12" ht="18.75" customHeight="1">
      <c r="A4" s="3232"/>
      <c r="B4" s="3236" t="s">
        <v>6957</v>
      </c>
      <c r="C4" s="3237">
        <f>IS!E28</f>
        <v>-3888703.47</v>
      </c>
      <c r="D4" s="3238"/>
    </row>
    <row r="5" spans="1:12" ht="18.75" customHeight="1">
      <c r="A5" s="3232"/>
      <c r="B5" s="3239" t="s">
        <v>6958</v>
      </c>
      <c r="C5" s="3237">
        <f>SUM(C6:C23)</f>
        <v>2224982.1</v>
      </c>
      <c r="D5" s="3238"/>
    </row>
    <row r="6" spans="1:12" ht="18.75" customHeight="1">
      <c r="A6" s="3232"/>
      <c r="B6" s="3240" t="s">
        <v>6959</v>
      </c>
      <c r="C6" s="3237">
        <f>((坏账及减值表!J7+坏账及减值表!J10)*-1)*-1</f>
        <v>1923898.24</v>
      </c>
      <c r="D6" s="3238"/>
    </row>
    <row r="7" spans="1:12" ht="18.75" customHeight="1">
      <c r="A7" s="3232"/>
      <c r="B7" s="3240" t="s">
        <v>354</v>
      </c>
      <c r="C7" s="3237">
        <f>((坏账及减值表!J16)*-1)*-1</f>
        <v>231282.32</v>
      </c>
      <c r="D7" s="3238"/>
    </row>
    <row r="8" spans="1:12" ht="16.5" thickBot="1">
      <c r="A8" s="3232"/>
      <c r="B8" s="3240" t="s">
        <v>6960</v>
      </c>
      <c r="C8" s="3237"/>
      <c r="D8" s="3238"/>
      <c r="F8" s="2906" t="s">
        <v>6961</v>
      </c>
      <c r="G8" s="3241"/>
      <c r="H8" s="3241"/>
      <c r="I8" s="3241"/>
      <c r="J8" s="3241"/>
      <c r="K8" s="3241"/>
      <c r="L8" s="3241"/>
    </row>
    <row r="9" spans="1:12" ht="13.5" thickTop="1">
      <c r="A9" s="3232"/>
      <c r="B9" s="3240" t="s">
        <v>6962</v>
      </c>
      <c r="C9" s="3237"/>
      <c r="D9" s="3238"/>
      <c r="F9" s="3242" t="s">
        <v>2522</v>
      </c>
      <c r="G9" s="3243" t="s">
        <v>2887</v>
      </c>
      <c r="H9" s="3243" t="s">
        <v>6963</v>
      </c>
      <c r="I9" s="3243" t="s">
        <v>6964</v>
      </c>
      <c r="J9" s="3244" t="s">
        <v>6965</v>
      </c>
      <c r="K9" s="3244" t="s">
        <v>6966</v>
      </c>
      <c r="L9" s="3245" t="s">
        <v>6967</v>
      </c>
    </row>
    <row r="10" spans="1:12" ht="12.75">
      <c r="A10" s="3232"/>
      <c r="B10" s="3240" t="s">
        <v>6968</v>
      </c>
      <c r="C10" s="3237"/>
      <c r="D10" s="3238"/>
      <c r="F10" s="3246" t="s">
        <v>6969</v>
      </c>
      <c r="G10" s="3247">
        <f>IS!E7</f>
        <v>34251580.890000001</v>
      </c>
      <c r="H10" s="3248">
        <v>5.0000000000000001E-3</v>
      </c>
      <c r="I10" s="3247">
        <f>ROUND(G10*H10,2)</f>
        <v>171257.9</v>
      </c>
      <c r="J10" s="3249">
        <f>ROUND(K12*L12,2)</f>
        <v>96796.87</v>
      </c>
      <c r="K10" s="3250">
        <f>IF(I10&lt;J10,I10,J10)</f>
        <v>96796.87</v>
      </c>
      <c r="L10" s="3251">
        <f>K12-K10</f>
        <v>64531.24</v>
      </c>
    </row>
    <row r="11" spans="1:12" ht="12.75">
      <c r="A11" s="3232"/>
      <c r="B11" s="3240" t="s">
        <v>6970</v>
      </c>
      <c r="C11" s="3237"/>
      <c r="D11" s="3238"/>
      <c r="F11" s="3252" t="s">
        <v>6971</v>
      </c>
      <c r="G11" s="3253" t="s">
        <v>671</v>
      </c>
      <c r="H11" s="3254" t="s">
        <v>685</v>
      </c>
      <c r="I11" s="3254" t="s">
        <v>680</v>
      </c>
      <c r="J11" s="3254" t="s">
        <v>4379</v>
      </c>
      <c r="K11" s="3255" t="s">
        <v>6972</v>
      </c>
      <c r="L11" s="3251" t="s">
        <v>6973</v>
      </c>
    </row>
    <row r="12" spans="1:12" ht="13.5" thickBot="1">
      <c r="A12" s="3232"/>
      <c r="B12" s="3240" t="s">
        <v>6974</v>
      </c>
      <c r="C12" s="3237">
        <f>Notes!H4961</f>
        <v>5270.3</v>
      </c>
      <c r="D12" s="3238"/>
      <c r="F12" s="3256" t="s">
        <v>6975</v>
      </c>
      <c r="G12" s="3257"/>
      <c r="H12" s="3257">
        <f>Notes!H4704</f>
        <v>47623.37</v>
      </c>
      <c r="I12" s="3257">
        <f>Notes!H4674</f>
        <v>113704.74</v>
      </c>
      <c r="J12" s="3257"/>
      <c r="K12" s="3258">
        <f>SUM(G12:J12)</f>
        <v>161328.10999999999</v>
      </c>
      <c r="L12" s="3259">
        <v>0.6</v>
      </c>
    </row>
    <row r="13" spans="1:12" ht="17.25" thickTop="1" thickBot="1">
      <c r="A13" s="3232"/>
      <c r="B13" s="3260" t="s">
        <v>6976</v>
      </c>
      <c r="C13" s="3261"/>
      <c r="D13" s="3262"/>
      <c r="F13" s="2906" t="s">
        <v>6977</v>
      </c>
      <c r="G13" s="3241"/>
      <c r="H13" s="3241"/>
      <c r="I13" s="3241"/>
      <c r="J13" s="3241"/>
      <c r="K13" s="3241"/>
      <c r="L13" s="3241"/>
    </row>
    <row r="14" spans="1:12" ht="26.25" thickTop="1">
      <c r="A14" s="3232"/>
      <c r="B14" s="3260" t="s">
        <v>6978</v>
      </c>
      <c r="C14" s="3261">
        <f>K15</f>
        <v>0</v>
      </c>
      <c r="D14" s="3263"/>
      <c r="E14" s="3264"/>
      <c r="F14" s="3265" t="s">
        <v>6979</v>
      </c>
      <c r="G14" s="3243" t="s">
        <v>6980</v>
      </c>
      <c r="H14" s="3243" t="s">
        <v>6981</v>
      </c>
      <c r="I14" s="3244" t="s">
        <v>6982</v>
      </c>
      <c r="J14" s="3244" t="s">
        <v>6983</v>
      </c>
      <c r="K14" s="3244" t="s">
        <v>6984</v>
      </c>
      <c r="L14" s="3266" t="s">
        <v>6985</v>
      </c>
    </row>
    <row r="15" spans="1:12" ht="12.75">
      <c r="A15" s="3232"/>
      <c r="B15" s="3260" t="s">
        <v>6986</v>
      </c>
      <c r="C15" s="3261"/>
      <c r="D15" s="3263"/>
      <c r="F15" s="3267" t="s">
        <v>6987</v>
      </c>
      <c r="G15" s="3268">
        <f>$G$10</f>
        <v>34251580.890000001</v>
      </c>
      <c r="H15" s="3269">
        <v>0.15</v>
      </c>
      <c r="I15" s="3270">
        <f>ROUND(G15*H15,2)</f>
        <v>5137737.13</v>
      </c>
      <c r="J15" s="3268">
        <f>SUM(G17:K17)-L17</f>
        <v>1093009.1000000001</v>
      </c>
      <c r="K15" s="3271">
        <f>IF(J15-I15&lt;0,0,J15-I15)+L17</f>
        <v>0</v>
      </c>
      <c r="L15" s="3272">
        <f>IF(J15-I15&gt;0,J15-I15,0)</f>
        <v>0</v>
      </c>
    </row>
    <row r="16" spans="1:12" ht="38.25">
      <c r="A16" s="3232"/>
      <c r="B16" s="3260" t="s">
        <v>3923</v>
      </c>
      <c r="C16" s="3261"/>
      <c r="D16" s="3262"/>
      <c r="F16" s="3267" t="s">
        <v>6971</v>
      </c>
      <c r="G16" s="3273" t="s">
        <v>671</v>
      </c>
      <c r="H16" s="3268" t="s">
        <v>685</v>
      </c>
      <c r="I16" s="3268" t="s">
        <v>680</v>
      </c>
      <c r="J16" s="3268" t="s">
        <v>4379</v>
      </c>
      <c r="K16" s="3271" t="s">
        <v>6988</v>
      </c>
      <c r="L16" s="3274" t="s">
        <v>6989</v>
      </c>
    </row>
    <row r="17" spans="1:15" ht="13.5" thickBot="1">
      <c r="A17" s="3232"/>
      <c r="B17" s="3260" t="s">
        <v>6990</v>
      </c>
      <c r="C17" s="3261"/>
      <c r="D17" s="3262"/>
      <c r="F17" s="3256" t="s">
        <v>6991</v>
      </c>
      <c r="G17" s="3275"/>
      <c r="H17" s="3275"/>
      <c r="I17" s="3275">
        <f>Notes!H4672</f>
        <v>1093009.1000000001</v>
      </c>
      <c r="J17" s="3275"/>
      <c r="K17" s="3276"/>
      <c r="L17" s="3277"/>
    </row>
    <row r="18" spans="1:15" ht="18.75" customHeight="1" thickTop="1">
      <c r="A18" s="3232"/>
      <c r="B18" s="3260" t="s">
        <v>6992</v>
      </c>
      <c r="C18" s="3261"/>
      <c r="D18" s="3262"/>
    </row>
    <row r="19" spans="1:15" ht="18.75" customHeight="1">
      <c r="A19" s="3232"/>
      <c r="B19" s="3260" t="s">
        <v>6849</v>
      </c>
      <c r="C19" s="3261">
        <f>L10</f>
        <v>64531.24</v>
      </c>
      <c r="D19" s="3262"/>
      <c r="E19" s="3264"/>
    </row>
    <row r="20" spans="1:15" ht="18.75" customHeight="1">
      <c r="A20" s="3232"/>
      <c r="B20" s="3260" t="s">
        <v>6993</v>
      </c>
      <c r="C20" s="3261"/>
      <c r="D20" s="3262"/>
      <c r="F20" s="3278" t="s">
        <v>6994</v>
      </c>
      <c r="G20" s="3278" t="s">
        <v>6995</v>
      </c>
      <c r="I20" s="3279"/>
      <c r="L20" s="3280"/>
      <c r="M20" s="3280"/>
    </row>
    <row r="21" spans="1:15" ht="18.75" customHeight="1">
      <c r="A21" s="3232"/>
      <c r="B21" s="3260" t="s">
        <v>6996</v>
      </c>
      <c r="C21" s="3261"/>
      <c r="D21" s="3262"/>
      <c r="F21" s="3281" t="s">
        <v>6997</v>
      </c>
      <c r="G21" s="3282">
        <f>[79]IS!E7</f>
        <v>37369847.649999999</v>
      </c>
      <c r="M21" s="3280"/>
      <c r="O21" s="3279"/>
    </row>
    <row r="22" spans="1:15" ht="18.75" customHeight="1">
      <c r="A22" s="3232"/>
      <c r="B22" s="3260" t="s">
        <v>6998</v>
      </c>
      <c r="C22" s="3261"/>
      <c r="D22" s="3262"/>
      <c r="F22" s="3281" t="s">
        <v>6999</v>
      </c>
      <c r="G22" s="3282">
        <f>[79]IS!E10</f>
        <v>5670698.4400000004</v>
      </c>
      <c r="I22" s="3279"/>
      <c r="J22" s="3279"/>
      <c r="M22" s="3280"/>
      <c r="O22" s="3279"/>
    </row>
    <row r="23" spans="1:15" ht="24">
      <c r="A23" s="3232"/>
      <c r="B23" s="3260" t="s">
        <v>7000</v>
      </c>
      <c r="C23" s="3261"/>
      <c r="D23" s="3262"/>
      <c r="F23" s="3281" t="s">
        <v>7001</v>
      </c>
      <c r="G23" s="3282">
        <f>[79]IS!E11</f>
        <v>2881011.76</v>
      </c>
      <c r="I23" s="3279"/>
      <c r="J23" s="3279"/>
    </row>
    <row r="24" spans="1:15" ht="18.75" customHeight="1">
      <c r="A24" s="3232"/>
      <c r="B24" s="3283" t="s">
        <v>7002</v>
      </c>
      <c r="C24" s="3261">
        <f>SUM(C25:C29)</f>
        <v>3299114.23</v>
      </c>
      <c r="D24" s="3262"/>
      <c r="F24" s="3281" t="s">
        <v>7003</v>
      </c>
      <c r="G24" s="3282">
        <f>[79]IS!E13</f>
        <v>353161.16</v>
      </c>
    </row>
    <row r="25" spans="1:15" ht="12.75">
      <c r="A25" s="3232"/>
      <c r="B25" s="3260" t="s">
        <v>7004</v>
      </c>
      <c r="C25" s="3261"/>
      <c r="D25" s="3262"/>
      <c r="F25" s="3284" t="s">
        <v>7005</v>
      </c>
      <c r="G25" s="3285">
        <f>[79]IS!E12</f>
        <v>3908463.7</v>
      </c>
      <c r="I25" s="3279"/>
      <c r="K25" s="3279"/>
    </row>
    <row r="26" spans="1:15" ht="18.75" customHeight="1">
      <c r="A26" s="3232"/>
      <c r="B26" s="3260" t="s">
        <v>7006</v>
      </c>
      <c r="C26" s="3261"/>
      <c r="D26" s="3262"/>
      <c r="F26" s="3286" t="s">
        <v>7007</v>
      </c>
      <c r="G26" s="3282">
        <f>SUM(G22:G25)</f>
        <v>12813335.060000001</v>
      </c>
      <c r="I26" s="3279"/>
    </row>
    <row r="27" spans="1:15" ht="18.75" customHeight="1">
      <c r="A27" s="3232"/>
      <c r="B27" s="3260" t="s">
        <v>7008</v>
      </c>
      <c r="C27" s="3261"/>
      <c r="D27" s="3262"/>
      <c r="F27" s="3281" t="s">
        <v>7009</v>
      </c>
      <c r="G27" s="3282">
        <v>1500000</v>
      </c>
    </row>
    <row r="28" spans="1:15" ht="18.75" customHeight="1">
      <c r="A28" s="3232"/>
      <c r="B28" s="3260" t="s">
        <v>7010</v>
      </c>
      <c r="C28" s="3287"/>
      <c r="D28" s="3263"/>
      <c r="F28" s="3286" t="s">
        <v>7011</v>
      </c>
      <c r="G28" s="3288">
        <f>G27/G21</f>
        <v>0.04</v>
      </c>
    </row>
    <row r="29" spans="1:15" ht="18.75" customHeight="1">
      <c r="A29" s="3232"/>
      <c r="B29" s="3260" t="s">
        <v>7012</v>
      </c>
      <c r="C29" s="3287">
        <f>IS!E12*0.75</f>
        <v>3299114.23</v>
      </c>
      <c r="D29" s="3262"/>
      <c r="F29" s="3286" t="s">
        <v>7013</v>
      </c>
      <c r="G29" s="3282">
        <f t="shared" ref="G29" si="0">G26*G28</f>
        <v>512533.4</v>
      </c>
      <c r="I29" s="3279"/>
    </row>
    <row r="30" spans="1:15" ht="18.75" customHeight="1">
      <c r="A30" s="3232"/>
      <c r="B30" s="3289" t="s">
        <v>7014</v>
      </c>
      <c r="C30" s="3261">
        <f>C4+C5-C24</f>
        <v>-4962835.5999999996</v>
      </c>
      <c r="D30" s="3262"/>
      <c r="F30" s="3281" t="s">
        <v>7015</v>
      </c>
      <c r="G30" s="3282">
        <f t="shared" ref="G30" si="1">G27*0.03%</f>
        <v>450</v>
      </c>
      <c r="H30" s="3280"/>
    </row>
    <row r="31" spans="1:15" ht="18.75" customHeight="1">
      <c r="A31" s="3232"/>
      <c r="B31" s="3260" t="s">
        <v>7016</v>
      </c>
      <c r="C31" s="3290">
        <v>0.15</v>
      </c>
      <c r="D31" s="3262"/>
      <c r="F31" s="3286" t="s">
        <v>7017</v>
      </c>
      <c r="G31" s="3282">
        <f>G29+G30</f>
        <v>512983.4</v>
      </c>
    </row>
    <row r="32" spans="1:15" ht="18.75" customHeight="1">
      <c r="A32" s="3232"/>
      <c r="B32" s="3260" t="s">
        <v>7018</v>
      </c>
      <c r="C32" s="3261">
        <f>IF(C30*C31&lt;0,0,C30*C31)</f>
        <v>0</v>
      </c>
      <c r="D32" s="3262"/>
      <c r="F32" s="3291" t="s">
        <v>7019</v>
      </c>
      <c r="G32" s="3292">
        <f t="shared" ref="G32" si="2">G27-G31</f>
        <v>987016.6</v>
      </c>
      <c r="H32" s="3279"/>
    </row>
    <row r="33" spans="1:8" ht="18.75" customHeight="1">
      <c r="A33" s="3232"/>
      <c r="B33" s="3260" t="s">
        <v>7020</v>
      </c>
      <c r="C33" s="3261">
        <v>-1144921.04</v>
      </c>
      <c r="D33" s="3262"/>
      <c r="F33" s="3286" t="s">
        <v>7021</v>
      </c>
      <c r="G33" s="3282">
        <f t="shared" ref="G33" si="3">G32*0.25</f>
        <v>246754.15</v>
      </c>
      <c r="H33" s="3279"/>
    </row>
    <row r="34" spans="1:8" ht="18.75" customHeight="1" thickBot="1">
      <c r="A34" s="3232"/>
      <c r="B34" s="3293" t="s">
        <v>7022</v>
      </c>
      <c r="C34" s="3294">
        <f>C32-C33</f>
        <v>1144921.04</v>
      </c>
      <c r="D34" s="3295"/>
      <c r="E34" s="3296"/>
      <c r="F34" s="3286" t="s">
        <v>7023</v>
      </c>
      <c r="G34" s="3282">
        <f t="shared" ref="G34" si="4">G31*0.25</f>
        <v>128245.85</v>
      </c>
    </row>
    <row r="35" spans="1:8" ht="13.5" thickTop="1">
      <c r="A35" s="3232"/>
      <c r="F35" s="3298"/>
      <c r="G35" s="3279"/>
    </row>
    <row r="36" spans="1:8" ht="12.75">
      <c r="A36" s="3232"/>
      <c r="B36" s="3264"/>
      <c r="F36" s="3296"/>
      <c r="G36" s="3279"/>
    </row>
    <row r="37" spans="1:8" ht="12.75">
      <c r="A37" s="3232"/>
      <c r="B37" s="3264"/>
      <c r="D37" s="3299"/>
    </row>
    <row r="38" spans="1:8">
      <c r="B38" s="3264"/>
      <c r="C38" s="3297">
        <v>-1829960.03</v>
      </c>
    </row>
    <row r="39" spans="1:8">
      <c r="B39" s="3301"/>
    </row>
    <row r="40" spans="1:8">
      <c r="B40" s="3264"/>
      <c r="C40" s="3297">
        <f>preBS!G60-preBS!F60</f>
        <v>-685038.99</v>
      </c>
      <c r="F40" s="3264"/>
    </row>
    <row r="41" spans="1:8">
      <c r="B41" s="3264"/>
      <c r="C41" s="3297">
        <f>C38-C40</f>
        <v>-1144921.04</v>
      </c>
    </row>
    <row r="42" spans="1:8">
      <c r="B42" s="3264"/>
      <c r="C42" s="3297">
        <f>C33-C41</f>
        <v>0</v>
      </c>
    </row>
    <row r="43" spans="1:8">
      <c r="B43" s="3264"/>
    </row>
    <row r="44" spans="1:8">
      <c r="B44" s="3264"/>
    </row>
    <row r="45" spans="1:8">
      <c r="B45" s="3264"/>
    </row>
    <row r="46" spans="1:8">
      <c r="B46" s="3264"/>
      <c r="D46" s="3299"/>
    </row>
    <row r="47" spans="1:8">
      <c r="B47" s="3264"/>
    </row>
    <row r="59" spans="3:3">
      <c r="C59" s="3297">
        <f>-28115081.46*15%</f>
        <v>-4217262.22</v>
      </c>
    </row>
    <row r="60" spans="3:3">
      <c r="C60" s="3297">
        <f>[80]Sheet2!F5+C59</f>
        <v>-4217262.22</v>
      </c>
    </row>
  </sheetData>
  <mergeCells count="2">
    <mergeCell ref="B1:D1"/>
    <mergeCell ref="B2:D2"/>
  </mergeCells>
  <phoneticPr fontId="16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pageSetUpPr autoPageBreaks="0"/>
  </sheetPr>
  <dimension ref="A1:Y418"/>
  <sheetViews>
    <sheetView workbookViewId="0">
      <pane xSplit="6" ySplit="8" topLeftCell="G243" activePane="bottomRight" state="frozen"/>
      <selection pane="topRight" activeCell="G1" sqref="G1"/>
      <selection pane="bottomLeft" activeCell="A9" sqref="A9"/>
      <selection pane="bottomRight" activeCell="H284" sqref="H284"/>
    </sheetView>
  </sheetViews>
  <sheetFormatPr defaultColWidth="9.140625" defaultRowHeight="12"/>
  <cols>
    <col min="1" max="1" width="4.28515625" style="1" customWidth="1"/>
    <col min="2" max="3" width="9" style="1" hidden="1" customWidth="1"/>
    <col min="4" max="4" width="6.28515625" style="1" customWidth="1"/>
    <col min="5" max="6" width="20.7109375" style="1" customWidth="1"/>
    <col min="7" max="9" width="12.7109375" style="1" customWidth="1"/>
    <col min="10" max="10" width="4.7109375" style="1" customWidth="1"/>
    <col min="11" max="13" width="12.7109375" style="1" customWidth="1"/>
    <col min="14" max="14" width="4.7109375" style="1" customWidth="1"/>
    <col min="15" max="15" width="7.7109375" style="1" customWidth="1"/>
    <col min="16" max="18" width="20.7109375" style="1" customWidth="1"/>
    <col min="19" max="20" width="10.7109375" style="1" customWidth="1"/>
    <col min="21" max="25" width="10.7109375" style="1" hidden="1" customWidth="1"/>
    <col min="26" max="16384" width="9.140625" style="1"/>
  </cols>
  <sheetData>
    <row r="1" spans="1:25">
      <c r="A1" s="745"/>
      <c r="B1" s="643"/>
      <c r="C1" s="643"/>
      <c r="D1" s="745"/>
      <c r="E1" s="745"/>
      <c r="F1" s="745"/>
      <c r="G1" s="745"/>
      <c r="H1" s="745"/>
      <c r="I1" s="745"/>
      <c r="J1" s="745"/>
      <c r="K1" s="745"/>
      <c r="L1" s="745"/>
      <c r="M1" s="745"/>
      <c r="N1" s="745"/>
      <c r="O1" s="641"/>
      <c r="P1" s="641"/>
      <c r="Q1" s="641"/>
      <c r="R1" s="641"/>
    </row>
    <row r="2" spans="1:25" ht="18" customHeight="1">
      <c r="A2" s="745"/>
      <c r="B2" s="643"/>
      <c r="C2" s="643"/>
      <c r="D2" s="1294" t="s">
        <v>2520</v>
      </c>
      <c r="E2" s="1245" t="str">
        <f>IF(Lead!$C$5="","",Lead!$C$5)</f>
        <v>福建省力菲克药业有限公司</v>
      </c>
      <c r="F2" s="1247"/>
      <c r="G2" s="1248"/>
      <c r="H2" s="1295"/>
      <c r="I2" s="1317" t="s">
        <v>2521</v>
      </c>
      <c r="J2" s="745"/>
      <c r="K2" s="1318" t="s">
        <v>2501</v>
      </c>
      <c r="L2" s="745"/>
      <c r="M2" s="1319"/>
      <c r="N2" s="1320"/>
      <c r="O2" s="641"/>
      <c r="P2" s="2788" t="s">
        <v>6600</v>
      </c>
      <c r="Q2" s="641"/>
      <c r="R2" s="641"/>
    </row>
    <row r="3" spans="1:25" ht="18" customHeight="1">
      <c r="A3" s="745"/>
      <c r="B3" s="643"/>
      <c r="C3" s="643"/>
      <c r="D3" s="1294" t="s">
        <v>2522</v>
      </c>
      <c r="E3" s="1296" t="s">
        <v>2523</v>
      </c>
      <c r="F3" s="1297"/>
      <c r="G3" s="1298"/>
      <c r="H3" s="1299" t="s">
        <v>2450</v>
      </c>
      <c r="I3" s="1284" t="str">
        <f>IF(Lead!$E$9="","",Lead!$E$9)</f>
        <v>孙健</v>
      </c>
      <c r="J3" s="957"/>
      <c r="K3" s="897">
        <f>IF(Lead!$F$9="","",Lead!$F$9)</f>
        <v>43864</v>
      </c>
      <c r="L3" s="1321" t="s">
        <v>2524</v>
      </c>
      <c r="M3" s="2790" t="s">
        <v>6605</v>
      </c>
      <c r="N3" s="745"/>
      <c r="O3" s="641"/>
      <c r="P3" s="2788" t="s">
        <v>6601</v>
      </c>
      <c r="Q3" s="641"/>
      <c r="R3" s="641"/>
    </row>
    <row r="4" spans="1:25" ht="18" customHeight="1">
      <c r="A4" s="745"/>
      <c r="B4" s="643"/>
      <c r="C4" s="643"/>
      <c r="D4" s="1294" t="s">
        <v>2436</v>
      </c>
      <c r="E4" s="1255">
        <f>IF(Lead!$F$5="","",Lead!$F$5)</f>
        <v>43830</v>
      </c>
      <c r="F4" s="1257"/>
      <c r="G4" s="1258"/>
      <c r="H4" s="1299" t="s">
        <v>2457</v>
      </c>
      <c r="I4" s="1287" t="str">
        <f>IF(Lead!$E$10="","",Lead!$E$10)</f>
        <v/>
      </c>
      <c r="J4" s="957"/>
      <c r="K4" s="898" t="str">
        <f>IF(Lead!$F$10="","",Lead!$F$10)</f>
        <v/>
      </c>
      <c r="L4" s="1321" t="s">
        <v>2525</v>
      </c>
      <c r="M4" s="1288"/>
      <c r="N4" s="745"/>
      <c r="O4" s="641"/>
      <c r="P4" s="2788" t="s">
        <v>6602</v>
      </c>
      <c r="Q4" s="641"/>
      <c r="R4" s="641"/>
    </row>
    <row r="5" spans="1:25" ht="12" customHeight="1" thickBot="1">
      <c r="A5" s="745"/>
      <c r="B5" s="643"/>
      <c r="C5" s="643"/>
      <c r="D5" s="1300"/>
      <c r="E5" s="1301"/>
      <c r="F5" s="1301"/>
      <c r="G5" s="1300"/>
      <c r="H5" s="1302"/>
      <c r="I5" s="1322"/>
      <c r="J5" s="1323"/>
      <c r="K5" s="1324"/>
      <c r="L5" s="1323"/>
      <c r="M5" s="1322"/>
      <c r="N5" s="1301"/>
      <c r="O5" s="641"/>
      <c r="P5" s="2788" t="s">
        <v>6603</v>
      </c>
      <c r="Q5" s="641"/>
      <c r="R5" s="641"/>
    </row>
    <row r="6" spans="1:25" ht="12" customHeight="1" thickTop="1" thickBot="1">
      <c r="A6" s="745"/>
      <c r="B6" s="643"/>
      <c r="C6" s="643"/>
      <c r="D6" s="1303"/>
      <c r="E6" s="744"/>
      <c r="F6" s="744"/>
      <c r="G6" s="1303"/>
      <c r="H6" s="1303"/>
      <c r="I6" s="1325"/>
      <c r="J6" s="871"/>
      <c r="K6" s="1325"/>
      <c r="L6" s="871"/>
      <c r="M6" s="1325"/>
      <c r="N6" s="744"/>
      <c r="O6" s="641"/>
      <c r="P6" s="641"/>
      <c r="Q6" s="641"/>
      <c r="R6" s="641"/>
    </row>
    <row r="7" spans="1:25" ht="12" hidden="1" customHeight="1">
      <c r="A7" s="745"/>
      <c r="B7" s="643"/>
      <c r="C7" s="643"/>
      <c r="D7" s="745"/>
      <c r="E7" s="745"/>
      <c r="F7" s="745"/>
      <c r="G7" s="745"/>
      <c r="H7" s="745"/>
      <c r="I7" s="745"/>
      <c r="J7" s="745"/>
      <c r="K7" s="745"/>
      <c r="L7" s="745"/>
      <c r="M7" s="745"/>
      <c r="N7" s="745"/>
      <c r="O7" s="641"/>
      <c r="P7" s="641"/>
      <c r="Q7" s="641"/>
      <c r="R7" s="641"/>
    </row>
    <row r="8" spans="1:25" ht="18">
      <c r="A8" s="1304"/>
      <c r="B8" s="643" t="s">
        <v>2526</v>
      </c>
      <c r="C8" s="643" t="s">
        <v>2527</v>
      </c>
      <c r="D8" s="1305" t="s">
        <v>6815</v>
      </c>
      <c r="E8" s="1306" t="s">
        <v>2529</v>
      </c>
      <c r="F8" s="1307" t="s">
        <v>2530</v>
      </c>
      <c r="G8" s="1308" t="s">
        <v>2531</v>
      </c>
      <c r="H8" s="1309" t="s">
        <v>2532</v>
      </c>
      <c r="I8" s="1305" t="s">
        <v>2533</v>
      </c>
      <c r="J8" s="1326" t="s">
        <v>2534</v>
      </c>
      <c r="K8" s="1327" t="s">
        <v>2535</v>
      </c>
      <c r="L8" s="1306" t="s">
        <v>2536</v>
      </c>
      <c r="M8" s="1305" t="s">
        <v>2537</v>
      </c>
      <c r="N8" s="1328" t="s">
        <v>2534</v>
      </c>
      <c r="O8" s="3095" t="s">
        <v>6804</v>
      </c>
      <c r="P8" s="3096" t="s">
        <v>6805</v>
      </c>
      <c r="Q8" s="3096" t="s">
        <v>6806</v>
      </c>
      <c r="R8" s="3096" t="s">
        <v>6807</v>
      </c>
      <c r="S8" s="3097" t="s">
        <v>6808</v>
      </c>
      <c r="T8" s="3097" t="s">
        <v>6809</v>
      </c>
      <c r="U8" s="3097" t="s">
        <v>6810</v>
      </c>
      <c r="V8" s="3097" t="s">
        <v>6811</v>
      </c>
      <c r="W8" s="3097" t="s">
        <v>6812</v>
      </c>
      <c r="X8" s="3097" t="s">
        <v>6813</v>
      </c>
      <c r="Y8" s="3098" t="s">
        <v>6814</v>
      </c>
    </row>
    <row r="9" spans="1:25" ht="18">
      <c r="A9" s="1304"/>
      <c r="B9" s="643">
        <v>1015</v>
      </c>
      <c r="C9" s="643" t="s">
        <v>69</v>
      </c>
      <c r="D9" s="150">
        <v>1</v>
      </c>
      <c r="E9" s="1310" t="str">
        <f t="shared" ref="E9:E72" si="0">IF(ISERROR(VLOOKUP($B9,Sheet_Items,2,0)),"        ----",VLOOKUP($B9,Sheet_Items,2,0))</f>
        <v>货币资金</v>
      </c>
      <c r="F9" s="163" t="s">
        <v>70</v>
      </c>
      <c r="G9" s="1311">
        <f t="shared" ref="G9:G72" si="1">IF(ISERROR(VLOOKUP($B9,Sheet_Trialbal,6,0)),"        ----",VLOOKUP($B9,Sheet_Trialbal,6,0))</f>
        <v>479304.95</v>
      </c>
      <c r="H9" s="1312">
        <f t="shared" ref="H9:H16" ca="1" si="2">INDIRECT("Notes!CheckA"&amp;$C9)</f>
        <v>479304.95</v>
      </c>
      <c r="I9" s="3092">
        <f ca="1">IF(AND(LEN(G9)&gt;0,LEN(H9)&gt;0),ROUND(SUM(G9)-SUM(H9),2),"")</f>
        <v>0</v>
      </c>
      <c r="J9" s="1293" t="str">
        <f ca="1">IF(ISNA(I9),"N/A",IF(I9=0,"√","？"))</f>
        <v>√</v>
      </c>
      <c r="K9" s="1311">
        <f t="shared" ref="K9:K40" si="3">IF(ISERROR(VLOOKUP($B9,Sheet_Trialbal,10,0)),"        ----",VLOOKUP($B9,Sheet_Trialbal,10,0))</f>
        <v>252723.84</v>
      </c>
      <c r="L9" s="70">
        <f ca="1">INDIRECT("Notes!CheckB"&amp;$C9)</f>
        <v>252723.84</v>
      </c>
      <c r="M9" s="3092">
        <f ca="1">IF(AND(LEN(K9)&gt;0,LEN(L9)&gt;0),ROUND(SUM(K9)-SUM(L9),2),"")</f>
        <v>0</v>
      </c>
      <c r="N9" s="1293" t="str">
        <f ca="1">IF(ISNA(M9),"N/A",IF(M9=0,"√","？"))</f>
        <v>√</v>
      </c>
      <c r="O9" s="3099"/>
      <c r="P9" s="3100"/>
      <c r="Q9" s="3100"/>
      <c r="R9" s="3100"/>
      <c r="S9" s="3101" t="s">
        <v>295</v>
      </c>
      <c r="T9" s="3101" t="s">
        <v>213</v>
      </c>
      <c r="U9" s="3102">
        <v>1015</v>
      </c>
      <c r="V9" s="3102" t="s">
        <v>295</v>
      </c>
      <c r="W9" s="3102" t="s">
        <v>6797</v>
      </c>
      <c r="X9" s="3102" t="s">
        <v>6798</v>
      </c>
      <c r="Y9" s="3103" t="s">
        <v>164</v>
      </c>
    </row>
    <row r="10" spans="1:25" ht="18">
      <c r="A10" s="1304"/>
      <c r="B10" s="643">
        <v>1015</v>
      </c>
      <c r="C10" s="643" t="s">
        <v>45</v>
      </c>
      <c r="D10" s="3087">
        <v>1</v>
      </c>
      <c r="E10" s="3088" t="str">
        <f t="shared" si="0"/>
        <v>货币资金</v>
      </c>
      <c r="F10" s="3089" t="s">
        <v>46</v>
      </c>
      <c r="G10" s="3090">
        <f t="shared" si="1"/>
        <v>479304.95</v>
      </c>
      <c r="H10" s="3091">
        <f t="shared" ca="1" si="2"/>
        <v>479304.95</v>
      </c>
      <c r="I10" s="3093">
        <f ca="1">IF(AND(LEN(G10)&gt;0,LEN(H10)&gt;0),ROUND(SUM(G10)-SUM(H10),2),"")</f>
        <v>0</v>
      </c>
      <c r="J10" s="3072" t="str">
        <f ca="1">IF(ISNA(I10),"N/A",IF(I10=0,"√","？"))</f>
        <v>√</v>
      </c>
      <c r="K10" s="3090">
        <f t="shared" si="3"/>
        <v>252723.84</v>
      </c>
      <c r="L10" s="3071">
        <f ca="1">INDIRECT("Notes!CheckB"&amp;$C10)</f>
        <v>252723.84</v>
      </c>
      <c r="M10" s="3093">
        <f ca="1">IF(AND(LEN(K10)&gt;0,LEN(L10)&gt;0),ROUND(SUM(K10)-SUM(L10),2),"")</f>
        <v>0</v>
      </c>
      <c r="N10" s="3072" t="str">
        <f ca="1">IF(ISNA(M10),"N/A",IF(M10=0,"√","？"))</f>
        <v>√</v>
      </c>
      <c r="O10" s="3099"/>
      <c r="P10" s="3100"/>
      <c r="Q10" s="3100"/>
      <c r="R10" s="3100"/>
      <c r="S10" s="3101" t="s">
        <v>295</v>
      </c>
      <c r="T10" s="3101" t="s">
        <v>213</v>
      </c>
      <c r="U10" s="3102"/>
      <c r="V10" s="3102" t="s">
        <v>295</v>
      </c>
      <c r="W10" s="3102" t="s">
        <v>6797</v>
      </c>
      <c r="X10" s="3102" t="s">
        <v>213</v>
      </c>
      <c r="Y10" s="3103" t="s">
        <v>164</v>
      </c>
    </row>
    <row r="11" spans="1:25" ht="18" hidden="1">
      <c r="A11" s="1304"/>
      <c r="B11" s="643">
        <v>1015</v>
      </c>
      <c r="C11" s="643" t="s">
        <v>88</v>
      </c>
      <c r="D11" s="3087">
        <v>2</v>
      </c>
      <c r="E11" s="3088" t="str">
        <f t="shared" si="0"/>
        <v>货币资金</v>
      </c>
      <c r="F11" s="3089" t="s">
        <v>89</v>
      </c>
      <c r="G11" s="3090">
        <f t="shared" si="1"/>
        <v>479304.95</v>
      </c>
      <c r="H11" s="3091">
        <f t="shared" ca="1" si="2"/>
        <v>0</v>
      </c>
      <c r="I11" s="3093" t="s">
        <v>6803</v>
      </c>
      <c r="J11" s="3072"/>
      <c r="K11" s="3090">
        <f t="shared" si="3"/>
        <v>252723.84</v>
      </c>
      <c r="L11" s="3071" t="s">
        <v>6799</v>
      </c>
      <c r="M11" s="3093" t="s">
        <v>6803</v>
      </c>
      <c r="N11" s="3072"/>
      <c r="O11" s="3099"/>
      <c r="P11" s="3100"/>
      <c r="Q11" s="3100"/>
      <c r="R11" s="3100"/>
      <c r="S11" s="3101" t="s">
        <v>295</v>
      </c>
      <c r="T11" s="3101" t="s">
        <v>213</v>
      </c>
      <c r="U11" s="3102">
        <v>1015</v>
      </c>
      <c r="V11" s="3102" t="s">
        <v>295</v>
      </c>
      <c r="W11" s="3102" t="s">
        <v>6797</v>
      </c>
      <c r="X11" s="3102" t="s">
        <v>213</v>
      </c>
      <c r="Y11" s="3103" t="s">
        <v>164</v>
      </c>
    </row>
    <row r="12" spans="1:25" ht="24">
      <c r="A12" s="1304"/>
      <c r="B12" s="643">
        <v>1102</v>
      </c>
      <c r="C12" s="643" t="s">
        <v>135</v>
      </c>
      <c r="D12" s="3087">
        <v>1</v>
      </c>
      <c r="E12" s="3088" t="str">
        <f t="shared" si="0"/>
        <v>交易性金融资产</v>
      </c>
      <c r="F12" s="3089" t="s">
        <v>136</v>
      </c>
      <c r="G12" s="3090">
        <f t="shared" si="1"/>
        <v>0</v>
      </c>
      <c r="H12" s="3091">
        <f t="shared" ca="1" si="2"/>
        <v>0</v>
      </c>
      <c r="I12" s="3093">
        <f ca="1">IF(AND(LEN(G12)&gt;0,LEN(H12)&gt;0),ROUND(SUM(G12)-SUM(H12),2),"")</f>
        <v>0</v>
      </c>
      <c r="J12" s="3072" t="str">
        <f ca="1">IF(ISNA(I12),"N/A",IF(I12=0,"√","？"))</f>
        <v>√</v>
      </c>
      <c r="K12" s="3090">
        <f t="shared" si="3"/>
        <v>0</v>
      </c>
      <c r="L12" s="3071">
        <f ca="1">INDIRECT("Notes!CheckB"&amp;$C12)</f>
        <v>0</v>
      </c>
      <c r="M12" s="3093">
        <f ca="1">IF(AND(LEN(K12)&gt;0,LEN(L12)&gt;0),ROUND(SUM(K12)-SUM(L12),2),"")</f>
        <v>0</v>
      </c>
      <c r="N12" s="3072" t="str">
        <f ca="1">IF(ISNA(M12),"N/A",IF(M12=0,"√","？"))</f>
        <v>√</v>
      </c>
      <c r="O12" s="3099"/>
      <c r="P12" s="3100"/>
      <c r="Q12" s="3100"/>
      <c r="R12" s="3100"/>
      <c r="S12" s="3101" t="s">
        <v>295</v>
      </c>
      <c r="T12" s="3101" t="s">
        <v>213</v>
      </c>
      <c r="U12" s="3102">
        <v>1102</v>
      </c>
      <c r="V12" s="3102" t="s">
        <v>295</v>
      </c>
      <c r="W12" s="3102" t="s">
        <v>145</v>
      </c>
      <c r="X12" s="3102" t="s">
        <v>6800</v>
      </c>
      <c r="Y12" s="3103" t="s">
        <v>119</v>
      </c>
    </row>
    <row r="13" spans="1:25" ht="36">
      <c r="A13" s="1304"/>
      <c r="B13" s="643">
        <v>1101</v>
      </c>
      <c r="C13" s="643" t="s">
        <v>106</v>
      </c>
      <c r="D13" s="3087">
        <v>1</v>
      </c>
      <c r="E13" s="3088" t="str">
        <f t="shared" si="0"/>
        <v>以公允价值计量且其变动计入当期损益的金融资产</v>
      </c>
      <c r="F13" s="3089" t="s">
        <v>107</v>
      </c>
      <c r="G13" s="3090">
        <f t="shared" si="1"/>
        <v>0</v>
      </c>
      <c r="H13" s="3091">
        <f t="shared" ca="1" si="2"/>
        <v>0</v>
      </c>
      <c r="I13" s="3093">
        <f ca="1">IF(AND(LEN(G13)&gt;0,LEN(H13)&gt;0),ROUND(SUM(G13)-SUM(H13),2),"")</f>
        <v>0</v>
      </c>
      <c r="J13" s="3072" t="str">
        <f ca="1">IF(ISNA(I13),"N/A",IF(I13=0,"√","？"))</f>
        <v>√</v>
      </c>
      <c r="K13" s="3090">
        <f t="shared" si="3"/>
        <v>0</v>
      </c>
      <c r="L13" s="3071">
        <f ca="1">INDIRECT("Notes!CheckB"&amp;$C13)</f>
        <v>0</v>
      </c>
      <c r="M13" s="3093">
        <f ca="1">IF(AND(LEN(K13)&gt;0,LEN(L13)&gt;0),ROUND(SUM(K13)-SUM(L13),2),"")</f>
        <v>0</v>
      </c>
      <c r="N13" s="3072" t="str">
        <f ca="1">IF(ISNA(M13),"N/A",IF(M13=0,"√","？"))</f>
        <v>√</v>
      </c>
      <c r="O13" s="3099"/>
      <c r="P13" s="3100"/>
      <c r="Q13" s="3100"/>
      <c r="R13" s="3100"/>
      <c r="S13" s="3101" t="s">
        <v>295</v>
      </c>
      <c r="T13" s="3101" t="s">
        <v>213</v>
      </c>
      <c r="U13" s="3102">
        <v>1101</v>
      </c>
      <c r="V13" s="3102" t="s">
        <v>295</v>
      </c>
      <c r="W13" s="3102" t="s">
        <v>6797</v>
      </c>
      <c r="X13" s="3102" t="s">
        <v>6798</v>
      </c>
      <c r="Y13" s="3103" t="s">
        <v>164</v>
      </c>
    </row>
    <row r="14" spans="1:25" ht="18">
      <c r="A14" s="1304"/>
      <c r="B14" s="643">
        <v>1115</v>
      </c>
      <c r="C14" s="643" t="s">
        <v>148</v>
      </c>
      <c r="D14" s="3087">
        <v>1</v>
      </c>
      <c r="E14" s="3088" t="str">
        <f t="shared" si="0"/>
        <v>衍生金融资产</v>
      </c>
      <c r="F14" s="3089" t="s">
        <v>6418</v>
      </c>
      <c r="G14" s="3090">
        <f t="shared" si="1"/>
        <v>0</v>
      </c>
      <c r="H14" s="3091">
        <f t="shared" ca="1" si="2"/>
        <v>0</v>
      </c>
      <c r="I14" s="3093">
        <f ca="1">IF(AND(LEN(G14)&gt;0,LEN(H14)&gt;0),ROUND(SUM(G14)-SUM(H14),2),"")</f>
        <v>0</v>
      </c>
      <c r="J14" s="3072" t="str">
        <f ca="1">IF(ISNA(I14),"N/A",IF(I14=0,"√","？"))</f>
        <v>√</v>
      </c>
      <c r="K14" s="3090">
        <f t="shared" si="3"/>
        <v>0</v>
      </c>
      <c r="L14" s="3071">
        <f ca="1">INDIRECT("Notes!CheckB"&amp;$C14)</f>
        <v>0</v>
      </c>
      <c r="M14" s="3093">
        <f ca="1">IF(AND(LEN(K14)&gt;0,LEN(L14)&gt;0),ROUND(SUM(K14)-SUM(L14),2),"")</f>
        <v>0</v>
      </c>
      <c r="N14" s="3072" t="str">
        <f ca="1">IF(ISNA(M14),"N/A",IF(M14=0,"√","？"))</f>
        <v>√</v>
      </c>
      <c r="O14" s="3099"/>
      <c r="P14" s="3100"/>
      <c r="Q14" s="3100"/>
      <c r="R14" s="3100"/>
      <c r="S14" s="3101" t="s">
        <v>295</v>
      </c>
      <c r="T14" s="3101" t="s">
        <v>213</v>
      </c>
      <c r="U14" s="3102">
        <v>1115</v>
      </c>
      <c r="V14" s="3102" t="s">
        <v>295</v>
      </c>
      <c r="W14" s="3102" t="s">
        <v>6797</v>
      </c>
      <c r="X14" s="3102" t="s">
        <v>6798</v>
      </c>
      <c r="Y14" s="3103" t="s">
        <v>164</v>
      </c>
    </row>
    <row r="15" spans="1:25" ht="18">
      <c r="A15" s="1304"/>
      <c r="B15" s="643">
        <v>1121</v>
      </c>
      <c r="C15" s="643" t="s">
        <v>159</v>
      </c>
      <c r="D15" s="3087">
        <v>1</v>
      </c>
      <c r="E15" s="3088" t="str">
        <f t="shared" si="0"/>
        <v>应收票据</v>
      </c>
      <c r="F15" s="3089" t="s">
        <v>160</v>
      </c>
      <c r="G15" s="3090">
        <f t="shared" si="1"/>
        <v>0</v>
      </c>
      <c r="H15" s="3091">
        <f t="shared" ca="1" si="2"/>
        <v>0</v>
      </c>
      <c r="I15" s="3093">
        <f ca="1">IF(AND(LEN(G15)&gt;0,LEN(H15)&gt;0),ROUND(SUM(G15)-SUM(H15),2),"")</f>
        <v>0</v>
      </c>
      <c r="J15" s="3072" t="str">
        <f ca="1">IF(ISNA(I15),"N/A",IF(I15=0,"√","？"))</f>
        <v>√</v>
      </c>
      <c r="K15" s="3090">
        <f t="shared" si="3"/>
        <v>0</v>
      </c>
      <c r="L15" s="3071">
        <f ca="1">INDIRECT("Notes!CheckB"&amp;$C15)</f>
        <v>0</v>
      </c>
      <c r="M15" s="3093">
        <f ca="1">IF(AND(LEN(K15)&gt;0,LEN(L15)&gt;0),ROUND(SUM(K15)-SUM(L15),2),"")</f>
        <v>0</v>
      </c>
      <c r="N15" s="3072" t="str">
        <f ca="1">IF(ISNA(M15),"N/A",IF(M15=0,"√","？"))</f>
        <v>√</v>
      </c>
      <c r="O15" s="3099"/>
      <c r="P15" s="3100"/>
      <c r="Q15" s="3100"/>
      <c r="R15" s="3100"/>
      <c r="S15" s="3101" t="s">
        <v>295</v>
      </c>
      <c r="T15" s="3101" t="s">
        <v>213</v>
      </c>
      <c r="U15" s="3102">
        <v>1121</v>
      </c>
      <c r="V15" s="3102" t="s">
        <v>295</v>
      </c>
      <c r="W15" s="3102" t="s">
        <v>145</v>
      </c>
      <c r="X15" s="3102" t="s">
        <v>6800</v>
      </c>
      <c r="Y15" s="3103" t="s">
        <v>119</v>
      </c>
    </row>
    <row r="16" spans="1:25" ht="18" hidden="1">
      <c r="A16" s="1304"/>
      <c r="B16" s="643">
        <v>1121</v>
      </c>
      <c r="C16" s="643" t="s">
        <v>170</v>
      </c>
      <c r="D16" s="3087">
        <v>2</v>
      </c>
      <c r="E16" s="3088" t="str">
        <f t="shared" si="0"/>
        <v>应收票据</v>
      </c>
      <c r="F16" s="3089" t="s">
        <v>171</v>
      </c>
      <c r="G16" s="3090">
        <f t="shared" si="1"/>
        <v>0</v>
      </c>
      <c r="H16" s="3091">
        <f t="shared" ca="1" si="2"/>
        <v>0</v>
      </c>
      <c r="I16" s="3093" t="s">
        <v>6803</v>
      </c>
      <c r="J16" s="3072"/>
      <c r="K16" s="3090">
        <f t="shared" si="3"/>
        <v>0</v>
      </c>
      <c r="L16" s="3071" t="s">
        <v>6799</v>
      </c>
      <c r="M16" s="3093" t="s">
        <v>6803</v>
      </c>
      <c r="N16" s="3072"/>
      <c r="O16" s="3099"/>
      <c r="P16" s="3100"/>
      <c r="Q16" s="3100"/>
      <c r="R16" s="3100"/>
      <c r="S16" s="3101" t="s">
        <v>295</v>
      </c>
      <c r="T16" s="3101" t="s">
        <v>213</v>
      </c>
      <c r="U16" s="3102">
        <v>1121</v>
      </c>
      <c r="V16" s="3102" t="s">
        <v>295</v>
      </c>
      <c r="W16" s="3102" t="s">
        <v>6797</v>
      </c>
      <c r="X16" s="3102" t="s">
        <v>6800</v>
      </c>
      <c r="Y16" s="3103" t="s">
        <v>164</v>
      </c>
    </row>
    <row r="17" spans="1:25" ht="24" hidden="1">
      <c r="A17" s="1304"/>
      <c r="B17" s="643">
        <v>1121</v>
      </c>
      <c r="C17" s="643" t="s">
        <v>178</v>
      </c>
      <c r="D17" s="3087">
        <v>2</v>
      </c>
      <c r="E17" s="3088" t="str">
        <f t="shared" si="0"/>
        <v>应收票据</v>
      </c>
      <c r="F17" s="3089" t="s">
        <v>179</v>
      </c>
      <c r="G17" s="3090">
        <f t="shared" si="1"/>
        <v>0</v>
      </c>
      <c r="H17" s="3091" t="s">
        <v>6799</v>
      </c>
      <c r="I17" s="3093" t="s">
        <v>6803</v>
      </c>
      <c r="J17" s="3072"/>
      <c r="K17" s="3090">
        <f t="shared" si="3"/>
        <v>0</v>
      </c>
      <c r="L17" s="3071" t="s">
        <v>6799</v>
      </c>
      <c r="M17" s="3093" t="s">
        <v>6803</v>
      </c>
      <c r="N17" s="3072"/>
      <c r="O17" s="3099"/>
      <c r="P17" s="3100"/>
      <c r="Q17" s="3100"/>
      <c r="R17" s="3100"/>
      <c r="S17" s="3101" t="s">
        <v>295</v>
      </c>
      <c r="T17" s="3101" t="s">
        <v>213</v>
      </c>
      <c r="U17" s="3102">
        <v>1121</v>
      </c>
      <c r="V17" s="3102" t="s">
        <v>295</v>
      </c>
      <c r="W17" s="3102" t="s">
        <v>6797</v>
      </c>
      <c r="X17" s="3102" t="s">
        <v>6800</v>
      </c>
      <c r="Y17" s="3103" t="s">
        <v>164</v>
      </c>
    </row>
    <row r="18" spans="1:25" ht="36" hidden="1">
      <c r="A18" s="1304"/>
      <c r="B18" s="643">
        <v>1121</v>
      </c>
      <c r="C18" s="643" t="s">
        <v>189</v>
      </c>
      <c r="D18" s="3087">
        <v>2</v>
      </c>
      <c r="E18" s="3088" t="str">
        <f t="shared" si="0"/>
        <v>应收票据</v>
      </c>
      <c r="F18" s="3089" t="s">
        <v>190</v>
      </c>
      <c r="G18" s="3090">
        <f t="shared" si="1"/>
        <v>0</v>
      </c>
      <c r="H18" s="3091">
        <f t="shared" ref="H18:H33" ca="1" si="4">INDIRECT("Notes!CheckA"&amp;$C18)</f>
        <v>0</v>
      </c>
      <c r="I18" s="3093" t="s">
        <v>6803</v>
      </c>
      <c r="J18" s="3072"/>
      <c r="K18" s="3090">
        <f t="shared" si="3"/>
        <v>0</v>
      </c>
      <c r="L18" s="3071" t="s">
        <v>6799</v>
      </c>
      <c r="M18" s="3093" t="s">
        <v>6803</v>
      </c>
      <c r="N18" s="3072"/>
      <c r="O18" s="3099"/>
      <c r="P18" s="3100"/>
      <c r="Q18" s="3100"/>
      <c r="R18" s="3100"/>
      <c r="S18" s="3101" t="s">
        <v>295</v>
      </c>
      <c r="T18" s="3101" t="s">
        <v>213</v>
      </c>
      <c r="U18" s="3102">
        <v>1121</v>
      </c>
      <c r="V18" s="3102" t="s">
        <v>295</v>
      </c>
      <c r="W18" s="3102" t="s">
        <v>6797</v>
      </c>
      <c r="X18" s="3102" t="s">
        <v>6800</v>
      </c>
      <c r="Y18" s="3103" t="s">
        <v>164</v>
      </c>
    </row>
    <row r="19" spans="1:25" ht="24" hidden="1">
      <c r="A19" s="1304"/>
      <c r="B19" s="643">
        <v>1121</v>
      </c>
      <c r="C19" s="643" t="s">
        <v>199</v>
      </c>
      <c r="D19" s="3087">
        <v>2</v>
      </c>
      <c r="E19" s="3088" t="str">
        <f t="shared" si="0"/>
        <v>应收票据</v>
      </c>
      <c r="F19" s="3089" t="s">
        <v>200</v>
      </c>
      <c r="G19" s="3090">
        <f t="shared" si="1"/>
        <v>0</v>
      </c>
      <c r="H19" s="3091">
        <f t="shared" ca="1" si="4"/>
        <v>0</v>
      </c>
      <c r="I19" s="3093" t="s">
        <v>6803</v>
      </c>
      <c r="J19" s="3072"/>
      <c r="K19" s="3090">
        <f t="shared" si="3"/>
        <v>0</v>
      </c>
      <c r="L19" s="3071" t="s">
        <v>6799</v>
      </c>
      <c r="M19" s="3093" t="s">
        <v>6803</v>
      </c>
      <c r="N19" s="3072"/>
      <c r="O19" s="3099"/>
      <c r="P19" s="3100"/>
      <c r="Q19" s="3100"/>
      <c r="R19" s="3100"/>
      <c r="S19" s="3101" t="s">
        <v>295</v>
      </c>
      <c r="T19" s="3101" t="s">
        <v>213</v>
      </c>
      <c r="U19" s="3102"/>
      <c r="V19" s="3102" t="s">
        <v>295</v>
      </c>
      <c r="W19" s="3102" t="s">
        <v>145</v>
      </c>
      <c r="X19" s="3102" t="s">
        <v>6800</v>
      </c>
      <c r="Y19" s="3103" t="s">
        <v>119</v>
      </c>
    </row>
    <row r="20" spans="1:25" ht="24" hidden="1">
      <c r="A20" s="1304"/>
      <c r="B20" s="643">
        <v>1121</v>
      </c>
      <c r="C20" s="643" t="s">
        <v>209</v>
      </c>
      <c r="D20" s="3087">
        <v>2</v>
      </c>
      <c r="E20" s="3088" t="str">
        <f t="shared" si="0"/>
        <v>应收票据</v>
      </c>
      <c r="F20" s="3089" t="s">
        <v>210</v>
      </c>
      <c r="G20" s="3090">
        <f t="shared" si="1"/>
        <v>0</v>
      </c>
      <c r="H20" s="3091">
        <f t="shared" ca="1" si="4"/>
        <v>0</v>
      </c>
      <c r="I20" s="3093" t="s">
        <v>6803</v>
      </c>
      <c r="J20" s="3072"/>
      <c r="K20" s="3090">
        <f t="shared" si="3"/>
        <v>0</v>
      </c>
      <c r="L20" s="3071" t="s">
        <v>6799</v>
      </c>
      <c r="M20" s="3093" t="s">
        <v>6803</v>
      </c>
      <c r="N20" s="3072"/>
      <c r="O20" s="3099"/>
      <c r="P20" s="3100"/>
      <c r="Q20" s="3100"/>
      <c r="R20" s="3100"/>
      <c r="S20" s="3101" t="s">
        <v>295</v>
      </c>
      <c r="T20" s="3101" t="s">
        <v>213</v>
      </c>
      <c r="U20" s="3102"/>
      <c r="V20" s="3102" t="s">
        <v>295</v>
      </c>
      <c r="W20" s="3102" t="s">
        <v>145</v>
      </c>
      <c r="X20" s="3102" t="s">
        <v>6800</v>
      </c>
      <c r="Y20" s="3103" t="s">
        <v>119</v>
      </c>
    </row>
    <row r="21" spans="1:25" ht="24" hidden="1">
      <c r="A21" s="1304"/>
      <c r="B21" s="643">
        <v>1121</v>
      </c>
      <c r="C21" s="643" t="s">
        <v>219</v>
      </c>
      <c r="D21" s="3087">
        <v>2</v>
      </c>
      <c r="E21" s="3088" t="str">
        <f t="shared" si="0"/>
        <v>应收票据</v>
      </c>
      <c r="F21" s="3089" t="s">
        <v>220</v>
      </c>
      <c r="G21" s="3090">
        <f t="shared" si="1"/>
        <v>0</v>
      </c>
      <c r="H21" s="3091">
        <f t="shared" ca="1" si="4"/>
        <v>0</v>
      </c>
      <c r="I21" s="3093" t="s">
        <v>6803</v>
      </c>
      <c r="J21" s="3072"/>
      <c r="K21" s="3090">
        <f t="shared" si="3"/>
        <v>0</v>
      </c>
      <c r="L21" s="3071" t="s">
        <v>6799</v>
      </c>
      <c r="M21" s="3093" t="s">
        <v>6803</v>
      </c>
      <c r="N21" s="3072"/>
      <c r="O21" s="3099"/>
      <c r="P21" s="3100"/>
      <c r="Q21" s="3100"/>
      <c r="R21" s="3100"/>
      <c r="S21" s="3101" t="s">
        <v>295</v>
      </c>
      <c r="T21" s="3101" t="s">
        <v>213</v>
      </c>
      <c r="U21" s="3102"/>
      <c r="V21" s="3102" t="s">
        <v>295</v>
      </c>
      <c r="W21" s="3102" t="s">
        <v>145</v>
      </c>
      <c r="X21" s="3102" t="s">
        <v>6800</v>
      </c>
      <c r="Y21" s="3103" t="s">
        <v>119</v>
      </c>
    </row>
    <row r="22" spans="1:25" ht="24" hidden="1">
      <c r="A22" s="1304"/>
      <c r="B22" s="643">
        <v>1121</v>
      </c>
      <c r="C22" s="643" t="s">
        <v>6117</v>
      </c>
      <c r="D22" s="3087">
        <v>2</v>
      </c>
      <c r="E22" s="3088" t="str">
        <f t="shared" si="0"/>
        <v>应收票据</v>
      </c>
      <c r="F22" s="3089" t="s">
        <v>6118</v>
      </c>
      <c r="G22" s="3090">
        <f t="shared" si="1"/>
        <v>0</v>
      </c>
      <c r="H22" s="3091">
        <f t="shared" ca="1" si="4"/>
        <v>0</v>
      </c>
      <c r="I22" s="3093" t="s">
        <v>6803</v>
      </c>
      <c r="J22" s="3072"/>
      <c r="K22" s="3090">
        <f t="shared" si="3"/>
        <v>0</v>
      </c>
      <c r="L22" s="3071">
        <f ca="1">INDIRECT("Notes!CheckB"&amp;$C22)</f>
        <v>0</v>
      </c>
      <c r="M22" s="3093" t="s">
        <v>6803</v>
      </c>
      <c r="N22" s="3072"/>
      <c r="O22" s="3099"/>
      <c r="P22" s="3100"/>
      <c r="Q22" s="3100"/>
      <c r="R22" s="3100"/>
      <c r="S22" s="3101" t="s">
        <v>295</v>
      </c>
      <c r="T22" s="3101" t="s">
        <v>213</v>
      </c>
      <c r="U22" s="3102"/>
      <c r="V22" s="3102" t="s">
        <v>295</v>
      </c>
      <c r="W22" s="3102" t="s">
        <v>145</v>
      </c>
      <c r="X22" s="3102" t="s">
        <v>213</v>
      </c>
      <c r="Y22" s="3103" t="s">
        <v>119</v>
      </c>
    </row>
    <row r="23" spans="1:25" ht="24" hidden="1">
      <c r="A23" s="1304"/>
      <c r="B23" s="643">
        <v>1121</v>
      </c>
      <c r="C23" s="643" t="s">
        <v>227</v>
      </c>
      <c r="D23" s="3087">
        <v>2</v>
      </c>
      <c r="E23" s="3088" t="str">
        <f t="shared" si="0"/>
        <v>应收票据</v>
      </c>
      <c r="F23" s="3089" t="s">
        <v>228</v>
      </c>
      <c r="G23" s="3090">
        <f t="shared" si="1"/>
        <v>0</v>
      </c>
      <c r="H23" s="3091">
        <f t="shared" ca="1" si="4"/>
        <v>0</v>
      </c>
      <c r="I23" s="3093" t="s">
        <v>6803</v>
      </c>
      <c r="J23" s="3072"/>
      <c r="K23" s="3090">
        <f t="shared" si="3"/>
        <v>0</v>
      </c>
      <c r="L23" s="3071">
        <f ca="1">INDIRECT("Notes!CheckB"&amp;$C23)</f>
        <v>0</v>
      </c>
      <c r="M23" s="3093" t="s">
        <v>6803</v>
      </c>
      <c r="N23" s="3072"/>
      <c r="O23" s="3099"/>
      <c r="P23" s="3100"/>
      <c r="Q23" s="3100"/>
      <c r="R23" s="3100"/>
      <c r="S23" s="3101" t="s">
        <v>295</v>
      </c>
      <c r="T23" s="3101" t="s">
        <v>213</v>
      </c>
      <c r="U23" s="3102"/>
      <c r="V23" s="3102" t="s">
        <v>295</v>
      </c>
      <c r="W23" s="3102" t="s">
        <v>145</v>
      </c>
      <c r="X23" s="3102" t="s">
        <v>6800</v>
      </c>
      <c r="Y23" s="3103" t="s">
        <v>119</v>
      </c>
    </row>
    <row r="24" spans="1:25" ht="24" hidden="1">
      <c r="A24" s="1304"/>
      <c r="B24" s="643">
        <v>1121</v>
      </c>
      <c r="C24" s="643" t="s">
        <v>235</v>
      </c>
      <c r="D24" s="3087">
        <v>2</v>
      </c>
      <c r="E24" s="3088" t="str">
        <f t="shared" si="0"/>
        <v>应收票据</v>
      </c>
      <c r="F24" s="3089" t="s">
        <v>236</v>
      </c>
      <c r="G24" s="3090">
        <f t="shared" si="1"/>
        <v>0</v>
      </c>
      <c r="H24" s="3091">
        <f t="shared" ca="1" si="4"/>
        <v>0</v>
      </c>
      <c r="I24" s="3093" t="s">
        <v>6803</v>
      </c>
      <c r="J24" s="3072"/>
      <c r="K24" s="3090">
        <f t="shared" si="3"/>
        <v>0</v>
      </c>
      <c r="L24" s="3071" t="s">
        <v>6799</v>
      </c>
      <c r="M24" s="3093" t="s">
        <v>6803</v>
      </c>
      <c r="N24" s="3072"/>
      <c r="O24" s="3099"/>
      <c r="P24" s="3100"/>
      <c r="Q24" s="3100"/>
      <c r="R24" s="3100"/>
      <c r="S24" s="3101" t="s">
        <v>295</v>
      </c>
      <c r="T24" s="3101" t="s">
        <v>213</v>
      </c>
      <c r="U24" s="3102">
        <v>1121</v>
      </c>
      <c r="V24" s="3102" t="s">
        <v>295</v>
      </c>
      <c r="W24" s="3102" t="s">
        <v>6797</v>
      </c>
      <c r="X24" s="3102" t="s">
        <v>6800</v>
      </c>
      <c r="Y24" s="3103" t="s">
        <v>164</v>
      </c>
    </row>
    <row r="25" spans="1:25" ht="24" hidden="1">
      <c r="A25" s="1304"/>
      <c r="B25" s="643">
        <v>1121</v>
      </c>
      <c r="C25" s="643" t="s">
        <v>245</v>
      </c>
      <c r="D25" s="3087">
        <v>2</v>
      </c>
      <c r="E25" s="3088" t="str">
        <f t="shared" si="0"/>
        <v>应收票据</v>
      </c>
      <c r="F25" s="3089" t="s">
        <v>246</v>
      </c>
      <c r="G25" s="3090">
        <f t="shared" si="1"/>
        <v>0</v>
      </c>
      <c r="H25" s="3091">
        <f t="shared" ca="1" si="4"/>
        <v>0</v>
      </c>
      <c r="I25" s="3093" t="s">
        <v>6803</v>
      </c>
      <c r="J25" s="3072"/>
      <c r="K25" s="3090">
        <f t="shared" si="3"/>
        <v>0</v>
      </c>
      <c r="L25" s="3071" t="s">
        <v>6799</v>
      </c>
      <c r="M25" s="3093" t="s">
        <v>6803</v>
      </c>
      <c r="N25" s="3072"/>
      <c r="O25" s="3099"/>
      <c r="P25" s="3100"/>
      <c r="Q25" s="3100"/>
      <c r="R25" s="3100"/>
      <c r="S25" s="3101" t="s">
        <v>295</v>
      </c>
      <c r="T25" s="3101" t="s">
        <v>213</v>
      </c>
      <c r="U25" s="3102">
        <v>1121</v>
      </c>
      <c r="V25" s="3102" t="s">
        <v>295</v>
      </c>
      <c r="W25" s="3102" t="s">
        <v>6797</v>
      </c>
      <c r="X25" s="3102" t="s">
        <v>6800</v>
      </c>
      <c r="Y25" s="3103" t="s">
        <v>164</v>
      </c>
    </row>
    <row r="26" spans="1:25" ht="24" hidden="1">
      <c r="A26" s="1304"/>
      <c r="B26" s="643">
        <v>1121</v>
      </c>
      <c r="C26" s="643" t="s">
        <v>255</v>
      </c>
      <c r="D26" s="3087">
        <v>2</v>
      </c>
      <c r="E26" s="3088" t="str">
        <f t="shared" si="0"/>
        <v>应收票据</v>
      </c>
      <c r="F26" s="3089" t="s">
        <v>256</v>
      </c>
      <c r="G26" s="3090">
        <f t="shared" si="1"/>
        <v>0</v>
      </c>
      <c r="H26" s="3091">
        <f t="shared" ca="1" si="4"/>
        <v>0</v>
      </c>
      <c r="I26" s="3093" t="s">
        <v>6803</v>
      </c>
      <c r="J26" s="3072"/>
      <c r="K26" s="3090">
        <f t="shared" si="3"/>
        <v>0</v>
      </c>
      <c r="L26" s="3071" t="s">
        <v>6799</v>
      </c>
      <c r="M26" s="3093" t="s">
        <v>6803</v>
      </c>
      <c r="N26" s="3072"/>
      <c r="O26" s="3099"/>
      <c r="P26" s="3100"/>
      <c r="Q26" s="3100"/>
      <c r="R26" s="3100"/>
      <c r="S26" s="3101" t="s">
        <v>295</v>
      </c>
      <c r="T26" s="3101" t="s">
        <v>213</v>
      </c>
      <c r="U26" s="3102"/>
      <c r="V26" s="3102" t="s">
        <v>295</v>
      </c>
      <c r="W26" s="3102" t="s">
        <v>6797</v>
      </c>
      <c r="X26" s="3102" t="s">
        <v>6800</v>
      </c>
      <c r="Y26" s="3103" t="s">
        <v>164</v>
      </c>
    </row>
    <row r="27" spans="1:25" ht="18" hidden="1">
      <c r="A27" s="1304"/>
      <c r="B27" s="643">
        <v>1121</v>
      </c>
      <c r="C27" s="643" t="s">
        <v>5585</v>
      </c>
      <c r="D27" s="3087">
        <v>2</v>
      </c>
      <c r="E27" s="3088" t="str">
        <f t="shared" si="0"/>
        <v>应收票据</v>
      </c>
      <c r="F27" s="3089" t="s">
        <v>5586</v>
      </c>
      <c r="G27" s="3090">
        <f t="shared" si="1"/>
        <v>0</v>
      </c>
      <c r="H27" s="3091">
        <f t="shared" ca="1" si="4"/>
        <v>0</v>
      </c>
      <c r="I27" s="3093" t="s">
        <v>6803</v>
      </c>
      <c r="J27" s="3072"/>
      <c r="K27" s="3090">
        <f t="shared" si="3"/>
        <v>0</v>
      </c>
      <c r="L27" s="3071">
        <f ca="1">INDIRECT("Notes!CheckB"&amp;$C27)</f>
        <v>0</v>
      </c>
      <c r="M27" s="3093" t="s">
        <v>6803</v>
      </c>
      <c r="N27" s="3072"/>
      <c r="O27" s="3099"/>
      <c r="P27" s="3100"/>
      <c r="Q27" s="3100"/>
      <c r="R27" s="3100"/>
      <c r="S27" s="3101" t="s">
        <v>295</v>
      </c>
      <c r="T27" s="3101" t="s">
        <v>213</v>
      </c>
      <c r="U27" s="3102"/>
      <c r="V27" s="3102" t="s">
        <v>295</v>
      </c>
      <c r="W27" s="3102" t="s">
        <v>6797</v>
      </c>
      <c r="X27" s="3102" t="s">
        <v>213</v>
      </c>
      <c r="Y27" s="3103" t="s">
        <v>164</v>
      </c>
    </row>
    <row r="28" spans="1:25" ht="18">
      <c r="A28" s="1304"/>
      <c r="B28" s="643">
        <v>1122</v>
      </c>
      <c r="C28" s="643" t="s">
        <v>271</v>
      </c>
      <c r="D28" s="3087">
        <v>1</v>
      </c>
      <c r="E28" s="3088" t="str">
        <f t="shared" si="0"/>
        <v>应收账款</v>
      </c>
      <c r="F28" s="3089" t="s">
        <v>272</v>
      </c>
      <c r="G28" s="3090">
        <f t="shared" si="1"/>
        <v>15482120.279999999</v>
      </c>
      <c r="H28" s="3091">
        <f t="shared" ca="1" si="4"/>
        <v>15482120.279999999</v>
      </c>
      <c r="I28" s="3093">
        <f ca="1">IF(AND(LEN(G28)&gt;0,LEN(H28)&gt;0),ROUND(SUM(G28)-SUM(H28),2),"")</f>
        <v>0</v>
      </c>
      <c r="J28" s="3072" t="str">
        <f ca="1">IF(ISNA(I28),"N/A",IF(I28=0,"√","？"))</f>
        <v>√</v>
      </c>
      <c r="K28" s="3090">
        <f t="shared" si="3"/>
        <v>15914214.57</v>
      </c>
      <c r="L28" s="3071">
        <f ca="1">INDIRECT("Notes!CheckB"&amp;$C28)</f>
        <v>15914214.57</v>
      </c>
      <c r="M28" s="3093">
        <f ca="1">IF(AND(LEN(K28)&gt;0,LEN(L28)&gt;0),ROUND(SUM(K28)-SUM(L28),2),"")</f>
        <v>0</v>
      </c>
      <c r="N28" s="3072" t="str">
        <f ca="1">IF(ISNA(M28),"N/A",IF(M28=0,"√","？"))</f>
        <v>√</v>
      </c>
      <c r="O28" s="3099"/>
      <c r="P28" s="3100"/>
      <c r="Q28" s="3100"/>
      <c r="R28" s="3100"/>
      <c r="S28" s="3101" t="s">
        <v>295</v>
      </c>
      <c r="T28" s="3101" t="s">
        <v>213</v>
      </c>
      <c r="U28" s="3102">
        <v>1122</v>
      </c>
      <c r="V28" s="3102" t="s">
        <v>295</v>
      </c>
      <c r="W28" s="3102" t="s">
        <v>145</v>
      </c>
      <c r="X28" s="3102" t="s">
        <v>6800</v>
      </c>
      <c r="Y28" s="3103" t="s">
        <v>119</v>
      </c>
    </row>
    <row r="29" spans="1:25" ht="36" hidden="1">
      <c r="A29" s="1304"/>
      <c r="B29" s="643">
        <v>1122</v>
      </c>
      <c r="C29" s="643" t="s">
        <v>281</v>
      </c>
      <c r="D29" s="3087">
        <v>2</v>
      </c>
      <c r="E29" s="3088" t="str">
        <f t="shared" si="0"/>
        <v>应收账款</v>
      </c>
      <c r="F29" s="3089" t="s">
        <v>6421</v>
      </c>
      <c r="G29" s="3090">
        <f t="shared" si="1"/>
        <v>15482120.279999999</v>
      </c>
      <c r="H29" s="3091">
        <f t="shared" ca="1" si="4"/>
        <v>15482120.279999999</v>
      </c>
      <c r="I29" s="3093" t="s">
        <v>6803</v>
      </c>
      <c r="J29" s="3072"/>
      <c r="K29" s="3090">
        <f t="shared" si="3"/>
        <v>15914214.57</v>
      </c>
      <c r="L29" s="3071" t="s">
        <v>6799</v>
      </c>
      <c r="M29" s="3093" t="s">
        <v>6803</v>
      </c>
      <c r="N29" s="3072"/>
      <c r="O29" s="3099"/>
      <c r="P29" s="3100"/>
      <c r="Q29" s="3100"/>
      <c r="R29" s="3100"/>
      <c r="S29" s="3101" t="s">
        <v>295</v>
      </c>
      <c r="T29" s="3101" t="s">
        <v>213</v>
      </c>
      <c r="U29" s="3102"/>
      <c r="V29" s="3102" t="s">
        <v>295</v>
      </c>
      <c r="W29" s="3102" t="s">
        <v>145</v>
      </c>
      <c r="X29" s="3102" t="s">
        <v>6800</v>
      </c>
      <c r="Y29" s="3103" t="s">
        <v>119</v>
      </c>
    </row>
    <row r="30" spans="1:25" ht="36" hidden="1">
      <c r="A30" s="1304"/>
      <c r="B30" s="643">
        <v>1122</v>
      </c>
      <c r="C30" s="643" t="s">
        <v>302</v>
      </c>
      <c r="D30" s="3087">
        <v>2</v>
      </c>
      <c r="E30" s="3088" t="str">
        <f t="shared" si="0"/>
        <v>应收账款</v>
      </c>
      <c r="F30" s="3089" t="s">
        <v>6422</v>
      </c>
      <c r="G30" s="3090">
        <f t="shared" si="1"/>
        <v>15482120.279999999</v>
      </c>
      <c r="H30" s="3091">
        <f t="shared" ca="1" si="4"/>
        <v>0</v>
      </c>
      <c r="I30" s="3093" t="s">
        <v>6803</v>
      </c>
      <c r="J30" s="3072"/>
      <c r="K30" s="3090">
        <f t="shared" si="3"/>
        <v>15914214.57</v>
      </c>
      <c r="L30" s="3071" t="s">
        <v>6799</v>
      </c>
      <c r="M30" s="3093" t="s">
        <v>6803</v>
      </c>
      <c r="N30" s="3072"/>
      <c r="O30" s="3099"/>
      <c r="P30" s="3100"/>
      <c r="Q30" s="3100"/>
      <c r="R30" s="3100"/>
      <c r="S30" s="3101" t="s">
        <v>295</v>
      </c>
      <c r="T30" s="3101" t="s">
        <v>213</v>
      </c>
      <c r="U30" s="3102"/>
      <c r="V30" s="3102" t="s">
        <v>295</v>
      </c>
      <c r="W30" s="3102" t="s">
        <v>145</v>
      </c>
      <c r="X30" s="3102" t="s">
        <v>6800</v>
      </c>
      <c r="Y30" s="3103" t="s">
        <v>119</v>
      </c>
    </row>
    <row r="31" spans="1:25" ht="36" hidden="1">
      <c r="A31" s="1304"/>
      <c r="B31" s="643">
        <v>1122</v>
      </c>
      <c r="C31" s="643" t="s">
        <v>310</v>
      </c>
      <c r="D31" s="3087">
        <v>2</v>
      </c>
      <c r="E31" s="3088" t="str">
        <f t="shared" si="0"/>
        <v>应收账款</v>
      </c>
      <c r="F31" s="3089" t="s">
        <v>6423</v>
      </c>
      <c r="G31" s="3090">
        <f t="shared" si="1"/>
        <v>15482120.279999999</v>
      </c>
      <c r="H31" s="3091">
        <f t="shared" ca="1" si="4"/>
        <v>20279942.379999999</v>
      </c>
      <c r="I31" s="3093" t="s">
        <v>6803</v>
      </c>
      <c r="J31" s="3072"/>
      <c r="K31" s="3090">
        <f t="shared" si="3"/>
        <v>15914214.57</v>
      </c>
      <c r="L31" s="3071" t="s">
        <v>6799</v>
      </c>
      <c r="M31" s="3093" t="s">
        <v>6803</v>
      </c>
      <c r="N31" s="3072"/>
      <c r="O31" s="3099"/>
      <c r="P31" s="3100"/>
      <c r="Q31" s="3100"/>
      <c r="R31" s="3100"/>
      <c r="S31" s="3101" t="s">
        <v>295</v>
      </c>
      <c r="T31" s="3101" t="s">
        <v>213</v>
      </c>
      <c r="U31" s="3102"/>
      <c r="V31" s="3102" t="s">
        <v>295</v>
      </c>
      <c r="W31" s="3102" t="s">
        <v>145</v>
      </c>
      <c r="X31" s="3102" t="s">
        <v>6800</v>
      </c>
      <c r="Y31" s="3103" t="s">
        <v>119</v>
      </c>
    </row>
    <row r="32" spans="1:25" ht="36" hidden="1">
      <c r="A32" s="1304"/>
      <c r="B32" s="643">
        <v>1122</v>
      </c>
      <c r="C32" s="643" t="s">
        <v>316</v>
      </c>
      <c r="D32" s="3087">
        <v>2</v>
      </c>
      <c r="E32" s="3088" t="str">
        <f t="shared" si="0"/>
        <v>应收账款</v>
      </c>
      <c r="F32" s="3089" t="s">
        <v>6424</v>
      </c>
      <c r="G32" s="3090">
        <f t="shared" si="1"/>
        <v>15482120.279999999</v>
      </c>
      <c r="H32" s="3091">
        <f t="shared" ca="1" si="4"/>
        <v>0</v>
      </c>
      <c r="I32" s="3093" t="s">
        <v>6803</v>
      </c>
      <c r="J32" s="3072"/>
      <c r="K32" s="3090">
        <f t="shared" si="3"/>
        <v>15914214.57</v>
      </c>
      <c r="L32" s="3071" t="s">
        <v>6799</v>
      </c>
      <c r="M32" s="3093" t="s">
        <v>6803</v>
      </c>
      <c r="N32" s="3072"/>
      <c r="O32" s="3099"/>
      <c r="P32" s="3100"/>
      <c r="Q32" s="3100"/>
      <c r="R32" s="3100"/>
      <c r="S32" s="3101" t="s">
        <v>295</v>
      </c>
      <c r="T32" s="3101" t="s">
        <v>213</v>
      </c>
      <c r="U32" s="3102"/>
      <c r="V32" s="3102" t="s">
        <v>295</v>
      </c>
      <c r="W32" s="3102" t="s">
        <v>145</v>
      </c>
      <c r="X32" s="3102" t="s">
        <v>213</v>
      </c>
      <c r="Y32" s="3103" t="s">
        <v>119</v>
      </c>
    </row>
    <row r="33" spans="1:25" ht="36" hidden="1">
      <c r="A33" s="1304"/>
      <c r="B33" s="643">
        <v>1122</v>
      </c>
      <c r="C33" s="643">
        <v>112202</v>
      </c>
      <c r="D33" s="3087">
        <v>2</v>
      </c>
      <c r="E33" s="3088" t="str">
        <f t="shared" si="0"/>
        <v>应收账款</v>
      </c>
      <c r="F33" s="3089" t="s">
        <v>6425</v>
      </c>
      <c r="G33" s="3090">
        <f t="shared" si="1"/>
        <v>15482120.279999999</v>
      </c>
      <c r="H33" s="3091">
        <f t="shared" ca="1" si="4"/>
        <v>0</v>
      </c>
      <c r="I33" s="3093" t="s">
        <v>6803</v>
      </c>
      <c r="J33" s="3072"/>
      <c r="K33" s="3090">
        <f t="shared" si="3"/>
        <v>15914214.57</v>
      </c>
      <c r="L33" s="3071" t="s">
        <v>6799</v>
      </c>
      <c r="M33" s="3093" t="s">
        <v>6803</v>
      </c>
      <c r="N33" s="3072"/>
      <c r="O33" s="3099"/>
      <c r="P33" s="3100"/>
      <c r="Q33" s="3100"/>
      <c r="R33" s="3100"/>
      <c r="S33" s="3101" t="s">
        <v>295</v>
      </c>
      <c r="T33" s="3101" t="s">
        <v>213</v>
      </c>
      <c r="U33" s="3102"/>
      <c r="V33" s="3102" t="s">
        <v>295</v>
      </c>
      <c r="W33" s="3102" t="s">
        <v>145</v>
      </c>
      <c r="X33" s="3102" t="s">
        <v>213</v>
      </c>
      <c r="Y33" s="3103" t="s">
        <v>119</v>
      </c>
    </row>
    <row r="34" spans="1:25" ht="36" hidden="1">
      <c r="A34" s="1304"/>
      <c r="B34" s="643">
        <v>1122</v>
      </c>
      <c r="C34" s="643" t="s">
        <v>292</v>
      </c>
      <c r="D34" s="3087">
        <v>2</v>
      </c>
      <c r="E34" s="3088" t="str">
        <f t="shared" si="0"/>
        <v>应收账款</v>
      </c>
      <c r="F34" s="3089" t="s">
        <v>6426</v>
      </c>
      <c r="G34" s="3090">
        <f t="shared" si="1"/>
        <v>15482120.279999999</v>
      </c>
      <c r="H34" s="3091" t="s">
        <v>6799</v>
      </c>
      <c r="I34" s="3093" t="s">
        <v>6803</v>
      </c>
      <c r="J34" s="3072"/>
      <c r="K34" s="3090">
        <f t="shared" si="3"/>
        <v>15914214.57</v>
      </c>
      <c r="L34" s="3071">
        <f ca="1">INDIRECT("Notes!CheckB"&amp;$C34)</f>
        <v>15914214.57</v>
      </c>
      <c r="M34" s="3093" t="s">
        <v>6803</v>
      </c>
      <c r="N34" s="3072"/>
      <c r="O34" s="3099"/>
      <c r="P34" s="3100"/>
      <c r="Q34" s="3100"/>
      <c r="R34" s="3100"/>
      <c r="S34" s="3101" t="s">
        <v>295</v>
      </c>
      <c r="T34" s="3101" t="s">
        <v>213</v>
      </c>
      <c r="U34" s="3102"/>
      <c r="V34" s="3102" t="s">
        <v>295</v>
      </c>
      <c r="W34" s="3102" t="s">
        <v>145</v>
      </c>
      <c r="X34" s="3102" t="s">
        <v>6800</v>
      </c>
      <c r="Y34" s="3103" t="s">
        <v>119</v>
      </c>
    </row>
    <row r="35" spans="1:25" ht="48" hidden="1">
      <c r="A35" s="1304"/>
      <c r="B35" s="643">
        <v>1122</v>
      </c>
      <c r="C35" s="643" t="s">
        <v>5109</v>
      </c>
      <c r="D35" s="3087">
        <v>2</v>
      </c>
      <c r="E35" s="3088" t="str">
        <f t="shared" si="0"/>
        <v>应收账款</v>
      </c>
      <c r="F35" s="3089" t="s">
        <v>6427</v>
      </c>
      <c r="G35" s="3090">
        <f t="shared" si="1"/>
        <v>15482120.279999999</v>
      </c>
      <c r="H35" s="3091" t="s">
        <v>6799</v>
      </c>
      <c r="I35" s="3093" t="s">
        <v>6803</v>
      </c>
      <c r="J35" s="3072"/>
      <c r="K35" s="3090">
        <f t="shared" si="3"/>
        <v>15914214.57</v>
      </c>
      <c r="L35" s="3071">
        <f ca="1">INDIRECT("Notes!CheckB"&amp;$C35)</f>
        <v>0</v>
      </c>
      <c r="M35" s="3093" t="s">
        <v>6803</v>
      </c>
      <c r="N35" s="3072"/>
      <c r="O35" s="3099"/>
      <c r="P35" s="3100"/>
      <c r="Q35" s="3100"/>
      <c r="R35" s="3100"/>
      <c r="S35" s="3101" t="s">
        <v>295</v>
      </c>
      <c r="T35" s="3101" t="s">
        <v>213</v>
      </c>
      <c r="U35" s="3102"/>
      <c r="V35" s="3102" t="s">
        <v>295</v>
      </c>
      <c r="W35" s="3102" t="s">
        <v>145</v>
      </c>
      <c r="X35" s="3102" t="s">
        <v>6800</v>
      </c>
      <c r="Y35" s="3103" t="s">
        <v>119</v>
      </c>
    </row>
    <row r="36" spans="1:25" ht="48" hidden="1">
      <c r="A36" s="1304"/>
      <c r="B36" s="643">
        <v>1122</v>
      </c>
      <c r="C36" s="643" t="s">
        <v>5110</v>
      </c>
      <c r="D36" s="3087">
        <v>2</v>
      </c>
      <c r="E36" s="3088" t="str">
        <f t="shared" si="0"/>
        <v>应收账款</v>
      </c>
      <c r="F36" s="3089" t="s">
        <v>6428</v>
      </c>
      <c r="G36" s="3090">
        <f t="shared" si="1"/>
        <v>15482120.279999999</v>
      </c>
      <c r="H36" s="3091" t="s">
        <v>6799</v>
      </c>
      <c r="I36" s="3093" t="s">
        <v>6803</v>
      </c>
      <c r="J36" s="3072"/>
      <c r="K36" s="3090">
        <f t="shared" si="3"/>
        <v>15914214.57</v>
      </c>
      <c r="L36" s="3071">
        <f ca="1">INDIRECT("Notes!CheckB"&amp;$C36)</f>
        <v>18436472.039999999</v>
      </c>
      <c r="M36" s="3093" t="s">
        <v>6803</v>
      </c>
      <c r="N36" s="3072"/>
      <c r="O36" s="3099"/>
      <c r="P36" s="3100"/>
      <c r="Q36" s="3100"/>
      <c r="R36" s="3100"/>
      <c r="S36" s="3101" t="s">
        <v>295</v>
      </c>
      <c r="T36" s="3101" t="s">
        <v>213</v>
      </c>
      <c r="U36" s="3102"/>
      <c r="V36" s="3102" t="s">
        <v>295</v>
      </c>
      <c r="W36" s="3102" t="s">
        <v>145</v>
      </c>
      <c r="X36" s="3102" t="s">
        <v>6800</v>
      </c>
      <c r="Y36" s="3103" t="s">
        <v>119</v>
      </c>
    </row>
    <row r="37" spans="1:25" ht="24" hidden="1">
      <c r="A37" s="1304"/>
      <c r="B37" s="643">
        <v>1122</v>
      </c>
      <c r="C37" s="643" t="s">
        <v>335</v>
      </c>
      <c r="D37" s="3087">
        <v>2</v>
      </c>
      <c r="E37" s="3088" t="str">
        <f t="shared" si="0"/>
        <v>应收账款</v>
      </c>
      <c r="F37" s="3089" t="s">
        <v>336</v>
      </c>
      <c r="G37" s="3090">
        <f t="shared" si="1"/>
        <v>15482120.279999999</v>
      </c>
      <c r="H37" s="3091">
        <f t="shared" ref="H37:H68" ca="1" si="5">INDIRECT("Notes!CheckA"&amp;$C37)</f>
        <v>4797822.0999999996</v>
      </c>
      <c r="I37" s="3093" t="s">
        <v>6803</v>
      </c>
      <c r="J37" s="3072"/>
      <c r="K37" s="3090">
        <f t="shared" si="3"/>
        <v>15914214.57</v>
      </c>
      <c r="L37" s="3071">
        <f ca="1">INDIRECT("Notes!CheckB"&amp;$C37)</f>
        <v>2522257.4700000002</v>
      </c>
      <c r="M37" s="3093" t="s">
        <v>6803</v>
      </c>
      <c r="N37" s="3072"/>
      <c r="O37" s="3099"/>
      <c r="P37" s="3100"/>
      <c r="Q37" s="3100"/>
      <c r="R37" s="3100"/>
      <c r="S37" s="3101" t="s">
        <v>295</v>
      </c>
      <c r="T37" s="3101" t="s">
        <v>213</v>
      </c>
      <c r="U37" s="3102"/>
      <c r="V37" s="3102" t="s">
        <v>295</v>
      </c>
      <c r="W37" s="3102" t="s">
        <v>145</v>
      </c>
      <c r="X37" s="3102" t="s">
        <v>6800</v>
      </c>
      <c r="Y37" s="3103" t="s">
        <v>119</v>
      </c>
    </row>
    <row r="38" spans="1:25" ht="24" hidden="1">
      <c r="A38" s="1304"/>
      <c r="B38" s="643">
        <v>1122</v>
      </c>
      <c r="C38" s="643" t="s">
        <v>342</v>
      </c>
      <c r="D38" s="3087">
        <v>2</v>
      </c>
      <c r="E38" s="3088" t="str">
        <f t="shared" si="0"/>
        <v>应收账款</v>
      </c>
      <c r="F38" s="3089" t="s">
        <v>343</v>
      </c>
      <c r="G38" s="3090">
        <f t="shared" si="1"/>
        <v>15482120.279999999</v>
      </c>
      <c r="H38" s="3091">
        <f t="shared" ca="1" si="5"/>
        <v>0</v>
      </c>
      <c r="I38" s="3093" t="s">
        <v>6803</v>
      </c>
      <c r="J38" s="3072"/>
      <c r="K38" s="3090">
        <f t="shared" si="3"/>
        <v>15914214.57</v>
      </c>
      <c r="L38" s="3071" t="s">
        <v>6799</v>
      </c>
      <c r="M38" s="3093" t="s">
        <v>6803</v>
      </c>
      <c r="N38" s="3072"/>
      <c r="O38" s="3099"/>
      <c r="P38" s="3100"/>
      <c r="Q38" s="3100"/>
      <c r="R38" s="3100"/>
      <c r="S38" s="3101" t="s">
        <v>295</v>
      </c>
      <c r="T38" s="3101" t="s">
        <v>213</v>
      </c>
      <c r="U38" s="3102">
        <v>1122</v>
      </c>
      <c r="V38" s="3102" t="s">
        <v>295</v>
      </c>
      <c r="W38" s="3102" t="s">
        <v>6797</v>
      </c>
      <c r="X38" s="3102" t="s">
        <v>6800</v>
      </c>
      <c r="Y38" s="3103" t="s">
        <v>164</v>
      </c>
    </row>
    <row r="39" spans="1:25" ht="24" hidden="1">
      <c r="A39" s="1304"/>
      <c r="B39" s="643">
        <v>1122</v>
      </c>
      <c r="C39" s="643" t="s">
        <v>349</v>
      </c>
      <c r="D39" s="3087">
        <v>2</v>
      </c>
      <c r="E39" s="3088" t="str">
        <f t="shared" si="0"/>
        <v>应收账款</v>
      </c>
      <c r="F39" s="3089" t="s">
        <v>350</v>
      </c>
      <c r="G39" s="3090">
        <f t="shared" si="1"/>
        <v>15482120.279999999</v>
      </c>
      <c r="H39" s="3091">
        <f t="shared" ca="1" si="5"/>
        <v>0</v>
      </c>
      <c r="I39" s="3093" t="s">
        <v>6803</v>
      </c>
      <c r="J39" s="3072"/>
      <c r="K39" s="3090">
        <f t="shared" si="3"/>
        <v>15914214.57</v>
      </c>
      <c r="L39" s="3071" t="s">
        <v>6799</v>
      </c>
      <c r="M39" s="3093" t="s">
        <v>6803</v>
      </c>
      <c r="N39" s="3072"/>
      <c r="O39" s="3099"/>
      <c r="P39" s="3100"/>
      <c r="Q39" s="3100"/>
      <c r="R39" s="3100"/>
      <c r="S39" s="3101" t="s">
        <v>295</v>
      </c>
      <c r="T39" s="3101" t="s">
        <v>213</v>
      </c>
      <c r="U39" s="3102">
        <v>1122</v>
      </c>
      <c r="V39" s="3102" t="s">
        <v>295</v>
      </c>
      <c r="W39" s="3102" t="s">
        <v>6797</v>
      </c>
      <c r="X39" s="3102" t="s">
        <v>6800</v>
      </c>
      <c r="Y39" s="3103" t="s">
        <v>164</v>
      </c>
    </row>
    <row r="40" spans="1:25" ht="24" hidden="1">
      <c r="A40" s="1304"/>
      <c r="B40" s="643">
        <v>1122</v>
      </c>
      <c r="C40" s="643" t="s">
        <v>357</v>
      </c>
      <c r="D40" s="3087">
        <v>2</v>
      </c>
      <c r="E40" s="3088" t="str">
        <f t="shared" si="0"/>
        <v>应收账款</v>
      </c>
      <c r="F40" s="3089" t="s">
        <v>358</v>
      </c>
      <c r="G40" s="3090">
        <f t="shared" si="1"/>
        <v>15482120.279999999</v>
      </c>
      <c r="H40" s="3091">
        <f t="shared" ca="1" si="5"/>
        <v>0</v>
      </c>
      <c r="I40" s="3093" t="s">
        <v>6803</v>
      </c>
      <c r="J40" s="3072"/>
      <c r="K40" s="3090">
        <f t="shared" si="3"/>
        <v>15914214.57</v>
      </c>
      <c r="L40" s="3071" t="s">
        <v>6799</v>
      </c>
      <c r="M40" s="3093" t="s">
        <v>6803</v>
      </c>
      <c r="N40" s="3072"/>
      <c r="O40" s="3099"/>
      <c r="P40" s="3100"/>
      <c r="Q40" s="3100"/>
      <c r="R40" s="3100"/>
      <c r="S40" s="3101" t="s">
        <v>295</v>
      </c>
      <c r="T40" s="3101" t="s">
        <v>213</v>
      </c>
      <c r="U40" s="3102"/>
      <c r="V40" s="3102" t="s">
        <v>295</v>
      </c>
      <c r="W40" s="3102" t="s">
        <v>6797</v>
      </c>
      <c r="X40" s="3102" t="s">
        <v>6800</v>
      </c>
      <c r="Y40" s="3103" t="s">
        <v>164</v>
      </c>
    </row>
    <row r="41" spans="1:25" ht="36" hidden="1">
      <c r="A41" s="1304"/>
      <c r="B41" s="643">
        <v>1122</v>
      </c>
      <c r="C41" s="643" t="s">
        <v>365</v>
      </c>
      <c r="D41" s="3087">
        <v>2</v>
      </c>
      <c r="E41" s="3088" t="str">
        <f t="shared" si="0"/>
        <v>应收账款</v>
      </c>
      <c r="F41" s="3089" t="s">
        <v>366</v>
      </c>
      <c r="G41" s="3090">
        <f t="shared" si="1"/>
        <v>15482120.279999999</v>
      </c>
      <c r="H41" s="3091">
        <f t="shared" ca="1" si="5"/>
        <v>0</v>
      </c>
      <c r="I41" s="3093" t="s">
        <v>6803</v>
      </c>
      <c r="J41" s="3072"/>
      <c r="K41" s="3090">
        <f t="shared" ref="K41:K72" si="6">IF(ISERROR(VLOOKUP($B41,Sheet_Trialbal,10,0)),"        ----",VLOOKUP($B41,Sheet_Trialbal,10,0))</f>
        <v>15914214.57</v>
      </c>
      <c r="L41" s="3071" t="s">
        <v>6799</v>
      </c>
      <c r="M41" s="3093" t="s">
        <v>6803</v>
      </c>
      <c r="N41" s="3072"/>
      <c r="O41" s="3099"/>
      <c r="P41" s="3100"/>
      <c r="Q41" s="3100"/>
      <c r="R41" s="3100"/>
      <c r="S41" s="3101" t="s">
        <v>295</v>
      </c>
      <c r="T41" s="3101" t="s">
        <v>213</v>
      </c>
      <c r="U41" s="3102">
        <v>1122</v>
      </c>
      <c r="V41" s="3102" t="s">
        <v>295</v>
      </c>
      <c r="W41" s="3102" t="s">
        <v>6797</v>
      </c>
      <c r="X41" s="3102" t="s">
        <v>6800</v>
      </c>
      <c r="Y41" s="3103" t="s">
        <v>164</v>
      </c>
    </row>
    <row r="42" spans="1:25" ht="24" hidden="1">
      <c r="A42" s="1304"/>
      <c r="B42" s="643">
        <v>1122</v>
      </c>
      <c r="C42" s="643" t="s">
        <v>372</v>
      </c>
      <c r="D42" s="3087">
        <v>2</v>
      </c>
      <c r="E42" s="3088" t="str">
        <f t="shared" si="0"/>
        <v>应收账款</v>
      </c>
      <c r="F42" s="3089" t="s">
        <v>373</v>
      </c>
      <c r="G42" s="3090">
        <f t="shared" si="1"/>
        <v>15482120.279999999</v>
      </c>
      <c r="H42" s="3091">
        <f t="shared" ca="1" si="5"/>
        <v>0</v>
      </c>
      <c r="I42" s="3093" t="s">
        <v>6803</v>
      </c>
      <c r="J42" s="3072"/>
      <c r="K42" s="3090">
        <f t="shared" si="6"/>
        <v>15914214.57</v>
      </c>
      <c r="L42" s="3071" t="s">
        <v>6799</v>
      </c>
      <c r="M42" s="3093" t="s">
        <v>6803</v>
      </c>
      <c r="N42" s="3072"/>
      <c r="O42" s="3099"/>
      <c r="P42" s="3100"/>
      <c r="Q42" s="3100"/>
      <c r="R42" s="3100"/>
      <c r="S42" s="3101" t="s">
        <v>295</v>
      </c>
      <c r="T42" s="3101" t="s">
        <v>213</v>
      </c>
      <c r="U42" s="3102">
        <v>1122</v>
      </c>
      <c r="V42" s="3102" t="s">
        <v>295</v>
      </c>
      <c r="W42" s="3102" t="s">
        <v>6797</v>
      </c>
      <c r="X42" s="3102" t="s">
        <v>6800</v>
      </c>
      <c r="Y42" s="3103" t="s">
        <v>164</v>
      </c>
    </row>
    <row r="43" spans="1:25" ht="36" hidden="1">
      <c r="A43" s="1304"/>
      <c r="B43" s="643">
        <v>1122</v>
      </c>
      <c r="C43" s="643" t="s">
        <v>379</v>
      </c>
      <c r="D43" s="3087">
        <v>2</v>
      </c>
      <c r="E43" s="3088" t="str">
        <f t="shared" si="0"/>
        <v>应收账款</v>
      </c>
      <c r="F43" s="3089" t="s">
        <v>380</v>
      </c>
      <c r="G43" s="3090">
        <f t="shared" si="1"/>
        <v>15482120.279999999</v>
      </c>
      <c r="H43" s="3091">
        <f t="shared" ca="1" si="5"/>
        <v>0</v>
      </c>
      <c r="I43" s="3093" t="s">
        <v>6803</v>
      </c>
      <c r="J43" s="3072"/>
      <c r="K43" s="3090">
        <f t="shared" si="6"/>
        <v>15914214.57</v>
      </c>
      <c r="L43" s="3071" t="s">
        <v>6799</v>
      </c>
      <c r="M43" s="3093" t="s">
        <v>6803</v>
      </c>
      <c r="N43" s="3072"/>
      <c r="O43" s="3099"/>
      <c r="P43" s="3100"/>
      <c r="Q43" s="3100"/>
      <c r="R43" s="3100"/>
      <c r="S43" s="3101" t="s">
        <v>295</v>
      </c>
      <c r="T43" s="3101" t="s">
        <v>213</v>
      </c>
      <c r="U43" s="3102">
        <v>1122</v>
      </c>
      <c r="V43" s="3102" t="s">
        <v>295</v>
      </c>
      <c r="W43" s="3102" t="s">
        <v>6797</v>
      </c>
      <c r="X43" s="3102" t="s">
        <v>6800</v>
      </c>
      <c r="Y43" s="3103" t="s">
        <v>164</v>
      </c>
    </row>
    <row r="44" spans="1:25" ht="18" hidden="1">
      <c r="A44" s="1304"/>
      <c r="B44" s="643">
        <v>1122</v>
      </c>
      <c r="C44" s="643" t="s">
        <v>419</v>
      </c>
      <c r="D44" s="3087">
        <v>2</v>
      </c>
      <c r="E44" s="3088" t="str">
        <f t="shared" si="0"/>
        <v>应收账款</v>
      </c>
      <c r="F44" s="3089" t="s">
        <v>420</v>
      </c>
      <c r="G44" s="3090">
        <f t="shared" si="1"/>
        <v>15482120.279999999</v>
      </c>
      <c r="H44" s="3091">
        <f t="shared" ca="1" si="5"/>
        <v>0</v>
      </c>
      <c r="I44" s="3093" t="s">
        <v>6803</v>
      </c>
      <c r="J44" s="3072"/>
      <c r="K44" s="3090">
        <f t="shared" si="6"/>
        <v>15914214.57</v>
      </c>
      <c r="L44" s="3071" t="s">
        <v>6799</v>
      </c>
      <c r="M44" s="3093" t="s">
        <v>6803</v>
      </c>
      <c r="N44" s="3072"/>
      <c r="O44" s="3099"/>
      <c r="P44" s="3100"/>
      <c r="Q44" s="3100"/>
      <c r="R44" s="3100"/>
      <c r="S44" s="3101" t="s">
        <v>295</v>
      </c>
      <c r="T44" s="3101" t="s">
        <v>213</v>
      </c>
      <c r="U44" s="3102">
        <v>1122</v>
      </c>
      <c r="V44" s="3102" t="s">
        <v>295</v>
      </c>
      <c r="W44" s="3102" t="s">
        <v>6797</v>
      </c>
      <c r="X44" s="3102" t="s">
        <v>213</v>
      </c>
      <c r="Y44" s="3103" t="s">
        <v>164</v>
      </c>
    </row>
    <row r="45" spans="1:25" ht="24" hidden="1">
      <c r="A45" s="1304"/>
      <c r="B45" s="643">
        <v>1122</v>
      </c>
      <c r="C45" s="643" t="s">
        <v>425</v>
      </c>
      <c r="D45" s="3087">
        <v>2</v>
      </c>
      <c r="E45" s="3088" t="str">
        <f t="shared" si="0"/>
        <v>应收账款</v>
      </c>
      <c r="F45" s="3089" t="s">
        <v>426</v>
      </c>
      <c r="G45" s="3090">
        <f t="shared" si="1"/>
        <v>15482120.279999999</v>
      </c>
      <c r="H45" s="3091">
        <f t="shared" ca="1" si="5"/>
        <v>0</v>
      </c>
      <c r="I45" s="3093" t="s">
        <v>6803</v>
      </c>
      <c r="J45" s="3072"/>
      <c r="K45" s="3090">
        <f t="shared" si="6"/>
        <v>15914214.57</v>
      </c>
      <c r="L45" s="3071">
        <f ca="1">INDIRECT("Notes!CheckB"&amp;$C45)</f>
        <v>0</v>
      </c>
      <c r="M45" s="3093" t="s">
        <v>6803</v>
      </c>
      <c r="N45" s="3072"/>
      <c r="O45" s="3099"/>
      <c r="P45" s="3100"/>
      <c r="Q45" s="3100"/>
      <c r="R45" s="3100"/>
      <c r="S45" s="3101" t="s">
        <v>295</v>
      </c>
      <c r="T45" s="3101" t="s">
        <v>213</v>
      </c>
      <c r="U45" s="3102">
        <v>1122</v>
      </c>
      <c r="V45" s="3102" t="s">
        <v>295</v>
      </c>
      <c r="W45" s="3102" t="s">
        <v>6797</v>
      </c>
      <c r="X45" s="3102" t="s">
        <v>213</v>
      </c>
      <c r="Y45" s="3103" t="s">
        <v>164</v>
      </c>
    </row>
    <row r="46" spans="1:25" ht="18" hidden="1">
      <c r="A46" s="1304"/>
      <c r="B46" s="643">
        <v>1122</v>
      </c>
      <c r="C46" s="643" t="s">
        <v>432</v>
      </c>
      <c r="D46" s="3087">
        <v>2</v>
      </c>
      <c r="E46" s="3088" t="str">
        <f t="shared" si="0"/>
        <v>应收账款</v>
      </c>
      <c r="F46" s="3089" t="s">
        <v>433</v>
      </c>
      <c r="G46" s="3090">
        <f t="shared" si="1"/>
        <v>15482120.279999999</v>
      </c>
      <c r="H46" s="3091">
        <f t="shared" ca="1" si="5"/>
        <v>4797822.0999999996</v>
      </c>
      <c r="I46" s="3093" t="s">
        <v>6803</v>
      </c>
      <c r="J46" s="3072"/>
      <c r="K46" s="3090">
        <f t="shared" si="6"/>
        <v>15914214.57</v>
      </c>
      <c r="L46" s="3071">
        <f ca="1">INDIRECT("Notes!CheckB"&amp;$C46)</f>
        <v>2522257.4700000002</v>
      </c>
      <c r="M46" s="3093" t="s">
        <v>6803</v>
      </c>
      <c r="N46" s="3072"/>
      <c r="O46" s="3099"/>
      <c r="P46" s="3100"/>
      <c r="Q46" s="3100"/>
      <c r="R46" s="3100"/>
      <c r="S46" s="3101" t="s">
        <v>295</v>
      </c>
      <c r="T46" s="3101" t="s">
        <v>213</v>
      </c>
      <c r="U46" s="3102">
        <v>1122</v>
      </c>
      <c r="V46" s="3102" t="s">
        <v>295</v>
      </c>
      <c r="W46" s="3102" t="s">
        <v>6797</v>
      </c>
      <c r="X46" s="3102" t="s">
        <v>213</v>
      </c>
      <c r="Y46" s="3103" t="s">
        <v>164</v>
      </c>
    </row>
    <row r="47" spans="1:25" ht="18">
      <c r="A47" s="1304"/>
      <c r="B47" s="643">
        <v>1124</v>
      </c>
      <c r="C47" s="643" t="s">
        <v>446</v>
      </c>
      <c r="D47" s="3087">
        <v>1</v>
      </c>
      <c r="E47" s="3088" t="str">
        <f t="shared" si="0"/>
        <v>应收款项融资</v>
      </c>
      <c r="F47" s="3089" t="s">
        <v>447</v>
      </c>
      <c r="G47" s="3090">
        <f t="shared" si="1"/>
        <v>279569.36</v>
      </c>
      <c r="H47" s="3091">
        <f t="shared" ca="1" si="5"/>
        <v>279569.36</v>
      </c>
      <c r="I47" s="3093">
        <f ca="1">IF(AND(LEN(G47)&gt;0,LEN(H47)&gt;0),ROUND(SUM(G47)-SUM(H47),2),"")</f>
        <v>0</v>
      </c>
      <c r="J47" s="3072" t="str">
        <f ca="1">IF(ISNA(I47),"N/A",IF(I47=0,"√","？"))</f>
        <v>√</v>
      </c>
      <c r="K47" s="3090">
        <f t="shared" si="6"/>
        <v>0</v>
      </c>
      <c r="L47" s="3071">
        <f ca="1">INDIRECT("Notes!CheckB"&amp;$C47)</f>
        <v>0</v>
      </c>
      <c r="M47" s="3093">
        <f ca="1">IF(AND(LEN(K47)&gt;0,LEN(L47)&gt;0),ROUND(SUM(K47)-SUM(L47),2),"")</f>
        <v>0</v>
      </c>
      <c r="N47" s="3072" t="str">
        <f ca="1">IF(ISNA(M47),"N/A",IF(M47=0,"√","？"))</f>
        <v>√</v>
      </c>
      <c r="O47" s="3099"/>
      <c r="P47" s="3100"/>
      <c r="Q47" s="3100"/>
      <c r="R47" s="3100"/>
      <c r="S47" s="3101" t="s">
        <v>295</v>
      </c>
      <c r="T47" s="3101" t="s">
        <v>213</v>
      </c>
      <c r="U47" s="3102">
        <v>1124</v>
      </c>
      <c r="V47" s="3102" t="s">
        <v>295</v>
      </c>
      <c r="W47" s="3102" t="s">
        <v>145</v>
      </c>
      <c r="X47" s="3102" t="s">
        <v>6800</v>
      </c>
      <c r="Y47" s="3103" t="s">
        <v>119</v>
      </c>
    </row>
    <row r="48" spans="1:25" ht="36" hidden="1">
      <c r="A48" s="1304"/>
      <c r="B48" s="643">
        <v>1124</v>
      </c>
      <c r="C48" s="643" t="s">
        <v>453</v>
      </c>
      <c r="D48" s="3087">
        <v>2</v>
      </c>
      <c r="E48" s="3088" t="str">
        <f t="shared" si="0"/>
        <v>应收款项融资</v>
      </c>
      <c r="F48" s="3089" t="s">
        <v>6374</v>
      </c>
      <c r="G48" s="3090">
        <f t="shared" si="1"/>
        <v>279569.36</v>
      </c>
      <c r="H48" s="3091">
        <f t="shared" ca="1" si="5"/>
        <v>0</v>
      </c>
      <c r="I48" s="3093" t="s">
        <v>6803</v>
      </c>
      <c r="J48" s="3072"/>
      <c r="K48" s="3090">
        <f t="shared" si="6"/>
        <v>0</v>
      </c>
      <c r="L48" s="3071" t="s">
        <v>6799</v>
      </c>
      <c r="M48" s="3093" t="s">
        <v>6803</v>
      </c>
      <c r="N48" s="3072"/>
      <c r="O48" s="3099"/>
      <c r="P48" s="3100"/>
      <c r="Q48" s="3100"/>
      <c r="R48" s="3100"/>
      <c r="S48" s="3101" t="s">
        <v>295</v>
      </c>
      <c r="T48" s="3101" t="s">
        <v>213</v>
      </c>
      <c r="U48" s="3102">
        <v>1124</v>
      </c>
      <c r="V48" s="3102" t="s">
        <v>295</v>
      </c>
      <c r="W48" s="3102" t="s">
        <v>145</v>
      </c>
      <c r="X48" s="3102" t="s">
        <v>6800</v>
      </c>
      <c r="Y48" s="3103" t="s">
        <v>119</v>
      </c>
    </row>
    <row r="49" spans="1:25" ht="36" hidden="1">
      <c r="A49" s="1304"/>
      <c r="B49" s="643">
        <v>1124</v>
      </c>
      <c r="C49" s="643" t="s">
        <v>456</v>
      </c>
      <c r="D49" s="3087">
        <v>2</v>
      </c>
      <c r="E49" s="3088" t="str">
        <f t="shared" si="0"/>
        <v>应收款项融资</v>
      </c>
      <c r="F49" s="3089" t="s">
        <v>6375</v>
      </c>
      <c r="G49" s="3090">
        <f t="shared" si="1"/>
        <v>279569.36</v>
      </c>
      <c r="H49" s="3091">
        <f t="shared" ca="1" si="5"/>
        <v>0</v>
      </c>
      <c r="I49" s="3093" t="s">
        <v>6803</v>
      </c>
      <c r="J49" s="3072"/>
      <c r="K49" s="3090">
        <f t="shared" si="6"/>
        <v>0</v>
      </c>
      <c r="L49" s="3071" t="s">
        <v>6799</v>
      </c>
      <c r="M49" s="3093" t="s">
        <v>6803</v>
      </c>
      <c r="N49" s="3072"/>
      <c r="O49" s="3099"/>
      <c r="P49" s="3100"/>
      <c r="Q49" s="3100"/>
      <c r="R49" s="3100"/>
      <c r="S49" s="3101" t="s">
        <v>295</v>
      </c>
      <c r="T49" s="3101" t="s">
        <v>213</v>
      </c>
      <c r="U49" s="3102"/>
      <c r="V49" s="3102" t="s">
        <v>295</v>
      </c>
      <c r="W49" s="3102" t="s">
        <v>145</v>
      </c>
      <c r="X49" s="3102" t="s">
        <v>6800</v>
      </c>
      <c r="Y49" s="3103" t="s">
        <v>119</v>
      </c>
    </row>
    <row r="50" spans="1:25" ht="36" hidden="1">
      <c r="A50" s="1304"/>
      <c r="B50" s="643">
        <v>1124</v>
      </c>
      <c r="C50" s="643" t="s">
        <v>461</v>
      </c>
      <c r="D50" s="3087">
        <v>2</v>
      </c>
      <c r="E50" s="3088" t="str">
        <f t="shared" si="0"/>
        <v>应收款项融资</v>
      </c>
      <c r="F50" s="3089" t="s">
        <v>6376</v>
      </c>
      <c r="G50" s="3090">
        <f t="shared" si="1"/>
        <v>279569.36</v>
      </c>
      <c r="H50" s="3091">
        <f t="shared" ca="1" si="5"/>
        <v>0</v>
      </c>
      <c r="I50" s="3093" t="s">
        <v>6803</v>
      </c>
      <c r="J50" s="3072"/>
      <c r="K50" s="3090">
        <f t="shared" si="6"/>
        <v>0</v>
      </c>
      <c r="L50" s="3071" t="s">
        <v>6799</v>
      </c>
      <c r="M50" s="3093" t="s">
        <v>6803</v>
      </c>
      <c r="N50" s="3072"/>
      <c r="O50" s="3099"/>
      <c r="P50" s="3100"/>
      <c r="Q50" s="3100"/>
      <c r="R50" s="3100"/>
      <c r="S50" s="3101" t="s">
        <v>295</v>
      </c>
      <c r="T50" s="3101" t="s">
        <v>213</v>
      </c>
      <c r="U50" s="3102"/>
      <c r="V50" s="3102" t="s">
        <v>295</v>
      </c>
      <c r="W50" s="3102" t="s">
        <v>145</v>
      </c>
      <c r="X50" s="3102" t="s">
        <v>6800</v>
      </c>
      <c r="Y50" s="3103" t="s">
        <v>119</v>
      </c>
    </row>
    <row r="51" spans="1:25" ht="36" hidden="1">
      <c r="A51" s="1304"/>
      <c r="B51" s="643">
        <v>1124</v>
      </c>
      <c r="C51" s="643" t="s">
        <v>466</v>
      </c>
      <c r="D51" s="3087">
        <v>2</v>
      </c>
      <c r="E51" s="3088" t="str">
        <f t="shared" si="0"/>
        <v>应收款项融资</v>
      </c>
      <c r="F51" s="3089" t="s">
        <v>6377</v>
      </c>
      <c r="G51" s="3090">
        <f t="shared" si="1"/>
        <v>279569.36</v>
      </c>
      <c r="H51" s="3091">
        <f t="shared" ca="1" si="5"/>
        <v>0</v>
      </c>
      <c r="I51" s="3093" t="s">
        <v>6803</v>
      </c>
      <c r="J51" s="3072"/>
      <c r="K51" s="3090">
        <f t="shared" si="6"/>
        <v>0</v>
      </c>
      <c r="L51" s="3071">
        <f ca="1">INDIRECT("Notes!CheckB"&amp;$C51)</f>
        <v>0</v>
      </c>
      <c r="M51" s="3093" t="s">
        <v>6803</v>
      </c>
      <c r="N51" s="3072"/>
      <c r="O51" s="3099"/>
      <c r="P51" s="3100"/>
      <c r="Q51" s="3100"/>
      <c r="R51" s="3100"/>
      <c r="S51" s="3101" t="s">
        <v>295</v>
      </c>
      <c r="T51" s="3101" t="s">
        <v>213</v>
      </c>
      <c r="U51" s="3102"/>
      <c r="V51" s="3102" t="s">
        <v>295</v>
      </c>
      <c r="W51" s="3102" t="s">
        <v>145</v>
      </c>
      <c r="X51" s="3102" t="s">
        <v>213</v>
      </c>
      <c r="Y51" s="3103" t="s">
        <v>119</v>
      </c>
    </row>
    <row r="52" spans="1:25" ht="36" hidden="1">
      <c r="A52" s="1304"/>
      <c r="B52" s="643">
        <v>1124</v>
      </c>
      <c r="C52" s="643" t="s">
        <v>6370</v>
      </c>
      <c r="D52" s="3087">
        <v>2</v>
      </c>
      <c r="E52" s="3088" t="str">
        <f t="shared" si="0"/>
        <v>应收款项融资</v>
      </c>
      <c r="F52" s="3089" t="s">
        <v>6378</v>
      </c>
      <c r="G52" s="3090">
        <f t="shared" si="1"/>
        <v>279569.36</v>
      </c>
      <c r="H52" s="3091">
        <f t="shared" ca="1" si="5"/>
        <v>0</v>
      </c>
      <c r="I52" s="3093" t="s">
        <v>6803</v>
      </c>
      <c r="J52" s="3072"/>
      <c r="K52" s="3090">
        <f t="shared" si="6"/>
        <v>0</v>
      </c>
      <c r="L52" s="3071" t="s">
        <v>6799</v>
      </c>
      <c r="M52" s="3093" t="s">
        <v>6803</v>
      </c>
      <c r="N52" s="3072"/>
      <c r="O52" s="3099"/>
      <c r="P52" s="3100"/>
      <c r="Q52" s="3100"/>
      <c r="R52" s="3100"/>
      <c r="S52" s="3101" t="s">
        <v>295</v>
      </c>
      <c r="T52" s="3101" t="s">
        <v>213</v>
      </c>
      <c r="U52" s="3102">
        <v>1124</v>
      </c>
      <c r="V52" s="3102" t="s">
        <v>295</v>
      </c>
      <c r="W52" s="3102" t="s">
        <v>145</v>
      </c>
      <c r="X52" s="3102" t="s">
        <v>6800</v>
      </c>
      <c r="Y52" s="3103" t="s">
        <v>119</v>
      </c>
    </row>
    <row r="53" spans="1:25" ht="36" hidden="1">
      <c r="A53" s="1304"/>
      <c r="B53" s="643">
        <v>1124</v>
      </c>
      <c r="C53" s="643" t="s">
        <v>6371</v>
      </c>
      <c r="D53" s="3087">
        <v>2</v>
      </c>
      <c r="E53" s="3088" t="str">
        <f t="shared" si="0"/>
        <v>应收款项融资</v>
      </c>
      <c r="F53" s="3089" t="s">
        <v>6379</v>
      </c>
      <c r="G53" s="3090">
        <f t="shared" si="1"/>
        <v>279569.36</v>
      </c>
      <c r="H53" s="3091">
        <f t="shared" ca="1" si="5"/>
        <v>0</v>
      </c>
      <c r="I53" s="3093" t="s">
        <v>6803</v>
      </c>
      <c r="J53" s="3072"/>
      <c r="K53" s="3090">
        <f t="shared" si="6"/>
        <v>0</v>
      </c>
      <c r="L53" s="3071" t="s">
        <v>6799</v>
      </c>
      <c r="M53" s="3093" t="s">
        <v>6803</v>
      </c>
      <c r="N53" s="3072"/>
      <c r="O53" s="3099"/>
      <c r="P53" s="3100"/>
      <c r="Q53" s="3100"/>
      <c r="R53" s="3100"/>
      <c r="S53" s="3101" t="s">
        <v>295</v>
      </c>
      <c r="T53" s="3101" t="s">
        <v>213</v>
      </c>
      <c r="U53" s="3102"/>
      <c r="V53" s="3102" t="s">
        <v>295</v>
      </c>
      <c r="W53" s="3102" t="s">
        <v>145</v>
      </c>
      <c r="X53" s="3102" t="s">
        <v>6800</v>
      </c>
      <c r="Y53" s="3103" t="s">
        <v>119</v>
      </c>
    </row>
    <row r="54" spans="1:25" ht="36" hidden="1">
      <c r="A54" s="1304"/>
      <c r="B54" s="643">
        <v>1124</v>
      </c>
      <c r="C54" s="643" t="s">
        <v>6372</v>
      </c>
      <c r="D54" s="3087">
        <v>2</v>
      </c>
      <c r="E54" s="3088" t="str">
        <f t="shared" si="0"/>
        <v>应收款项融资</v>
      </c>
      <c r="F54" s="3089" t="s">
        <v>6380</v>
      </c>
      <c r="G54" s="3090">
        <f t="shared" si="1"/>
        <v>279569.36</v>
      </c>
      <c r="H54" s="3091">
        <f t="shared" ca="1" si="5"/>
        <v>0</v>
      </c>
      <c r="I54" s="3093" t="s">
        <v>6803</v>
      </c>
      <c r="J54" s="3072"/>
      <c r="K54" s="3090">
        <f t="shared" si="6"/>
        <v>0</v>
      </c>
      <c r="L54" s="3071" t="s">
        <v>6799</v>
      </c>
      <c r="M54" s="3093" t="s">
        <v>6803</v>
      </c>
      <c r="N54" s="3072"/>
      <c r="O54" s="3099"/>
      <c r="P54" s="3100"/>
      <c r="Q54" s="3100"/>
      <c r="R54" s="3100"/>
      <c r="S54" s="3101" t="s">
        <v>295</v>
      </c>
      <c r="T54" s="3101" t="s">
        <v>213</v>
      </c>
      <c r="U54" s="3102"/>
      <c r="V54" s="3102" t="s">
        <v>295</v>
      </c>
      <c r="W54" s="3102" t="s">
        <v>145</v>
      </c>
      <c r="X54" s="3102" t="s">
        <v>6800</v>
      </c>
      <c r="Y54" s="3103" t="s">
        <v>119</v>
      </c>
    </row>
    <row r="55" spans="1:25" ht="36" hidden="1">
      <c r="A55" s="1304"/>
      <c r="B55" s="643">
        <v>1124</v>
      </c>
      <c r="C55" s="643" t="s">
        <v>6373</v>
      </c>
      <c r="D55" s="3087">
        <v>2</v>
      </c>
      <c r="E55" s="3088" t="str">
        <f t="shared" si="0"/>
        <v>应收款项融资</v>
      </c>
      <c r="F55" s="3089" t="s">
        <v>6381</v>
      </c>
      <c r="G55" s="3090">
        <f t="shared" si="1"/>
        <v>279569.36</v>
      </c>
      <c r="H55" s="3091">
        <f t="shared" ca="1" si="5"/>
        <v>0</v>
      </c>
      <c r="I55" s="3093" t="s">
        <v>6803</v>
      </c>
      <c r="J55" s="3072"/>
      <c r="K55" s="3090">
        <f t="shared" si="6"/>
        <v>0</v>
      </c>
      <c r="L55" s="3071" t="s">
        <v>6799</v>
      </c>
      <c r="M55" s="3093" t="s">
        <v>6803</v>
      </c>
      <c r="N55" s="3072"/>
      <c r="O55" s="3099"/>
      <c r="P55" s="3100"/>
      <c r="Q55" s="3100"/>
      <c r="R55" s="3100"/>
      <c r="S55" s="3101" t="s">
        <v>295</v>
      </c>
      <c r="T55" s="3101" t="s">
        <v>213</v>
      </c>
      <c r="U55" s="3102"/>
      <c r="V55" s="3102" t="s">
        <v>295</v>
      </c>
      <c r="W55" s="3102" t="s">
        <v>145</v>
      </c>
      <c r="X55" s="3102" t="s">
        <v>213</v>
      </c>
      <c r="Y55" s="3103" t="s">
        <v>119</v>
      </c>
    </row>
    <row r="56" spans="1:25" ht="24" hidden="1">
      <c r="A56" s="1304"/>
      <c r="B56" s="643">
        <v>1124</v>
      </c>
      <c r="C56" s="643" t="s">
        <v>470</v>
      </c>
      <c r="D56" s="3087">
        <v>2</v>
      </c>
      <c r="E56" s="3088" t="str">
        <f t="shared" si="0"/>
        <v>应收款项融资</v>
      </c>
      <c r="F56" s="3089" t="s">
        <v>6382</v>
      </c>
      <c r="G56" s="3090">
        <f t="shared" si="1"/>
        <v>279569.36</v>
      </c>
      <c r="H56" s="3091">
        <f t="shared" ca="1" si="5"/>
        <v>0</v>
      </c>
      <c r="I56" s="3093" t="s">
        <v>6803</v>
      </c>
      <c r="J56" s="3072"/>
      <c r="K56" s="3090">
        <f t="shared" si="6"/>
        <v>0</v>
      </c>
      <c r="L56" s="3071">
        <f ca="1">INDIRECT("Notes!CheckB"&amp;$C56)</f>
        <v>0</v>
      </c>
      <c r="M56" s="3093" t="s">
        <v>6803</v>
      </c>
      <c r="N56" s="3072"/>
      <c r="O56" s="3099"/>
      <c r="P56" s="3100"/>
      <c r="Q56" s="3100"/>
      <c r="R56" s="3100"/>
      <c r="S56" s="3101" t="s">
        <v>295</v>
      </c>
      <c r="T56" s="3101" t="s">
        <v>213</v>
      </c>
      <c r="U56" s="3102"/>
      <c r="V56" s="3102" t="s">
        <v>295</v>
      </c>
      <c r="W56" s="3102" t="s">
        <v>145</v>
      </c>
      <c r="X56" s="3102" t="s">
        <v>6800</v>
      </c>
      <c r="Y56" s="3103" t="s">
        <v>119</v>
      </c>
    </row>
    <row r="57" spans="1:25" ht="18">
      <c r="A57" s="1304"/>
      <c r="B57" s="643">
        <v>1125</v>
      </c>
      <c r="C57" s="643" t="s">
        <v>473</v>
      </c>
      <c r="D57" s="3087">
        <v>1</v>
      </c>
      <c r="E57" s="3088" t="str">
        <f t="shared" si="0"/>
        <v>预付款项</v>
      </c>
      <c r="F57" s="3089" t="s">
        <v>474</v>
      </c>
      <c r="G57" s="3090">
        <f t="shared" si="1"/>
        <v>815153.11</v>
      </c>
      <c r="H57" s="3091">
        <f t="shared" ca="1" si="5"/>
        <v>815153.11</v>
      </c>
      <c r="I57" s="3093">
        <f ca="1">IF(AND(LEN(G57)&gt;0,LEN(H57)&gt;0),ROUND(SUM(G57)-SUM(H57),2),"")</f>
        <v>0</v>
      </c>
      <c r="J57" s="3072" t="str">
        <f ca="1">IF(ISNA(I57),"N/A",IF(I57=0,"√","？"))</f>
        <v>√</v>
      </c>
      <c r="K57" s="3090">
        <f t="shared" si="6"/>
        <v>916036.19</v>
      </c>
      <c r="L57" s="3071">
        <f ca="1">INDIRECT("Notes!CheckB"&amp;$C57)</f>
        <v>916036.19</v>
      </c>
      <c r="M57" s="3093">
        <f ca="1">IF(AND(LEN(K57)&gt;0,LEN(L57)&gt;0),ROUND(SUM(K57)-SUM(L57),2),"")</f>
        <v>0</v>
      </c>
      <c r="N57" s="3072" t="str">
        <f ca="1">IF(ISNA(M57),"N/A",IF(M57=0,"√","？"))</f>
        <v>√</v>
      </c>
      <c r="O57" s="3099"/>
      <c r="P57" s="3100"/>
      <c r="Q57" s="3100"/>
      <c r="R57" s="3100"/>
      <c r="S57" s="3101" t="s">
        <v>295</v>
      </c>
      <c r="T57" s="3101" t="s">
        <v>213</v>
      </c>
      <c r="U57" s="3102"/>
      <c r="V57" s="3102" t="s">
        <v>295</v>
      </c>
      <c r="W57" s="3102" t="s">
        <v>6797</v>
      </c>
      <c r="X57" s="3102" t="s">
        <v>6798</v>
      </c>
      <c r="Y57" s="3103" t="s">
        <v>164</v>
      </c>
    </row>
    <row r="58" spans="1:25" ht="36" hidden="1">
      <c r="A58" s="1304"/>
      <c r="B58" s="643">
        <v>1125</v>
      </c>
      <c r="C58" s="643" t="s">
        <v>478</v>
      </c>
      <c r="D58" s="3087">
        <v>2</v>
      </c>
      <c r="E58" s="3088" t="str">
        <f t="shared" si="0"/>
        <v>预付款项</v>
      </c>
      <c r="F58" s="3089" t="s">
        <v>479</v>
      </c>
      <c r="G58" s="3090">
        <f t="shared" si="1"/>
        <v>815153.11</v>
      </c>
      <c r="H58" s="3091">
        <f t="shared" ca="1" si="5"/>
        <v>0</v>
      </c>
      <c r="I58" s="3093" t="s">
        <v>6803</v>
      </c>
      <c r="J58" s="3072"/>
      <c r="K58" s="3090">
        <f t="shared" si="6"/>
        <v>916036.19</v>
      </c>
      <c r="L58" s="3071" t="s">
        <v>6799</v>
      </c>
      <c r="M58" s="3093" t="s">
        <v>6803</v>
      </c>
      <c r="N58" s="3072"/>
      <c r="O58" s="3099"/>
      <c r="P58" s="3100"/>
      <c r="Q58" s="3100"/>
      <c r="R58" s="3100"/>
      <c r="S58" s="3101" t="s">
        <v>295</v>
      </c>
      <c r="T58" s="3101" t="s">
        <v>213</v>
      </c>
      <c r="U58" s="3102"/>
      <c r="V58" s="3102" t="s">
        <v>295</v>
      </c>
      <c r="W58" s="3102" t="s">
        <v>6797</v>
      </c>
      <c r="X58" s="3102" t="s">
        <v>6800</v>
      </c>
      <c r="Y58" s="3103" t="s">
        <v>164</v>
      </c>
    </row>
    <row r="59" spans="1:25" ht="24" hidden="1">
      <c r="A59" s="1304"/>
      <c r="B59" s="643">
        <v>1125</v>
      </c>
      <c r="C59" s="643" t="s">
        <v>482</v>
      </c>
      <c r="D59" s="3087">
        <v>2</v>
      </c>
      <c r="E59" s="3088" t="str">
        <f t="shared" si="0"/>
        <v>预付款项</v>
      </c>
      <c r="F59" s="3089" t="s">
        <v>483</v>
      </c>
      <c r="G59" s="3090">
        <f t="shared" si="1"/>
        <v>815153.11</v>
      </c>
      <c r="H59" s="3091">
        <f t="shared" ca="1" si="5"/>
        <v>0</v>
      </c>
      <c r="I59" s="3093" t="s">
        <v>6803</v>
      </c>
      <c r="J59" s="3072"/>
      <c r="K59" s="3090">
        <f t="shared" si="6"/>
        <v>916036.19</v>
      </c>
      <c r="L59" s="3071" t="s">
        <v>6799</v>
      </c>
      <c r="M59" s="3093" t="s">
        <v>6803</v>
      </c>
      <c r="N59" s="3072"/>
      <c r="O59" s="3099"/>
      <c r="P59" s="3100"/>
      <c r="Q59" s="3100"/>
      <c r="R59" s="3100"/>
      <c r="S59" s="3101" t="s">
        <v>295</v>
      </c>
      <c r="T59" s="3101" t="s">
        <v>213</v>
      </c>
      <c r="U59" s="3102"/>
      <c r="V59" s="3102" t="s">
        <v>295</v>
      </c>
      <c r="W59" s="3102" t="s">
        <v>6797</v>
      </c>
      <c r="X59" s="3102" t="s">
        <v>213</v>
      </c>
      <c r="Y59" s="3103" t="s">
        <v>164</v>
      </c>
    </row>
    <row r="60" spans="1:25" ht="18">
      <c r="A60" s="1304"/>
      <c r="B60" s="643">
        <v>1125</v>
      </c>
      <c r="C60" s="643" t="s">
        <v>497</v>
      </c>
      <c r="D60" s="3087">
        <v>1</v>
      </c>
      <c r="E60" s="3088" t="str">
        <f t="shared" si="0"/>
        <v>预付款项</v>
      </c>
      <c r="F60" s="3089" t="s">
        <v>498</v>
      </c>
      <c r="G60" s="3090">
        <f t="shared" si="1"/>
        <v>815153.11</v>
      </c>
      <c r="H60" s="3091">
        <f t="shared" ca="1" si="5"/>
        <v>0</v>
      </c>
      <c r="I60" s="3093">
        <f ca="1">IF(AND(LEN(G60)&gt;0,LEN(H60)&gt;0),ROUND(SUM(G60)-SUM(H60),2),"")</f>
        <v>815153.11</v>
      </c>
      <c r="J60" s="3072" t="str">
        <f ca="1">IF(ISNA(I60),"N/A",IF(I60=0,"√","？"))</f>
        <v>？</v>
      </c>
      <c r="K60" s="3090">
        <f t="shared" si="6"/>
        <v>916036.19</v>
      </c>
      <c r="L60" s="3071">
        <f ca="1">INDIRECT("Notes!CheckB"&amp;$C60)</f>
        <v>0</v>
      </c>
      <c r="M60" s="3093">
        <f ca="1">IF(AND(LEN(K60)&gt;0,LEN(L60)&gt;0),ROUND(SUM(K60)-SUM(L60),2),"")</f>
        <v>916036.19</v>
      </c>
      <c r="N60" s="3072" t="str">
        <f ca="1">IF(ISNA(M60),"N/A",IF(M60=0,"√","？"))</f>
        <v>？</v>
      </c>
      <c r="O60" s="3099"/>
      <c r="P60" s="3100"/>
      <c r="Q60" s="3100"/>
      <c r="R60" s="3100"/>
      <c r="S60" s="3101" t="s">
        <v>295</v>
      </c>
      <c r="T60" s="3101" t="s">
        <v>213</v>
      </c>
      <c r="U60" s="3102"/>
      <c r="V60" s="3102" t="s">
        <v>295</v>
      </c>
      <c r="W60" s="3102" t="s">
        <v>6797</v>
      </c>
      <c r="X60" s="3102" t="s">
        <v>213</v>
      </c>
      <c r="Y60" s="3103" t="s">
        <v>164</v>
      </c>
    </row>
    <row r="61" spans="1:25" ht="24" hidden="1">
      <c r="A61" s="1304"/>
      <c r="B61" s="643">
        <v>1125</v>
      </c>
      <c r="C61" s="643" t="s">
        <v>492</v>
      </c>
      <c r="D61" s="3087">
        <v>2</v>
      </c>
      <c r="E61" s="3088" t="str">
        <f t="shared" si="0"/>
        <v>预付款项</v>
      </c>
      <c r="F61" s="3089" t="s">
        <v>493</v>
      </c>
      <c r="G61" s="3090">
        <f t="shared" si="1"/>
        <v>815153.11</v>
      </c>
      <c r="H61" s="3091">
        <f t="shared" ca="1" si="5"/>
        <v>0</v>
      </c>
      <c r="I61" s="3093" t="s">
        <v>6803</v>
      </c>
      <c r="J61" s="3072"/>
      <c r="K61" s="3090">
        <f t="shared" si="6"/>
        <v>916036.19</v>
      </c>
      <c r="L61" s="3071">
        <f ca="1">INDIRECT("Notes!CheckB"&amp;$C61)</f>
        <v>0</v>
      </c>
      <c r="M61" s="3093" t="s">
        <v>6803</v>
      </c>
      <c r="N61" s="3072"/>
      <c r="O61" s="3099"/>
      <c r="P61" s="3100"/>
      <c r="Q61" s="3100"/>
      <c r="R61" s="3100"/>
      <c r="S61" s="3101" t="s">
        <v>295</v>
      </c>
      <c r="T61" s="3101" t="s">
        <v>213</v>
      </c>
      <c r="U61" s="3102"/>
      <c r="V61" s="3102" t="s">
        <v>295</v>
      </c>
      <c r="W61" s="3102" t="s">
        <v>6797</v>
      </c>
      <c r="X61" s="3102" t="s">
        <v>213</v>
      </c>
      <c r="Y61" s="3103" t="s">
        <v>164</v>
      </c>
    </row>
    <row r="62" spans="1:25" ht="18" hidden="1">
      <c r="A62" s="1304"/>
      <c r="B62" s="643">
        <v>1125</v>
      </c>
      <c r="C62" s="643" t="s">
        <v>505</v>
      </c>
      <c r="D62" s="3087">
        <v>2</v>
      </c>
      <c r="E62" s="3088" t="str">
        <f t="shared" si="0"/>
        <v>预付款项</v>
      </c>
      <c r="F62" s="3089" t="s">
        <v>506</v>
      </c>
      <c r="G62" s="3090">
        <f t="shared" si="1"/>
        <v>815153.11</v>
      </c>
      <c r="H62" s="3091">
        <f t="shared" ca="1" si="5"/>
        <v>0</v>
      </c>
      <c r="I62" s="3093" t="s">
        <v>6803</v>
      </c>
      <c r="J62" s="3072"/>
      <c r="K62" s="3090">
        <f t="shared" si="6"/>
        <v>916036.19</v>
      </c>
      <c r="L62" s="3071">
        <f ca="1">INDIRECT("Notes!CheckB"&amp;$C62)</f>
        <v>0</v>
      </c>
      <c r="M62" s="3093" t="s">
        <v>6803</v>
      </c>
      <c r="N62" s="3072"/>
      <c r="O62" s="3099"/>
      <c r="P62" s="3100"/>
      <c r="Q62" s="3100"/>
      <c r="R62" s="3100"/>
      <c r="S62" s="3101" t="s">
        <v>295</v>
      </c>
      <c r="T62" s="3101" t="s">
        <v>213</v>
      </c>
      <c r="U62" s="3102"/>
      <c r="V62" s="3102" t="s">
        <v>295</v>
      </c>
      <c r="W62" s="3102" t="s">
        <v>6797</v>
      </c>
      <c r="X62" s="3102" t="s">
        <v>213</v>
      </c>
      <c r="Y62" s="3103" t="s">
        <v>164</v>
      </c>
    </row>
    <row r="63" spans="1:25" ht="24">
      <c r="A63" s="1304"/>
      <c r="B63" s="643">
        <v>1220</v>
      </c>
      <c r="C63" s="643" t="s">
        <v>510</v>
      </c>
      <c r="D63" s="3087">
        <v>1</v>
      </c>
      <c r="E63" s="3088" t="str">
        <f t="shared" si="0"/>
        <v>其他应收款（报表项目）</v>
      </c>
      <c r="F63" s="3089" t="s">
        <v>511</v>
      </c>
      <c r="G63" s="3090">
        <f t="shared" si="1"/>
        <v>2208147.21</v>
      </c>
      <c r="H63" s="3091">
        <f t="shared" ca="1" si="5"/>
        <v>2208147.21</v>
      </c>
      <c r="I63" s="3093">
        <f ca="1">IF(AND(LEN(G63)&gt;0,LEN(H63)&gt;0),ROUND(SUM(G63)-SUM(H63),2),"")</f>
        <v>0</v>
      </c>
      <c r="J63" s="3072" t="str">
        <f ca="1">IF(ISNA(I63),"N/A",IF(I63=0,"√","？"))</f>
        <v>√</v>
      </c>
      <c r="K63" s="3090">
        <f t="shared" si="6"/>
        <v>328019.46999999997</v>
      </c>
      <c r="L63" s="3071">
        <f ca="1">INDIRECT("Notes!CheckB"&amp;$C63)</f>
        <v>328019.46999999997</v>
      </c>
      <c r="M63" s="3093">
        <f ca="1">IF(AND(LEN(K63)&gt;0,LEN(L63)&gt;0),ROUND(SUM(K63)-SUM(L63),2),"")</f>
        <v>0</v>
      </c>
      <c r="N63" s="3072" t="str">
        <f ca="1">IF(ISNA(M63),"N/A",IF(M63=0,"√","？"))</f>
        <v>√</v>
      </c>
      <c r="O63" s="3099"/>
      <c r="P63" s="3100"/>
      <c r="Q63" s="3100"/>
      <c r="R63" s="3100"/>
      <c r="S63" s="3101" t="s">
        <v>295</v>
      </c>
      <c r="T63" s="3101" t="s">
        <v>213</v>
      </c>
      <c r="U63" s="3102">
        <v>1220</v>
      </c>
      <c r="V63" s="3102" t="s">
        <v>295</v>
      </c>
      <c r="W63" s="3102" t="s">
        <v>6797</v>
      </c>
      <c r="X63" s="3102" t="s">
        <v>6798</v>
      </c>
      <c r="Y63" s="3103" t="s">
        <v>164</v>
      </c>
    </row>
    <row r="64" spans="1:25" ht="18">
      <c r="A64" s="1304"/>
      <c r="B64" s="643">
        <v>1132</v>
      </c>
      <c r="C64" s="643" t="s">
        <v>516</v>
      </c>
      <c r="D64" s="3087">
        <v>1</v>
      </c>
      <c r="E64" s="3088" t="str">
        <f t="shared" si="0"/>
        <v>应收利息</v>
      </c>
      <c r="F64" s="3089" t="s">
        <v>517</v>
      </c>
      <c r="G64" s="3090">
        <f t="shared" si="1"/>
        <v>0</v>
      </c>
      <c r="H64" s="3091">
        <f t="shared" ca="1" si="5"/>
        <v>0</v>
      </c>
      <c r="I64" s="3093">
        <f ca="1">IF(AND(LEN(G64)&gt;0,LEN(H64)&gt;0),ROUND(SUM(G64)-SUM(H64),2),"")</f>
        <v>0</v>
      </c>
      <c r="J64" s="3072" t="str">
        <f ca="1">IF(ISNA(I64),"N/A",IF(I64=0,"√","？"))</f>
        <v>√</v>
      </c>
      <c r="K64" s="3090">
        <f t="shared" si="6"/>
        <v>0</v>
      </c>
      <c r="L64" s="3071">
        <f ca="1">INDIRECT("Notes!CheckB"&amp;$C64)</f>
        <v>0</v>
      </c>
      <c r="M64" s="3093">
        <f ca="1">IF(AND(LEN(K64)&gt;0,LEN(L64)&gt;0),ROUND(SUM(K64)-SUM(L64),2),"")</f>
        <v>0</v>
      </c>
      <c r="N64" s="3072" t="str">
        <f ca="1">IF(ISNA(M64),"N/A",IF(M64=0,"√","？"))</f>
        <v>√</v>
      </c>
      <c r="O64" s="3099"/>
      <c r="P64" s="3100"/>
      <c r="Q64" s="3100"/>
      <c r="R64" s="3100"/>
      <c r="S64" s="3101" t="s">
        <v>295</v>
      </c>
      <c r="T64" s="3101" t="s">
        <v>213</v>
      </c>
      <c r="U64" s="3102"/>
      <c r="V64" s="3102" t="s">
        <v>295</v>
      </c>
      <c r="W64" s="3102" t="s">
        <v>6797</v>
      </c>
      <c r="X64" s="3102" t="s">
        <v>6798</v>
      </c>
      <c r="Y64" s="3103" t="s">
        <v>164</v>
      </c>
    </row>
    <row r="65" spans="1:25" ht="24" hidden="1">
      <c r="A65" s="1304"/>
      <c r="B65" s="643">
        <v>1132</v>
      </c>
      <c r="C65" s="643" t="s">
        <v>522</v>
      </c>
      <c r="D65" s="3087">
        <v>2</v>
      </c>
      <c r="E65" s="3088" t="str">
        <f t="shared" si="0"/>
        <v>应收利息</v>
      </c>
      <c r="F65" s="3089" t="s">
        <v>523</v>
      </c>
      <c r="G65" s="3090">
        <f t="shared" si="1"/>
        <v>0</v>
      </c>
      <c r="H65" s="3091">
        <f t="shared" ca="1" si="5"/>
        <v>0</v>
      </c>
      <c r="I65" s="3093" t="s">
        <v>6803</v>
      </c>
      <c r="J65" s="3072"/>
      <c r="K65" s="3090">
        <f t="shared" si="6"/>
        <v>0</v>
      </c>
      <c r="L65" s="3071" t="s">
        <v>6799</v>
      </c>
      <c r="M65" s="3093" t="s">
        <v>6803</v>
      </c>
      <c r="N65" s="3072"/>
      <c r="O65" s="3099"/>
      <c r="P65" s="3100"/>
      <c r="Q65" s="3100"/>
      <c r="R65" s="3100"/>
      <c r="S65" s="3101" t="s">
        <v>295</v>
      </c>
      <c r="T65" s="3101" t="s">
        <v>213</v>
      </c>
      <c r="U65" s="3102"/>
      <c r="V65" s="3102" t="s">
        <v>295</v>
      </c>
      <c r="W65" s="3102" t="s">
        <v>6797</v>
      </c>
      <c r="X65" s="3102" t="s">
        <v>6798</v>
      </c>
      <c r="Y65" s="3103" t="s">
        <v>164</v>
      </c>
    </row>
    <row r="66" spans="1:25" ht="18">
      <c r="A66" s="1304"/>
      <c r="B66" s="643">
        <v>1131</v>
      </c>
      <c r="C66" s="643" t="s">
        <v>526</v>
      </c>
      <c r="D66" s="3087">
        <v>1</v>
      </c>
      <c r="E66" s="3088" t="str">
        <f t="shared" si="0"/>
        <v>应收股利</v>
      </c>
      <c r="F66" s="3089" t="s">
        <v>527</v>
      </c>
      <c r="G66" s="3090">
        <f t="shared" si="1"/>
        <v>0</v>
      </c>
      <c r="H66" s="3091">
        <f t="shared" ca="1" si="5"/>
        <v>0</v>
      </c>
      <c r="I66" s="3093">
        <f ca="1">IF(AND(LEN(G66)&gt;0,LEN(H66)&gt;0),ROUND(SUM(G66)-SUM(H66),2),"")</f>
        <v>0</v>
      </c>
      <c r="J66" s="3072" t="str">
        <f ca="1">IF(ISNA(I66),"N/A",IF(I66=0,"√","？"))</f>
        <v>√</v>
      </c>
      <c r="K66" s="3090">
        <f t="shared" si="6"/>
        <v>0</v>
      </c>
      <c r="L66" s="3071">
        <f ca="1">INDIRECT("Notes!CheckB"&amp;$C66)</f>
        <v>0</v>
      </c>
      <c r="M66" s="3093">
        <f ca="1">IF(AND(LEN(K66)&gt;0,LEN(L66)&gt;0),ROUND(SUM(K66)-SUM(L66),2),"")</f>
        <v>0</v>
      </c>
      <c r="N66" s="3072" t="str">
        <f ca="1">IF(ISNA(M66),"N/A",IF(M66=0,"√","？"))</f>
        <v>√</v>
      </c>
      <c r="O66" s="3099"/>
      <c r="P66" s="3100"/>
      <c r="Q66" s="3100"/>
      <c r="R66" s="3100"/>
      <c r="S66" s="3101" t="s">
        <v>295</v>
      </c>
      <c r="T66" s="3101" t="s">
        <v>213</v>
      </c>
      <c r="U66" s="3102"/>
      <c r="V66" s="3102" t="s">
        <v>295</v>
      </c>
      <c r="W66" s="3102" t="s">
        <v>6797</v>
      </c>
      <c r="X66" s="3102" t="s">
        <v>6798</v>
      </c>
      <c r="Y66" s="3103" t="s">
        <v>164</v>
      </c>
    </row>
    <row r="67" spans="1:25" ht="24" hidden="1">
      <c r="A67" s="1304"/>
      <c r="B67" s="643">
        <v>1131</v>
      </c>
      <c r="C67" s="643" t="s">
        <v>532</v>
      </c>
      <c r="D67" s="3087">
        <v>2</v>
      </c>
      <c r="E67" s="3088" t="str">
        <f t="shared" si="0"/>
        <v>应收股利</v>
      </c>
      <c r="F67" s="3089" t="s">
        <v>533</v>
      </c>
      <c r="G67" s="3090">
        <f t="shared" si="1"/>
        <v>0</v>
      </c>
      <c r="H67" s="3091">
        <f t="shared" ca="1" si="5"/>
        <v>0</v>
      </c>
      <c r="I67" s="3093" t="s">
        <v>6803</v>
      </c>
      <c r="J67" s="3072"/>
      <c r="K67" s="3090">
        <f t="shared" si="6"/>
        <v>0</v>
      </c>
      <c r="L67" s="3071" t="s">
        <v>6799</v>
      </c>
      <c r="M67" s="3093" t="s">
        <v>6803</v>
      </c>
      <c r="N67" s="3072"/>
      <c r="O67" s="3099"/>
      <c r="P67" s="3100"/>
      <c r="Q67" s="3100"/>
      <c r="R67" s="3100"/>
      <c r="S67" s="3101" t="s">
        <v>295</v>
      </c>
      <c r="T67" s="3101" t="s">
        <v>213</v>
      </c>
      <c r="U67" s="3102"/>
      <c r="V67" s="3102" t="s">
        <v>295</v>
      </c>
      <c r="W67" s="3102" t="s">
        <v>6797</v>
      </c>
      <c r="X67" s="3102" t="s">
        <v>6798</v>
      </c>
      <c r="Y67" s="3103" t="s">
        <v>164</v>
      </c>
    </row>
    <row r="68" spans="1:25" ht="18">
      <c r="A68" s="1304"/>
      <c r="B68" s="643">
        <v>1221</v>
      </c>
      <c r="C68" s="643" t="s">
        <v>538</v>
      </c>
      <c r="D68" s="3087">
        <v>1</v>
      </c>
      <c r="E68" s="3088" t="str">
        <f t="shared" si="0"/>
        <v>其他应收款</v>
      </c>
      <c r="F68" s="3089" t="s">
        <v>539</v>
      </c>
      <c r="G68" s="3090">
        <f t="shared" si="1"/>
        <v>2208147.21</v>
      </c>
      <c r="H68" s="3091">
        <f t="shared" ca="1" si="5"/>
        <v>2208147.21</v>
      </c>
      <c r="I68" s="3093">
        <f ca="1">IF(AND(LEN(G68)&gt;0,LEN(H68)&gt;0),ROUND(SUM(G68)-SUM(H68),2),"")</f>
        <v>0</v>
      </c>
      <c r="J68" s="3072" t="str">
        <f ca="1">IF(ISNA(I68),"N/A",IF(I68=0,"√","？"))</f>
        <v>√</v>
      </c>
      <c r="K68" s="3090">
        <f t="shared" si="6"/>
        <v>328019.46999999997</v>
      </c>
      <c r="L68" s="3071">
        <f ca="1">INDIRECT("Notes!CheckB"&amp;$C68)</f>
        <v>328019.46999999997</v>
      </c>
      <c r="M68" s="3093">
        <f ca="1">IF(AND(LEN(K68)&gt;0,LEN(L68)&gt;0),ROUND(SUM(K68)-SUM(L68),2),"")</f>
        <v>0</v>
      </c>
      <c r="N68" s="3072" t="str">
        <f ca="1">IF(ISNA(M68),"N/A",IF(M68=0,"√","？"))</f>
        <v>√</v>
      </c>
      <c r="O68" s="3099"/>
      <c r="P68" s="3100"/>
      <c r="Q68" s="3100"/>
      <c r="R68" s="3100"/>
      <c r="S68" s="3101" t="s">
        <v>295</v>
      </c>
      <c r="T68" s="3101" t="s">
        <v>213</v>
      </c>
      <c r="U68" s="3102"/>
      <c r="V68" s="3102" t="s">
        <v>295</v>
      </c>
      <c r="W68" s="3102" t="s">
        <v>145</v>
      </c>
      <c r="X68" s="3102" t="s">
        <v>6800</v>
      </c>
      <c r="Y68" s="3103" t="s">
        <v>164</v>
      </c>
    </row>
    <row r="69" spans="1:25" ht="24">
      <c r="A69" s="1304"/>
      <c r="B69" s="643">
        <v>1221</v>
      </c>
      <c r="C69" s="643" t="s">
        <v>544</v>
      </c>
      <c r="D69" s="3087">
        <v>1</v>
      </c>
      <c r="E69" s="3088" t="str">
        <f t="shared" si="0"/>
        <v>其他应收款</v>
      </c>
      <c r="F69" s="3089" t="s">
        <v>545</v>
      </c>
      <c r="G69" s="3090">
        <f t="shared" si="1"/>
        <v>2208147.21</v>
      </c>
      <c r="H69" s="3091">
        <f t="shared" ref="H69:H85" ca="1" si="7">INDIRECT("Notes!CheckA"&amp;$C69)</f>
        <v>2208147.21</v>
      </c>
      <c r="I69" s="3093">
        <f ca="1">IF(AND(LEN(G69)&gt;0,LEN(H69)&gt;0),ROUND(SUM(G69)-SUM(H69),2),"")</f>
        <v>0</v>
      </c>
      <c r="J69" s="3072" t="str">
        <f ca="1">IF(ISNA(I69),"N/A",IF(I69=0,"√","？"))</f>
        <v>√</v>
      </c>
      <c r="K69" s="3090">
        <f t="shared" si="6"/>
        <v>328019.46999999997</v>
      </c>
      <c r="L69" s="3071">
        <f ca="1">INDIRECT("Notes!CheckB"&amp;$C69)</f>
        <v>328019.46999999997</v>
      </c>
      <c r="M69" s="3093">
        <f ca="1">IF(AND(LEN(K69)&gt;0,LEN(L69)&gt;0),ROUND(SUM(K69)-SUM(L69),2),"")</f>
        <v>0</v>
      </c>
      <c r="N69" s="3072" t="str">
        <f ca="1">IF(ISNA(M69),"N/A",IF(M69=0,"√","？"))</f>
        <v>√</v>
      </c>
      <c r="O69" s="3099"/>
      <c r="P69" s="3100"/>
      <c r="Q69" s="3100"/>
      <c r="R69" s="3100"/>
      <c r="S69" s="3101" t="s">
        <v>295</v>
      </c>
      <c r="T69" s="3101" t="s">
        <v>213</v>
      </c>
      <c r="U69" s="3102"/>
      <c r="V69" s="3102" t="s">
        <v>295</v>
      </c>
      <c r="W69" s="3102" t="s">
        <v>6797</v>
      </c>
      <c r="X69" s="3102" t="s">
        <v>6798</v>
      </c>
      <c r="Y69" s="3103" t="s">
        <v>164</v>
      </c>
    </row>
    <row r="70" spans="1:25" ht="36" hidden="1">
      <c r="A70" s="1304"/>
      <c r="B70" s="643">
        <v>1221</v>
      </c>
      <c r="C70" s="643">
        <v>122100</v>
      </c>
      <c r="D70" s="3087">
        <v>2</v>
      </c>
      <c r="E70" s="3088" t="str">
        <f t="shared" si="0"/>
        <v>其他应收款</v>
      </c>
      <c r="F70" s="3089" t="s">
        <v>5909</v>
      </c>
      <c r="G70" s="3090">
        <f t="shared" si="1"/>
        <v>2208147.21</v>
      </c>
      <c r="H70" s="3091">
        <f t="shared" ca="1" si="7"/>
        <v>2208147.21</v>
      </c>
      <c r="I70" s="3093" t="s">
        <v>6803</v>
      </c>
      <c r="J70" s="3072"/>
      <c r="K70" s="3090">
        <f t="shared" si="6"/>
        <v>328019.46999999997</v>
      </c>
      <c r="L70" s="3071" t="s">
        <v>6799</v>
      </c>
      <c r="M70" s="3093" t="s">
        <v>6803</v>
      </c>
      <c r="N70" s="3072"/>
      <c r="O70" s="3099"/>
      <c r="P70" s="3100"/>
      <c r="Q70" s="3100"/>
      <c r="R70" s="3100"/>
      <c r="S70" s="3101" t="s">
        <v>295</v>
      </c>
      <c r="T70" s="3101" t="s">
        <v>213</v>
      </c>
      <c r="U70" s="3102"/>
      <c r="V70" s="3102" t="s">
        <v>295</v>
      </c>
      <c r="W70" s="3102" t="s">
        <v>145</v>
      </c>
      <c r="X70" s="3102" t="s">
        <v>6800</v>
      </c>
      <c r="Y70" s="3103" t="s">
        <v>119</v>
      </c>
    </row>
    <row r="71" spans="1:25" ht="36" hidden="1">
      <c r="A71" s="1304"/>
      <c r="B71" s="643">
        <v>1221</v>
      </c>
      <c r="C71" s="643">
        <v>122101</v>
      </c>
      <c r="D71" s="3087">
        <v>2</v>
      </c>
      <c r="E71" s="3088" t="str">
        <f t="shared" si="0"/>
        <v>其他应收款</v>
      </c>
      <c r="F71" s="3089" t="s">
        <v>6431</v>
      </c>
      <c r="G71" s="3090">
        <f t="shared" si="1"/>
        <v>2208147.21</v>
      </c>
      <c r="H71" s="3091">
        <f t="shared" ca="1" si="7"/>
        <v>2208147.21</v>
      </c>
      <c r="I71" s="3093" t="s">
        <v>6803</v>
      </c>
      <c r="J71" s="3072"/>
      <c r="K71" s="3090">
        <f t="shared" si="6"/>
        <v>328019.46999999997</v>
      </c>
      <c r="L71" s="3071" t="s">
        <v>6799</v>
      </c>
      <c r="M71" s="3093" t="s">
        <v>6803</v>
      </c>
      <c r="N71" s="3072"/>
      <c r="O71" s="3099"/>
      <c r="P71" s="3100"/>
      <c r="Q71" s="3100"/>
      <c r="R71" s="3100"/>
      <c r="S71" s="3101" t="s">
        <v>295</v>
      </c>
      <c r="T71" s="3101" t="s">
        <v>213</v>
      </c>
      <c r="U71" s="3102">
        <v>122100</v>
      </c>
      <c r="V71" s="3102" t="s">
        <v>295</v>
      </c>
      <c r="W71" s="3102" t="s">
        <v>145</v>
      </c>
      <c r="X71" s="3102" t="s">
        <v>6800</v>
      </c>
      <c r="Y71" s="3103" t="s">
        <v>119</v>
      </c>
    </row>
    <row r="72" spans="1:25" ht="36" hidden="1">
      <c r="A72" s="1304"/>
      <c r="B72" s="643">
        <v>1221</v>
      </c>
      <c r="C72" s="643">
        <v>122111</v>
      </c>
      <c r="D72" s="3087">
        <v>2</v>
      </c>
      <c r="E72" s="3088" t="str">
        <f t="shared" si="0"/>
        <v>其他应收款</v>
      </c>
      <c r="F72" s="3089" t="s">
        <v>5922</v>
      </c>
      <c r="G72" s="3090">
        <f t="shared" si="1"/>
        <v>2208147.21</v>
      </c>
      <c r="H72" s="3091">
        <f t="shared" ca="1" si="7"/>
        <v>0</v>
      </c>
      <c r="I72" s="3093" t="s">
        <v>6803</v>
      </c>
      <c r="J72" s="3072"/>
      <c r="K72" s="3090">
        <f t="shared" si="6"/>
        <v>328019.46999999997</v>
      </c>
      <c r="L72" s="3071">
        <f ca="1">INDIRECT("Notes!CheckB"&amp;$C72)</f>
        <v>0</v>
      </c>
      <c r="M72" s="3093" t="s">
        <v>6803</v>
      </c>
      <c r="N72" s="3072"/>
      <c r="O72" s="3099"/>
      <c r="P72" s="3100"/>
      <c r="Q72" s="3100"/>
      <c r="R72" s="3100"/>
      <c r="S72" s="3101" t="s">
        <v>295</v>
      </c>
      <c r="T72" s="3101" t="s">
        <v>213</v>
      </c>
      <c r="U72" s="3102">
        <v>122101</v>
      </c>
      <c r="V72" s="3102" t="s">
        <v>295</v>
      </c>
      <c r="W72" s="3102" t="s">
        <v>145</v>
      </c>
      <c r="X72" s="3102" t="s">
        <v>6800</v>
      </c>
      <c r="Y72" s="3103" t="s">
        <v>119</v>
      </c>
    </row>
    <row r="73" spans="1:25" ht="36" hidden="1">
      <c r="A73" s="1304"/>
      <c r="B73" s="643">
        <v>1221</v>
      </c>
      <c r="C73" s="643">
        <v>122112</v>
      </c>
      <c r="D73" s="3087">
        <v>2</v>
      </c>
      <c r="E73" s="3088" t="str">
        <f t="shared" ref="E73:E136" si="8">IF(ISERROR(VLOOKUP($B73,Sheet_Items,2,0)),"        ----",VLOOKUP($B73,Sheet_Items,2,0))</f>
        <v>其他应收款</v>
      </c>
      <c r="F73" s="3089" t="s">
        <v>5910</v>
      </c>
      <c r="G73" s="3090">
        <f t="shared" ref="G73:G136" si="9">IF(ISERROR(VLOOKUP($B73,Sheet_Trialbal,6,0)),"        ----",VLOOKUP($B73,Sheet_Trialbal,6,0))</f>
        <v>2208147.21</v>
      </c>
      <c r="H73" s="3091">
        <f t="shared" ca="1" si="7"/>
        <v>164999.92000000001</v>
      </c>
      <c r="I73" s="3093" t="s">
        <v>6803</v>
      </c>
      <c r="J73" s="3072"/>
      <c r="K73" s="3090">
        <f t="shared" ref="K73:K104" si="10">IF(ISERROR(VLOOKUP($B73,Sheet_Trialbal,10,0)),"        ----",VLOOKUP($B73,Sheet_Trialbal,10,0))</f>
        <v>328019.46999999997</v>
      </c>
      <c r="L73" s="3071" t="s">
        <v>6799</v>
      </c>
      <c r="M73" s="3093" t="s">
        <v>6803</v>
      </c>
      <c r="N73" s="3072"/>
      <c r="O73" s="3099"/>
      <c r="P73" s="3100"/>
      <c r="Q73" s="3100"/>
      <c r="R73" s="3100"/>
      <c r="S73" s="3101" t="s">
        <v>295</v>
      </c>
      <c r="T73" s="3101" t="s">
        <v>213</v>
      </c>
      <c r="U73" s="3102">
        <v>122101</v>
      </c>
      <c r="V73" s="3102" t="s">
        <v>295</v>
      </c>
      <c r="W73" s="3102" t="s">
        <v>145</v>
      </c>
      <c r="X73" s="3102" t="s">
        <v>6800</v>
      </c>
      <c r="Y73" s="3103" t="s">
        <v>119</v>
      </c>
    </row>
    <row r="74" spans="1:25" ht="36" hidden="1">
      <c r="A74" s="1304"/>
      <c r="B74" s="643">
        <v>1221</v>
      </c>
      <c r="C74" s="643">
        <v>122113</v>
      </c>
      <c r="D74" s="3087">
        <v>2</v>
      </c>
      <c r="E74" s="3088" t="str">
        <f t="shared" si="8"/>
        <v>其他应收款</v>
      </c>
      <c r="F74" s="3089" t="s">
        <v>5921</v>
      </c>
      <c r="G74" s="3090">
        <f t="shared" si="9"/>
        <v>2208147.21</v>
      </c>
      <c r="H74" s="3091">
        <f t="shared" ca="1" si="7"/>
        <v>2026587.02</v>
      </c>
      <c r="I74" s="3093" t="s">
        <v>6803</v>
      </c>
      <c r="J74" s="3072"/>
      <c r="K74" s="3090">
        <f t="shared" si="10"/>
        <v>328019.46999999997</v>
      </c>
      <c r="L74" s="3071" t="s">
        <v>6799</v>
      </c>
      <c r="M74" s="3093" t="s">
        <v>6803</v>
      </c>
      <c r="N74" s="3072"/>
      <c r="O74" s="3099"/>
      <c r="P74" s="3100"/>
      <c r="Q74" s="3100"/>
      <c r="R74" s="3100"/>
      <c r="S74" s="3101" t="s">
        <v>295</v>
      </c>
      <c r="T74" s="3101" t="s">
        <v>213</v>
      </c>
      <c r="U74" s="3102">
        <v>122101</v>
      </c>
      <c r="V74" s="3102" t="s">
        <v>295</v>
      </c>
      <c r="W74" s="3102" t="s">
        <v>145</v>
      </c>
      <c r="X74" s="3102" t="s">
        <v>213</v>
      </c>
      <c r="Y74" s="3103" t="s">
        <v>119</v>
      </c>
    </row>
    <row r="75" spans="1:25" ht="36" hidden="1">
      <c r="A75" s="1304"/>
      <c r="B75" s="643">
        <v>1221</v>
      </c>
      <c r="C75" s="643">
        <v>122114</v>
      </c>
      <c r="D75" s="3087">
        <v>2</v>
      </c>
      <c r="E75" s="3088" t="str">
        <f t="shared" si="8"/>
        <v>其他应收款</v>
      </c>
      <c r="F75" s="3089" t="s">
        <v>5920</v>
      </c>
      <c r="G75" s="3090">
        <f t="shared" si="9"/>
        <v>2208147.21</v>
      </c>
      <c r="H75" s="3091">
        <f t="shared" ca="1" si="7"/>
        <v>27548.19</v>
      </c>
      <c r="I75" s="3093" t="s">
        <v>6803</v>
      </c>
      <c r="J75" s="3072"/>
      <c r="K75" s="3090">
        <f t="shared" si="10"/>
        <v>328019.46999999997</v>
      </c>
      <c r="L75" s="3071" t="s">
        <v>6799</v>
      </c>
      <c r="M75" s="3093" t="s">
        <v>6803</v>
      </c>
      <c r="N75" s="3072"/>
      <c r="O75" s="3099"/>
      <c r="P75" s="3100"/>
      <c r="Q75" s="3100"/>
      <c r="R75" s="3100"/>
      <c r="S75" s="3101" t="s">
        <v>295</v>
      </c>
      <c r="T75" s="3101" t="s">
        <v>213</v>
      </c>
      <c r="U75" s="3102">
        <v>122101</v>
      </c>
      <c r="V75" s="3102" t="s">
        <v>295</v>
      </c>
      <c r="W75" s="3102" t="s">
        <v>145</v>
      </c>
      <c r="X75" s="3102" t="s">
        <v>213</v>
      </c>
      <c r="Y75" s="3103" t="s">
        <v>119</v>
      </c>
    </row>
    <row r="76" spans="1:25" ht="36" hidden="1">
      <c r="A76" s="1304"/>
      <c r="B76" s="643">
        <v>1221</v>
      </c>
      <c r="C76" s="643">
        <v>122102</v>
      </c>
      <c r="D76" s="3087">
        <v>2</v>
      </c>
      <c r="E76" s="3088" t="str">
        <f t="shared" si="8"/>
        <v>其他应收款</v>
      </c>
      <c r="F76" s="3089" t="s">
        <v>6432</v>
      </c>
      <c r="G76" s="3090">
        <f t="shared" si="9"/>
        <v>2208147.21</v>
      </c>
      <c r="H76" s="3091">
        <f t="shared" ca="1" si="7"/>
        <v>0</v>
      </c>
      <c r="I76" s="3093" t="s">
        <v>6803</v>
      </c>
      <c r="J76" s="3072"/>
      <c r="K76" s="3090">
        <f t="shared" si="10"/>
        <v>328019.46999999997</v>
      </c>
      <c r="L76" s="3071">
        <f ca="1">INDIRECT("Notes!CheckB"&amp;$C76)</f>
        <v>0</v>
      </c>
      <c r="M76" s="3093" t="s">
        <v>6803</v>
      </c>
      <c r="N76" s="3072"/>
      <c r="O76" s="3099"/>
      <c r="P76" s="3100"/>
      <c r="Q76" s="3100"/>
      <c r="R76" s="3100"/>
      <c r="S76" s="3101" t="s">
        <v>295</v>
      </c>
      <c r="T76" s="3101" t="s">
        <v>213</v>
      </c>
      <c r="U76" s="3102">
        <v>122100</v>
      </c>
      <c r="V76" s="3102" t="s">
        <v>295</v>
      </c>
      <c r="W76" s="3102" t="s">
        <v>145</v>
      </c>
      <c r="X76" s="3102" t="s">
        <v>6800</v>
      </c>
      <c r="Y76" s="3103" t="s">
        <v>119</v>
      </c>
    </row>
    <row r="77" spans="1:25" ht="36" hidden="1">
      <c r="A77" s="1304"/>
      <c r="B77" s="643">
        <v>1221</v>
      </c>
      <c r="C77" s="643">
        <v>122121</v>
      </c>
      <c r="D77" s="3087">
        <v>2</v>
      </c>
      <c r="E77" s="3088" t="str">
        <f t="shared" si="8"/>
        <v>其他应收款</v>
      </c>
      <c r="F77" s="3089" t="s">
        <v>5911</v>
      </c>
      <c r="G77" s="3090">
        <f t="shared" si="9"/>
        <v>2208147.21</v>
      </c>
      <c r="H77" s="3091">
        <f t="shared" ca="1" si="7"/>
        <v>0</v>
      </c>
      <c r="I77" s="3093" t="s">
        <v>6803</v>
      </c>
      <c r="J77" s="3072"/>
      <c r="K77" s="3090">
        <f t="shared" si="10"/>
        <v>328019.46999999997</v>
      </c>
      <c r="L77" s="3071" t="s">
        <v>6799</v>
      </c>
      <c r="M77" s="3093" t="s">
        <v>6803</v>
      </c>
      <c r="N77" s="3072"/>
      <c r="O77" s="3099"/>
      <c r="P77" s="3100"/>
      <c r="Q77" s="3100"/>
      <c r="R77" s="3100"/>
      <c r="S77" s="3101" t="s">
        <v>295</v>
      </c>
      <c r="T77" s="3101" t="s">
        <v>213</v>
      </c>
      <c r="U77" s="3102">
        <v>122102</v>
      </c>
      <c r="V77" s="3102" t="s">
        <v>295</v>
      </c>
      <c r="W77" s="3102" t="s">
        <v>145</v>
      </c>
      <c r="X77" s="3102" t="s">
        <v>6800</v>
      </c>
      <c r="Y77" s="3103" t="s">
        <v>119</v>
      </c>
    </row>
    <row r="78" spans="1:25" ht="36" hidden="1">
      <c r="A78" s="1304"/>
      <c r="B78" s="643">
        <v>1221</v>
      </c>
      <c r="C78" s="643">
        <v>122122</v>
      </c>
      <c r="D78" s="3087">
        <v>2</v>
      </c>
      <c r="E78" s="3088" t="str">
        <f t="shared" si="8"/>
        <v>其他应收款</v>
      </c>
      <c r="F78" s="3089" t="s">
        <v>5912</v>
      </c>
      <c r="G78" s="3090">
        <f t="shared" si="9"/>
        <v>2208147.21</v>
      </c>
      <c r="H78" s="3091">
        <f t="shared" ca="1" si="7"/>
        <v>0</v>
      </c>
      <c r="I78" s="3093" t="s">
        <v>6803</v>
      </c>
      <c r="J78" s="3072"/>
      <c r="K78" s="3090">
        <f t="shared" si="10"/>
        <v>328019.46999999997</v>
      </c>
      <c r="L78" s="3071" t="s">
        <v>6799</v>
      </c>
      <c r="M78" s="3093" t="s">
        <v>6803</v>
      </c>
      <c r="N78" s="3072"/>
      <c r="O78" s="3099"/>
      <c r="P78" s="3100"/>
      <c r="Q78" s="3100"/>
      <c r="R78" s="3100"/>
      <c r="S78" s="3101" t="s">
        <v>295</v>
      </c>
      <c r="T78" s="3101" t="s">
        <v>213</v>
      </c>
      <c r="U78" s="3102">
        <v>122102</v>
      </c>
      <c r="V78" s="3102" t="s">
        <v>295</v>
      </c>
      <c r="W78" s="3102" t="s">
        <v>145</v>
      </c>
      <c r="X78" s="3102" t="s">
        <v>6800</v>
      </c>
      <c r="Y78" s="3103" t="s">
        <v>119</v>
      </c>
    </row>
    <row r="79" spans="1:25" ht="36" hidden="1">
      <c r="A79" s="1304"/>
      <c r="B79" s="643">
        <v>1221</v>
      </c>
      <c r="C79" s="643">
        <v>122123</v>
      </c>
      <c r="D79" s="3087">
        <v>2</v>
      </c>
      <c r="E79" s="3088" t="str">
        <f t="shared" si="8"/>
        <v>其他应收款</v>
      </c>
      <c r="F79" s="3089" t="s">
        <v>5913</v>
      </c>
      <c r="G79" s="3090">
        <f t="shared" si="9"/>
        <v>2208147.21</v>
      </c>
      <c r="H79" s="3091">
        <f t="shared" ca="1" si="7"/>
        <v>0</v>
      </c>
      <c r="I79" s="3093" t="s">
        <v>6803</v>
      </c>
      <c r="J79" s="3072"/>
      <c r="K79" s="3090">
        <f t="shared" si="10"/>
        <v>328019.46999999997</v>
      </c>
      <c r="L79" s="3071" t="s">
        <v>6799</v>
      </c>
      <c r="M79" s="3093" t="s">
        <v>6803</v>
      </c>
      <c r="N79" s="3072"/>
      <c r="O79" s="3099"/>
      <c r="P79" s="3100"/>
      <c r="Q79" s="3100"/>
      <c r="R79" s="3100"/>
      <c r="S79" s="3101" t="s">
        <v>295</v>
      </c>
      <c r="T79" s="3101" t="s">
        <v>213</v>
      </c>
      <c r="U79" s="3102">
        <v>122102</v>
      </c>
      <c r="V79" s="3102" t="s">
        <v>295</v>
      </c>
      <c r="W79" s="3102" t="s">
        <v>145</v>
      </c>
      <c r="X79" s="3102" t="s">
        <v>213</v>
      </c>
      <c r="Y79" s="3103" t="s">
        <v>119</v>
      </c>
    </row>
    <row r="80" spans="1:25" ht="36" hidden="1">
      <c r="A80" s="1304"/>
      <c r="B80" s="643">
        <v>1221</v>
      </c>
      <c r="C80" s="643">
        <v>122124</v>
      </c>
      <c r="D80" s="3087">
        <v>2</v>
      </c>
      <c r="E80" s="3088" t="str">
        <f t="shared" si="8"/>
        <v>其他应收款</v>
      </c>
      <c r="F80" s="3089" t="s">
        <v>5914</v>
      </c>
      <c r="G80" s="3090">
        <f t="shared" si="9"/>
        <v>2208147.21</v>
      </c>
      <c r="H80" s="3091">
        <f t="shared" ca="1" si="7"/>
        <v>0</v>
      </c>
      <c r="I80" s="3093" t="s">
        <v>6803</v>
      </c>
      <c r="J80" s="3072"/>
      <c r="K80" s="3090">
        <f t="shared" si="10"/>
        <v>328019.46999999997</v>
      </c>
      <c r="L80" s="3071" t="s">
        <v>6799</v>
      </c>
      <c r="M80" s="3093" t="s">
        <v>6803</v>
      </c>
      <c r="N80" s="3072"/>
      <c r="O80" s="3099"/>
      <c r="P80" s="3100"/>
      <c r="Q80" s="3100"/>
      <c r="R80" s="3100"/>
      <c r="S80" s="3101" t="s">
        <v>295</v>
      </c>
      <c r="T80" s="3101" t="s">
        <v>213</v>
      </c>
      <c r="U80" s="3102">
        <v>122102</v>
      </c>
      <c r="V80" s="3102" t="s">
        <v>295</v>
      </c>
      <c r="W80" s="3102" t="s">
        <v>145</v>
      </c>
      <c r="X80" s="3102" t="s">
        <v>213</v>
      </c>
      <c r="Y80" s="3103" t="s">
        <v>119</v>
      </c>
    </row>
    <row r="81" spans="1:25" ht="36" hidden="1">
      <c r="A81" s="1304"/>
      <c r="B81" s="643">
        <v>1221</v>
      </c>
      <c r="C81" s="643">
        <v>122103</v>
      </c>
      <c r="D81" s="3087">
        <v>2</v>
      </c>
      <c r="E81" s="3088" t="str">
        <f t="shared" si="8"/>
        <v>其他应收款</v>
      </c>
      <c r="F81" s="3089" t="s">
        <v>6433</v>
      </c>
      <c r="G81" s="3090">
        <f t="shared" si="9"/>
        <v>2208147.21</v>
      </c>
      <c r="H81" s="3091">
        <f t="shared" ca="1" si="7"/>
        <v>0</v>
      </c>
      <c r="I81" s="3093" t="s">
        <v>6803</v>
      </c>
      <c r="J81" s="3072"/>
      <c r="K81" s="3090">
        <f t="shared" si="10"/>
        <v>328019.46999999997</v>
      </c>
      <c r="L81" s="3071" t="s">
        <v>6799</v>
      </c>
      <c r="M81" s="3093" t="s">
        <v>6803</v>
      </c>
      <c r="N81" s="3072"/>
      <c r="O81" s="3099"/>
      <c r="P81" s="3100"/>
      <c r="Q81" s="3100"/>
      <c r="R81" s="3100"/>
      <c r="S81" s="3101" t="s">
        <v>295</v>
      </c>
      <c r="T81" s="3101" t="s">
        <v>213</v>
      </c>
      <c r="U81" s="3102">
        <v>122100</v>
      </c>
      <c r="V81" s="3102" t="s">
        <v>295</v>
      </c>
      <c r="W81" s="3102" t="s">
        <v>145</v>
      </c>
      <c r="X81" s="3102" t="s">
        <v>6800</v>
      </c>
      <c r="Y81" s="3103" t="s">
        <v>119</v>
      </c>
    </row>
    <row r="82" spans="1:25" ht="36" hidden="1">
      <c r="A82" s="1304"/>
      <c r="B82" s="643">
        <v>1221</v>
      </c>
      <c r="C82" s="643">
        <v>122131</v>
      </c>
      <c r="D82" s="3087">
        <v>2</v>
      </c>
      <c r="E82" s="3088" t="str">
        <f t="shared" si="8"/>
        <v>其他应收款</v>
      </c>
      <c r="F82" s="3089" t="s">
        <v>5915</v>
      </c>
      <c r="G82" s="3090">
        <f t="shared" si="9"/>
        <v>2208147.21</v>
      </c>
      <c r="H82" s="3091">
        <f t="shared" ca="1" si="7"/>
        <v>0</v>
      </c>
      <c r="I82" s="3093" t="s">
        <v>6803</v>
      </c>
      <c r="J82" s="3072"/>
      <c r="K82" s="3090">
        <f t="shared" si="10"/>
        <v>328019.46999999997</v>
      </c>
      <c r="L82" s="3071" t="s">
        <v>6799</v>
      </c>
      <c r="M82" s="3093" t="s">
        <v>6803</v>
      </c>
      <c r="N82" s="3072"/>
      <c r="O82" s="3099"/>
      <c r="P82" s="3100"/>
      <c r="Q82" s="3100"/>
      <c r="R82" s="3100"/>
      <c r="S82" s="3101" t="s">
        <v>295</v>
      </c>
      <c r="T82" s="3101" t="s">
        <v>213</v>
      </c>
      <c r="U82" s="3102">
        <v>122103</v>
      </c>
      <c r="V82" s="3102" t="s">
        <v>295</v>
      </c>
      <c r="W82" s="3102" t="s">
        <v>145</v>
      </c>
      <c r="X82" s="3102" t="s">
        <v>6800</v>
      </c>
      <c r="Y82" s="3103" t="s">
        <v>119</v>
      </c>
    </row>
    <row r="83" spans="1:25" ht="36" hidden="1">
      <c r="A83" s="1304"/>
      <c r="B83" s="643">
        <v>1221</v>
      </c>
      <c r="C83" s="643">
        <v>122132</v>
      </c>
      <c r="D83" s="3087">
        <v>2</v>
      </c>
      <c r="E83" s="3088" t="str">
        <f t="shared" si="8"/>
        <v>其他应收款</v>
      </c>
      <c r="F83" s="3089" t="s">
        <v>5916</v>
      </c>
      <c r="G83" s="3090">
        <f t="shared" si="9"/>
        <v>2208147.21</v>
      </c>
      <c r="H83" s="3091">
        <f t="shared" ca="1" si="7"/>
        <v>0</v>
      </c>
      <c r="I83" s="3093" t="s">
        <v>6803</v>
      </c>
      <c r="J83" s="3072"/>
      <c r="K83" s="3090">
        <f t="shared" si="10"/>
        <v>328019.46999999997</v>
      </c>
      <c r="L83" s="3071" t="s">
        <v>6799</v>
      </c>
      <c r="M83" s="3093" t="s">
        <v>6803</v>
      </c>
      <c r="N83" s="3072"/>
      <c r="O83" s="3099"/>
      <c r="P83" s="3100"/>
      <c r="Q83" s="3100"/>
      <c r="R83" s="3100"/>
      <c r="S83" s="3101" t="s">
        <v>295</v>
      </c>
      <c r="T83" s="3101" t="s">
        <v>213</v>
      </c>
      <c r="U83" s="3102">
        <v>122103</v>
      </c>
      <c r="V83" s="3102" t="s">
        <v>295</v>
      </c>
      <c r="W83" s="3102" t="s">
        <v>145</v>
      </c>
      <c r="X83" s="3102" t="s">
        <v>6800</v>
      </c>
      <c r="Y83" s="3103" t="s">
        <v>119</v>
      </c>
    </row>
    <row r="84" spans="1:25" ht="36" hidden="1">
      <c r="A84" s="1304"/>
      <c r="B84" s="643">
        <v>1221</v>
      </c>
      <c r="C84" s="643">
        <v>122133</v>
      </c>
      <c r="D84" s="3087">
        <v>2</v>
      </c>
      <c r="E84" s="3088" t="str">
        <f t="shared" si="8"/>
        <v>其他应收款</v>
      </c>
      <c r="F84" s="3089" t="s">
        <v>5917</v>
      </c>
      <c r="G84" s="3090">
        <f t="shared" si="9"/>
        <v>2208147.21</v>
      </c>
      <c r="H84" s="3091">
        <f t="shared" ca="1" si="7"/>
        <v>0</v>
      </c>
      <c r="I84" s="3093" t="s">
        <v>6803</v>
      </c>
      <c r="J84" s="3072"/>
      <c r="K84" s="3090">
        <f t="shared" si="10"/>
        <v>328019.46999999997</v>
      </c>
      <c r="L84" s="3071">
        <f t="shared" ref="L84:L90" ca="1" si="11">INDIRECT("Notes!CheckB"&amp;$C84)</f>
        <v>0</v>
      </c>
      <c r="M84" s="3093" t="s">
        <v>6803</v>
      </c>
      <c r="N84" s="3072"/>
      <c r="O84" s="3099"/>
      <c r="P84" s="3100"/>
      <c r="Q84" s="3100"/>
      <c r="R84" s="3100"/>
      <c r="S84" s="3101" t="s">
        <v>295</v>
      </c>
      <c r="T84" s="3101" t="s">
        <v>213</v>
      </c>
      <c r="U84" s="3102">
        <v>122103</v>
      </c>
      <c r="V84" s="3102" t="s">
        <v>295</v>
      </c>
      <c r="W84" s="3102" t="s">
        <v>145</v>
      </c>
      <c r="X84" s="3102" t="s">
        <v>213</v>
      </c>
      <c r="Y84" s="3103" t="s">
        <v>119</v>
      </c>
    </row>
    <row r="85" spans="1:25" ht="36" hidden="1">
      <c r="A85" s="1304"/>
      <c r="B85" s="643">
        <v>1221</v>
      </c>
      <c r="C85" s="643">
        <v>122134</v>
      </c>
      <c r="D85" s="3087">
        <v>2</v>
      </c>
      <c r="E85" s="3088" t="str">
        <f t="shared" si="8"/>
        <v>其他应收款</v>
      </c>
      <c r="F85" s="3089" t="s">
        <v>5918</v>
      </c>
      <c r="G85" s="3090">
        <f t="shared" si="9"/>
        <v>2208147.21</v>
      </c>
      <c r="H85" s="3091">
        <f t="shared" ca="1" si="7"/>
        <v>0</v>
      </c>
      <c r="I85" s="3093" t="s">
        <v>6803</v>
      </c>
      <c r="J85" s="3072"/>
      <c r="K85" s="3090">
        <f t="shared" si="10"/>
        <v>328019.46999999997</v>
      </c>
      <c r="L85" s="3071">
        <f t="shared" ca="1" si="11"/>
        <v>0</v>
      </c>
      <c r="M85" s="3093" t="s">
        <v>6803</v>
      </c>
      <c r="N85" s="3072"/>
      <c r="O85" s="3099"/>
      <c r="P85" s="3100"/>
      <c r="Q85" s="3100"/>
      <c r="R85" s="3100"/>
      <c r="S85" s="3101" t="s">
        <v>295</v>
      </c>
      <c r="T85" s="3101" t="s">
        <v>213</v>
      </c>
      <c r="U85" s="3102">
        <v>122103</v>
      </c>
      <c r="V85" s="3102" t="s">
        <v>295</v>
      </c>
      <c r="W85" s="3102" t="s">
        <v>145</v>
      </c>
      <c r="X85" s="3102" t="s">
        <v>213</v>
      </c>
      <c r="Y85" s="3103" t="s">
        <v>119</v>
      </c>
    </row>
    <row r="86" spans="1:25" ht="36" hidden="1">
      <c r="A86" s="1304"/>
      <c r="B86" s="643">
        <v>1221</v>
      </c>
      <c r="C86" s="643" t="s">
        <v>558</v>
      </c>
      <c r="D86" s="3087">
        <v>2</v>
      </c>
      <c r="E86" s="3088" t="str">
        <f t="shared" si="8"/>
        <v>其他应收款</v>
      </c>
      <c r="F86" s="3089" t="s">
        <v>6434</v>
      </c>
      <c r="G86" s="3090">
        <f t="shared" si="9"/>
        <v>2208147.21</v>
      </c>
      <c r="H86" s="3091" t="s">
        <v>6799</v>
      </c>
      <c r="I86" s="3093" t="s">
        <v>6803</v>
      </c>
      <c r="J86" s="3072"/>
      <c r="K86" s="3090">
        <f t="shared" si="10"/>
        <v>328019.46999999997</v>
      </c>
      <c r="L86" s="3071">
        <f t="shared" ca="1" si="11"/>
        <v>0</v>
      </c>
      <c r="M86" s="3093" t="s">
        <v>6803</v>
      </c>
      <c r="N86" s="3072"/>
      <c r="O86" s="3099"/>
      <c r="P86" s="3100"/>
      <c r="Q86" s="3100"/>
      <c r="R86" s="3100"/>
      <c r="S86" s="3101" t="s">
        <v>295</v>
      </c>
      <c r="T86" s="3101" t="s">
        <v>213</v>
      </c>
      <c r="U86" s="3102"/>
      <c r="V86" s="3102" t="s">
        <v>295</v>
      </c>
      <c r="W86" s="3102" t="s">
        <v>145</v>
      </c>
      <c r="X86" s="3102" t="s">
        <v>6800</v>
      </c>
      <c r="Y86" s="3103" t="s">
        <v>119</v>
      </c>
    </row>
    <row r="87" spans="1:25" ht="48" hidden="1">
      <c r="A87" s="1304"/>
      <c r="B87" s="643">
        <v>1221</v>
      </c>
      <c r="C87" s="643" t="s">
        <v>569</v>
      </c>
      <c r="D87" s="3087">
        <v>2</v>
      </c>
      <c r="E87" s="3088" t="str">
        <f t="shared" si="8"/>
        <v>其他应收款</v>
      </c>
      <c r="F87" s="3089" t="s">
        <v>6435</v>
      </c>
      <c r="G87" s="3090">
        <f t="shared" si="9"/>
        <v>2208147.21</v>
      </c>
      <c r="H87" s="3091" t="s">
        <v>6799</v>
      </c>
      <c r="I87" s="3093" t="s">
        <v>6803</v>
      </c>
      <c r="J87" s="3072"/>
      <c r="K87" s="3090">
        <f t="shared" si="10"/>
        <v>328019.46999999997</v>
      </c>
      <c r="L87" s="3071">
        <f t="shared" ca="1" si="11"/>
        <v>0</v>
      </c>
      <c r="M87" s="3093" t="s">
        <v>6803</v>
      </c>
      <c r="N87" s="3072"/>
      <c r="O87" s="3099"/>
      <c r="P87" s="3100"/>
      <c r="Q87" s="3100"/>
      <c r="R87" s="3100"/>
      <c r="S87" s="3101" t="s">
        <v>295</v>
      </c>
      <c r="T87" s="3101" t="s">
        <v>213</v>
      </c>
      <c r="U87" s="3102"/>
      <c r="V87" s="3102" t="s">
        <v>295</v>
      </c>
      <c r="W87" s="3102" t="s">
        <v>145</v>
      </c>
      <c r="X87" s="3102" t="s">
        <v>6800</v>
      </c>
      <c r="Y87" s="3103" t="s">
        <v>119</v>
      </c>
    </row>
    <row r="88" spans="1:25" ht="48" hidden="1">
      <c r="A88" s="1304"/>
      <c r="B88" s="643">
        <v>1221</v>
      </c>
      <c r="C88" s="643" t="s">
        <v>575</v>
      </c>
      <c r="D88" s="3087">
        <v>2</v>
      </c>
      <c r="E88" s="3088" t="str">
        <f t="shared" si="8"/>
        <v>其他应收款</v>
      </c>
      <c r="F88" s="3089" t="s">
        <v>6436</v>
      </c>
      <c r="G88" s="3090">
        <f t="shared" si="9"/>
        <v>2208147.21</v>
      </c>
      <c r="H88" s="3091" t="s">
        <v>6799</v>
      </c>
      <c r="I88" s="3093" t="s">
        <v>6803</v>
      </c>
      <c r="J88" s="3072"/>
      <c r="K88" s="3090">
        <f t="shared" si="10"/>
        <v>328019.46999999997</v>
      </c>
      <c r="L88" s="3071">
        <f t="shared" ca="1" si="11"/>
        <v>0</v>
      </c>
      <c r="M88" s="3093" t="s">
        <v>6803</v>
      </c>
      <c r="N88" s="3072"/>
      <c r="O88" s="3099"/>
      <c r="P88" s="3100"/>
      <c r="Q88" s="3100"/>
      <c r="R88" s="3100"/>
      <c r="S88" s="3101" t="s">
        <v>295</v>
      </c>
      <c r="T88" s="3101" t="s">
        <v>213</v>
      </c>
      <c r="U88" s="3102"/>
      <c r="V88" s="3102" t="s">
        <v>295</v>
      </c>
      <c r="W88" s="3102" t="s">
        <v>145</v>
      </c>
      <c r="X88" s="3102" t="s">
        <v>6800</v>
      </c>
      <c r="Y88" s="3103" t="s">
        <v>119</v>
      </c>
    </row>
    <row r="89" spans="1:25" ht="24" hidden="1">
      <c r="A89" s="1304"/>
      <c r="B89" s="643">
        <v>1221</v>
      </c>
      <c r="C89" s="643" t="s">
        <v>579</v>
      </c>
      <c r="D89" s="3087">
        <v>2</v>
      </c>
      <c r="E89" s="3088" t="str">
        <f t="shared" si="8"/>
        <v>其他应收款</v>
      </c>
      <c r="F89" s="3089" t="s">
        <v>580</v>
      </c>
      <c r="G89" s="3090">
        <f t="shared" si="9"/>
        <v>2208147.21</v>
      </c>
      <c r="H89" s="3091">
        <f t="shared" ref="H89:H101" ca="1" si="12">INDIRECT("Notes!CheckA"&amp;$C89)</f>
        <v>10987.92</v>
      </c>
      <c r="I89" s="3093" t="s">
        <v>6803</v>
      </c>
      <c r="J89" s="3072"/>
      <c r="K89" s="3090">
        <f t="shared" si="10"/>
        <v>328019.46999999997</v>
      </c>
      <c r="L89" s="3071">
        <f t="shared" ca="1" si="11"/>
        <v>19238.12</v>
      </c>
      <c r="M89" s="3093" t="s">
        <v>6803</v>
      </c>
      <c r="N89" s="3072"/>
      <c r="O89" s="3099"/>
      <c r="P89" s="3100"/>
      <c r="Q89" s="3100"/>
      <c r="R89" s="3100"/>
      <c r="S89" s="3101" t="s">
        <v>295</v>
      </c>
      <c r="T89" s="3101" t="s">
        <v>213</v>
      </c>
      <c r="U89" s="3102"/>
      <c r="V89" s="3102" t="s">
        <v>295</v>
      </c>
      <c r="W89" s="3102" t="s">
        <v>145</v>
      </c>
      <c r="X89" s="3102" t="s">
        <v>6800</v>
      </c>
      <c r="Y89" s="3103" t="s">
        <v>119</v>
      </c>
    </row>
    <row r="90" spans="1:25" ht="36" hidden="1">
      <c r="A90" s="1304"/>
      <c r="B90" s="643">
        <v>1221</v>
      </c>
      <c r="C90" s="643">
        <v>122104</v>
      </c>
      <c r="D90" s="3087">
        <v>2</v>
      </c>
      <c r="E90" s="3088" t="str">
        <f t="shared" si="8"/>
        <v>其他应收款</v>
      </c>
      <c r="F90" s="3089" t="s">
        <v>5908</v>
      </c>
      <c r="G90" s="3090">
        <f t="shared" si="9"/>
        <v>2208147.21</v>
      </c>
      <c r="H90" s="3091">
        <f t="shared" ca="1" si="12"/>
        <v>0</v>
      </c>
      <c r="I90" s="3093" t="s">
        <v>6803</v>
      </c>
      <c r="J90" s="3072"/>
      <c r="K90" s="3090">
        <f t="shared" si="10"/>
        <v>328019.46999999997</v>
      </c>
      <c r="L90" s="3071">
        <f t="shared" ca="1" si="11"/>
        <v>0</v>
      </c>
      <c r="M90" s="3093" t="s">
        <v>6803</v>
      </c>
      <c r="N90" s="3072"/>
      <c r="O90" s="3099"/>
      <c r="P90" s="3100"/>
      <c r="Q90" s="3100"/>
      <c r="R90" s="3100"/>
      <c r="S90" s="3101" t="s">
        <v>295</v>
      </c>
      <c r="T90" s="3101" t="s">
        <v>213</v>
      </c>
      <c r="U90" s="3102"/>
      <c r="V90" s="3102" t="s">
        <v>295</v>
      </c>
      <c r="W90" s="3102" t="s">
        <v>145</v>
      </c>
      <c r="X90" s="3102" t="s">
        <v>6800</v>
      </c>
      <c r="Y90" s="3103" t="s">
        <v>119</v>
      </c>
    </row>
    <row r="91" spans="1:25" ht="36" hidden="1">
      <c r="A91" s="1304"/>
      <c r="B91" s="643">
        <v>1221</v>
      </c>
      <c r="C91" s="643" t="s">
        <v>584</v>
      </c>
      <c r="D91" s="3087">
        <v>2</v>
      </c>
      <c r="E91" s="3088" t="str">
        <f t="shared" si="8"/>
        <v>其他应收款</v>
      </c>
      <c r="F91" s="3089" t="s">
        <v>585</v>
      </c>
      <c r="G91" s="3090">
        <f t="shared" si="9"/>
        <v>2208147.21</v>
      </c>
      <c r="H91" s="3091">
        <f t="shared" ca="1" si="12"/>
        <v>0</v>
      </c>
      <c r="I91" s="3093" t="s">
        <v>6803</v>
      </c>
      <c r="J91" s="3072"/>
      <c r="K91" s="3090">
        <f t="shared" si="10"/>
        <v>328019.46999999997</v>
      </c>
      <c r="L91" s="3071" t="s">
        <v>6799</v>
      </c>
      <c r="M91" s="3093" t="s">
        <v>6803</v>
      </c>
      <c r="N91" s="3072"/>
      <c r="O91" s="3099"/>
      <c r="P91" s="3100"/>
      <c r="Q91" s="3100"/>
      <c r="R91" s="3100"/>
      <c r="S91" s="3101" t="s">
        <v>295</v>
      </c>
      <c r="T91" s="3101" t="s">
        <v>213</v>
      </c>
      <c r="U91" s="3102"/>
      <c r="V91" s="3102" t="s">
        <v>295</v>
      </c>
      <c r="W91" s="3102" t="s">
        <v>6797</v>
      </c>
      <c r="X91" s="3102" t="s">
        <v>6800</v>
      </c>
      <c r="Y91" s="3103" t="s">
        <v>164</v>
      </c>
    </row>
    <row r="92" spans="1:25" ht="24" hidden="1">
      <c r="A92" s="1304"/>
      <c r="B92" s="643">
        <v>1221</v>
      </c>
      <c r="C92" s="643" t="s">
        <v>590</v>
      </c>
      <c r="D92" s="3087">
        <v>2</v>
      </c>
      <c r="E92" s="3088" t="str">
        <f t="shared" si="8"/>
        <v>其他应收款</v>
      </c>
      <c r="F92" s="3089" t="s">
        <v>591</v>
      </c>
      <c r="G92" s="3090">
        <f t="shared" si="9"/>
        <v>2208147.21</v>
      </c>
      <c r="H92" s="3091">
        <f t="shared" ca="1" si="12"/>
        <v>0</v>
      </c>
      <c r="I92" s="3093" t="s">
        <v>6803</v>
      </c>
      <c r="J92" s="3072"/>
      <c r="K92" s="3090">
        <f t="shared" si="10"/>
        <v>328019.46999999997</v>
      </c>
      <c r="L92" s="3071">
        <f ca="1">INDIRECT("Notes!CheckB"&amp;$C92)</f>
        <v>0</v>
      </c>
      <c r="M92" s="3093" t="s">
        <v>6803</v>
      </c>
      <c r="N92" s="3072"/>
      <c r="O92" s="3099"/>
      <c r="P92" s="3100"/>
      <c r="Q92" s="3100"/>
      <c r="R92" s="3100"/>
      <c r="S92" s="3101" t="s">
        <v>295</v>
      </c>
      <c r="T92" s="3101" t="s">
        <v>213</v>
      </c>
      <c r="U92" s="3102"/>
      <c r="V92" s="3102" t="s">
        <v>295</v>
      </c>
      <c r="W92" s="3102" t="s">
        <v>6797</v>
      </c>
      <c r="X92" s="3102" t="s">
        <v>6800</v>
      </c>
      <c r="Y92" s="3103" t="s">
        <v>164</v>
      </c>
    </row>
    <row r="93" spans="1:25" ht="24" hidden="1">
      <c r="A93" s="1304"/>
      <c r="B93" s="643">
        <v>1221</v>
      </c>
      <c r="C93" s="643" t="s">
        <v>595</v>
      </c>
      <c r="D93" s="3087">
        <v>2</v>
      </c>
      <c r="E93" s="3088" t="str">
        <f t="shared" si="8"/>
        <v>其他应收款</v>
      </c>
      <c r="F93" s="3089" t="s">
        <v>596</v>
      </c>
      <c r="G93" s="3090">
        <f t="shared" si="9"/>
        <v>2208147.21</v>
      </c>
      <c r="H93" s="3091">
        <f t="shared" ca="1" si="12"/>
        <v>0</v>
      </c>
      <c r="I93" s="3093" t="s">
        <v>6803</v>
      </c>
      <c r="J93" s="3072"/>
      <c r="K93" s="3090">
        <f t="shared" si="10"/>
        <v>328019.46999999997</v>
      </c>
      <c r="L93" s="3071" t="s">
        <v>6799</v>
      </c>
      <c r="M93" s="3093" t="s">
        <v>6803</v>
      </c>
      <c r="N93" s="3072"/>
      <c r="O93" s="3099"/>
      <c r="P93" s="3100"/>
      <c r="Q93" s="3100"/>
      <c r="R93" s="3100"/>
      <c r="S93" s="3101" t="s">
        <v>295</v>
      </c>
      <c r="T93" s="3101" t="s">
        <v>213</v>
      </c>
      <c r="U93" s="3102"/>
      <c r="V93" s="3102" t="s">
        <v>295</v>
      </c>
      <c r="W93" s="3102" t="s">
        <v>6797</v>
      </c>
      <c r="X93" s="3102" t="s">
        <v>6800</v>
      </c>
      <c r="Y93" s="3103" t="s">
        <v>164</v>
      </c>
    </row>
    <row r="94" spans="1:25" ht="36" hidden="1">
      <c r="A94" s="1304"/>
      <c r="B94" s="643">
        <v>1221</v>
      </c>
      <c r="C94" s="643" t="s">
        <v>600</v>
      </c>
      <c r="D94" s="3087">
        <v>2</v>
      </c>
      <c r="E94" s="3088" t="str">
        <f t="shared" si="8"/>
        <v>其他应收款</v>
      </c>
      <c r="F94" s="3089" t="s">
        <v>601</v>
      </c>
      <c r="G94" s="3090">
        <f t="shared" si="9"/>
        <v>2208147.21</v>
      </c>
      <c r="H94" s="3091">
        <f t="shared" ca="1" si="12"/>
        <v>0</v>
      </c>
      <c r="I94" s="3093" t="s">
        <v>6803</v>
      </c>
      <c r="J94" s="3072"/>
      <c r="K94" s="3090">
        <f t="shared" si="10"/>
        <v>328019.46999999997</v>
      </c>
      <c r="L94" s="3071" t="s">
        <v>6799</v>
      </c>
      <c r="M94" s="3093" t="s">
        <v>6803</v>
      </c>
      <c r="N94" s="3072"/>
      <c r="O94" s="3099"/>
      <c r="P94" s="3100"/>
      <c r="Q94" s="3100"/>
      <c r="R94" s="3100"/>
      <c r="S94" s="3101" t="s">
        <v>295</v>
      </c>
      <c r="T94" s="3101" t="s">
        <v>213</v>
      </c>
      <c r="U94" s="3102"/>
      <c r="V94" s="3102" t="s">
        <v>295</v>
      </c>
      <c r="W94" s="3102" t="s">
        <v>6797</v>
      </c>
      <c r="X94" s="3102" t="s">
        <v>6800</v>
      </c>
      <c r="Y94" s="3103" t="s">
        <v>164</v>
      </c>
    </row>
    <row r="95" spans="1:25" ht="24" hidden="1">
      <c r="A95" s="1304"/>
      <c r="B95" s="643">
        <v>1221</v>
      </c>
      <c r="C95" s="643" t="s">
        <v>605</v>
      </c>
      <c r="D95" s="3087">
        <v>2</v>
      </c>
      <c r="E95" s="3088" t="str">
        <f t="shared" si="8"/>
        <v>其他应收款</v>
      </c>
      <c r="F95" s="3089" t="s">
        <v>606</v>
      </c>
      <c r="G95" s="3090">
        <f t="shared" si="9"/>
        <v>2208147.21</v>
      </c>
      <c r="H95" s="3091">
        <f t="shared" ca="1" si="12"/>
        <v>0</v>
      </c>
      <c r="I95" s="3093" t="s">
        <v>6803</v>
      </c>
      <c r="J95" s="3072"/>
      <c r="K95" s="3090">
        <f t="shared" si="10"/>
        <v>328019.46999999997</v>
      </c>
      <c r="L95" s="3071" t="s">
        <v>6799</v>
      </c>
      <c r="M95" s="3093" t="s">
        <v>6803</v>
      </c>
      <c r="N95" s="3072"/>
      <c r="O95" s="3099"/>
      <c r="P95" s="3100"/>
      <c r="Q95" s="3100"/>
      <c r="R95" s="3100"/>
      <c r="S95" s="3101" t="s">
        <v>295</v>
      </c>
      <c r="T95" s="3101" t="s">
        <v>213</v>
      </c>
      <c r="U95" s="3102"/>
      <c r="V95" s="3102" t="s">
        <v>295</v>
      </c>
      <c r="W95" s="3102" t="s">
        <v>6797</v>
      </c>
      <c r="X95" s="3102" t="s">
        <v>6800</v>
      </c>
      <c r="Y95" s="3103" t="s">
        <v>164</v>
      </c>
    </row>
    <row r="96" spans="1:25" ht="24" hidden="1">
      <c r="A96" s="1304"/>
      <c r="B96" s="643">
        <v>1221</v>
      </c>
      <c r="C96" s="643" t="s">
        <v>609</v>
      </c>
      <c r="D96" s="3087">
        <v>2</v>
      </c>
      <c r="E96" s="3088" t="str">
        <f t="shared" si="8"/>
        <v>其他应收款</v>
      </c>
      <c r="F96" s="3089" t="s">
        <v>610</v>
      </c>
      <c r="G96" s="3090">
        <f t="shared" si="9"/>
        <v>2208147.21</v>
      </c>
      <c r="H96" s="3091">
        <f t="shared" ca="1" si="12"/>
        <v>0</v>
      </c>
      <c r="I96" s="3093" t="s">
        <v>6803</v>
      </c>
      <c r="J96" s="3072"/>
      <c r="K96" s="3090">
        <f t="shared" si="10"/>
        <v>328019.46999999997</v>
      </c>
      <c r="L96" s="3071" t="s">
        <v>6799</v>
      </c>
      <c r="M96" s="3093" t="s">
        <v>6803</v>
      </c>
      <c r="N96" s="3072"/>
      <c r="O96" s="3099"/>
      <c r="P96" s="3100"/>
      <c r="Q96" s="3100"/>
      <c r="R96" s="3100"/>
      <c r="S96" s="3101" t="s">
        <v>295</v>
      </c>
      <c r="T96" s="3101" t="s">
        <v>213</v>
      </c>
      <c r="U96" s="3102"/>
      <c r="V96" s="3102" t="s">
        <v>295</v>
      </c>
      <c r="W96" s="3102" t="s">
        <v>6797</v>
      </c>
      <c r="X96" s="3102" t="s">
        <v>6800</v>
      </c>
      <c r="Y96" s="3103" t="s">
        <v>164</v>
      </c>
    </row>
    <row r="97" spans="1:25" ht="36" hidden="1">
      <c r="A97" s="1304"/>
      <c r="B97" s="643">
        <v>1221</v>
      </c>
      <c r="C97" s="643" t="s">
        <v>615</v>
      </c>
      <c r="D97" s="3087">
        <v>2</v>
      </c>
      <c r="E97" s="3088" t="str">
        <f t="shared" si="8"/>
        <v>其他应收款</v>
      </c>
      <c r="F97" s="3089" t="s">
        <v>616</v>
      </c>
      <c r="G97" s="3090">
        <f t="shared" si="9"/>
        <v>2208147.21</v>
      </c>
      <c r="H97" s="3091">
        <f t="shared" ca="1" si="12"/>
        <v>0</v>
      </c>
      <c r="I97" s="3093" t="s">
        <v>6803</v>
      </c>
      <c r="J97" s="3072"/>
      <c r="K97" s="3090">
        <f t="shared" si="10"/>
        <v>328019.46999999997</v>
      </c>
      <c r="L97" s="3071" t="s">
        <v>6799</v>
      </c>
      <c r="M97" s="3093" t="s">
        <v>6803</v>
      </c>
      <c r="N97" s="3072"/>
      <c r="O97" s="3099"/>
      <c r="P97" s="3100"/>
      <c r="Q97" s="3100"/>
      <c r="R97" s="3100"/>
      <c r="S97" s="3101" t="s">
        <v>295</v>
      </c>
      <c r="T97" s="3101" t="s">
        <v>213</v>
      </c>
      <c r="U97" s="3102"/>
      <c r="V97" s="3102" t="s">
        <v>295</v>
      </c>
      <c r="W97" s="3102" t="s">
        <v>6797</v>
      </c>
      <c r="X97" s="3102" t="s">
        <v>6800</v>
      </c>
      <c r="Y97" s="3103" t="s">
        <v>164</v>
      </c>
    </row>
    <row r="98" spans="1:25" ht="18" hidden="1">
      <c r="A98" s="1304"/>
      <c r="B98" s="643">
        <v>1221</v>
      </c>
      <c r="C98" s="643" t="s">
        <v>629</v>
      </c>
      <c r="D98" s="3087">
        <v>2</v>
      </c>
      <c r="E98" s="3088" t="str">
        <f t="shared" si="8"/>
        <v>其他应收款</v>
      </c>
      <c r="F98" s="3089" t="s">
        <v>630</v>
      </c>
      <c r="G98" s="3090">
        <f t="shared" si="9"/>
        <v>2208147.21</v>
      </c>
      <c r="H98" s="3091">
        <f t="shared" ca="1" si="12"/>
        <v>0</v>
      </c>
      <c r="I98" s="3093" t="s">
        <v>6803</v>
      </c>
      <c r="J98" s="3072"/>
      <c r="K98" s="3090">
        <f t="shared" si="10"/>
        <v>328019.46999999997</v>
      </c>
      <c r="L98" s="3071" t="s">
        <v>6799</v>
      </c>
      <c r="M98" s="3093" t="s">
        <v>6803</v>
      </c>
      <c r="N98" s="3072"/>
      <c r="O98" s="3099"/>
      <c r="P98" s="3100"/>
      <c r="Q98" s="3100"/>
      <c r="R98" s="3100"/>
      <c r="S98" s="3101" t="s">
        <v>295</v>
      </c>
      <c r="T98" s="3101" t="s">
        <v>213</v>
      </c>
      <c r="U98" s="3102"/>
      <c r="V98" s="3102" t="s">
        <v>295</v>
      </c>
      <c r="W98" s="3102" t="s">
        <v>6797</v>
      </c>
      <c r="X98" s="3102" t="s">
        <v>213</v>
      </c>
      <c r="Y98" s="3103" t="s">
        <v>164</v>
      </c>
    </row>
    <row r="99" spans="1:25" ht="24" hidden="1">
      <c r="A99" s="1304"/>
      <c r="B99" s="643">
        <v>1221</v>
      </c>
      <c r="C99" s="643" t="s">
        <v>654</v>
      </c>
      <c r="D99" s="3087">
        <v>2</v>
      </c>
      <c r="E99" s="3088" t="str">
        <f t="shared" si="8"/>
        <v>其他应收款</v>
      </c>
      <c r="F99" s="3089" t="s">
        <v>655</v>
      </c>
      <c r="G99" s="3090">
        <f t="shared" si="9"/>
        <v>2208147.21</v>
      </c>
      <c r="H99" s="3091">
        <f t="shared" ca="1" si="12"/>
        <v>0</v>
      </c>
      <c r="I99" s="3093" t="s">
        <v>6803</v>
      </c>
      <c r="J99" s="3072"/>
      <c r="K99" s="3090">
        <f t="shared" si="10"/>
        <v>328019.46999999997</v>
      </c>
      <c r="L99" s="3071">
        <f ca="1">INDIRECT("Notes!CheckB"&amp;$C99)</f>
        <v>0</v>
      </c>
      <c r="M99" s="3093" t="s">
        <v>6803</v>
      </c>
      <c r="N99" s="3072"/>
      <c r="O99" s="3099"/>
      <c r="P99" s="3100"/>
      <c r="Q99" s="3100"/>
      <c r="R99" s="3100"/>
      <c r="S99" s="3101" t="s">
        <v>295</v>
      </c>
      <c r="T99" s="3101" t="s">
        <v>213</v>
      </c>
      <c r="U99" s="3102"/>
      <c r="V99" s="3102" t="s">
        <v>295</v>
      </c>
      <c r="W99" s="3102" t="s">
        <v>6797</v>
      </c>
      <c r="X99" s="3102" t="s">
        <v>213</v>
      </c>
      <c r="Y99" s="3103" t="s">
        <v>164</v>
      </c>
    </row>
    <row r="100" spans="1:25" ht="18" hidden="1">
      <c r="A100" s="1304"/>
      <c r="B100" s="643">
        <v>1221</v>
      </c>
      <c r="C100" s="643" t="s">
        <v>663</v>
      </c>
      <c r="D100" s="3087">
        <v>2</v>
      </c>
      <c r="E100" s="3088" t="str">
        <f t="shared" si="8"/>
        <v>其他应收款</v>
      </c>
      <c r="F100" s="3089" t="s">
        <v>664</v>
      </c>
      <c r="G100" s="3090">
        <f t="shared" si="9"/>
        <v>2208147.21</v>
      </c>
      <c r="H100" s="3091">
        <f t="shared" ca="1" si="12"/>
        <v>0</v>
      </c>
      <c r="I100" s="3093" t="s">
        <v>6803</v>
      </c>
      <c r="J100" s="3072"/>
      <c r="K100" s="3090">
        <f t="shared" si="10"/>
        <v>328019.46999999997</v>
      </c>
      <c r="L100" s="3071">
        <f ca="1">INDIRECT("Notes!CheckB"&amp;$C100)</f>
        <v>0</v>
      </c>
      <c r="M100" s="3093" t="s">
        <v>6803</v>
      </c>
      <c r="N100" s="3072"/>
      <c r="O100" s="3099"/>
      <c r="P100" s="3100"/>
      <c r="Q100" s="3100"/>
      <c r="R100" s="3100"/>
      <c r="S100" s="3101" t="s">
        <v>295</v>
      </c>
      <c r="T100" s="3101" t="s">
        <v>213</v>
      </c>
      <c r="U100" s="3102"/>
      <c r="V100" s="3102" t="s">
        <v>295</v>
      </c>
      <c r="W100" s="3102" t="s">
        <v>6797</v>
      </c>
      <c r="X100" s="3102" t="s">
        <v>213</v>
      </c>
      <c r="Y100" s="3103" t="s">
        <v>164</v>
      </c>
    </row>
    <row r="101" spans="1:25" ht="18">
      <c r="A101" s="1304"/>
      <c r="B101" s="643">
        <v>1400</v>
      </c>
      <c r="C101" s="643" t="s">
        <v>668</v>
      </c>
      <c r="D101" s="3087">
        <v>1</v>
      </c>
      <c r="E101" s="3088" t="str">
        <f t="shared" si="8"/>
        <v>存货</v>
      </c>
      <c r="F101" s="3089" t="s">
        <v>669</v>
      </c>
      <c r="G101" s="3090">
        <f t="shared" si="9"/>
        <v>13979569.91</v>
      </c>
      <c r="H101" s="3091">
        <f t="shared" ca="1" si="12"/>
        <v>13979569.91</v>
      </c>
      <c r="I101" s="3093">
        <f ca="1">IF(AND(LEN(G101)&gt;0,LEN(H101)&gt;0),ROUND(SUM(G101)-SUM(H101),2),"")</f>
        <v>0</v>
      </c>
      <c r="J101" s="3072" t="str">
        <f ca="1">IF(ISNA(I101),"N/A",IF(I101=0,"√","？"))</f>
        <v>√</v>
      </c>
      <c r="K101" s="3090">
        <f t="shared" si="10"/>
        <v>12739599.279999999</v>
      </c>
      <c r="L101" s="3071">
        <f ca="1">INDIRECT("Notes!CheckB"&amp;$C101)</f>
        <v>12739599.279999999</v>
      </c>
      <c r="M101" s="3093">
        <f ca="1">IF(AND(LEN(K101)&gt;0,LEN(L101)&gt;0),ROUND(SUM(K101)-SUM(L101),2),"")</f>
        <v>0</v>
      </c>
      <c r="N101" s="3072" t="str">
        <f ca="1">IF(ISNA(M101),"N/A",IF(M101=0,"√","？"))</f>
        <v>√</v>
      </c>
      <c r="O101" s="3099"/>
      <c r="P101" s="3100"/>
      <c r="Q101" s="3100"/>
      <c r="R101" s="3100"/>
      <c r="S101" s="3101" t="s">
        <v>295</v>
      </c>
      <c r="T101" s="3101" t="s">
        <v>213</v>
      </c>
      <c r="U101" s="3102"/>
      <c r="V101" s="3102" t="s">
        <v>295</v>
      </c>
      <c r="W101" s="3102" t="s">
        <v>6797</v>
      </c>
      <c r="X101" s="3102" t="s">
        <v>6798</v>
      </c>
      <c r="Y101" s="3103" t="s">
        <v>164</v>
      </c>
    </row>
    <row r="102" spans="1:25" ht="24" hidden="1">
      <c r="A102" s="1304"/>
      <c r="B102" s="643">
        <v>1400</v>
      </c>
      <c r="C102" s="643" t="s">
        <v>674</v>
      </c>
      <c r="D102" s="3087">
        <v>2</v>
      </c>
      <c r="E102" s="3088" t="str">
        <f t="shared" si="8"/>
        <v>存货</v>
      </c>
      <c r="F102" s="3089" t="s">
        <v>675</v>
      </c>
      <c r="G102" s="3090">
        <f t="shared" si="9"/>
        <v>13979569.91</v>
      </c>
      <c r="H102" s="3091" t="s">
        <v>6799</v>
      </c>
      <c r="I102" s="3093" t="s">
        <v>6803</v>
      </c>
      <c r="J102" s="3072"/>
      <c r="K102" s="3090">
        <f t="shared" si="10"/>
        <v>12739599.279999999</v>
      </c>
      <c r="L102" s="3071" t="s">
        <v>6799</v>
      </c>
      <c r="M102" s="3093" t="s">
        <v>6803</v>
      </c>
      <c r="N102" s="3072"/>
      <c r="O102" s="3099"/>
      <c r="P102" s="3100"/>
      <c r="Q102" s="3100"/>
      <c r="R102" s="3100"/>
      <c r="S102" s="3101" t="s">
        <v>295</v>
      </c>
      <c r="T102" s="3101" t="s">
        <v>213</v>
      </c>
      <c r="U102" s="3102"/>
      <c r="V102" s="3102" t="s">
        <v>295</v>
      </c>
      <c r="W102" s="3102" t="s">
        <v>6797</v>
      </c>
      <c r="X102" s="3102" t="s">
        <v>6798</v>
      </c>
      <c r="Y102" s="3103" t="s">
        <v>164</v>
      </c>
    </row>
    <row r="103" spans="1:25" ht="36" hidden="1">
      <c r="A103" s="1304"/>
      <c r="B103" s="643">
        <v>1400</v>
      </c>
      <c r="C103" s="643" t="s">
        <v>678</v>
      </c>
      <c r="D103" s="3087">
        <v>2</v>
      </c>
      <c r="E103" s="3088" t="str">
        <f t="shared" si="8"/>
        <v>存货</v>
      </c>
      <c r="F103" s="3089" t="s">
        <v>679</v>
      </c>
      <c r="G103" s="3090">
        <f t="shared" si="9"/>
        <v>13979569.91</v>
      </c>
      <c r="H103" s="3091" t="s">
        <v>6799</v>
      </c>
      <c r="I103" s="3093" t="s">
        <v>6803</v>
      </c>
      <c r="J103" s="3072"/>
      <c r="K103" s="3090">
        <f t="shared" si="10"/>
        <v>12739599.279999999</v>
      </c>
      <c r="L103" s="3071" t="s">
        <v>6799</v>
      </c>
      <c r="M103" s="3093" t="s">
        <v>6803</v>
      </c>
      <c r="N103" s="3072"/>
      <c r="O103" s="3099"/>
      <c r="P103" s="3100"/>
      <c r="Q103" s="3100"/>
      <c r="R103" s="3100"/>
      <c r="S103" s="3101" t="s">
        <v>295</v>
      </c>
      <c r="T103" s="3101" t="s">
        <v>213</v>
      </c>
      <c r="U103" s="3102"/>
      <c r="V103" s="3102" t="s">
        <v>295</v>
      </c>
      <c r="W103" s="3102" t="s">
        <v>6797</v>
      </c>
      <c r="X103" s="3102" t="s">
        <v>213</v>
      </c>
      <c r="Y103" s="3103" t="s">
        <v>164</v>
      </c>
    </row>
    <row r="104" spans="1:25" ht="24" hidden="1">
      <c r="A104" s="1304"/>
      <c r="B104" s="643">
        <v>1400</v>
      </c>
      <c r="C104" s="643" t="s">
        <v>683</v>
      </c>
      <c r="D104" s="3087">
        <v>2</v>
      </c>
      <c r="E104" s="3088" t="str">
        <f t="shared" si="8"/>
        <v>存货</v>
      </c>
      <c r="F104" s="3089" t="s">
        <v>684</v>
      </c>
      <c r="G104" s="3090">
        <f t="shared" si="9"/>
        <v>13979569.91</v>
      </c>
      <c r="H104" s="3091">
        <f ca="1">INDIRECT("Notes!CheckA"&amp;$C104)</f>
        <v>0</v>
      </c>
      <c r="I104" s="3093" t="s">
        <v>6803</v>
      </c>
      <c r="J104" s="3072"/>
      <c r="K104" s="3090">
        <f t="shared" si="10"/>
        <v>12739599.279999999</v>
      </c>
      <c r="L104" s="3071" t="s">
        <v>6799</v>
      </c>
      <c r="M104" s="3093" t="s">
        <v>6803</v>
      </c>
      <c r="N104" s="3072"/>
      <c r="O104" s="3099"/>
      <c r="P104" s="3100"/>
      <c r="Q104" s="3100"/>
      <c r="R104" s="3100"/>
      <c r="S104" s="3101" t="s">
        <v>295</v>
      </c>
      <c r="T104" s="3101" t="s">
        <v>213</v>
      </c>
      <c r="U104" s="3102"/>
      <c r="V104" s="3102" t="s">
        <v>295</v>
      </c>
      <c r="W104" s="3102" t="s">
        <v>6797</v>
      </c>
      <c r="X104" s="3102" t="s">
        <v>6800</v>
      </c>
      <c r="Y104" s="3103" t="s">
        <v>164</v>
      </c>
    </row>
    <row r="105" spans="1:25" ht="18" hidden="1">
      <c r="A105" s="1304"/>
      <c r="B105" s="643">
        <v>1400</v>
      </c>
      <c r="C105" s="643" t="s">
        <v>691</v>
      </c>
      <c r="D105" s="3087">
        <v>2</v>
      </c>
      <c r="E105" s="3088" t="str">
        <f t="shared" si="8"/>
        <v>存货</v>
      </c>
      <c r="F105" s="3089" t="s">
        <v>692</v>
      </c>
      <c r="G105" s="3090">
        <f t="shared" si="9"/>
        <v>13979569.91</v>
      </c>
      <c r="H105" s="3091" t="s">
        <v>6799</v>
      </c>
      <c r="I105" s="3093" t="s">
        <v>6803</v>
      </c>
      <c r="J105" s="3072"/>
      <c r="K105" s="3090">
        <f t="shared" ref="K105:K136" si="13">IF(ISERROR(VLOOKUP($B105,Sheet_Trialbal,10,0)),"        ----",VLOOKUP($B105,Sheet_Trialbal,10,0))</f>
        <v>12739599.279999999</v>
      </c>
      <c r="L105" s="3071" t="s">
        <v>6799</v>
      </c>
      <c r="M105" s="3093" t="s">
        <v>6803</v>
      </c>
      <c r="N105" s="3072"/>
      <c r="O105" s="3099"/>
      <c r="P105" s="3100"/>
      <c r="Q105" s="3100"/>
      <c r="R105" s="3100"/>
      <c r="S105" s="3101" t="s">
        <v>295</v>
      </c>
      <c r="T105" s="3101" t="s">
        <v>213</v>
      </c>
      <c r="U105" s="3102"/>
      <c r="V105" s="3102" t="s">
        <v>295</v>
      </c>
      <c r="W105" s="3102" t="s">
        <v>6797</v>
      </c>
      <c r="X105" s="3102" t="s">
        <v>6801</v>
      </c>
      <c r="Y105" s="3103" t="s">
        <v>164</v>
      </c>
    </row>
    <row r="106" spans="1:25" ht="18" hidden="1">
      <c r="A106" s="1304"/>
      <c r="B106" s="643">
        <v>1400</v>
      </c>
      <c r="C106" s="643" t="s">
        <v>695</v>
      </c>
      <c r="D106" s="3087">
        <v>2</v>
      </c>
      <c r="E106" s="3088" t="str">
        <f t="shared" si="8"/>
        <v>存货</v>
      </c>
      <c r="F106" s="3089" t="s">
        <v>696</v>
      </c>
      <c r="G106" s="3090">
        <f t="shared" si="9"/>
        <v>13979569.91</v>
      </c>
      <c r="H106" s="3091" t="s">
        <v>6799</v>
      </c>
      <c r="I106" s="3093" t="s">
        <v>6803</v>
      </c>
      <c r="J106" s="3072"/>
      <c r="K106" s="3090">
        <f t="shared" si="13"/>
        <v>12739599.279999999</v>
      </c>
      <c r="L106" s="3071" t="s">
        <v>6799</v>
      </c>
      <c r="M106" s="3093" t="s">
        <v>6803</v>
      </c>
      <c r="N106" s="3072"/>
      <c r="O106" s="3099"/>
      <c r="P106" s="3100"/>
      <c r="Q106" s="3100"/>
      <c r="R106" s="3100"/>
      <c r="S106" s="3101" t="s">
        <v>295</v>
      </c>
      <c r="T106" s="3101" t="s">
        <v>213</v>
      </c>
      <c r="U106" s="3102"/>
      <c r="V106" s="3102" t="s">
        <v>295</v>
      </c>
      <c r="W106" s="3102" t="s">
        <v>6797</v>
      </c>
      <c r="X106" s="3102" t="s">
        <v>6801</v>
      </c>
      <c r="Y106" s="3103" t="s">
        <v>164</v>
      </c>
    </row>
    <row r="107" spans="1:25" ht="18" hidden="1">
      <c r="A107" s="1304"/>
      <c r="B107" s="643">
        <v>1400</v>
      </c>
      <c r="C107" s="643" t="s">
        <v>699</v>
      </c>
      <c r="D107" s="3087">
        <v>2</v>
      </c>
      <c r="E107" s="3088" t="str">
        <f t="shared" si="8"/>
        <v>存货</v>
      </c>
      <c r="F107" s="3089" t="s">
        <v>700</v>
      </c>
      <c r="G107" s="3090">
        <f t="shared" si="9"/>
        <v>13979569.91</v>
      </c>
      <c r="H107" s="3091" t="s">
        <v>6799</v>
      </c>
      <c r="I107" s="3093" t="s">
        <v>6803</v>
      </c>
      <c r="J107" s="3072"/>
      <c r="K107" s="3090">
        <f t="shared" si="13"/>
        <v>12739599.279999999</v>
      </c>
      <c r="L107" s="3071" t="s">
        <v>6799</v>
      </c>
      <c r="M107" s="3093" t="s">
        <v>6803</v>
      </c>
      <c r="N107" s="3072"/>
      <c r="O107" s="3099"/>
      <c r="P107" s="3100"/>
      <c r="Q107" s="3100"/>
      <c r="R107" s="3100"/>
      <c r="S107" s="3101" t="s">
        <v>295</v>
      </c>
      <c r="T107" s="3101" t="s">
        <v>213</v>
      </c>
      <c r="U107" s="3102"/>
      <c r="V107" s="3102" t="s">
        <v>295</v>
      </c>
      <c r="W107" s="3102" t="s">
        <v>6797</v>
      </c>
      <c r="X107" s="3102" t="s">
        <v>213</v>
      </c>
      <c r="Y107" s="3103" t="s">
        <v>164</v>
      </c>
    </row>
    <row r="108" spans="1:25" ht="24" hidden="1">
      <c r="A108" s="1304"/>
      <c r="B108" s="643">
        <v>1400</v>
      </c>
      <c r="C108" s="643" t="s">
        <v>703</v>
      </c>
      <c r="D108" s="3087">
        <v>2</v>
      </c>
      <c r="E108" s="3088" t="str">
        <f t="shared" si="8"/>
        <v>存货</v>
      </c>
      <c r="F108" s="3089" t="s">
        <v>704</v>
      </c>
      <c r="G108" s="3090">
        <f t="shared" si="9"/>
        <v>13979569.91</v>
      </c>
      <c r="H108" s="3091" t="s">
        <v>6799</v>
      </c>
      <c r="I108" s="3093" t="s">
        <v>6803</v>
      </c>
      <c r="J108" s="3072"/>
      <c r="K108" s="3090">
        <f t="shared" si="13"/>
        <v>12739599.279999999</v>
      </c>
      <c r="L108" s="3071" t="s">
        <v>6799</v>
      </c>
      <c r="M108" s="3093" t="s">
        <v>6803</v>
      </c>
      <c r="N108" s="3072"/>
      <c r="O108" s="3099"/>
      <c r="P108" s="3100"/>
      <c r="Q108" s="3100"/>
      <c r="R108" s="3100"/>
      <c r="S108" s="3101" t="s">
        <v>295</v>
      </c>
      <c r="T108" s="3101" t="s">
        <v>213</v>
      </c>
      <c r="U108" s="3102"/>
      <c r="V108" s="3102" t="s">
        <v>295</v>
      </c>
      <c r="W108" s="3102" t="s">
        <v>6797</v>
      </c>
      <c r="X108" s="3102" t="s">
        <v>213</v>
      </c>
      <c r="Y108" s="3103" t="s">
        <v>164</v>
      </c>
    </row>
    <row r="109" spans="1:25" ht="24" hidden="1">
      <c r="A109" s="1304"/>
      <c r="B109" s="643">
        <v>1400</v>
      </c>
      <c r="C109" s="643" t="s">
        <v>687</v>
      </c>
      <c r="D109" s="3087">
        <v>2</v>
      </c>
      <c r="E109" s="3088" t="str">
        <f t="shared" si="8"/>
        <v>存货</v>
      </c>
      <c r="F109" s="3089" t="s">
        <v>688</v>
      </c>
      <c r="G109" s="3090">
        <f t="shared" si="9"/>
        <v>13979569.91</v>
      </c>
      <c r="H109" s="3091" t="s">
        <v>6799</v>
      </c>
      <c r="I109" s="3093" t="s">
        <v>6803</v>
      </c>
      <c r="J109" s="3072"/>
      <c r="K109" s="3090">
        <f t="shared" si="13"/>
        <v>12739599.279999999</v>
      </c>
      <c r="L109" s="3071" t="s">
        <v>6799</v>
      </c>
      <c r="M109" s="3093" t="s">
        <v>6803</v>
      </c>
      <c r="N109" s="3072"/>
      <c r="O109" s="3099"/>
      <c r="P109" s="3100"/>
      <c r="Q109" s="3100"/>
      <c r="R109" s="3100"/>
      <c r="S109" s="3101" t="s">
        <v>295</v>
      </c>
      <c r="T109" s="3101" t="s">
        <v>213</v>
      </c>
      <c r="U109" s="3102"/>
      <c r="V109" s="3102" t="s">
        <v>295</v>
      </c>
      <c r="W109" s="3102" t="s">
        <v>6797</v>
      </c>
      <c r="X109" s="3102" t="s">
        <v>213</v>
      </c>
      <c r="Y109" s="3103" t="s">
        <v>164</v>
      </c>
    </row>
    <row r="110" spans="1:25" ht="18" hidden="1">
      <c r="A110" s="1304"/>
      <c r="B110" s="643">
        <v>1400</v>
      </c>
      <c r="C110" s="643" t="s">
        <v>709</v>
      </c>
      <c r="D110" s="3087">
        <v>2</v>
      </c>
      <c r="E110" s="3088" t="str">
        <f t="shared" si="8"/>
        <v>存货</v>
      </c>
      <c r="F110" s="3089" t="s">
        <v>710</v>
      </c>
      <c r="G110" s="3090">
        <f t="shared" si="9"/>
        <v>13979569.91</v>
      </c>
      <c r="H110" s="3091" t="s">
        <v>6799</v>
      </c>
      <c r="I110" s="3093" t="s">
        <v>6803</v>
      </c>
      <c r="J110" s="3072"/>
      <c r="K110" s="3090">
        <f t="shared" si="13"/>
        <v>12739599.279999999</v>
      </c>
      <c r="L110" s="3071" t="s">
        <v>6799</v>
      </c>
      <c r="M110" s="3093" t="s">
        <v>6803</v>
      </c>
      <c r="N110" s="3072"/>
      <c r="O110" s="3099"/>
      <c r="P110" s="3100"/>
      <c r="Q110" s="3100"/>
      <c r="R110" s="3100"/>
      <c r="S110" s="3101" t="s">
        <v>295</v>
      </c>
      <c r="T110" s="3101" t="s">
        <v>213</v>
      </c>
      <c r="U110" s="3102"/>
      <c r="V110" s="3102" t="s">
        <v>295</v>
      </c>
      <c r="W110" s="3102" t="s">
        <v>6797</v>
      </c>
      <c r="X110" s="3102" t="s">
        <v>213</v>
      </c>
      <c r="Y110" s="3103" t="s">
        <v>164</v>
      </c>
    </row>
    <row r="111" spans="1:25" ht="24" hidden="1">
      <c r="A111" s="1304"/>
      <c r="B111" s="643">
        <v>1315</v>
      </c>
      <c r="C111" s="643" t="s">
        <v>730</v>
      </c>
      <c r="D111" s="3087">
        <v>2</v>
      </c>
      <c r="E111" s="3088" t="str">
        <f t="shared" si="8"/>
        <v>持有待售资产</v>
      </c>
      <c r="F111" s="3089" t="s">
        <v>715</v>
      </c>
      <c r="G111" s="3090">
        <f t="shared" si="9"/>
        <v>0</v>
      </c>
      <c r="H111" s="3091">
        <f t="shared" ref="H111:H124" ca="1" si="14">INDIRECT("Notes!CheckA"&amp;$C111)</f>
        <v>0</v>
      </c>
      <c r="I111" s="3093" t="s">
        <v>6803</v>
      </c>
      <c r="J111" s="3072"/>
      <c r="K111" s="3090">
        <f t="shared" si="13"/>
        <v>0</v>
      </c>
      <c r="L111" s="3071" t="s">
        <v>6799</v>
      </c>
      <c r="M111" s="3093" t="s">
        <v>6803</v>
      </c>
      <c r="N111" s="3072"/>
      <c r="O111" s="3099"/>
      <c r="P111" s="3100"/>
      <c r="Q111" s="3100"/>
      <c r="R111" s="3100"/>
      <c r="S111" s="3101" t="s">
        <v>295</v>
      </c>
      <c r="T111" s="3101" t="s">
        <v>213</v>
      </c>
      <c r="U111" s="3102"/>
      <c r="V111" s="3102" t="s">
        <v>295</v>
      </c>
      <c r="W111" s="3102" t="s">
        <v>6797</v>
      </c>
      <c r="X111" s="3102" t="s">
        <v>6798</v>
      </c>
      <c r="Y111" s="3103" t="s">
        <v>164</v>
      </c>
    </row>
    <row r="112" spans="1:25" ht="24" hidden="1">
      <c r="A112" s="1304"/>
      <c r="B112" s="643">
        <v>1315</v>
      </c>
      <c r="C112" s="643" t="s">
        <v>721</v>
      </c>
      <c r="D112" s="3087">
        <v>2</v>
      </c>
      <c r="E112" s="3088" t="str">
        <f t="shared" si="8"/>
        <v>持有待售资产</v>
      </c>
      <c r="F112" s="3089" t="s">
        <v>722</v>
      </c>
      <c r="G112" s="3090">
        <f t="shared" si="9"/>
        <v>0</v>
      </c>
      <c r="H112" s="3091">
        <f t="shared" ca="1" si="14"/>
        <v>0</v>
      </c>
      <c r="I112" s="3093" t="s">
        <v>6803</v>
      </c>
      <c r="J112" s="3072"/>
      <c r="K112" s="3090">
        <f t="shared" si="13"/>
        <v>0</v>
      </c>
      <c r="L112" s="3071">
        <f t="shared" ref="L112:L118" ca="1" si="15">INDIRECT("Notes!CheckB"&amp;$C112)</f>
        <v>0</v>
      </c>
      <c r="M112" s="3093" t="s">
        <v>6803</v>
      </c>
      <c r="N112" s="3072"/>
      <c r="O112" s="3099"/>
      <c r="P112" s="3100"/>
      <c r="Q112" s="3100"/>
      <c r="R112" s="3100"/>
      <c r="S112" s="3101" t="s">
        <v>295</v>
      </c>
      <c r="T112" s="3101" t="s">
        <v>213</v>
      </c>
      <c r="U112" s="3102"/>
      <c r="V112" s="3102" t="s">
        <v>295</v>
      </c>
      <c r="W112" s="3102" t="s">
        <v>145</v>
      </c>
      <c r="X112" s="3102" t="s">
        <v>6800</v>
      </c>
      <c r="Y112" s="3103" t="s">
        <v>164</v>
      </c>
    </row>
    <row r="113" spans="1:25" ht="24">
      <c r="A113" s="1304"/>
      <c r="B113" s="643">
        <v>1495</v>
      </c>
      <c r="C113" s="643" t="s">
        <v>747</v>
      </c>
      <c r="D113" s="3087">
        <v>1</v>
      </c>
      <c r="E113" s="3088" t="str">
        <f t="shared" si="8"/>
        <v>一年内到期的非流动资产</v>
      </c>
      <c r="F113" s="3089" t="s">
        <v>748</v>
      </c>
      <c r="G113" s="3090">
        <f t="shared" si="9"/>
        <v>0</v>
      </c>
      <c r="H113" s="3091">
        <f t="shared" ca="1" si="14"/>
        <v>0</v>
      </c>
      <c r="I113" s="3093">
        <f ca="1">IF(AND(LEN(G113)&gt;0,LEN(H113)&gt;0),ROUND(SUM(G113)-SUM(H113),2),"")</f>
        <v>0</v>
      </c>
      <c r="J113" s="3072" t="str">
        <f ca="1">IF(ISNA(I113),"N/A",IF(I113=0,"√","？"))</f>
        <v>√</v>
      </c>
      <c r="K113" s="3090">
        <f t="shared" si="13"/>
        <v>0</v>
      </c>
      <c r="L113" s="3071">
        <f t="shared" ca="1" si="15"/>
        <v>0</v>
      </c>
      <c r="M113" s="3093">
        <f ca="1">IF(AND(LEN(K113)&gt;0,LEN(L113)&gt;0),ROUND(SUM(K113)-SUM(L113),2),"")</f>
        <v>0</v>
      </c>
      <c r="N113" s="3072" t="str">
        <f ca="1">IF(ISNA(M113),"N/A",IF(M113=0,"√","？"))</f>
        <v>√</v>
      </c>
      <c r="O113" s="3099"/>
      <c r="P113" s="3100"/>
      <c r="Q113" s="3100"/>
      <c r="R113" s="3100"/>
      <c r="S113" s="3101" t="s">
        <v>295</v>
      </c>
      <c r="T113" s="3101" t="s">
        <v>213</v>
      </c>
      <c r="U113" s="3102"/>
      <c r="V113" s="3102" t="s">
        <v>295</v>
      </c>
      <c r="W113" s="3102" t="s">
        <v>6797</v>
      </c>
      <c r="X113" s="3102" t="s">
        <v>6798</v>
      </c>
      <c r="Y113" s="3103" t="s">
        <v>164</v>
      </c>
    </row>
    <row r="114" spans="1:25" ht="36" hidden="1">
      <c r="A114" s="1304"/>
      <c r="B114" s="643">
        <v>1495</v>
      </c>
      <c r="C114" s="643" t="s">
        <v>752</v>
      </c>
      <c r="D114" s="3087">
        <v>2</v>
      </c>
      <c r="E114" s="3088" t="str">
        <f t="shared" si="8"/>
        <v>一年内到期的非流动资产</v>
      </c>
      <c r="F114" s="3089" t="s">
        <v>753</v>
      </c>
      <c r="G114" s="3090">
        <f t="shared" si="9"/>
        <v>0</v>
      </c>
      <c r="H114" s="3091">
        <f t="shared" ca="1" si="14"/>
        <v>0</v>
      </c>
      <c r="I114" s="3093" t="s">
        <v>6803</v>
      </c>
      <c r="J114" s="3072"/>
      <c r="K114" s="3090">
        <f t="shared" si="13"/>
        <v>0</v>
      </c>
      <c r="L114" s="3071">
        <f t="shared" ca="1" si="15"/>
        <v>0</v>
      </c>
      <c r="M114" s="3093" t="s">
        <v>6803</v>
      </c>
      <c r="N114" s="3072"/>
      <c r="O114" s="3099"/>
      <c r="P114" s="3100"/>
      <c r="Q114" s="3100"/>
      <c r="R114" s="3100"/>
      <c r="S114" s="3101" t="s">
        <v>295</v>
      </c>
      <c r="T114" s="3101" t="s">
        <v>213</v>
      </c>
      <c r="U114" s="3102"/>
      <c r="V114" s="3102" t="s">
        <v>295</v>
      </c>
      <c r="W114" s="3102" t="s">
        <v>145</v>
      </c>
      <c r="X114" s="3102" t="s">
        <v>6800</v>
      </c>
      <c r="Y114" s="3103" t="s">
        <v>119</v>
      </c>
    </row>
    <row r="115" spans="1:25" ht="18">
      <c r="A115" s="1304"/>
      <c r="B115" s="643">
        <v>1496</v>
      </c>
      <c r="C115" s="643" t="s">
        <v>756</v>
      </c>
      <c r="D115" s="3087">
        <v>1</v>
      </c>
      <c r="E115" s="3088" t="str">
        <f t="shared" si="8"/>
        <v>其他流动资产</v>
      </c>
      <c r="F115" s="3089" t="s">
        <v>757</v>
      </c>
      <c r="G115" s="3090">
        <f t="shared" si="9"/>
        <v>1690423.37</v>
      </c>
      <c r="H115" s="3091">
        <f t="shared" ca="1" si="14"/>
        <v>1690423.37</v>
      </c>
      <c r="I115" s="3093">
        <f ca="1">IF(AND(LEN(G115)&gt;0,LEN(H115)&gt;0),ROUND(SUM(G115)-SUM(H115),2),"")</f>
        <v>0</v>
      </c>
      <c r="J115" s="3072" t="str">
        <f ca="1">IF(ISNA(I115),"N/A",IF(I115=0,"√","？"))</f>
        <v>√</v>
      </c>
      <c r="K115" s="3090">
        <f t="shared" si="13"/>
        <v>2233000.7799999998</v>
      </c>
      <c r="L115" s="3071">
        <f t="shared" ca="1" si="15"/>
        <v>2233000.7799999998</v>
      </c>
      <c r="M115" s="3093">
        <f ca="1">IF(AND(LEN(K115)&gt;0,LEN(L115)&gt;0),ROUND(SUM(K115)-SUM(L115),2),"")</f>
        <v>0</v>
      </c>
      <c r="N115" s="3072" t="str">
        <f ca="1">IF(ISNA(M115),"N/A",IF(M115=0,"√","？"))</f>
        <v>√</v>
      </c>
      <c r="O115" s="3099"/>
      <c r="P115" s="3100"/>
      <c r="Q115" s="3100"/>
      <c r="R115" s="3100"/>
      <c r="S115" s="3101" t="s">
        <v>295</v>
      </c>
      <c r="T115" s="3101" t="s">
        <v>213</v>
      </c>
      <c r="U115" s="3102"/>
      <c r="V115" s="3102" t="s">
        <v>295</v>
      </c>
      <c r="W115" s="3102" t="s">
        <v>6797</v>
      </c>
      <c r="X115" s="3102" t="s">
        <v>6798</v>
      </c>
      <c r="Y115" s="3103" t="s">
        <v>164</v>
      </c>
    </row>
    <row r="116" spans="1:25" ht="18">
      <c r="A116" s="1304"/>
      <c r="B116" s="643">
        <v>1505</v>
      </c>
      <c r="C116" s="643" t="s">
        <v>762</v>
      </c>
      <c r="D116" s="3087">
        <v>1</v>
      </c>
      <c r="E116" s="3088" t="str">
        <f t="shared" si="8"/>
        <v>债权投资</v>
      </c>
      <c r="F116" s="3089" t="s">
        <v>763</v>
      </c>
      <c r="G116" s="3090">
        <f t="shared" si="9"/>
        <v>0</v>
      </c>
      <c r="H116" s="3091">
        <f t="shared" ca="1" si="14"/>
        <v>0</v>
      </c>
      <c r="I116" s="3093">
        <f ca="1">IF(AND(LEN(G116)&gt;0,LEN(H116)&gt;0),ROUND(SUM(G116)-SUM(H116),2),"")</f>
        <v>0</v>
      </c>
      <c r="J116" s="3072" t="str">
        <f ca="1">IF(ISNA(I116),"N/A",IF(I116=0,"√","？"))</f>
        <v>√</v>
      </c>
      <c r="K116" s="3090">
        <f t="shared" si="13"/>
        <v>0</v>
      </c>
      <c r="L116" s="3071">
        <f t="shared" ca="1" si="15"/>
        <v>0</v>
      </c>
      <c r="M116" s="3093">
        <f ca="1">IF(AND(LEN(K116)&gt;0,LEN(L116)&gt;0),ROUND(SUM(K116)-SUM(L116),2),"")</f>
        <v>0</v>
      </c>
      <c r="N116" s="3072" t="str">
        <f ca="1">IF(ISNA(M116),"N/A",IF(M116=0,"√","？"))</f>
        <v>√</v>
      </c>
      <c r="O116" s="3099"/>
      <c r="P116" s="3100"/>
      <c r="Q116" s="3100"/>
      <c r="R116" s="3100"/>
      <c r="S116" s="3101" t="s">
        <v>295</v>
      </c>
      <c r="T116" s="3101" t="s">
        <v>213</v>
      </c>
      <c r="U116" s="3102"/>
      <c r="V116" s="3102" t="s">
        <v>295</v>
      </c>
      <c r="W116" s="3102" t="s">
        <v>145</v>
      </c>
      <c r="X116" s="3102" t="s">
        <v>6800</v>
      </c>
      <c r="Y116" s="3103" t="s">
        <v>119</v>
      </c>
    </row>
    <row r="117" spans="1:25" ht="18" hidden="1">
      <c r="A117" s="1304"/>
      <c r="B117" s="643">
        <v>1505</v>
      </c>
      <c r="C117" s="643" t="s">
        <v>768</v>
      </c>
      <c r="D117" s="3087">
        <v>2</v>
      </c>
      <c r="E117" s="3088" t="str">
        <f t="shared" si="8"/>
        <v>债权投资</v>
      </c>
      <c r="F117" s="3089" t="s">
        <v>769</v>
      </c>
      <c r="G117" s="3090">
        <f t="shared" si="9"/>
        <v>0</v>
      </c>
      <c r="H117" s="3091">
        <f t="shared" ca="1" si="14"/>
        <v>0</v>
      </c>
      <c r="I117" s="3093" t="s">
        <v>6803</v>
      </c>
      <c r="J117" s="3072"/>
      <c r="K117" s="3090">
        <f t="shared" si="13"/>
        <v>0</v>
      </c>
      <c r="L117" s="3071">
        <f t="shared" ca="1" si="15"/>
        <v>0</v>
      </c>
      <c r="M117" s="3093" t="s">
        <v>6803</v>
      </c>
      <c r="N117" s="3072"/>
      <c r="O117" s="3099"/>
      <c r="P117" s="3100"/>
      <c r="Q117" s="3100"/>
      <c r="R117" s="3100"/>
      <c r="S117" s="3101" t="s">
        <v>295</v>
      </c>
      <c r="T117" s="3101" t="s">
        <v>213</v>
      </c>
      <c r="U117" s="3102"/>
      <c r="V117" s="3102" t="s">
        <v>295</v>
      </c>
      <c r="W117" s="3102" t="s">
        <v>145</v>
      </c>
      <c r="X117" s="3102" t="s">
        <v>6800</v>
      </c>
      <c r="Y117" s="3103" t="s">
        <v>119</v>
      </c>
    </row>
    <row r="118" spans="1:25" ht="36" hidden="1">
      <c r="A118" s="1304"/>
      <c r="B118" s="643">
        <v>1505</v>
      </c>
      <c r="C118" s="643" t="s">
        <v>773</v>
      </c>
      <c r="D118" s="3087">
        <v>2</v>
      </c>
      <c r="E118" s="3088" t="str">
        <f t="shared" si="8"/>
        <v>债权投资</v>
      </c>
      <c r="F118" s="3089" t="s">
        <v>6437</v>
      </c>
      <c r="G118" s="3090">
        <f t="shared" si="9"/>
        <v>0</v>
      </c>
      <c r="H118" s="3091">
        <f t="shared" ca="1" si="14"/>
        <v>0</v>
      </c>
      <c r="I118" s="3093" t="s">
        <v>6803</v>
      </c>
      <c r="J118" s="3072"/>
      <c r="K118" s="3090">
        <f t="shared" si="13"/>
        <v>0</v>
      </c>
      <c r="L118" s="3071">
        <f t="shared" ca="1" si="15"/>
        <v>0</v>
      </c>
      <c r="M118" s="3093" t="s">
        <v>6803</v>
      </c>
      <c r="N118" s="3072"/>
      <c r="O118" s="3099"/>
      <c r="P118" s="3100"/>
      <c r="Q118" s="3100"/>
      <c r="R118" s="3100"/>
      <c r="S118" s="3101" t="s">
        <v>295</v>
      </c>
      <c r="T118" s="3101" t="s">
        <v>213</v>
      </c>
      <c r="U118" s="3102"/>
      <c r="V118" s="3102" t="s">
        <v>295</v>
      </c>
      <c r="W118" s="3102" t="s">
        <v>145</v>
      </c>
      <c r="X118" s="3102" t="s">
        <v>6800</v>
      </c>
      <c r="Y118" s="3103" t="s">
        <v>119</v>
      </c>
    </row>
    <row r="119" spans="1:25" ht="24" hidden="1">
      <c r="A119" s="1304"/>
      <c r="B119" s="643">
        <v>1505</v>
      </c>
      <c r="C119" s="643" t="s">
        <v>788</v>
      </c>
      <c r="D119" s="3087">
        <v>2</v>
      </c>
      <c r="E119" s="3088" t="str">
        <f t="shared" si="8"/>
        <v>债权投资</v>
      </c>
      <c r="F119" s="3089" t="s">
        <v>789</v>
      </c>
      <c r="G119" s="3090">
        <f t="shared" si="9"/>
        <v>0</v>
      </c>
      <c r="H119" s="3091">
        <f t="shared" ca="1" si="14"/>
        <v>0</v>
      </c>
      <c r="I119" s="3093" t="s">
        <v>6803</v>
      </c>
      <c r="J119" s="3072"/>
      <c r="K119" s="3090">
        <f t="shared" si="13"/>
        <v>0</v>
      </c>
      <c r="L119" s="3071" t="s">
        <v>6799</v>
      </c>
      <c r="M119" s="3093" t="s">
        <v>6803</v>
      </c>
      <c r="N119" s="3072"/>
      <c r="O119" s="3099"/>
      <c r="P119" s="3100"/>
      <c r="Q119" s="3100"/>
      <c r="R119" s="3100"/>
      <c r="S119" s="3101" t="s">
        <v>295</v>
      </c>
      <c r="T119" s="3101" t="s">
        <v>213</v>
      </c>
      <c r="U119" s="3102"/>
      <c r="V119" s="3102" t="s">
        <v>295</v>
      </c>
      <c r="W119" s="3102" t="s">
        <v>145</v>
      </c>
      <c r="X119" s="3102" t="s">
        <v>6800</v>
      </c>
      <c r="Y119" s="3103" t="s">
        <v>119</v>
      </c>
    </row>
    <row r="120" spans="1:25" ht="24" hidden="1">
      <c r="A120" s="1304"/>
      <c r="B120" s="643">
        <v>1505</v>
      </c>
      <c r="C120" s="643" t="s">
        <v>792</v>
      </c>
      <c r="D120" s="3087">
        <v>2</v>
      </c>
      <c r="E120" s="3088" t="str">
        <f t="shared" si="8"/>
        <v>债权投资</v>
      </c>
      <c r="F120" s="3089" t="s">
        <v>793</v>
      </c>
      <c r="G120" s="3090">
        <f t="shared" si="9"/>
        <v>0</v>
      </c>
      <c r="H120" s="3091">
        <f t="shared" ca="1" si="14"/>
        <v>0</v>
      </c>
      <c r="I120" s="3093" t="s">
        <v>6803</v>
      </c>
      <c r="J120" s="3072"/>
      <c r="K120" s="3090">
        <f t="shared" si="13"/>
        <v>0</v>
      </c>
      <c r="L120" s="3071" t="s">
        <v>6799</v>
      </c>
      <c r="M120" s="3093" t="s">
        <v>6803</v>
      </c>
      <c r="N120" s="3072"/>
      <c r="O120" s="3099"/>
      <c r="P120" s="3100"/>
      <c r="Q120" s="3100"/>
      <c r="R120" s="3100"/>
      <c r="S120" s="3101" t="s">
        <v>295</v>
      </c>
      <c r="T120" s="3101" t="s">
        <v>213</v>
      </c>
      <c r="U120" s="3102"/>
      <c r="V120" s="3102" t="s">
        <v>295</v>
      </c>
      <c r="W120" s="3102" t="s">
        <v>145</v>
      </c>
      <c r="X120" s="3102" t="s">
        <v>6800</v>
      </c>
      <c r="Y120" s="3103" t="s">
        <v>119</v>
      </c>
    </row>
    <row r="121" spans="1:25" ht="24" hidden="1">
      <c r="A121" s="1304"/>
      <c r="B121" s="643">
        <v>1505</v>
      </c>
      <c r="C121" s="643" t="s">
        <v>795</v>
      </c>
      <c r="D121" s="3087">
        <v>2</v>
      </c>
      <c r="E121" s="3088" t="str">
        <f t="shared" si="8"/>
        <v>债权投资</v>
      </c>
      <c r="F121" s="3089" t="s">
        <v>796</v>
      </c>
      <c r="G121" s="3090">
        <f t="shared" si="9"/>
        <v>0</v>
      </c>
      <c r="H121" s="3091">
        <f t="shared" ca="1" si="14"/>
        <v>0</v>
      </c>
      <c r="I121" s="3093" t="s">
        <v>6803</v>
      </c>
      <c r="J121" s="3072"/>
      <c r="K121" s="3090">
        <f t="shared" si="13"/>
        <v>0</v>
      </c>
      <c r="L121" s="3071" t="s">
        <v>6799</v>
      </c>
      <c r="M121" s="3093" t="s">
        <v>6803</v>
      </c>
      <c r="N121" s="3072"/>
      <c r="O121" s="3099"/>
      <c r="P121" s="3100"/>
      <c r="Q121" s="3100"/>
      <c r="R121" s="3100"/>
      <c r="S121" s="3101" t="s">
        <v>295</v>
      </c>
      <c r="T121" s="3101" t="s">
        <v>213</v>
      </c>
      <c r="U121" s="3102"/>
      <c r="V121" s="3102" t="s">
        <v>295</v>
      </c>
      <c r="W121" s="3102" t="s">
        <v>145</v>
      </c>
      <c r="X121" s="3102" t="s">
        <v>6800</v>
      </c>
      <c r="Y121" s="3103" t="s">
        <v>119</v>
      </c>
    </row>
    <row r="122" spans="1:25" ht="24" hidden="1">
      <c r="A122" s="1304"/>
      <c r="B122" s="643">
        <v>1505</v>
      </c>
      <c r="C122" s="643" t="s">
        <v>799</v>
      </c>
      <c r="D122" s="3087">
        <v>2</v>
      </c>
      <c r="E122" s="3088" t="str">
        <f t="shared" si="8"/>
        <v>债权投资</v>
      </c>
      <c r="F122" s="3089" t="s">
        <v>785</v>
      </c>
      <c r="G122" s="3090">
        <f t="shared" si="9"/>
        <v>0</v>
      </c>
      <c r="H122" s="3091">
        <f t="shared" ca="1" si="14"/>
        <v>0</v>
      </c>
      <c r="I122" s="3093" t="s">
        <v>6803</v>
      </c>
      <c r="J122" s="3072"/>
      <c r="K122" s="3090">
        <f t="shared" si="13"/>
        <v>0</v>
      </c>
      <c r="L122" s="3071">
        <f ca="1">INDIRECT("Notes!CheckB"&amp;$C122)</f>
        <v>0</v>
      </c>
      <c r="M122" s="3093" t="s">
        <v>6803</v>
      </c>
      <c r="N122" s="3072"/>
      <c r="O122" s="3099"/>
      <c r="P122" s="3100"/>
      <c r="Q122" s="3100"/>
      <c r="R122" s="3100"/>
      <c r="S122" s="3101" t="s">
        <v>295</v>
      </c>
      <c r="T122" s="3101" t="s">
        <v>213</v>
      </c>
      <c r="U122" s="3102"/>
      <c r="V122" s="3102" t="s">
        <v>295</v>
      </c>
      <c r="W122" s="3102" t="s">
        <v>145</v>
      </c>
      <c r="X122" s="3102" t="s">
        <v>6800</v>
      </c>
      <c r="Y122" s="3103" t="s">
        <v>119</v>
      </c>
    </row>
    <row r="123" spans="1:25" ht="36" hidden="1">
      <c r="A123" s="1304"/>
      <c r="B123" s="643">
        <v>1505</v>
      </c>
      <c r="C123" s="643" t="s">
        <v>784</v>
      </c>
      <c r="D123" s="3087">
        <v>2</v>
      </c>
      <c r="E123" s="3088" t="str">
        <f t="shared" si="8"/>
        <v>债权投资</v>
      </c>
      <c r="F123" s="3089" t="s">
        <v>5961</v>
      </c>
      <c r="G123" s="3090">
        <f t="shared" si="9"/>
        <v>0</v>
      </c>
      <c r="H123" s="3091">
        <f t="shared" ca="1" si="14"/>
        <v>0</v>
      </c>
      <c r="I123" s="3093" t="s">
        <v>6803</v>
      </c>
      <c r="J123" s="3072"/>
      <c r="K123" s="3090">
        <f t="shared" si="13"/>
        <v>0</v>
      </c>
      <c r="L123" s="3071" t="s">
        <v>6799</v>
      </c>
      <c r="M123" s="3093" t="s">
        <v>6803</v>
      </c>
      <c r="N123" s="3072"/>
      <c r="O123" s="3099"/>
      <c r="P123" s="3100"/>
      <c r="Q123" s="3100"/>
      <c r="R123" s="3100"/>
      <c r="S123" s="3101" t="s">
        <v>295</v>
      </c>
      <c r="T123" s="3101" t="s">
        <v>213</v>
      </c>
      <c r="U123" s="3102"/>
      <c r="V123" s="3102" t="s">
        <v>295</v>
      </c>
      <c r="W123" s="3102" t="s">
        <v>145</v>
      </c>
      <c r="X123" s="3102" t="s">
        <v>6800</v>
      </c>
      <c r="Y123" s="3103" t="s">
        <v>119</v>
      </c>
    </row>
    <row r="124" spans="1:25" ht="18">
      <c r="A124" s="1304"/>
      <c r="B124" s="643">
        <v>1503</v>
      </c>
      <c r="C124" s="643" t="s">
        <v>804</v>
      </c>
      <c r="D124" s="3087">
        <v>1</v>
      </c>
      <c r="E124" s="3088" t="str">
        <f t="shared" si="8"/>
        <v>可供出售金融资产</v>
      </c>
      <c r="F124" s="3089" t="s">
        <v>805</v>
      </c>
      <c r="G124" s="3090">
        <f t="shared" si="9"/>
        <v>0</v>
      </c>
      <c r="H124" s="3091">
        <f t="shared" ca="1" si="14"/>
        <v>0</v>
      </c>
      <c r="I124" s="3093">
        <f ca="1">IF(AND(LEN(G124)&gt;0,LEN(H124)&gt;0),ROUND(SUM(G124)-SUM(H124),2),"")</f>
        <v>0</v>
      </c>
      <c r="J124" s="3072" t="str">
        <f ca="1">IF(ISNA(I124),"N/A",IF(I124=0,"√","？"))</f>
        <v>√</v>
      </c>
      <c r="K124" s="3090">
        <f t="shared" si="13"/>
        <v>0</v>
      </c>
      <c r="L124" s="3071">
        <f ca="1">INDIRECT("Notes!CheckB"&amp;$C124)</f>
        <v>0</v>
      </c>
      <c r="M124" s="3093">
        <f ca="1">IF(AND(LEN(K124)&gt;0,LEN(L124)&gt;0),ROUND(SUM(K124)-SUM(L124),2),"")</f>
        <v>0</v>
      </c>
      <c r="N124" s="3072" t="str">
        <f ca="1">IF(ISNA(M124),"N/A",IF(M124=0,"√","？"))</f>
        <v>√</v>
      </c>
      <c r="O124" s="3099"/>
      <c r="P124" s="3100"/>
      <c r="Q124" s="3100"/>
      <c r="R124" s="3100"/>
      <c r="S124" s="3101" t="s">
        <v>295</v>
      </c>
      <c r="T124" s="3101" t="s">
        <v>213</v>
      </c>
      <c r="U124" s="3102"/>
      <c r="V124" s="3102" t="s">
        <v>295</v>
      </c>
      <c r="W124" s="3102" t="s">
        <v>6797</v>
      </c>
      <c r="X124" s="3102" t="s">
        <v>6798</v>
      </c>
      <c r="Y124" s="3103" t="s">
        <v>164</v>
      </c>
    </row>
    <row r="125" spans="1:25" ht="24" hidden="1">
      <c r="A125" s="1304"/>
      <c r="B125" s="643">
        <v>1503</v>
      </c>
      <c r="C125" s="643" t="s">
        <v>830</v>
      </c>
      <c r="D125" s="3087">
        <v>2</v>
      </c>
      <c r="E125" s="3088" t="str">
        <f t="shared" si="8"/>
        <v>可供出售金融资产</v>
      </c>
      <c r="F125" s="3089" t="s">
        <v>831</v>
      </c>
      <c r="G125" s="3090">
        <f t="shared" si="9"/>
        <v>0</v>
      </c>
      <c r="H125" s="3091" t="s">
        <v>6799</v>
      </c>
      <c r="I125" s="3093" t="s">
        <v>6803</v>
      </c>
      <c r="J125" s="3072"/>
      <c r="K125" s="3090">
        <f t="shared" si="13"/>
        <v>0</v>
      </c>
      <c r="L125" s="3071" t="s">
        <v>6799</v>
      </c>
      <c r="M125" s="3093" t="s">
        <v>6803</v>
      </c>
      <c r="N125" s="3072"/>
      <c r="O125" s="3099"/>
      <c r="P125" s="3100"/>
      <c r="Q125" s="3100"/>
      <c r="R125" s="3100"/>
      <c r="S125" s="3101" t="s">
        <v>295</v>
      </c>
      <c r="T125" s="3101" t="s">
        <v>213</v>
      </c>
      <c r="U125" s="3102"/>
      <c r="V125" s="3102" t="s">
        <v>295</v>
      </c>
      <c r="W125" s="3102" t="s">
        <v>145</v>
      </c>
      <c r="X125" s="3102" t="s">
        <v>6800</v>
      </c>
      <c r="Y125" s="3103" t="s">
        <v>164</v>
      </c>
    </row>
    <row r="126" spans="1:25" ht="24" hidden="1">
      <c r="A126" s="1304"/>
      <c r="B126" s="643">
        <v>1503</v>
      </c>
      <c r="C126" s="643" t="s">
        <v>813</v>
      </c>
      <c r="D126" s="3087">
        <v>2</v>
      </c>
      <c r="E126" s="3088" t="str">
        <f t="shared" si="8"/>
        <v>可供出售金融资产</v>
      </c>
      <c r="F126" s="3089" t="s">
        <v>814</v>
      </c>
      <c r="G126" s="3090">
        <f t="shared" si="9"/>
        <v>0</v>
      </c>
      <c r="H126" s="3091" t="s">
        <v>6799</v>
      </c>
      <c r="I126" s="3093" t="s">
        <v>6803</v>
      </c>
      <c r="J126" s="3072"/>
      <c r="K126" s="3090">
        <f t="shared" si="13"/>
        <v>0</v>
      </c>
      <c r="L126" s="3071" t="s">
        <v>6799</v>
      </c>
      <c r="M126" s="3093" t="s">
        <v>6803</v>
      </c>
      <c r="N126" s="3072"/>
      <c r="O126" s="3099"/>
      <c r="P126" s="3100"/>
      <c r="Q126" s="3100"/>
      <c r="R126" s="3100"/>
      <c r="S126" s="3101" t="s">
        <v>295</v>
      </c>
      <c r="T126" s="3101" t="s">
        <v>213</v>
      </c>
      <c r="U126" s="3102"/>
      <c r="V126" s="3102" t="s">
        <v>295</v>
      </c>
      <c r="W126" s="3102" t="s">
        <v>145</v>
      </c>
      <c r="X126" s="3102" t="s">
        <v>6800</v>
      </c>
      <c r="Y126" s="3103" t="s">
        <v>164</v>
      </c>
    </row>
    <row r="127" spans="1:25" ht="24" hidden="1">
      <c r="A127" s="1304"/>
      <c r="B127" s="643">
        <v>1503</v>
      </c>
      <c r="C127" s="643" t="s">
        <v>817</v>
      </c>
      <c r="D127" s="3087">
        <v>2</v>
      </c>
      <c r="E127" s="3088" t="str">
        <f t="shared" si="8"/>
        <v>可供出售金融资产</v>
      </c>
      <c r="F127" s="3089" t="s">
        <v>818</v>
      </c>
      <c r="G127" s="3090">
        <f t="shared" si="9"/>
        <v>0</v>
      </c>
      <c r="H127" s="3091" t="s">
        <v>6799</v>
      </c>
      <c r="I127" s="3093" t="s">
        <v>6803</v>
      </c>
      <c r="J127" s="3072"/>
      <c r="K127" s="3090">
        <f t="shared" si="13"/>
        <v>0</v>
      </c>
      <c r="L127" s="3071" t="s">
        <v>6799</v>
      </c>
      <c r="M127" s="3093" t="s">
        <v>6803</v>
      </c>
      <c r="N127" s="3072"/>
      <c r="O127" s="3099"/>
      <c r="P127" s="3100"/>
      <c r="Q127" s="3100"/>
      <c r="R127" s="3100"/>
      <c r="S127" s="3101" t="s">
        <v>295</v>
      </c>
      <c r="T127" s="3101" t="s">
        <v>213</v>
      </c>
      <c r="U127" s="3102"/>
      <c r="V127" s="3102" t="s">
        <v>295</v>
      </c>
      <c r="W127" s="3102" t="s">
        <v>145</v>
      </c>
      <c r="X127" s="3102" t="s">
        <v>6800</v>
      </c>
      <c r="Y127" s="3103" t="s">
        <v>164</v>
      </c>
    </row>
    <row r="128" spans="1:25" ht="24" hidden="1">
      <c r="A128" s="1304"/>
      <c r="B128" s="643">
        <v>1503</v>
      </c>
      <c r="C128" s="643" t="s">
        <v>821</v>
      </c>
      <c r="D128" s="3087">
        <v>2</v>
      </c>
      <c r="E128" s="3088" t="str">
        <f t="shared" si="8"/>
        <v>可供出售金融资产</v>
      </c>
      <c r="F128" s="3089" t="s">
        <v>822</v>
      </c>
      <c r="G128" s="3090">
        <f t="shared" si="9"/>
        <v>0</v>
      </c>
      <c r="H128" s="3091">
        <f ca="1">INDIRECT("Notes!CheckA"&amp;$C128)</f>
        <v>0</v>
      </c>
      <c r="I128" s="3093" t="s">
        <v>6803</v>
      </c>
      <c r="J128" s="3072"/>
      <c r="K128" s="3090">
        <f t="shared" si="13"/>
        <v>0</v>
      </c>
      <c r="L128" s="3071" t="s">
        <v>6799</v>
      </c>
      <c r="M128" s="3093" t="s">
        <v>6803</v>
      </c>
      <c r="N128" s="3072"/>
      <c r="O128" s="3099"/>
      <c r="P128" s="3100"/>
      <c r="Q128" s="3100"/>
      <c r="R128" s="3100"/>
      <c r="S128" s="3101" t="s">
        <v>295</v>
      </c>
      <c r="T128" s="3101" t="s">
        <v>213</v>
      </c>
      <c r="U128" s="3102"/>
      <c r="V128" s="3102" t="s">
        <v>295</v>
      </c>
      <c r="W128" s="3102" t="s">
        <v>145</v>
      </c>
      <c r="X128" s="3102" t="s">
        <v>6800</v>
      </c>
      <c r="Y128" s="3103" t="s">
        <v>164</v>
      </c>
    </row>
    <row r="129" spans="1:25" ht="48" hidden="1">
      <c r="A129" s="1304"/>
      <c r="B129" s="643">
        <v>1503</v>
      </c>
      <c r="C129" s="643" t="s">
        <v>825</v>
      </c>
      <c r="D129" s="3087">
        <v>2</v>
      </c>
      <c r="E129" s="3088" t="str">
        <f t="shared" si="8"/>
        <v>可供出售金融资产</v>
      </c>
      <c r="F129" s="3089" t="s">
        <v>826</v>
      </c>
      <c r="G129" s="3090">
        <f t="shared" si="9"/>
        <v>0</v>
      </c>
      <c r="H129" s="3091" t="s">
        <v>6799</v>
      </c>
      <c r="I129" s="3093" t="s">
        <v>6803</v>
      </c>
      <c r="J129" s="3072"/>
      <c r="K129" s="3090">
        <f t="shared" si="13"/>
        <v>0</v>
      </c>
      <c r="L129" s="3071" t="s">
        <v>6799</v>
      </c>
      <c r="M129" s="3093" t="s">
        <v>6803</v>
      </c>
      <c r="N129" s="3072"/>
      <c r="O129" s="3099"/>
      <c r="P129" s="3100"/>
      <c r="Q129" s="3100"/>
      <c r="R129" s="3100"/>
      <c r="S129" s="3101" t="s">
        <v>295</v>
      </c>
      <c r="T129" s="3101" t="s">
        <v>213</v>
      </c>
      <c r="U129" s="3102"/>
      <c r="V129" s="3102" t="s">
        <v>295</v>
      </c>
      <c r="W129" s="3102" t="s">
        <v>145</v>
      </c>
      <c r="X129" s="3102" t="s">
        <v>6800</v>
      </c>
      <c r="Y129" s="3103" t="s">
        <v>164</v>
      </c>
    </row>
    <row r="130" spans="1:25" ht="18">
      <c r="A130" s="1304"/>
      <c r="B130" s="643">
        <v>1508</v>
      </c>
      <c r="C130" s="643" t="s">
        <v>847</v>
      </c>
      <c r="D130" s="3087">
        <v>1</v>
      </c>
      <c r="E130" s="3088" t="str">
        <f t="shared" si="8"/>
        <v>其他债权投资</v>
      </c>
      <c r="F130" s="3089" t="s">
        <v>848</v>
      </c>
      <c r="G130" s="3090">
        <f t="shared" si="9"/>
        <v>0</v>
      </c>
      <c r="H130" s="3091">
        <f t="shared" ref="H130:H138" ca="1" si="16">INDIRECT("Notes!CheckA"&amp;$C130)</f>
        <v>0</v>
      </c>
      <c r="I130" s="3093">
        <f ca="1">IF(AND(LEN(G130)&gt;0,LEN(H130)&gt;0),ROUND(SUM(G130)-SUM(H130),2),"")</f>
        <v>0</v>
      </c>
      <c r="J130" s="3072" t="str">
        <f ca="1">IF(ISNA(I130),"N/A",IF(I130=0,"√","？"))</f>
        <v>√</v>
      </c>
      <c r="K130" s="3090">
        <f t="shared" si="13"/>
        <v>0</v>
      </c>
      <c r="L130" s="3071">
        <f ca="1">INDIRECT("Notes!CheckB"&amp;$C130)</f>
        <v>0</v>
      </c>
      <c r="M130" s="3093">
        <f ca="1">IF(AND(LEN(K130)&gt;0,LEN(L130)&gt;0),ROUND(SUM(K130)-SUM(L130),2),"")</f>
        <v>0</v>
      </c>
      <c r="N130" s="3072" t="str">
        <f ca="1">IF(ISNA(M130),"N/A",IF(M130=0,"√","？"))</f>
        <v>√</v>
      </c>
      <c r="O130" s="3099"/>
      <c r="P130" s="3100"/>
      <c r="Q130" s="3100"/>
      <c r="R130" s="3100"/>
      <c r="S130" s="3101" t="s">
        <v>295</v>
      </c>
      <c r="T130" s="3101" t="s">
        <v>213</v>
      </c>
      <c r="U130" s="3102"/>
      <c r="V130" s="3102" t="s">
        <v>295</v>
      </c>
      <c r="W130" s="3102" t="s">
        <v>145</v>
      </c>
      <c r="X130" s="3102" t="s">
        <v>6800</v>
      </c>
      <c r="Y130" s="3103" t="s">
        <v>119</v>
      </c>
    </row>
    <row r="131" spans="1:25" ht="24" hidden="1">
      <c r="A131" s="1304"/>
      <c r="B131" s="643">
        <v>1508</v>
      </c>
      <c r="C131" s="643" t="s">
        <v>853</v>
      </c>
      <c r="D131" s="3087">
        <v>2</v>
      </c>
      <c r="E131" s="3088" t="str">
        <f t="shared" si="8"/>
        <v>其他债权投资</v>
      </c>
      <c r="F131" s="3089" t="s">
        <v>854</v>
      </c>
      <c r="G131" s="3090">
        <f t="shared" si="9"/>
        <v>0</v>
      </c>
      <c r="H131" s="3091">
        <f t="shared" ca="1" si="16"/>
        <v>0</v>
      </c>
      <c r="I131" s="3093" t="s">
        <v>6803</v>
      </c>
      <c r="J131" s="3072"/>
      <c r="K131" s="3090">
        <f t="shared" si="13"/>
        <v>0</v>
      </c>
      <c r="L131" s="3071">
        <f ca="1">INDIRECT("Notes!CheckB"&amp;$C131)</f>
        <v>0</v>
      </c>
      <c r="M131" s="3093" t="s">
        <v>6803</v>
      </c>
      <c r="N131" s="3072"/>
      <c r="O131" s="3099"/>
      <c r="P131" s="3100"/>
      <c r="Q131" s="3100"/>
      <c r="R131" s="3100"/>
      <c r="S131" s="3101" t="s">
        <v>295</v>
      </c>
      <c r="T131" s="3101" t="s">
        <v>213</v>
      </c>
      <c r="U131" s="3102"/>
      <c r="V131" s="3102" t="s">
        <v>295</v>
      </c>
      <c r="W131" s="3102" t="s">
        <v>145</v>
      </c>
      <c r="X131" s="3102" t="s">
        <v>6800</v>
      </c>
      <c r="Y131" s="3103" t="s">
        <v>119</v>
      </c>
    </row>
    <row r="132" spans="1:25" ht="36" hidden="1">
      <c r="A132" s="1304"/>
      <c r="B132" s="643">
        <v>1508</v>
      </c>
      <c r="C132" s="643" t="s">
        <v>859</v>
      </c>
      <c r="D132" s="3087">
        <v>2</v>
      </c>
      <c r="E132" s="3088" t="str">
        <f t="shared" si="8"/>
        <v>其他债权投资</v>
      </c>
      <c r="F132" s="3089" t="s">
        <v>6438</v>
      </c>
      <c r="G132" s="3090">
        <f t="shared" si="9"/>
        <v>0</v>
      </c>
      <c r="H132" s="3091">
        <f t="shared" ca="1" si="16"/>
        <v>0</v>
      </c>
      <c r="I132" s="3093" t="s">
        <v>6803</v>
      </c>
      <c r="J132" s="3072"/>
      <c r="K132" s="3090">
        <f t="shared" si="13"/>
        <v>0</v>
      </c>
      <c r="L132" s="3071" t="s">
        <v>6799</v>
      </c>
      <c r="M132" s="3093" t="s">
        <v>6803</v>
      </c>
      <c r="N132" s="3072"/>
      <c r="O132" s="3099"/>
      <c r="P132" s="3100"/>
      <c r="Q132" s="3100"/>
      <c r="R132" s="3100"/>
      <c r="S132" s="3101" t="s">
        <v>295</v>
      </c>
      <c r="T132" s="3101" t="s">
        <v>213</v>
      </c>
      <c r="U132" s="3102"/>
      <c r="V132" s="3102" t="s">
        <v>295</v>
      </c>
      <c r="W132" s="3102" t="s">
        <v>145</v>
      </c>
      <c r="X132" s="3102" t="s">
        <v>6800</v>
      </c>
      <c r="Y132" s="3103" t="s">
        <v>119</v>
      </c>
    </row>
    <row r="133" spans="1:25" ht="24" hidden="1">
      <c r="A133" s="1304"/>
      <c r="B133" s="643">
        <v>1508</v>
      </c>
      <c r="C133" s="643" t="s">
        <v>885</v>
      </c>
      <c r="D133" s="3087">
        <v>2</v>
      </c>
      <c r="E133" s="3088" t="str">
        <f t="shared" si="8"/>
        <v>其他债权投资</v>
      </c>
      <c r="F133" s="3089" t="s">
        <v>886</v>
      </c>
      <c r="G133" s="3090">
        <f t="shared" si="9"/>
        <v>0</v>
      </c>
      <c r="H133" s="3091">
        <f t="shared" ca="1" si="16"/>
        <v>0</v>
      </c>
      <c r="I133" s="3093" t="s">
        <v>6803</v>
      </c>
      <c r="J133" s="3072"/>
      <c r="K133" s="3090">
        <f t="shared" si="13"/>
        <v>0</v>
      </c>
      <c r="L133" s="3071" t="s">
        <v>6799</v>
      </c>
      <c r="M133" s="3093" t="s">
        <v>6803</v>
      </c>
      <c r="N133" s="3072"/>
      <c r="O133" s="3099"/>
      <c r="P133" s="3100"/>
      <c r="Q133" s="3100"/>
      <c r="R133" s="3100"/>
      <c r="S133" s="3101" t="s">
        <v>295</v>
      </c>
      <c r="T133" s="3101" t="s">
        <v>213</v>
      </c>
      <c r="U133" s="3102"/>
      <c r="V133" s="3102" t="s">
        <v>295</v>
      </c>
      <c r="W133" s="3102" t="s">
        <v>145</v>
      </c>
      <c r="X133" s="3102" t="s">
        <v>6800</v>
      </c>
      <c r="Y133" s="3103" t="s">
        <v>119</v>
      </c>
    </row>
    <row r="134" spans="1:25" ht="24" hidden="1">
      <c r="A134" s="1304"/>
      <c r="B134" s="643">
        <v>1508</v>
      </c>
      <c r="C134" s="643" t="s">
        <v>889</v>
      </c>
      <c r="D134" s="3087">
        <v>2</v>
      </c>
      <c r="E134" s="3088" t="str">
        <f t="shared" si="8"/>
        <v>其他债权投资</v>
      </c>
      <c r="F134" s="3089" t="s">
        <v>890</v>
      </c>
      <c r="G134" s="3090">
        <f t="shared" si="9"/>
        <v>0</v>
      </c>
      <c r="H134" s="3091">
        <f t="shared" ca="1" si="16"/>
        <v>0</v>
      </c>
      <c r="I134" s="3093" t="s">
        <v>6803</v>
      </c>
      <c r="J134" s="3072"/>
      <c r="K134" s="3090">
        <f t="shared" si="13"/>
        <v>0</v>
      </c>
      <c r="L134" s="3071" t="s">
        <v>6799</v>
      </c>
      <c r="M134" s="3093" t="s">
        <v>6803</v>
      </c>
      <c r="N134" s="3072"/>
      <c r="O134" s="3099"/>
      <c r="P134" s="3100"/>
      <c r="Q134" s="3100"/>
      <c r="R134" s="3100"/>
      <c r="S134" s="3101" t="s">
        <v>295</v>
      </c>
      <c r="T134" s="3101" t="s">
        <v>213</v>
      </c>
      <c r="U134" s="3102"/>
      <c r="V134" s="3102" t="s">
        <v>295</v>
      </c>
      <c r="W134" s="3102" t="s">
        <v>145</v>
      </c>
      <c r="X134" s="3102" t="s">
        <v>6800</v>
      </c>
      <c r="Y134" s="3103" t="s">
        <v>119</v>
      </c>
    </row>
    <row r="135" spans="1:25" ht="24" hidden="1">
      <c r="A135" s="1304"/>
      <c r="B135" s="643">
        <v>1508</v>
      </c>
      <c r="C135" s="643" t="s">
        <v>894</v>
      </c>
      <c r="D135" s="3087">
        <v>2</v>
      </c>
      <c r="E135" s="3088" t="str">
        <f t="shared" si="8"/>
        <v>其他债权投资</v>
      </c>
      <c r="F135" s="3089" t="s">
        <v>895</v>
      </c>
      <c r="G135" s="3090">
        <f t="shared" si="9"/>
        <v>0</v>
      </c>
      <c r="H135" s="3091">
        <f t="shared" ca="1" si="16"/>
        <v>0</v>
      </c>
      <c r="I135" s="3093" t="s">
        <v>6803</v>
      </c>
      <c r="J135" s="3072"/>
      <c r="K135" s="3090">
        <f t="shared" si="13"/>
        <v>0</v>
      </c>
      <c r="L135" s="3071" t="s">
        <v>6799</v>
      </c>
      <c r="M135" s="3093" t="s">
        <v>6803</v>
      </c>
      <c r="N135" s="3072"/>
      <c r="O135" s="3099"/>
      <c r="P135" s="3100"/>
      <c r="Q135" s="3100"/>
      <c r="R135" s="3100"/>
      <c r="S135" s="3101" t="s">
        <v>295</v>
      </c>
      <c r="T135" s="3101" t="s">
        <v>213</v>
      </c>
      <c r="U135" s="3102"/>
      <c r="V135" s="3102" t="s">
        <v>295</v>
      </c>
      <c r="W135" s="3102" t="s">
        <v>145</v>
      </c>
      <c r="X135" s="3102" t="s">
        <v>6800</v>
      </c>
      <c r="Y135" s="3103" t="s">
        <v>119</v>
      </c>
    </row>
    <row r="136" spans="1:25" ht="24" hidden="1">
      <c r="A136" s="1304"/>
      <c r="B136" s="643">
        <v>1508</v>
      </c>
      <c r="C136" s="643" t="s">
        <v>898</v>
      </c>
      <c r="D136" s="3087">
        <v>2</v>
      </c>
      <c r="E136" s="3088" t="str">
        <f t="shared" si="8"/>
        <v>其他债权投资</v>
      </c>
      <c r="F136" s="3089" t="s">
        <v>881</v>
      </c>
      <c r="G136" s="3090">
        <f t="shared" si="9"/>
        <v>0</v>
      </c>
      <c r="H136" s="3091">
        <f t="shared" ca="1" si="16"/>
        <v>0</v>
      </c>
      <c r="I136" s="3093" t="s">
        <v>6803</v>
      </c>
      <c r="J136" s="3072"/>
      <c r="K136" s="3090">
        <f t="shared" si="13"/>
        <v>0</v>
      </c>
      <c r="L136" s="3071" t="s">
        <v>6799</v>
      </c>
      <c r="M136" s="3093" t="s">
        <v>6803</v>
      </c>
      <c r="N136" s="3072"/>
      <c r="O136" s="3099"/>
      <c r="P136" s="3100"/>
      <c r="Q136" s="3100"/>
      <c r="R136" s="3100"/>
      <c r="S136" s="3101" t="s">
        <v>295</v>
      </c>
      <c r="T136" s="3101" t="s">
        <v>213</v>
      </c>
      <c r="U136" s="3102"/>
      <c r="V136" s="3102" t="s">
        <v>295</v>
      </c>
      <c r="W136" s="3102" t="s">
        <v>145</v>
      </c>
      <c r="X136" s="3102" t="s">
        <v>6800</v>
      </c>
      <c r="Y136" s="3103" t="s">
        <v>119</v>
      </c>
    </row>
    <row r="137" spans="1:25" ht="36" hidden="1">
      <c r="A137" s="1304"/>
      <c r="B137" s="643">
        <v>1508</v>
      </c>
      <c r="C137" s="643" t="s">
        <v>880</v>
      </c>
      <c r="D137" s="3087">
        <v>2</v>
      </c>
      <c r="E137" s="3088" t="str">
        <f t="shared" ref="E137:E200" si="17">IF(ISERROR(VLOOKUP($B137,Sheet_Items,2,0)),"        ----",VLOOKUP($B137,Sheet_Items,2,0))</f>
        <v>其他债权投资</v>
      </c>
      <c r="F137" s="3089" t="s">
        <v>5960</v>
      </c>
      <c r="G137" s="3090">
        <f t="shared" ref="G137:G200" si="18">IF(ISERROR(VLOOKUP($B137,Sheet_Trialbal,6,0)),"        ----",VLOOKUP($B137,Sheet_Trialbal,6,0))</f>
        <v>0</v>
      </c>
      <c r="H137" s="3091">
        <f t="shared" ca="1" si="16"/>
        <v>0</v>
      </c>
      <c r="I137" s="3093" t="s">
        <v>6803</v>
      </c>
      <c r="J137" s="3072"/>
      <c r="K137" s="3090">
        <f t="shared" ref="K137:K157" si="19">IF(ISERROR(VLOOKUP($B137,Sheet_Trialbal,10,0)),"        ----",VLOOKUP($B137,Sheet_Trialbal,10,0))</f>
        <v>0</v>
      </c>
      <c r="L137" s="3071" t="s">
        <v>6799</v>
      </c>
      <c r="M137" s="3093" t="s">
        <v>6803</v>
      </c>
      <c r="N137" s="3072"/>
      <c r="O137" s="3099"/>
      <c r="P137" s="3100"/>
      <c r="Q137" s="3100"/>
      <c r="R137" s="3100"/>
      <c r="S137" s="3101" t="s">
        <v>295</v>
      </c>
      <c r="T137" s="3101" t="s">
        <v>213</v>
      </c>
      <c r="U137" s="3102"/>
      <c r="V137" s="3102" t="s">
        <v>295</v>
      </c>
      <c r="W137" s="3102" t="s">
        <v>145</v>
      </c>
      <c r="X137" s="3102" t="s">
        <v>6800</v>
      </c>
      <c r="Y137" s="3103" t="s">
        <v>119</v>
      </c>
    </row>
    <row r="138" spans="1:25" ht="18">
      <c r="A138" s="1304"/>
      <c r="B138" s="643">
        <v>1501</v>
      </c>
      <c r="C138" s="643" t="s">
        <v>902</v>
      </c>
      <c r="D138" s="3087">
        <v>1</v>
      </c>
      <c r="E138" s="3088" t="str">
        <f t="shared" si="17"/>
        <v>持有至到期投资</v>
      </c>
      <c r="F138" s="3089" t="s">
        <v>903</v>
      </c>
      <c r="G138" s="3090">
        <f t="shared" si="18"/>
        <v>0</v>
      </c>
      <c r="H138" s="3091">
        <f t="shared" ca="1" si="16"/>
        <v>0</v>
      </c>
      <c r="I138" s="3093">
        <f ca="1">IF(AND(LEN(G138)&gt;0,LEN(H138)&gt;0),ROUND(SUM(G138)-SUM(H138),2),"")</f>
        <v>0</v>
      </c>
      <c r="J138" s="3072" t="str">
        <f ca="1">IF(ISNA(I138),"N/A",IF(I138=0,"√","？"))</f>
        <v>√</v>
      </c>
      <c r="K138" s="3090">
        <f t="shared" si="19"/>
        <v>0</v>
      </c>
      <c r="L138" s="3071">
        <f ca="1">INDIRECT("Notes!CheckB"&amp;$C138)</f>
        <v>0</v>
      </c>
      <c r="M138" s="3093">
        <f ca="1">IF(AND(LEN(K138)&gt;0,LEN(L138)&gt;0),ROUND(SUM(K138)-SUM(L138),2),"")</f>
        <v>0</v>
      </c>
      <c r="N138" s="3072" t="str">
        <f ca="1">IF(ISNA(M138),"N/A",IF(M138=0,"√","？"))</f>
        <v>√</v>
      </c>
      <c r="O138" s="3099"/>
      <c r="P138" s="3100"/>
      <c r="Q138" s="3100"/>
      <c r="R138" s="3100"/>
      <c r="S138" s="3101" t="s">
        <v>295</v>
      </c>
      <c r="T138" s="3101" t="s">
        <v>213</v>
      </c>
      <c r="U138" s="3102"/>
      <c r="V138" s="3102" t="s">
        <v>295</v>
      </c>
      <c r="W138" s="3102" t="s">
        <v>6797</v>
      </c>
      <c r="X138" s="3102" t="s">
        <v>6798</v>
      </c>
      <c r="Y138" s="3103" t="s">
        <v>164</v>
      </c>
    </row>
    <row r="139" spans="1:25" ht="18" hidden="1">
      <c r="A139" s="1304"/>
      <c r="B139" s="643">
        <v>1501</v>
      </c>
      <c r="C139" s="643" t="s">
        <v>910</v>
      </c>
      <c r="D139" s="3087">
        <v>2</v>
      </c>
      <c r="E139" s="3088" t="str">
        <f t="shared" si="17"/>
        <v>持有至到期投资</v>
      </c>
      <c r="F139" s="3089" t="s">
        <v>911</v>
      </c>
      <c r="G139" s="3090">
        <f t="shared" si="18"/>
        <v>0</v>
      </c>
      <c r="H139" s="3091" t="s">
        <v>6799</v>
      </c>
      <c r="I139" s="3093" t="s">
        <v>6803</v>
      </c>
      <c r="J139" s="3072"/>
      <c r="K139" s="3090">
        <f t="shared" si="19"/>
        <v>0</v>
      </c>
      <c r="L139" s="3071" t="s">
        <v>6799</v>
      </c>
      <c r="M139" s="3093" t="s">
        <v>6803</v>
      </c>
      <c r="N139" s="3072"/>
      <c r="O139" s="3099"/>
      <c r="P139" s="3100"/>
      <c r="Q139" s="3100"/>
      <c r="R139" s="3100"/>
      <c r="S139" s="3101" t="s">
        <v>295</v>
      </c>
      <c r="T139" s="3101" t="s">
        <v>213</v>
      </c>
      <c r="U139" s="3102"/>
      <c r="V139" s="3102" t="s">
        <v>295</v>
      </c>
      <c r="W139" s="3102" t="s">
        <v>6797</v>
      </c>
      <c r="X139" s="3102" t="s">
        <v>6798</v>
      </c>
      <c r="Y139" s="3103" t="s">
        <v>164</v>
      </c>
    </row>
    <row r="140" spans="1:25" ht="24" hidden="1">
      <c r="A140" s="1304"/>
      <c r="B140" s="643">
        <v>1501</v>
      </c>
      <c r="C140" s="643" t="s">
        <v>917</v>
      </c>
      <c r="D140" s="3087">
        <v>2</v>
      </c>
      <c r="E140" s="3088" t="str">
        <f t="shared" si="17"/>
        <v>持有至到期投资</v>
      </c>
      <c r="F140" s="3089" t="s">
        <v>6439</v>
      </c>
      <c r="G140" s="3090">
        <f t="shared" si="18"/>
        <v>0</v>
      </c>
      <c r="H140" s="3091" t="s">
        <v>6799</v>
      </c>
      <c r="I140" s="3093" t="s">
        <v>6803</v>
      </c>
      <c r="J140" s="3072"/>
      <c r="K140" s="3090">
        <f t="shared" si="19"/>
        <v>0</v>
      </c>
      <c r="L140" s="3071" t="s">
        <v>6799</v>
      </c>
      <c r="M140" s="3093" t="s">
        <v>6803</v>
      </c>
      <c r="N140" s="3072"/>
      <c r="O140" s="3099"/>
      <c r="P140" s="3100"/>
      <c r="Q140" s="3100"/>
      <c r="R140" s="3100"/>
      <c r="S140" s="3101" t="s">
        <v>295</v>
      </c>
      <c r="T140" s="3101" t="s">
        <v>213</v>
      </c>
      <c r="U140" s="3102"/>
      <c r="V140" s="3102" t="s">
        <v>295</v>
      </c>
      <c r="W140" s="3102" t="s">
        <v>6802</v>
      </c>
      <c r="X140" s="3102" t="s">
        <v>213</v>
      </c>
      <c r="Y140" s="3103" t="s">
        <v>164</v>
      </c>
    </row>
    <row r="141" spans="1:25" ht="18" hidden="1">
      <c r="A141" s="1304"/>
      <c r="B141" s="643">
        <v>1501</v>
      </c>
      <c r="C141" s="643" t="s">
        <v>5587</v>
      </c>
      <c r="D141" s="3087">
        <v>2</v>
      </c>
      <c r="E141" s="3088" t="str">
        <f t="shared" si="17"/>
        <v>持有至到期投资</v>
      </c>
      <c r="F141" s="3089" t="s">
        <v>5588</v>
      </c>
      <c r="G141" s="3090">
        <f t="shared" si="18"/>
        <v>0</v>
      </c>
      <c r="H141" s="3091">
        <f t="shared" ref="H141:H147" ca="1" si="20">INDIRECT("Notes!CheckA"&amp;$C141)</f>
        <v>0</v>
      </c>
      <c r="I141" s="3093" t="s">
        <v>6803</v>
      </c>
      <c r="J141" s="3072"/>
      <c r="K141" s="3090">
        <f t="shared" si="19"/>
        <v>0</v>
      </c>
      <c r="L141" s="3071">
        <f ca="1">INDIRECT("Notes!CheckB"&amp;$C141)</f>
        <v>0</v>
      </c>
      <c r="M141" s="3093" t="s">
        <v>6803</v>
      </c>
      <c r="N141" s="3072"/>
      <c r="O141" s="3099"/>
      <c r="P141" s="3100"/>
      <c r="Q141" s="3100"/>
      <c r="R141" s="3100"/>
      <c r="S141" s="3101" t="s">
        <v>295</v>
      </c>
      <c r="T141" s="3101" t="s">
        <v>213</v>
      </c>
      <c r="U141" s="3102"/>
      <c r="V141" s="3102" t="s">
        <v>295</v>
      </c>
      <c r="W141" s="3102" t="s">
        <v>6802</v>
      </c>
      <c r="X141" s="3102" t="s">
        <v>213</v>
      </c>
      <c r="Y141" s="3103" t="s">
        <v>164</v>
      </c>
    </row>
    <row r="142" spans="1:25" ht="18">
      <c r="A142" s="1304"/>
      <c r="B142" s="643">
        <v>1531</v>
      </c>
      <c r="C142" s="643" t="s">
        <v>923</v>
      </c>
      <c r="D142" s="3087">
        <v>1</v>
      </c>
      <c r="E142" s="3088" t="str">
        <f t="shared" si="17"/>
        <v>长期应收款</v>
      </c>
      <c r="F142" s="3089" t="s">
        <v>924</v>
      </c>
      <c r="G142" s="3090">
        <f t="shared" si="18"/>
        <v>0</v>
      </c>
      <c r="H142" s="3091">
        <f t="shared" ca="1" si="20"/>
        <v>0</v>
      </c>
      <c r="I142" s="3093">
        <f ca="1">IF(AND(LEN(G142)&gt;0,LEN(H142)&gt;0),ROUND(SUM(G142)-SUM(H142),2),"")</f>
        <v>0</v>
      </c>
      <c r="J142" s="3072" t="str">
        <f ca="1">IF(ISNA(I142),"N/A",IF(I142=0,"√","？"))</f>
        <v>√</v>
      </c>
      <c r="K142" s="3090">
        <f t="shared" si="19"/>
        <v>0</v>
      </c>
      <c r="L142" s="3071">
        <f ca="1">INDIRECT("Notes!CheckB"&amp;$C142)</f>
        <v>0</v>
      </c>
      <c r="M142" s="3093">
        <f ca="1">IF(AND(LEN(K142)&gt;0,LEN(L142)&gt;0),ROUND(SUM(K142)-SUM(L142),2),"")</f>
        <v>0</v>
      </c>
      <c r="N142" s="3072" t="str">
        <f ca="1">IF(ISNA(M142),"N/A",IF(M142=0,"√","？"))</f>
        <v>√</v>
      </c>
      <c r="O142" s="3099"/>
      <c r="P142" s="3100"/>
      <c r="Q142" s="3100"/>
      <c r="R142" s="3100"/>
      <c r="S142" s="3101" t="s">
        <v>295</v>
      </c>
      <c r="T142" s="3101" t="s">
        <v>213</v>
      </c>
      <c r="U142" s="3102"/>
      <c r="V142" s="3102" t="s">
        <v>295</v>
      </c>
      <c r="W142" s="3102" t="s">
        <v>6797</v>
      </c>
      <c r="X142" s="3102" t="s">
        <v>6798</v>
      </c>
      <c r="Y142" s="3103" t="s">
        <v>164</v>
      </c>
    </row>
    <row r="143" spans="1:25" ht="36" hidden="1">
      <c r="A143" s="1304"/>
      <c r="B143" s="643">
        <v>1531</v>
      </c>
      <c r="C143" s="643" t="s">
        <v>5919</v>
      </c>
      <c r="D143" s="3087">
        <v>2</v>
      </c>
      <c r="E143" s="3088" t="str">
        <f t="shared" si="17"/>
        <v>长期应收款</v>
      </c>
      <c r="F143" s="3089" t="s">
        <v>6440</v>
      </c>
      <c r="G143" s="3090">
        <f t="shared" si="18"/>
        <v>0</v>
      </c>
      <c r="H143" s="3091">
        <f t="shared" ca="1" si="20"/>
        <v>0</v>
      </c>
      <c r="I143" s="3093" t="s">
        <v>6803</v>
      </c>
      <c r="J143" s="3072"/>
      <c r="K143" s="3090">
        <f t="shared" si="19"/>
        <v>0</v>
      </c>
      <c r="L143" s="3071" t="s">
        <v>6799</v>
      </c>
      <c r="M143" s="3093" t="s">
        <v>6803</v>
      </c>
      <c r="N143" s="3072"/>
      <c r="O143" s="3099"/>
      <c r="P143" s="3100"/>
      <c r="Q143" s="3100"/>
      <c r="R143" s="3100"/>
      <c r="S143" s="3101" t="s">
        <v>295</v>
      </c>
      <c r="T143" s="3101" t="s">
        <v>213</v>
      </c>
      <c r="U143" s="3102"/>
      <c r="V143" s="3102" t="s">
        <v>295</v>
      </c>
      <c r="W143" s="3102" t="s">
        <v>145</v>
      </c>
      <c r="X143" s="3102" t="s">
        <v>6800</v>
      </c>
      <c r="Y143" s="3103" t="s">
        <v>119</v>
      </c>
    </row>
    <row r="144" spans="1:25" ht="36" hidden="1">
      <c r="A144" s="1304"/>
      <c r="B144" s="643">
        <v>1531</v>
      </c>
      <c r="C144" s="643" t="s">
        <v>928</v>
      </c>
      <c r="D144" s="3087">
        <v>2</v>
      </c>
      <c r="E144" s="3088" t="str">
        <f t="shared" si="17"/>
        <v>长期应收款</v>
      </c>
      <c r="F144" s="3089" t="s">
        <v>5953</v>
      </c>
      <c r="G144" s="3090">
        <f t="shared" si="18"/>
        <v>0</v>
      </c>
      <c r="H144" s="3091">
        <f t="shared" ca="1" si="20"/>
        <v>0</v>
      </c>
      <c r="I144" s="3093" t="s">
        <v>6803</v>
      </c>
      <c r="J144" s="3072"/>
      <c r="K144" s="3090">
        <f t="shared" si="19"/>
        <v>0</v>
      </c>
      <c r="L144" s="3071" t="s">
        <v>6799</v>
      </c>
      <c r="M144" s="3093" t="s">
        <v>6803</v>
      </c>
      <c r="N144" s="3072"/>
      <c r="O144" s="3099"/>
      <c r="P144" s="3100"/>
      <c r="Q144" s="3100"/>
      <c r="R144" s="3100"/>
      <c r="S144" s="3101" t="s">
        <v>295</v>
      </c>
      <c r="T144" s="3101" t="s">
        <v>213</v>
      </c>
      <c r="U144" s="3102"/>
      <c r="V144" s="3102" t="s">
        <v>295</v>
      </c>
      <c r="W144" s="3102" t="s">
        <v>145</v>
      </c>
      <c r="X144" s="3102" t="s">
        <v>6800</v>
      </c>
      <c r="Y144" s="3103" t="s">
        <v>119</v>
      </c>
    </row>
    <row r="145" spans="1:25" ht="36" hidden="1">
      <c r="A145" s="1304"/>
      <c r="B145" s="643">
        <v>1531</v>
      </c>
      <c r="C145" s="643" t="s">
        <v>931</v>
      </c>
      <c r="D145" s="3087">
        <v>2</v>
      </c>
      <c r="E145" s="3088" t="str">
        <f t="shared" si="17"/>
        <v>长期应收款</v>
      </c>
      <c r="F145" s="3089" t="s">
        <v>5954</v>
      </c>
      <c r="G145" s="3090">
        <f t="shared" si="18"/>
        <v>0</v>
      </c>
      <c r="H145" s="3091">
        <f t="shared" ca="1" si="20"/>
        <v>0</v>
      </c>
      <c r="I145" s="3093" t="s">
        <v>6803</v>
      </c>
      <c r="J145" s="3072"/>
      <c r="K145" s="3090">
        <f t="shared" si="19"/>
        <v>0</v>
      </c>
      <c r="L145" s="3071" t="s">
        <v>6799</v>
      </c>
      <c r="M145" s="3093" t="s">
        <v>6803</v>
      </c>
      <c r="N145" s="3072"/>
      <c r="O145" s="3099"/>
      <c r="P145" s="3100"/>
      <c r="Q145" s="3100"/>
      <c r="R145" s="3100"/>
      <c r="S145" s="3101" t="s">
        <v>295</v>
      </c>
      <c r="T145" s="3101" t="s">
        <v>213</v>
      </c>
      <c r="U145" s="3102"/>
      <c r="V145" s="3102" t="s">
        <v>295</v>
      </c>
      <c r="W145" s="3102" t="s">
        <v>145</v>
      </c>
      <c r="X145" s="3102" t="s">
        <v>6800</v>
      </c>
      <c r="Y145" s="3103" t="s">
        <v>119</v>
      </c>
    </row>
    <row r="146" spans="1:25" ht="36" hidden="1">
      <c r="A146" s="1304"/>
      <c r="B146" s="643">
        <v>1531</v>
      </c>
      <c r="C146" s="643" t="s">
        <v>934</v>
      </c>
      <c r="D146" s="3087">
        <v>2</v>
      </c>
      <c r="E146" s="3088" t="str">
        <f t="shared" si="17"/>
        <v>长期应收款</v>
      </c>
      <c r="F146" s="3089" t="s">
        <v>5955</v>
      </c>
      <c r="G146" s="3090">
        <f t="shared" si="18"/>
        <v>0</v>
      </c>
      <c r="H146" s="3091">
        <f t="shared" ca="1" si="20"/>
        <v>0</v>
      </c>
      <c r="I146" s="3093" t="s">
        <v>6803</v>
      </c>
      <c r="J146" s="3072"/>
      <c r="K146" s="3090">
        <f t="shared" si="19"/>
        <v>0</v>
      </c>
      <c r="L146" s="3071" t="s">
        <v>6799</v>
      </c>
      <c r="M146" s="3093" t="s">
        <v>6803</v>
      </c>
      <c r="N146" s="3072"/>
      <c r="O146" s="3099"/>
      <c r="P146" s="3100"/>
      <c r="Q146" s="3100"/>
      <c r="R146" s="3100"/>
      <c r="S146" s="3101" t="s">
        <v>295</v>
      </c>
      <c r="T146" s="3101" t="s">
        <v>213</v>
      </c>
      <c r="U146" s="3102"/>
      <c r="V146" s="3102" t="s">
        <v>295</v>
      </c>
      <c r="W146" s="3102" t="s">
        <v>145</v>
      </c>
      <c r="X146" s="3102" t="s">
        <v>6800</v>
      </c>
      <c r="Y146" s="3103" t="s">
        <v>119</v>
      </c>
    </row>
    <row r="147" spans="1:25" ht="36" hidden="1">
      <c r="A147" s="1304"/>
      <c r="B147" s="643">
        <v>1531</v>
      </c>
      <c r="C147" s="643" t="s">
        <v>946</v>
      </c>
      <c r="D147" s="3087">
        <v>2</v>
      </c>
      <c r="E147" s="3088" t="str">
        <f t="shared" si="17"/>
        <v>长期应收款</v>
      </c>
      <c r="F147" s="3089" t="s">
        <v>6441</v>
      </c>
      <c r="G147" s="3090">
        <f t="shared" si="18"/>
        <v>0</v>
      </c>
      <c r="H147" s="3091">
        <f t="shared" ca="1" si="20"/>
        <v>0</v>
      </c>
      <c r="I147" s="3093" t="s">
        <v>6803</v>
      </c>
      <c r="J147" s="3072"/>
      <c r="K147" s="3090">
        <f t="shared" si="19"/>
        <v>0</v>
      </c>
      <c r="L147" s="3071">
        <f ca="1">INDIRECT("Notes!CheckB"&amp;$C147)</f>
        <v>0</v>
      </c>
      <c r="M147" s="3093" t="s">
        <v>6803</v>
      </c>
      <c r="N147" s="3072"/>
      <c r="O147" s="3099"/>
      <c r="P147" s="3100"/>
      <c r="Q147" s="3100"/>
      <c r="R147" s="3100"/>
      <c r="S147" s="3101" t="s">
        <v>295</v>
      </c>
      <c r="T147" s="3101" t="s">
        <v>213</v>
      </c>
      <c r="U147" s="3102"/>
      <c r="V147" s="3102" t="s">
        <v>295</v>
      </c>
      <c r="W147" s="3102" t="s">
        <v>145</v>
      </c>
      <c r="X147" s="3102" t="s">
        <v>6800</v>
      </c>
      <c r="Y147" s="3103" t="s">
        <v>119</v>
      </c>
    </row>
    <row r="148" spans="1:25" ht="48" hidden="1">
      <c r="A148" s="1304"/>
      <c r="B148" s="643">
        <v>1531</v>
      </c>
      <c r="C148" s="643" t="s">
        <v>949</v>
      </c>
      <c r="D148" s="3087">
        <v>2</v>
      </c>
      <c r="E148" s="3088" t="str">
        <f t="shared" si="17"/>
        <v>长期应收款</v>
      </c>
      <c r="F148" s="3089" t="s">
        <v>5956</v>
      </c>
      <c r="G148" s="3090">
        <f t="shared" si="18"/>
        <v>0</v>
      </c>
      <c r="H148" s="3091" t="s">
        <v>6799</v>
      </c>
      <c r="I148" s="3093" t="s">
        <v>6803</v>
      </c>
      <c r="J148" s="3072"/>
      <c r="K148" s="3090">
        <f t="shared" si="19"/>
        <v>0</v>
      </c>
      <c r="L148" s="3071">
        <f ca="1">INDIRECT("Notes!CheckB"&amp;$C148)</f>
        <v>0</v>
      </c>
      <c r="M148" s="3093" t="s">
        <v>6803</v>
      </c>
      <c r="N148" s="3072"/>
      <c r="O148" s="3099"/>
      <c r="P148" s="3100"/>
      <c r="Q148" s="3100"/>
      <c r="R148" s="3100"/>
      <c r="S148" s="3101" t="s">
        <v>295</v>
      </c>
      <c r="T148" s="3101" t="s">
        <v>213</v>
      </c>
      <c r="U148" s="3102"/>
      <c r="V148" s="3102" t="s">
        <v>295</v>
      </c>
      <c r="W148" s="3102" t="s">
        <v>145</v>
      </c>
      <c r="X148" s="3102" t="s">
        <v>6800</v>
      </c>
      <c r="Y148" s="3103" t="s">
        <v>119</v>
      </c>
    </row>
    <row r="149" spans="1:25" ht="36" hidden="1">
      <c r="A149" s="1304"/>
      <c r="B149" s="643">
        <v>1531</v>
      </c>
      <c r="C149" s="643" t="s">
        <v>939</v>
      </c>
      <c r="D149" s="3087">
        <v>2</v>
      </c>
      <c r="E149" s="3088" t="str">
        <f t="shared" si="17"/>
        <v>长期应收款</v>
      </c>
      <c r="F149" s="3089" t="s">
        <v>5957</v>
      </c>
      <c r="G149" s="3090">
        <f t="shared" si="18"/>
        <v>0</v>
      </c>
      <c r="H149" s="3091">
        <f t="shared" ref="H149:H165" ca="1" si="21">INDIRECT("Notes!CheckA"&amp;$C149)</f>
        <v>0</v>
      </c>
      <c r="I149" s="3093" t="s">
        <v>6803</v>
      </c>
      <c r="J149" s="3072"/>
      <c r="K149" s="3090">
        <f t="shared" si="19"/>
        <v>0</v>
      </c>
      <c r="L149" s="3071" t="s">
        <v>6799</v>
      </c>
      <c r="M149" s="3093" t="s">
        <v>6803</v>
      </c>
      <c r="N149" s="3072"/>
      <c r="O149" s="3099"/>
      <c r="P149" s="3100"/>
      <c r="Q149" s="3100"/>
      <c r="R149" s="3100"/>
      <c r="S149" s="3101" t="s">
        <v>295</v>
      </c>
      <c r="T149" s="3101" t="s">
        <v>213</v>
      </c>
      <c r="U149" s="3102"/>
      <c r="V149" s="3102" t="s">
        <v>295</v>
      </c>
      <c r="W149" s="3102" t="s">
        <v>145</v>
      </c>
      <c r="X149" s="3102" t="s">
        <v>213</v>
      </c>
      <c r="Y149" s="3103" t="s">
        <v>119</v>
      </c>
    </row>
    <row r="150" spans="1:25" ht="24" hidden="1">
      <c r="A150" s="1304"/>
      <c r="B150" s="643">
        <v>1531</v>
      </c>
      <c r="C150" s="643" t="s">
        <v>954</v>
      </c>
      <c r="D150" s="3087">
        <v>2</v>
      </c>
      <c r="E150" s="3088" t="str">
        <f t="shared" si="17"/>
        <v>长期应收款</v>
      </c>
      <c r="F150" s="3089" t="s">
        <v>5958</v>
      </c>
      <c r="G150" s="3090">
        <f t="shared" si="18"/>
        <v>0</v>
      </c>
      <c r="H150" s="3091">
        <f t="shared" ca="1" si="21"/>
        <v>0</v>
      </c>
      <c r="I150" s="3093" t="s">
        <v>6803</v>
      </c>
      <c r="J150" s="3072"/>
      <c r="K150" s="3090">
        <f t="shared" si="19"/>
        <v>0</v>
      </c>
      <c r="L150" s="3071">
        <f ca="1">INDIRECT("Notes!CheckB"&amp;$C150)</f>
        <v>0</v>
      </c>
      <c r="M150" s="3093" t="s">
        <v>6803</v>
      </c>
      <c r="N150" s="3072"/>
      <c r="O150" s="3099"/>
      <c r="P150" s="3100"/>
      <c r="Q150" s="3100"/>
      <c r="R150" s="3100"/>
      <c r="S150" s="3101" t="s">
        <v>295</v>
      </c>
      <c r="T150" s="3101" t="s">
        <v>213</v>
      </c>
      <c r="U150" s="3102"/>
      <c r="V150" s="3102" t="s">
        <v>295</v>
      </c>
      <c r="W150" s="3102" t="s">
        <v>145</v>
      </c>
      <c r="X150" s="3102" t="s">
        <v>6800</v>
      </c>
      <c r="Y150" s="3103" t="s">
        <v>119</v>
      </c>
    </row>
    <row r="151" spans="1:25" ht="24" hidden="1">
      <c r="A151" s="1304"/>
      <c r="B151" s="643">
        <v>1531</v>
      </c>
      <c r="C151" s="643" t="s">
        <v>951</v>
      </c>
      <c r="D151" s="3087">
        <v>2</v>
      </c>
      <c r="E151" s="3088" t="str">
        <f t="shared" si="17"/>
        <v>长期应收款</v>
      </c>
      <c r="F151" s="3089" t="s">
        <v>5959</v>
      </c>
      <c r="G151" s="3090">
        <f t="shared" si="18"/>
        <v>0</v>
      </c>
      <c r="H151" s="3091">
        <f t="shared" ca="1" si="21"/>
        <v>0</v>
      </c>
      <c r="I151" s="3093" t="s">
        <v>6803</v>
      </c>
      <c r="J151" s="3072"/>
      <c r="K151" s="3090">
        <f t="shared" si="19"/>
        <v>0</v>
      </c>
      <c r="L151" s="3071" t="s">
        <v>6799</v>
      </c>
      <c r="M151" s="3093" t="s">
        <v>6803</v>
      </c>
      <c r="N151" s="3072"/>
      <c r="O151" s="3099"/>
      <c r="P151" s="3100"/>
      <c r="Q151" s="3100"/>
      <c r="R151" s="3100"/>
      <c r="S151" s="3101" t="s">
        <v>295</v>
      </c>
      <c r="T151" s="3101" t="s">
        <v>213</v>
      </c>
      <c r="U151" s="3102"/>
      <c r="V151" s="3102" t="s">
        <v>295</v>
      </c>
      <c r="W151" s="3102" t="s">
        <v>145</v>
      </c>
      <c r="X151" s="3102" t="s">
        <v>6800</v>
      </c>
      <c r="Y151" s="3103" t="s">
        <v>119</v>
      </c>
    </row>
    <row r="152" spans="1:25" ht="24" hidden="1">
      <c r="A152" s="1304"/>
      <c r="B152" s="643">
        <v>1531</v>
      </c>
      <c r="C152" s="643" t="s">
        <v>973</v>
      </c>
      <c r="D152" s="3087">
        <v>2</v>
      </c>
      <c r="E152" s="3088" t="str">
        <f t="shared" si="17"/>
        <v>长期应收款</v>
      </c>
      <c r="F152" s="3089" t="s">
        <v>956</v>
      </c>
      <c r="G152" s="3090">
        <f t="shared" si="18"/>
        <v>0</v>
      </c>
      <c r="H152" s="3091">
        <f t="shared" ca="1" si="21"/>
        <v>0</v>
      </c>
      <c r="I152" s="3093" t="s">
        <v>6803</v>
      </c>
      <c r="J152" s="3072"/>
      <c r="K152" s="3090">
        <f t="shared" si="19"/>
        <v>0</v>
      </c>
      <c r="L152" s="3071" t="s">
        <v>6799</v>
      </c>
      <c r="M152" s="3093" t="s">
        <v>6803</v>
      </c>
      <c r="N152" s="3072"/>
      <c r="O152" s="3099"/>
      <c r="P152" s="3100"/>
      <c r="Q152" s="3100"/>
      <c r="R152" s="3100"/>
      <c r="S152" s="3101" t="s">
        <v>295</v>
      </c>
      <c r="T152" s="3101" t="s">
        <v>213</v>
      </c>
      <c r="U152" s="3102"/>
      <c r="V152" s="3102" t="s">
        <v>295</v>
      </c>
      <c r="W152" s="3102" t="s">
        <v>6797</v>
      </c>
      <c r="X152" s="3102" t="s">
        <v>6798</v>
      </c>
      <c r="Y152" s="3103" t="s">
        <v>164</v>
      </c>
    </row>
    <row r="153" spans="1:25" ht="36" hidden="1">
      <c r="A153" s="1304"/>
      <c r="B153" s="643">
        <v>1531</v>
      </c>
      <c r="C153" s="643" t="s">
        <v>959</v>
      </c>
      <c r="D153" s="3087">
        <v>2</v>
      </c>
      <c r="E153" s="3088" t="str">
        <f t="shared" si="17"/>
        <v>长期应收款</v>
      </c>
      <c r="F153" s="3089" t="s">
        <v>960</v>
      </c>
      <c r="G153" s="3090">
        <f t="shared" si="18"/>
        <v>0</v>
      </c>
      <c r="H153" s="3091">
        <f t="shared" ca="1" si="21"/>
        <v>0</v>
      </c>
      <c r="I153" s="3093" t="s">
        <v>6803</v>
      </c>
      <c r="J153" s="3072"/>
      <c r="K153" s="3090">
        <f t="shared" si="19"/>
        <v>0</v>
      </c>
      <c r="L153" s="3071" t="s">
        <v>6799</v>
      </c>
      <c r="M153" s="3093" t="s">
        <v>6803</v>
      </c>
      <c r="N153" s="3072"/>
      <c r="O153" s="3099"/>
      <c r="P153" s="3100"/>
      <c r="Q153" s="3100"/>
      <c r="R153" s="3100"/>
      <c r="S153" s="3101" t="s">
        <v>295</v>
      </c>
      <c r="T153" s="3101" t="s">
        <v>213</v>
      </c>
      <c r="U153" s="3102"/>
      <c r="V153" s="3102" t="s">
        <v>295</v>
      </c>
      <c r="W153" s="3102" t="s">
        <v>6797</v>
      </c>
      <c r="X153" s="3102" t="s">
        <v>6798</v>
      </c>
      <c r="Y153" s="3103" t="s">
        <v>164</v>
      </c>
    </row>
    <row r="154" spans="1:25" ht="24" hidden="1">
      <c r="A154" s="1304"/>
      <c r="B154" s="643">
        <v>1531</v>
      </c>
      <c r="C154" s="643" t="s">
        <v>969</v>
      </c>
      <c r="D154" s="3087">
        <v>2</v>
      </c>
      <c r="E154" s="3088" t="str">
        <f t="shared" si="17"/>
        <v>长期应收款</v>
      </c>
      <c r="F154" s="3089" t="s">
        <v>6443</v>
      </c>
      <c r="G154" s="3090">
        <f t="shared" si="18"/>
        <v>0</v>
      </c>
      <c r="H154" s="3091">
        <f t="shared" ca="1" si="21"/>
        <v>0</v>
      </c>
      <c r="I154" s="3093" t="s">
        <v>6803</v>
      </c>
      <c r="J154" s="3072"/>
      <c r="K154" s="3090">
        <f t="shared" si="19"/>
        <v>0</v>
      </c>
      <c r="L154" s="3071">
        <f ca="1">INDIRECT("Notes!CheckB"&amp;$C154)</f>
        <v>0</v>
      </c>
      <c r="M154" s="3093" t="s">
        <v>6803</v>
      </c>
      <c r="N154" s="3072"/>
      <c r="O154" s="3099"/>
      <c r="P154" s="3100"/>
      <c r="Q154" s="3100"/>
      <c r="R154" s="3100"/>
      <c r="S154" s="3101" t="s">
        <v>295</v>
      </c>
      <c r="T154" s="3101" t="s">
        <v>213</v>
      </c>
      <c r="U154" s="3102"/>
      <c r="V154" s="3102" t="s">
        <v>295</v>
      </c>
      <c r="W154" s="3102" t="s">
        <v>6797</v>
      </c>
      <c r="X154" s="3102" t="s">
        <v>213</v>
      </c>
      <c r="Y154" s="3103" t="s">
        <v>164</v>
      </c>
    </row>
    <row r="155" spans="1:25" ht="18" hidden="1">
      <c r="A155" s="1304"/>
      <c r="B155" s="643">
        <v>1531</v>
      </c>
      <c r="C155" s="643" t="s">
        <v>977</v>
      </c>
      <c r="D155" s="3087">
        <v>2</v>
      </c>
      <c r="E155" s="3088" t="str">
        <f t="shared" si="17"/>
        <v>长期应收款</v>
      </c>
      <c r="F155" s="3089" t="s">
        <v>978</v>
      </c>
      <c r="G155" s="3090">
        <f t="shared" si="18"/>
        <v>0</v>
      </c>
      <c r="H155" s="3091">
        <f t="shared" ca="1" si="21"/>
        <v>0</v>
      </c>
      <c r="I155" s="3093" t="s">
        <v>6803</v>
      </c>
      <c r="J155" s="3072"/>
      <c r="K155" s="3090">
        <f t="shared" si="19"/>
        <v>0</v>
      </c>
      <c r="L155" s="3071" t="s">
        <v>6799</v>
      </c>
      <c r="M155" s="3093" t="s">
        <v>6803</v>
      </c>
      <c r="N155" s="3072"/>
      <c r="O155" s="3099"/>
      <c r="P155" s="3100"/>
      <c r="Q155" s="3100"/>
      <c r="R155" s="3100"/>
      <c r="S155" s="3101" t="s">
        <v>295</v>
      </c>
      <c r="T155" s="3101" t="s">
        <v>213</v>
      </c>
      <c r="U155" s="3102"/>
      <c r="V155" s="3102" t="s">
        <v>295</v>
      </c>
      <c r="W155" s="3102" t="s">
        <v>6797</v>
      </c>
      <c r="X155" s="3102" t="s">
        <v>213</v>
      </c>
      <c r="Y155" s="3103" t="s">
        <v>164</v>
      </c>
    </row>
    <row r="156" spans="1:25" ht="18">
      <c r="A156" s="1304"/>
      <c r="B156" s="643">
        <v>1511</v>
      </c>
      <c r="C156" s="643" t="s">
        <v>5621</v>
      </c>
      <c r="D156" s="3087">
        <v>1</v>
      </c>
      <c r="E156" s="3088" t="str">
        <f t="shared" si="17"/>
        <v>长期股权投资</v>
      </c>
      <c r="F156" s="3089" t="s">
        <v>5623</v>
      </c>
      <c r="G156" s="3090">
        <f t="shared" si="18"/>
        <v>0</v>
      </c>
      <c r="H156" s="3091">
        <f t="shared" ca="1" si="21"/>
        <v>0</v>
      </c>
      <c r="I156" s="3093">
        <f ca="1">IF(AND(LEN(G156)&gt;0,LEN(H156)&gt;0),ROUND(SUM(G156)-SUM(H156),2),"")</f>
        <v>0</v>
      </c>
      <c r="J156" s="3072" t="str">
        <f ca="1">IF(ISNA(I156),"N/A",IF(I156=0,"√","？"))</f>
        <v>√</v>
      </c>
      <c r="K156" s="3090">
        <f t="shared" si="19"/>
        <v>0</v>
      </c>
      <c r="L156" s="3071">
        <f ca="1">INDIRECT("Notes!CheckB"&amp;$C156)</f>
        <v>0</v>
      </c>
      <c r="M156" s="3093">
        <f ca="1">IF(AND(LEN(K156)&gt;0,LEN(L156)&gt;0),ROUND(SUM(K156)-SUM(L156),2),"")</f>
        <v>0</v>
      </c>
      <c r="N156" s="3072" t="str">
        <f ca="1">IF(ISNA(M156),"N/A",IF(M156=0,"√","？"))</f>
        <v>√</v>
      </c>
      <c r="O156" s="3099"/>
      <c r="P156" s="3100"/>
      <c r="Q156" s="3100"/>
      <c r="R156" s="3100"/>
      <c r="S156" s="3101" t="s">
        <v>295</v>
      </c>
      <c r="T156" s="3101" t="s">
        <v>213</v>
      </c>
      <c r="U156" s="3102"/>
      <c r="V156" s="3102" t="s">
        <v>295</v>
      </c>
      <c r="W156" s="3102" t="s">
        <v>6797</v>
      </c>
      <c r="X156" s="3102" t="s">
        <v>213</v>
      </c>
      <c r="Y156" s="3103" t="s">
        <v>164</v>
      </c>
    </row>
    <row r="157" spans="1:25" ht="24" hidden="1">
      <c r="A157" s="1304"/>
      <c r="B157" s="643">
        <v>1511</v>
      </c>
      <c r="C157" s="643" t="s">
        <v>5622</v>
      </c>
      <c r="D157" s="3087">
        <v>2</v>
      </c>
      <c r="E157" s="3088" t="str">
        <f t="shared" si="17"/>
        <v>长期股权投资</v>
      </c>
      <c r="F157" s="3089" t="s">
        <v>5624</v>
      </c>
      <c r="G157" s="3090">
        <f t="shared" si="18"/>
        <v>0</v>
      </c>
      <c r="H157" s="3091">
        <f t="shared" ca="1" si="21"/>
        <v>0</v>
      </c>
      <c r="I157" s="3093" t="s">
        <v>6803</v>
      </c>
      <c r="J157" s="3072"/>
      <c r="K157" s="3090">
        <f t="shared" si="19"/>
        <v>0</v>
      </c>
      <c r="L157" s="3071">
        <f ca="1">INDIRECT("Notes!CheckB"&amp;$C157)</f>
        <v>0</v>
      </c>
      <c r="M157" s="3093" t="s">
        <v>6803</v>
      </c>
      <c r="N157" s="3072"/>
      <c r="O157" s="3099"/>
      <c r="P157" s="3100"/>
      <c r="Q157" s="3100"/>
      <c r="R157" s="3100"/>
      <c r="S157" s="3101" t="s">
        <v>295</v>
      </c>
      <c r="T157" s="3101" t="s">
        <v>213</v>
      </c>
      <c r="U157" s="3102"/>
      <c r="V157" s="3102" t="s">
        <v>295</v>
      </c>
      <c r="W157" s="3102" t="s">
        <v>6797</v>
      </c>
      <c r="X157" s="3102" t="s">
        <v>213</v>
      </c>
      <c r="Y157" s="3103" t="s">
        <v>164</v>
      </c>
    </row>
    <row r="158" spans="1:25" ht="24" hidden="1">
      <c r="A158" s="1304"/>
      <c r="B158" s="643">
        <v>1511</v>
      </c>
      <c r="C158" s="643" t="s">
        <v>982</v>
      </c>
      <c r="D158" s="3087">
        <v>2</v>
      </c>
      <c r="E158" s="3088" t="str">
        <f t="shared" si="17"/>
        <v>长期股权投资</v>
      </c>
      <c r="F158" s="3089" t="s">
        <v>6444</v>
      </c>
      <c r="G158" s="3090">
        <f t="shared" si="18"/>
        <v>0</v>
      </c>
      <c r="H158" s="3091">
        <f t="shared" ca="1" si="21"/>
        <v>0</v>
      </c>
      <c r="I158" s="3093" t="s">
        <v>6803</v>
      </c>
      <c r="J158" s="3072"/>
      <c r="K158" s="3090"/>
      <c r="L158" s="3071"/>
      <c r="M158" s="3093" t="s">
        <v>6803</v>
      </c>
      <c r="N158" s="3072"/>
      <c r="O158" s="3099"/>
      <c r="P158" s="3100"/>
      <c r="Q158" s="3100"/>
      <c r="R158" s="3100"/>
      <c r="S158" s="3101" t="s">
        <v>295</v>
      </c>
      <c r="T158" s="3101" t="s">
        <v>213</v>
      </c>
      <c r="U158" s="3102"/>
      <c r="V158" s="3102" t="s">
        <v>295</v>
      </c>
      <c r="W158" s="3102" t="s">
        <v>6797</v>
      </c>
      <c r="X158" s="3102" t="s">
        <v>6798</v>
      </c>
      <c r="Y158" s="3103" t="s">
        <v>164</v>
      </c>
    </row>
    <row r="159" spans="1:25" ht="18">
      <c r="A159" s="1304"/>
      <c r="B159" s="643">
        <v>1538</v>
      </c>
      <c r="C159" s="643" t="s">
        <v>993</v>
      </c>
      <c r="D159" s="3087">
        <v>1</v>
      </c>
      <c r="E159" s="3088" t="str">
        <f t="shared" si="17"/>
        <v>其他权益工具投资</v>
      </c>
      <c r="F159" s="3089" t="s">
        <v>994</v>
      </c>
      <c r="G159" s="3090">
        <f t="shared" si="18"/>
        <v>0</v>
      </c>
      <c r="H159" s="3091">
        <f t="shared" ca="1" si="21"/>
        <v>0</v>
      </c>
      <c r="I159" s="3093">
        <f ca="1">IF(AND(LEN(G159)&gt;0,LEN(H159)&gt;0),ROUND(SUM(G159)-SUM(H159),2),"")</f>
        <v>0</v>
      </c>
      <c r="J159" s="3072" t="str">
        <f ca="1">IF(ISNA(I159),"N/A",IF(I159=0,"√","？"))</f>
        <v>√</v>
      </c>
      <c r="K159" s="3090">
        <f t="shared" ref="K159:K222" si="22">IF(ISERROR(VLOOKUP($B159,Sheet_Trialbal,10,0)),"        ----",VLOOKUP($B159,Sheet_Trialbal,10,0))</f>
        <v>0</v>
      </c>
      <c r="L159" s="3071">
        <f ca="1">INDIRECT("Notes!CheckB"&amp;$C159)</f>
        <v>0</v>
      </c>
      <c r="M159" s="3093">
        <f ca="1">IF(AND(LEN(K159)&gt;0,LEN(L159)&gt;0),ROUND(SUM(K159)-SUM(L159),2),"")</f>
        <v>0</v>
      </c>
      <c r="N159" s="3072" t="str">
        <f ca="1">IF(ISNA(M159),"N/A",IF(M159=0,"√","？"))</f>
        <v>√</v>
      </c>
      <c r="O159" s="3099"/>
      <c r="P159" s="3100"/>
      <c r="Q159" s="3100"/>
      <c r="R159" s="3100"/>
      <c r="S159" s="3101" t="s">
        <v>295</v>
      </c>
      <c r="T159" s="3101" t="s">
        <v>213</v>
      </c>
      <c r="U159" s="3102"/>
      <c r="V159" s="3102" t="s">
        <v>295</v>
      </c>
      <c r="W159" s="3102" t="s">
        <v>145</v>
      </c>
      <c r="X159" s="3102" t="s">
        <v>6800</v>
      </c>
      <c r="Y159" s="3103" t="s">
        <v>119</v>
      </c>
    </row>
    <row r="160" spans="1:25" ht="24" hidden="1">
      <c r="A160" s="1304"/>
      <c r="B160" s="643">
        <v>1538</v>
      </c>
      <c r="C160" s="643" t="s">
        <v>1000</v>
      </c>
      <c r="D160" s="3087">
        <v>2</v>
      </c>
      <c r="E160" s="3088" t="str">
        <f t="shared" si="17"/>
        <v>其他权益工具投资</v>
      </c>
      <c r="F160" s="3089" t="s">
        <v>1001</v>
      </c>
      <c r="G160" s="3090">
        <f t="shared" si="18"/>
        <v>0</v>
      </c>
      <c r="H160" s="3091">
        <f t="shared" ca="1" si="21"/>
        <v>0</v>
      </c>
      <c r="I160" s="3093" t="s">
        <v>6803</v>
      </c>
      <c r="J160" s="3072"/>
      <c r="K160" s="3090">
        <f t="shared" si="22"/>
        <v>0</v>
      </c>
      <c r="L160" s="3071" t="s">
        <v>6799</v>
      </c>
      <c r="M160" s="3093" t="s">
        <v>6803</v>
      </c>
      <c r="N160" s="3072"/>
      <c r="O160" s="3099"/>
      <c r="P160" s="3100"/>
      <c r="Q160" s="3100"/>
      <c r="R160" s="3100"/>
      <c r="S160" s="3101" t="s">
        <v>295</v>
      </c>
      <c r="T160" s="3101" t="s">
        <v>213</v>
      </c>
      <c r="U160" s="3102"/>
      <c r="V160" s="3102" t="s">
        <v>295</v>
      </c>
      <c r="W160" s="3102" t="s">
        <v>145</v>
      </c>
      <c r="X160" s="3102" t="s">
        <v>6800</v>
      </c>
      <c r="Y160" s="3103" t="s">
        <v>119</v>
      </c>
    </row>
    <row r="161" spans="1:25" ht="24">
      <c r="A161" s="1304"/>
      <c r="B161" s="643">
        <v>1539</v>
      </c>
      <c r="C161" s="643" t="s">
        <v>1006</v>
      </c>
      <c r="D161" s="3087">
        <v>1</v>
      </c>
      <c r="E161" s="3088" t="str">
        <f t="shared" si="17"/>
        <v>其他非流动金融资产</v>
      </c>
      <c r="F161" s="3089" t="s">
        <v>1007</v>
      </c>
      <c r="G161" s="3090">
        <f t="shared" si="18"/>
        <v>0</v>
      </c>
      <c r="H161" s="3091">
        <f t="shared" ca="1" si="21"/>
        <v>0</v>
      </c>
      <c r="I161" s="3093">
        <f ca="1">IF(AND(LEN(G161)&gt;0,LEN(H161)&gt;0),ROUND(SUM(G161)-SUM(H161),2),"")</f>
        <v>0</v>
      </c>
      <c r="J161" s="3072" t="str">
        <f ca="1">IF(ISNA(I161),"N/A",IF(I161=0,"√","？"))</f>
        <v>√</v>
      </c>
      <c r="K161" s="3090">
        <f t="shared" si="22"/>
        <v>0</v>
      </c>
      <c r="L161" s="3071">
        <f ca="1">INDIRECT("Notes!CheckB"&amp;$C161)</f>
        <v>0</v>
      </c>
      <c r="M161" s="3093">
        <f ca="1">IF(AND(LEN(K161)&gt;0,LEN(L161)&gt;0),ROUND(SUM(K161)-SUM(L161),2),"")</f>
        <v>0</v>
      </c>
      <c r="N161" s="3072" t="str">
        <f ca="1">IF(ISNA(M161),"N/A",IF(M161=0,"√","？"))</f>
        <v>√</v>
      </c>
      <c r="O161" s="3099"/>
      <c r="P161" s="3100"/>
      <c r="Q161" s="3100"/>
      <c r="R161" s="3100"/>
      <c r="S161" s="3101" t="s">
        <v>295</v>
      </c>
      <c r="T161" s="3101" t="s">
        <v>213</v>
      </c>
      <c r="U161" s="3102"/>
      <c r="V161" s="3102" t="s">
        <v>295</v>
      </c>
      <c r="W161" s="3102" t="s">
        <v>145</v>
      </c>
      <c r="X161" s="3102" t="s">
        <v>6800</v>
      </c>
      <c r="Y161" s="3103" t="s">
        <v>119</v>
      </c>
    </row>
    <row r="162" spans="1:25" ht="24" hidden="1">
      <c r="A162" s="1304"/>
      <c r="B162" s="643">
        <v>1539</v>
      </c>
      <c r="C162" s="643" t="s">
        <v>5617</v>
      </c>
      <c r="D162" s="3087">
        <v>2</v>
      </c>
      <c r="E162" s="3088" t="str">
        <f t="shared" si="17"/>
        <v>其他非流动金融资产</v>
      </c>
      <c r="F162" s="3089" t="s">
        <v>5619</v>
      </c>
      <c r="G162" s="3090">
        <f t="shared" si="18"/>
        <v>0</v>
      </c>
      <c r="H162" s="3091">
        <f t="shared" ca="1" si="21"/>
        <v>0</v>
      </c>
      <c r="I162" s="3093" t="s">
        <v>6803</v>
      </c>
      <c r="J162" s="3072"/>
      <c r="K162" s="3090">
        <f t="shared" si="22"/>
        <v>0</v>
      </c>
      <c r="L162" s="3071">
        <f ca="1">INDIRECT("Notes!CheckB"&amp;$C162)</f>
        <v>0</v>
      </c>
      <c r="M162" s="3093" t="s">
        <v>6803</v>
      </c>
      <c r="N162" s="3072"/>
      <c r="O162" s="3099"/>
      <c r="P162" s="3100"/>
      <c r="Q162" s="3100"/>
      <c r="R162" s="3100"/>
      <c r="S162" s="3101" t="s">
        <v>295</v>
      </c>
      <c r="T162" s="3101" t="s">
        <v>213</v>
      </c>
      <c r="U162" s="3102"/>
      <c r="V162" s="3102" t="s">
        <v>295</v>
      </c>
      <c r="W162" s="3102" t="s">
        <v>145</v>
      </c>
      <c r="X162" s="3102" t="s">
        <v>213</v>
      </c>
      <c r="Y162" s="3103" t="s">
        <v>119</v>
      </c>
    </row>
    <row r="163" spans="1:25" ht="24" hidden="1">
      <c r="A163" s="1304"/>
      <c r="B163" s="643">
        <v>1539</v>
      </c>
      <c r="C163" s="643" t="s">
        <v>5618</v>
      </c>
      <c r="D163" s="3087">
        <v>2</v>
      </c>
      <c r="E163" s="3088" t="str">
        <f t="shared" si="17"/>
        <v>其他非流动金融资产</v>
      </c>
      <c r="F163" s="3089" t="s">
        <v>5620</v>
      </c>
      <c r="G163" s="3090">
        <f t="shared" si="18"/>
        <v>0</v>
      </c>
      <c r="H163" s="3091">
        <f t="shared" ca="1" si="21"/>
        <v>0</v>
      </c>
      <c r="I163" s="3093" t="s">
        <v>6803</v>
      </c>
      <c r="J163" s="3072"/>
      <c r="K163" s="3090">
        <f t="shared" si="22"/>
        <v>0</v>
      </c>
      <c r="L163" s="3071">
        <f ca="1">INDIRECT("Notes!CheckB"&amp;$C163)</f>
        <v>0</v>
      </c>
      <c r="M163" s="3093" t="s">
        <v>6803</v>
      </c>
      <c r="N163" s="3072"/>
      <c r="O163" s="3099"/>
      <c r="P163" s="3100"/>
      <c r="Q163" s="3100"/>
      <c r="R163" s="3100"/>
      <c r="S163" s="3101" t="s">
        <v>295</v>
      </c>
      <c r="T163" s="3101" t="s">
        <v>213</v>
      </c>
      <c r="U163" s="3102"/>
      <c r="V163" s="3102" t="s">
        <v>295</v>
      </c>
      <c r="W163" s="3102" t="s">
        <v>145</v>
      </c>
      <c r="X163" s="3102" t="s">
        <v>213</v>
      </c>
      <c r="Y163" s="3103" t="s">
        <v>119</v>
      </c>
    </row>
    <row r="164" spans="1:25" ht="24" hidden="1">
      <c r="A164" s="1304"/>
      <c r="B164" s="643">
        <v>1521</v>
      </c>
      <c r="C164" s="643" t="s">
        <v>1051</v>
      </c>
      <c r="D164" s="3087">
        <v>2</v>
      </c>
      <c r="E164" s="3088" t="str">
        <f t="shared" si="17"/>
        <v>投资性房地产</v>
      </c>
      <c r="F164" s="3089" t="s">
        <v>1052</v>
      </c>
      <c r="G164" s="3090">
        <f t="shared" si="18"/>
        <v>0</v>
      </c>
      <c r="H164" s="3091">
        <f t="shared" ca="1" si="21"/>
        <v>0</v>
      </c>
      <c r="I164" s="3093" t="s">
        <v>6803</v>
      </c>
      <c r="J164" s="3072"/>
      <c r="K164" s="3090">
        <f t="shared" si="22"/>
        <v>0</v>
      </c>
      <c r="L164" s="3071">
        <f ca="1">INDIRECT("Notes!CheckB"&amp;$C164)</f>
        <v>0</v>
      </c>
      <c r="M164" s="3093" t="s">
        <v>6803</v>
      </c>
      <c r="N164" s="3072"/>
      <c r="O164" s="3099"/>
      <c r="P164" s="3100"/>
      <c r="Q164" s="3100"/>
      <c r="R164" s="3100"/>
      <c r="S164" s="3101" t="s">
        <v>295</v>
      </c>
      <c r="T164" s="3101" t="s">
        <v>213</v>
      </c>
      <c r="U164" s="3102">
        <v>1521</v>
      </c>
      <c r="V164" s="3102" t="s">
        <v>295</v>
      </c>
      <c r="W164" s="3102" t="s">
        <v>6797</v>
      </c>
      <c r="X164" s="3102" t="s">
        <v>6798</v>
      </c>
      <c r="Y164" s="3103" t="s">
        <v>164</v>
      </c>
    </row>
    <row r="165" spans="1:25" ht="24" hidden="1">
      <c r="A165" s="1304"/>
      <c r="B165" s="643">
        <v>1521</v>
      </c>
      <c r="C165" s="643" t="s">
        <v>1058</v>
      </c>
      <c r="D165" s="3087">
        <v>2</v>
      </c>
      <c r="E165" s="3088" t="str">
        <f t="shared" si="17"/>
        <v>投资性房地产</v>
      </c>
      <c r="F165" s="3089" t="s">
        <v>1059</v>
      </c>
      <c r="G165" s="3090">
        <f t="shared" si="18"/>
        <v>0</v>
      </c>
      <c r="H165" s="3091">
        <f t="shared" ca="1" si="21"/>
        <v>0</v>
      </c>
      <c r="I165" s="3093" t="s">
        <v>6803</v>
      </c>
      <c r="J165" s="3072"/>
      <c r="K165" s="3090">
        <f t="shared" si="22"/>
        <v>0</v>
      </c>
      <c r="L165" s="3071">
        <f ca="1">INDIRECT("Notes!CheckB"&amp;$C165)</f>
        <v>0</v>
      </c>
      <c r="M165" s="3093" t="s">
        <v>6803</v>
      </c>
      <c r="N165" s="3072"/>
      <c r="O165" s="3099"/>
      <c r="P165" s="3100"/>
      <c r="Q165" s="3100"/>
      <c r="R165" s="3100"/>
      <c r="S165" s="3101" t="s">
        <v>295</v>
      </c>
      <c r="T165" s="3101" t="s">
        <v>213</v>
      </c>
      <c r="U165" s="3102">
        <v>1521</v>
      </c>
      <c r="V165" s="3102" t="s">
        <v>295</v>
      </c>
      <c r="W165" s="3102" t="s">
        <v>6797</v>
      </c>
      <c r="X165" s="3102" t="s">
        <v>6798</v>
      </c>
      <c r="Y165" s="3103" t="s">
        <v>164</v>
      </c>
    </row>
    <row r="166" spans="1:25" ht="24" hidden="1">
      <c r="A166" s="1304"/>
      <c r="B166" s="643">
        <v>1521</v>
      </c>
      <c r="C166" s="643" t="s">
        <v>1062</v>
      </c>
      <c r="D166" s="3087">
        <v>2</v>
      </c>
      <c r="E166" s="3088" t="str">
        <f t="shared" si="17"/>
        <v>投资性房地产</v>
      </c>
      <c r="F166" s="3089" t="s">
        <v>1063</v>
      </c>
      <c r="G166" s="3090">
        <f t="shared" si="18"/>
        <v>0</v>
      </c>
      <c r="H166" s="3091" t="s">
        <v>6799</v>
      </c>
      <c r="I166" s="3093" t="s">
        <v>6803</v>
      </c>
      <c r="J166" s="3072"/>
      <c r="K166" s="3090">
        <f t="shared" si="22"/>
        <v>0</v>
      </c>
      <c r="L166" s="3071" t="s">
        <v>6799</v>
      </c>
      <c r="M166" s="3093" t="s">
        <v>6803</v>
      </c>
      <c r="N166" s="3072"/>
      <c r="O166" s="3099"/>
      <c r="P166" s="3100"/>
      <c r="Q166" s="3100"/>
      <c r="R166" s="3100"/>
      <c r="S166" s="3101" t="s">
        <v>295</v>
      </c>
      <c r="T166" s="3101" t="s">
        <v>213</v>
      </c>
      <c r="U166" s="3102">
        <v>1521</v>
      </c>
      <c r="V166" s="3102" t="s">
        <v>295</v>
      </c>
      <c r="W166" s="3102" t="s">
        <v>6797</v>
      </c>
      <c r="X166" s="3102" t="s">
        <v>6798</v>
      </c>
      <c r="Y166" s="3103" t="s">
        <v>164</v>
      </c>
    </row>
    <row r="167" spans="1:25" ht="18" hidden="1">
      <c r="A167" s="1304"/>
      <c r="B167" s="643">
        <v>1521</v>
      </c>
      <c r="C167" s="643" t="s">
        <v>1088</v>
      </c>
      <c r="D167" s="3087">
        <v>2</v>
      </c>
      <c r="E167" s="3088" t="str">
        <f t="shared" si="17"/>
        <v>投资性房地产</v>
      </c>
      <c r="F167" s="3089" t="s">
        <v>1089</v>
      </c>
      <c r="G167" s="3090">
        <f t="shared" si="18"/>
        <v>0</v>
      </c>
      <c r="H167" s="3091" t="s">
        <v>6799</v>
      </c>
      <c r="I167" s="3093" t="s">
        <v>6803</v>
      </c>
      <c r="J167" s="3072"/>
      <c r="K167" s="3090">
        <f t="shared" si="22"/>
        <v>0</v>
      </c>
      <c r="L167" s="3071" t="s">
        <v>6799</v>
      </c>
      <c r="M167" s="3093" t="s">
        <v>6803</v>
      </c>
      <c r="N167" s="3072"/>
      <c r="O167" s="3099"/>
      <c r="P167" s="3100"/>
      <c r="Q167" s="3100"/>
      <c r="R167" s="3100"/>
      <c r="S167" s="3101" t="s">
        <v>295</v>
      </c>
      <c r="T167" s="3101" t="s">
        <v>213</v>
      </c>
      <c r="U167" s="3102">
        <v>1521</v>
      </c>
      <c r="V167" s="3102" t="s">
        <v>295</v>
      </c>
      <c r="W167" s="3102" t="s">
        <v>6797</v>
      </c>
      <c r="X167" s="3102" t="s">
        <v>213</v>
      </c>
      <c r="Y167" s="3103" t="s">
        <v>164</v>
      </c>
    </row>
    <row r="168" spans="1:25" ht="18">
      <c r="A168" s="1304"/>
      <c r="B168" s="643">
        <v>1611</v>
      </c>
      <c r="C168" s="643" t="s">
        <v>1098</v>
      </c>
      <c r="D168" s="3087">
        <v>1</v>
      </c>
      <c r="E168" s="3088" t="str">
        <f t="shared" si="17"/>
        <v>固定资产（报表项目）</v>
      </c>
      <c r="F168" s="3089" t="s">
        <v>1099</v>
      </c>
      <c r="G168" s="3090">
        <f t="shared" si="18"/>
        <v>18818300.170000002</v>
      </c>
      <c r="H168" s="3091">
        <f t="shared" ref="H168:H173" ca="1" si="23">INDIRECT("Notes!CheckA"&amp;$C168)</f>
        <v>18818300.170000002</v>
      </c>
      <c r="I168" s="3093">
        <f ca="1">IF(AND(LEN(G168)&gt;0,LEN(H168)&gt;0),ROUND(SUM(G168)-SUM(H168),2),"")</f>
        <v>0</v>
      </c>
      <c r="J168" s="3072" t="str">
        <f ca="1">IF(ISNA(I168),"N/A",IF(I168=0,"√","？"))</f>
        <v>√</v>
      </c>
      <c r="K168" s="3090">
        <f t="shared" si="22"/>
        <v>20288571.73</v>
      </c>
      <c r="L168" s="3071">
        <f ca="1">INDIRECT("Notes!CheckB"&amp;$C168)</f>
        <v>20288571.73</v>
      </c>
      <c r="M168" s="3093">
        <f ca="1">IF(AND(LEN(K168)&gt;0,LEN(L168)&gt;0),ROUND(SUM(K168)-SUM(L168),2),"")</f>
        <v>0</v>
      </c>
      <c r="N168" s="3072" t="str">
        <f ca="1">IF(ISNA(M168),"N/A",IF(M168=0,"√","？"))</f>
        <v>√</v>
      </c>
      <c r="O168" s="3099"/>
      <c r="P168" s="3100"/>
      <c r="Q168" s="3100"/>
      <c r="R168" s="3100"/>
      <c r="S168" s="3101" t="s">
        <v>295</v>
      </c>
      <c r="T168" s="3101" t="s">
        <v>213</v>
      </c>
      <c r="U168" s="3102">
        <v>1611</v>
      </c>
      <c r="V168" s="3102" t="s">
        <v>295</v>
      </c>
      <c r="W168" s="3102" t="s">
        <v>6797</v>
      </c>
      <c r="X168" s="3102" t="s">
        <v>6798</v>
      </c>
      <c r="Y168" s="3103" t="s">
        <v>164</v>
      </c>
    </row>
    <row r="169" spans="1:25" ht="18">
      <c r="A169" s="1304"/>
      <c r="B169" s="643">
        <v>1601</v>
      </c>
      <c r="C169" s="643" t="s">
        <v>1105</v>
      </c>
      <c r="D169" s="3087">
        <v>1</v>
      </c>
      <c r="E169" s="3088" t="str">
        <f t="shared" si="17"/>
        <v>固定资产</v>
      </c>
      <c r="F169" s="3089" t="s">
        <v>1106</v>
      </c>
      <c r="G169" s="3090">
        <f t="shared" si="18"/>
        <v>18818300.170000002</v>
      </c>
      <c r="H169" s="3091">
        <f t="shared" ca="1" si="23"/>
        <v>18818300.170000002</v>
      </c>
      <c r="I169" s="3093">
        <f ca="1">IF(AND(LEN(G169)&gt;0,LEN(H169)&gt;0),ROUND(SUM(G169)-SUM(H169),2),"")</f>
        <v>0</v>
      </c>
      <c r="J169" s="3072" t="str">
        <f ca="1">IF(ISNA(I169),"N/A",IF(I169=0,"√","？"))</f>
        <v>√</v>
      </c>
      <c r="K169" s="3090">
        <f t="shared" si="22"/>
        <v>20288571.73</v>
      </c>
      <c r="L169" s="3071">
        <f ca="1">INDIRECT("Notes!CheckB"&amp;$C169)</f>
        <v>20288571.73</v>
      </c>
      <c r="M169" s="3093">
        <f ca="1">IF(AND(LEN(K169)&gt;0,LEN(L169)&gt;0),ROUND(SUM(K169)-SUM(L169),2),"")</f>
        <v>0</v>
      </c>
      <c r="N169" s="3072" t="str">
        <f ca="1">IF(ISNA(M169),"N/A",IF(M169=0,"√","？"))</f>
        <v>√</v>
      </c>
      <c r="O169" s="3099"/>
      <c r="P169" s="3100"/>
      <c r="Q169" s="3100"/>
      <c r="R169" s="3100"/>
      <c r="S169" s="3101" t="s">
        <v>295</v>
      </c>
      <c r="T169" s="3101" t="s">
        <v>213</v>
      </c>
      <c r="U169" s="3102">
        <v>1601</v>
      </c>
      <c r="V169" s="3102" t="s">
        <v>295</v>
      </c>
      <c r="W169" s="3102" t="s">
        <v>6797</v>
      </c>
      <c r="X169" s="3102" t="s">
        <v>6798</v>
      </c>
      <c r="Y169" s="3103" t="s">
        <v>164</v>
      </c>
    </row>
    <row r="170" spans="1:25" ht="24" hidden="1">
      <c r="A170" s="1304"/>
      <c r="B170" s="643">
        <v>1601</v>
      </c>
      <c r="C170" s="643" t="s">
        <v>1116</v>
      </c>
      <c r="D170" s="3087">
        <v>2</v>
      </c>
      <c r="E170" s="3088" t="str">
        <f t="shared" si="17"/>
        <v>固定资产</v>
      </c>
      <c r="F170" s="3089" t="s">
        <v>1117</v>
      </c>
      <c r="G170" s="3090">
        <f t="shared" si="18"/>
        <v>18818300.170000002</v>
      </c>
      <c r="H170" s="3091">
        <f t="shared" ca="1" si="23"/>
        <v>0</v>
      </c>
      <c r="I170" s="3093" t="s">
        <v>6803</v>
      </c>
      <c r="J170" s="3072"/>
      <c r="K170" s="3090">
        <f t="shared" si="22"/>
        <v>20288571.73</v>
      </c>
      <c r="L170" s="3071" t="s">
        <v>6799</v>
      </c>
      <c r="M170" s="3093" t="s">
        <v>6803</v>
      </c>
      <c r="N170" s="3072"/>
      <c r="O170" s="3099"/>
      <c r="P170" s="3100"/>
      <c r="Q170" s="3100"/>
      <c r="R170" s="3100"/>
      <c r="S170" s="3101" t="s">
        <v>295</v>
      </c>
      <c r="T170" s="3101" t="s">
        <v>213</v>
      </c>
      <c r="U170" s="3102">
        <v>1601</v>
      </c>
      <c r="V170" s="3102" t="s">
        <v>295</v>
      </c>
      <c r="W170" s="3102" t="s">
        <v>6797</v>
      </c>
      <c r="X170" s="3102" t="s">
        <v>6800</v>
      </c>
      <c r="Y170" s="3103" t="s">
        <v>164</v>
      </c>
    </row>
    <row r="171" spans="1:25" ht="24" hidden="1">
      <c r="A171" s="1304"/>
      <c r="B171" s="643">
        <v>1601</v>
      </c>
      <c r="C171" s="643" t="s">
        <v>1120</v>
      </c>
      <c r="D171" s="3087">
        <v>2</v>
      </c>
      <c r="E171" s="3088" t="str">
        <f t="shared" si="17"/>
        <v>固定资产</v>
      </c>
      <c r="F171" s="3089" t="s">
        <v>1121</v>
      </c>
      <c r="G171" s="3090">
        <f t="shared" si="18"/>
        <v>18818300.170000002</v>
      </c>
      <c r="H171" s="3091">
        <f t="shared" ca="1" si="23"/>
        <v>0</v>
      </c>
      <c r="I171" s="3093" t="s">
        <v>6803</v>
      </c>
      <c r="J171" s="3072"/>
      <c r="K171" s="3090">
        <f t="shared" si="22"/>
        <v>20288571.73</v>
      </c>
      <c r="L171" s="3071" t="s">
        <v>6799</v>
      </c>
      <c r="M171" s="3093" t="s">
        <v>6803</v>
      </c>
      <c r="N171" s="3072"/>
      <c r="O171" s="3099"/>
      <c r="P171" s="3100"/>
      <c r="Q171" s="3100"/>
      <c r="R171" s="3100"/>
      <c r="S171" s="3101" t="s">
        <v>295</v>
      </c>
      <c r="T171" s="3101" t="s">
        <v>213</v>
      </c>
      <c r="U171" s="3102">
        <v>1601</v>
      </c>
      <c r="V171" s="3102" t="s">
        <v>295</v>
      </c>
      <c r="W171" s="3102" t="s">
        <v>6797</v>
      </c>
      <c r="X171" s="3102" t="s">
        <v>6798</v>
      </c>
      <c r="Y171" s="3103" t="s">
        <v>164</v>
      </c>
    </row>
    <row r="172" spans="1:25" ht="24" hidden="1">
      <c r="A172" s="1304"/>
      <c r="B172" s="643">
        <v>1601</v>
      </c>
      <c r="C172" s="643" t="s">
        <v>1126</v>
      </c>
      <c r="D172" s="3087">
        <v>2</v>
      </c>
      <c r="E172" s="3088" t="str">
        <f t="shared" si="17"/>
        <v>固定资产</v>
      </c>
      <c r="F172" s="3089" t="s">
        <v>1127</v>
      </c>
      <c r="G172" s="3090">
        <f t="shared" si="18"/>
        <v>18818300.170000002</v>
      </c>
      <c r="H172" s="3091">
        <f t="shared" ca="1" si="23"/>
        <v>0</v>
      </c>
      <c r="I172" s="3093" t="s">
        <v>6803</v>
      </c>
      <c r="J172" s="3072"/>
      <c r="K172" s="3090">
        <f t="shared" si="22"/>
        <v>20288571.73</v>
      </c>
      <c r="L172" s="3071" t="s">
        <v>6799</v>
      </c>
      <c r="M172" s="3093" t="s">
        <v>6803</v>
      </c>
      <c r="N172" s="3072"/>
      <c r="O172" s="3099"/>
      <c r="P172" s="3100"/>
      <c r="Q172" s="3100"/>
      <c r="R172" s="3100"/>
      <c r="S172" s="3101" t="s">
        <v>295</v>
      </c>
      <c r="T172" s="3101" t="s">
        <v>213</v>
      </c>
      <c r="U172" s="3102">
        <v>1601</v>
      </c>
      <c r="V172" s="3102" t="s">
        <v>295</v>
      </c>
      <c r="W172" s="3102" t="s">
        <v>6797</v>
      </c>
      <c r="X172" s="3102" t="s">
        <v>6798</v>
      </c>
      <c r="Y172" s="3103" t="s">
        <v>164</v>
      </c>
    </row>
    <row r="173" spans="1:25" ht="24" hidden="1">
      <c r="A173" s="1304"/>
      <c r="B173" s="643">
        <v>1601</v>
      </c>
      <c r="C173" s="643" t="s">
        <v>1131</v>
      </c>
      <c r="D173" s="3087">
        <v>2</v>
      </c>
      <c r="E173" s="3088" t="str">
        <f t="shared" si="17"/>
        <v>固定资产</v>
      </c>
      <c r="F173" s="3089" t="s">
        <v>1132</v>
      </c>
      <c r="G173" s="3090">
        <f t="shared" si="18"/>
        <v>18818300.170000002</v>
      </c>
      <c r="H173" s="3091">
        <f t="shared" ca="1" si="23"/>
        <v>0</v>
      </c>
      <c r="I173" s="3093" t="s">
        <v>6803</v>
      </c>
      <c r="J173" s="3072"/>
      <c r="K173" s="3090">
        <f t="shared" si="22"/>
        <v>20288571.73</v>
      </c>
      <c r="L173" s="3071">
        <f ca="1">INDIRECT("Notes!CheckB"&amp;$C173)</f>
        <v>0</v>
      </c>
      <c r="M173" s="3093" t="s">
        <v>6803</v>
      </c>
      <c r="N173" s="3072"/>
      <c r="O173" s="3099"/>
      <c r="P173" s="3100"/>
      <c r="Q173" s="3100"/>
      <c r="R173" s="3100"/>
      <c r="S173" s="3101" t="s">
        <v>295</v>
      </c>
      <c r="T173" s="3101" t="s">
        <v>213</v>
      </c>
      <c r="U173" s="3102">
        <v>1601</v>
      </c>
      <c r="V173" s="3102" t="s">
        <v>295</v>
      </c>
      <c r="W173" s="3102" t="s">
        <v>6797</v>
      </c>
      <c r="X173" s="3102" t="s">
        <v>6800</v>
      </c>
      <c r="Y173" s="3103" t="s">
        <v>164</v>
      </c>
    </row>
    <row r="174" spans="1:25" ht="36" hidden="1">
      <c r="A174" s="1304"/>
      <c r="B174" s="643">
        <v>1601</v>
      </c>
      <c r="C174" s="643" t="s">
        <v>1136</v>
      </c>
      <c r="D174" s="3087">
        <v>2</v>
      </c>
      <c r="E174" s="3088" t="str">
        <f t="shared" si="17"/>
        <v>固定资产</v>
      </c>
      <c r="F174" s="3089" t="s">
        <v>1137</v>
      </c>
      <c r="G174" s="3090">
        <f t="shared" si="18"/>
        <v>18818300.170000002</v>
      </c>
      <c r="H174" s="3091" t="s">
        <v>6799</v>
      </c>
      <c r="I174" s="3093" t="s">
        <v>6803</v>
      </c>
      <c r="J174" s="3072"/>
      <c r="K174" s="3090">
        <f t="shared" si="22"/>
        <v>20288571.73</v>
      </c>
      <c r="L174" s="3071" t="s">
        <v>6799</v>
      </c>
      <c r="M174" s="3093" t="s">
        <v>6803</v>
      </c>
      <c r="N174" s="3072"/>
      <c r="O174" s="3099"/>
      <c r="P174" s="3100"/>
      <c r="Q174" s="3100"/>
      <c r="R174" s="3100"/>
      <c r="S174" s="3101" t="s">
        <v>295</v>
      </c>
      <c r="T174" s="3101" t="s">
        <v>213</v>
      </c>
      <c r="U174" s="3102">
        <v>1601</v>
      </c>
      <c r="V174" s="3102" t="s">
        <v>295</v>
      </c>
      <c r="W174" s="3102" t="s">
        <v>6797</v>
      </c>
      <c r="X174" s="3102" t="s">
        <v>213</v>
      </c>
      <c r="Y174" s="3103" t="s">
        <v>164</v>
      </c>
    </row>
    <row r="175" spans="1:25" ht="18" hidden="1">
      <c r="A175" s="1304"/>
      <c r="B175" s="643">
        <v>1601</v>
      </c>
      <c r="C175" s="643" t="s">
        <v>1156</v>
      </c>
      <c r="D175" s="3087">
        <v>2</v>
      </c>
      <c r="E175" s="3088" t="str">
        <f t="shared" si="17"/>
        <v>固定资产</v>
      </c>
      <c r="F175" s="3089" t="s">
        <v>1157</v>
      </c>
      <c r="G175" s="3090">
        <f t="shared" si="18"/>
        <v>18818300.170000002</v>
      </c>
      <c r="H175" s="3091" t="s">
        <v>6799</v>
      </c>
      <c r="I175" s="3093" t="s">
        <v>6803</v>
      </c>
      <c r="J175" s="3072"/>
      <c r="K175" s="3090">
        <f t="shared" si="22"/>
        <v>20288571.73</v>
      </c>
      <c r="L175" s="3071" t="s">
        <v>6799</v>
      </c>
      <c r="M175" s="3093" t="s">
        <v>6803</v>
      </c>
      <c r="N175" s="3072"/>
      <c r="O175" s="3099"/>
      <c r="P175" s="3100"/>
      <c r="Q175" s="3100"/>
      <c r="R175" s="3100"/>
      <c r="S175" s="3101" t="s">
        <v>295</v>
      </c>
      <c r="T175" s="3101" t="s">
        <v>213</v>
      </c>
      <c r="U175" s="3102">
        <v>1601</v>
      </c>
      <c r="V175" s="3102" t="s">
        <v>295</v>
      </c>
      <c r="W175" s="3102" t="s">
        <v>6797</v>
      </c>
      <c r="X175" s="3102" t="s">
        <v>213</v>
      </c>
      <c r="Y175" s="3103" t="s">
        <v>164</v>
      </c>
    </row>
    <row r="176" spans="1:25" ht="24" hidden="1">
      <c r="A176" s="1304"/>
      <c r="B176" s="643">
        <v>1601</v>
      </c>
      <c r="C176" s="643" t="s">
        <v>1162</v>
      </c>
      <c r="D176" s="3087">
        <v>2</v>
      </c>
      <c r="E176" s="3088" t="str">
        <f t="shared" si="17"/>
        <v>固定资产</v>
      </c>
      <c r="F176" s="3089" t="s">
        <v>1163</v>
      </c>
      <c r="G176" s="3090">
        <f t="shared" si="18"/>
        <v>18818300.170000002</v>
      </c>
      <c r="H176" s="3091">
        <f t="shared" ref="H176:H181" ca="1" si="24">INDIRECT("Notes!CheckA"&amp;$C176)</f>
        <v>0</v>
      </c>
      <c r="I176" s="3093" t="s">
        <v>6803</v>
      </c>
      <c r="J176" s="3072"/>
      <c r="K176" s="3090">
        <f t="shared" si="22"/>
        <v>20288571.73</v>
      </c>
      <c r="L176" s="3071" t="s">
        <v>6799</v>
      </c>
      <c r="M176" s="3093" t="s">
        <v>6803</v>
      </c>
      <c r="N176" s="3072"/>
      <c r="O176" s="3099"/>
      <c r="P176" s="3100"/>
      <c r="Q176" s="3100"/>
      <c r="R176" s="3100"/>
      <c r="S176" s="3101" t="s">
        <v>295</v>
      </c>
      <c r="T176" s="3101" t="s">
        <v>213</v>
      </c>
      <c r="U176" s="3102">
        <v>1601</v>
      </c>
      <c r="V176" s="3102" t="s">
        <v>295</v>
      </c>
      <c r="W176" s="3102" t="s">
        <v>6797</v>
      </c>
      <c r="X176" s="3102" t="s">
        <v>213</v>
      </c>
      <c r="Y176" s="3103" t="s">
        <v>164</v>
      </c>
    </row>
    <row r="177" spans="1:25" ht="18">
      <c r="A177" s="1304"/>
      <c r="B177" s="643">
        <v>1606</v>
      </c>
      <c r="C177" s="643" t="s">
        <v>1165</v>
      </c>
      <c r="D177" s="3087">
        <v>1</v>
      </c>
      <c r="E177" s="3088" t="str">
        <f t="shared" si="17"/>
        <v>固定资产清理</v>
      </c>
      <c r="F177" s="3089" t="s">
        <v>1166</v>
      </c>
      <c r="G177" s="3090">
        <f t="shared" si="18"/>
        <v>0</v>
      </c>
      <c r="H177" s="3091">
        <f t="shared" ca="1" si="24"/>
        <v>0</v>
      </c>
      <c r="I177" s="3093">
        <f ca="1">IF(AND(LEN(G177)&gt;0,LEN(H177)&gt;0),ROUND(SUM(G177)-SUM(H177),2),"")</f>
        <v>0</v>
      </c>
      <c r="J177" s="3072" t="str">
        <f ca="1">IF(ISNA(I177),"N/A",IF(I177=0,"√","？"))</f>
        <v>√</v>
      </c>
      <c r="K177" s="3090">
        <f t="shared" si="22"/>
        <v>0</v>
      </c>
      <c r="L177" s="3071">
        <f ca="1">INDIRECT("Notes!CheckB"&amp;$C177)</f>
        <v>0</v>
      </c>
      <c r="M177" s="3093">
        <f ca="1">IF(AND(LEN(K177)&gt;0,LEN(L177)&gt;0),ROUND(SUM(K177)-SUM(L177),2),"")</f>
        <v>0</v>
      </c>
      <c r="N177" s="3072" t="str">
        <f ca="1">IF(ISNA(M177),"N/A",IF(M177=0,"√","？"))</f>
        <v>√</v>
      </c>
      <c r="O177" s="3099"/>
      <c r="P177" s="3100"/>
      <c r="Q177" s="3100"/>
      <c r="R177" s="3100"/>
      <c r="S177" s="3101" t="s">
        <v>295</v>
      </c>
      <c r="T177" s="3101" t="s">
        <v>213</v>
      </c>
      <c r="U177" s="3102"/>
      <c r="V177" s="3102" t="s">
        <v>295</v>
      </c>
      <c r="W177" s="3102" t="s">
        <v>6797</v>
      </c>
      <c r="X177" s="3102" t="s">
        <v>6798</v>
      </c>
      <c r="Y177" s="3103" t="s">
        <v>164</v>
      </c>
    </row>
    <row r="178" spans="1:25" ht="18" hidden="1">
      <c r="A178" s="1304"/>
      <c r="B178" s="643">
        <v>1606</v>
      </c>
      <c r="C178" s="643" t="s">
        <v>1170</v>
      </c>
      <c r="D178" s="3087">
        <v>2</v>
      </c>
      <c r="E178" s="3088" t="str">
        <f t="shared" si="17"/>
        <v>固定资产清理</v>
      </c>
      <c r="F178" s="3089" t="s">
        <v>6445</v>
      </c>
      <c r="G178" s="3090">
        <f t="shared" si="18"/>
        <v>0</v>
      </c>
      <c r="H178" s="3091">
        <f t="shared" ca="1" si="24"/>
        <v>0</v>
      </c>
      <c r="I178" s="3093" t="s">
        <v>6803</v>
      </c>
      <c r="J178" s="3072"/>
      <c r="K178" s="3090">
        <f t="shared" si="22"/>
        <v>0</v>
      </c>
      <c r="L178" s="3071">
        <f ca="1">INDIRECT("Notes!CheckB"&amp;$C178)</f>
        <v>0</v>
      </c>
      <c r="M178" s="3093" t="s">
        <v>6803</v>
      </c>
      <c r="N178" s="3072"/>
      <c r="O178" s="3099"/>
      <c r="P178" s="3100"/>
      <c r="Q178" s="3100"/>
      <c r="R178" s="3100"/>
      <c r="S178" s="3101" t="s">
        <v>295</v>
      </c>
      <c r="T178" s="3101" t="s">
        <v>213</v>
      </c>
      <c r="U178" s="3102"/>
      <c r="V178" s="3102" t="s">
        <v>295</v>
      </c>
      <c r="W178" s="3102" t="s">
        <v>6797</v>
      </c>
      <c r="X178" s="3102" t="s">
        <v>213</v>
      </c>
      <c r="Y178" s="3103" t="s">
        <v>164</v>
      </c>
    </row>
    <row r="179" spans="1:25" ht="18">
      <c r="A179" s="1304"/>
      <c r="B179" s="643">
        <v>1616</v>
      </c>
      <c r="C179" s="643" t="s">
        <v>1174</v>
      </c>
      <c r="D179" s="3087">
        <v>1</v>
      </c>
      <c r="E179" s="3088" t="str">
        <f t="shared" si="17"/>
        <v>在建工程（报表项目）</v>
      </c>
      <c r="F179" s="3089" t="s">
        <v>1175</v>
      </c>
      <c r="G179" s="3090">
        <f t="shared" si="18"/>
        <v>0</v>
      </c>
      <c r="H179" s="3091">
        <f t="shared" ca="1" si="24"/>
        <v>0</v>
      </c>
      <c r="I179" s="3093">
        <f ca="1">IF(AND(LEN(G179)&gt;0,LEN(H179)&gt;0),ROUND(SUM(G179)-SUM(H179),2),"")</f>
        <v>0</v>
      </c>
      <c r="J179" s="3072" t="str">
        <f ca="1">IF(ISNA(I179),"N/A",IF(I179=0,"√","？"))</f>
        <v>√</v>
      </c>
      <c r="K179" s="3090">
        <f t="shared" si="22"/>
        <v>41650</v>
      </c>
      <c r="L179" s="3071">
        <f ca="1">INDIRECT("Notes!CheckB"&amp;$C179)</f>
        <v>41650</v>
      </c>
      <c r="M179" s="3093">
        <f ca="1">IF(AND(LEN(K179)&gt;0,LEN(L179)&gt;0),ROUND(SUM(K179)-SUM(L179),2),"")</f>
        <v>0</v>
      </c>
      <c r="N179" s="3072" t="str">
        <f ca="1">IF(ISNA(M179),"N/A",IF(M179=0,"√","？"))</f>
        <v>√</v>
      </c>
      <c r="O179" s="3099"/>
      <c r="P179" s="3100"/>
      <c r="Q179" s="3100"/>
      <c r="R179" s="3100"/>
      <c r="S179" s="3101" t="s">
        <v>295</v>
      </c>
      <c r="T179" s="3101" t="s">
        <v>213</v>
      </c>
      <c r="U179" s="3102"/>
      <c r="V179" s="3102" t="s">
        <v>295</v>
      </c>
      <c r="W179" s="3102" t="s">
        <v>6797</v>
      </c>
      <c r="X179" s="3102" t="s">
        <v>6798</v>
      </c>
      <c r="Y179" s="3103" t="s">
        <v>164</v>
      </c>
    </row>
    <row r="180" spans="1:25" ht="18">
      <c r="A180" s="1304"/>
      <c r="B180" s="643">
        <v>1604</v>
      </c>
      <c r="C180" s="643" t="s">
        <v>1179</v>
      </c>
      <c r="D180" s="3087">
        <v>1</v>
      </c>
      <c r="E180" s="3088" t="str">
        <f t="shared" si="17"/>
        <v>在建工程</v>
      </c>
      <c r="F180" s="3089" t="s">
        <v>1180</v>
      </c>
      <c r="G180" s="3090">
        <f t="shared" si="18"/>
        <v>0</v>
      </c>
      <c r="H180" s="3091">
        <f t="shared" ca="1" si="24"/>
        <v>0</v>
      </c>
      <c r="I180" s="3093">
        <f ca="1">IF(AND(LEN(G180)&gt;0,LEN(H180)&gt;0),ROUND(SUM(G180)-SUM(H180),2),"")</f>
        <v>0</v>
      </c>
      <c r="J180" s="3072" t="str">
        <f ca="1">IF(ISNA(I180),"N/A",IF(I180=0,"√","？"))</f>
        <v>√</v>
      </c>
      <c r="K180" s="3090">
        <f t="shared" si="22"/>
        <v>41650</v>
      </c>
      <c r="L180" s="3071">
        <f ca="1">INDIRECT("Notes!CheckB"&amp;$C180)</f>
        <v>41650</v>
      </c>
      <c r="M180" s="3093">
        <f ca="1">IF(AND(LEN(K180)&gt;0,LEN(L180)&gt;0),ROUND(SUM(K180)-SUM(L180),2),"")</f>
        <v>0</v>
      </c>
      <c r="N180" s="3072" t="str">
        <f ca="1">IF(ISNA(M180),"N/A",IF(M180=0,"√","？"))</f>
        <v>√</v>
      </c>
      <c r="O180" s="3099"/>
      <c r="P180" s="3100"/>
      <c r="Q180" s="3100"/>
      <c r="R180" s="3100"/>
      <c r="S180" s="3101" t="s">
        <v>295</v>
      </c>
      <c r="T180" s="3101" t="s">
        <v>213</v>
      </c>
      <c r="U180" s="3102"/>
      <c r="V180" s="3102" t="s">
        <v>295</v>
      </c>
      <c r="W180" s="3102" t="s">
        <v>6797</v>
      </c>
      <c r="X180" s="3102" t="s">
        <v>6798</v>
      </c>
      <c r="Y180" s="3103" t="s">
        <v>164</v>
      </c>
    </row>
    <row r="181" spans="1:25" ht="24" hidden="1">
      <c r="A181" s="1304"/>
      <c r="B181" s="643">
        <v>1604</v>
      </c>
      <c r="C181" s="643" t="s">
        <v>1190</v>
      </c>
      <c r="D181" s="3087">
        <v>2</v>
      </c>
      <c r="E181" s="3088" t="str">
        <f t="shared" si="17"/>
        <v>在建工程</v>
      </c>
      <c r="F181" s="3089" t="s">
        <v>1191</v>
      </c>
      <c r="G181" s="3090">
        <f t="shared" si="18"/>
        <v>0</v>
      </c>
      <c r="H181" s="3091">
        <f t="shared" ca="1" si="24"/>
        <v>0</v>
      </c>
      <c r="I181" s="3093" t="s">
        <v>6803</v>
      </c>
      <c r="J181" s="3072"/>
      <c r="K181" s="3090">
        <f t="shared" si="22"/>
        <v>41650</v>
      </c>
      <c r="L181" s="3071">
        <f ca="1">INDIRECT("Notes!CheckB"&amp;$C181)</f>
        <v>0</v>
      </c>
      <c r="M181" s="3093" t="s">
        <v>6803</v>
      </c>
      <c r="N181" s="3072"/>
      <c r="O181" s="3099"/>
      <c r="P181" s="3100"/>
      <c r="Q181" s="3100"/>
      <c r="R181" s="3100"/>
      <c r="S181" s="3101" t="s">
        <v>295</v>
      </c>
      <c r="T181" s="3101" t="s">
        <v>213</v>
      </c>
      <c r="U181" s="3102"/>
      <c r="V181" s="3102" t="s">
        <v>295</v>
      </c>
      <c r="W181" s="3102" t="s">
        <v>6797</v>
      </c>
      <c r="X181" s="3102" t="s">
        <v>6798</v>
      </c>
      <c r="Y181" s="3103" t="s">
        <v>164</v>
      </c>
    </row>
    <row r="182" spans="1:25" ht="24" hidden="1">
      <c r="A182" s="1304"/>
      <c r="B182" s="643">
        <v>1604</v>
      </c>
      <c r="C182" s="643" t="s">
        <v>1193</v>
      </c>
      <c r="D182" s="3087">
        <v>2</v>
      </c>
      <c r="E182" s="3088" t="str">
        <f t="shared" si="17"/>
        <v>在建工程</v>
      </c>
      <c r="F182" s="3089" t="s">
        <v>1194</v>
      </c>
      <c r="G182" s="3090">
        <f t="shared" si="18"/>
        <v>0</v>
      </c>
      <c r="H182" s="3091" t="s">
        <v>6799</v>
      </c>
      <c r="I182" s="3093" t="s">
        <v>6803</v>
      </c>
      <c r="J182" s="3072"/>
      <c r="K182" s="3090">
        <f t="shared" si="22"/>
        <v>41650</v>
      </c>
      <c r="L182" s="3071" t="s">
        <v>6799</v>
      </c>
      <c r="M182" s="3093" t="s">
        <v>6803</v>
      </c>
      <c r="N182" s="3072"/>
      <c r="O182" s="3099"/>
      <c r="P182" s="3100"/>
      <c r="Q182" s="3100"/>
      <c r="R182" s="3100"/>
      <c r="S182" s="3101" t="s">
        <v>295</v>
      </c>
      <c r="T182" s="3101" t="s">
        <v>213</v>
      </c>
      <c r="U182" s="3102"/>
      <c r="V182" s="3102" t="s">
        <v>295</v>
      </c>
      <c r="W182" s="3102" t="s">
        <v>6797</v>
      </c>
      <c r="X182" s="3102" t="s">
        <v>6798</v>
      </c>
      <c r="Y182" s="3103" t="s">
        <v>164</v>
      </c>
    </row>
    <row r="183" spans="1:25" ht="24" hidden="1">
      <c r="A183" s="1304"/>
      <c r="B183" s="643">
        <v>1604</v>
      </c>
      <c r="C183" s="643" t="s">
        <v>1186</v>
      </c>
      <c r="D183" s="3087">
        <v>2</v>
      </c>
      <c r="E183" s="3088" t="str">
        <f t="shared" si="17"/>
        <v>在建工程</v>
      </c>
      <c r="F183" s="3089" t="s">
        <v>6446</v>
      </c>
      <c r="G183" s="3090">
        <f t="shared" si="18"/>
        <v>0</v>
      </c>
      <c r="H183" s="3091">
        <f t="shared" ref="H183:H190" ca="1" si="25">INDIRECT("Notes!CheckA"&amp;$C183)</f>
        <v>0</v>
      </c>
      <c r="I183" s="3093" t="s">
        <v>6803</v>
      </c>
      <c r="J183" s="3072"/>
      <c r="K183" s="3090">
        <f t="shared" si="22"/>
        <v>41650</v>
      </c>
      <c r="L183" s="3071">
        <f ca="1">INDIRECT("Notes!CheckB"&amp;$C183)</f>
        <v>0</v>
      </c>
      <c r="M183" s="3093" t="s">
        <v>6803</v>
      </c>
      <c r="N183" s="3072"/>
      <c r="O183" s="3099"/>
      <c r="P183" s="3100"/>
      <c r="Q183" s="3100"/>
      <c r="R183" s="3100"/>
      <c r="S183" s="3101" t="s">
        <v>295</v>
      </c>
      <c r="T183" s="3101" t="s">
        <v>213</v>
      </c>
      <c r="U183" s="3102"/>
      <c r="V183" s="3102" t="s">
        <v>295</v>
      </c>
      <c r="W183" s="3102" t="s">
        <v>145</v>
      </c>
      <c r="X183" s="3102" t="s">
        <v>6800</v>
      </c>
      <c r="Y183" s="3103" t="s">
        <v>164</v>
      </c>
    </row>
    <row r="184" spans="1:25" ht="24" hidden="1">
      <c r="A184" s="1304"/>
      <c r="B184" s="643">
        <v>1604</v>
      </c>
      <c r="C184" s="643" t="s">
        <v>1196</v>
      </c>
      <c r="D184" s="3087">
        <v>2</v>
      </c>
      <c r="E184" s="3088" t="str">
        <f t="shared" si="17"/>
        <v>在建工程</v>
      </c>
      <c r="F184" s="3089" t="s">
        <v>6447</v>
      </c>
      <c r="G184" s="3090">
        <f t="shared" si="18"/>
        <v>0</v>
      </c>
      <c r="H184" s="3091">
        <f t="shared" ca="1" si="25"/>
        <v>0</v>
      </c>
      <c r="I184" s="3093" t="s">
        <v>6803</v>
      </c>
      <c r="J184" s="3072"/>
      <c r="K184" s="3090">
        <f t="shared" si="22"/>
        <v>41650</v>
      </c>
      <c r="L184" s="3071" t="s">
        <v>6799</v>
      </c>
      <c r="M184" s="3093" t="s">
        <v>6803</v>
      </c>
      <c r="N184" s="3072"/>
      <c r="O184" s="3099"/>
      <c r="P184" s="3100"/>
      <c r="Q184" s="3100"/>
      <c r="R184" s="3100"/>
      <c r="S184" s="3101" t="s">
        <v>213</v>
      </c>
      <c r="T184" s="3101" t="s">
        <v>213</v>
      </c>
      <c r="U184" s="3102"/>
      <c r="V184" s="3102" t="s">
        <v>295</v>
      </c>
      <c r="W184" s="3102" t="s">
        <v>6802</v>
      </c>
      <c r="X184" s="3102" t="s">
        <v>6801</v>
      </c>
      <c r="Y184" s="3103" t="s">
        <v>164</v>
      </c>
    </row>
    <row r="185" spans="1:25" ht="18">
      <c r="A185" s="1304"/>
      <c r="B185" s="643">
        <v>1605</v>
      </c>
      <c r="C185" s="643" t="s">
        <v>1198</v>
      </c>
      <c r="D185" s="3087">
        <v>1</v>
      </c>
      <c r="E185" s="3088" t="str">
        <f t="shared" si="17"/>
        <v>工程物资</v>
      </c>
      <c r="F185" s="3089" t="s">
        <v>1199</v>
      </c>
      <c r="G185" s="3090">
        <f t="shared" si="18"/>
        <v>0</v>
      </c>
      <c r="H185" s="3091">
        <f t="shared" ca="1" si="25"/>
        <v>0</v>
      </c>
      <c r="I185" s="3093">
        <f ca="1">IF(AND(LEN(G185)&gt;0,LEN(H185)&gt;0),ROUND(SUM(G185)-SUM(H185),2),"")</f>
        <v>0</v>
      </c>
      <c r="J185" s="3072" t="str">
        <f ca="1">IF(ISNA(I185),"N/A",IF(I185=0,"√","？"))</f>
        <v>√</v>
      </c>
      <c r="K185" s="3090">
        <f t="shared" si="22"/>
        <v>0</v>
      </c>
      <c r="L185" s="3071">
        <f ca="1">INDIRECT("Notes!CheckB"&amp;$C185)</f>
        <v>0</v>
      </c>
      <c r="M185" s="3093">
        <f ca="1">IF(AND(LEN(K185)&gt;0,LEN(L185)&gt;0),ROUND(SUM(K185)-SUM(L185),2),"")</f>
        <v>0</v>
      </c>
      <c r="N185" s="3072" t="str">
        <f ca="1">IF(ISNA(M185),"N/A",IF(M185=0,"√","？"))</f>
        <v>√</v>
      </c>
      <c r="O185" s="3099"/>
      <c r="P185" s="3100"/>
      <c r="Q185" s="3100"/>
      <c r="R185" s="3100"/>
      <c r="S185" s="3101" t="s">
        <v>295</v>
      </c>
      <c r="T185" s="3101" t="s">
        <v>213</v>
      </c>
      <c r="U185" s="3102"/>
      <c r="V185" s="3102" t="s">
        <v>295</v>
      </c>
      <c r="W185" s="3102" t="s">
        <v>6797</v>
      </c>
      <c r="X185" s="3102" t="s">
        <v>6798</v>
      </c>
      <c r="Y185" s="3103" t="s">
        <v>164</v>
      </c>
    </row>
    <row r="186" spans="1:25" ht="24">
      <c r="A186" s="1304"/>
      <c r="B186" s="643">
        <v>1621</v>
      </c>
      <c r="C186" s="643" t="s">
        <v>1205</v>
      </c>
      <c r="D186" s="3087">
        <v>1</v>
      </c>
      <c r="E186" s="3088" t="str">
        <f t="shared" si="17"/>
        <v>生产性生物资产</v>
      </c>
      <c r="F186" s="3089" t="s">
        <v>5356</v>
      </c>
      <c r="G186" s="3090">
        <f t="shared" si="18"/>
        <v>0</v>
      </c>
      <c r="H186" s="3091">
        <f t="shared" ca="1" si="25"/>
        <v>0</v>
      </c>
      <c r="I186" s="3093">
        <f ca="1">IF(AND(LEN(G186)&gt;0,LEN(H186)&gt;0),ROUND(SUM(G186)-SUM(H186),2),"")</f>
        <v>0</v>
      </c>
      <c r="J186" s="3072" t="str">
        <f ca="1">IF(ISNA(I186),"N/A",IF(I186=0,"√","？"))</f>
        <v>√</v>
      </c>
      <c r="K186" s="3090">
        <f t="shared" si="22"/>
        <v>0</v>
      </c>
      <c r="L186" s="3071">
        <f ca="1">INDIRECT("Notes!CheckB"&amp;$C186)</f>
        <v>0</v>
      </c>
      <c r="M186" s="3093">
        <f ca="1">IF(AND(LEN(K186)&gt;0,LEN(L186)&gt;0),ROUND(SUM(K186)-SUM(L186),2),"")</f>
        <v>0</v>
      </c>
      <c r="N186" s="3072" t="str">
        <f ca="1">IF(ISNA(M186),"N/A",IF(M186=0,"√","？"))</f>
        <v>√</v>
      </c>
      <c r="O186" s="3099"/>
      <c r="P186" s="3100"/>
      <c r="Q186" s="3100"/>
      <c r="R186" s="3100"/>
      <c r="S186" s="3101" t="s">
        <v>295</v>
      </c>
      <c r="T186" s="3101" t="s">
        <v>213</v>
      </c>
      <c r="U186" s="3102">
        <v>1621</v>
      </c>
      <c r="V186" s="3102" t="s">
        <v>295</v>
      </c>
      <c r="W186" s="3102" t="s">
        <v>6797</v>
      </c>
      <c r="X186" s="3102" t="s">
        <v>6798</v>
      </c>
      <c r="Y186" s="3103" t="s">
        <v>164</v>
      </c>
    </row>
    <row r="187" spans="1:25" ht="24" hidden="1">
      <c r="A187" s="1304"/>
      <c r="B187" s="643">
        <v>1621</v>
      </c>
      <c r="C187" s="643" t="s">
        <v>1223</v>
      </c>
      <c r="D187" s="3087">
        <v>2</v>
      </c>
      <c r="E187" s="3088" t="str">
        <f t="shared" si="17"/>
        <v>生产性生物资产</v>
      </c>
      <c r="F187" s="3089" t="s">
        <v>1224</v>
      </c>
      <c r="G187" s="3090">
        <f t="shared" si="18"/>
        <v>0</v>
      </c>
      <c r="H187" s="3091">
        <f t="shared" ca="1" si="25"/>
        <v>0</v>
      </c>
      <c r="I187" s="3093" t="s">
        <v>6803</v>
      </c>
      <c r="J187" s="3072"/>
      <c r="K187" s="3090">
        <f t="shared" si="22"/>
        <v>0</v>
      </c>
      <c r="L187" s="3071">
        <f ca="1">INDIRECT("Notes!CheckB"&amp;$C187)</f>
        <v>0</v>
      </c>
      <c r="M187" s="3093" t="s">
        <v>6803</v>
      </c>
      <c r="N187" s="3072"/>
      <c r="O187" s="3099"/>
      <c r="P187" s="3100"/>
      <c r="Q187" s="3100"/>
      <c r="R187" s="3100"/>
      <c r="S187" s="3101" t="s">
        <v>295</v>
      </c>
      <c r="T187" s="3101" t="s">
        <v>213</v>
      </c>
      <c r="U187" s="3102">
        <v>1621</v>
      </c>
      <c r="V187" s="3102" t="s">
        <v>295</v>
      </c>
      <c r="W187" s="3102" t="s">
        <v>6797</v>
      </c>
      <c r="X187" s="3102" t="s">
        <v>6798</v>
      </c>
      <c r="Y187" s="3103" t="s">
        <v>164</v>
      </c>
    </row>
    <row r="188" spans="1:25" ht="18">
      <c r="A188" s="1304"/>
      <c r="B188" s="643">
        <v>1631</v>
      </c>
      <c r="C188" s="643" t="s">
        <v>1233</v>
      </c>
      <c r="D188" s="3087">
        <v>1</v>
      </c>
      <c r="E188" s="3088" t="str">
        <f t="shared" si="17"/>
        <v>油气资产</v>
      </c>
      <c r="F188" s="3089" t="s">
        <v>1234</v>
      </c>
      <c r="G188" s="3090">
        <f t="shared" si="18"/>
        <v>0</v>
      </c>
      <c r="H188" s="3091">
        <f t="shared" ca="1" si="25"/>
        <v>0</v>
      </c>
      <c r="I188" s="3093">
        <f ca="1">IF(AND(LEN(G188)&gt;0,LEN(H188)&gt;0),ROUND(SUM(G188)-SUM(H188),2),"")</f>
        <v>0</v>
      </c>
      <c r="J188" s="3072" t="str">
        <f ca="1">IF(ISNA(I188),"N/A",IF(I188=0,"√","？"))</f>
        <v>√</v>
      </c>
      <c r="K188" s="3090">
        <f t="shared" si="22"/>
        <v>0</v>
      </c>
      <c r="L188" s="3071">
        <f ca="1">INDIRECT("Notes!CheckB"&amp;$C188)</f>
        <v>0</v>
      </c>
      <c r="M188" s="3093">
        <f ca="1">IF(AND(LEN(K188)&gt;0,LEN(L188)&gt;0),ROUND(SUM(K188)-SUM(L188),2),"")</f>
        <v>0</v>
      </c>
      <c r="N188" s="3072" t="str">
        <f ca="1">IF(ISNA(M188),"N/A",IF(M188=0,"√","？"))</f>
        <v>√</v>
      </c>
      <c r="O188" s="3099"/>
      <c r="P188" s="3100"/>
      <c r="Q188" s="3100"/>
      <c r="R188" s="3100"/>
      <c r="S188" s="3101" t="s">
        <v>295</v>
      </c>
      <c r="T188" s="3101" t="s">
        <v>213</v>
      </c>
      <c r="U188" s="3102">
        <v>1631</v>
      </c>
      <c r="V188" s="3102" t="s">
        <v>295</v>
      </c>
      <c r="W188" s="3102" t="s">
        <v>6797</v>
      </c>
      <c r="X188" s="3102" t="s">
        <v>6798</v>
      </c>
      <c r="Y188" s="3103" t="s">
        <v>164</v>
      </c>
    </row>
    <row r="189" spans="1:25" ht="18">
      <c r="A189" s="1304"/>
      <c r="B189" s="643">
        <v>1701</v>
      </c>
      <c r="C189" s="643" t="s">
        <v>1245</v>
      </c>
      <c r="D189" s="3087">
        <v>1</v>
      </c>
      <c r="E189" s="3088" t="str">
        <f t="shared" si="17"/>
        <v>无形资产</v>
      </c>
      <c r="F189" s="3089" t="s">
        <v>1280</v>
      </c>
      <c r="G189" s="3090">
        <f t="shared" si="18"/>
        <v>1951607.86</v>
      </c>
      <c r="H189" s="3091">
        <f t="shared" ca="1" si="25"/>
        <v>1951607.86</v>
      </c>
      <c r="I189" s="3093">
        <f ca="1">IF(AND(LEN(G189)&gt;0,LEN(H189)&gt;0),ROUND(SUM(G189)-SUM(H189),2),"")</f>
        <v>0</v>
      </c>
      <c r="J189" s="3072" t="str">
        <f ca="1">IF(ISNA(I189),"N/A",IF(I189=0,"√","？"))</f>
        <v>√</v>
      </c>
      <c r="K189" s="3090">
        <f t="shared" si="22"/>
        <v>1820271.51</v>
      </c>
      <c r="L189" s="3071">
        <f ca="1">INDIRECT("Notes!CheckB"&amp;$C189)</f>
        <v>1820271.51</v>
      </c>
      <c r="M189" s="3093">
        <f ca="1">IF(AND(LEN(K189)&gt;0,LEN(L189)&gt;0),ROUND(SUM(K189)-SUM(L189),2),"")</f>
        <v>0</v>
      </c>
      <c r="N189" s="3072" t="str">
        <f ca="1">IF(ISNA(M189),"N/A",IF(M189=0,"√","？"))</f>
        <v>√</v>
      </c>
      <c r="O189" s="3099"/>
      <c r="P189" s="3100"/>
      <c r="Q189" s="3100"/>
      <c r="R189" s="3100"/>
      <c r="S189" s="3101" t="s">
        <v>295</v>
      </c>
      <c r="T189" s="3101" t="s">
        <v>213</v>
      </c>
      <c r="U189" s="3102"/>
      <c r="V189" s="3102" t="s">
        <v>295</v>
      </c>
      <c r="W189" s="3102" t="s">
        <v>6797</v>
      </c>
      <c r="X189" s="3102" t="s">
        <v>6798</v>
      </c>
      <c r="Y189" s="3103" t="s">
        <v>164</v>
      </c>
    </row>
    <row r="190" spans="1:25" ht="24" hidden="1">
      <c r="A190" s="1304"/>
      <c r="B190" s="643">
        <v>1701</v>
      </c>
      <c r="C190" s="643" t="s">
        <v>1264</v>
      </c>
      <c r="D190" s="3087">
        <v>2</v>
      </c>
      <c r="E190" s="3088" t="str">
        <f t="shared" si="17"/>
        <v>无形资产</v>
      </c>
      <c r="F190" s="3089" t="s">
        <v>1265</v>
      </c>
      <c r="G190" s="3090">
        <f t="shared" si="18"/>
        <v>1951607.86</v>
      </c>
      <c r="H190" s="3091">
        <f t="shared" ca="1" si="25"/>
        <v>0</v>
      </c>
      <c r="I190" s="3093" t="s">
        <v>6803</v>
      </c>
      <c r="J190" s="3072"/>
      <c r="K190" s="3090">
        <f t="shared" si="22"/>
        <v>1820271.51</v>
      </c>
      <c r="L190" s="3071" t="s">
        <v>6799</v>
      </c>
      <c r="M190" s="3093" t="s">
        <v>6803</v>
      </c>
      <c r="N190" s="3072"/>
      <c r="O190" s="3099"/>
      <c r="P190" s="3100"/>
      <c r="Q190" s="3100"/>
      <c r="R190" s="3100"/>
      <c r="S190" s="3101" t="s">
        <v>295</v>
      </c>
      <c r="T190" s="3101" t="s">
        <v>213</v>
      </c>
      <c r="U190" s="3102"/>
      <c r="V190" s="3102" t="s">
        <v>295</v>
      </c>
      <c r="W190" s="3102" t="s">
        <v>6797</v>
      </c>
      <c r="X190" s="3102" t="s">
        <v>6800</v>
      </c>
      <c r="Y190" s="3103" t="s">
        <v>164</v>
      </c>
    </row>
    <row r="191" spans="1:25" ht="36" hidden="1">
      <c r="A191" s="1304"/>
      <c r="B191" s="643">
        <v>1701</v>
      </c>
      <c r="C191" s="643" t="s">
        <v>1269</v>
      </c>
      <c r="D191" s="3087">
        <v>2</v>
      </c>
      <c r="E191" s="3088" t="str">
        <f t="shared" si="17"/>
        <v>无形资产</v>
      </c>
      <c r="F191" s="3089" t="s">
        <v>1270</v>
      </c>
      <c r="G191" s="3090">
        <f t="shared" si="18"/>
        <v>1951607.86</v>
      </c>
      <c r="H191" s="3091" t="s">
        <v>6799</v>
      </c>
      <c r="I191" s="3093" t="s">
        <v>6803</v>
      </c>
      <c r="J191" s="3072"/>
      <c r="K191" s="3090">
        <f t="shared" si="22"/>
        <v>1820271.51</v>
      </c>
      <c r="L191" s="3071" t="s">
        <v>6799</v>
      </c>
      <c r="M191" s="3093" t="s">
        <v>6803</v>
      </c>
      <c r="N191" s="3072"/>
      <c r="O191" s="3099"/>
      <c r="P191" s="3100"/>
      <c r="Q191" s="3100"/>
      <c r="R191" s="3100"/>
      <c r="S191" s="3101" t="s">
        <v>295</v>
      </c>
      <c r="T191" s="3101" t="s">
        <v>213</v>
      </c>
      <c r="U191" s="3102"/>
      <c r="V191" s="3102" t="s">
        <v>295</v>
      </c>
      <c r="W191" s="3102" t="s">
        <v>6797</v>
      </c>
      <c r="X191" s="3102" t="s">
        <v>213</v>
      </c>
      <c r="Y191" s="3103" t="s">
        <v>164</v>
      </c>
    </row>
    <row r="192" spans="1:25" ht="24" hidden="1">
      <c r="A192" s="1304"/>
      <c r="B192" s="643">
        <v>1701</v>
      </c>
      <c r="C192" s="643" t="s">
        <v>6053</v>
      </c>
      <c r="D192" s="3087">
        <v>2</v>
      </c>
      <c r="E192" s="3088" t="str">
        <f t="shared" si="17"/>
        <v>无形资产</v>
      </c>
      <c r="F192" s="3089" t="s">
        <v>6055</v>
      </c>
      <c r="G192" s="3090">
        <f t="shared" si="18"/>
        <v>1951607.86</v>
      </c>
      <c r="H192" s="3091">
        <f ca="1">INDIRECT("Notes!CheckA"&amp;$C192)</f>
        <v>0</v>
      </c>
      <c r="I192" s="3093" t="s">
        <v>6803</v>
      </c>
      <c r="J192" s="3072"/>
      <c r="K192" s="3090">
        <f t="shared" si="22"/>
        <v>1820271.51</v>
      </c>
      <c r="L192" s="3071" t="s">
        <v>6799</v>
      </c>
      <c r="M192" s="3093" t="s">
        <v>6803</v>
      </c>
      <c r="N192" s="3072"/>
      <c r="O192" s="3099"/>
      <c r="P192" s="3100"/>
      <c r="Q192" s="3100"/>
      <c r="R192" s="3100"/>
      <c r="S192" s="3101" t="s">
        <v>295</v>
      </c>
      <c r="T192" s="3101" t="s">
        <v>213</v>
      </c>
      <c r="U192" s="3102"/>
      <c r="V192" s="3102" t="s">
        <v>295</v>
      </c>
      <c r="W192" s="3102" t="s">
        <v>6797</v>
      </c>
      <c r="X192" s="3102" t="s">
        <v>213</v>
      </c>
      <c r="Y192" s="3103" t="s">
        <v>164</v>
      </c>
    </row>
    <row r="193" spans="1:25" ht="18" hidden="1">
      <c r="A193" s="1304"/>
      <c r="B193" s="643">
        <v>1701</v>
      </c>
      <c r="C193" s="643" t="s">
        <v>6054</v>
      </c>
      <c r="D193" s="3087">
        <v>2</v>
      </c>
      <c r="E193" s="3088" t="str">
        <f t="shared" si="17"/>
        <v>无形资产</v>
      </c>
      <c r="F193" s="3089" t="s">
        <v>6056</v>
      </c>
      <c r="G193" s="3090">
        <f t="shared" si="18"/>
        <v>1951607.86</v>
      </c>
      <c r="H193" s="3091">
        <f ca="1">INDIRECT("Notes!CheckA"&amp;$C193)</f>
        <v>0</v>
      </c>
      <c r="I193" s="3093" t="s">
        <v>6803</v>
      </c>
      <c r="J193" s="3072"/>
      <c r="K193" s="3090">
        <f t="shared" si="22"/>
        <v>1820271.51</v>
      </c>
      <c r="L193" s="3071">
        <f ca="1">INDIRECT("Notes!CheckB"&amp;$C193)</f>
        <v>0</v>
      </c>
      <c r="M193" s="3093" t="s">
        <v>6803</v>
      </c>
      <c r="N193" s="3072"/>
      <c r="O193" s="3099"/>
      <c r="P193" s="3100"/>
      <c r="Q193" s="3100"/>
      <c r="R193" s="3100"/>
      <c r="S193" s="3101" t="s">
        <v>295</v>
      </c>
      <c r="T193" s="3101" t="s">
        <v>213</v>
      </c>
      <c r="U193" s="3102"/>
      <c r="V193" s="3102" t="s">
        <v>295</v>
      </c>
      <c r="W193" s="3102" t="s">
        <v>6797</v>
      </c>
      <c r="X193" s="3102" t="s">
        <v>213</v>
      </c>
      <c r="Y193" s="3103" t="s">
        <v>164</v>
      </c>
    </row>
    <row r="194" spans="1:25" ht="24" hidden="1">
      <c r="A194" s="1304"/>
      <c r="B194" s="643">
        <v>1701</v>
      </c>
      <c r="C194" s="643" t="s">
        <v>1274</v>
      </c>
      <c r="D194" s="3087">
        <v>2</v>
      </c>
      <c r="E194" s="3088" t="str">
        <f t="shared" si="17"/>
        <v>无形资产</v>
      </c>
      <c r="F194" s="3089" t="s">
        <v>1275</v>
      </c>
      <c r="G194" s="3090">
        <f t="shared" si="18"/>
        <v>1951607.86</v>
      </c>
      <c r="H194" s="3091" t="s">
        <v>6799</v>
      </c>
      <c r="I194" s="3093" t="s">
        <v>6803</v>
      </c>
      <c r="J194" s="3072"/>
      <c r="K194" s="3090">
        <f t="shared" si="22"/>
        <v>1820271.51</v>
      </c>
      <c r="L194" s="3071" t="s">
        <v>6799</v>
      </c>
      <c r="M194" s="3093" t="s">
        <v>6803</v>
      </c>
      <c r="N194" s="3072"/>
      <c r="O194" s="3099"/>
      <c r="P194" s="3100"/>
      <c r="Q194" s="3100"/>
      <c r="R194" s="3100"/>
      <c r="S194" s="3101" t="s">
        <v>295</v>
      </c>
      <c r="T194" s="3101" t="s">
        <v>213</v>
      </c>
      <c r="U194" s="3102"/>
      <c r="V194" s="3102" t="s">
        <v>295</v>
      </c>
      <c r="W194" s="3102" t="s">
        <v>6797</v>
      </c>
      <c r="X194" s="3102" t="s">
        <v>213</v>
      </c>
      <c r="Y194" s="3103" t="s">
        <v>164</v>
      </c>
    </row>
    <row r="195" spans="1:25" ht="18">
      <c r="A195" s="1304"/>
      <c r="B195" s="643">
        <v>1700</v>
      </c>
      <c r="C195" s="643" t="s">
        <v>6066</v>
      </c>
      <c r="D195" s="3087">
        <v>1</v>
      </c>
      <c r="E195" s="3088" t="str">
        <f t="shared" si="17"/>
        <v>开发支出</v>
      </c>
      <c r="F195" s="3089" t="s">
        <v>1290</v>
      </c>
      <c r="G195" s="3090">
        <f t="shared" si="18"/>
        <v>1467375.43</v>
      </c>
      <c r="H195" s="3091">
        <f ca="1">INDIRECT("Notes!CheckA"&amp;$C195)</f>
        <v>1467375.43</v>
      </c>
      <c r="I195" s="3093">
        <f ca="1">IF(AND(LEN(G195)&gt;0,LEN(H195)&gt;0),ROUND(SUM(G195)-SUM(H195),2),"")</f>
        <v>0</v>
      </c>
      <c r="J195" s="3072" t="str">
        <f ca="1">IF(ISNA(I195),"N/A",IF(I195=0,"√","？"))</f>
        <v>√</v>
      </c>
      <c r="K195" s="3090">
        <f t="shared" si="22"/>
        <v>2369218.02</v>
      </c>
      <c r="L195" s="3071">
        <f ca="1">INDIRECT("Notes!CheckB"&amp;$C195)</f>
        <v>2369218.02</v>
      </c>
      <c r="M195" s="3093">
        <f ca="1">IF(AND(LEN(K195)&gt;0,LEN(L195)&gt;0),ROUND(SUM(K195)-SUM(L195),2),"")</f>
        <v>0</v>
      </c>
      <c r="N195" s="3072" t="str">
        <f ca="1">IF(ISNA(M195),"N/A",IF(M195=0,"√","？"))</f>
        <v>√</v>
      </c>
      <c r="O195" s="3099"/>
      <c r="P195" s="3100"/>
      <c r="Q195" s="3100"/>
      <c r="R195" s="3100"/>
      <c r="S195" s="3101" t="s">
        <v>295</v>
      </c>
      <c r="T195" s="3101" t="s">
        <v>213</v>
      </c>
      <c r="U195" s="3102"/>
      <c r="V195" s="3102" t="s">
        <v>295</v>
      </c>
      <c r="W195" s="3102" t="s">
        <v>6797</v>
      </c>
      <c r="X195" s="3102" t="s">
        <v>6798</v>
      </c>
      <c r="Y195" s="3103" t="s">
        <v>164</v>
      </c>
    </row>
    <row r="196" spans="1:25" ht="18">
      <c r="A196" s="1304"/>
      <c r="B196" s="643">
        <v>1711</v>
      </c>
      <c r="C196" s="643" t="s">
        <v>1294</v>
      </c>
      <c r="D196" s="3087">
        <v>1</v>
      </c>
      <c r="E196" s="3088" t="str">
        <f t="shared" si="17"/>
        <v>商誉</v>
      </c>
      <c r="F196" s="3089" t="s">
        <v>1295</v>
      </c>
      <c r="G196" s="3090">
        <f t="shared" si="18"/>
        <v>0</v>
      </c>
      <c r="H196" s="3091">
        <f ca="1">INDIRECT("Notes!CheckA"&amp;$C196)</f>
        <v>0</v>
      </c>
      <c r="I196" s="3093">
        <f ca="1">IF(AND(LEN(G196)&gt;0,LEN(H196)&gt;0),ROUND(SUM(G196)-SUM(H196),2),"")</f>
        <v>0</v>
      </c>
      <c r="J196" s="3072" t="str">
        <f ca="1">IF(ISNA(I196),"N/A",IF(I196=0,"√","？"))</f>
        <v>√</v>
      </c>
      <c r="K196" s="3090">
        <f t="shared" si="22"/>
        <v>0</v>
      </c>
      <c r="L196" s="3071">
        <f ca="1">INDIRECT("Notes!CheckB"&amp;$C196)</f>
        <v>0</v>
      </c>
      <c r="M196" s="3093">
        <f ca="1">IF(AND(LEN(K196)&gt;0,LEN(L196)&gt;0),ROUND(SUM(K196)-SUM(L196),2),"")</f>
        <v>0</v>
      </c>
      <c r="N196" s="3072" t="str">
        <f ca="1">IF(ISNA(M196),"N/A",IF(M196=0,"√","？"))</f>
        <v>√</v>
      </c>
      <c r="O196" s="3099"/>
      <c r="P196" s="3100"/>
      <c r="Q196" s="3100"/>
      <c r="R196" s="3100"/>
      <c r="S196" s="3101" t="s">
        <v>295</v>
      </c>
      <c r="T196" s="3101" t="s">
        <v>213</v>
      </c>
      <c r="U196" s="3102"/>
      <c r="V196" s="3102" t="s">
        <v>295</v>
      </c>
      <c r="W196" s="3102" t="s">
        <v>6797</v>
      </c>
      <c r="X196" s="3102" t="s">
        <v>6798</v>
      </c>
      <c r="Y196" s="3103" t="s">
        <v>164</v>
      </c>
    </row>
    <row r="197" spans="1:25" ht="18" hidden="1">
      <c r="A197" s="1304"/>
      <c r="B197" s="643">
        <v>1711</v>
      </c>
      <c r="C197" s="643" t="s">
        <v>1300</v>
      </c>
      <c r="D197" s="3087">
        <v>2</v>
      </c>
      <c r="E197" s="3088" t="str">
        <f t="shared" si="17"/>
        <v>商誉</v>
      </c>
      <c r="F197" s="3089" t="s">
        <v>583</v>
      </c>
      <c r="G197" s="3090">
        <f t="shared" si="18"/>
        <v>0</v>
      </c>
      <c r="H197" s="3091">
        <f ca="1">INDIRECT("Notes!CheckA"&amp;$C197)</f>
        <v>0</v>
      </c>
      <c r="I197" s="3093" t="s">
        <v>6803</v>
      </c>
      <c r="J197" s="3072"/>
      <c r="K197" s="3090">
        <f t="shared" si="22"/>
        <v>0</v>
      </c>
      <c r="L197" s="3071">
        <f ca="1">INDIRECT("Notes!CheckB"&amp;$C197)</f>
        <v>0</v>
      </c>
      <c r="M197" s="3093" t="s">
        <v>6803</v>
      </c>
      <c r="N197" s="3072"/>
      <c r="O197" s="3099"/>
      <c r="P197" s="3100"/>
      <c r="Q197" s="3100"/>
      <c r="R197" s="3100"/>
      <c r="S197" s="3101" t="s">
        <v>295</v>
      </c>
      <c r="T197" s="3101" t="s">
        <v>213</v>
      </c>
      <c r="U197" s="3102"/>
      <c r="V197" s="3102" t="s">
        <v>295</v>
      </c>
      <c r="W197" s="3102" t="s">
        <v>6797</v>
      </c>
      <c r="X197" s="3102" t="s">
        <v>6798</v>
      </c>
      <c r="Y197" s="3103" t="s">
        <v>164</v>
      </c>
    </row>
    <row r="198" spans="1:25" ht="18">
      <c r="A198" s="1304"/>
      <c r="B198" s="643">
        <v>1801</v>
      </c>
      <c r="C198" s="643" t="s">
        <v>1304</v>
      </c>
      <c r="D198" s="3087">
        <v>1</v>
      </c>
      <c r="E198" s="3088" t="str">
        <f t="shared" si="17"/>
        <v>长期待摊费用</v>
      </c>
      <c r="F198" s="3089" t="s">
        <v>1305</v>
      </c>
      <c r="G198" s="3090">
        <f t="shared" si="18"/>
        <v>233942.48</v>
      </c>
      <c r="H198" s="3091">
        <f ca="1">INDIRECT("Notes!CheckA"&amp;$C198)</f>
        <v>233942.48</v>
      </c>
      <c r="I198" s="3093">
        <f ca="1">IF(AND(LEN(G198)&gt;0,LEN(H198)&gt;0),ROUND(SUM(G198)-SUM(H198),2),"")</f>
        <v>0</v>
      </c>
      <c r="J198" s="3072" t="str">
        <f ca="1">IF(ISNA(I198),"N/A",IF(I198=0,"√","？"))</f>
        <v>√</v>
      </c>
      <c r="K198" s="3090">
        <f t="shared" si="22"/>
        <v>395514.45</v>
      </c>
      <c r="L198" s="3071">
        <f ca="1">INDIRECT("Notes!CheckB"&amp;$C198)</f>
        <v>395514.45</v>
      </c>
      <c r="M198" s="3093">
        <f ca="1">IF(AND(LEN(K198)&gt;0,LEN(L198)&gt;0),ROUND(SUM(K198)-SUM(L198),2),"")</f>
        <v>0</v>
      </c>
      <c r="N198" s="3072" t="str">
        <f ca="1">IF(ISNA(M198),"N/A",IF(M198=0,"√","？"))</f>
        <v>√</v>
      </c>
      <c r="O198" s="3099"/>
      <c r="P198" s="3100"/>
      <c r="Q198" s="3100"/>
      <c r="R198" s="3100"/>
      <c r="S198" s="3101" t="s">
        <v>295</v>
      </c>
      <c r="T198" s="3101" t="s">
        <v>213</v>
      </c>
      <c r="U198" s="3102"/>
      <c r="V198" s="3102" t="s">
        <v>295</v>
      </c>
      <c r="W198" s="3102" t="s">
        <v>6797</v>
      </c>
      <c r="X198" s="3102" t="s">
        <v>6798</v>
      </c>
      <c r="Y198" s="3103" t="s">
        <v>164</v>
      </c>
    </row>
    <row r="199" spans="1:25" ht="18" hidden="1">
      <c r="A199" s="1304"/>
      <c r="B199" s="643">
        <v>1801</v>
      </c>
      <c r="C199" s="643" t="s">
        <v>1310</v>
      </c>
      <c r="D199" s="3087">
        <v>2</v>
      </c>
      <c r="E199" s="3088" t="str">
        <f t="shared" si="17"/>
        <v>长期待摊费用</v>
      </c>
      <c r="F199" s="3089" t="s">
        <v>1311</v>
      </c>
      <c r="G199" s="3090">
        <f t="shared" si="18"/>
        <v>233942.48</v>
      </c>
      <c r="H199" s="3091" t="s">
        <v>6799</v>
      </c>
      <c r="I199" s="3093" t="s">
        <v>6803</v>
      </c>
      <c r="J199" s="3072"/>
      <c r="K199" s="3090">
        <f t="shared" si="22"/>
        <v>395514.45</v>
      </c>
      <c r="L199" s="3071" t="s">
        <v>6799</v>
      </c>
      <c r="M199" s="3093" t="s">
        <v>6803</v>
      </c>
      <c r="N199" s="3072"/>
      <c r="O199" s="3099"/>
      <c r="P199" s="3100"/>
      <c r="Q199" s="3100"/>
      <c r="R199" s="3100"/>
      <c r="S199" s="3101" t="s">
        <v>295</v>
      </c>
      <c r="T199" s="3101" t="s">
        <v>213</v>
      </c>
      <c r="U199" s="3102"/>
      <c r="V199" s="3102" t="s">
        <v>295</v>
      </c>
      <c r="W199" s="3102" t="s">
        <v>6797</v>
      </c>
      <c r="X199" s="3102" t="s">
        <v>213</v>
      </c>
      <c r="Y199" s="3103" t="s">
        <v>164</v>
      </c>
    </row>
    <row r="200" spans="1:25" ht="24">
      <c r="A200" s="1304"/>
      <c r="B200" s="643">
        <v>1811</v>
      </c>
      <c r="C200" s="643" t="s">
        <v>1315</v>
      </c>
      <c r="D200" s="3087">
        <v>1</v>
      </c>
      <c r="E200" s="3088" t="str">
        <f t="shared" si="17"/>
        <v>递延所得税资产</v>
      </c>
      <c r="F200" s="3089" t="s">
        <v>1316</v>
      </c>
      <c r="G200" s="3090">
        <f t="shared" si="18"/>
        <v>1809801.34</v>
      </c>
      <c r="H200" s="3091">
        <f ca="1">INDIRECT("Notes!CheckA"&amp;$C200)</f>
        <v>1809801.34</v>
      </c>
      <c r="I200" s="3093">
        <f ca="1">IF(AND(LEN(G200)&gt;0,LEN(H200)&gt;0),ROUND(SUM(G200)-SUM(H200),2),"")</f>
        <v>0</v>
      </c>
      <c r="J200" s="3072" t="str">
        <f ca="1">IF(ISNA(I200),"N/A",IF(I200=0,"√","？"))</f>
        <v>√</v>
      </c>
      <c r="K200" s="3090">
        <f t="shared" si="22"/>
        <v>1185152.1499999999</v>
      </c>
      <c r="L200" s="3071">
        <f ca="1">INDIRECT("Notes!CheckB"&amp;$C200)</f>
        <v>1185152.1499999999</v>
      </c>
      <c r="M200" s="3093">
        <f ca="1">IF(AND(LEN(K200)&gt;0,LEN(L200)&gt;0),ROUND(SUM(K200)-SUM(L200),2),"")</f>
        <v>0</v>
      </c>
      <c r="N200" s="3072" t="str">
        <f ca="1">IF(ISNA(M200),"N/A",IF(M200=0,"√","？"))</f>
        <v>√</v>
      </c>
      <c r="O200" s="3099"/>
      <c r="P200" s="3100"/>
      <c r="Q200" s="3100"/>
      <c r="R200" s="3100"/>
      <c r="S200" s="3101" t="s">
        <v>295</v>
      </c>
      <c r="T200" s="3101" t="s">
        <v>213</v>
      </c>
      <c r="U200" s="3102"/>
      <c r="V200" s="3102" t="s">
        <v>295</v>
      </c>
      <c r="W200" s="3102" t="s">
        <v>6797</v>
      </c>
      <c r="X200" s="3102" t="s">
        <v>6798</v>
      </c>
      <c r="Y200" s="3103" t="s">
        <v>164</v>
      </c>
    </row>
    <row r="201" spans="1:25" ht="24">
      <c r="A201" s="1304"/>
      <c r="B201" s="643">
        <v>2901</v>
      </c>
      <c r="C201" s="643" t="s">
        <v>1321</v>
      </c>
      <c r="D201" s="3087">
        <v>1</v>
      </c>
      <c r="E201" s="3088" t="str">
        <f t="shared" ref="E201:E264" si="26">IF(ISERROR(VLOOKUP($B201,Sheet_Items,2,0)),"        ----",VLOOKUP($B201,Sheet_Items,2,0))</f>
        <v>递延所得税负债</v>
      </c>
      <c r="F201" s="3089" t="s">
        <v>1322</v>
      </c>
      <c r="G201" s="3090">
        <f t="shared" ref="G201:G264" si="27">IF(ISERROR(VLOOKUP($B201,Sheet_Trialbal,6,0)),"        ----",VLOOKUP($B201,Sheet_Trialbal,6,0))</f>
        <v>0</v>
      </c>
      <c r="H201" s="3091">
        <f ca="1">INDIRECT("Notes!CheckA"&amp;$C201)</f>
        <v>0</v>
      </c>
      <c r="I201" s="3093">
        <f ca="1">IF(AND(LEN(G201)&gt;0,LEN(H201)&gt;0),ROUND(SUM(G201)-SUM(H201),2),"")</f>
        <v>0</v>
      </c>
      <c r="J201" s="3072" t="str">
        <f ca="1">IF(ISNA(I201),"N/A",IF(I201=0,"√","？"))</f>
        <v>√</v>
      </c>
      <c r="K201" s="3090">
        <f t="shared" si="22"/>
        <v>0</v>
      </c>
      <c r="L201" s="3071">
        <f ca="1">INDIRECT("Notes!CheckB"&amp;$C201)</f>
        <v>0</v>
      </c>
      <c r="M201" s="3093">
        <f ca="1">IF(AND(LEN(K201)&gt;0,LEN(L201)&gt;0),ROUND(SUM(K201)-SUM(L201),2),"")</f>
        <v>0</v>
      </c>
      <c r="N201" s="3072" t="str">
        <f ca="1">IF(ISNA(M201),"N/A",IF(M201=0,"√","？"))</f>
        <v>√</v>
      </c>
      <c r="O201" s="3099"/>
      <c r="P201" s="3100"/>
      <c r="Q201" s="3100"/>
      <c r="R201" s="3100"/>
      <c r="S201" s="3101" t="s">
        <v>295</v>
      </c>
      <c r="T201" s="3101" t="s">
        <v>213</v>
      </c>
      <c r="U201" s="3102"/>
      <c r="V201" s="3102" t="s">
        <v>295</v>
      </c>
      <c r="W201" s="3102" t="s">
        <v>6797</v>
      </c>
      <c r="X201" s="3102" t="s">
        <v>6798</v>
      </c>
      <c r="Y201" s="3103" t="s">
        <v>164</v>
      </c>
    </row>
    <row r="202" spans="1:25" ht="24" hidden="1">
      <c r="A202" s="1304"/>
      <c r="B202" s="643"/>
      <c r="C202" s="643" t="s">
        <v>1326</v>
      </c>
      <c r="D202" s="3087">
        <v>3</v>
      </c>
      <c r="E202" s="3088" t="str">
        <f t="shared" si="26"/>
        <v xml:space="preserve">        ----</v>
      </c>
      <c r="F202" s="3089" t="s">
        <v>1327</v>
      </c>
      <c r="G202" s="3090" t="str">
        <f t="shared" si="27"/>
        <v xml:space="preserve">        ----</v>
      </c>
      <c r="H202" s="3091" t="s">
        <v>6799</v>
      </c>
      <c r="I202" s="3093" t="s">
        <v>6803</v>
      </c>
      <c r="J202" s="3072"/>
      <c r="K202" s="3090" t="str">
        <f t="shared" si="22"/>
        <v xml:space="preserve">        ----</v>
      </c>
      <c r="L202" s="3071" t="s">
        <v>6799</v>
      </c>
      <c r="M202" s="3093" t="s">
        <v>6803</v>
      </c>
      <c r="N202" s="3072"/>
      <c r="O202" s="3099"/>
      <c r="P202" s="3100"/>
      <c r="Q202" s="3100"/>
      <c r="R202" s="3100"/>
      <c r="S202" s="3101" t="s">
        <v>295</v>
      </c>
      <c r="T202" s="3101" t="s">
        <v>213</v>
      </c>
      <c r="U202" s="3102"/>
      <c r="V202" s="3102" t="s">
        <v>295</v>
      </c>
      <c r="W202" s="3102" t="s">
        <v>6797</v>
      </c>
      <c r="X202" s="3102" t="s">
        <v>6798</v>
      </c>
      <c r="Y202" s="3103" t="s">
        <v>164</v>
      </c>
    </row>
    <row r="203" spans="1:25" ht="24" hidden="1">
      <c r="A203" s="1304"/>
      <c r="B203" s="643"/>
      <c r="C203" s="643" t="s">
        <v>1331</v>
      </c>
      <c r="D203" s="3087">
        <v>3</v>
      </c>
      <c r="E203" s="3088" t="str">
        <f t="shared" si="26"/>
        <v xml:space="preserve">        ----</v>
      </c>
      <c r="F203" s="3089" t="s">
        <v>1332</v>
      </c>
      <c r="G203" s="3090" t="str">
        <f t="shared" si="27"/>
        <v xml:space="preserve">        ----</v>
      </c>
      <c r="H203" s="3091" t="s">
        <v>6799</v>
      </c>
      <c r="I203" s="3093" t="s">
        <v>6803</v>
      </c>
      <c r="J203" s="3072"/>
      <c r="K203" s="3090" t="str">
        <f t="shared" si="22"/>
        <v xml:space="preserve">        ----</v>
      </c>
      <c r="L203" s="3071" t="s">
        <v>6799</v>
      </c>
      <c r="M203" s="3093" t="s">
        <v>6803</v>
      </c>
      <c r="N203" s="3072"/>
      <c r="O203" s="3099"/>
      <c r="P203" s="3100"/>
      <c r="Q203" s="3100"/>
      <c r="R203" s="3100"/>
      <c r="S203" s="3101" t="s">
        <v>295</v>
      </c>
      <c r="T203" s="3101" t="s">
        <v>213</v>
      </c>
      <c r="U203" s="3102"/>
      <c r="V203" s="3102" t="s">
        <v>295</v>
      </c>
      <c r="W203" s="3102" t="s">
        <v>6797</v>
      </c>
      <c r="X203" s="3102" t="s">
        <v>6798</v>
      </c>
      <c r="Y203" s="3103" t="s">
        <v>164</v>
      </c>
    </row>
    <row r="204" spans="1:25" ht="36" hidden="1">
      <c r="A204" s="1304"/>
      <c r="B204" s="643"/>
      <c r="C204" s="643" t="s">
        <v>1336</v>
      </c>
      <c r="D204" s="3087">
        <v>3</v>
      </c>
      <c r="E204" s="3088" t="str">
        <f t="shared" si="26"/>
        <v xml:space="preserve">        ----</v>
      </c>
      <c r="F204" s="3089" t="s">
        <v>1337</v>
      </c>
      <c r="G204" s="3090" t="str">
        <f t="shared" si="27"/>
        <v xml:space="preserve">        ----</v>
      </c>
      <c r="H204" s="3091">
        <f t="shared" ref="H204:H220" ca="1" si="28">INDIRECT("Notes!CheckA"&amp;$C204)</f>
        <v>0</v>
      </c>
      <c r="I204" s="3093" t="s">
        <v>6803</v>
      </c>
      <c r="J204" s="3072"/>
      <c r="K204" s="3090" t="str">
        <f t="shared" si="22"/>
        <v xml:space="preserve">        ----</v>
      </c>
      <c r="L204" s="3071">
        <f ca="1">INDIRECT("Notes!CheckB"&amp;$C204)</f>
        <v>0</v>
      </c>
      <c r="M204" s="3093" t="s">
        <v>6803</v>
      </c>
      <c r="N204" s="3072"/>
      <c r="O204" s="3099"/>
      <c r="P204" s="3100"/>
      <c r="Q204" s="3100"/>
      <c r="R204" s="3100"/>
      <c r="S204" s="3101" t="s">
        <v>295</v>
      </c>
      <c r="T204" s="3101" t="s">
        <v>213</v>
      </c>
      <c r="U204" s="3102"/>
      <c r="V204" s="3102" t="s">
        <v>295</v>
      </c>
      <c r="W204" s="3102" t="s">
        <v>6797</v>
      </c>
      <c r="X204" s="3102" t="s">
        <v>6798</v>
      </c>
      <c r="Y204" s="3103" t="s">
        <v>164</v>
      </c>
    </row>
    <row r="205" spans="1:25" ht="24">
      <c r="A205" s="1304"/>
      <c r="B205" s="643">
        <v>1996</v>
      </c>
      <c r="C205" s="643" t="s">
        <v>1341</v>
      </c>
      <c r="D205" s="3087">
        <v>1</v>
      </c>
      <c r="E205" s="3088" t="str">
        <f t="shared" si="26"/>
        <v>其他非流动资产</v>
      </c>
      <c r="F205" s="3089" t="s">
        <v>1342</v>
      </c>
      <c r="G205" s="3090">
        <f t="shared" si="27"/>
        <v>94970</v>
      </c>
      <c r="H205" s="3091">
        <f t="shared" ca="1" si="28"/>
        <v>94970</v>
      </c>
      <c r="I205" s="3093">
        <f ca="1">IF(AND(LEN(G205)&gt;0,LEN(H205)&gt;0),ROUND(SUM(G205)-SUM(H205),2),"")</f>
        <v>0</v>
      </c>
      <c r="J205" s="3072" t="str">
        <f ca="1">IF(ISNA(I205),"N/A",IF(I205=0,"√","？"))</f>
        <v>√</v>
      </c>
      <c r="K205" s="3090">
        <f t="shared" si="22"/>
        <v>523136</v>
      </c>
      <c r="L205" s="3071">
        <f ca="1">INDIRECT("Notes!CheckB"&amp;$C205)</f>
        <v>523136</v>
      </c>
      <c r="M205" s="3093">
        <f ca="1">IF(AND(LEN(K205)&gt;0,LEN(L205)&gt;0),ROUND(SUM(K205)-SUM(L205),2),"")</f>
        <v>0</v>
      </c>
      <c r="N205" s="3072" t="str">
        <f ca="1">IF(ISNA(M205),"N/A",IF(M205=0,"√","？"))</f>
        <v>√</v>
      </c>
      <c r="O205" s="3099"/>
      <c r="P205" s="3100"/>
      <c r="Q205" s="3100"/>
      <c r="R205" s="3100"/>
      <c r="S205" s="3101" t="s">
        <v>295</v>
      </c>
      <c r="T205" s="3101" t="s">
        <v>213</v>
      </c>
      <c r="U205" s="3102"/>
      <c r="V205" s="3102" t="s">
        <v>295</v>
      </c>
      <c r="W205" s="3102" t="s">
        <v>6797</v>
      </c>
      <c r="X205" s="3102" t="s">
        <v>6798</v>
      </c>
      <c r="Y205" s="3103" t="s">
        <v>164</v>
      </c>
    </row>
    <row r="206" spans="1:25" ht="18">
      <c r="A206" s="1304"/>
      <c r="B206" s="643">
        <v>2001</v>
      </c>
      <c r="C206" s="643" t="s">
        <v>1357</v>
      </c>
      <c r="D206" s="3087">
        <v>1</v>
      </c>
      <c r="E206" s="3088" t="str">
        <f t="shared" si="26"/>
        <v>短期借款</v>
      </c>
      <c r="F206" s="3089" t="s">
        <v>1358</v>
      </c>
      <c r="G206" s="3090">
        <f t="shared" si="27"/>
        <v>2002968.82</v>
      </c>
      <c r="H206" s="3091">
        <f t="shared" ca="1" si="28"/>
        <v>2002968.82</v>
      </c>
      <c r="I206" s="3093">
        <f ca="1">IF(AND(LEN(G206)&gt;0,LEN(H206)&gt;0),ROUND(SUM(G206)-SUM(H206),2),"")</f>
        <v>0</v>
      </c>
      <c r="J206" s="3072" t="str">
        <f ca="1">IF(ISNA(I206),"N/A",IF(I206=0,"√","？"))</f>
        <v>√</v>
      </c>
      <c r="K206" s="3090">
        <f t="shared" si="22"/>
        <v>0</v>
      </c>
      <c r="L206" s="3071">
        <f ca="1">INDIRECT("Notes!CheckB"&amp;$C206)</f>
        <v>0</v>
      </c>
      <c r="M206" s="3093">
        <f ca="1">IF(AND(LEN(K206)&gt;0,LEN(L206)&gt;0),ROUND(SUM(K206)-SUM(L206),2),"")</f>
        <v>0</v>
      </c>
      <c r="N206" s="3072" t="str">
        <f ca="1">IF(ISNA(M206),"N/A",IF(M206=0,"√","？"))</f>
        <v>√</v>
      </c>
      <c r="O206" s="3099"/>
      <c r="P206" s="3100"/>
      <c r="Q206" s="3100"/>
      <c r="R206" s="3100"/>
      <c r="S206" s="3101" t="s">
        <v>295</v>
      </c>
      <c r="T206" s="3101" t="s">
        <v>213</v>
      </c>
      <c r="U206" s="3102"/>
      <c r="V206" s="3102" t="s">
        <v>295</v>
      </c>
      <c r="W206" s="3102" t="s">
        <v>6797</v>
      </c>
      <c r="X206" s="3102" t="s">
        <v>6798</v>
      </c>
      <c r="Y206" s="3103" t="s">
        <v>164</v>
      </c>
    </row>
    <row r="207" spans="1:25" ht="24" hidden="1">
      <c r="A207" s="1304"/>
      <c r="B207" s="643">
        <v>2001</v>
      </c>
      <c r="C207" s="643" t="s">
        <v>1369</v>
      </c>
      <c r="D207" s="3087">
        <v>2</v>
      </c>
      <c r="E207" s="3088" t="str">
        <f t="shared" si="26"/>
        <v>短期借款</v>
      </c>
      <c r="F207" s="3089" t="s">
        <v>1370</v>
      </c>
      <c r="G207" s="3090">
        <f t="shared" si="27"/>
        <v>2002968.82</v>
      </c>
      <c r="H207" s="3091">
        <f t="shared" ca="1" si="28"/>
        <v>2000000</v>
      </c>
      <c r="I207" s="3093" t="s">
        <v>6803</v>
      </c>
      <c r="J207" s="3072"/>
      <c r="K207" s="3090">
        <f t="shared" si="22"/>
        <v>0</v>
      </c>
      <c r="L207" s="3071" t="s">
        <v>6799</v>
      </c>
      <c r="M207" s="3093" t="s">
        <v>6803</v>
      </c>
      <c r="N207" s="3072"/>
      <c r="O207" s="3099"/>
      <c r="P207" s="3100"/>
      <c r="Q207" s="3100"/>
      <c r="R207" s="3100"/>
      <c r="S207" s="3101" t="s">
        <v>295</v>
      </c>
      <c r="T207" s="3101" t="s">
        <v>213</v>
      </c>
      <c r="U207" s="3102"/>
      <c r="V207" s="3102" t="s">
        <v>295</v>
      </c>
      <c r="W207" s="3102" t="s">
        <v>6797</v>
      </c>
      <c r="X207" s="3102" t="s">
        <v>213</v>
      </c>
      <c r="Y207" s="3103" t="s">
        <v>164</v>
      </c>
    </row>
    <row r="208" spans="1:25" ht="24" hidden="1">
      <c r="A208" s="1304"/>
      <c r="B208" s="643">
        <v>2001</v>
      </c>
      <c r="C208" s="643" t="s">
        <v>1375</v>
      </c>
      <c r="D208" s="3087">
        <v>2</v>
      </c>
      <c r="E208" s="3088" t="str">
        <f t="shared" si="26"/>
        <v>短期借款</v>
      </c>
      <c r="F208" s="3089" t="s">
        <v>1376</v>
      </c>
      <c r="G208" s="3090">
        <f t="shared" si="27"/>
        <v>2002968.82</v>
      </c>
      <c r="H208" s="3091">
        <f t="shared" ca="1" si="28"/>
        <v>0</v>
      </c>
      <c r="I208" s="3093" t="s">
        <v>6803</v>
      </c>
      <c r="J208" s="3072"/>
      <c r="K208" s="3090">
        <f t="shared" si="22"/>
        <v>0</v>
      </c>
      <c r="L208" s="3071" t="s">
        <v>6799</v>
      </c>
      <c r="M208" s="3093" t="s">
        <v>6803</v>
      </c>
      <c r="N208" s="3072"/>
      <c r="O208" s="3099"/>
      <c r="P208" s="3100"/>
      <c r="Q208" s="3100"/>
      <c r="R208" s="3100"/>
      <c r="S208" s="3101" t="s">
        <v>295</v>
      </c>
      <c r="T208" s="3101" t="s">
        <v>213</v>
      </c>
      <c r="U208" s="3102"/>
      <c r="V208" s="3102" t="s">
        <v>295</v>
      </c>
      <c r="W208" s="3102" t="s">
        <v>6797</v>
      </c>
      <c r="X208" s="3102" t="s">
        <v>213</v>
      </c>
      <c r="Y208" s="3103" t="s">
        <v>164</v>
      </c>
    </row>
    <row r="209" spans="1:25" ht="24" hidden="1">
      <c r="A209" s="1304"/>
      <c r="B209" s="643">
        <v>2001</v>
      </c>
      <c r="C209" s="643" t="s">
        <v>1380</v>
      </c>
      <c r="D209" s="3087">
        <v>2</v>
      </c>
      <c r="E209" s="3088" t="str">
        <f t="shared" si="26"/>
        <v>短期借款</v>
      </c>
      <c r="F209" s="3089" t="s">
        <v>1381</v>
      </c>
      <c r="G209" s="3090">
        <f t="shared" si="27"/>
        <v>2002968.82</v>
      </c>
      <c r="H209" s="3091">
        <f t="shared" ca="1" si="28"/>
        <v>0</v>
      </c>
      <c r="I209" s="3093" t="s">
        <v>6803</v>
      </c>
      <c r="J209" s="3072"/>
      <c r="K209" s="3090">
        <f t="shared" si="22"/>
        <v>0</v>
      </c>
      <c r="L209" s="3071" t="s">
        <v>6799</v>
      </c>
      <c r="M209" s="3093" t="s">
        <v>6803</v>
      </c>
      <c r="N209" s="3072"/>
      <c r="O209" s="3099"/>
      <c r="P209" s="3100"/>
      <c r="Q209" s="3100"/>
      <c r="R209" s="3100"/>
      <c r="S209" s="3101" t="s">
        <v>295</v>
      </c>
      <c r="T209" s="3101" t="s">
        <v>213</v>
      </c>
      <c r="U209" s="3102"/>
      <c r="V209" s="3102" t="s">
        <v>295</v>
      </c>
      <c r="W209" s="3102" t="s">
        <v>6797</v>
      </c>
      <c r="X209" s="3102" t="s">
        <v>213</v>
      </c>
      <c r="Y209" s="3103" t="s">
        <v>164</v>
      </c>
    </row>
    <row r="210" spans="1:25" ht="24" hidden="1">
      <c r="A210" s="1304"/>
      <c r="B210" s="643">
        <v>2001</v>
      </c>
      <c r="C210" s="643" t="s">
        <v>1363</v>
      </c>
      <c r="D210" s="3087">
        <v>2</v>
      </c>
      <c r="E210" s="3088" t="str">
        <f t="shared" si="26"/>
        <v>短期借款</v>
      </c>
      <c r="F210" s="3089" t="s">
        <v>1364</v>
      </c>
      <c r="G210" s="3090">
        <f t="shared" si="27"/>
        <v>2002968.82</v>
      </c>
      <c r="H210" s="3091">
        <f t="shared" ca="1" si="28"/>
        <v>0</v>
      </c>
      <c r="I210" s="3093" t="s">
        <v>6803</v>
      </c>
      <c r="J210" s="3072"/>
      <c r="K210" s="3090">
        <f t="shared" si="22"/>
        <v>0</v>
      </c>
      <c r="L210" s="3071" t="s">
        <v>6799</v>
      </c>
      <c r="M210" s="3093" t="s">
        <v>6803</v>
      </c>
      <c r="N210" s="3072"/>
      <c r="O210" s="3099"/>
      <c r="P210" s="3100"/>
      <c r="Q210" s="3100"/>
      <c r="R210" s="3100"/>
      <c r="S210" s="3101" t="s">
        <v>295</v>
      </c>
      <c r="T210" s="3101" t="s">
        <v>213</v>
      </c>
      <c r="U210" s="3102"/>
      <c r="V210" s="3102" t="s">
        <v>295</v>
      </c>
      <c r="W210" s="3102" t="s">
        <v>6797</v>
      </c>
      <c r="X210" s="3102" t="s">
        <v>6798</v>
      </c>
      <c r="Y210" s="3103" t="s">
        <v>164</v>
      </c>
    </row>
    <row r="211" spans="1:25" ht="18" hidden="1">
      <c r="A211" s="1304"/>
      <c r="B211" s="643">
        <v>2001</v>
      </c>
      <c r="C211" s="643" t="s">
        <v>1385</v>
      </c>
      <c r="D211" s="3087">
        <v>2</v>
      </c>
      <c r="E211" s="3088" t="str">
        <f t="shared" si="26"/>
        <v>短期借款</v>
      </c>
      <c r="F211" s="3089" t="s">
        <v>1386</v>
      </c>
      <c r="G211" s="3090">
        <f t="shared" si="27"/>
        <v>2002968.82</v>
      </c>
      <c r="H211" s="3091">
        <f t="shared" ca="1" si="28"/>
        <v>0</v>
      </c>
      <c r="I211" s="3093" t="s">
        <v>6803</v>
      </c>
      <c r="J211" s="3072"/>
      <c r="K211" s="3090">
        <f t="shared" si="22"/>
        <v>0</v>
      </c>
      <c r="L211" s="3071">
        <f t="shared" ref="L211:L218" ca="1" si="29">INDIRECT("Notes!CheckB"&amp;$C211)</f>
        <v>0</v>
      </c>
      <c r="M211" s="3093" t="s">
        <v>6803</v>
      </c>
      <c r="N211" s="3072"/>
      <c r="O211" s="3099"/>
      <c r="P211" s="3100"/>
      <c r="Q211" s="3100"/>
      <c r="R211" s="3100"/>
      <c r="S211" s="3101" t="s">
        <v>295</v>
      </c>
      <c r="T211" s="3101" t="s">
        <v>213</v>
      </c>
      <c r="U211" s="3102"/>
      <c r="V211" s="3102" t="s">
        <v>295</v>
      </c>
      <c r="W211" s="3102" t="s">
        <v>6797</v>
      </c>
      <c r="X211" s="3102" t="s">
        <v>213</v>
      </c>
      <c r="Y211" s="3103" t="s">
        <v>164</v>
      </c>
    </row>
    <row r="212" spans="1:25" ht="18">
      <c r="A212" s="1304"/>
      <c r="B212" s="643">
        <v>2102</v>
      </c>
      <c r="C212" s="643" t="s">
        <v>1395</v>
      </c>
      <c r="D212" s="3087">
        <v>1</v>
      </c>
      <c r="E212" s="3088" t="str">
        <f t="shared" si="26"/>
        <v>交易性金融负债</v>
      </c>
      <c r="F212" s="3089" t="s">
        <v>1396</v>
      </c>
      <c r="G212" s="3090">
        <f t="shared" si="27"/>
        <v>0</v>
      </c>
      <c r="H212" s="3091">
        <f t="shared" ca="1" si="28"/>
        <v>0</v>
      </c>
      <c r="I212" s="3093">
        <f ca="1">IF(AND(LEN(G212)&gt;0,LEN(H212)&gt;0),ROUND(SUM(G212)-SUM(H212),2),"")</f>
        <v>0</v>
      </c>
      <c r="J212" s="3072" t="str">
        <f ca="1">IF(ISNA(I212),"N/A",IF(I212=0,"√","？"))</f>
        <v>√</v>
      </c>
      <c r="K212" s="3090">
        <f t="shared" si="22"/>
        <v>0</v>
      </c>
      <c r="L212" s="3071">
        <f t="shared" ca="1" si="29"/>
        <v>0</v>
      </c>
      <c r="M212" s="3093">
        <f ca="1">IF(AND(LEN(K212)&gt;0,LEN(L212)&gt;0),ROUND(SUM(K212)-SUM(L212),2),"")</f>
        <v>0</v>
      </c>
      <c r="N212" s="3072" t="str">
        <f ca="1">IF(ISNA(M212),"N/A",IF(M212=0,"√","？"))</f>
        <v>√</v>
      </c>
      <c r="O212" s="3099"/>
      <c r="P212" s="3100"/>
      <c r="Q212" s="3100"/>
      <c r="R212" s="3100"/>
      <c r="S212" s="3101" t="s">
        <v>295</v>
      </c>
      <c r="T212" s="3101" t="s">
        <v>213</v>
      </c>
      <c r="U212" s="3102"/>
      <c r="V212" s="3102" t="s">
        <v>295</v>
      </c>
      <c r="W212" s="3102" t="s">
        <v>145</v>
      </c>
      <c r="X212" s="3102" t="s">
        <v>6800</v>
      </c>
      <c r="Y212" s="3103" t="s">
        <v>119</v>
      </c>
    </row>
    <row r="213" spans="1:25" ht="48" hidden="1">
      <c r="A213" s="1304"/>
      <c r="B213" s="643">
        <v>2102</v>
      </c>
      <c r="C213" s="643" t="s">
        <v>1400</v>
      </c>
      <c r="D213" s="3087">
        <v>2</v>
      </c>
      <c r="E213" s="3088" t="str">
        <f t="shared" si="26"/>
        <v>交易性金融负债</v>
      </c>
      <c r="F213" s="3089" t="s">
        <v>1401</v>
      </c>
      <c r="G213" s="3090">
        <f t="shared" si="27"/>
        <v>0</v>
      </c>
      <c r="H213" s="3091">
        <f t="shared" ca="1" si="28"/>
        <v>0</v>
      </c>
      <c r="I213" s="3093" t="s">
        <v>6803</v>
      </c>
      <c r="J213" s="3072"/>
      <c r="K213" s="3090">
        <f t="shared" si="22"/>
        <v>0</v>
      </c>
      <c r="L213" s="3071">
        <f t="shared" ca="1" si="29"/>
        <v>0</v>
      </c>
      <c r="M213" s="3093" t="s">
        <v>6803</v>
      </c>
      <c r="N213" s="3072"/>
      <c r="O213" s="3099"/>
      <c r="P213" s="3100"/>
      <c r="Q213" s="3100"/>
      <c r="R213" s="3100"/>
      <c r="S213" s="3101" t="s">
        <v>295</v>
      </c>
      <c r="T213" s="3101" t="s">
        <v>213</v>
      </c>
      <c r="U213" s="3102"/>
      <c r="V213" s="3102" t="s">
        <v>295</v>
      </c>
      <c r="W213" s="3102" t="s">
        <v>145</v>
      </c>
      <c r="X213" s="3102" t="s">
        <v>6800</v>
      </c>
      <c r="Y213" s="3103" t="s">
        <v>119</v>
      </c>
    </row>
    <row r="214" spans="1:25" ht="36">
      <c r="A214" s="1304"/>
      <c r="B214" s="643">
        <v>2101</v>
      </c>
      <c r="C214" s="643" t="s">
        <v>1390</v>
      </c>
      <c r="D214" s="3087">
        <v>1</v>
      </c>
      <c r="E214" s="3088" t="str">
        <f t="shared" si="26"/>
        <v>以公允价值计量且其变动计入当期损益的金融负债</v>
      </c>
      <c r="F214" s="3089" t="s">
        <v>1391</v>
      </c>
      <c r="G214" s="3090">
        <f t="shared" si="27"/>
        <v>0</v>
      </c>
      <c r="H214" s="3091">
        <f t="shared" ca="1" si="28"/>
        <v>0</v>
      </c>
      <c r="I214" s="3093">
        <f ca="1">IF(AND(LEN(G214)&gt;0,LEN(H214)&gt;0),ROUND(SUM(G214)-SUM(H214),2),"")</f>
        <v>0</v>
      </c>
      <c r="J214" s="3072" t="str">
        <f ca="1">IF(ISNA(I214),"N/A",IF(I214=0,"√","？"))</f>
        <v>√</v>
      </c>
      <c r="K214" s="3090">
        <f t="shared" si="22"/>
        <v>0</v>
      </c>
      <c r="L214" s="3071">
        <f t="shared" ca="1" si="29"/>
        <v>0</v>
      </c>
      <c r="M214" s="3093">
        <f ca="1">IF(AND(LEN(K214)&gt;0,LEN(L214)&gt;0),ROUND(SUM(K214)-SUM(L214),2),"")</f>
        <v>0</v>
      </c>
      <c r="N214" s="3072" t="str">
        <f ca="1">IF(ISNA(M214),"N/A",IF(M214=0,"√","？"))</f>
        <v>√</v>
      </c>
      <c r="O214" s="3099"/>
      <c r="P214" s="3100"/>
      <c r="Q214" s="3100"/>
      <c r="R214" s="3100"/>
      <c r="S214" s="3101" t="s">
        <v>295</v>
      </c>
      <c r="T214" s="3101" t="s">
        <v>213</v>
      </c>
      <c r="U214" s="3102"/>
      <c r="V214" s="3102" t="s">
        <v>295</v>
      </c>
      <c r="W214" s="3102" t="s">
        <v>6797</v>
      </c>
      <c r="X214" s="3102" t="s">
        <v>6798</v>
      </c>
      <c r="Y214" s="3103" t="s">
        <v>164</v>
      </c>
    </row>
    <row r="215" spans="1:25" ht="18">
      <c r="A215" s="1304"/>
      <c r="B215" s="643">
        <v>2115</v>
      </c>
      <c r="C215" s="643" t="s">
        <v>1405</v>
      </c>
      <c r="D215" s="3087">
        <v>1</v>
      </c>
      <c r="E215" s="3088" t="str">
        <f t="shared" si="26"/>
        <v>衍生金融负债</v>
      </c>
      <c r="F215" s="3089" t="s">
        <v>1406</v>
      </c>
      <c r="G215" s="3090">
        <f t="shared" si="27"/>
        <v>0</v>
      </c>
      <c r="H215" s="3091">
        <f t="shared" ca="1" si="28"/>
        <v>0</v>
      </c>
      <c r="I215" s="3093">
        <f ca="1">IF(AND(LEN(G215)&gt;0,LEN(H215)&gt;0),ROUND(SUM(G215)-SUM(H215),2),"")</f>
        <v>0</v>
      </c>
      <c r="J215" s="3072" t="str">
        <f ca="1">IF(ISNA(I215),"N/A",IF(I215=0,"√","？"))</f>
        <v>√</v>
      </c>
      <c r="K215" s="3090">
        <f t="shared" si="22"/>
        <v>0</v>
      </c>
      <c r="L215" s="3071">
        <f t="shared" ca="1" si="29"/>
        <v>0</v>
      </c>
      <c r="M215" s="3093">
        <f ca="1">IF(AND(LEN(K215)&gt;0,LEN(L215)&gt;0),ROUND(SUM(K215)-SUM(L215),2),"")</f>
        <v>0</v>
      </c>
      <c r="N215" s="3072" t="str">
        <f ca="1">IF(ISNA(M215),"N/A",IF(M215=0,"√","？"))</f>
        <v>√</v>
      </c>
      <c r="O215" s="3099"/>
      <c r="P215" s="3100"/>
      <c r="Q215" s="3100"/>
      <c r="R215" s="3100"/>
      <c r="S215" s="3101" t="s">
        <v>295</v>
      </c>
      <c r="T215" s="3101" t="s">
        <v>213</v>
      </c>
      <c r="U215" s="3102"/>
      <c r="V215" s="3102" t="s">
        <v>295</v>
      </c>
      <c r="W215" s="3102" t="s">
        <v>6797</v>
      </c>
      <c r="X215" s="3102" t="s">
        <v>6798</v>
      </c>
      <c r="Y215" s="3103" t="s">
        <v>164</v>
      </c>
    </row>
    <row r="216" spans="1:25" ht="18">
      <c r="A216" s="1304"/>
      <c r="B216" s="643">
        <v>2201</v>
      </c>
      <c r="C216" s="643" t="s">
        <v>1410</v>
      </c>
      <c r="D216" s="3087">
        <v>1</v>
      </c>
      <c r="E216" s="3088" t="str">
        <f t="shared" si="26"/>
        <v>应付票据</v>
      </c>
      <c r="F216" s="3089" t="s">
        <v>1411</v>
      </c>
      <c r="G216" s="3090">
        <f t="shared" si="27"/>
        <v>0</v>
      </c>
      <c r="H216" s="3091">
        <f t="shared" ca="1" si="28"/>
        <v>0</v>
      </c>
      <c r="I216" s="3093">
        <f ca="1">IF(AND(LEN(G216)&gt;0,LEN(H216)&gt;0),ROUND(SUM(G216)-SUM(H216),2),"")</f>
        <v>0</v>
      </c>
      <c r="J216" s="3072" t="str">
        <f ca="1">IF(ISNA(I216),"N/A",IF(I216=0,"√","？"))</f>
        <v>√</v>
      </c>
      <c r="K216" s="3090">
        <f t="shared" si="22"/>
        <v>0</v>
      </c>
      <c r="L216" s="3071">
        <f t="shared" ca="1" si="29"/>
        <v>0</v>
      </c>
      <c r="M216" s="3093">
        <f ca="1">IF(AND(LEN(K216)&gt;0,LEN(L216)&gt;0),ROUND(SUM(K216)-SUM(L216),2),"")</f>
        <v>0</v>
      </c>
      <c r="N216" s="3072" t="str">
        <f ca="1">IF(ISNA(M216),"N/A",IF(M216=0,"√","？"))</f>
        <v>√</v>
      </c>
      <c r="O216" s="3099"/>
      <c r="P216" s="3100"/>
      <c r="Q216" s="3100"/>
      <c r="R216" s="3100"/>
      <c r="S216" s="3101" t="s">
        <v>295</v>
      </c>
      <c r="T216" s="3101" t="s">
        <v>213</v>
      </c>
      <c r="U216" s="3102"/>
      <c r="V216" s="3102" t="s">
        <v>295</v>
      </c>
      <c r="W216" s="3102" t="s">
        <v>6797</v>
      </c>
      <c r="X216" s="3102" t="s">
        <v>6798</v>
      </c>
      <c r="Y216" s="3103" t="s">
        <v>164</v>
      </c>
    </row>
    <row r="217" spans="1:25" ht="18">
      <c r="A217" s="1304"/>
      <c r="B217" s="643">
        <v>2202</v>
      </c>
      <c r="C217" s="643" t="s">
        <v>1416</v>
      </c>
      <c r="D217" s="3087">
        <v>1</v>
      </c>
      <c r="E217" s="3088" t="str">
        <f t="shared" si="26"/>
        <v>应付账款</v>
      </c>
      <c r="F217" s="3089" t="s">
        <v>1417</v>
      </c>
      <c r="G217" s="3090">
        <f t="shared" si="27"/>
        <v>11123454.48</v>
      </c>
      <c r="H217" s="3091">
        <f t="shared" ca="1" si="28"/>
        <v>11123454.48</v>
      </c>
      <c r="I217" s="3093">
        <f ca="1">IF(AND(LEN(G217)&gt;0,LEN(H217)&gt;0),ROUND(SUM(G217)-SUM(H217),2),"")</f>
        <v>0</v>
      </c>
      <c r="J217" s="3072" t="str">
        <f ca="1">IF(ISNA(I217),"N/A",IF(I217=0,"√","？"))</f>
        <v>√</v>
      </c>
      <c r="K217" s="3090">
        <f t="shared" si="22"/>
        <v>8476287.8300000001</v>
      </c>
      <c r="L217" s="3071">
        <f t="shared" ca="1" si="29"/>
        <v>8476287.8300000001</v>
      </c>
      <c r="M217" s="3093">
        <f ca="1">IF(AND(LEN(K217)&gt;0,LEN(L217)&gt;0),ROUND(SUM(K217)-SUM(L217),2),"")</f>
        <v>0</v>
      </c>
      <c r="N217" s="3072" t="str">
        <f ca="1">IF(ISNA(M217),"N/A",IF(M217=0,"√","？"))</f>
        <v>√</v>
      </c>
      <c r="O217" s="3099"/>
      <c r="P217" s="3100"/>
      <c r="Q217" s="3100"/>
      <c r="R217" s="3100"/>
      <c r="S217" s="3101" t="s">
        <v>295</v>
      </c>
      <c r="T217" s="3101" t="s">
        <v>213</v>
      </c>
      <c r="U217" s="3102"/>
      <c r="V217" s="3102" t="s">
        <v>295</v>
      </c>
      <c r="W217" s="3102" t="s">
        <v>6797</v>
      </c>
      <c r="X217" s="3102" t="s">
        <v>6798</v>
      </c>
      <c r="Y217" s="3103" t="s">
        <v>164</v>
      </c>
    </row>
    <row r="218" spans="1:25" ht="18">
      <c r="A218" s="1304"/>
      <c r="B218" s="643">
        <v>2202</v>
      </c>
      <c r="C218" s="643" t="s">
        <v>1427</v>
      </c>
      <c r="D218" s="3087">
        <v>1</v>
      </c>
      <c r="E218" s="3088" t="str">
        <f t="shared" si="26"/>
        <v>应付账款</v>
      </c>
      <c r="F218" s="3089" t="s">
        <v>1428</v>
      </c>
      <c r="G218" s="3090">
        <f t="shared" si="27"/>
        <v>11123454.48</v>
      </c>
      <c r="H218" s="3091">
        <f t="shared" ca="1" si="28"/>
        <v>11123454.48</v>
      </c>
      <c r="I218" s="3093">
        <f ca="1">IF(AND(LEN(G218)&gt;0,LEN(H218)&gt;0),ROUND(SUM(G218)-SUM(H218),2),"")</f>
        <v>0</v>
      </c>
      <c r="J218" s="3072" t="str">
        <f ca="1">IF(ISNA(I218),"N/A",IF(I218=0,"√","？"))</f>
        <v>√</v>
      </c>
      <c r="K218" s="3090">
        <f t="shared" si="22"/>
        <v>8476287.8300000001</v>
      </c>
      <c r="L218" s="3071">
        <f t="shared" ca="1" si="29"/>
        <v>8476287.8300000001</v>
      </c>
      <c r="M218" s="3093">
        <f ca="1">IF(AND(LEN(K218)&gt;0,LEN(L218)&gt;0),ROUND(SUM(K218)-SUM(L218),2),"")</f>
        <v>0</v>
      </c>
      <c r="N218" s="3072" t="str">
        <f ca="1">IF(ISNA(M218),"N/A",IF(M218=0,"√","？"))</f>
        <v>√</v>
      </c>
      <c r="O218" s="3099"/>
      <c r="P218" s="3100"/>
      <c r="Q218" s="3100"/>
      <c r="R218" s="3100"/>
      <c r="S218" s="3101" t="s">
        <v>295</v>
      </c>
      <c r="T218" s="3101" t="s">
        <v>213</v>
      </c>
      <c r="U218" s="3102"/>
      <c r="V218" s="3102" t="s">
        <v>295</v>
      </c>
      <c r="W218" s="3102" t="s">
        <v>6797</v>
      </c>
      <c r="X218" s="3102" t="s">
        <v>213</v>
      </c>
      <c r="Y218" s="3103" t="s">
        <v>164</v>
      </c>
    </row>
    <row r="219" spans="1:25" ht="24" hidden="1">
      <c r="A219" s="1304"/>
      <c r="B219" s="643">
        <v>2202</v>
      </c>
      <c r="C219" s="643" t="s">
        <v>1421</v>
      </c>
      <c r="D219" s="3087">
        <v>2</v>
      </c>
      <c r="E219" s="3088" t="str">
        <f t="shared" si="26"/>
        <v>应付账款</v>
      </c>
      <c r="F219" s="3089" t="s">
        <v>1422</v>
      </c>
      <c r="G219" s="3090">
        <f t="shared" si="27"/>
        <v>11123454.48</v>
      </c>
      <c r="H219" s="3091">
        <f t="shared" ca="1" si="28"/>
        <v>0</v>
      </c>
      <c r="I219" s="3093" t="s">
        <v>6803</v>
      </c>
      <c r="J219" s="3072"/>
      <c r="K219" s="3090">
        <f t="shared" si="22"/>
        <v>8476287.8300000001</v>
      </c>
      <c r="L219" s="3071" t="s">
        <v>6799</v>
      </c>
      <c r="M219" s="3093" t="s">
        <v>6803</v>
      </c>
      <c r="N219" s="3072"/>
      <c r="O219" s="3099"/>
      <c r="P219" s="3100"/>
      <c r="Q219" s="3100"/>
      <c r="R219" s="3100"/>
      <c r="S219" s="3101" t="s">
        <v>295</v>
      </c>
      <c r="T219" s="3101" t="s">
        <v>213</v>
      </c>
      <c r="U219" s="3102"/>
      <c r="V219" s="3102" t="s">
        <v>295</v>
      </c>
      <c r="W219" s="3102" t="s">
        <v>6797</v>
      </c>
      <c r="X219" s="3102" t="s">
        <v>6798</v>
      </c>
      <c r="Y219" s="3103" t="s">
        <v>164</v>
      </c>
    </row>
    <row r="220" spans="1:25" ht="18" hidden="1">
      <c r="A220" s="1304"/>
      <c r="B220" s="643">
        <v>2202</v>
      </c>
      <c r="C220" s="643" t="s">
        <v>1437</v>
      </c>
      <c r="D220" s="3087">
        <v>2</v>
      </c>
      <c r="E220" s="3088" t="str">
        <f t="shared" si="26"/>
        <v>应付账款</v>
      </c>
      <c r="F220" s="3089" t="s">
        <v>1438</v>
      </c>
      <c r="G220" s="3090">
        <f t="shared" si="27"/>
        <v>11123454.48</v>
      </c>
      <c r="H220" s="3091">
        <f t="shared" ca="1" si="28"/>
        <v>0</v>
      </c>
      <c r="I220" s="3093" t="s">
        <v>6803</v>
      </c>
      <c r="J220" s="3072"/>
      <c r="K220" s="3090">
        <f t="shared" si="22"/>
        <v>8476287.8300000001</v>
      </c>
      <c r="L220" s="3071" t="s">
        <v>6799</v>
      </c>
      <c r="M220" s="3093" t="s">
        <v>6803</v>
      </c>
      <c r="N220" s="3072"/>
      <c r="O220" s="3099"/>
      <c r="P220" s="3100"/>
      <c r="Q220" s="3100"/>
      <c r="R220" s="3100"/>
      <c r="S220" s="3101" t="s">
        <v>295</v>
      </c>
      <c r="T220" s="3101" t="s">
        <v>213</v>
      </c>
      <c r="U220" s="3102"/>
      <c r="V220" s="3102" t="s">
        <v>295</v>
      </c>
      <c r="W220" s="3102" t="s">
        <v>6797</v>
      </c>
      <c r="X220" s="3102" t="s">
        <v>213</v>
      </c>
      <c r="Y220" s="3103" t="s">
        <v>164</v>
      </c>
    </row>
    <row r="221" spans="1:25" ht="24" hidden="1">
      <c r="A221" s="1304"/>
      <c r="B221" s="643">
        <v>2202</v>
      </c>
      <c r="C221" s="643" t="s">
        <v>1432</v>
      </c>
      <c r="D221" s="3087">
        <v>2</v>
      </c>
      <c r="E221" s="3088" t="str">
        <f t="shared" si="26"/>
        <v>应付账款</v>
      </c>
      <c r="F221" s="3089" t="s">
        <v>1433</v>
      </c>
      <c r="G221" s="3090">
        <f t="shared" si="27"/>
        <v>11123454.48</v>
      </c>
      <c r="H221" s="3091" t="s">
        <v>6799</v>
      </c>
      <c r="I221" s="3093" t="s">
        <v>6803</v>
      </c>
      <c r="J221" s="3072"/>
      <c r="K221" s="3090">
        <f t="shared" si="22"/>
        <v>8476287.8300000001</v>
      </c>
      <c r="L221" s="3071" t="s">
        <v>6799</v>
      </c>
      <c r="M221" s="3093" t="s">
        <v>6803</v>
      </c>
      <c r="N221" s="3072"/>
      <c r="O221" s="3099"/>
      <c r="P221" s="3100"/>
      <c r="Q221" s="3100"/>
      <c r="R221" s="3100"/>
      <c r="S221" s="3101" t="s">
        <v>295</v>
      </c>
      <c r="T221" s="3101" t="s">
        <v>213</v>
      </c>
      <c r="U221" s="3102"/>
      <c r="V221" s="3102" t="s">
        <v>295</v>
      </c>
      <c r="W221" s="3102" t="s">
        <v>6797</v>
      </c>
      <c r="X221" s="3102" t="s">
        <v>213</v>
      </c>
      <c r="Y221" s="3103" t="s">
        <v>164</v>
      </c>
    </row>
    <row r="222" spans="1:25" ht="24" hidden="1">
      <c r="A222" s="1304"/>
      <c r="B222" s="643">
        <v>2202</v>
      </c>
      <c r="C222" s="643" t="s">
        <v>1443</v>
      </c>
      <c r="D222" s="3087">
        <v>2</v>
      </c>
      <c r="E222" s="3088" t="str">
        <f t="shared" si="26"/>
        <v>应付账款</v>
      </c>
      <c r="F222" s="3089" t="s">
        <v>1444</v>
      </c>
      <c r="G222" s="3090">
        <f t="shared" si="27"/>
        <v>11123454.48</v>
      </c>
      <c r="H222" s="3091">
        <f t="shared" ref="H222:H228" ca="1" si="30">INDIRECT("Notes!CheckA"&amp;$C222)</f>
        <v>0</v>
      </c>
      <c r="I222" s="3093" t="s">
        <v>6803</v>
      </c>
      <c r="J222" s="3072"/>
      <c r="K222" s="3090">
        <f t="shared" si="22"/>
        <v>8476287.8300000001</v>
      </c>
      <c r="L222" s="3071" t="s">
        <v>6799</v>
      </c>
      <c r="M222" s="3093" t="s">
        <v>6803</v>
      </c>
      <c r="N222" s="3072"/>
      <c r="O222" s="3099"/>
      <c r="P222" s="3100"/>
      <c r="Q222" s="3100"/>
      <c r="R222" s="3100"/>
      <c r="S222" s="3101" t="s">
        <v>295</v>
      </c>
      <c r="T222" s="3101" t="s">
        <v>213</v>
      </c>
      <c r="U222" s="3102"/>
      <c r="V222" s="3102" t="s">
        <v>295</v>
      </c>
      <c r="W222" s="3102" t="s">
        <v>6797</v>
      </c>
      <c r="X222" s="3102" t="s">
        <v>213</v>
      </c>
      <c r="Y222" s="3103" t="s">
        <v>164</v>
      </c>
    </row>
    <row r="223" spans="1:25" ht="18" hidden="1">
      <c r="A223" s="1304"/>
      <c r="B223" s="643">
        <v>2202</v>
      </c>
      <c r="C223" s="643" t="s">
        <v>1448</v>
      </c>
      <c r="D223" s="3087">
        <v>2</v>
      </c>
      <c r="E223" s="3088" t="str">
        <f t="shared" si="26"/>
        <v>应付账款</v>
      </c>
      <c r="F223" s="3089" t="s">
        <v>1449</v>
      </c>
      <c r="G223" s="3090">
        <f t="shared" si="27"/>
        <v>11123454.48</v>
      </c>
      <c r="H223" s="3091">
        <f t="shared" ca="1" si="30"/>
        <v>0</v>
      </c>
      <c r="I223" s="3093" t="s">
        <v>6803</v>
      </c>
      <c r="J223" s="3072"/>
      <c r="K223" s="3090">
        <f t="shared" ref="K223:K286" si="31">IF(ISERROR(VLOOKUP($B223,Sheet_Trialbal,10,0)),"        ----",VLOOKUP($B223,Sheet_Trialbal,10,0))</f>
        <v>8476287.8300000001</v>
      </c>
      <c r="L223" s="3071" t="s">
        <v>6799</v>
      </c>
      <c r="M223" s="3093" t="s">
        <v>6803</v>
      </c>
      <c r="N223" s="3072"/>
      <c r="O223" s="3099"/>
      <c r="P223" s="3100"/>
      <c r="Q223" s="3100"/>
      <c r="R223" s="3100"/>
      <c r="S223" s="3101" t="s">
        <v>295</v>
      </c>
      <c r="T223" s="3101" t="s">
        <v>213</v>
      </c>
      <c r="U223" s="3102"/>
      <c r="V223" s="3102" t="s">
        <v>295</v>
      </c>
      <c r="W223" s="3102" t="s">
        <v>6797</v>
      </c>
      <c r="X223" s="3102" t="s">
        <v>213</v>
      </c>
      <c r="Y223" s="3103" t="s">
        <v>164</v>
      </c>
    </row>
    <row r="224" spans="1:25" ht="18">
      <c r="A224" s="1304"/>
      <c r="B224" s="643">
        <v>2205</v>
      </c>
      <c r="C224" s="643" t="s">
        <v>1458</v>
      </c>
      <c r="D224" s="3087">
        <v>1</v>
      </c>
      <c r="E224" s="3088" t="str">
        <f t="shared" si="26"/>
        <v>预收款项</v>
      </c>
      <c r="F224" s="3089" t="s">
        <v>1459</v>
      </c>
      <c r="G224" s="3090">
        <f t="shared" si="27"/>
        <v>2360727.0299999998</v>
      </c>
      <c r="H224" s="3091">
        <f t="shared" ca="1" si="30"/>
        <v>2360727.0299999998</v>
      </c>
      <c r="I224" s="3093">
        <f ca="1">IF(AND(LEN(G224)&gt;0,LEN(H224)&gt;0),ROUND(SUM(G224)-SUM(H224),2),"")</f>
        <v>0</v>
      </c>
      <c r="J224" s="3072" t="str">
        <f ca="1">IF(ISNA(I224),"N/A",IF(I224=0,"√","？"))</f>
        <v>√</v>
      </c>
      <c r="K224" s="3090">
        <f t="shared" si="31"/>
        <v>2229809.83</v>
      </c>
      <c r="L224" s="3071">
        <f ca="1">INDIRECT("Notes!CheckB"&amp;$C224)</f>
        <v>2229809.83</v>
      </c>
      <c r="M224" s="3093">
        <f ca="1">IF(AND(LEN(K224)&gt;0,LEN(L224)&gt;0),ROUND(SUM(K224)-SUM(L224),2),"")</f>
        <v>0</v>
      </c>
      <c r="N224" s="3072" t="str">
        <f ca="1">IF(ISNA(M224),"N/A",IF(M224=0,"√","？"))</f>
        <v>√</v>
      </c>
      <c r="O224" s="3099"/>
      <c r="P224" s="3100"/>
      <c r="Q224" s="3100"/>
      <c r="R224" s="3100"/>
      <c r="S224" s="3101" t="s">
        <v>295</v>
      </c>
      <c r="T224" s="3101" t="s">
        <v>213</v>
      </c>
      <c r="U224" s="3102"/>
      <c r="V224" s="3102" t="s">
        <v>295</v>
      </c>
      <c r="W224" s="3102" t="s">
        <v>6797</v>
      </c>
      <c r="X224" s="3102" t="s">
        <v>6798</v>
      </c>
      <c r="Y224" s="3103" t="s">
        <v>164</v>
      </c>
    </row>
    <row r="225" spans="1:25" ht="18">
      <c r="A225" s="1304"/>
      <c r="B225" s="643">
        <v>2205</v>
      </c>
      <c r="C225" s="643" t="s">
        <v>1490</v>
      </c>
      <c r="D225" s="3087">
        <v>1</v>
      </c>
      <c r="E225" s="3088" t="str">
        <f t="shared" si="26"/>
        <v>预收款项</v>
      </c>
      <c r="F225" s="3089" t="s">
        <v>1491</v>
      </c>
      <c r="G225" s="3090">
        <f t="shared" si="27"/>
        <v>2360727.0299999998</v>
      </c>
      <c r="H225" s="3091">
        <f t="shared" ca="1" si="30"/>
        <v>0</v>
      </c>
      <c r="I225" s="3093">
        <f ca="1">IF(AND(LEN(G225)&gt;0,LEN(H225)&gt;0),ROUND(SUM(G225)-SUM(H225),2),"")</f>
        <v>2360727.0299999998</v>
      </c>
      <c r="J225" s="3072" t="str">
        <f ca="1">IF(ISNA(I225),"N/A",IF(I225=0,"√","？"))</f>
        <v>？</v>
      </c>
      <c r="K225" s="3090">
        <f t="shared" si="31"/>
        <v>2229809.83</v>
      </c>
      <c r="L225" s="3071">
        <f ca="1">INDIRECT("Notes!CheckB"&amp;$C225)</f>
        <v>0</v>
      </c>
      <c r="M225" s="3093">
        <f ca="1">IF(AND(LEN(K225)&gt;0,LEN(L225)&gt;0),ROUND(SUM(K225)-SUM(L225),2),"")</f>
        <v>2229809.83</v>
      </c>
      <c r="N225" s="3072" t="str">
        <f ca="1">IF(ISNA(M225),"N/A",IF(M225=0,"√","？"))</f>
        <v>？</v>
      </c>
      <c r="O225" s="3099"/>
      <c r="P225" s="3100"/>
      <c r="Q225" s="3100"/>
      <c r="R225" s="3100"/>
      <c r="S225" s="3101" t="s">
        <v>295</v>
      </c>
      <c r="T225" s="3101" t="s">
        <v>213</v>
      </c>
      <c r="U225" s="3102"/>
      <c r="V225" s="3102" t="s">
        <v>295</v>
      </c>
      <c r="W225" s="3102" t="s">
        <v>6797</v>
      </c>
      <c r="X225" s="3102" t="s">
        <v>213</v>
      </c>
      <c r="Y225" s="3103" t="s">
        <v>164</v>
      </c>
    </row>
    <row r="226" spans="1:25" ht="24" hidden="1">
      <c r="A226" s="1304"/>
      <c r="B226" s="643">
        <v>2205</v>
      </c>
      <c r="C226" s="643" t="s">
        <v>1463</v>
      </c>
      <c r="D226" s="3087">
        <v>2</v>
      </c>
      <c r="E226" s="3088" t="str">
        <f t="shared" si="26"/>
        <v>预收款项</v>
      </c>
      <c r="F226" s="3089" t="s">
        <v>1464</v>
      </c>
      <c r="G226" s="3090">
        <f t="shared" si="27"/>
        <v>2360727.0299999998</v>
      </c>
      <c r="H226" s="3091">
        <f t="shared" ca="1" si="30"/>
        <v>0</v>
      </c>
      <c r="I226" s="3093" t="s">
        <v>6803</v>
      </c>
      <c r="J226" s="3072"/>
      <c r="K226" s="3090">
        <f t="shared" si="31"/>
        <v>2229809.83</v>
      </c>
      <c r="L226" s="3071" t="s">
        <v>6799</v>
      </c>
      <c r="M226" s="3093" t="s">
        <v>6803</v>
      </c>
      <c r="N226" s="3072"/>
      <c r="O226" s="3099"/>
      <c r="P226" s="3100"/>
      <c r="Q226" s="3100"/>
      <c r="R226" s="3100"/>
      <c r="S226" s="3101" t="s">
        <v>295</v>
      </c>
      <c r="T226" s="3101" t="s">
        <v>213</v>
      </c>
      <c r="U226" s="3102"/>
      <c r="V226" s="3102" t="s">
        <v>295</v>
      </c>
      <c r="W226" s="3102" t="s">
        <v>6797</v>
      </c>
      <c r="X226" s="3102" t="s">
        <v>6798</v>
      </c>
      <c r="Y226" s="3103" t="s">
        <v>164</v>
      </c>
    </row>
    <row r="227" spans="1:25" ht="24" hidden="1">
      <c r="A227" s="1304"/>
      <c r="B227" s="643">
        <v>2205</v>
      </c>
      <c r="C227" s="643" t="s">
        <v>1469</v>
      </c>
      <c r="D227" s="3087">
        <v>2</v>
      </c>
      <c r="E227" s="3088" t="str">
        <f t="shared" si="26"/>
        <v>预收款项</v>
      </c>
      <c r="F227" s="3089" t="s">
        <v>1470</v>
      </c>
      <c r="G227" s="3090">
        <f t="shared" si="27"/>
        <v>2360727.0299999998</v>
      </c>
      <c r="H227" s="3091">
        <f t="shared" ca="1" si="30"/>
        <v>0</v>
      </c>
      <c r="I227" s="3093" t="s">
        <v>6803</v>
      </c>
      <c r="J227" s="3072"/>
      <c r="K227" s="3090">
        <f t="shared" si="31"/>
        <v>2229809.83</v>
      </c>
      <c r="L227" s="3071" t="s">
        <v>6799</v>
      </c>
      <c r="M227" s="3093" t="s">
        <v>6803</v>
      </c>
      <c r="N227" s="3072"/>
      <c r="O227" s="3099"/>
      <c r="P227" s="3100"/>
      <c r="Q227" s="3100"/>
      <c r="R227" s="3100"/>
      <c r="S227" s="3101" t="s">
        <v>295</v>
      </c>
      <c r="T227" s="3101" t="s">
        <v>213</v>
      </c>
      <c r="U227" s="3102"/>
      <c r="V227" s="3102" t="s">
        <v>295</v>
      </c>
      <c r="W227" s="3102" t="s">
        <v>6797</v>
      </c>
      <c r="X227" s="3102" t="s">
        <v>6800</v>
      </c>
      <c r="Y227" s="3103" t="s">
        <v>164</v>
      </c>
    </row>
    <row r="228" spans="1:25" ht="24" hidden="1">
      <c r="A228" s="1304"/>
      <c r="B228" s="643">
        <v>2205</v>
      </c>
      <c r="C228" s="643" t="s">
        <v>1485</v>
      </c>
      <c r="D228" s="3087">
        <v>2</v>
      </c>
      <c r="E228" s="3088" t="str">
        <f t="shared" si="26"/>
        <v>预收款项</v>
      </c>
      <c r="F228" s="3089" t="s">
        <v>1486</v>
      </c>
      <c r="G228" s="3090">
        <f t="shared" si="27"/>
        <v>2360727.0299999998</v>
      </c>
      <c r="H228" s="3091">
        <f t="shared" ca="1" si="30"/>
        <v>0</v>
      </c>
      <c r="I228" s="3093" t="s">
        <v>6803</v>
      </c>
      <c r="J228" s="3072"/>
      <c r="K228" s="3090">
        <f t="shared" si="31"/>
        <v>2229809.83</v>
      </c>
      <c r="L228" s="3071">
        <f ca="1">INDIRECT("Notes!CheckB"&amp;$C228)</f>
        <v>0</v>
      </c>
      <c r="M228" s="3093" t="s">
        <v>6803</v>
      </c>
      <c r="N228" s="3072"/>
      <c r="O228" s="3099"/>
      <c r="P228" s="3100"/>
      <c r="Q228" s="3100"/>
      <c r="R228" s="3100"/>
      <c r="S228" s="3101" t="s">
        <v>295</v>
      </c>
      <c r="T228" s="3101" t="s">
        <v>213</v>
      </c>
      <c r="U228" s="3102"/>
      <c r="V228" s="3102" t="s">
        <v>295</v>
      </c>
      <c r="W228" s="3102" t="s">
        <v>6797</v>
      </c>
      <c r="X228" s="3102" t="s">
        <v>213</v>
      </c>
      <c r="Y228" s="3103" t="s">
        <v>164</v>
      </c>
    </row>
    <row r="229" spans="1:25" ht="24" hidden="1">
      <c r="A229" s="1304"/>
      <c r="B229" s="643">
        <v>2205</v>
      </c>
      <c r="C229" s="643" t="s">
        <v>1474</v>
      </c>
      <c r="D229" s="3087">
        <v>2</v>
      </c>
      <c r="E229" s="3088" t="str">
        <f t="shared" si="26"/>
        <v>预收款项</v>
      </c>
      <c r="F229" s="3089" t="s">
        <v>1475</v>
      </c>
      <c r="G229" s="3090">
        <f t="shared" si="27"/>
        <v>2360727.0299999998</v>
      </c>
      <c r="H229" s="3091" t="s">
        <v>6799</v>
      </c>
      <c r="I229" s="3093" t="s">
        <v>6803</v>
      </c>
      <c r="J229" s="3072"/>
      <c r="K229" s="3090">
        <f t="shared" si="31"/>
        <v>2229809.83</v>
      </c>
      <c r="L229" s="3071" t="s">
        <v>6799</v>
      </c>
      <c r="M229" s="3093" t="s">
        <v>6803</v>
      </c>
      <c r="N229" s="3072"/>
      <c r="O229" s="3099"/>
      <c r="P229" s="3100"/>
      <c r="Q229" s="3100"/>
      <c r="R229" s="3100"/>
      <c r="S229" s="3101" t="s">
        <v>295</v>
      </c>
      <c r="T229" s="3101" t="s">
        <v>213</v>
      </c>
      <c r="U229" s="3102"/>
      <c r="V229" s="3102" t="s">
        <v>295</v>
      </c>
      <c r="W229" s="3102" t="s">
        <v>6797</v>
      </c>
      <c r="X229" s="3102" t="s">
        <v>213</v>
      </c>
      <c r="Y229" s="3103" t="s">
        <v>164</v>
      </c>
    </row>
    <row r="230" spans="1:25" ht="18" hidden="1">
      <c r="A230" s="1304"/>
      <c r="B230" s="643">
        <v>2205</v>
      </c>
      <c r="C230" s="643" t="s">
        <v>1495</v>
      </c>
      <c r="D230" s="3087">
        <v>2</v>
      </c>
      <c r="E230" s="3088" t="str">
        <f t="shared" si="26"/>
        <v>预收款项</v>
      </c>
      <c r="F230" s="3089" t="s">
        <v>1496</v>
      </c>
      <c r="G230" s="3090">
        <f t="shared" si="27"/>
        <v>2360727.0299999998</v>
      </c>
      <c r="H230" s="3091">
        <f t="shared" ref="H230:H239" ca="1" si="32">INDIRECT("Notes!CheckA"&amp;$C230)</f>
        <v>0</v>
      </c>
      <c r="I230" s="3093" t="s">
        <v>6803</v>
      </c>
      <c r="J230" s="3072"/>
      <c r="K230" s="3090">
        <f t="shared" si="31"/>
        <v>2229809.83</v>
      </c>
      <c r="L230" s="3071" t="s">
        <v>6799</v>
      </c>
      <c r="M230" s="3093" t="s">
        <v>6803</v>
      </c>
      <c r="N230" s="3072"/>
      <c r="O230" s="3099"/>
      <c r="P230" s="3100"/>
      <c r="Q230" s="3100"/>
      <c r="R230" s="3100"/>
      <c r="S230" s="3101" t="s">
        <v>295</v>
      </c>
      <c r="T230" s="3101" t="s">
        <v>213</v>
      </c>
      <c r="U230" s="3102"/>
      <c r="V230" s="3102" t="s">
        <v>295</v>
      </c>
      <c r="W230" s="3102" t="s">
        <v>6797</v>
      </c>
      <c r="X230" s="3102" t="s">
        <v>213</v>
      </c>
      <c r="Y230" s="3103" t="s">
        <v>164</v>
      </c>
    </row>
    <row r="231" spans="1:25" ht="18">
      <c r="A231" s="1304"/>
      <c r="B231" s="643">
        <v>2211</v>
      </c>
      <c r="C231" s="643" t="s">
        <v>1500</v>
      </c>
      <c r="D231" s="3087">
        <v>1</v>
      </c>
      <c r="E231" s="3088" t="str">
        <f t="shared" si="26"/>
        <v>应付职工薪酬</v>
      </c>
      <c r="F231" s="3089" t="s">
        <v>1501</v>
      </c>
      <c r="G231" s="3090">
        <f t="shared" si="27"/>
        <v>1058561.81</v>
      </c>
      <c r="H231" s="3091">
        <f t="shared" ca="1" si="32"/>
        <v>1058561.81</v>
      </c>
      <c r="I231" s="3093">
        <f ca="1">IF(AND(LEN(G231)&gt;0,LEN(H231)&gt;0),ROUND(SUM(G231)-SUM(H231),2),"")</f>
        <v>0</v>
      </c>
      <c r="J231" s="3072" t="str">
        <f ca="1">IF(ISNA(I231),"N/A",IF(I231=0,"√","？"))</f>
        <v>√</v>
      </c>
      <c r="K231" s="3090">
        <f t="shared" si="31"/>
        <v>974467.27</v>
      </c>
      <c r="L231" s="3071">
        <f t="shared" ref="L231:L239" ca="1" si="33">INDIRECT("Notes!CheckB"&amp;$C231)</f>
        <v>974467.27</v>
      </c>
      <c r="M231" s="3093">
        <f ca="1">IF(AND(LEN(K231)&gt;0,LEN(L231)&gt;0),ROUND(SUM(K231)-SUM(L231),2),"")</f>
        <v>0</v>
      </c>
      <c r="N231" s="3072" t="str">
        <f ca="1">IF(ISNA(M231),"N/A",IF(M231=0,"√","？"))</f>
        <v>√</v>
      </c>
      <c r="O231" s="3099"/>
      <c r="P231" s="3100"/>
      <c r="Q231" s="3100"/>
      <c r="R231" s="3100"/>
      <c r="S231" s="3101" t="s">
        <v>295</v>
      </c>
      <c r="T231" s="3101" t="s">
        <v>213</v>
      </c>
      <c r="U231" s="3102"/>
      <c r="V231" s="3102" t="s">
        <v>295</v>
      </c>
      <c r="W231" s="3102" t="s">
        <v>6797</v>
      </c>
      <c r="X231" s="3102" t="s">
        <v>6798</v>
      </c>
      <c r="Y231" s="3103" t="s">
        <v>164</v>
      </c>
    </row>
    <row r="232" spans="1:25" ht="18" hidden="1">
      <c r="A232" s="1304"/>
      <c r="B232" s="643">
        <v>2211</v>
      </c>
      <c r="C232" s="643" t="s">
        <v>1505</v>
      </c>
      <c r="D232" s="3087">
        <v>2</v>
      </c>
      <c r="E232" s="3088" t="str">
        <f t="shared" si="26"/>
        <v>应付职工薪酬</v>
      </c>
      <c r="F232" s="3089" t="s">
        <v>1506</v>
      </c>
      <c r="G232" s="3090">
        <f t="shared" si="27"/>
        <v>1058561.81</v>
      </c>
      <c r="H232" s="3091">
        <f t="shared" ca="1" si="32"/>
        <v>1058561.81</v>
      </c>
      <c r="I232" s="3093" t="s">
        <v>6803</v>
      </c>
      <c r="J232" s="3072"/>
      <c r="K232" s="3090">
        <f t="shared" si="31"/>
        <v>974467.27</v>
      </c>
      <c r="L232" s="3071">
        <f t="shared" ca="1" si="33"/>
        <v>974467.27</v>
      </c>
      <c r="M232" s="3093" t="s">
        <v>6803</v>
      </c>
      <c r="N232" s="3072"/>
      <c r="O232" s="3099"/>
      <c r="P232" s="3100"/>
      <c r="Q232" s="3100"/>
      <c r="R232" s="3100"/>
      <c r="S232" s="3101" t="s">
        <v>295</v>
      </c>
      <c r="T232" s="3101" t="s">
        <v>213</v>
      </c>
      <c r="U232" s="3102"/>
      <c r="V232" s="3102" t="s">
        <v>295</v>
      </c>
      <c r="W232" s="3102" t="s">
        <v>6797</v>
      </c>
      <c r="X232" s="3102" t="s">
        <v>6798</v>
      </c>
      <c r="Y232" s="3103" t="s">
        <v>164</v>
      </c>
    </row>
    <row r="233" spans="1:25" ht="18" hidden="1">
      <c r="A233" s="1304"/>
      <c r="B233" s="643">
        <v>2211</v>
      </c>
      <c r="C233" s="643" t="s">
        <v>1510</v>
      </c>
      <c r="D233" s="3087">
        <v>2</v>
      </c>
      <c r="E233" s="3088" t="str">
        <f t="shared" si="26"/>
        <v>应付职工薪酬</v>
      </c>
      <c r="F233" s="3089" t="s">
        <v>1511</v>
      </c>
      <c r="G233" s="3090">
        <f t="shared" si="27"/>
        <v>1058561.81</v>
      </c>
      <c r="H233" s="3091">
        <f t="shared" ca="1" si="32"/>
        <v>0</v>
      </c>
      <c r="I233" s="3093" t="s">
        <v>6803</v>
      </c>
      <c r="J233" s="3072"/>
      <c r="K233" s="3090">
        <f t="shared" si="31"/>
        <v>974467.27</v>
      </c>
      <c r="L233" s="3071">
        <f t="shared" ca="1" si="33"/>
        <v>0</v>
      </c>
      <c r="M233" s="3093" t="s">
        <v>6803</v>
      </c>
      <c r="N233" s="3072"/>
      <c r="O233" s="3099"/>
      <c r="P233" s="3100"/>
      <c r="Q233" s="3100"/>
      <c r="R233" s="3100"/>
      <c r="S233" s="3101" t="s">
        <v>295</v>
      </c>
      <c r="T233" s="3101" t="s">
        <v>213</v>
      </c>
      <c r="U233" s="3102"/>
      <c r="V233" s="3102" t="s">
        <v>295</v>
      </c>
      <c r="W233" s="3102" t="s">
        <v>6797</v>
      </c>
      <c r="X233" s="3102" t="s">
        <v>6798</v>
      </c>
      <c r="Y233" s="3103" t="s">
        <v>164</v>
      </c>
    </row>
    <row r="234" spans="1:25" ht="18" hidden="1">
      <c r="A234" s="1304"/>
      <c r="B234" s="643">
        <v>2211</v>
      </c>
      <c r="C234" s="643" t="s">
        <v>1515</v>
      </c>
      <c r="D234" s="3087">
        <v>2</v>
      </c>
      <c r="E234" s="3088" t="str">
        <f t="shared" si="26"/>
        <v>应付职工薪酬</v>
      </c>
      <c r="F234" s="3089" t="s">
        <v>1516</v>
      </c>
      <c r="G234" s="3090">
        <f t="shared" si="27"/>
        <v>1058561.81</v>
      </c>
      <c r="H234" s="3091">
        <f t="shared" ca="1" si="32"/>
        <v>0</v>
      </c>
      <c r="I234" s="3093" t="s">
        <v>6803</v>
      </c>
      <c r="J234" s="3072"/>
      <c r="K234" s="3090">
        <f t="shared" si="31"/>
        <v>974467.27</v>
      </c>
      <c r="L234" s="3071">
        <f t="shared" ca="1" si="33"/>
        <v>0</v>
      </c>
      <c r="M234" s="3093" t="s">
        <v>6803</v>
      </c>
      <c r="N234" s="3072"/>
      <c r="O234" s="3099"/>
      <c r="P234" s="3100"/>
      <c r="Q234" s="3100"/>
      <c r="R234" s="3100"/>
      <c r="S234" s="3101" t="s">
        <v>295</v>
      </c>
      <c r="T234" s="3101" t="s">
        <v>213</v>
      </c>
      <c r="U234" s="3102"/>
      <c r="V234" s="3102" t="s">
        <v>295</v>
      </c>
      <c r="W234" s="3102" t="s">
        <v>6797</v>
      </c>
      <c r="X234" s="3102" t="s">
        <v>213</v>
      </c>
      <c r="Y234" s="3103" t="s">
        <v>164</v>
      </c>
    </row>
    <row r="235" spans="1:25" ht="18" hidden="1">
      <c r="A235" s="1304"/>
      <c r="B235" s="643">
        <v>2211</v>
      </c>
      <c r="C235" s="643" t="s">
        <v>1520</v>
      </c>
      <c r="D235" s="3087">
        <v>2</v>
      </c>
      <c r="E235" s="3088" t="str">
        <f t="shared" si="26"/>
        <v>应付职工薪酬</v>
      </c>
      <c r="F235" s="3089" t="s">
        <v>1521</v>
      </c>
      <c r="G235" s="3090">
        <f t="shared" si="27"/>
        <v>1058561.81</v>
      </c>
      <c r="H235" s="3091">
        <f t="shared" ca="1" si="32"/>
        <v>0</v>
      </c>
      <c r="I235" s="3093" t="s">
        <v>6803</v>
      </c>
      <c r="J235" s="3072"/>
      <c r="K235" s="3090">
        <f t="shared" si="31"/>
        <v>974467.27</v>
      </c>
      <c r="L235" s="3071">
        <f t="shared" ca="1" si="33"/>
        <v>24696.639999999999</v>
      </c>
      <c r="M235" s="3093" t="s">
        <v>6803</v>
      </c>
      <c r="N235" s="3072"/>
      <c r="O235" s="3099"/>
      <c r="P235" s="3100"/>
      <c r="Q235" s="3100"/>
      <c r="R235" s="3100"/>
      <c r="S235" s="3101" t="s">
        <v>295</v>
      </c>
      <c r="T235" s="3101" t="s">
        <v>213</v>
      </c>
      <c r="U235" s="3102"/>
      <c r="V235" s="3102" t="s">
        <v>295</v>
      </c>
      <c r="W235" s="3102" t="s">
        <v>6797</v>
      </c>
      <c r="X235" s="3102" t="s">
        <v>213</v>
      </c>
      <c r="Y235" s="3103" t="s">
        <v>164</v>
      </c>
    </row>
    <row r="236" spans="1:25" ht="18">
      <c r="A236" s="1304"/>
      <c r="B236" s="643">
        <v>2221</v>
      </c>
      <c r="C236" s="643" t="s">
        <v>1528</v>
      </c>
      <c r="D236" s="3087">
        <v>1</v>
      </c>
      <c r="E236" s="3088" t="str">
        <f t="shared" si="26"/>
        <v>应交税费</v>
      </c>
      <c r="F236" s="3089" t="s">
        <v>1529</v>
      </c>
      <c r="G236" s="3090">
        <f t="shared" si="27"/>
        <v>507471.64</v>
      </c>
      <c r="H236" s="3091">
        <f t="shared" ca="1" si="32"/>
        <v>507471.64</v>
      </c>
      <c r="I236" s="3093">
        <f ca="1">IF(AND(LEN(G236)&gt;0,LEN(H236)&gt;0),ROUND(SUM(G236)-SUM(H236),2),"")</f>
        <v>0</v>
      </c>
      <c r="J236" s="3072" t="str">
        <f ca="1">IF(ISNA(I236),"N/A",IF(I236=0,"√","？"))</f>
        <v>√</v>
      </c>
      <c r="K236" s="3090">
        <f t="shared" si="31"/>
        <v>487153.95</v>
      </c>
      <c r="L236" s="3071">
        <f t="shared" ca="1" si="33"/>
        <v>487153.95</v>
      </c>
      <c r="M236" s="3093">
        <f ca="1">IF(AND(LEN(K236)&gt;0,LEN(L236)&gt;0),ROUND(SUM(K236)-SUM(L236),2),"")</f>
        <v>0</v>
      </c>
      <c r="N236" s="3072" t="str">
        <f ca="1">IF(ISNA(M236),"N/A",IF(M236=0,"√","？"))</f>
        <v>√</v>
      </c>
      <c r="O236" s="3099"/>
      <c r="P236" s="3100"/>
      <c r="Q236" s="3100"/>
      <c r="R236" s="3100"/>
      <c r="S236" s="3101" t="s">
        <v>295</v>
      </c>
      <c r="T236" s="3101" t="s">
        <v>213</v>
      </c>
      <c r="U236" s="3102"/>
      <c r="V236" s="3102" t="s">
        <v>295</v>
      </c>
      <c r="W236" s="3102" t="s">
        <v>6797</v>
      </c>
      <c r="X236" s="3102" t="s">
        <v>6798</v>
      </c>
      <c r="Y236" s="3103" t="s">
        <v>164</v>
      </c>
    </row>
    <row r="237" spans="1:25" ht="18" hidden="1">
      <c r="A237" s="1304"/>
      <c r="B237" s="643">
        <v>2221</v>
      </c>
      <c r="C237" s="643" t="s">
        <v>1533</v>
      </c>
      <c r="D237" s="3087">
        <v>2</v>
      </c>
      <c r="E237" s="3088" t="str">
        <f t="shared" si="26"/>
        <v>应交税费</v>
      </c>
      <c r="F237" s="3089" t="s">
        <v>1534</v>
      </c>
      <c r="G237" s="3090">
        <f t="shared" si="27"/>
        <v>507471.64</v>
      </c>
      <c r="H237" s="3091">
        <f t="shared" ca="1" si="32"/>
        <v>0</v>
      </c>
      <c r="I237" s="3093" t="s">
        <v>6803</v>
      </c>
      <c r="J237" s="3072"/>
      <c r="K237" s="3090">
        <f t="shared" si="31"/>
        <v>487153.95</v>
      </c>
      <c r="L237" s="3071">
        <f t="shared" ca="1" si="33"/>
        <v>0</v>
      </c>
      <c r="M237" s="3093" t="s">
        <v>6803</v>
      </c>
      <c r="N237" s="3072"/>
      <c r="O237" s="3099"/>
      <c r="P237" s="3100"/>
      <c r="Q237" s="3100"/>
      <c r="R237" s="3100"/>
      <c r="S237" s="3101" t="s">
        <v>295</v>
      </c>
      <c r="T237" s="3101" t="s">
        <v>213</v>
      </c>
      <c r="U237" s="3102"/>
      <c r="V237" s="3102" t="s">
        <v>295</v>
      </c>
      <c r="W237" s="3102" t="s">
        <v>6797</v>
      </c>
      <c r="X237" s="3102" t="s">
        <v>213</v>
      </c>
      <c r="Y237" s="3103" t="s">
        <v>164</v>
      </c>
    </row>
    <row r="238" spans="1:25" ht="24">
      <c r="A238" s="1304"/>
      <c r="B238" s="643">
        <v>2246</v>
      </c>
      <c r="C238" s="643" t="s">
        <v>1594</v>
      </c>
      <c r="D238" s="3087">
        <v>1</v>
      </c>
      <c r="E238" s="3088" t="str">
        <f t="shared" si="26"/>
        <v>其他应付款（报表项目）</v>
      </c>
      <c r="F238" s="3089" t="s">
        <v>1595</v>
      </c>
      <c r="G238" s="3090">
        <f t="shared" si="27"/>
        <v>1096090.05</v>
      </c>
      <c r="H238" s="3091">
        <f t="shared" ca="1" si="32"/>
        <v>1096090.05</v>
      </c>
      <c r="I238" s="3093">
        <f ca="1">IF(AND(LEN(G238)&gt;0,LEN(H238)&gt;0),ROUND(SUM(G238)-SUM(H238),2),"")</f>
        <v>0</v>
      </c>
      <c r="J238" s="3072" t="str">
        <f ca="1">IF(ISNA(I238),"N/A",IF(I238=0,"√","？"))</f>
        <v>√</v>
      </c>
      <c r="K238" s="3090">
        <f t="shared" si="31"/>
        <v>2070907</v>
      </c>
      <c r="L238" s="3071">
        <f t="shared" ca="1" si="33"/>
        <v>2070907</v>
      </c>
      <c r="M238" s="3093">
        <f ca="1">IF(AND(LEN(K238)&gt;0,LEN(L238)&gt;0),ROUND(SUM(K238)-SUM(L238),2),"")</f>
        <v>0</v>
      </c>
      <c r="N238" s="3072" t="str">
        <f ca="1">IF(ISNA(M238),"N/A",IF(M238=0,"√","？"))</f>
        <v>√</v>
      </c>
      <c r="O238" s="3099"/>
      <c r="P238" s="3100"/>
      <c r="Q238" s="3100"/>
      <c r="R238" s="3100"/>
      <c r="S238" s="3101" t="s">
        <v>295</v>
      </c>
      <c r="T238" s="3101" t="s">
        <v>213</v>
      </c>
      <c r="U238" s="3102"/>
      <c r="V238" s="3102" t="s">
        <v>295</v>
      </c>
      <c r="W238" s="3102" t="s">
        <v>6797</v>
      </c>
      <c r="X238" s="3102" t="s">
        <v>6798</v>
      </c>
      <c r="Y238" s="3103" t="s">
        <v>164</v>
      </c>
    </row>
    <row r="239" spans="1:25" ht="18">
      <c r="A239" s="1304"/>
      <c r="B239" s="643">
        <v>2231</v>
      </c>
      <c r="C239" s="643" t="s">
        <v>1538</v>
      </c>
      <c r="D239" s="3087">
        <v>1</v>
      </c>
      <c r="E239" s="3088" t="str">
        <f t="shared" si="26"/>
        <v>应付利息</v>
      </c>
      <c r="F239" s="3089" t="s">
        <v>1539</v>
      </c>
      <c r="G239" s="3090">
        <f t="shared" si="27"/>
        <v>0</v>
      </c>
      <c r="H239" s="3091">
        <f t="shared" ca="1" si="32"/>
        <v>0</v>
      </c>
      <c r="I239" s="3093">
        <f ca="1">IF(AND(LEN(G239)&gt;0,LEN(H239)&gt;0),ROUND(SUM(G239)-SUM(H239),2),"")</f>
        <v>0</v>
      </c>
      <c r="J239" s="3072" t="str">
        <f ca="1">IF(ISNA(I239),"N/A",IF(I239=0,"√","？"))</f>
        <v>√</v>
      </c>
      <c r="K239" s="3090">
        <f t="shared" si="31"/>
        <v>0</v>
      </c>
      <c r="L239" s="3071">
        <f t="shared" ca="1" si="33"/>
        <v>0</v>
      </c>
      <c r="M239" s="3093">
        <f ca="1">IF(AND(LEN(K239)&gt;0,LEN(L239)&gt;0),ROUND(SUM(K239)-SUM(L239),2),"")</f>
        <v>0</v>
      </c>
      <c r="N239" s="3072" t="str">
        <f ca="1">IF(ISNA(M239),"N/A",IF(M239=0,"√","？"))</f>
        <v>√</v>
      </c>
      <c r="O239" s="3099"/>
      <c r="P239" s="3100"/>
      <c r="Q239" s="3100"/>
      <c r="R239" s="3100"/>
      <c r="S239" s="3101" t="s">
        <v>295</v>
      </c>
      <c r="T239" s="3101" t="s">
        <v>213</v>
      </c>
      <c r="U239" s="3102"/>
      <c r="V239" s="3102" t="s">
        <v>295</v>
      </c>
      <c r="W239" s="3102" t="s">
        <v>6797</v>
      </c>
      <c r="X239" s="3102" t="s">
        <v>6798</v>
      </c>
      <c r="Y239" s="3103" t="s">
        <v>164</v>
      </c>
    </row>
    <row r="240" spans="1:25" ht="24" hidden="1">
      <c r="A240" s="1304"/>
      <c r="B240" s="643">
        <v>2231</v>
      </c>
      <c r="C240" s="643" t="s">
        <v>1543</v>
      </c>
      <c r="D240" s="3087">
        <v>2</v>
      </c>
      <c r="E240" s="3088" t="str">
        <f t="shared" si="26"/>
        <v>应付利息</v>
      </c>
      <c r="F240" s="3089" t="s">
        <v>1544</v>
      </c>
      <c r="G240" s="3090">
        <f t="shared" si="27"/>
        <v>0</v>
      </c>
      <c r="H240" s="3091" t="s">
        <v>6799</v>
      </c>
      <c r="I240" s="3093" t="s">
        <v>6803</v>
      </c>
      <c r="J240" s="3072"/>
      <c r="K240" s="3090">
        <f t="shared" si="31"/>
        <v>0</v>
      </c>
      <c r="L240" s="3071" t="s">
        <v>6799</v>
      </c>
      <c r="M240" s="3093" t="s">
        <v>6803</v>
      </c>
      <c r="N240" s="3072"/>
      <c r="O240" s="3099"/>
      <c r="P240" s="3100"/>
      <c r="Q240" s="3100"/>
      <c r="R240" s="3100"/>
      <c r="S240" s="3101" t="s">
        <v>295</v>
      </c>
      <c r="T240" s="3101" t="s">
        <v>213</v>
      </c>
      <c r="U240" s="3102"/>
      <c r="V240" s="3102" t="s">
        <v>295</v>
      </c>
      <c r="W240" s="3102" t="s">
        <v>6797</v>
      </c>
      <c r="X240" s="3102" t="s">
        <v>6798</v>
      </c>
      <c r="Y240" s="3103" t="s">
        <v>164</v>
      </c>
    </row>
    <row r="241" spans="1:25" ht="18">
      <c r="A241" s="1304"/>
      <c r="B241" s="643">
        <v>2232</v>
      </c>
      <c r="C241" s="643" t="s">
        <v>1549</v>
      </c>
      <c r="D241" s="3087">
        <v>1</v>
      </c>
      <c r="E241" s="3088" t="str">
        <f t="shared" si="26"/>
        <v>应付股利</v>
      </c>
      <c r="F241" s="3089" t="s">
        <v>1550</v>
      </c>
      <c r="G241" s="3090">
        <f t="shared" si="27"/>
        <v>0</v>
      </c>
      <c r="H241" s="3091">
        <f t="shared" ref="H241:H247" ca="1" si="34">INDIRECT("Notes!CheckA"&amp;$C241)</f>
        <v>0</v>
      </c>
      <c r="I241" s="3093">
        <f ca="1">IF(AND(LEN(G241)&gt;0,LEN(H241)&gt;0),ROUND(SUM(G241)-SUM(H241),2),"")</f>
        <v>0</v>
      </c>
      <c r="J241" s="3072" t="str">
        <f ca="1">IF(ISNA(I241),"N/A",IF(I241=0,"√","？"))</f>
        <v>√</v>
      </c>
      <c r="K241" s="3090">
        <f t="shared" si="31"/>
        <v>0</v>
      </c>
      <c r="L241" s="3071">
        <f ca="1">INDIRECT("Notes!CheckB"&amp;$C241)</f>
        <v>0</v>
      </c>
      <c r="M241" s="3093">
        <f ca="1">IF(AND(LEN(K241)&gt;0,LEN(L241)&gt;0),ROUND(SUM(K241)-SUM(L241),2),"")</f>
        <v>0</v>
      </c>
      <c r="N241" s="3072" t="str">
        <f ca="1">IF(ISNA(M241),"N/A",IF(M241=0,"√","？"))</f>
        <v>√</v>
      </c>
      <c r="O241" s="3099"/>
      <c r="P241" s="3100"/>
      <c r="Q241" s="3100"/>
      <c r="R241" s="3100"/>
      <c r="S241" s="3101" t="s">
        <v>295</v>
      </c>
      <c r="T241" s="3101" t="s">
        <v>213</v>
      </c>
      <c r="U241" s="3102"/>
      <c r="V241" s="3102" t="s">
        <v>295</v>
      </c>
      <c r="W241" s="3102" t="s">
        <v>6797</v>
      </c>
      <c r="X241" s="3102" t="s">
        <v>6798</v>
      </c>
      <c r="Y241" s="3103" t="s">
        <v>164</v>
      </c>
    </row>
    <row r="242" spans="1:25" ht="24" hidden="1">
      <c r="A242" s="1304"/>
      <c r="B242" s="643">
        <v>2232</v>
      </c>
      <c r="C242" s="643" t="s">
        <v>1554</v>
      </c>
      <c r="D242" s="3087">
        <v>2</v>
      </c>
      <c r="E242" s="3088" t="str">
        <f t="shared" si="26"/>
        <v>应付股利</v>
      </c>
      <c r="F242" s="3089" t="s">
        <v>1555</v>
      </c>
      <c r="G242" s="3090">
        <f t="shared" si="27"/>
        <v>0</v>
      </c>
      <c r="H242" s="3091">
        <f t="shared" ca="1" si="34"/>
        <v>0</v>
      </c>
      <c r="I242" s="3093" t="s">
        <v>6803</v>
      </c>
      <c r="J242" s="3072"/>
      <c r="K242" s="3090">
        <f t="shared" si="31"/>
        <v>0</v>
      </c>
      <c r="L242" s="3071" t="s">
        <v>6799</v>
      </c>
      <c r="M242" s="3093" t="s">
        <v>6803</v>
      </c>
      <c r="N242" s="3072"/>
      <c r="O242" s="3099"/>
      <c r="P242" s="3100"/>
      <c r="Q242" s="3100"/>
      <c r="R242" s="3100"/>
      <c r="S242" s="3101" t="s">
        <v>295</v>
      </c>
      <c r="T242" s="3101" t="s">
        <v>213</v>
      </c>
      <c r="U242" s="3102"/>
      <c r="V242" s="3102" t="s">
        <v>295</v>
      </c>
      <c r="W242" s="3102" t="s">
        <v>6797</v>
      </c>
      <c r="X242" s="3102" t="s">
        <v>6798</v>
      </c>
      <c r="Y242" s="3103" t="s">
        <v>164</v>
      </c>
    </row>
    <row r="243" spans="1:25" ht="24">
      <c r="A243" s="1304"/>
      <c r="B243" s="643">
        <v>2241</v>
      </c>
      <c r="C243" s="643" t="s">
        <v>1559</v>
      </c>
      <c r="D243" s="3087">
        <v>1</v>
      </c>
      <c r="E243" s="3088" t="str">
        <f t="shared" si="26"/>
        <v>其他应付款</v>
      </c>
      <c r="F243" s="3089" t="s">
        <v>1560</v>
      </c>
      <c r="G243" s="3090">
        <f t="shared" si="27"/>
        <v>1096090.05</v>
      </c>
      <c r="H243" s="3091">
        <f t="shared" ca="1" si="34"/>
        <v>1096090.05</v>
      </c>
      <c r="I243" s="3093">
        <f ca="1">IF(AND(LEN(G243)&gt;0,LEN(H243)&gt;0),ROUND(SUM(G243)-SUM(H243),2),"")</f>
        <v>0</v>
      </c>
      <c r="J243" s="3072" t="str">
        <f ca="1">IF(ISNA(I243),"N/A",IF(I243=0,"√","？"))</f>
        <v>√</v>
      </c>
      <c r="K243" s="3090">
        <f t="shared" si="31"/>
        <v>2070907</v>
      </c>
      <c r="L243" s="3071">
        <f ca="1">INDIRECT("Notes!CheckB"&amp;$C243)</f>
        <v>2070907</v>
      </c>
      <c r="M243" s="3093">
        <f ca="1">IF(AND(LEN(K243)&gt;0,LEN(L243)&gt;0),ROUND(SUM(K243)-SUM(L243),2),"")</f>
        <v>0</v>
      </c>
      <c r="N243" s="3072" t="str">
        <f ca="1">IF(ISNA(M243),"N/A",IF(M243=0,"√","？"))</f>
        <v>√</v>
      </c>
      <c r="O243" s="3099"/>
      <c r="P243" s="3100"/>
      <c r="Q243" s="3100"/>
      <c r="R243" s="3100"/>
      <c r="S243" s="3101" t="s">
        <v>295</v>
      </c>
      <c r="T243" s="3101" t="s">
        <v>213</v>
      </c>
      <c r="U243" s="3102"/>
      <c r="V243" s="3102" t="s">
        <v>295</v>
      </c>
      <c r="W243" s="3102" t="s">
        <v>6797</v>
      </c>
      <c r="X243" s="3102" t="s">
        <v>6798</v>
      </c>
      <c r="Y243" s="3103" t="s">
        <v>164</v>
      </c>
    </row>
    <row r="244" spans="1:25" ht="18">
      <c r="A244" s="1304"/>
      <c r="B244" s="643">
        <v>2241</v>
      </c>
      <c r="C244" s="643" t="s">
        <v>1569</v>
      </c>
      <c r="D244" s="3087">
        <v>1</v>
      </c>
      <c r="E244" s="3088" t="str">
        <f t="shared" si="26"/>
        <v>其他应付款</v>
      </c>
      <c r="F244" s="3089" t="s">
        <v>1570</v>
      </c>
      <c r="G244" s="3090">
        <f t="shared" si="27"/>
        <v>1096090.05</v>
      </c>
      <c r="H244" s="3091">
        <f t="shared" ca="1" si="34"/>
        <v>0</v>
      </c>
      <c r="I244" s="3093">
        <f ca="1">IF(AND(LEN(G244)&gt;0,LEN(H244)&gt;0),ROUND(SUM(G244)-SUM(H244),2),"")</f>
        <v>1096090.05</v>
      </c>
      <c r="J244" s="3072" t="str">
        <f ca="1">IF(ISNA(I244),"N/A",IF(I244=0,"√","？"))</f>
        <v>？</v>
      </c>
      <c r="K244" s="3090">
        <f t="shared" si="31"/>
        <v>2070907</v>
      </c>
      <c r="L244" s="3071">
        <f ca="1">INDIRECT("Notes!CheckB"&amp;$C244)</f>
        <v>0</v>
      </c>
      <c r="M244" s="3093">
        <f ca="1">IF(AND(LEN(K244)&gt;0,LEN(L244)&gt;0),ROUND(SUM(K244)-SUM(L244),2),"")</f>
        <v>2070907</v>
      </c>
      <c r="N244" s="3072" t="str">
        <f ca="1">IF(ISNA(M244),"N/A",IF(M244=0,"√","？"))</f>
        <v>？</v>
      </c>
      <c r="O244" s="3099"/>
      <c r="P244" s="3100"/>
      <c r="Q244" s="3100"/>
      <c r="R244" s="3100"/>
      <c r="S244" s="3101" t="s">
        <v>295</v>
      </c>
      <c r="T244" s="3101" t="s">
        <v>213</v>
      </c>
      <c r="U244" s="3102"/>
      <c r="V244" s="3102" t="s">
        <v>295</v>
      </c>
      <c r="W244" s="3102" t="s">
        <v>6797</v>
      </c>
      <c r="X244" s="3102" t="s">
        <v>213</v>
      </c>
      <c r="Y244" s="3103" t="s">
        <v>164</v>
      </c>
    </row>
    <row r="245" spans="1:25" ht="24" hidden="1">
      <c r="A245" s="1304"/>
      <c r="B245" s="643">
        <v>2241</v>
      </c>
      <c r="C245" s="643" t="s">
        <v>1564</v>
      </c>
      <c r="D245" s="3087">
        <v>2</v>
      </c>
      <c r="E245" s="3088" t="str">
        <f t="shared" si="26"/>
        <v>其他应付款</v>
      </c>
      <c r="F245" s="3089" t="s">
        <v>1565</v>
      </c>
      <c r="G245" s="3090">
        <f t="shared" si="27"/>
        <v>1096090.05</v>
      </c>
      <c r="H245" s="3091">
        <f t="shared" ca="1" si="34"/>
        <v>0</v>
      </c>
      <c r="I245" s="3093" t="s">
        <v>6803</v>
      </c>
      <c r="J245" s="3072"/>
      <c r="K245" s="3090">
        <f t="shared" si="31"/>
        <v>2070907</v>
      </c>
      <c r="L245" s="3071" t="s">
        <v>6799</v>
      </c>
      <c r="M245" s="3093" t="s">
        <v>6803</v>
      </c>
      <c r="N245" s="3072"/>
      <c r="O245" s="3099"/>
      <c r="P245" s="3100"/>
      <c r="Q245" s="3100"/>
      <c r="R245" s="3100"/>
      <c r="S245" s="3101" t="s">
        <v>295</v>
      </c>
      <c r="T245" s="3101" t="s">
        <v>213</v>
      </c>
      <c r="U245" s="3102"/>
      <c r="V245" s="3102" t="s">
        <v>295</v>
      </c>
      <c r="W245" s="3102" t="s">
        <v>6797</v>
      </c>
      <c r="X245" s="3102" t="s">
        <v>6798</v>
      </c>
      <c r="Y245" s="3103" t="s">
        <v>164</v>
      </c>
    </row>
    <row r="246" spans="1:25" ht="24" hidden="1">
      <c r="A246" s="1304"/>
      <c r="B246" s="643">
        <v>2241</v>
      </c>
      <c r="C246" s="643" t="s">
        <v>1579</v>
      </c>
      <c r="D246" s="3087">
        <v>2</v>
      </c>
      <c r="E246" s="3088" t="str">
        <f t="shared" si="26"/>
        <v>其他应付款</v>
      </c>
      <c r="F246" s="3089" t="s">
        <v>1580</v>
      </c>
      <c r="G246" s="3090">
        <f t="shared" si="27"/>
        <v>1096090.05</v>
      </c>
      <c r="H246" s="3091">
        <f t="shared" ca="1" si="34"/>
        <v>0</v>
      </c>
      <c r="I246" s="3093" t="s">
        <v>6803</v>
      </c>
      <c r="J246" s="3072"/>
      <c r="K246" s="3090">
        <f t="shared" si="31"/>
        <v>2070907</v>
      </c>
      <c r="L246" s="3071" t="s">
        <v>6799</v>
      </c>
      <c r="M246" s="3093" t="s">
        <v>6803</v>
      </c>
      <c r="N246" s="3072"/>
      <c r="O246" s="3099"/>
      <c r="P246" s="3100"/>
      <c r="Q246" s="3100"/>
      <c r="R246" s="3100"/>
      <c r="S246" s="3101" t="s">
        <v>295</v>
      </c>
      <c r="T246" s="3101" t="s">
        <v>213</v>
      </c>
      <c r="U246" s="3102"/>
      <c r="V246" s="3102" t="s">
        <v>295</v>
      </c>
      <c r="W246" s="3102" t="s">
        <v>6797</v>
      </c>
      <c r="X246" s="3102" t="s">
        <v>213</v>
      </c>
      <c r="Y246" s="3103" t="s">
        <v>164</v>
      </c>
    </row>
    <row r="247" spans="1:25" ht="18" hidden="1">
      <c r="A247" s="1304"/>
      <c r="B247" s="643">
        <v>2241</v>
      </c>
      <c r="C247" s="643" t="s">
        <v>1584</v>
      </c>
      <c r="D247" s="3087">
        <v>2</v>
      </c>
      <c r="E247" s="3088" t="str">
        <f t="shared" si="26"/>
        <v>其他应付款</v>
      </c>
      <c r="F247" s="3089" t="s">
        <v>1585</v>
      </c>
      <c r="G247" s="3090">
        <f t="shared" si="27"/>
        <v>1096090.05</v>
      </c>
      <c r="H247" s="3091">
        <f t="shared" ca="1" si="34"/>
        <v>0</v>
      </c>
      <c r="I247" s="3093" t="s">
        <v>6803</v>
      </c>
      <c r="J247" s="3072"/>
      <c r="K247" s="3090">
        <f t="shared" si="31"/>
        <v>2070907</v>
      </c>
      <c r="L247" s="3071" t="s">
        <v>6799</v>
      </c>
      <c r="M247" s="3093" t="s">
        <v>6803</v>
      </c>
      <c r="N247" s="3072"/>
      <c r="O247" s="3099"/>
      <c r="P247" s="3100"/>
      <c r="Q247" s="3100"/>
      <c r="R247" s="3100"/>
      <c r="S247" s="3101" t="s">
        <v>295</v>
      </c>
      <c r="T247" s="3101" t="s">
        <v>213</v>
      </c>
      <c r="U247" s="3102"/>
      <c r="V247" s="3102" t="s">
        <v>295</v>
      </c>
      <c r="W247" s="3102" t="s">
        <v>6797</v>
      </c>
      <c r="X247" s="3102" t="s">
        <v>213</v>
      </c>
      <c r="Y247" s="3103" t="s">
        <v>164</v>
      </c>
    </row>
    <row r="248" spans="1:25" ht="24" hidden="1">
      <c r="A248" s="1304"/>
      <c r="B248" s="643">
        <v>2241</v>
      </c>
      <c r="C248" s="643" t="s">
        <v>1574</v>
      </c>
      <c r="D248" s="3087">
        <v>2</v>
      </c>
      <c r="E248" s="3088" t="str">
        <f t="shared" si="26"/>
        <v>其他应付款</v>
      </c>
      <c r="F248" s="3089" t="s">
        <v>1575</v>
      </c>
      <c r="G248" s="3090">
        <f t="shared" si="27"/>
        <v>1096090.05</v>
      </c>
      <c r="H248" s="3091" t="s">
        <v>6799</v>
      </c>
      <c r="I248" s="3093" t="s">
        <v>6803</v>
      </c>
      <c r="J248" s="3072"/>
      <c r="K248" s="3090">
        <f t="shared" si="31"/>
        <v>2070907</v>
      </c>
      <c r="L248" s="3071" t="s">
        <v>6799</v>
      </c>
      <c r="M248" s="3093" t="s">
        <v>6803</v>
      </c>
      <c r="N248" s="3072"/>
      <c r="O248" s="3099"/>
      <c r="P248" s="3100"/>
      <c r="Q248" s="3100"/>
      <c r="R248" s="3100"/>
      <c r="S248" s="3101" t="s">
        <v>295</v>
      </c>
      <c r="T248" s="3101" t="s">
        <v>213</v>
      </c>
      <c r="U248" s="3102"/>
      <c r="V248" s="3102" t="s">
        <v>295</v>
      </c>
      <c r="W248" s="3102" t="s">
        <v>6797</v>
      </c>
      <c r="X248" s="3102" t="s">
        <v>213</v>
      </c>
      <c r="Y248" s="3103" t="s">
        <v>164</v>
      </c>
    </row>
    <row r="249" spans="1:25" ht="18" hidden="1">
      <c r="A249" s="1304"/>
      <c r="B249" s="643">
        <v>2241</v>
      </c>
      <c r="C249" s="643" t="s">
        <v>1589</v>
      </c>
      <c r="D249" s="3087">
        <v>2</v>
      </c>
      <c r="E249" s="3088" t="str">
        <f t="shared" si="26"/>
        <v>其他应付款</v>
      </c>
      <c r="F249" s="3089" t="s">
        <v>1590</v>
      </c>
      <c r="G249" s="3090">
        <f t="shared" si="27"/>
        <v>1096090.05</v>
      </c>
      <c r="H249" s="3091">
        <f t="shared" ref="H249:H272" ca="1" si="35">INDIRECT("Notes!CheckA"&amp;$C249)</f>
        <v>0</v>
      </c>
      <c r="I249" s="3093" t="s">
        <v>6803</v>
      </c>
      <c r="J249" s="3072"/>
      <c r="K249" s="3090">
        <f t="shared" si="31"/>
        <v>2070907</v>
      </c>
      <c r="L249" s="3071" t="s">
        <v>6799</v>
      </c>
      <c r="M249" s="3093" t="s">
        <v>6803</v>
      </c>
      <c r="N249" s="3072"/>
      <c r="O249" s="3099"/>
      <c r="P249" s="3100"/>
      <c r="Q249" s="3100"/>
      <c r="R249" s="3100"/>
      <c r="S249" s="3101" t="s">
        <v>295</v>
      </c>
      <c r="T249" s="3101" t="s">
        <v>213</v>
      </c>
      <c r="U249" s="3102"/>
      <c r="V249" s="3102" t="s">
        <v>295</v>
      </c>
      <c r="W249" s="3102" t="s">
        <v>6797</v>
      </c>
      <c r="X249" s="3102" t="s">
        <v>213</v>
      </c>
      <c r="Y249" s="3103" t="s">
        <v>164</v>
      </c>
    </row>
    <row r="250" spans="1:25" ht="18">
      <c r="A250" s="1304"/>
      <c r="B250" s="643">
        <v>2315</v>
      </c>
      <c r="C250" s="643" t="s">
        <v>1599</v>
      </c>
      <c r="D250" s="3087">
        <v>1</v>
      </c>
      <c r="E250" s="3088" t="str">
        <f t="shared" si="26"/>
        <v>持有待售负债</v>
      </c>
      <c r="F250" s="3089" t="s">
        <v>6449</v>
      </c>
      <c r="G250" s="3090">
        <f t="shared" si="27"/>
        <v>0</v>
      </c>
      <c r="H250" s="3091">
        <f t="shared" ca="1" si="35"/>
        <v>0</v>
      </c>
      <c r="I250" s="3093">
        <f ca="1">IF(AND(LEN(G250)&gt;0,LEN(H250)&gt;0),ROUND(SUM(G250)-SUM(H250),2),"")</f>
        <v>0</v>
      </c>
      <c r="J250" s="3072" t="str">
        <f ca="1">IF(ISNA(I250),"N/A",IF(I250=0,"√","？"))</f>
        <v>√</v>
      </c>
      <c r="K250" s="3090">
        <f t="shared" si="31"/>
        <v>0</v>
      </c>
      <c r="L250" s="3071">
        <f t="shared" ref="L250:L257" ca="1" si="36">INDIRECT("Notes!CheckB"&amp;$C250)</f>
        <v>0</v>
      </c>
      <c r="M250" s="3093">
        <f ca="1">IF(AND(LEN(K250)&gt;0,LEN(L250)&gt;0),ROUND(SUM(K250)-SUM(L250),2),"")</f>
        <v>0</v>
      </c>
      <c r="N250" s="3072" t="str">
        <f ca="1">IF(ISNA(M250),"N/A",IF(M250=0,"√","？"))</f>
        <v>√</v>
      </c>
      <c r="O250" s="3099"/>
      <c r="P250" s="3100"/>
      <c r="Q250" s="3100"/>
      <c r="R250" s="3100"/>
      <c r="S250" s="3101" t="s">
        <v>295</v>
      </c>
      <c r="T250" s="3101" t="s">
        <v>213</v>
      </c>
      <c r="U250" s="3102"/>
      <c r="V250" s="3102" t="s">
        <v>295</v>
      </c>
      <c r="W250" s="3102" t="s">
        <v>6797</v>
      </c>
      <c r="X250" s="3102" t="s">
        <v>6798</v>
      </c>
      <c r="Y250" s="3103" t="s">
        <v>164</v>
      </c>
    </row>
    <row r="251" spans="1:25" ht="24">
      <c r="A251" s="1304"/>
      <c r="B251" s="643">
        <v>2395</v>
      </c>
      <c r="C251" s="643" t="s">
        <v>1603</v>
      </c>
      <c r="D251" s="3087">
        <v>1</v>
      </c>
      <c r="E251" s="3088" t="str">
        <f t="shared" si="26"/>
        <v>一年内到期的非流动负债</v>
      </c>
      <c r="F251" s="3089" t="s">
        <v>1604</v>
      </c>
      <c r="G251" s="3090">
        <f t="shared" si="27"/>
        <v>0</v>
      </c>
      <c r="H251" s="3091">
        <f t="shared" ca="1" si="35"/>
        <v>0</v>
      </c>
      <c r="I251" s="3093">
        <f ca="1">IF(AND(LEN(G251)&gt;0,LEN(H251)&gt;0),ROUND(SUM(G251)-SUM(H251),2),"")</f>
        <v>0</v>
      </c>
      <c r="J251" s="3072" t="str">
        <f ca="1">IF(ISNA(I251),"N/A",IF(I251=0,"√","？"))</f>
        <v>√</v>
      </c>
      <c r="K251" s="3090">
        <f t="shared" si="31"/>
        <v>0</v>
      </c>
      <c r="L251" s="3071">
        <f t="shared" ca="1" si="36"/>
        <v>0</v>
      </c>
      <c r="M251" s="3093">
        <f ca="1">IF(AND(LEN(K251)&gt;0,LEN(L251)&gt;0),ROUND(SUM(K251)-SUM(L251),2),"")</f>
        <v>0</v>
      </c>
      <c r="N251" s="3072" t="str">
        <f ca="1">IF(ISNA(M251),"N/A",IF(M251=0,"√","？"))</f>
        <v>√</v>
      </c>
      <c r="O251" s="3099"/>
      <c r="P251" s="3100"/>
      <c r="Q251" s="3100"/>
      <c r="R251" s="3100"/>
      <c r="S251" s="3101" t="s">
        <v>295</v>
      </c>
      <c r="T251" s="3101" t="s">
        <v>213</v>
      </c>
      <c r="U251" s="3102"/>
      <c r="V251" s="3102" t="s">
        <v>295</v>
      </c>
      <c r="W251" s="3102" t="s">
        <v>6797</v>
      </c>
      <c r="X251" s="3102" t="s">
        <v>6798</v>
      </c>
      <c r="Y251" s="3103" t="s">
        <v>164</v>
      </c>
    </row>
    <row r="252" spans="1:25" ht="24" hidden="1">
      <c r="A252" s="1304"/>
      <c r="B252" s="643">
        <v>2395</v>
      </c>
      <c r="C252" s="643" t="s">
        <v>1608</v>
      </c>
      <c r="D252" s="3087">
        <v>2</v>
      </c>
      <c r="E252" s="3088" t="str">
        <f t="shared" si="26"/>
        <v>一年内到期的非流动负债</v>
      </c>
      <c r="F252" s="3089" t="s">
        <v>6450</v>
      </c>
      <c r="G252" s="3090">
        <f t="shared" si="27"/>
        <v>0</v>
      </c>
      <c r="H252" s="3091">
        <f t="shared" ca="1" si="35"/>
        <v>0</v>
      </c>
      <c r="I252" s="3093" t="s">
        <v>6803</v>
      </c>
      <c r="J252" s="3072"/>
      <c r="K252" s="3090">
        <f t="shared" si="31"/>
        <v>0</v>
      </c>
      <c r="L252" s="3071">
        <f t="shared" ca="1" si="36"/>
        <v>0</v>
      </c>
      <c r="M252" s="3093" t="s">
        <v>6803</v>
      </c>
      <c r="N252" s="3072"/>
      <c r="O252" s="3099"/>
      <c r="P252" s="3100"/>
      <c r="Q252" s="3100"/>
      <c r="R252" s="3100"/>
      <c r="S252" s="3101" t="s">
        <v>295</v>
      </c>
      <c r="T252" s="3101" t="s">
        <v>213</v>
      </c>
      <c r="U252" s="3102"/>
      <c r="V252" s="3102" t="s">
        <v>295</v>
      </c>
      <c r="W252" s="3102" t="s">
        <v>145</v>
      </c>
      <c r="X252" s="3102" t="s">
        <v>213</v>
      </c>
      <c r="Y252" s="3103" t="s">
        <v>164</v>
      </c>
    </row>
    <row r="253" spans="1:25" ht="24" hidden="1">
      <c r="A253" s="1304"/>
      <c r="B253" s="643">
        <v>2395</v>
      </c>
      <c r="C253" s="643" t="s">
        <v>1612</v>
      </c>
      <c r="D253" s="3087">
        <v>2</v>
      </c>
      <c r="E253" s="3088" t="str">
        <f t="shared" si="26"/>
        <v>一年内到期的非流动负债</v>
      </c>
      <c r="F253" s="3089" t="s">
        <v>6451</v>
      </c>
      <c r="G253" s="3090">
        <f t="shared" si="27"/>
        <v>0</v>
      </c>
      <c r="H253" s="3091">
        <f t="shared" ca="1" si="35"/>
        <v>0</v>
      </c>
      <c r="I253" s="3093" t="s">
        <v>6803</v>
      </c>
      <c r="J253" s="3072"/>
      <c r="K253" s="3090">
        <f t="shared" si="31"/>
        <v>0</v>
      </c>
      <c r="L253" s="3071">
        <f t="shared" ca="1" si="36"/>
        <v>0</v>
      </c>
      <c r="M253" s="3093" t="s">
        <v>6803</v>
      </c>
      <c r="N253" s="3072"/>
      <c r="O253" s="3099"/>
      <c r="P253" s="3100"/>
      <c r="Q253" s="3100"/>
      <c r="R253" s="3100"/>
      <c r="S253" s="3101" t="s">
        <v>295</v>
      </c>
      <c r="T253" s="3101" t="s">
        <v>213</v>
      </c>
      <c r="U253" s="3102"/>
      <c r="V253" s="3102" t="s">
        <v>295</v>
      </c>
      <c r="W253" s="3102" t="s">
        <v>145</v>
      </c>
      <c r="X253" s="3102" t="s">
        <v>213</v>
      </c>
      <c r="Y253" s="3103" t="s">
        <v>164</v>
      </c>
    </row>
    <row r="254" spans="1:25" ht="24" hidden="1">
      <c r="A254" s="1304"/>
      <c r="B254" s="643">
        <v>2395</v>
      </c>
      <c r="C254" s="643" t="s">
        <v>1617</v>
      </c>
      <c r="D254" s="3087">
        <v>2</v>
      </c>
      <c r="E254" s="3088" t="str">
        <f t="shared" si="26"/>
        <v>一年内到期的非流动负债</v>
      </c>
      <c r="F254" s="3089" t="s">
        <v>6452</v>
      </c>
      <c r="G254" s="3090">
        <f t="shared" si="27"/>
        <v>0</v>
      </c>
      <c r="H254" s="3091">
        <f t="shared" ca="1" si="35"/>
        <v>0</v>
      </c>
      <c r="I254" s="3093" t="s">
        <v>6803</v>
      </c>
      <c r="J254" s="3072"/>
      <c r="K254" s="3090">
        <f t="shared" si="31"/>
        <v>0</v>
      </c>
      <c r="L254" s="3071">
        <f t="shared" ca="1" si="36"/>
        <v>0</v>
      </c>
      <c r="M254" s="3093" t="s">
        <v>6803</v>
      </c>
      <c r="N254" s="3072"/>
      <c r="O254" s="3099"/>
      <c r="P254" s="3100"/>
      <c r="Q254" s="3100"/>
      <c r="R254" s="3100"/>
      <c r="S254" s="3101" t="s">
        <v>295</v>
      </c>
      <c r="T254" s="3101" t="s">
        <v>213</v>
      </c>
      <c r="U254" s="3102"/>
      <c r="V254" s="3102" t="s">
        <v>295</v>
      </c>
      <c r="W254" s="3102" t="s">
        <v>145</v>
      </c>
      <c r="X254" s="3102" t="s">
        <v>213</v>
      </c>
      <c r="Y254" s="3103" t="s">
        <v>164</v>
      </c>
    </row>
    <row r="255" spans="1:25" ht="18">
      <c r="A255" s="1304"/>
      <c r="B255" s="643">
        <v>2396</v>
      </c>
      <c r="C255" s="643" t="s">
        <v>1621</v>
      </c>
      <c r="D255" s="3087">
        <v>1</v>
      </c>
      <c r="E255" s="3088" t="str">
        <f t="shared" si="26"/>
        <v>其他流动负债</v>
      </c>
      <c r="F255" s="3089" t="s">
        <v>1622</v>
      </c>
      <c r="G255" s="3090">
        <f t="shared" si="27"/>
        <v>0</v>
      </c>
      <c r="H255" s="3091">
        <f t="shared" ca="1" si="35"/>
        <v>0</v>
      </c>
      <c r="I255" s="3093">
        <f ca="1">IF(AND(LEN(G255)&gt;0,LEN(H255)&gt;0),ROUND(SUM(G255)-SUM(H255),2),"")</f>
        <v>0</v>
      </c>
      <c r="J255" s="3072" t="str">
        <f ca="1">IF(ISNA(I255),"N/A",IF(I255=0,"√","？"))</f>
        <v>√</v>
      </c>
      <c r="K255" s="3090">
        <f t="shared" si="31"/>
        <v>0</v>
      </c>
      <c r="L255" s="3071">
        <f t="shared" ca="1" si="36"/>
        <v>0</v>
      </c>
      <c r="M255" s="3093">
        <f ca="1">IF(AND(LEN(K255)&gt;0,LEN(L255)&gt;0),ROUND(SUM(K255)-SUM(L255),2),"")</f>
        <v>0</v>
      </c>
      <c r="N255" s="3072" t="str">
        <f ca="1">IF(ISNA(M255),"N/A",IF(M255=0,"√","？"))</f>
        <v>√</v>
      </c>
      <c r="O255" s="3099"/>
      <c r="P255" s="3100"/>
      <c r="Q255" s="3100"/>
      <c r="R255" s="3100"/>
      <c r="S255" s="3101" t="s">
        <v>295</v>
      </c>
      <c r="T255" s="3101" t="s">
        <v>213</v>
      </c>
      <c r="U255" s="3102"/>
      <c r="V255" s="3102" t="s">
        <v>295</v>
      </c>
      <c r="W255" s="3102" t="s">
        <v>6797</v>
      </c>
      <c r="X255" s="3102" t="s">
        <v>6798</v>
      </c>
      <c r="Y255" s="3103" t="s">
        <v>164</v>
      </c>
    </row>
    <row r="256" spans="1:25" ht="24" hidden="1">
      <c r="A256" s="1304"/>
      <c r="B256" s="643">
        <v>2396</v>
      </c>
      <c r="C256" s="643" t="s">
        <v>1626</v>
      </c>
      <c r="D256" s="3087">
        <v>2</v>
      </c>
      <c r="E256" s="3088" t="str">
        <f t="shared" si="26"/>
        <v>其他流动负债</v>
      </c>
      <c r="F256" s="3089" t="s">
        <v>6453</v>
      </c>
      <c r="G256" s="3090">
        <f t="shared" si="27"/>
        <v>0</v>
      </c>
      <c r="H256" s="3091">
        <f t="shared" ca="1" si="35"/>
        <v>0</v>
      </c>
      <c r="I256" s="3093" t="s">
        <v>6803</v>
      </c>
      <c r="J256" s="3072"/>
      <c r="K256" s="3090">
        <f t="shared" si="31"/>
        <v>0</v>
      </c>
      <c r="L256" s="3071">
        <f t="shared" ca="1" si="36"/>
        <v>0</v>
      </c>
      <c r="M256" s="3093" t="s">
        <v>6803</v>
      </c>
      <c r="N256" s="3072"/>
      <c r="O256" s="3099"/>
      <c r="P256" s="3100"/>
      <c r="Q256" s="3100"/>
      <c r="R256" s="3100"/>
      <c r="S256" s="3101" t="s">
        <v>295</v>
      </c>
      <c r="T256" s="3101" t="s">
        <v>213</v>
      </c>
      <c r="U256" s="3102"/>
      <c r="V256" s="3102" t="s">
        <v>295</v>
      </c>
      <c r="W256" s="3102" t="s">
        <v>6797</v>
      </c>
      <c r="X256" s="3102" t="s">
        <v>6798</v>
      </c>
      <c r="Y256" s="3103" t="s">
        <v>164</v>
      </c>
    </row>
    <row r="257" spans="1:25" ht="18">
      <c r="A257" s="1304"/>
      <c r="B257" s="643">
        <v>2501</v>
      </c>
      <c r="C257" s="643" t="s">
        <v>1637</v>
      </c>
      <c r="D257" s="3087">
        <v>1</v>
      </c>
      <c r="E257" s="3088" t="str">
        <f t="shared" si="26"/>
        <v>长期借款</v>
      </c>
      <c r="F257" s="3089" t="s">
        <v>1638</v>
      </c>
      <c r="G257" s="3090">
        <f t="shared" si="27"/>
        <v>0</v>
      </c>
      <c r="H257" s="3091">
        <f t="shared" ca="1" si="35"/>
        <v>0</v>
      </c>
      <c r="I257" s="3093">
        <f ca="1">IF(AND(LEN(G257)&gt;0,LEN(H257)&gt;0),ROUND(SUM(G257)-SUM(H257),2),"")</f>
        <v>0</v>
      </c>
      <c r="J257" s="3072" t="str">
        <f ca="1">IF(ISNA(I257),"N/A",IF(I257=0,"√","？"))</f>
        <v>√</v>
      </c>
      <c r="K257" s="3090">
        <f t="shared" si="31"/>
        <v>0</v>
      </c>
      <c r="L257" s="3071">
        <f t="shared" ca="1" si="36"/>
        <v>0</v>
      </c>
      <c r="M257" s="3093">
        <f ca="1">IF(AND(LEN(K257)&gt;0,LEN(L257)&gt;0),ROUND(SUM(K257)-SUM(L257),2),"")</f>
        <v>0</v>
      </c>
      <c r="N257" s="3072" t="str">
        <f ca="1">IF(ISNA(M257),"N/A",IF(M257=0,"√","？"))</f>
        <v>√</v>
      </c>
      <c r="O257" s="3099"/>
      <c r="P257" s="3100"/>
      <c r="Q257" s="3100"/>
      <c r="R257" s="3100"/>
      <c r="S257" s="3101" t="s">
        <v>295</v>
      </c>
      <c r="T257" s="3101" t="s">
        <v>213</v>
      </c>
      <c r="U257" s="3102"/>
      <c r="V257" s="3102" t="s">
        <v>295</v>
      </c>
      <c r="W257" s="3102" t="s">
        <v>6797</v>
      </c>
      <c r="X257" s="3102" t="s">
        <v>6798</v>
      </c>
      <c r="Y257" s="3103" t="s">
        <v>164</v>
      </c>
    </row>
    <row r="258" spans="1:25" ht="24" hidden="1">
      <c r="A258" s="1304"/>
      <c r="B258" s="643">
        <v>2501</v>
      </c>
      <c r="C258" s="643" t="s">
        <v>1642</v>
      </c>
      <c r="D258" s="3087">
        <v>2</v>
      </c>
      <c r="E258" s="3088" t="str">
        <f t="shared" si="26"/>
        <v>长期借款</v>
      </c>
      <c r="F258" s="3089" t="s">
        <v>1643</v>
      </c>
      <c r="G258" s="3090">
        <f t="shared" si="27"/>
        <v>0</v>
      </c>
      <c r="H258" s="3091">
        <f t="shared" ca="1" si="35"/>
        <v>0</v>
      </c>
      <c r="I258" s="3093" t="s">
        <v>6803</v>
      </c>
      <c r="J258" s="3072"/>
      <c r="K258" s="3090">
        <f t="shared" si="31"/>
        <v>0</v>
      </c>
      <c r="L258" s="3071" t="s">
        <v>6799</v>
      </c>
      <c r="M258" s="3093" t="s">
        <v>6803</v>
      </c>
      <c r="N258" s="3072"/>
      <c r="O258" s="3099"/>
      <c r="P258" s="3100"/>
      <c r="Q258" s="3100"/>
      <c r="R258" s="3100"/>
      <c r="S258" s="3101" t="s">
        <v>295</v>
      </c>
      <c r="T258" s="3101" t="s">
        <v>213</v>
      </c>
      <c r="U258" s="3102"/>
      <c r="V258" s="3102" t="s">
        <v>295</v>
      </c>
      <c r="W258" s="3102" t="s">
        <v>6797</v>
      </c>
      <c r="X258" s="3102" t="s">
        <v>213</v>
      </c>
      <c r="Y258" s="3103" t="s">
        <v>164</v>
      </c>
    </row>
    <row r="259" spans="1:25" ht="24" hidden="1">
      <c r="A259" s="1304"/>
      <c r="B259" s="643">
        <v>2501</v>
      </c>
      <c r="C259" s="643" t="s">
        <v>1647</v>
      </c>
      <c r="D259" s="3087">
        <v>2</v>
      </c>
      <c r="E259" s="3088" t="str">
        <f t="shared" si="26"/>
        <v>长期借款</v>
      </c>
      <c r="F259" s="3089" t="s">
        <v>1648</v>
      </c>
      <c r="G259" s="3090">
        <f t="shared" si="27"/>
        <v>0</v>
      </c>
      <c r="H259" s="3091">
        <f t="shared" ca="1" si="35"/>
        <v>0</v>
      </c>
      <c r="I259" s="3093" t="s">
        <v>6803</v>
      </c>
      <c r="J259" s="3072"/>
      <c r="K259" s="3090">
        <f t="shared" si="31"/>
        <v>0</v>
      </c>
      <c r="L259" s="3071" t="s">
        <v>6799</v>
      </c>
      <c r="M259" s="3093" t="s">
        <v>6803</v>
      </c>
      <c r="N259" s="3072"/>
      <c r="O259" s="3099"/>
      <c r="P259" s="3100"/>
      <c r="Q259" s="3100"/>
      <c r="R259" s="3100"/>
      <c r="S259" s="3101" t="s">
        <v>295</v>
      </c>
      <c r="T259" s="3101" t="s">
        <v>213</v>
      </c>
      <c r="U259" s="3102"/>
      <c r="V259" s="3102" t="s">
        <v>295</v>
      </c>
      <c r="W259" s="3102" t="s">
        <v>6797</v>
      </c>
      <c r="X259" s="3102" t="s">
        <v>213</v>
      </c>
      <c r="Y259" s="3103" t="s">
        <v>164</v>
      </c>
    </row>
    <row r="260" spans="1:25" ht="24" hidden="1">
      <c r="A260" s="1304"/>
      <c r="B260" s="643">
        <v>2501</v>
      </c>
      <c r="C260" s="643" t="s">
        <v>1652</v>
      </c>
      <c r="D260" s="3087">
        <v>2</v>
      </c>
      <c r="E260" s="3088" t="str">
        <f t="shared" si="26"/>
        <v>长期借款</v>
      </c>
      <c r="F260" s="3089" t="s">
        <v>1653</v>
      </c>
      <c r="G260" s="3090">
        <f t="shared" si="27"/>
        <v>0</v>
      </c>
      <c r="H260" s="3091">
        <f t="shared" ca="1" si="35"/>
        <v>0</v>
      </c>
      <c r="I260" s="3093" t="s">
        <v>6803</v>
      </c>
      <c r="J260" s="3072"/>
      <c r="K260" s="3090">
        <f t="shared" si="31"/>
        <v>0</v>
      </c>
      <c r="L260" s="3071" t="s">
        <v>6799</v>
      </c>
      <c r="M260" s="3093" t="s">
        <v>6803</v>
      </c>
      <c r="N260" s="3072"/>
      <c r="O260" s="3099"/>
      <c r="P260" s="3100"/>
      <c r="Q260" s="3100"/>
      <c r="R260" s="3100"/>
      <c r="S260" s="3101" t="s">
        <v>295</v>
      </c>
      <c r="T260" s="3101" t="s">
        <v>213</v>
      </c>
      <c r="U260" s="3102"/>
      <c r="V260" s="3102" t="s">
        <v>295</v>
      </c>
      <c r="W260" s="3102" t="s">
        <v>6797</v>
      </c>
      <c r="X260" s="3102" t="s">
        <v>213</v>
      </c>
      <c r="Y260" s="3103" t="s">
        <v>164</v>
      </c>
    </row>
    <row r="261" spans="1:25" ht="18" hidden="1">
      <c r="A261" s="1304"/>
      <c r="B261" s="643">
        <v>2501</v>
      </c>
      <c r="C261" s="643" t="s">
        <v>1657</v>
      </c>
      <c r="D261" s="3087">
        <v>2</v>
      </c>
      <c r="E261" s="3088" t="str">
        <f t="shared" si="26"/>
        <v>长期借款</v>
      </c>
      <c r="F261" s="3089" t="s">
        <v>1658</v>
      </c>
      <c r="G261" s="3090">
        <f t="shared" si="27"/>
        <v>0</v>
      </c>
      <c r="H261" s="3091">
        <f t="shared" ca="1" si="35"/>
        <v>0</v>
      </c>
      <c r="I261" s="3093" t="s">
        <v>6803</v>
      </c>
      <c r="J261" s="3072"/>
      <c r="K261" s="3090">
        <f t="shared" si="31"/>
        <v>0</v>
      </c>
      <c r="L261" s="3071">
        <f ca="1">INDIRECT("Notes!CheckB"&amp;$C261)</f>
        <v>0</v>
      </c>
      <c r="M261" s="3093" t="s">
        <v>6803</v>
      </c>
      <c r="N261" s="3072"/>
      <c r="O261" s="3099"/>
      <c r="P261" s="3100"/>
      <c r="Q261" s="3100"/>
      <c r="R261" s="3100"/>
      <c r="S261" s="3101" t="s">
        <v>295</v>
      </c>
      <c r="T261" s="3101" t="s">
        <v>213</v>
      </c>
      <c r="U261" s="3102"/>
      <c r="V261" s="3102" t="s">
        <v>295</v>
      </c>
      <c r="W261" s="3102" t="s">
        <v>6797</v>
      </c>
      <c r="X261" s="3102" t="s">
        <v>213</v>
      </c>
      <c r="Y261" s="3103" t="s">
        <v>164</v>
      </c>
    </row>
    <row r="262" spans="1:25" ht="18">
      <c r="A262" s="1304"/>
      <c r="B262" s="643">
        <v>2502</v>
      </c>
      <c r="C262" s="643" t="s">
        <v>1662</v>
      </c>
      <c r="D262" s="3087">
        <v>1</v>
      </c>
      <c r="E262" s="3088" t="str">
        <f t="shared" si="26"/>
        <v>应付债券</v>
      </c>
      <c r="F262" s="3089" t="s">
        <v>1663</v>
      </c>
      <c r="G262" s="3090">
        <f t="shared" si="27"/>
        <v>0</v>
      </c>
      <c r="H262" s="3091">
        <f t="shared" ca="1" si="35"/>
        <v>0</v>
      </c>
      <c r="I262" s="3093">
        <f ca="1">IF(AND(LEN(G262)&gt;0,LEN(H262)&gt;0),ROUND(SUM(G262)-SUM(H262),2),"")</f>
        <v>0</v>
      </c>
      <c r="J262" s="3072" t="str">
        <f ca="1">IF(ISNA(I262),"N/A",IF(I262=0,"√","？"))</f>
        <v>√</v>
      </c>
      <c r="K262" s="3090">
        <f t="shared" si="31"/>
        <v>0</v>
      </c>
      <c r="L262" s="3071">
        <f ca="1">INDIRECT("Notes!CheckB"&amp;$C262)</f>
        <v>0</v>
      </c>
      <c r="M262" s="3093">
        <f ca="1">IF(AND(LEN(K262)&gt;0,LEN(L262)&gt;0),ROUND(SUM(K262)-SUM(L262),2),"")</f>
        <v>0</v>
      </c>
      <c r="N262" s="3072" t="str">
        <f ca="1">IF(ISNA(M262),"N/A",IF(M262=0,"√","？"))</f>
        <v>√</v>
      </c>
      <c r="O262" s="3099"/>
      <c r="P262" s="3100"/>
      <c r="Q262" s="3100"/>
      <c r="R262" s="3100"/>
      <c r="S262" s="3101" t="s">
        <v>295</v>
      </c>
      <c r="T262" s="3101" t="s">
        <v>213</v>
      </c>
      <c r="U262" s="3102"/>
      <c r="V262" s="3102" t="s">
        <v>295</v>
      </c>
      <c r="W262" s="3102" t="s">
        <v>6797</v>
      </c>
      <c r="X262" s="3102" t="s">
        <v>6798</v>
      </c>
      <c r="Y262" s="3103" t="s">
        <v>164</v>
      </c>
    </row>
    <row r="263" spans="1:25" ht="48" hidden="1">
      <c r="A263" s="1304"/>
      <c r="B263" s="643">
        <v>2502</v>
      </c>
      <c r="C263" s="643" t="s">
        <v>1667</v>
      </c>
      <c r="D263" s="3087">
        <v>2</v>
      </c>
      <c r="E263" s="3088" t="str">
        <f t="shared" si="26"/>
        <v>应付债券</v>
      </c>
      <c r="F263" s="3089" t="s">
        <v>6454</v>
      </c>
      <c r="G263" s="3090">
        <f t="shared" si="27"/>
        <v>0</v>
      </c>
      <c r="H263" s="3091">
        <f t="shared" ca="1" si="35"/>
        <v>0</v>
      </c>
      <c r="I263" s="3093" t="s">
        <v>6803</v>
      </c>
      <c r="J263" s="3072"/>
      <c r="K263" s="3090">
        <f t="shared" si="31"/>
        <v>0</v>
      </c>
      <c r="L263" s="3071">
        <f ca="1">INDIRECT("Notes!CheckB"&amp;$C263)</f>
        <v>0</v>
      </c>
      <c r="M263" s="3093" t="s">
        <v>6803</v>
      </c>
      <c r="N263" s="3072"/>
      <c r="O263" s="3099"/>
      <c r="P263" s="3100"/>
      <c r="Q263" s="3100"/>
      <c r="R263" s="3100"/>
      <c r="S263" s="3101" t="s">
        <v>295</v>
      </c>
      <c r="T263" s="3101" t="s">
        <v>213</v>
      </c>
      <c r="U263" s="3102"/>
      <c r="V263" s="3102" t="s">
        <v>295</v>
      </c>
      <c r="W263" s="3102" t="s">
        <v>6797</v>
      </c>
      <c r="X263" s="3102" t="s">
        <v>6798</v>
      </c>
      <c r="Y263" s="3103" t="s">
        <v>164</v>
      </c>
    </row>
    <row r="264" spans="1:25" ht="60" hidden="1">
      <c r="A264" s="1304"/>
      <c r="B264" s="643">
        <v>2502</v>
      </c>
      <c r="C264" s="643" t="s">
        <v>1671</v>
      </c>
      <c r="D264" s="3087">
        <v>2</v>
      </c>
      <c r="E264" s="3088" t="str">
        <f t="shared" si="26"/>
        <v>应付债券</v>
      </c>
      <c r="F264" s="3089" t="s">
        <v>1672</v>
      </c>
      <c r="G264" s="3090">
        <f t="shared" si="27"/>
        <v>0</v>
      </c>
      <c r="H264" s="3091">
        <f t="shared" ca="1" si="35"/>
        <v>0</v>
      </c>
      <c r="I264" s="3093" t="s">
        <v>6803</v>
      </c>
      <c r="J264" s="3072"/>
      <c r="K264" s="3090">
        <f t="shared" si="31"/>
        <v>0</v>
      </c>
      <c r="L264" s="3071" t="s">
        <v>6799</v>
      </c>
      <c r="M264" s="3093" t="s">
        <v>6803</v>
      </c>
      <c r="N264" s="3072"/>
      <c r="O264" s="3099"/>
      <c r="P264" s="3100"/>
      <c r="Q264" s="3100"/>
      <c r="R264" s="3100"/>
      <c r="S264" s="3101" t="s">
        <v>295</v>
      </c>
      <c r="T264" s="3101" t="s">
        <v>213</v>
      </c>
      <c r="U264" s="3102"/>
      <c r="V264" s="3102" t="s">
        <v>295</v>
      </c>
      <c r="W264" s="3102" t="s">
        <v>6797</v>
      </c>
      <c r="X264" s="3102" t="s">
        <v>6800</v>
      </c>
      <c r="Y264" s="3103" t="s">
        <v>164</v>
      </c>
    </row>
    <row r="265" spans="1:25" ht="60" hidden="1">
      <c r="A265" s="1304"/>
      <c r="B265" s="643">
        <v>2502</v>
      </c>
      <c r="C265" s="643" t="s">
        <v>1677</v>
      </c>
      <c r="D265" s="3087">
        <v>2</v>
      </c>
      <c r="E265" s="3088" t="str">
        <f t="shared" ref="E265:E328" si="37">IF(ISERROR(VLOOKUP($B265,Sheet_Items,2,0)),"        ----",VLOOKUP($B265,Sheet_Items,2,0))</f>
        <v>应付债券</v>
      </c>
      <c r="F265" s="3089" t="s">
        <v>1678</v>
      </c>
      <c r="G265" s="3090">
        <f t="shared" ref="G265:G328" si="38">IF(ISERROR(VLOOKUP($B265,Sheet_Trialbal,6,0)),"        ----",VLOOKUP($B265,Sheet_Trialbal,6,0))</f>
        <v>0</v>
      </c>
      <c r="H265" s="3091">
        <f t="shared" ca="1" si="35"/>
        <v>0</v>
      </c>
      <c r="I265" s="3093" t="s">
        <v>6803</v>
      </c>
      <c r="J265" s="3072"/>
      <c r="K265" s="3090">
        <f t="shared" si="31"/>
        <v>0</v>
      </c>
      <c r="L265" s="3071">
        <f ca="1">INDIRECT("Notes!CheckB"&amp;$C265)</f>
        <v>0</v>
      </c>
      <c r="M265" s="3093" t="s">
        <v>6803</v>
      </c>
      <c r="N265" s="3072"/>
      <c r="O265" s="3099"/>
      <c r="P265" s="3100"/>
      <c r="Q265" s="3100"/>
      <c r="R265" s="3100"/>
      <c r="S265" s="3101" t="s">
        <v>295</v>
      </c>
      <c r="T265" s="3101" t="s">
        <v>213</v>
      </c>
      <c r="U265" s="3102"/>
      <c r="V265" s="3102" t="s">
        <v>295</v>
      </c>
      <c r="W265" s="3102" t="s">
        <v>6797</v>
      </c>
      <c r="X265" s="3102" t="s">
        <v>6798</v>
      </c>
      <c r="Y265" s="3103" t="s">
        <v>164</v>
      </c>
    </row>
    <row r="266" spans="1:25" ht="18" hidden="1">
      <c r="A266" s="1304"/>
      <c r="B266" s="643">
        <v>2502</v>
      </c>
      <c r="C266" s="643" t="s">
        <v>5589</v>
      </c>
      <c r="D266" s="3087">
        <v>2</v>
      </c>
      <c r="E266" s="3088" t="str">
        <f t="shared" si="37"/>
        <v>应付债券</v>
      </c>
      <c r="F266" s="3089" t="s">
        <v>5590</v>
      </c>
      <c r="G266" s="3090">
        <f t="shared" si="38"/>
        <v>0</v>
      </c>
      <c r="H266" s="3091">
        <f t="shared" ca="1" si="35"/>
        <v>0</v>
      </c>
      <c r="I266" s="3093" t="s">
        <v>6803</v>
      </c>
      <c r="J266" s="3072"/>
      <c r="K266" s="3090">
        <f t="shared" si="31"/>
        <v>0</v>
      </c>
      <c r="L266" s="3071">
        <f ca="1">INDIRECT("Notes!CheckB"&amp;$C266)</f>
        <v>0</v>
      </c>
      <c r="M266" s="3093" t="s">
        <v>6803</v>
      </c>
      <c r="N266" s="3072"/>
      <c r="O266" s="3099"/>
      <c r="P266" s="3100"/>
      <c r="Q266" s="3100"/>
      <c r="R266" s="3100"/>
      <c r="S266" s="3101" t="s">
        <v>295</v>
      </c>
      <c r="T266" s="3101" t="s">
        <v>213</v>
      </c>
      <c r="U266" s="3102"/>
      <c r="V266" s="3102" t="s">
        <v>295</v>
      </c>
      <c r="W266" s="3102" t="s">
        <v>6797</v>
      </c>
      <c r="X266" s="3102" t="s">
        <v>213</v>
      </c>
      <c r="Y266" s="3103" t="s">
        <v>164</v>
      </c>
    </row>
    <row r="267" spans="1:25" ht="24">
      <c r="A267" s="1304"/>
      <c r="B267" s="643">
        <v>2706</v>
      </c>
      <c r="C267" s="643" t="s">
        <v>1682</v>
      </c>
      <c r="D267" s="3087">
        <v>1</v>
      </c>
      <c r="E267" s="3088" t="str">
        <f t="shared" si="37"/>
        <v>长期应付款（报表项目）</v>
      </c>
      <c r="F267" s="3089" t="s">
        <v>1683</v>
      </c>
      <c r="G267" s="3090">
        <f t="shared" si="38"/>
        <v>0</v>
      </c>
      <c r="H267" s="3091">
        <f t="shared" ca="1" si="35"/>
        <v>0</v>
      </c>
      <c r="I267" s="3093">
        <f ca="1">IF(AND(LEN(G267)&gt;0,LEN(H267)&gt;0),ROUND(SUM(G267)-SUM(H267),2),"")</f>
        <v>0</v>
      </c>
      <c r="J267" s="3072" t="str">
        <f ca="1">IF(ISNA(I267),"N/A",IF(I267=0,"√","？"))</f>
        <v>√</v>
      </c>
      <c r="K267" s="3090">
        <f t="shared" si="31"/>
        <v>0</v>
      </c>
      <c r="L267" s="3071">
        <f ca="1">INDIRECT("Notes!CheckB"&amp;$C267)</f>
        <v>0</v>
      </c>
      <c r="M267" s="3093">
        <f ca="1">IF(AND(LEN(K267)&gt;0,LEN(L267)&gt;0),ROUND(SUM(K267)-SUM(L267),2),"")</f>
        <v>0</v>
      </c>
      <c r="N267" s="3072" t="str">
        <f ca="1">IF(ISNA(M267),"N/A",IF(M267=0,"√","？"))</f>
        <v>√</v>
      </c>
      <c r="O267" s="3099"/>
      <c r="P267" s="3100"/>
      <c r="Q267" s="3100"/>
      <c r="R267" s="3100"/>
      <c r="S267" s="3101" t="s">
        <v>295</v>
      </c>
      <c r="T267" s="3101" t="s">
        <v>213</v>
      </c>
      <c r="U267" s="3102"/>
      <c r="V267" s="3102" t="s">
        <v>295</v>
      </c>
      <c r="W267" s="3102" t="s">
        <v>6797</v>
      </c>
      <c r="X267" s="3102" t="s">
        <v>6798</v>
      </c>
      <c r="Y267" s="3103" t="s">
        <v>164</v>
      </c>
    </row>
    <row r="268" spans="1:25" ht="24">
      <c r="A268" s="1304"/>
      <c r="B268" s="643">
        <v>2701</v>
      </c>
      <c r="C268" s="643" t="s">
        <v>1687</v>
      </c>
      <c r="D268" s="3087">
        <v>1</v>
      </c>
      <c r="E268" s="3088" t="str">
        <f t="shared" si="37"/>
        <v>长期应付款</v>
      </c>
      <c r="F268" s="3089" t="s">
        <v>1688</v>
      </c>
      <c r="G268" s="3090">
        <f t="shared" si="38"/>
        <v>0</v>
      </c>
      <c r="H268" s="3091">
        <f t="shared" ca="1" si="35"/>
        <v>0</v>
      </c>
      <c r="I268" s="3093">
        <f ca="1">IF(AND(LEN(G268)&gt;0,LEN(H268)&gt;0),ROUND(SUM(G268)-SUM(H268),2),"")</f>
        <v>0</v>
      </c>
      <c r="J268" s="3072" t="str">
        <f ca="1">IF(ISNA(I268),"N/A",IF(I268=0,"√","？"))</f>
        <v>√</v>
      </c>
      <c r="K268" s="3090">
        <f t="shared" si="31"/>
        <v>0</v>
      </c>
      <c r="L268" s="3071">
        <f ca="1">INDIRECT("Notes!CheckB"&amp;$C268)</f>
        <v>0</v>
      </c>
      <c r="M268" s="3093">
        <f ca="1">IF(AND(LEN(K268)&gt;0,LEN(L268)&gt;0),ROUND(SUM(K268)-SUM(L268),2),"")</f>
        <v>0</v>
      </c>
      <c r="N268" s="3072" t="str">
        <f ca="1">IF(ISNA(M268),"N/A",IF(M268=0,"√","？"))</f>
        <v>√</v>
      </c>
      <c r="O268" s="3099"/>
      <c r="P268" s="3100"/>
      <c r="Q268" s="3100"/>
      <c r="R268" s="3100"/>
      <c r="S268" s="3101" t="s">
        <v>295</v>
      </c>
      <c r="T268" s="3101" t="s">
        <v>213</v>
      </c>
      <c r="U268" s="3102"/>
      <c r="V268" s="3102" t="s">
        <v>295</v>
      </c>
      <c r="W268" s="3102" t="s">
        <v>6797</v>
      </c>
      <c r="X268" s="3102" t="s">
        <v>6798</v>
      </c>
      <c r="Y268" s="3103" t="s">
        <v>164</v>
      </c>
    </row>
    <row r="269" spans="1:25" ht="18" hidden="1">
      <c r="A269" s="1304"/>
      <c r="B269" s="643">
        <v>2701</v>
      </c>
      <c r="C269" s="643" t="s">
        <v>1692</v>
      </c>
      <c r="D269" s="3087">
        <v>2</v>
      </c>
      <c r="E269" s="3088" t="str">
        <f t="shared" si="37"/>
        <v>长期应付款</v>
      </c>
      <c r="F269" s="3089" t="s">
        <v>1693</v>
      </c>
      <c r="G269" s="3090">
        <f t="shared" si="38"/>
        <v>0</v>
      </c>
      <c r="H269" s="3091">
        <f t="shared" ca="1" si="35"/>
        <v>0</v>
      </c>
      <c r="I269" s="3093" t="s">
        <v>6803</v>
      </c>
      <c r="J269" s="3072"/>
      <c r="K269" s="3090">
        <f t="shared" si="31"/>
        <v>0</v>
      </c>
      <c r="L269" s="3071" t="s">
        <v>6799</v>
      </c>
      <c r="M269" s="3093" t="s">
        <v>6803</v>
      </c>
      <c r="N269" s="3072"/>
      <c r="O269" s="3099"/>
      <c r="P269" s="3100"/>
      <c r="Q269" s="3100"/>
      <c r="R269" s="3100"/>
      <c r="S269" s="3101" t="s">
        <v>295</v>
      </c>
      <c r="T269" s="3101" t="s">
        <v>213</v>
      </c>
      <c r="U269" s="3102"/>
      <c r="V269" s="3102" t="s">
        <v>295</v>
      </c>
      <c r="W269" s="3102" t="s">
        <v>6797</v>
      </c>
      <c r="X269" s="3102" t="s">
        <v>213</v>
      </c>
      <c r="Y269" s="3103" t="s">
        <v>164</v>
      </c>
    </row>
    <row r="270" spans="1:25" ht="18">
      <c r="A270" s="1304"/>
      <c r="B270" s="643">
        <v>2711</v>
      </c>
      <c r="C270" s="643" t="s">
        <v>1697</v>
      </c>
      <c r="D270" s="3087">
        <v>1</v>
      </c>
      <c r="E270" s="3088" t="str">
        <f t="shared" si="37"/>
        <v>专项应付款</v>
      </c>
      <c r="F270" s="3089" t="s">
        <v>1698</v>
      </c>
      <c r="G270" s="3090">
        <f t="shared" si="38"/>
        <v>0</v>
      </c>
      <c r="H270" s="3091">
        <f t="shared" ca="1" si="35"/>
        <v>0</v>
      </c>
      <c r="I270" s="3093">
        <f ca="1">IF(AND(LEN(G270)&gt;0,LEN(H270)&gt;0),ROUND(SUM(G270)-SUM(H270),2),"")</f>
        <v>0</v>
      </c>
      <c r="J270" s="3072" t="str">
        <f ca="1">IF(ISNA(I270),"N/A",IF(I270=0,"√","？"))</f>
        <v>√</v>
      </c>
      <c r="K270" s="3090">
        <f t="shared" si="31"/>
        <v>0</v>
      </c>
      <c r="L270" s="3071">
        <f ca="1">INDIRECT("Notes!CheckB"&amp;$C270)</f>
        <v>0</v>
      </c>
      <c r="M270" s="3093">
        <f ca="1">IF(AND(LEN(K270)&gt;0,LEN(L270)&gt;0),ROUND(SUM(K270)-SUM(L270),2),"")</f>
        <v>0</v>
      </c>
      <c r="N270" s="3072" t="str">
        <f ca="1">IF(ISNA(M270),"N/A",IF(M270=0,"√","？"))</f>
        <v>√</v>
      </c>
      <c r="O270" s="3099"/>
      <c r="P270" s="3100"/>
      <c r="Q270" s="3100"/>
      <c r="R270" s="3100"/>
      <c r="S270" s="3101" t="s">
        <v>295</v>
      </c>
      <c r="T270" s="3101" t="s">
        <v>213</v>
      </c>
      <c r="U270" s="3102"/>
      <c r="V270" s="3102" t="s">
        <v>295</v>
      </c>
      <c r="W270" s="3102" t="s">
        <v>6797</v>
      </c>
      <c r="X270" s="3102" t="s">
        <v>6798</v>
      </c>
      <c r="Y270" s="3103" t="s">
        <v>164</v>
      </c>
    </row>
    <row r="271" spans="1:25" ht="18" hidden="1">
      <c r="A271" s="1304"/>
      <c r="B271" s="643">
        <v>2711</v>
      </c>
      <c r="C271" s="643" t="s">
        <v>1702</v>
      </c>
      <c r="D271" s="3087">
        <v>2</v>
      </c>
      <c r="E271" s="3088" t="str">
        <f t="shared" si="37"/>
        <v>专项应付款</v>
      </c>
      <c r="F271" s="3089" t="s">
        <v>1703</v>
      </c>
      <c r="G271" s="3090">
        <f t="shared" si="38"/>
        <v>0</v>
      </c>
      <c r="H271" s="3091">
        <f t="shared" ca="1" si="35"/>
        <v>0</v>
      </c>
      <c r="I271" s="3093" t="s">
        <v>6803</v>
      </c>
      <c r="J271" s="3072"/>
      <c r="K271" s="3090">
        <f t="shared" si="31"/>
        <v>0</v>
      </c>
      <c r="L271" s="3071" t="s">
        <v>6799</v>
      </c>
      <c r="M271" s="3093" t="s">
        <v>6803</v>
      </c>
      <c r="N271" s="3072"/>
      <c r="O271" s="3099"/>
      <c r="P271" s="3100"/>
      <c r="Q271" s="3100"/>
      <c r="R271" s="3100"/>
      <c r="S271" s="3101" t="s">
        <v>295</v>
      </c>
      <c r="T271" s="3101" t="s">
        <v>213</v>
      </c>
      <c r="U271" s="3102"/>
      <c r="V271" s="3102" t="s">
        <v>295</v>
      </c>
      <c r="W271" s="3102" t="s">
        <v>6797</v>
      </c>
      <c r="X271" s="3102" t="s">
        <v>213</v>
      </c>
      <c r="Y271" s="3103" t="s">
        <v>164</v>
      </c>
    </row>
    <row r="272" spans="1:25" ht="18">
      <c r="A272" s="1304"/>
      <c r="B272" s="643">
        <v>2715</v>
      </c>
      <c r="C272" s="643" t="s">
        <v>1707</v>
      </c>
      <c r="D272" s="3087">
        <v>1</v>
      </c>
      <c r="E272" s="3088" t="str">
        <f t="shared" si="37"/>
        <v>长期应付职工薪酬</v>
      </c>
      <c r="F272" s="3089" t="s">
        <v>1708</v>
      </c>
      <c r="G272" s="3090">
        <f t="shared" si="38"/>
        <v>0</v>
      </c>
      <c r="H272" s="3091">
        <f t="shared" ca="1" si="35"/>
        <v>0</v>
      </c>
      <c r="I272" s="3093">
        <f ca="1">IF(AND(LEN(G272)&gt;0,LEN(H272)&gt;0),ROUND(SUM(G272)-SUM(H272),2),"")</f>
        <v>0</v>
      </c>
      <c r="J272" s="3072" t="str">
        <f ca="1">IF(ISNA(I272),"N/A",IF(I272=0,"√","？"))</f>
        <v>√</v>
      </c>
      <c r="K272" s="3090">
        <f t="shared" si="31"/>
        <v>0</v>
      </c>
      <c r="L272" s="3071">
        <f ca="1">INDIRECT("Notes!CheckB"&amp;$C272)</f>
        <v>0</v>
      </c>
      <c r="M272" s="3093">
        <f ca="1">IF(AND(LEN(K272)&gt;0,LEN(L272)&gt;0),ROUND(SUM(K272)-SUM(L272),2),"")</f>
        <v>0</v>
      </c>
      <c r="N272" s="3072" t="str">
        <f ca="1">IF(ISNA(M272),"N/A",IF(M272=0,"√","？"))</f>
        <v>√</v>
      </c>
      <c r="O272" s="3099"/>
      <c r="P272" s="3100"/>
      <c r="Q272" s="3100"/>
      <c r="R272" s="3100"/>
      <c r="S272" s="3101" t="s">
        <v>295</v>
      </c>
      <c r="T272" s="3101" t="s">
        <v>213</v>
      </c>
      <c r="U272" s="3102"/>
      <c r="V272" s="3102" t="s">
        <v>295</v>
      </c>
      <c r="W272" s="3102" t="s">
        <v>6797</v>
      </c>
      <c r="X272" s="3102" t="s">
        <v>6798</v>
      </c>
      <c r="Y272" s="3103" t="s">
        <v>164</v>
      </c>
    </row>
    <row r="273" spans="1:25" ht="36" hidden="1">
      <c r="A273" s="1304"/>
      <c r="B273" s="643">
        <v>2715</v>
      </c>
      <c r="C273" s="643" t="s">
        <v>1712</v>
      </c>
      <c r="D273" s="3087">
        <v>2</v>
      </c>
      <c r="E273" s="3088" t="str">
        <f t="shared" si="37"/>
        <v>长期应付职工薪酬</v>
      </c>
      <c r="F273" s="3089" t="s">
        <v>1713</v>
      </c>
      <c r="G273" s="3090">
        <f t="shared" si="38"/>
        <v>0</v>
      </c>
      <c r="H273" s="3091" t="s">
        <v>6799</v>
      </c>
      <c r="I273" s="3093" t="s">
        <v>6803</v>
      </c>
      <c r="J273" s="3072"/>
      <c r="K273" s="3090">
        <f t="shared" si="31"/>
        <v>0</v>
      </c>
      <c r="L273" s="3071" t="s">
        <v>6799</v>
      </c>
      <c r="M273" s="3093" t="s">
        <v>6803</v>
      </c>
      <c r="N273" s="3072"/>
      <c r="O273" s="3099"/>
      <c r="P273" s="3100"/>
      <c r="Q273" s="3100"/>
      <c r="R273" s="3100"/>
      <c r="S273" s="3101" t="s">
        <v>295</v>
      </c>
      <c r="T273" s="3101" t="s">
        <v>213</v>
      </c>
      <c r="U273" s="3102"/>
      <c r="V273" s="3102" t="s">
        <v>295</v>
      </c>
      <c r="W273" s="3102" t="s">
        <v>6797</v>
      </c>
      <c r="X273" s="3102" t="s">
        <v>6800</v>
      </c>
      <c r="Y273" s="3103" t="s">
        <v>164</v>
      </c>
    </row>
    <row r="274" spans="1:25" ht="24" hidden="1">
      <c r="A274" s="1304"/>
      <c r="B274" s="643">
        <v>2715</v>
      </c>
      <c r="C274" s="643" t="s">
        <v>1717</v>
      </c>
      <c r="D274" s="3087">
        <v>2</v>
      </c>
      <c r="E274" s="3088" t="str">
        <f t="shared" si="37"/>
        <v>长期应付职工薪酬</v>
      </c>
      <c r="F274" s="3089" t="s">
        <v>1718</v>
      </c>
      <c r="G274" s="3090">
        <f t="shared" si="38"/>
        <v>0</v>
      </c>
      <c r="H274" s="3091" t="s">
        <v>6799</v>
      </c>
      <c r="I274" s="3093" t="s">
        <v>6803</v>
      </c>
      <c r="J274" s="3072"/>
      <c r="K274" s="3090">
        <f t="shared" si="31"/>
        <v>0</v>
      </c>
      <c r="L274" s="3071" t="s">
        <v>6799</v>
      </c>
      <c r="M274" s="3093" t="s">
        <v>6803</v>
      </c>
      <c r="N274" s="3072"/>
      <c r="O274" s="3099"/>
      <c r="P274" s="3100"/>
      <c r="Q274" s="3100"/>
      <c r="R274" s="3100"/>
      <c r="S274" s="3101" t="s">
        <v>295</v>
      </c>
      <c r="T274" s="3101" t="s">
        <v>213</v>
      </c>
      <c r="U274" s="3102"/>
      <c r="V274" s="3102" t="s">
        <v>295</v>
      </c>
      <c r="W274" s="3102" t="s">
        <v>6797</v>
      </c>
      <c r="X274" s="3102" t="s">
        <v>6800</v>
      </c>
      <c r="Y274" s="3103" t="s">
        <v>164</v>
      </c>
    </row>
    <row r="275" spans="1:25" ht="24" hidden="1">
      <c r="A275" s="1304"/>
      <c r="B275" s="643">
        <v>2715</v>
      </c>
      <c r="C275" s="643" t="s">
        <v>1722</v>
      </c>
      <c r="D275" s="3087">
        <v>2</v>
      </c>
      <c r="E275" s="3088" t="str">
        <f t="shared" si="37"/>
        <v>长期应付职工薪酬</v>
      </c>
      <c r="F275" s="3089" t="s">
        <v>6455</v>
      </c>
      <c r="G275" s="3090">
        <f t="shared" si="38"/>
        <v>0</v>
      </c>
      <c r="H275" s="3091" t="s">
        <v>6799</v>
      </c>
      <c r="I275" s="3093" t="s">
        <v>6803</v>
      </c>
      <c r="J275" s="3072"/>
      <c r="K275" s="3090">
        <f t="shared" si="31"/>
        <v>0</v>
      </c>
      <c r="L275" s="3071" t="s">
        <v>6799</v>
      </c>
      <c r="M275" s="3093" t="s">
        <v>6803</v>
      </c>
      <c r="N275" s="3072"/>
      <c r="O275" s="3099"/>
      <c r="P275" s="3100"/>
      <c r="Q275" s="3100"/>
      <c r="R275" s="3100"/>
      <c r="S275" s="3101" t="s">
        <v>295</v>
      </c>
      <c r="T275" s="3101" t="s">
        <v>213</v>
      </c>
      <c r="U275" s="3102"/>
      <c r="V275" s="3102" t="s">
        <v>295</v>
      </c>
      <c r="W275" s="3102" t="s">
        <v>6797</v>
      </c>
      <c r="X275" s="3102" t="s">
        <v>6800</v>
      </c>
      <c r="Y275" s="3103" t="s">
        <v>164</v>
      </c>
    </row>
    <row r="276" spans="1:25" ht="24" hidden="1">
      <c r="A276" s="1304"/>
      <c r="B276" s="643">
        <v>2715</v>
      </c>
      <c r="C276" s="643" t="s">
        <v>1736</v>
      </c>
      <c r="D276" s="3087">
        <v>2</v>
      </c>
      <c r="E276" s="3088" t="str">
        <f t="shared" si="37"/>
        <v>长期应付职工薪酬</v>
      </c>
      <c r="F276" s="3089" t="s">
        <v>1737</v>
      </c>
      <c r="G276" s="3090">
        <f t="shared" si="38"/>
        <v>0</v>
      </c>
      <c r="H276" s="3091" t="s">
        <v>6799</v>
      </c>
      <c r="I276" s="3093" t="s">
        <v>6803</v>
      </c>
      <c r="J276" s="3072"/>
      <c r="K276" s="3090">
        <f t="shared" si="31"/>
        <v>0</v>
      </c>
      <c r="L276" s="3071" t="s">
        <v>6799</v>
      </c>
      <c r="M276" s="3093" t="s">
        <v>6803</v>
      </c>
      <c r="N276" s="3072"/>
      <c r="O276" s="3099"/>
      <c r="P276" s="3100"/>
      <c r="Q276" s="3100"/>
      <c r="R276" s="3100"/>
      <c r="S276" s="3101" t="s">
        <v>295</v>
      </c>
      <c r="T276" s="3101" t="s">
        <v>213</v>
      </c>
      <c r="U276" s="3102"/>
      <c r="V276" s="3102" t="s">
        <v>295</v>
      </c>
      <c r="W276" s="3102" t="s">
        <v>6797</v>
      </c>
      <c r="X276" s="3102" t="s">
        <v>6800</v>
      </c>
      <c r="Y276" s="3103" t="s">
        <v>164</v>
      </c>
    </row>
    <row r="277" spans="1:25" ht="24" hidden="1">
      <c r="A277" s="1304"/>
      <c r="B277" s="643">
        <v>2715</v>
      </c>
      <c r="C277" s="643" t="s">
        <v>1741</v>
      </c>
      <c r="D277" s="3087">
        <v>2</v>
      </c>
      <c r="E277" s="3088" t="str">
        <f t="shared" si="37"/>
        <v>长期应付职工薪酬</v>
      </c>
      <c r="F277" s="3089" t="s">
        <v>1742</v>
      </c>
      <c r="G277" s="3090">
        <f t="shared" si="38"/>
        <v>0</v>
      </c>
      <c r="H277" s="3091" t="s">
        <v>6799</v>
      </c>
      <c r="I277" s="3093" t="s">
        <v>6803</v>
      </c>
      <c r="J277" s="3072"/>
      <c r="K277" s="3090">
        <f t="shared" si="31"/>
        <v>0</v>
      </c>
      <c r="L277" s="3071" t="s">
        <v>6799</v>
      </c>
      <c r="M277" s="3093" t="s">
        <v>6803</v>
      </c>
      <c r="N277" s="3072"/>
      <c r="O277" s="3099"/>
      <c r="P277" s="3100"/>
      <c r="Q277" s="3100"/>
      <c r="R277" s="3100"/>
      <c r="S277" s="3101" t="s">
        <v>295</v>
      </c>
      <c r="T277" s="3101" t="s">
        <v>213</v>
      </c>
      <c r="U277" s="3102"/>
      <c r="V277" s="3102" t="s">
        <v>295</v>
      </c>
      <c r="W277" s="3102" t="s">
        <v>6797</v>
      </c>
      <c r="X277" s="3102" t="s">
        <v>6800</v>
      </c>
      <c r="Y277" s="3103" t="s">
        <v>164</v>
      </c>
    </row>
    <row r="278" spans="1:25" ht="18">
      <c r="A278" s="1304"/>
      <c r="B278" s="643">
        <v>2801</v>
      </c>
      <c r="C278" s="643" t="s">
        <v>1746</v>
      </c>
      <c r="D278" s="3087">
        <v>1</v>
      </c>
      <c r="E278" s="3088" t="str">
        <f t="shared" si="37"/>
        <v>预计负债</v>
      </c>
      <c r="F278" s="3089" t="s">
        <v>1747</v>
      </c>
      <c r="G278" s="3090">
        <f t="shared" si="38"/>
        <v>0</v>
      </c>
      <c r="H278" s="3091">
        <f ca="1">INDIRECT("Notes!CheckA"&amp;$C278)</f>
        <v>0</v>
      </c>
      <c r="I278" s="3093">
        <f ca="1">IF(AND(LEN(G278)&gt;0,LEN(H278)&gt;0),ROUND(SUM(G278)-SUM(H278),2),"")</f>
        <v>0</v>
      </c>
      <c r="J278" s="3072" t="str">
        <f ca="1">IF(ISNA(I278),"N/A",IF(I278=0,"√","？"))</f>
        <v>√</v>
      </c>
      <c r="K278" s="3090">
        <f t="shared" si="31"/>
        <v>0</v>
      </c>
      <c r="L278" s="3071">
        <f ca="1">INDIRECT("Notes!CheckB"&amp;$C278)</f>
        <v>0</v>
      </c>
      <c r="M278" s="3093">
        <f ca="1">IF(AND(LEN(K278)&gt;0,LEN(L278)&gt;0),ROUND(SUM(K278)-SUM(L278),2),"")</f>
        <v>0</v>
      </c>
      <c r="N278" s="3072" t="str">
        <f ca="1">IF(ISNA(M278),"N/A",IF(M278=0,"√","？"))</f>
        <v>√</v>
      </c>
      <c r="O278" s="3099"/>
      <c r="P278" s="3100"/>
      <c r="Q278" s="3100"/>
      <c r="R278" s="3100"/>
      <c r="S278" s="3101" t="s">
        <v>295</v>
      </c>
      <c r="T278" s="3101" t="s">
        <v>213</v>
      </c>
      <c r="U278" s="3102"/>
      <c r="V278" s="3102" t="s">
        <v>295</v>
      </c>
      <c r="W278" s="3102" t="s">
        <v>6797</v>
      </c>
      <c r="X278" s="3102" t="s">
        <v>6798</v>
      </c>
      <c r="Y278" s="3103" t="s">
        <v>164</v>
      </c>
    </row>
    <row r="279" spans="1:25" ht="18">
      <c r="A279" s="1304"/>
      <c r="B279" s="643">
        <v>2401</v>
      </c>
      <c r="C279" s="643" t="s">
        <v>1751</v>
      </c>
      <c r="D279" s="3087">
        <v>1</v>
      </c>
      <c r="E279" s="3088" t="str">
        <f t="shared" si="37"/>
        <v>递延收益</v>
      </c>
      <c r="F279" s="3089" t="s">
        <v>1752</v>
      </c>
      <c r="G279" s="3090">
        <f t="shared" si="38"/>
        <v>0</v>
      </c>
      <c r="H279" s="3091">
        <f ca="1">INDIRECT("Notes!CheckA"&amp;$C279)</f>
        <v>0</v>
      </c>
      <c r="I279" s="3093">
        <f ca="1">IF(AND(LEN(G279)&gt;0,LEN(H279)&gt;0),ROUND(SUM(G279)-SUM(H279),2),"")</f>
        <v>0</v>
      </c>
      <c r="J279" s="3072" t="str">
        <f ca="1">IF(ISNA(I279),"N/A",IF(I279=0,"√","？"))</f>
        <v>√</v>
      </c>
      <c r="K279" s="3090">
        <f t="shared" si="31"/>
        <v>0</v>
      </c>
      <c r="L279" s="3071">
        <f ca="1">INDIRECT("Notes!CheckB"&amp;$C279)</f>
        <v>0</v>
      </c>
      <c r="M279" s="3093">
        <f ca="1">IF(AND(LEN(K279)&gt;0,LEN(L279)&gt;0),ROUND(SUM(K279)-SUM(L279),2),"")</f>
        <v>0</v>
      </c>
      <c r="N279" s="3072" t="str">
        <f ca="1">IF(ISNA(M279),"N/A",IF(M279=0,"√","？"))</f>
        <v>√</v>
      </c>
      <c r="O279" s="3099"/>
      <c r="P279" s="3100"/>
      <c r="Q279" s="3100"/>
      <c r="R279" s="3100"/>
      <c r="S279" s="3101" t="s">
        <v>295</v>
      </c>
      <c r="T279" s="3101" t="s">
        <v>213</v>
      </c>
      <c r="U279" s="3102"/>
      <c r="V279" s="3102" t="s">
        <v>295</v>
      </c>
      <c r="W279" s="3102" t="s">
        <v>6797</v>
      </c>
      <c r="X279" s="3102" t="s">
        <v>6798</v>
      </c>
      <c r="Y279" s="3103" t="s">
        <v>164</v>
      </c>
    </row>
    <row r="280" spans="1:25" ht="24" hidden="1">
      <c r="A280" s="1304"/>
      <c r="B280" s="643">
        <v>2401</v>
      </c>
      <c r="C280" s="643" t="s">
        <v>1756</v>
      </c>
      <c r="D280" s="3087">
        <v>2</v>
      </c>
      <c r="E280" s="3088" t="str">
        <f t="shared" si="37"/>
        <v>递延收益</v>
      </c>
      <c r="F280" s="3089" t="s">
        <v>1757</v>
      </c>
      <c r="G280" s="3090">
        <f t="shared" si="38"/>
        <v>0</v>
      </c>
      <c r="H280" s="3091" t="s">
        <v>6799</v>
      </c>
      <c r="I280" s="3093" t="s">
        <v>6803</v>
      </c>
      <c r="J280" s="3072"/>
      <c r="K280" s="3090">
        <f t="shared" si="31"/>
        <v>0</v>
      </c>
      <c r="L280" s="3071" t="s">
        <v>6799</v>
      </c>
      <c r="M280" s="3093" t="s">
        <v>6803</v>
      </c>
      <c r="N280" s="3072"/>
      <c r="O280" s="3099"/>
      <c r="P280" s="3100"/>
      <c r="Q280" s="3100"/>
      <c r="R280" s="3100"/>
      <c r="S280" s="3101" t="s">
        <v>295</v>
      </c>
      <c r="T280" s="3101" t="s">
        <v>213</v>
      </c>
      <c r="U280" s="3102"/>
      <c r="V280" s="3102" t="s">
        <v>295</v>
      </c>
      <c r="W280" s="3102" t="s">
        <v>6797</v>
      </c>
      <c r="X280" s="3102" t="s">
        <v>6798</v>
      </c>
      <c r="Y280" s="3103" t="s">
        <v>164</v>
      </c>
    </row>
    <row r="281" spans="1:25" ht="24">
      <c r="A281" s="1304"/>
      <c r="B281" s="643">
        <v>2996</v>
      </c>
      <c r="C281" s="643" t="s">
        <v>1761</v>
      </c>
      <c r="D281" s="3087">
        <v>1</v>
      </c>
      <c r="E281" s="3088" t="str">
        <f t="shared" si="37"/>
        <v>其他非流动负债</v>
      </c>
      <c r="F281" s="3089" t="s">
        <v>1762</v>
      </c>
      <c r="G281" s="3090">
        <f t="shared" si="38"/>
        <v>0</v>
      </c>
      <c r="H281" s="3091">
        <f ca="1">INDIRECT("Notes!CheckA"&amp;$C281)</f>
        <v>0</v>
      </c>
      <c r="I281" s="3093">
        <f ca="1">IF(AND(LEN(G281)&gt;0,LEN(H281)&gt;0),ROUND(SUM(G281)-SUM(H281),2),"")</f>
        <v>0</v>
      </c>
      <c r="J281" s="3072" t="str">
        <f ca="1">IF(ISNA(I281),"N/A",IF(I281=0,"√","？"))</f>
        <v>√</v>
      </c>
      <c r="K281" s="3090">
        <f t="shared" si="31"/>
        <v>0</v>
      </c>
      <c r="L281" s="3071">
        <f ca="1">INDIRECT("Notes!CheckB"&amp;$C281)</f>
        <v>0</v>
      </c>
      <c r="M281" s="3093">
        <f ca="1">IF(AND(LEN(K281)&gt;0,LEN(L281)&gt;0),ROUND(SUM(K281)-SUM(L281),2),"")</f>
        <v>0</v>
      </c>
      <c r="N281" s="3072" t="str">
        <f ca="1">IF(ISNA(M281),"N/A",IF(M281=0,"√","？"))</f>
        <v>√</v>
      </c>
      <c r="O281" s="3099"/>
      <c r="P281" s="3100"/>
      <c r="Q281" s="3100"/>
      <c r="R281" s="3100"/>
      <c r="S281" s="3101" t="s">
        <v>295</v>
      </c>
      <c r="T281" s="3101" t="s">
        <v>213</v>
      </c>
      <c r="U281" s="3102"/>
      <c r="V281" s="3102" t="s">
        <v>295</v>
      </c>
      <c r="W281" s="3102" t="s">
        <v>6797</v>
      </c>
      <c r="X281" s="3102" t="s">
        <v>6798</v>
      </c>
      <c r="Y281" s="3103" t="s">
        <v>164</v>
      </c>
    </row>
    <row r="282" spans="1:25" ht="24" hidden="1">
      <c r="A282" s="1304"/>
      <c r="B282" s="643">
        <v>2996</v>
      </c>
      <c r="C282" s="643" t="s">
        <v>1766</v>
      </c>
      <c r="D282" s="3087">
        <v>2</v>
      </c>
      <c r="E282" s="3088" t="str">
        <f t="shared" si="37"/>
        <v>其他非流动负债</v>
      </c>
      <c r="F282" s="3089" t="s">
        <v>1767</v>
      </c>
      <c r="G282" s="3090">
        <f t="shared" si="38"/>
        <v>0</v>
      </c>
      <c r="H282" s="3091">
        <f ca="1">INDIRECT("Notes!CheckA"&amp;$C282)</f>
        <v>0</v>
      </c>
      <c r="I282" s="3093" t="s">
        <v>6803</v>
      </c>
      <c r="J282" s="3072"/>
      <c r="K282" s="3090">
        <f t="shared" si="31"/>
        <v>0</v>
      </c>
      <c r="L282" s="3071">
        <f ca="1">INDIRECT("Notes!CheckB"&amp;$C282)</f>
        <v>0</v>
      </c>
      <c r="M282" s="3093" t="s">
        <v>6803</v>
      </c>
      <c r="N282" s="3072"/>
      <c r="O282" s="3099"/>
      <c r="P282" s="3100"/>
      <c r="Q282" s="3100"/>
      <c r="R282" s="3100"/>
      <c r="S282" s="3101" t="s">
        <v>295</v>
      </c>
      <c r="T282" s="3101" t="s">
        <v>213</v>
      </c>
      <c r="U282" s="3102"/>
      <c r="V282" s="3102" t="s">
        <v>295</v>
      </c>
      <c r="W282" s="3102" t="s">
        <v>6797</v>
      </c>
      <c r="X282" s="3102" t="s">
        <v>213</v>
      </c>
      <c r="Y282" s="3103" t="s">
        <v>164</v>
      </c>
    </row>
    <row r="283" spans="1:25" ht="18" hidden="1">
      <c r="A283" s="1304"/>
      <c r="B283" s="643">
        <v>4001</v>
      </c>
      <c r="C283" s="643" t="s">
        <v>1774</v>
      </c>
      <c r="D283" s="3087">
        <v>2</v>
      </c>
      <c r="E283" s="3088" t="str">
        <f t="shared" si="37"/>
        <v>实收资本</v>
      </c>
      <c r="F283" s="3089" t="s">
        <v>1775</v>
      </c>
      <c r="G283" s="3090">
        <f t="shared" si="38"/>
        <v>30000000</v>
      </c>
      <c r="H283" s="3091" t="s">
        <v>6799</v>
      </c>
      <c r="I283" s="3093" t="s">
        <v>6803</v>
      </c>
      <c r="J283" s="3072"/>
      <c r="K283" s="3090">
        <f t="shared" si="31"/>
        <v>30000000</v>
      </c>
      <c r="L283" s="3071" t="s">
        <v>6799</v>
      </c>
      <c r="M283" s="3093" t="s">
        <v>6803</v>
      </c>
      <c r="N283" s="3072"/>
      <c r="O283" s="3099"/>
      <c r="P283" s="3100"/>
      <c r="Q283" s="3100"/>
      <c r="R283" s="3100"/>
      <c r="S283" s="3101" t="s">
        <v>295</v>
      </c>
      <c r="T283" s="3101" t="s">
        <v>213</v>
      </c>
      <c r="U283" s="3102"/>
      <c r="V283" s="3102" t="s">
        <v>295</v>
      </c>
      <c r="W283" s="3102" t="s">
        <v>6797</v>
      </c>
      <c r="X283" s="3102" t="s">
        <v>6800</v>
      </c>
      <c r="Y283" s="3103" t="s">
        <v>164</v>
      </c>
    </row>
    <row r="284" spans="1:25" ht="18">
      <c r="A284" s="1304"/>
      <c r="B284" s="643">
        <v>4001</v>
      </c>
      <c r="C284" s="643" t="s">
        <v>1780</v>
      </c>
      <c r="D284" s="3087">
        <v>1</v>
      </c>
      <c r="E284" s="3088" t="str">
        <f t="shared" si="37"/>
        <v>实收资本</v>
      </c>
      <c r="F284" s="3089" t="s">
        <v>1781</v>
      </c>
      <c r="G284" s="3090">
        <f t="shared" si="38"/>
        <v>30000000</v>
      </c>
      <c r="H284" s="3091">
        <f t="shared" ref="H284:H300" ca="1" si="39">INDIRECT("Notes!CheckA"&amp;$C284)</f>
        <v>0</v>
      </c>
      <c r="I284" s="3093">
        <f ca="1">IF(AND(LEN(G284)&gt;0,LEN(H284)&gt;0),ROUND(SUM(G284)-SUM(H284),2),"")</f>
        <v>30000000</v>
      </c>
      <c r="J284" s="3072" t="str">
        <f ca="1">IF(ISNA(I284),"N/A",IF(I284=0,"√","？"))</f>
        <v>？</v>
      </c>
      <c r="K284" s="3090">
        <f t="shared" si="31"/>
        <v>30000000</v>
      </c>
      <c r="L284" s="3071">
        <f ca="1">INDIRECT("Notes!CheckB"&amp;$C284)</f>
        <v>0</v>
      </c>
      <c r="M284" s="3093">
        <f ca="1">IF(AND(LEN(K284)&gt;0,LEN(L284)&gt;0),ROUND(SUM(K284)-SUM(L284),2),"")</f>
        <v>30000000</v>
      </c>
      <c r="N284" s="3072" t="str">
        <f ca="1">IF(ISNA(M284),"N/A",IF(M284=0,"√","？"))</f>
        <v>？</v>
      </c>
      <c r="O284" s="3099"/>
      <c r="P284" s="3100"/>
      <c r="Q284" s="3100"/>
      <c r="R284" s="3100"/>
      <c r="S284" s="3101" t="s">
        <v>295</v>
      </c>
      <c r="T284" s="3101" t="s">
        <v>213</v>
      </c>
      <c r="U284" s="3102"/>
      <c r="V284" s="3102" t="s">
        <v>295</v>
      </c>
      <c r="W284" s="3102" t="s">
        <v>6797</v>
      </c>
      <c r="X284" s="3102" t="s">
        <v>6801</v>
      </c>
      <c r="Y284" s="3103" t="s">
        <v>164</v>
      </c>
    </row>
    <row r="285" spans="1:25" ht="36" hidden="1">
      <c r="A285" s="1304"/>
      <c r="B285" s="643">
        <v>4015</v>
      </c>
      <c r="C285" s="643" t="s">
        <v>1790</v>
      </c>
      <c r="D285" s="3087">
        <v>2</v>
      </c>
      <c r="E285" s="3088" t="str">
        <f t="shared" si="37"/>
        <v>其他权益工具</v>
      </c>
      <c r="F285" s="3089" t="s">
        <v>1791</v>
      </c>
      <c r="G285" s="3090">
        <f t="shared" si="38"/>
        <v>0</v>
      </c>
      <c r="H285" s="3091">
        <f t="shared" ca="1" si="39"/>
        <v>0</v>
      </c>
      <c r="I285" s="3093" t="s">
        <v>6803</v>
      </c>
      <c r="J285" s="3072"/>
      <c r="K285" s="3090">
        <f t="shared" si="31"/>
        <v>0</v>
      </c>
      <c r="L285" s="3071" t="s">
        <v>6799</v>
      </c>
      <c r="M285" s="3093" t="s">
        <v>6803</v>
      </c>
      <c r="N285" s="3072"/>
      <c r="O285" s="3099"/>
      <c r="P285" s="3100"/>
      <c r="Q285" s="3100"/>
      <c r="R285" s="3100"/>
      <c r="S285" s="3101" t="s">
        <v>295</v>
      </c>
      <c r="T285" s="3101" t="s">
        <v>213</v>
      </c>
      <c r="U285" s="3102"/>
      <c r="V285" s="3102" t="s">
        <v>295</v>
      </c>
      <c r="W285" s="3102" t="s">
        <v>6797</v>
      </c>
      <c r="X285" s="3102" t="s">
        <v>6800</v>
      </c>
      <c r="Y285" s="3103" t="s">
        <v>164</v>
      </c>
    </row>
    <row r="286" spans="1:25" ht="36">
      <c r="A286" s="1304"/>
      <c r="B286" s="643">
        <v>4015</v>
      </c>
      <c r="C286" s="643" t="s">
        <v>1795</v>
      </c>
      <c r="D286" s="3087">
        <v>1</v>
      </c>
      <c r="E286" s="3088" t="str">
        <f t="shared" si="37"/>
        <v>其他权益工具</v>
      </c>
      <c r="F286" s="3089" t="s">
        <v>1796</v>
      </c>
      <c r="G286" s="3090">
        <f t="shared" si="38"/>
        <v>0</v>
      </c>
      <c r="H286" s="3091">
        <f t="shared" ca="1" si="39"/>
        <v>0</v>
      </c>
      <c r="I286" s="3093">
        <f t="shared" ref="I286:I293" ca="1" si="40">IF(AND(LEN(G286)&gt;0,LEN(H286)&gt;0),ROUND(SUM(G286)-SUM(H286),2),"")</f>
        <v>0</v>
      </c>
      <c r="J286" s="3072" t="str">
        <f t="shared" ref="J286:J293" ca="1" si="41">IF(ISNA(I286),"N/A",IF(I286=0,"√","？"))</f>
        <v>√</v>
      </c>
      <c r="K286" s="3090">
        <f t="shared" si="31"/>
        <v>0</v>
      </c>
      <c r="L286" s="3071">
        <f t="shared" ref="L286:L293" ca="1" si="42">INDIRECT("Notes!CheckB"&amp;$C286)</f>
        <v>0</v>
      </c>
      <c r="M286" s="3093">
        <f t="shared" ref="M286:M293" ca="1" si="43">IF(AND(LEN(K286)&gt;0,LEN(L286)&gt;0),ROUND(SUM(K286)-SUM(L286),2),"")</f>
        <v>0</v>
      </c>
      <c r="N286" s="3072" t="str">
        <f t="shared" ref="N286:N293" ca="1" si="44">IF(ISNA(M286),"N/A",IF(M286=0,"√","？"))</f>
        <v>√</v>
      </c>
      <c r="O286" s="3099"/>
      <c r="P286" s="3100"/>
      <c r="Q286" s="3100"/>
      <c r="R286" s="3100"/>
      <c r="S286" s="3101" t="s">
        <v>295</v>
      </c>
      <c r="T286" s="3101" t="s">
        <v>213</v>
      </c>
      <c r="U286" s="3102"/>
      <c r="V286" s="3102" t="s">
        <v>295</v>
      </c>
      <c r="W286" s="3102" t="s">
        <v>6797</v>
      </c>
      <c r="X286" s="3102" t="s">
        <v>6798</v>
      </c>
      <c r="Y286" s="3103" t="s">
        <v>164</v>
      </c>
    </row>
    <row r="287" spans="1:25" ht="18">
      <c r="A287" s="1304"/>
      <c r="B287" s="643">
        <v>4002</v>
      </c>
      <c r="C287" s="643" t="s">
        <v>1785</v>
      </c>
      <c r="D287" s="3087">
        <v>1</v>
      </c>
      <c r="E287" s="3088" t="str">
        <f t="shared" si="37"/>
        <v>资本公积</v>
      </c>
      <c r="F287" s="3089" t="s">
        <v>1786</v>
      </c>
      <c r="G287" s="3090">
        <f t="shared" si="38"/>
        <v>10464100</v>
      </c>
      <c r="H287" s="3091">
        <f t="shared" ca="1" si="39"/>
        <v>10464100</v>
      </c>
      <c r="I287" s="3093">
        <f t="shared" ca="1" si="40"/>
        <v>0</v>
      </c>
      <c r="J287" s="3072" t="str">
        <f t="shared" ca="1" si="41"/>
        <v>√</v>
      </c>
      <c r="K287" s="3090">
        <f t="shared" ref="K287:K350" si="45">IF(ISERROR(VLOOKUP($B287,Sheet_Trialbal,10,0)),"        ----",VLOOKUP($B287,Sheet_Trialbal,10,0))</f>
        <v>0</v>
      </c>
      <c r="L287" s="3071">
        <f t="shared" ca="1" si="42"/>
        <v>0</v>
      </c>
      <c r="M287" s="3093">
        <f t="shared" ca="1" si="43"/>
        <v>0</v>
      </c>
      <c r="N287" s="3072" t="str">
        <f t="shared" ca="1" si="44"/>
        <v>√</v>
      </c>
      <c r="O287" s="3099"/>
      <c r="P287" s="3100"/>
      <c r="Q287" s="3100"/>
      <c r="R287" s="3100"/>
      <c r="S287" s="3101" t="s">
        <v>295</v>
      </c>
      <c r="T287" s="3101" t="s">
        <v>213</v>
      </c>
      <c r="U287" s="3102"/>
      <c r="V287" s="3102" t="s">
        <v>295</v>
      </c>
      <c r="W287" s="3102" t="s">
        <v>6797</v>
      </c>
      <c r="X287" s="3102" t="s">
        <v>6798</v>
      </c>
      <c r="Y287" s="3103" t="s">
        <v>164</v>
      </c>
    </row>
    <row r="288" spans="1:25" ht="18">
      <c r="A288" s="1304"/>
      <c r="B288" s="643">
        <v>4201</v>
      </c>
      <c r="C288" s="643" t="s">
        <v>1828</v>
      </c>
      <c r="D288" s="3087">
        <v>1</v>
      </c>
      <c r="E288" s="3088" t="str">
        <f t="shared" si="37"/>
        <v>库存股</v>
      </c>
      <c r="F288" s="3089" t="s">
        <v>1829</v>
      </c>
      <c r="G288" s="3090">
        <f t="shared" si="38"/>
        <v>0</v>
      </c>
      <c r="H288" s="3091">
        <f t="shared" ca="1" si="39"/>
        <v>0</v>
      </c>
      <c r="I288" s="3093">
        <f t="shared" ca="1" si="40"/>
        <v>0</v>
      </c>
      <c r="J288" s="3072" t="str">
        <f t="shared" ca="1" si="41"/>
        <v>√</v>
      </c>
      <c r="K288" s="3090">
        <f t="shared" si="45"/>
        <v>0</v>
      </c>
      <c r="L288" s="3071">
        <f t="shared" ca="1" si="42"/>
        <v>0</v>
      </c>
      <c r="M288" s="3093">
        <f t="shared" ca="1" si="43"/>
        <v>0</v>
      </c>
      <c r="N288" s="3072" t="str">
        <f t="shared" ca="1" si="44"/>
        <v>√</v>
      </c>
      <c r="O288" s="3099"/>
      <c r="P288" s="3100"/>
      <c r="Q288" s="3100"/>
      <c r="R288" s="3100"/>
      <c r="S288" s="3101" t="s">
        <v>295</v>
      </c>
      <c r="T288" s="3101" t="s">
        <v>213</v>
      </c>
      <c r="U288" s="3102"/>
      <c r="V288" s="3102" t="s">
        <v>295</v>
      </c>
      <c r="W288" s="3102" t="s">
        <v>6797</v>
      </c>
      <c r="X288" s="3102" t="s">
        <v>6798</v>
      </c>
      <c r="Y288" s="3103" t="s">
        <v>164</v>
      </c>
    </row>
    <row r="289" spans="1:25" ht="18">
      <c r="A289" s="1304"/>
      <c r="B289" s="643">
        <v>4215</v>
      </c>
      <c r="C289" s="643" t="s">
        <v>1831</v>
      </c>
      <c r="D289" s="3087">
        <v>1</v>
      </c>
      <c r="E289" s="3088" t="str">
        <f t="shared" si="37"/>
        <v>其他综合收益</v>
      </c>
      <c r="F289" s="3089" t="s">
        <v>1832</v>
      </c>
      <c r="G289" s="3090">
        <f t="shared" si="38"/>
        <v>0</v>
      </c>
      <c r="H289" s="3091">
        <f t="shared" ca="1" si="39"/>
        <v>0</v>
      </c>
      <c r="I289" s="3093">
        <f t="shared" ca="1" si="40"/>
        <v>0</v>
      </c>
      <c r="J289" s="3072" t="str">
        <f t="shared" ca="1" si="41"/>
        <v>√</v>
      </c>
      <c r="K289" s="3090">
        <f t="shared" si="45"/>
        <v>0</v>
      </c>
      <c r="L289" s="3071">
        <f t="shared" ca="1" si="42"/>
        <v>0</v>
      </c>
      <c r="M289" s="3093">
        <f t="shared" ca="1" si="43"/>
        <v>0</v>
      </c>
      <c r="N289" s="3072" t="str">
        <f t="shared" ca="1" si="44"/>
        <v>√</v>
      </c>
      <c r="O289" s="3099"/>
      <c r="P289" s="3100"/>
      <c r="Q289" s="3100"/>
      <c r="R289" s="3100"/>
      <c r="S289" s="3101" t="s">
        <v>295</v>
      </c>
      <c r="T289" s="3101" t="s">
        <v>213</v>
      </c>
      <c r="U289" s="3102"/>
      <c r="V289" s="3102" t="s">
        <v>295</v>
      </c>
      <c r="W289" s="3102" t="s">
        <v>145</v>
      </c>
      <c r="X289" s="3102" t="s">
        <v>6800</v>
      </c>
      <c r="Y289" s="3103" t="s">
        <v>119</v>
      </c>
    </row>
    <row r="290" spans="1:25" ht="18">
      <c r="A290" s="1304"/>
      <c r="B290" s="643">
        <v>4301</v>
      </c>
      <c r="C290" s="643" t="s">
        <v>1837</v>
      </c>
      <c r="D290" s="3087">
        <v>1</v>
      </c>
      <c r="E290" s="3088" t="str">
        <f t="shared" si="37"/>
        <v>专项储备</v>
      </c>
      <c r="F290" s="3089" t="s">
        <v>1838</v>
      </c>
      <c r="G290" s="3090">
        <f t="shared" si="38"/>
        <v>0</v>
      </c>
      <c r="H290" s="3091">
        <f t="shared" ca="1" si="39"/>
        <v>0</v>
      </c>
      <c r="I290" s="3093">
        <f t="shared" ca="1" si="40"/>
        <v>0</v>
      </c>
      <c r="J290" s="3072" t="str">
        <f t="shared" ca="1" si="41"/>
        <v>√</v>
      </c>
      <c r="K290" s="3090">
        <f t="shared" si="45"/>
        <v>0</v>
      </c>
      <c r="L290" s="3071">
        <f t="shared" ca="1" si="42"/>
        <v>0</v>
      </c>
      <c r="M290" s="3093">
        <f t="shared" ca="1" si="43"/>
        <v>0</v>
      </c>
      <c r="N290" s="3072" t="str">
        <f t="shared" ca="1" si="44"/>
        <v>√</v>
      </c>
      <c r="O290" s="3099"/>
      <c r="P290" s="3100"/>
      <c r="Q290" s="3100"/>
      <c r="R290" s="3100"/>
      <c r="S290" s="3101" t="s">
        <v>295</v>
      </c>
      <c r="T290" s="3101" t="s">
        <v>213</v>
      </c>
      <c r="U290" s="3102"/>
      <c r="V290" s="3102" t="s">
        <v>295</v>
      </c>
      <c r="W290" s="3102" t="s">
        <v>6797</v>
      </c>
      <c r="X290" s="3102" t="s">
        <v>6798</v>
      </c>
      <c r="Y290" s="3103" t="s">
        <v>164</v>
      </c>
    </row>
    <row r="291" spans="1:25" ht="18">
      <c r="A291" s="1304"/>
      <c r="B291" s="643">
        <v>4101</v>
      </c>
      <c r="C291" s="643" t="s">
        <v>1805</v>
      </c>
      <c r="D291" s="3087">
        <v>1</v>
      </c>
      <c r="E291" s="3088" t="str">
        <f t="shared" si="37"/>
        <v>盈余公积</v>
      </c>
      <c r="F291" s="3089" t="s">
        <v>1806</v>
      </c>
      <c r="G291" s="3090">
        <f t="shared" si="38"/>
        <v>1484894.62</v>
      </c>
      <c r="H291" s="3091">
        <f t="shared" ca="1" si="39"/>
        <v>1484894.62</v>
      </c>
      <c r="I291" s="3093">
        <f t="shared" ca="1" si="40"/>
        <v>0</v>
      </c>
      <c r="J291" s="3072" t="str">
        <f t="shared" ca="1" si="41"/>
        <v>√</v>
      </c>
      <c r="K291" s="3090">
        <f t="shared" si="45"/>
        <v>1476848.22</v>
      </c>
      <c r="L291" s="3071">
        <f t="shared" ca="1" si="42"/>
        <v>1476848.22</v>
      </c>
      <c r="M291" s="3093">
        <f t="shared" ca="1" si="43"/>
        <v>0</v>
      </c>
      <c r="N291" s="3072" t="str">
        <f t="shared" ca="1" si="44"/>
        <v>√</v>
      </c>
      <c r="O291" s="3099"/>
      <c r="P291" s="3100"/>
      <c r="Q291" s="3100"/>
      <c r="R291" s="3100"/>
      <c r="S291" s="3101" t="s">
        <v>295</v>
      </c>
      <c r="T291" s="3101" t="s">
        <v>213</v>
      </c>
      <c r="U291" s="3102"/>
      <c r="V291" s="3102" t="s">
        <v>295</v>
      </c>
      <c r="W291" s="3102" t="s">
        <v>145</v>
      </c>
      <c r="X291" s="3102" t="s">
        <v>6800</v>
      </c>
      <c r="Y291" s="3103" t="s">
        <v>119</v>
      </c>
    </row>
    <row r="292" spans="1:25" ht="18">
      <c r="A292" s="1304"/>
      <c r="B292" s="643">
        <v>4102</v>
      </c>
      <c r="C292" s="643" t="s">
        <v>1815</v>
      </c>
      <c r="D292" s="3087">
        <v>1</v>
      </c>
      <c r="E292" s="3088" t="str">
        <f t="shared" si="37"/>
        <v>一般风险准备</v>
      </c>
      <c r="F292" s="3089" t="s">
        <v>1816</v>
      </c>
      <c r="G292" s="3090">
        <f t="shared" si="38"/>
        <v>0</v>
      </c>
      <c r="H292" s="3091">
        <f t="shared" ca="1" si="39"/>
        <v>0</v>
      </c>
      <c r="I292" s="3093">
        <f t="shared" ca="1" si="40"/>
        <v>0</v>
      </c>
      <c r="J292" s="3072" t="str">
        <f t="shared" ca="1" si="41"/>
        <v>√</v>
      </c>
      <c r="K292" s="3090">
        <f t="shared" si="45"/>
        <v>0</v>
      </c>
      <c r="L292" s="3071">
        <f t="shared" ca="1" si="42"/>
        <v>0</v>
      </c>
      <c r="M292" s="3093">
        <f t="shared" ca="1" si="43"/>
        <v>0</v>
      </c>
      <c r="N292" s="3072" t="str">
        <f t="shared" ca="1" si="44"/>
        <v>√</v>
      </c>
      <c r="O292" s="3099"/>
      <c r="P292" s="3100"/>
      <c r="Q292" s="3100"/>
      <c r="R292" s="3100"/>
      <c r="S292" s="3101" t="s">
        <v>295</v>
      </c>
      <c r="T292" s="3101" t="s">
        <v>213</v>
      </c>
      <c r="U292" s="3102"/>
      <c r="V292" s="3102" t="s">
        <v>295</v>
      </c>
      <c r="W292" s="3102" t="s">
        <v>6797</v>
      </c>
      <c r="X292" s="3102" t="s">
        <v>213</v>
      </c>
      <c r="Y292" s="3103" t="s">
        <v>164</v>
      </c>
    </row>
    <row r="293" spans="1:25" ht="24">
      <c r="A293" s="1304"/>
      <c r="B293" s="643">
        <v>4200</v>
      </c>
      <c r="C293" s="643" t="s">
        <v>1820</v>
      </c>
      <c r="D293" s="3087">
        <v>1</v>
      </c>
      <c r="E293" s="3088" t="str">
        <f t="shared" si="37"/>
        <v>未分配利润</v>
      </c>
      <c r="F293" s="3089" t="s">
        <v>1821</v>
      </c>
      <c r="G293" s="3090">
        <f t="shared" si="38"/>
        <v>-787982.98</v>
      </c>
      <c r="H293" s="3091">
        <f t="shared" ca="1" si="39"/>
        <v>-787982.98</v>
      </c>
      <c r="I293" s="3093">
        <f t="shared" ca="1" si="40"/>
        <v>0</v>
      </c>
      <c r="J293" s="3072" t="str">
        <f t="shared" ca="1" si="41"/>
        <v>√</v>
      </c>
      <c r="K293" s="3090">
        <f t="shared" si="45"/>
        <v>13291633.890000001</v>
      </c>
      <c r="L293" s="3071">
        <f t="shared" ca="1" si="42"/>
        <v>13291633.890000001</v>
      </c>
      <c r="M293" s="3093">
        <f t="shared" ca="1" si="43"/>
        <v>0</v>
      </c>
      <c r="N293" s="3072" t="str">
        <f t="shared" ca="1" si="44"/>
        <v>√</v>
      </c>
      <c r="O293" s="3099"/>
      <c r="P293" s="3100"/>
      <c r="Q293" s="3100"/>
      <c r="R293" s="3100"/>
      <c r="S293" s="3101" t="s">
        <v>295</v>
      </c>
      <c r="T293" s="3101" t="s">
        <v>213</v>
      </c>
      <c r="U293" s="3102"/>
      <c r="V293" s="3102" t="s">
        <v>295</v>
      </c>
      <c r="W293" s="3102" t="s">
        <v>6797</v>
      </c>
      <c r="X293" s="3102" t="s">
        <v>6798</v>
      </c>
      <c r="Y293" s="3103" t="s">
        <v>164</v>
      </c>
    </row>
    <row r="294" spans="1:25" ht="24" hidden="1">
      <c r="A294" s="1304"/>
      <c r="B294" s="643">
        <v>4200</v>
      </c>
      <c r="C294" s="643" t="s">
        <v>1824</v>
      </c>
      <c r="D294" s="3087">
        <v>2</v>
      </c>
      <c r="E294" s="3088" t="str">
        <f t="shared" si="37"/>
        <v>未分配利润</v>
      </c>
      <c r="F294" s="3089" t="s">
        <v>1825</v>
      </c>
      <c r="G294" s="3090">
        <f t="shared" si="38"/>
        <v>-787982.98</v>
      </c>
      <c r="H294" s="3091">
        <f t="shared" ca="1" si="39"/>
        <v>-257562.14</v>
      </c>
      <c r="I294" s="3093" t="s">
        <v>6803</v>
      </c>
      <c r="J294" s="3072"/>
      <c r="K294" s="3090">
        <f t="shared" si="45"/>
        <v>13291633.890000001</v>
      </c>
      <c r="L294" s="3071" t="s">
        <v>6799</v>
      </c>
      <c r="M294" s="3093" t="s">
        <v>6803</v>
      </c>
      <c r="N294" s="3072"/>
      <c r="O294" s="3099"/>
      <c r="P294" s="3100"/>
      <c r="Q294" s="3100"/>
      <c r="R294" s="3100"/>
      <c r="S294" s="3101" t="s">
        <v>295</v>
      </c>
      <c r="T294" s="3101" t="s">
        <v>213</v>
      </c>
      <c r="U294" s="3102"/>
      <c r="V294" s="3102" t="s">
        <v>295</v>
      </c>
      <c r="W294" s="3102" t="s">
        <v>6797</v>
      </c>
      <c r="X294" s="3102" t="s">
        <v>213</v>
      </c>
      <c r="Y294" s="3103" t="s">
        <v>164</v>
      </c>
    </row>
    <row r="295" spans="1:25" ht="24" hidden="1">
      <c r="A295" s="1304"/>
      <c r="B295" s="643"/>
      <c r="C295" s="643" t="s">
        <v>1844</v>
      </c>
      <c r="D295" s="3087">
        <v>3</v>
      </c>
      <c r="E295" s="3088" t="str">
        <f t="shared" si="37"/>
        <v xml:space="preserve">        ----</v>
      </c>
      <c r="F295" s="3089" t="s">
        <v>1845</v>
      </c>
      <c r="G295" s="3090" t="str">
        <f t="shared" si="38"/>
        <v xml:space="preserve">        ----</v>
      </c>
      <c r="H295" s="3091">
        <f t="shared" ca="1" si="39"/>
        <v>34251580.890000001</v>
      </c>
      <c r="I295" s="3093" t="s">
        <v>6803</v>
      </c>
      <c r="J295" s="3072"/>
      <c r="K295" s="3090" t="str">
        <f t="shared" si="45"/>
        <v xml:space="preserve">        ----</v>
      </c>
      <c r="L295" s="3071">
        <f t="shared" ref="L295:L300" ca="1" si="46">INDIRECT("Notes!CheckB"&amp;$C295)</f>
        <v>21384532.949999999</v>
      </c>
      <c r="M295" s="3093" t="s">
        <v>6803</v>
      </c>
      <c r="N295" s="3072"/>
      <c r="O295" s="3099"/>
      <c r="P295" s="3100"/>
      <c r="Q295" s="3100"/>
      <c r="R295" s="3100"/>
      <c r="S295" s="3101" t="s">
        <v>295</v>
      </c>
      <c r="T295" s="3101" t="s">
        <v>213</v>
      </c>
      <c r="U295" s="3102"/>
      <c r="V295" s="3102" t="s">
        <v>295</v>
      </c>
      <c r="W295" s="3102" t="s">
        <v>6797</v>
      </c>
      <c r="X295" s="3102" t="s">
        <v>6798</v>
      </c>
      <c r="Y295" s="3103" t="s">
        <v>164</v>
      </c>
    </row>
    <row r="296" spans="1:25" ht="18">
      <c r="A296" s="1304"/>
      <c r="B296" s="643">
        <v>6001</v>
      </c>
      <c r="C296" s="643" t="s">
        <v>1848</v>
      </c>
      <c r="D296" s="3087">
        <v>1</v>
      </c>
      <c r="E296" s="3088" t="str">
        <f t="shared" si="37"/>
        <v>营业收入</v>
      </c>
      <c r="F296" s="3089" t="s">
        <v>1849</v>
      </c>
      <c r="G296" s="3090">
        <f t="shared" si="38"/>
        <v>34251580.890000001</v>
      </c>
      <c r="H296" s="3091">
        <f t="shared" ca="1" si="39"/>
        <v>34251580.890000001</v>
      </c>
      <c r="I296" s="3093">
        <f ca="1">IF(AND(LEN(G296)&gt;0,LEN(H296)&gt;0),ROUND(SUM(G296)-SUM(H296),2),"")</f>
        <v>0</v>
      </c>
      <c r="J296" s="3072" t="str">
        <f ca="1">IF(ISNA(I296),"N/A",IF(I296=0,"√","？"))</f>
        <v>√</v>
      </c>
      <c r="K296" s="3090">
        <f t="shared" si="45"/>
        <v>37369847.649999999</v>
      </c>
      <c r="L296" s="3071">
        <f t="shared" ca="1" si="46"/>
        <v>37369847.649999999</v>
      </c>
      <c r="M296" s="3093">
        <f ca="1">IF(AND(LEN(K296)&gt;0,LEN(L296)&gt;0),ROUND(SUM(K296)-SUM(L296),2),"")</f>
        <v>0</v>
      </c>
      <c r="N296" s="3072" t="str">
        <f ca="1">IF(ISNA(M296),"N/A",IF(M296=0,"√","？"))</f>
        <v>√</v>
      </c>
      <c r="O296" s="3099"/>
      <c r="P296" s="3100"/>
      <c r="Q296" s="3100"/>
      <c r="R296" s="3100"/>
      <c r="S296" s="3101" t="s">
        <v>295</v>
      </c>
      <c r="T296" s="3101" t="s">
        <v>213</v>
      </c>
      <c r="U296" s="3102"/>
      <c r="V296" s="3102" t="s">
        <v>295</v>
      </c>
      <c r="W296" s="3102" t="s">
        <v>6797</v>
      </c>
      <c r="X296" s="3102" t="s">
        <v>6798</v>
      </c>
      <c r="Y296" s="3103" t="s">
        <v>164</v>
      </c>
    </row>
    <row r="297" spans="1:25" ht="18">
      <c r="A297" s="1304"/>
      <c r="B297" s="643">
        <v>6401</v>
      </c>
      <c r="C297" s="643" t="s">
        <v>1851</v>
      </c>
      <c r="D297" s="3087">
        <v>1</v>
      </c>
      <c r="E297" s="3088" t="str">
        <f t="shared" si="37"/>
        <v>营业成本</v>
      </c>
      <c r="F297" s="3089" t="s">
        <v>1852</v>
      </c>
      <c r="G297" s="3090">
        <f t="shared" si="38"/>
        <v>21384532.949999999</v>
      </c>
      <c r="H297" s="3091">
        <f t="shared" ca="1" si="39"/>
        <v>21384532.949999999</v>
      </c>
      <c r="I297" s="3093">
        <f ca="1">IF(AND(LEN(G297)&gt;0,LEN(H297)&gt;0),ROUND(SUM(G297)-SUM(H297),2),"")</f>
        <v>0</v>
      </c>
      <c r="J297" s="3072" t="str">
        <f ca="1">IF(ISNA(I297),"N/A",IF(I297=0,"√","？"))</f>
        <v>√</v>
      </c>
      <c r="K297" s="3090">
        <f t="shared" si="45"/>
        <v>23934591.690000001</v>
      </c>
      <c r="L297" s="3071">
        <f t="shared" ca="1" si="46"/>
        <v>23934591.690000001</v>
      </c>
      <c r="M297" s="3093">
        <f ca="1">IF(AND(LEN(K297)&gt;0,LEN(L297)&gt;0),ROUND(SUM(K297)-SUM(L297),2),"")</f>
        <v>0</v>
      </c>
      <c r="N297" s="3072" t="str">
        <f ca="1">IF(ISNA(M297),"N/A",IF(M297=0,"√","？"))</f>
        <v>√</v>
      </c>
      <c r="O297" s="3099"/>
      <c r="P297" s="3100"/>
      <c r="Q297" s="3100"/>
      <c r="R297" s="3100"/>
      <c r="S297" s="3101" t="s">
        <v>295</v>
      </c>
      <c r="T297" s="3101" t="s">
        <v>213</v>
      </c>
      <c r="U297" s="3102"/>
      <c r="V297" s="3102" t="s">
        <v>295</v>
      </c>
      <c r="W297" s="3102" t="s">
        <v>6797</v>
      </c>
      <c r="X297" s="3102" t="s">
        <v>6798</v>
      </c>
      <c r="Y297" s="3103" t="s">
        <v>164</v>
      </c>
    </row>
    <row r="298" spans="1:25" ht="24" hidden="1">
      <c r="A298" s="1304"/>
      <c r="B298" s="643"/>
      <c r="C298" s="643" t="s">
        <v>1854</v>
      </c>
      <c r="D298" s="3087">
        <v>3</v>
      </c>
      <c r="E298" s="3088" t="str">
        <f t="shared" si="37"/>
        <v xml:space="preserve">        ----</v>
      </c>
      <c r="F298" s="3089" t="s">
        <v>1855</v>
      </c>
      <c r="G298" s="3090" t="str">
        <f t="shared" si="38"/>
        <v xml:space="preserve">        ----</v>
      </c>
      <c r="H298" s="3091">
        <f t="shared" ca="1" si="39"/>
        <v>12984573.49</v>
      </c>
      <c r="I298" s="3093" t="s">
        <v>6803</v>
      </c>
      <c r="J298" s="3072"/>
      <c r="K298" s="3090" t="str">
        <f t="shared" si="45"/>
        <v xml:space="preserve">        ----</v>
      </c>
      <c r="L298" s="3071">
        <f t="shared" ca="1" si="46"/>
        <v>13460346.98</v>
      </c>
      <c r="M298" s="3093" t="s">
        <v>6803</v>
      </c>
      <c r="N298" s="3072"/>
      <c r="O298" s="3099"/>
      <c r="P298" s="3100"/>
      <c r="Q298" s="3100"/>
      <c r="R298" s="3100"/>
      <c r="S298" s="3101" t="s">
        <v>295</v>
      </c>
      <c r="T298" s="3101" t="s">
        <v>213</v>
      </c>
      <c r="U298" s="3102"/>
      <c r="V298" s="3102" t="s">
        <v>295</v>
      </c>
      <c r="W298" s="3102" t="s">
        <v>6797</v>
      </c>
      <c r="X298" s="3102" t="s">
        <v>6800</v>
      </c>
      <c r="Y298" s="3103" t="s">
        <v>164</v>
      </c>
    </row>
    <row r="299" spans="1:25" ht="18" hidden="1">
      <c r="A299" s="1304"/>
      <c r="B299" s="643"/>
      <c r="C299" s="643" t="s">
        <v>1859</v>
      </c>
      <c r="D299" s="3087">
        <v>3</v>
      </c>
      <c r="E299" s="3088" t="str">
        <f t="shared" si="37"/>
        <v xml:space="preserve">        ----</v>
      </c>
      <c r="F299" s="3089" t="s">
        <v>1860</v>
      </c>
      <c r="G299" s="3090" t="str">
        <f t="shared" si="38"/>
        <v xml:space="preserve">        ----</v>
      </c>
      <c r="H299" s="3091">
        <f t="shared" ca="1" si="39"/>
        <v>0</v>
      </c>
      <c r="I299" s="3093" t="s">
        <v>6803</v>
      </c>
      <c r="J299" s="3072"/>
      <c r="K299" s="3090" t="str">
        <f t="shared" si="45"/>
        <v xml:space="preserve">        ----</v>
      </c>
      <c r="L299" s="3071">
        <f t="shared" ca="1" si="46"/>
        <v>0</v>
      </c>
      <c r="M299" s="3093" t="s">
        <v>6803</v>
      </c>
      <c r="N299" s="3072"/>
      <c r="O299" s="3099"/>
      <c r="P299" s="3100"/>
      <c r="Q299" s="3100"/>
      <c r="R299" s="3100"/>
      <c r="S299" s="3101" t="s">
        <v>295</v>
      </c>
      <c r="T299" s="3101" t="s">
        <v>213</v>
      </c>
      <c r="U299" s="3102"/>
      <c r="V299" s="3102" t="s">
        <v>295</v>
      </c>
      <c r="W299" s="3102" t="s">
        <v>6797</v>
      </c>
      <c r="X299" s="3102" t="s">
        <v>6800</v>
      </c>
      <c r="Y299" s="3103" t="s">
        <v>164</v>
      </c>
    </row>
    <row r="300" spans="1:25" ht="18" hidden="1">
      <c r="A300" s="1304"/>
      <c r="B300" s="643"/>
      <c r="C300" s="643" t="s">
        <v>1863</v>
      </c>
      <c r="D300" s="3087">
        <v>3</v>
      </c>
      <c r="E300" s="3088" t="str">
        <f t="shared" si="37"/>
        <v xml:space="preserve">        ----</v>
      </c>
      <c r="F300" s="3089" t="s">
        <v>1864</v>
      </c>
      <c r="G300" s="3090" t="str">
        <f t="shared" si="38"/>
        <v xml:space="preserve">        ----</v>
      </c>
      <c r="H300" s="3091">
        <f t="shared" ca="1" si="39"/>
        <v>0</v>
      </c>
      <c r="I300" s="3093" t="s">
        <v>6803</v>
      </c>
      <c r="J300" s="3072"/>
      <c r="K300" s="3090" t="str">
        <f t="shared" si="45"/>
        <v xml:space="preserve">        ----</v>
      </c>
      <c r="L300" s="3071">
        <f t="shared" ca="1" si="46"/>
        <v>0</v>
      </c>
      <c r="M300" s="3093" t="s">
        <v>6803</v>
      </c>
      <c r="N300" s="3072"/>
      <c r="O300" s="3099"/>
      <c r="P300" s="3100"/>
      <c r="Q300" s="3100"/>
      <c r="R300" s="3100"/>
      <c r="S300" s="3101" t="s">
        <v>295</v>
      </c>
      <c r="T300" s="3101" t="s">
        <v>213</v>
      </c>
      <c r="U300" s="3102"/>
      <c r="V300" s="3102" t="s">
        <v>295</v>
      </c>
      <c r="W300" s="3102" t="s">
        <v>6797</v>
      </c>
      <c r="X300" s="3102" t="s">
        <v>6800</v>
      </c>
      <c r="Y300" s="3103" t="s">
        <v>164</v>
      </c>
    </row>
    <row r="301" spans="1:25" ht="18" hidden="1">
      <c r="A301" s="1304"/>
      <c r="B301" s="643">
        <v>6001</v>
      </c>
      <c r="C301" s="643" t="s">
        <v>1868</v>
      </c>
      <c r="D301" s="3087">
        <v>2</v>
      </c>
      <c r="E301" s="3088" t="str">
        <f t="shared" si="37"/>
        <v>营业收入</v>
      </c>
      <c r="F301" s="3089" t="s">
        <v>1869</v>
      </c>
      <c r="G301" s="3090">
        <f t="shared" si="38"/>
        <v>34251580.890000001</v>
      </c>
      <c r="H301" s="3091" t="s">
        <v>6799</v>
      </c>
      <c r="I301" s="3093" t="s">
        <v>6803</v>
      </c>
      <c r="J301" s="3072"/>
      <c r="K301" s="3090">
        <f t="shared" si="45"/>
        <v>37369847.649999999</v>
      </c>
      <c r="L301" s="3071" t="s">
        <v>6799</v>
      </c>
      <c r="M301" s="3093" t="s">
        <v>6803</v>
      </c>
      <c r="N301" s="3072"/>
      <c r="O301" s="3099"/>
      <c r="P301" s="3100"/>
      <c r="Q301" s="3100"/>
      <c r="R301" s="3100"/>
      <c r="S301" s="3101" t="s">
        <v>295</v>
      </c>
      <c r="T301" s="3101" t="s">
        <v>213</v>
      </c>
      <c r="U301" s="3102"/>
      <c r="V301" s="3102" t="s">
        <v>295</v>
      </c>
      <c r="W301" s="3102" t="s">
        <v>6797</v>
      </c>
      <c r="X301" s="3102" t="s">
        <v>213</v>
      </c>
      <c r="Y301" s="3103" t="s">
        <v>164</v>
      </c>
    </row>
    <row r="302" spans="1:25" ht="18" hidden="1">
      <c r="A302" s="1304"/>
      <c r="B302" s="643">
        <v>6401</v>
      </c>
      <c r="C302" s="643" t="s">
        <v>1872</v>
      </c>
      <c r="D302" s="3087">
        <v>2</v>
      </c>
      <c r="E302" s="3088" t="str">
        <f t="shared" si="37"/>
        <v>营业成本</v>
      </c>
      <c r="F302" s="3089" t="s">
        <v>1873</v>
      </c>
      <c r="G302" s="3090">
        <f t="shared" si="38"/>
        <v>21384532.949999999</v>
      </c>
      <c r="H302" s="3091" t="s">
        <v>6799</v>
      </c>
      <c r="I302" s="3093" t="s">
        <v>6803</v>
      </c>
      <c r="J302" s="3072"/>
      <c r="K302" s="3090">
        <f t="shared" si="45"/>
        <v>23934591.690000001</v>
      </c>
      <c r="L302" s="3071" t="s">
        <v>6799</v>
      </c>
      <c r="M302" s="3093" t="s">
        <v>6803</v>
      </c>
      <c r="N302" s="3072"/>
      <c r="O302" s="3099"/>
      <c r="P302" s="3100"/>
      <c r="Q302" s="3100"/>
      <c r="R302" s="3100"/>
      <c r="S302" s="3101" t="s">
        <v>295</v>
      </c>
      <c r="T302" s="3101" t="s">
        <v>213</v>
      </c>
      <c r="U302" s="3102"/>
      <c r="V302" s="3102" t="s">
        <v>295</v>
      </c>
      <c r="W302" s="3102" t="s">
        <v>6797</v>
      </c>
      <c r="X302" s="3102" t="s">
        <v>213</v>
      </c>
      <c r="Y302" s="3103" t="s">
        <v>164</v>
      </c>
    </row>
    <row r="303" spans="1:25" ht="18" hidden="1">
      <c r="A303" s="1304"/>
      <c r="B303" s="643">
        <v>6001</v>
      </c>
      <c r="C303" s="643" t="s">
        <v>1840</v>
      </c>
      <c r="D303" s="3087">
        <v>2</v>
      </c>
      <c r="E303" s="3088" t="str">
        <f t="shared" si="37"/>
        <v>营业收入</v>
      </c>
      <c r="F303" s="3089" t="s">
        <v>1841</v>
      </c>
      <c r="G303" s="3090">
        <f t="shared" si="38"/>
        <v>34251580.890000001</v>
      </c>
      <c r="H303" s="3091">
        <f t="shared" ref="H303:H346" ca="1" si="47">INDIRECT("Notes!CheckA"&amp;$C303)</f>
        <v>0</v>
      </c>
      <c r="I303" s="3093" t="s">
        <v>6803</v>
      </c>
      <c r="J303" s="3072"/>
      <c r="K303" s="3090">
        <f t="shared" si="45"/>
        <v>37369847.649999999</v>
      </c>
      <c r="L303" s="3071">
        <f t="shared" ref="L303:L327" ca="1" si="48">INDIRECT("Notes!CheckB"&amp;$C303)</f>
        <v>0</v>
      </c>
      <c r="M303" s="3093" t="s">
        <v>6803</v>
      </c>
      <c r="N303" s="3072"/>
      <c r="O303" s="3099"/>
      <c r="P303" s="3100"/>
      <c r="Q303" s="3100"/>
      <c r="R303" s="3100"/>
      <c r="S303" s="3101" t="s">
        <v>295</v>
      </c>
      <c r="T303" s="3101" t="s">
        <v>213</v>
      </c>
      <c r="U303" s="3102"/>
      <c r="V303" s="3102" t="s">
        <v>295</v>
      </c>
      <c r="W303" s="3102" t="s">
        <v>6797</v>
      </c>
      <c r="X303" s="3102" t="s">
        <v>213</v>
      </c>
      <c r="Y303" s="3103" t="s">
        <v>164</v>
      </c>
    </row>
    <row r="304" spans="1:25" ht="18" hidden="1">
      <c r="A304" s="1304"/>
      <c r="B304" s="643">
        <v>6401</v>
      </c>
      <c r="C304" s="643" t="s">
        <v>1894</v>
      </c>
      <c r="D304" s="3087">
        <v>2</v>
      </c>
      <c r="E304" s="3088" t="str">
        <f t="shared" si="37"/>
        <v>营业成本</v>
      </c>
      <c r="F304" s="3089" t="s">
        <v>1895</v>
      </c>
      <c r="G304" s="3090">
        <f t="shared" si="38"/>
        <v>21384532.949999999</v>
      </c>
      <c r="H304" s="3091">
        <f t="shared" ca="1" si="47"/>
        <v>0</v>
      </c>
      <c r="I304" s="3093" t="s">
        <v>6803</v>
      </c>
      <c r="J304" s="3072"/>
      <c r="K304" s="3090">
        <f t="shared" si="45"/>
        <v>23934591.690000001</v>
      </c>
      <c r="L304" s="3071">
        <f t="shared" ca="1" si="48"/>
        <v>0</v>
      </c>
      <c r="M304" s="3093" t="s">
        <v>6803</v>
      </c>
      <c r="N304" s="3072"/>
      <c r="O304" s="3099"/>
      <c r="P304" s="3100"/>
      <c r="Q304" s="3100"/>
      <c r="R304" s="3100"/>
      <c r="S304" s="3101" t="s">
        <v>295</v>
      </c>
      <c r="T304" s="3101" t="s">
        <v>213</v>
      </c>
      <c r="U304" s="3102"/>
      <c r="V304" s="3102" t="s">
        <v>295</v>
      </c>
      <c r="W304" s="3102" t="s">
        <v>6797</v>
      </c>
      <c r="X304" s="3102" t="s">
        <v>213</v>
      </c>
      <c r="Y304" s="3103" t="s">
        <v>164</v>
      </c>
    </row>
    <row r="305" spans="1:25" ht="18">
      <c r="A305" s="1304"/>
      <c r="B305" s="643">
        <v>6600</v>
      </c>
      <c r="C305" s="643" t="s">
        <v>1897</v>
      </c>
      <c r="D305" s="3087">
        <v>1</v>
      </c>
      <c r="E305" s="3088" t="str">
        <f t="shared" si="37"/>
        <v>税金及附加</v>
      </c>
      <c r="F305" s="3089" t="s">
        <v>1898</v>
      </c>
      <c r="G305" s="3090">
        <f t="shared" si="38"/>
        <v>740280.52</v>
      </c>
      <c r="H305" s="3091">
        <f t="shared" ca="1" si="47"/>
        <v>740280.52</v>
      </c>
      <c r="I305" s="3093">
        <f ca="1">IF(AND(LEN(G305)&gt;0,LEN(H305)&gt;0),ROUND(SUM(G305)-SUM(H305),2),"")</f>
        <v>0</v>
      </c>
      <c r="J305" s="3072" t="str">
        <f ca="1">IF(ISNA(I305),"N/A",IF(I305=0,"√","？"))</f>
        <v>√</v>
      </c>
      <c r="K305" s="3090">
        <f t="shared" si="45"/>
        <v>816515.77</v>
      </c>
      <c r="L305" s="3071">
        <f t="shared" ca="1" si="48"/>
        <v>816515.77</v>
      </c>
      <c r="M305" s="3093">
        <f ca="1">IF(AND(LEN(K305)&gt;0,LEN(L305)&gt;0),ROUND(SUM(K305)-SUM(L305),2),"")</f>
        <v>0</v>
      </c>
      <c r="N305" s="3072" t="str">
        <f ca="1">IF(ISNA(M305),"N/A",IF(M305=0,"√","？"))</f>
        <v>√</v>
      </c>
      <c r="O305" s="3099"/>
      <c r="P305" s="3100"/>
      <c r="Q305" s="3100"/>
      <c r="R305" s="3100"/>
      <c r="S305" s="3101" t="s">
        <v>295</v>
      </c>
      <c r="T305" s="3101" t="s">
        <v>213</v>
      </c>
      <c r="U305" s="3102"/>
      <c r="V305" s="3102" t="s">
        <v>295</v>
      </c>
      <c r="W305" s="3102" t="s">
        <v>6797</v>
      </c>
      <c r="X305" s="3102" t="s">
        <v>6798</v>
      </c>
      <c r="Y305" s="3103" t="s">
        <v>164</v>
      </c>
    </row>
    <row r="306" spans="1:25" ht="18" hidden="1">
      <c r="A306" s="1304"/>
      <c r="B306" s="643">
        <v>6600</v>
      </c>
      <c r="C306" s="643" t="s">
        <v>1901</v>
      </c>
      <c r="D306" s="3087">
        <v>2</v>
      </c>
      <c r="E306" s="3088" t="str">
        <f t="shared" si="37"/>
        <v>税金及附加</v>
      </c>
      <c r="F306" s="3089" t="s">
        <v>1902</v>
      </c>
      <c r="G306" s="3090">
        <f t="shared" si="38"/>
        <v>740280.52</v>
      </c>
      <c r="H306" s="3091">
        <f t="shared" ca="1" si="47"/>
        <v>0</v>
      </c>
      <c r="I306" s="3093" t="s">
        <v>6803</v>
      </c>
      <c r="J306" s="3072"/>
      <c r="K306" s="3090">
        <f t="shared" si="45"/>
        <v>816515.77</v>
      </c>
      <c r="L306" s="3071">
        <f t="shared" ca="1" si="48"/>
        <v>0</v>
      </c>
      <c r="M306" s="3093" t="s">
        <v>6803</v>
      </c>
      <c r="N306" s="3072"/>
      <c r="O306" s="3099"/>
      <c r="P306" s="3100"/>
      <c r="Q306" s="3100"/>
      <c r="R306" s="3100"/>
      <c r="S306" s="3101" t="s">
        <v>295</v>
      </c>
      <c r="T306" s="3101" t="s">
        <v>213</v>
      </c>
      <c r="U306" s="3102"/>
      <c r="V306" s="3102" t="s">
        <v>295</v>
      </c>
      <c r="W306" s="3102" t="s">
        <v>6797</v>
      </c>
      <c r="X306" s="3102" t="s">
        <v>213</v>
      </c>
      <c r="Y306" s="3103" t="s">
        <v>164</v>
      </c>
    </row>
    <row r="307" spans="1:25" ht="18">
      <c r="A307" s="1304"/>
      <c r="B307" s="643">
        <v>6601</v>
      </c>
      <c r="C307" s="643" t="s">
        <v>1905</v>
      </c>
      <c r="D307" s="3087">
        <v>1</v>
      </c>
      <c r="E307" s="3088" t="str">
        <f t="shared" si="37"/>
        <v>销售费用</v>
      </c>
      <c r="F307" s="3089" t="s">
        <v>1906</v>
      </c>
      <c r="G307" s="3090">
        <f t="shared" si="38"/>
        <v>5573302.79</v>
      </c>
      <c r="H307" s="3091">
        <f t="shared" ca="1" si="47"/>
        <v>5573302.79</v>
      </c>
      <c r="I307" s="3093">
        <f ca="1">IF(AND(LEN(G307)&gt;0,LEN(H307)&gt;0),ROUND(SUM(G307)-SUM(H307),2),"")</f>
        <v>0</v>
      </c>
      <c r="J307" s="3072" t="str">
        <f ca="1">IF(ISNA(I307),"N/A",IF(I307=0,"√","？"))</f>
        <v>√</v>
      </c>
      <c r="K307" s="3090">
        <f t="shared" si="45"/>
        <v>5670698.4400000004</v>
      </c>
      <c r="L307" s="3071">
        <f t="shared" ca="1" si="48"/>
        <v>5670698.4400000004</v>
      </c>
      <c r="M307" s="3093">
        <f ca="1">IF(AND(LEN(K307)&gt;0,LEN(L307)&gt;0),ROUND(SUM(K307)-SUM(L307),2),"")</f>
        <v>0</v>
      </c>
      <c r="N307" s="3072" t="str">
        <f ca="1">IF(ISNA(M307),"N/A",IF(M307=0,"√","？"))</f>
        <v>√</v>
      </c>
      <c r="O307" s="3099"/>
      <c r="P307" s="3100"/>
      <c r="Q307" s="3100"/>
      <c r="R307" s="3100"/>
      <c r="S307" s="3101" t="s">
        <v>295</v>
      </c>
      <c r="T307" s="3101" t="s">
        <v>213</v>
      </c>
      <c r="U307" s="3102"/>
      <c r="V307" s="3102" t="s">
        <v>295</v>
      </c>
      <c r="W307" s="3102" t="s">
        <v>6797</v>
      </c>
      <c r="X307" s="3102" t="s">
        <v>6798</v>
      </c>
      <c r="Y307" s="3103" t="s">
        <v>164</v>
      </c>
    </row>
    <row r="308" spans="1:25" ht="18" hidden="1">
      <c r="A308" s="1304"/>
      <c r="B308" s="643">
        <v>6601</v>
      </c>
      <c r="C308" s="643" t="s">
        <v>1910</v>
      </c>
      <c r="D308" s="3087">
        <v>2</v>
      </c>
      <c r="E308" s="3088" t="str">
        <f t="shared" si="37"/>
        <v>销售费用</v>
      </c>
      <c r="F308" s="3089" t="s">
        <v>1911</v>
      </c>
      <c r="G308" s="3090">
        <f t="shared" si="38"/>
        <v>5573302.79</v>
      </c>
      <c r="H308" s="3091">
        <f t="shared" ca="1" si="47"/>
        <v>333933.34000000003</v>
      </c>
      <c r="I308" s="3093" t="s">
        <v>6803</v>
      </c>
      <c r="J308" s="3072"/>
      <c r="K308" s="3090">
        <f t="shared" si="45"/>
        <v>5670698.4400000004</v>
      </c>
      <c r="L308" s="3071">
        <f t="shared" ca="1" si="48"/>
        <v>437408.25</v>
      </c>
      <c r="M308" s="3093" t="s">
        <v>6803</v>
      </c>
      <c r="N308" s="3072"/>
      <c r="O308" s="3099"/>
      <c r="P308" s="3100"/>
      <c r="Q308" s="3100"/>
      <c r="R308" s="3100"/>
      <c r="S308" s="3101" t="s">
        <v>295</v>
      </c>
      <c r="T308" s="3101" t="s">
        <v>213</v>
      </c>
      <c r="U308" s="3102"/>
      <c r="V308" s="3102" t="s">
        <v>295</v>
      </c>
      <c r="W308" s="3102" t="s">
        <v>6797</v>
      </c>
      <c r="X308" s="3102" t="s">
        <v>213</v>
      </c>
      <c r="Y308" s="3103" t="s">
        <v>164</v>
      </c>
    </row>
    <row r="309" spans="1:25" ht="18">
      <c r="A309" s="1304"/>
      <c r="B309" s="643">
        <v>6602</v>
      </c>
      <c r="C309" s="643" t="s">
        <v>1913</v>
      </c>
      <c r="D309" s="3087">
        <v>1</v>
      </c>
      <c r="E309" s="3088" t="str">
        <f t="shared" si="37"/>
        <v>管理费用</v>
      </c>
      <c r="F309" s="3089" t="s">
        <v>1914</v>
      </c>
      <c r="G309" s="3090">
        <f t="shared" si="38"/>
        <v>3943436.51</v>
      </c>
      <c r="H309" s="3091">
        <f t="shared" ca="1" si="47"/>
        <v>3943436.51</v>
      </c>
      <c r="I309" s="3093">
        <f ca="1">IF(AND(LEN(G309)&gt;0,LEN(H309)&gt;0),ROUND(SUM(G309)-SUM(H309),2),"")</f>
        <v>0</v>
      </c>
      <c r="J309" s="3072" t="str">
        <f ca="1">IF(ISNA(I309),"N/A",IF(I309=0,"√","？"))</f>
        <v>√</v>
      </c>
      <c r="K309" s="3090">
        <f t="shared" si="45"/>
        <v>2881011.76</v>
      </c>
      <c r="L309" s="3071">
        <f t="shared" ca="1" si="48"/>
        <v>2881011.76</v>
      </c>
      <c r="M309" s="3093">
        <f ca="1">IF(AND(LEN(K309)&gt;0,LEN(L309)&gt;0),ROUND(SUM(K309)-SUM(L309),2),"")</f>
        <v>0</v>
      </c>
      <c r="N309" s="3072" t="str">
        <f ca="1">IF(ISNA(M309),"N/A",IF(M309=0,"√","？"))</f>
        <v>√</v>
      </c>
      <c r="O309" s="3099"/>
      <c r="P309" s="3100"/>
      <c r="Q309" s="3100"/>
      <c r="R309" s="3100"/>
      <c r="S309" s="3101" t="s">
        <v>295</v>
      </c>
      <c r="T309" s="3101" t="s">
        <v>213</v>
      </c>
      <c r="U309" s="3102"/>
      <c r="V309" s="3102" t="s">
        <v>295</v>
      </c>
      <c r="W309" s="3102" t="s">
        <v>6797</v>
      </c>
      <c r="X309" s="3102" t="s">
        <v>6798</v>
      </c>
      <c r="Y309" s="3103" t="s">
        <v>164</v>
      </c>
    </row>
    <row r="310" spans="1:25" ht="18" hidden="1">
      <c r="A310" s="1304"/>
      <c r="B310" s="643">
        <v>6602</v>
      </c>
      <c r="C310" s="643" t="s">
        <v>1916</v>
      </c>
      <c r="D310" s="3087">
        <v>2</v>
      </c>
      <c r="E310" s="3088" t="str">
        <f t="shared" si="37"/>
        <v>管理费用</v>
      </c>
      <c r="F310" s="3089" t="s">
        <v>1917</v>
      </c>
      <c r="G310" s="3090">
        <f t="shared" si="38"/>
        <v>3943436.51</v>
      </c>
      <c r="H310" s="3091">
        <f t="shared" ca="1" si="47"/>
        <v>0</v>
      </c>
      <c r="I310" s="3093" t="s">
        <v>6803</v>
      </c>
      <c r="J310" s="3072"/>
      <c r="K310" s="3090">
        <f t="shared" si="45"/>
        <v>2881011.76</v>
      </c>
      <c r="L310" s="3071">
        <f t="shared" ca="1" si="48"/>
        <v>0</v>
      </c>
      <c r="M310" s="3093" t="s">
        <v>6803</v>
      </c>
      <c r="N310" s="3072"/>
      <c r="O310" s="3099"/>
      <c r="P310" s="3100"/>
      <c r="Q310" s="3100"/>
      <c r="R310" s="3100"/>
      <c r="S310" s="3101" t="s">
        <v>295</v>
      </c>
      <c r="T310" s="3101" t="s">
        <v>213</v>
      </c>
      <c r="U310" s="3102"/>
      <c r="V310" s="3102" t="s">
        <v>295</v>
      </c>
      <c r="W310" s="3102" t="s">
        <v>6797</v>
      </c>
      <c r="X310" s="3102" t="s">
        <v>213</v>
      </c>
      <c r="Y310" s="3103" t="s">
        <v>164</v>
      </c>
    </row>
    <row r="311" spans="1:25" ht="18" hidden="1">
      <c r="A311" s="1304"/>
      <c r="B311" s="643">
        <v>6606</v>
      </c>
      <c r="C311" s="643" t="s">
        <v>6169</v>
      </c>
      <c r="D311" s="3087">
        <v>2</v>
      </c>
      <c r="E311" s="3088" t="str">
        <f t="shared" si="37"/>
        <v>研发费用</v>
      </c>
      <c r="F311" s="3089" t="s">
        <v>6170</v>
      </c>
      <c r="G311" s="3090">
        <f t="shared" si="38"/>
        <v>4398818.97</v>
      </c>
      <c r="H311" s="3091">
        <f t="shared" ca="1" si="47"/>
        <v>0</v>
      </c>
      <c r="I311" s="3093" t="s">
        <v>6803</v>
      </c>
      <c r="J311" s="3072"/>
      <c r="K311" s="3090">
        <f t="shared" si="45"/>
        <v>3908463.7</v>
      </c>
      <c r="L311" s="3071">
        <f t="shared" ca="1" si="48"/>
        <v>0</v>
      </c>
      <c r="M311" s="3093" t="s">
        <v>6803</v>
      </c>
      <c r="N311" s="3072"/>
      <c r="O311" s="3099"/>
      <c r="P311" s="3100"/>
      <c r="Q311" s="3100"/>
      <c r="R311" s="3100"/>
      <c r="S311" s="3101" t="s">
        <v>295</v>
      </c>
      <c r="T311" s="3101" t="s">
        <v>213</v>
      </c>
      <c r="U311" s="3102"/>
      <c r="V311" s="3102" t="s">
        <v>295</v>
      </c>
      <c r="W311" s="3102" t="s">
        <v>6797</v>
      </c>
      <c r="X311" s="3102" t="s">
        <v>213</v>
      </c>
      <c r="Y311" s="3103" t="s">
        <v>164</v>
      </c>
    </row>
    <row r="312" spans="1:25" ht="18">
      <c r="A312" s="1304"/>
      <c r="B312" s="643">
        <v>6606</v>
      </c>
      <c r="C312" s="643" t="s">
        <v>1924</v>
      </c>
      <c r="D312" s="3087">
        <v>1</v>
      </c>
      <c r="E312" s="3088" t="str">
        <f t="shared" si="37"/>
        <v>研发费用</v>
      </c>
      <c r="F312" s="3089" t="s">
        <v>1925</v>
      </c>
      <c r="G312" s="3090">
        <f t="shared" si="38"/>
        <v>4398818.97</v>
      </c>
      <c r="H312" s="3091">
        <f t="shared" ca="1" si="47"/>
        <v>4398818.97</v>
      </c>
      <c r="I312" s="3093">
        <f ca="1">IF(AND(LEN(G312)&gt;0,LEN(H312)&gt;0),ROUND(SUM(G312)-SUM(H312),2),"")</f>
        <v>0</v>
      </c>
      <c r="J312" s="3072" t="str">
        <f ca="1">IF(ISNA(I312),"N/A",IF(I312=0,"√","？"))</f>
        <v>√</v>
      </c>
      <c r="K312" s="3090">
        <f t="shared" si="45"/>
        <v>3908463.7</v>
      </c>
      <c r="L312" s="3071">
        <f t="shared" ca="1" si="48"/>
        <v>3908463.7</v>
      </c>
      <c r="M312" s="3093">
        <f ca="1">IF(AND(LEN(K312)&gt;0,LEN(L312)&gt;0),ROUND(SUM(K312)-SUM(L312),2),"")</f>
        <v>0</v>
      </c>
      <c r="N312" s="3072" t="str">
        <f ca="1">IF(ISNA(M312),"N/A",IF(M312=0,"√","？"))</f>
        <v>√</v>
      </c>
      <c r="O312" s="3099"/>
      <c r="P312" s="3100"/>
      <c r="Q312" s="3100"/>
      <c r="R312" s="3100"/>
      <c r="S312" s="3101" t="s">
        <v>295</v>
      </c>
      <c r="T312" s="3101" t="s">
        <v>213</v>
      </c>
      <c r="U312" s="3102"/>
      <c r="V312" s="3102" t="s">
        <v>295</v>
      </c>
      <c r="W312" s="3102" t="s">
        <v>6797</v>
      </c>
      <c r="X312" s="3102" t="s">
        <v>6798</v>
      </c>
      <c r="Y312" s="3103" t="s">
        <v>164</v>
      </c>
    </row>
    <row r="313" spans="1:25" ht="18">
      <c r="A313" s="1304"/>
      <c r="B313" s="643">
        <v>6603</v>
      </c>
      <c r="C313" s="643" t="s">
        <v>1919</v>
      </c>
      <c r="D313" s="3087">
        <v>1</v>
      </c>
      <c r="E313" s="3088" t="str">
        <f t="shared" si="37"/>
        <v>财务费用</v>
      </c>
      <c r="F313" s="3089" t="s">
        <v>1920</v>
      </c>
      <c r="G313" s="3090">
        <f t="shared" si="38"/>
        <v>47156.11</v>
      </c>
      <c r="H313" s="3091">
        <f t="shared" ca="1" si="47"/>
        <v>47156.11</v>
      </c>
      <c r="I313" s="3093">
        <f ca="1">IF(AND(LEN(G313)&gt;0,LEN(H313)&gt;0),ROUND(SUM(G313)-SUM(H313),2),"")</f>
        <v>0</v>
      </c>
      <c r="J313" s="3072" t="str">
        <f ca="1">IF(ISNA(I313),"N/A",IF(I313=0,"√","？"))</f>
        <v>√</v>
      </c>
      <c r="K313" s="3090">
        <f t="shared" si="45"/>
        <v>353161.16</v>
      </c>
      <c r="L313" s="3071">
        <f t="shared" ca="1" si="48"/>
        <v>353161.16</v>
      </c>
      <c r="M313" s="3093">
        <f ca="1">IF(AND(LEN(K313)&gt;0,LEN(L313)&gt;0),ROUND(SUM(K313)-SUM(L313),2),"")</f>
        <v>0</v>
      </c>
      <c r="N313" s="3072" t="str">
        <f ca="1">IF(ISNA(M313),"N/A",IF(M313=0,"√","？"))</f>
        <v>√</v>
      </c>
      <c r="O313" s="3099"/>
      <c r="P313" s="3100"/>
      <c r="Q313" s="3100"/>
      <c r="R313" s="3100"/>
      <c r="S313" s="3101" t="s">
        <v>295</v>
      </c>
      <c r="T313" s="3101" t="s">
        <v>213</v>
      </c>
      <c r="U313" s="3102"/>
      <c r="V313" s="3102" t="s">
        <v>295</v>
      </c>
      <c r="W313" s="3102" t="s">
        <v>6797</v>
      </c>
      <c r="X313" s="3102" t="s">
        <v>6798</v>
      </c>
      <c r="Y313" s="3103" t="s">
        <v>164</v>
      </c>
    </row>
    <row r="314" spans="1:25" ht="18" hidden="1">
      <c r="A314" s="1304"/>
      <c r="B314" s="643">
        <v>6603</v>
      </c>
      <c r="C314" s="643" t="s">
        <v>1922</v>
      </c>
      <c r="D314" s="3087">
        <v>2</v>
      </c>
      <c r="E314" s="3088" t="str">
        <f t="shared" si="37"/>
        <v>财务费用</v>
      </c>
      <c r="F314" s="3089" t="s">
        <v>1923</v>
      </c>
      <c r="G314" s="3090">
        <f t="shared" si="38"/>
        <v>47156.11</v>
      </c>
      <c r="H314" s="3091">
        <f t="shared" ca="1" si="47"/>
        <v>0</v>
      </c>
      <c r="I314" s="3093" t="s">
        <v>6803</v>
      </c>
      <c r="J314" s="3072"/>
      <c r="K314" s="3090">
        <f t="shared" si="45"/>
        <v>353161.16</v>
      </c>
      <c r="L314" s="3071">
        <f t="shared" ca="1" si="48"/>
        <v>0</v>
      </c>
      <c r="M314" s="3093" t="s">
        <v>6803</v>
      </c>
      <c r="N314" s="3072"/>
      <c r="O314" s="3099"/>
      <c r="P314" s="3100"/>
      <c r="Q314" s="3100"/>
      <c r="R314" s="3100"/>
      <c r="S314" s="3101" t="s">
        <v>295</v>
      </c>
      <c r="T314" s="3101" t="s">
        <v>213</v>
      </c>
      <c r="U314" s="3102"/>
      <c r="V314" s="3102" t="s">
        <v>295</v>
      </c>
      <c r="W314" s="3102" t="s">
        <v>6797</v>
      </c>
      <c r="X314" s="3102" t="s">
        <v>213</v>
      </c>
      <c r="Y314" s="3103" t="s">
        <v>164</v>
      </c>
    </row>
    <row r="315" spans="1:25" ht="18">
      <c r="A315" s="1304"/>
      <c r="B315" s="643">
        <v>6181</v>
      </c>
      <c r="C315" s="643" t="s">
        <v>1891</v>
      </c>
      <c r="D315" s="3087">
        <v>1</v>
      </c>
      <c r="E315" s="3088" t="str">
        <f t="shared" si="37"/>
        <v>其他收益</v>
      </c>
      <c r="F315" s="3089" t="s">
        <v>1892</v>
      </c>
      <c r="G315" s="3090">
        <f t="shared" si="38"/>
        <v>715900</v>
      </c>
      <c r="H315" s="3091">
        <f t="shared" ca="1" si="47"/>
        <v>715900</v>
      </c>
      <c r="I315" s="3093">
        <f t="shared" ref="I315:I322" ca="1" si="49">IF(AND(LEN(G315)&gt;0,LEN(H315)&gt;0),ROUND(SUM(G315)-SUM(H315),2),"")</f>
        <v>0</v>
      </c>
      <c r="J315" s="3072" t="str">
        <f t="shared" ref="J315:J322" ca="1" si="50">IF(ISNA(I315),"N/A",IF(I315=0,"√","？"))</f>
        <v>√</v>
      </c>
      <c r="K315" s="3090">
        <f t="shared" si="45"/>
        <v>80500</v>
      </c>
      <c r="L315" s="3071">
        <f t="shared" ca="1" si="48"/>
        <v>80500</v>
      </c>
      <c r="M315" s="3093">
        <f t="shared" ref="M315:M322" ca="1" si="51">IF(AND(LEN(K315)&gt;0,LEN(L315)&gt;0),ROUND(SUM(K315)-SUM(L315),2),"")</f>
        <v>0</v>
      </c>
      <c r="N315" s="3072" t="str">
        <f t="shared" ref="N315:N322" ca="1" si="52">IF(ISNA(M315),"N/A",IF(M315=0,"√","？"))</f>
        <v>√</v>
      </c>
      <c r="O315" s="3099"/>
      <c r="P315" s="3100"/>
      <c r="Q315" s="3100"/>
      <c r="R315" s="3100"/>
      <c r="S315" s="3101" t="s">
        <v>295</v>
      </c>
      <c r="T315" s="3101" t="s">
        <v>213</v>
      </c>
      <c r="U315" s="3102"/>
      <c r="V315" s="3102" t="s">
        <v>295</v>
      </c>
      <c r="W315" s="3102" t="s">
        <v>6797</v>
      </c>
      <c r="X315" s="3102" t="s">
        <v>6798</v>
      </c>
      <c r="Y315" s="3103" t="s">
        <v>164</v>
      </c>
    </row>
    <row r="316" spans="1:25" ht="18">
      <c r="A316" s="1304"/>
      <c r="B316" s="643">
        <v>6111</v>
      </c>
      <c r="C316" s="643" t="s">
        <v>1885</v>
      </c>
      <c r="D316" s="3087">
        <v>1</v>
      </c>
      <c r="E316" s="3088" t="str">
        <f t="shared" si="37"/>
        <v>投资收益</v>
      </c>
      <c r="F316" s="3089" t="s">
        <v>6457</v>
      </c>
      <c r="G316" s="3090">
        <f t="shared" si="38"/>
        <v>41851.06</v>
      </c>
      <c r="H316" s="3091">
        <f t="shared" ca="1" si="47"/>
        <v>41851.06</v>
      </c>
      <c r="I316" s="3093">
        <f t="shared" ca="1" si="49"/>
        <v>0</v>
      </c>
      <c r="J316" s="3072" t="str">
        <f t="shared" ca="1" si="50"/>
        <v>√</v>
      </c>
      <c r="K316" s="3090">
        <f t="shared" si="45"/>
        <v>38200.720000000001</v>
      </c>
      <c r="L316" s="3071">
        <f t="shared" ca="1" si="48"/>
        <v>38200.720000000001</v>
      </c>
      <c r="M316" s="3093">
        <f t="shared" ca="1" si="51"/>
        <v>0</v>
      </c>
      <c r="N316" s="3072" t="str">
        <f t="shared" ca="1" si="52"/>
        <v>√</v>
      </c>
      <c r="O316" s="3099"/>
      <c r="P316" s="3100"/>
      <c r="Q316" s="3100"/>
      <c r="R316" s="3100"/>
      <c r="S316" s="3101" t="s">
        <v>295</v>
      </c>
      <c r="T316" s="3101" t="s">
        <v>213</v>
      </c>
      <c r="U316" s="3102"/>
      <c r="V316" s="3102" t="s">
        <v>295</v>
      </c>
      <c r="W316" s="3102" t="s">
        <v>6797</v>
      </c>
      <c r="X316" s="3102" t="s">
        <v>6798</v>
      </c>
      <c r="Y316" s="3103" t="s">
        <v>164</v>
      </c>
    </row>
    <row r="317" spans="1:25" ht="24">
      <c r="A317" s="1304"/>
      <c r="B317" s="643">
        <v>6102</v>
      </c>
      <c r="C317" s="643" t="s">
        <v>1882</v>
      </c>
      <c r="D317" s="3087">
        <v>1</v>
      </c>
      <c r="E317" s="3088" t="str">
        <f t="shared" si="37"/>
        <v>净敞口套期收益</v>
      </c>
      <c r="F317" s="3089" t="s">
        <v>1883</v>
      </c>
      <c r="G317" s="3090">
        <f t="shared" si="38"/>
        <v>0</v>
      </c>
      <c r="H317" s="3091">
        <f t="shared" ca="1" si="47"/>
        <v>0</v>
      </c>
      <c r="I317" s="3093">
        <f t="shared" ca="1" si="49"/>
        <v>0</v>
      </c>
      <c r="J317" s="3072" t="str">
        <f t="shared" ca="1" si="50"/>
        <v>√</v>
      </c>
      <c r="K317" s="3090">
        <f t="shared" si="45"/>
        <v>0</v>
      </c>
      <c r="L317" s="3071">
        <f t="shared" ca="1" si="48"/>
        <v>0</v>
      </c>
      <c r="M317" s="3093">
        <f t="shared" ca="1" si="51"/>
        <v>0</v>
      </c>
      <c r="N317" s="3072" t="str">
        <f t="shared" ca="1" si="52"/>
        <v>√</v>
      </c>
      <c r="O317" s="3099"/>
      <c r="P317" s="3100"/>
      <c r="Q317" s="3100"/>
      <c r="R317" s="3100"/>
      <c r="S317" s="3101" t="s">
        <v>295</v>
      </c>
      <c r="T317" s="3101" t="s">
        <v>213</v>
      </c>
      <c r="U317" s="3102"/>
      <c r="V317" s="3102" t="s">
        <v>295</v>
      </c>
      <c r="W317" s="3102" t="s">
        <v>145</v>
      </c>
      <c r="X317" s="3102" t="s">
        <v>6800</v>
      </c>
      <c r="Y317" s="3103" t="s">
        <v>119</v>
      </c>
    </row>
    <row r="318" spans="1:25" ht="24">
      <c r="A318" s="1304"/>
      <c r="B318" s="643">
        <v>6101</v>
      </c>
      <c r="C318" s="643" t="s">
        <v>6091</v>
      </c>
      <c r="D318" s="3087">
        <v>1</v>
      </c>
      <c r="E318" s="3088" t="str">
        <f t="shared" si="37"/>
        <v>公允价值变动收益</v>
      </c>
      <c r="F318" s="3089" t="s">
        <v>6092</v>
      </c>
      <c r="G318" s="3090">
        <f t="shared" si="38"/>
        <v>0</v>
      </c>
      <c r="H318" s="3091">
        <f t="shared" ca="1" si="47"/>
        <v>0</v>
      </c>
      <c r="I318" s="3093">
        <f t="shared" ca="1" si="49"/>
        <v>0</v>
      </c>
      <c r="J318" s="3072" t="str">
        <f t="shared" ca="1" si="50"/>
        <v>√</v>
      </c>
      <c r="K318" s="3090">
        <f t="shared" si="45"/>
        <v>0</v>
      </c>
      <c r="L318" s="3071">
        <f t="shared" ca="1" si="48"/>
        <v>0</v>
      </c>
      <c r="M318" s="3093">
        <f t="shared" ca="1" si="51"/>
        <v>0</v>
      </c>
      <c r="N318" s="3072" t="str">
        <f t="shared" ca="1" si="52"/>
        <v>√</v>
      </c>
      <c r="O318" s="3099"/>
      <c r="P318" s="3100"/>
      <c r="Q318" s="3100"/>
      <c r="R318" s="3100"/>
      <c r="S318" s="3101" t="s">
        <v>295</v>
      </c>
      <c r="T318" s="3101" t="s">
        <v>213</v>
      </c>
      <c r="U318" s="3102"/>
      <c r="V318" s="3102" t="s">
        <v>295</v>
      </c>
      <c r="W318" s="3102" t="s">
        <v>145</v>
      </c>
      <c r="X318" s="3102" t="s">
        <v>6800</v>
      </c>
      <c r="Y318" s="3103" t="s">
        <v>119</v>
      </c>
    </row>
    <row r="319" spans="1:25" ht="18">
      <c r="A319" s="1304"/>
      <c r="B319" s="643">
        <v>6672</v>
      </c>
      <c r="C319" s="643" t="s">
        <v>1930</v>
      </c>
      <c r="D319" s="3087">
        <v>1</v>
      </c>
      <c r="E319" s="3088" t="str">
        <f t="shared" si="37"/>
        <v>信用减值损失</v>
      </c>
      <c r="F319" s="3089" t="s">
        <v>1931</v>
      </c>
      <c r="G319" s="3090">
        <f t="shared" si="38"/>
        <v>-1923898.24</v>
      </c>
      <c r="H319" s="3091">
        <f t="shared" ca="1" si="47"/>
        <v>-1923898.24</v>
      </c>
      <c r="I319" s="3093">
        <f t="shared" ca="1" si="49"/>
        <v>0</v>
      </c>
      <c r="J319" s="3072" t="str">
        <f t="shared" ca="1" si="50"/>
        <v>√</v>
      </c>
      <c r="K319" s="3090">
        <f t="shared" si="45"/>
        <v>0</v>
      </c>
      <c r="L319" s="3071">
        <f t="shared" ca="1" si="48"/>
        <v>0</v>
      </c>
      <c r="M319" s="3093">
        <f t="shared" ca="1" si="51"/>
        <v>0</v>
      </c>
      <c r="N319" s="3072" t="str">
        <f t="shared" ca="1" si="52"/>
        <v>√</v>
      </c>
      <c r="O319" s="3099"/>
      <c r="P319" s="3100"/>
      <c r="Q319" s="3100"/>
      <c r="R319" s="3100"/>
      <c r="S319" s="3101" t="s">
        <v>295</v>
      </c>
      <c r="T319" s="3101" t="s">
        <v>213</v>
      </c>
      <c r="U319" s="3102"/>
      <c r="V319" s="3102" t="s">
        <v>295</v>
      </c>
      <c r="W319" s="3102" t="s">
        <v>145</v>
      </c>
      <c r="X319" s="3102" t="s">
        <v>6800</v>
      </c>
      <c r="Y319" s="3103" t="s">
        <v>119</v>
      </c>
    </row>
    <row r="320" spans="1:25" ht="18">
      <c r="A320" s="1304"/>
      <c r="B320" s="643">
        <v>6671</v>
      </c>
      <c r="C320" s="643" t="s">
        <v>1927</v>
      </c>
      <c r="D320" s="3087">
        <v>1</v>
      </c>
      <c r="E320" s="3088" t="str">
        <f t="shared" si="37"/>
        <v>资产减值损失</v>
      </c>
      <c r="F320" s="3089" t="s">
        <v>1928</v>
      </c>
      <c r="G320" s="3090">
        <f t="shared" si="38"/>
        <v>-864640.09</v>
      </c>
      <c r="H320" s="3091">
        <f t="shared" ca="1" si="47"/>
        <v>-864640.09</v>
      </c>
      <c r="I320" s="3093">
        <f t="shared" ca="1" si="49"/>
        <v>0</v>
      </c>
      <c r="J320" s="3072" t="str">
        <f t="shared" ca="1" si="50"/>
        <v>√</v>
      </c>
      <c r="K320" s="3090">
        <f t="shared" si="45"/>
        <v>198814.86</v>
      </c>
      <c r="L320" s="3071">
        <f t="shared" ca="1" si="48"/>
        <v>198814.86</v>
      </c>
      <c r="M320" s="3093">
        <f t="shared" ca="1" si="51"/>
        <v>0</v>
      </c>
      <c r="N320" s="3072" t="str">
        <f t="shared" ca="1" si="52"/>
        <v>√</v>
      </c>
      <c r="O320" s="3099"/>
      <c r="P320" s="3100"/>
      <c r="Q320" s="3100"/>
      <c r="R320" s="3100"/>
      <c r="S320" s="3101" t="s">
        <v>295</v>
      </c>
      <c r="T320" s="3101" t="s">
        <v>213</v>
      </c>
      <c r="U320" s="3102"/>
      <c r="V320" s="3102" t="s">
        <v>295</v>
      </c>
      <c r="W320" s="3102" t="s">
        <v>6797</v>
      </c>
      <c r="X320" s="3102" t="s">
        <v>6798</v>
      </c>
      <c r="Y320" s="3103" t="s">
        <v>164</v>
      </c>
    </row>
    <row r="321" spans="1:25" ht="18">
      <c r="A321" s="1304"/>
      <c r="B321" s="643">
        <v>6171</v>
      </c>
      <c r="C321" s="643" t="s">
        <v>1888</v>
      </c>
      <c r="D321" s="3087">
        <v>1</v>
      </c>
      <c r="E321" s="3088" t="str">
        <f t="shared" si="37"/>
        <v>资产处置收益</v>
      </c>
      <c r="F321" s="3089" t="s">
        <v>1889</v>
      </c>
      <c r="G321" s="3090">
        <f t="shared" si="38"/>
        <v>0</v>
      </c>
      <c r="H321" s="3091">
        <f t="shared" ca="1" si="47"/>
        <v>0</v>
      </c>
      <c r="I321" s="3093">
        <f t="shared" ca="1" si="49"/>
        <v>0</v>
      </c>
      <c r="J321" s="3072" t="str">
        <f t="shared" ca="1" si="50"/>
        <v>√</v>
      </c>
      <c r="K321" s="3090">
        <f t="shared" si="45"/>
        <v>456.04</v>
      </c>
      <c r="L321" s="3071">
        <f t="shared" ca="1" si="48"/>
        <v>456.04</v>
      </c>
      <c r="M321" s="3093">
        <f t="shared" ca="1" si="51"/>
        <v>0</v>
      </c>
      <c r="N321" s="3072" t="str">
        <f t="shared" ca="1" si="52"/>
        <v>√</v>
      </c>
      <c r="O321" s="3099"/>
      <c r="P321" s="3100"/>
      <c r="Q321" s="3100"/>
      <c r="R321" s="3100"/>
      <c r="S321" s="3101" t="s">
        <v>295</v>
      </c>
      <c r="T321" s="3101" t="s">
        <v>213</v>
      </c>
      <c r="U321" s="3102"/>
      <c r="V321" s="3102" t="s">
        <v>295</v>
      </c>
      <c r="W321" s="3102" t="s">
        <v>6797</v>
      </c>
      <c r="X321" s="3102" t="s">
        <v>6798</v>
      </c>
      <c r="Y321" s="3103" t="s">
        <v>164</v>
      </c>
    </row>
    <row r="322" spans="1:25" ht="18">
      <c r="A322" s="1304"/>
      <c r="B322" s="643">
        <v>6710</v>
      </c>
      <c r="C322" s="643" t="s">
        <v>1933</v>
      </c>
      <c r="D322" s="3087">
        <v>1</v>
      </c>
      <c r="E322" s="3088" t="str">
        <f t="shared" si="37"/>
        <v>营业外收入</v>
      </c>
      <c r="F322" s="3089" t="s">
        <v>1934</v>
      </c>
      <c r="G322" s="3090">
        <f t="shared" si="38"/>
        <v>1.06</v>
      </c>
      <c r="H322" s="3091">
        <f t="shared" ca="1" si="47"/>
        <v>1.06</v>
      </c>
      <c r="I322" s="3093">
        <f t="shared" ca="1" si="49"/>
        <v>0</v>
      </c>
      <c r="J322" s="3072" t="str">
        <f t="shared" ca="1" si="50"/>
        <v>√</v>
      </c>
      <c r="K322" s="3090">
        <f t="shared" si="45"/>
        <v>0</v>
      </c>
      <c r="L322" s="3071">
        <f t="shared" ca="1" si="48"/>
        <v>0</v>
      </c>
      <c r="M322" s="3093">
        <f t="shared" ca="1" si="51"/>
        <v>0</v>
      </c>
      <c r="N322" s="3072" t="str">
        <f t="shared" ca="1" si="52"/>
        <v>√</v>
      </c>
      <c r="O322" s="3099"/>
      <c r="P322" s="3100"/>
      <c r="Q322" s="3100"/>
      <c r="R322" s="3100"/>
      <c r="S322" s="3101" t="s">
        <v>295</v>
      </c>
      <c r="T322" s="3101" t="s">
        <v>213</v>
      </c>
      <c r="U322" s="3102"/>
      <c r="V322" s="3102" t="s">
        <v>295</v>
      </c>
      <c r="W322" s="3102" t="s">
        <v>6797</v>
      </c>
      <c r="X322" s="3102" t="s">
        <v>6798</v>
      </c>
      <c r="Y322" s="3103" t="s">
        <v>164</v>
      </c>
    </row>
    <row r="323" spans="1:25" ht="24" hidden="1">
      <c r="A323" s="1304"/>
      <c r="B323" s="643">
        <v>6710</v>
      </c>
      <c r="C323" s="643" t="s">
        <v>1935</v>
      </c>
      <c r="D323" s="3087">
        <v>2</v>
      </c>
      <c r="E323" s="3088" t="str">
        <f t="shared" si="37"/>
        <v>营业外收入</v>
      </c>
      <c r="F323" s="3089" t="s">
        <v>1936</v>
      </c>
      <c r="G323" s="3090">
        <f t="shared" si="38"/>
        <v>1.06</v>
      </c>
      <c r="H323" s="3091">
        <f t="shared" ca="1" si="47"/>
        <v>0</v>
      </c>
      <c r="I323" s="3093" t="s">
        <v>6803</v>
      </c>
      <c r="J323" s="3072"/>
      <c r="K323" s="3090">
        <f t="shared" si="45"/>
        <v>0</v>
      </c>
      <c r="L323" s="3071">
        <f t="shared" ca="1" si="48"/>
        <v>0</v>
      </c>
      <c r="M323" s="3093" t="s">
        <v>6803</v>
      </c>
      <c r="N323" s="3072"/>
      <c r="O323" s="3099"/>
      <c r="P323" s="3100"/>
      <c r="Q323" s="3100"/>
      <c r="R323" s="3100"/>
      <c r="S323" s="3101" t="s">
        <v>295</v>
      </c>
      <c r="T323" s="3101" t="s">
        <v>213</v>
      </c>
      <c r="U323" s="3102"/>
      <c r="V323" s="3102" t="s">
        <v>295</v>
      </c>
      <c r="W323" s="3102" t="s">
        <v>6797</v>
      </c>
      <c r="X323" s="3102" t="s">
        <v>6798</v>
      </c>
      <c r="Y323" s="3103" t="s">
        <v>164</v>
      </c>
    </row>
    <row r="324" spans="1:25" ht="18">
      <c r="A324" s="1304"/>
      <c r="B324" s="643">
        <v>6711</v>
      </c>
      <c r="C324" s="643" t="s">
        <v>1937</v>
      </c>
      <c r="D324" s="3087">
        <v>1</v>
      </c>
      <c r="E324" s="3088" t="str">
        <f t="shared" si="37"/>
        <v>营业外支出</v>
      </c>
      <c r="F324" s="3089" t="s">
        <v>1938</v>
      </c>
      <c r="G324" s="3090">
        <f t="shared" si="38"/>
        <v>21970.3</v>
      </c>
      <c r="H324" s="3091">
        <f t="shared" ca="1" si="47"/>
        <v>21970.3</v>
      </c>
      <c r="I324" s="3093">
        <f ca="1">IF(AND(LEN(G324)&gt;0,LEN(H324)&gt;0),ROUND(SUM(G324)-SUM(H324),2),"")</f>
        <v>0</v>
      </c>
      <c r="J324" s="3072" t="str">
        <f ca="1">IF(ISNA(I324),"N/A",IF(I324=0,"√","？"))</f>
        <v>√</v>
      </c>
      <c r="K324" s="3090">
        <f t="shared" si="45"/>
        <v>88651.11</v>
      </c>
      <c r="L324" s="3071">
        <f t="shared" ca="1" si="48"/>
        <v>88651.11</v>
      </c>
      <c r="M324" s="3093">
        <f ca="1">IF(AND(LEN(K324)&gt;0,LEN(L324)&gt;0),ROUND(SUM(K324)-SUM(L324),2),"")</f>
        <v>0</v>
      </c>
      <c r="N324" s="3072" t="str">
        <f ca="1">IF(ISNA(M324),"N/A",IF(M324=0,"√","？"))</f>
        <v>√</v>
      </c>
      <c r="O324" s="3099"/>
      <c r="P324" s="3100"/>
      <c r="Q324" s="3100"/>
      <c r="R324" s="3100"/>
      <c r="S324" s="3101" t="s">
        <v>295</v>
      </c>
      <c r="T324" s="3101" t="s">
        <v>213</v>
      </c>
      <c r="U324" s="3102"/>
      <c r="V324" s="3102" t="s">
        <v>295</v>
      </c>
      <c r="W324" s="3102" t="s">
        <v>6797</v>
      </c>
      <c r="X324" s="3102" t="s">
        <v>6798</v>
      </c>
      <c r="Y324" s="3103" t="s">
        <v>164</v>
      </c>
    </row>
    <row r="325" spans="1:25" ht="18">
      <c r="A325" s="1304"/>
      <c r="B325" s="643">
        <v>6791</v>
      </c>
      <c r="C325" s="643" t="s">
        <v>1939</v>
      </c>
      <c r="D325" s="3087">
        <v>1</v>
      </c>
      <c r="E325" s="3088" t="str">
        <f t="shared" si="37"/>
        <v>所得税费用</v>
      </c>
      <c r="F325" s="3089" t="s">
        <v>1940</v>
      </c>
      <c r="G325" s="3090">
        <f t="shared" si="38"/>
        <v>-538795.14</v>
      </c>
      <c r="H325" s="3091">
        <f t="shared" ca="1" si="47"/>
        <v>-538795.14</v>
      </c>
      <c r="I325" s="3093">
        <f ca="1">IF(AND(LEN(G325)&gt;0,LEN(H325)&gt;0),ROUND(SUM(G325)-SUM(H325),2),"")</f>
        <v>0</v>
      </c>
      <c r="J325" s="3072" t="str">
        <f ca="1">IF(ISNA(I325),"N/A",IF(I325=0,"√","？"))</f>
        <v>√</v>
      </c>
      <c r="K325" s="3090">
        <f t="shared" si="45"/>
        <v>-485503.27</v>
      </c>
      <c r="L325" s="3071">
        <f t="shared" ca="1" si="48"/>
        <v>-485503.27</v>
      </c>
      <c r="M325" s="3093">
        <f ca="1">IF(AND(LEN(K325)&gt;0,LEN(L325)&gt;0),ROUND(SUM(K325)-SUM(L325),2),"")</f>
        <v>0</v>
      </c>
      <c r="N325" s="3072" t="str">
        <f ca="1">IF(ISNA(M325),"N/A",IF(M325=0,"√","？"))</f>
        <v>√</v>
      </c>
      <c r="O325" s="3099"/>
      <c r="P325" s="3100"/>
      <c r="Q325" s="3100"/>
      <c r="R325" s="3100"/>
      <c r="S325" s="3101" t="s">
        <v>295</v>
      </c>
      <c r="T325" s="3101" t="s">
        <v>213</v>
      </c>
      <c r="U325" s="3102"/>
      <c r="V325" s="3102" t="s">
        <v>295</v>
      </c>
      <c r="W325" s="3102" t="s">
        <v>6797</v>
      </c>
      <c r="X325" s="3102" t="s">
        <v>6798</v>
      </c>
      <c r="Y325" s="3103" t="s">
        <v>164</v>
      </c>
    </row>
    <row r="326" spans="1:25" ht="24" hidden="1">
      <c r="A326" s="1304"/>
      <c r="B326" s="643">
        <v>6791</v>
      </c>
      <c r="C326" s="643" t="s">
        <v>1941</v>
      </c>
      <c r="D326" s="3087">
        <v>2</v>
      </c>
      <c r="E326" s="3088" t="str">
        <f t="shared" si="37"/>
        <v>所得税费用</v>
      </c>
      <c r="F326" s="3089" t="s">
        <v>1942</v>
      </c>
      <c r="G326" s="3090">
        <f t="shared" si="38"/>
        <v>-538795.14</v>
      </c>
      <c r="H326" s="3091">
        <f t="shared" ca="1" si="47"/>
        <v>-538795.14</v>
      </c>
      <c r="I326" s="3093" t="s">
        <v>6803</v>
      </c>
      <c r="J326" s="3072"/>
      <c r="K326" s="3090">
        <f t="shared" si="45"/>
        <v>-485503.27</v>
      </c>
      <c r="L326" s="3071">
        <f t="shared" ca="1" si="48"/>
        <v>-485503.27</v>
      </c>
      <c r="M326" s="3093" t="s">
        <v>6803</v>
      </c>
      <c r="N326" s="3072"/>
      <c r="O326" s="3099"/>
      <c r="P326" s="3100"/>
      <c r="Q326" s="3100"/>
      <c r="R326" s="3100"/>
      <c r="S326" s="3101" t="s">
        <v>295</v>
      </c>
      <c r="T326" s="3101" t="s">
        <v>213</v>
      </c>
      <c r="U326" s="3102"/>
      <c r="V326" s="3102" t="s">
        <v>295</v>
      </c>
      <c r="W326" s="3102" t="s">
        <v>6797</v>
      </c>
      <c r="X326" s="3102" t="s">
        <v>6800</v>
      </c>
      <c r="Y326" s="3103" t="s">
        <v>164</v>
      </c>
    </row>
    <row r="327" spans="1:25" ht="24">
      <c r="A327" s="1304"/>
      <c r="B327" s="643">
        <v>7046</v>
      </c>
      <c r="C327" s="643" t="s">
        <v>1946</v>
      </c>
      <c r="D327" s="3087">
        <v>1</v>
      </c>
      <c r="E327" s="3088" t="str">
        <f t="shared" si="37"/>
        <v>收到其他与经营活动有关的现金</v>
      </c>
      <c r="F327" s="3089" t="s">
        <v>1947</v>
      </c>
      <c r="G327" s="3090">
        <f t="shared" si="38"/>
        <v>872175.39</v>
      </c>
      <c r="H327" s="3091">
        <f t="shared" ca="1" si="47"/>
        <v>872175.39</v>
      </c>
      <c r="I327" s="3093">
        <f ca="1">IF(AND(LEN(G327)&gt;0,LEN(H327)&gt;0),ROUND(SUM(G327)-SUM(H327),2),"")</f>
        <v>0</v>
      </c>
      <c r="J327" s="3072" t="str">
        <f ca="1">IF(ISNA(I327),"N/A",IF(I327=0,"√","？"))</f>
        <v>√</v>
      </c>
      <c r="K327" s="3090">
        <f t="shared" si="45"/>
        <v>7228566.7800000003</v>
      </c>
      <c r="L327" s="3071">
        <f t="shared" ca="1" si="48"/>
        <v>7228566.7800000003</v>
      </c>
      <c r="M327" s="3093">
        <f ca="1">IF(AND(LEN(K327)&gt;0,LEN(L327)&gt;0),ROUND(SUM(K327)-SUM(L327),2),"")</f>
        <v>0</v>
      </c>
      <c r="N327" s="3072" t="str">
        <f ca="1">IF(ISNA(M327),"N/A",IF(M327=0,"√","？"))</f>
        <v>√</v>
      </c>
      <c r="O327" s="3099"/>
      <c r="P327" s="3100"/>
      <c r="Q327" s="3100"/>
      <c r="R327" s="3100"/>
      <c r="S327" s="3101" t="s">
        <v>295</v>
      </c>
      <c r="T327" s="3101" t="s">
        <v>213</v>
      </c>
      <c r="U327" s="3102"/>
      <c r="V327" s="3102" t="s">
        <v>295</v>
      </c>
      <c r="W327" s="3102" t="s">
        <v>6797</v>
      </c>
      <c r="X327" s="3102" t="s">
        <v>6800</v>
      </c>
      <c r="Y327" s="3103" t="s">
        <v>164</v>
      </c>
    </row>
    <row r="328" spans="1:25" ht="24" hidden="1">
      <c r="A328" s="1304"/>
      <c r="B328" s="643">
        <v>7046</v>
      </c>
      <c r="C328" s="643" t="s">
        <v>1948</v>
      </c>
      <c r="D328" s="3087">
        <v>2</v>
      </c>
      <c r="E328" s="3088" t="str">
        <f t="shared" si="37"/>
        <v>收到其他与经营活动有关的现金</v>
      </c>
      <c r="F328" s="3089" t="s">
        <v>1949</v>
      </c>
      <c r="G328" s="3090">
        <f t="shared" si="38"/>
        <v>872175.39</v>
      </c>
      <c r="H328" s="3091">
        <f t="shared" ca="1" si="47"/>
        <v>0</v>
      </c>
      <c r="I328" s="3093" t="s">
        <v>6803</v>
      </c>
      <c r="J328" s="3072"/>
      <c r="K328" s="3090">
        <f t="shared" si="45"/>
        <v>7228566.7800000003</v>
      </c>
      <c r="L328" s="3071" t="s">
        <v>6799</v>
      </c>
      <c r="M328" s="3093" t="s">
        <v>6803</v>
      </c>
      <c r="N328" s="3072"/>
      <c r="O328" s="3099"/>
      <c r="P328" s="3100"/>
      <c r="Q328" s="3100"/>
      <c r="R328" s="3100"/>
      <c r="S328" s="3101" t="s">
        <v>295</v>
      </c>
      <c r="T328" s="3101" t="s">
        <v>213</v>
      </c>
      <c r="U328" s="3102">
        <v>7046</v>
      </c>
      <c r="V328" s="3102" t="s">
        <v>295</v>
      </c>
      <c r="W328" s="3102" t="s">
        <v>6797</v>
      </c>
      <c r="X328" s="3102" t="s">
        <v>213</v>
      </c>
      <c r="Y328" s="3103" t="s">
        <v>164</v>
      </c>
    </row>
    <row r="329" spans="1:25" ht="24">
      <c r="A329" s="1304"/>
      <c r="B329" s="643">
        <v>7096</v>
      </c>
      <c r="C329" s="643" t="s">
        <v>1957</v>
      </c>
      <c r="D329" s="3087">
        <v>1</v>
      </c>
      <c r="E329" s="3088" t="str">
        <f t="shared" ref="E329:E392" si="53">IF(ISERROR(VLOOKUP($B329,Sheet_Items,2,0)),"        ----",VLOOKUP($B329,Sheet_Items,2,0))</f>
        <v>支付其他与经营活动有关的现金</v>
      </c>
      <c r="F329" s="3089" t="s">
        <v>1958</v>
      </c>
      <c r="G329" s="3090">
        <f t="shared" ref="G329:G392" si="54">IF(ISERROR(VLOOKUP($B329,Sheet_Trialbal,6,0)),"        ----",VLOOKUP($B329,Sheet_Trialbal,6,0))</f>
        <v>5764273.5599999996</v>
      </c>
      <c r="H329" s="3091">
        <f t="shared" ca="1" si="47"/>
        <v>5764273.5599999996</v>
      </c>
      <c r="I329" s="3093">
        <f ca="1">IF(AND(LEN(G329)&gt;0,LEN(H329)&gt;0),ROUND(SUM(G329)-SUM(H329),2),"")</f>
        <v>0</v>
      </c>
      <c r="J329" s="3072" t="str">
        <f ca="1">IF(ISNA(I329),"N/A",IF(I329=0,"√","？"))</f>
        <v>√</v>
      </c>
      <c r="K329" s="3090">
        <f t="shared" si="45"/>
        <v>5868705.1299999999</v>
      </c>
      <c r="L329" s="3071">
        <f ca="1">INDIRECT("Notes!CheckB"&amp;$C329)</f>
        <v>5868705.1299999999</v>
      </c>
      <c r="M329" s="3093">
        <f ca="1">IF(AND(LEN(K329)&gt;0,LEN(L329)&gt;0),ROUND(SUM(K329)-SUM(L329),2),"")</f>
        <v>0</v>
      </c>
      <c r="N329" s="3072" t="str">
        <f ca="1">IF(ISNA(M329),"N/A",IF(M329=0,"√","？"))</f>
        <v>√</v>
      </c>
      <c r="O329" s="3099"/>
      <c r="P329" s="3100"/>
      <c r="Q329" s="3100"/>
      <c r="R329" s="3100"/>
      <c r="S329" s="3101" t="s">
        <v>295</v>
      </c>
      <c r="T329" s="3101" t="s">
        <v>213</v>
      </c>
      <c r="U329" s="3102"/>
      <c r="V329" s="3102" t="s">
        <v>295</v>
      </c>
      <c r="W329" s="3102" t="s">
        <v>6797</v>
      </c>
      <c r="X329" s="3102" t="s">
        <v>6800</v>
      </c>
      <c r="Y329" s="3103" t="s">
        <v>164</v>
      </c>
    </row>
    <row r="330" spans="1:25" ht="24" hidden="1">
      <c r="A330" s="1304"/>
      <c r="B330" s="643">
        <v>7096</v>
      </c>
      <c r="C330" s="643" t="s">
        <v>1960</v>
      </c>
      <c r="D330" s="3087">
        <v>2</v>
      </c>
      <c r="E330" s="3088" t="str">
        <f t="shared" si="53"/>
        <v>支付其他与经营活动有关的现金</v>
      </c>
      <c r="F330" s="3089" t="s">
        <v>1961</v>
      </c>
      <c r="G330" s="3090">
        <f t="shared" si="54"/>
        <v>5764273.5599999996</v>
      </c>
      <c r="H330" s="3091">
        <f t="shared" ca="1" si="47"/>
        <v>0</v>
      </c>
      <c r="I330" s="3093" t="s">
        <v>6803</v>
      </c>
      <c r="J330" s="3072"/>
      <c r="K330" s="3090">
        <f t="shared" si="45"/>
        <v>5868705.1299999999</v>
      </c>
      <c r="L330" s="3071" t="s">
        <v>6799</v>
      </c>
      <c r="M330" s="3093" t="s">
        <v>6803</v>
      </c>
      <c r="N330" s="3072"/>
      <c r="O330" s="3099"/>
      <c r="P330" s="3100"/>
      <c r="Q330" s="3100"/>
      <c r="R330" s="3100"/>
      <c r="S330" s="3101" t="s">
        <v>295</v>
      </c>
      <c r="T330" s="3101" t="s">
        <v>213</v>
      </c>
      <c r="U330" s="3102">
        <v>7096</v>
      </c>
      <c r="V330" s="3102" t="s">
        <v>295</v>
      </c>
      <c r="W330" s="3102" t="s">
        <v>6797</v>
      </c>
      <c r="X330" s="3102" t="s">
        <v>213</v>
      </c>
      <c r="Y330" s="3103" t="s">
        <v>164</v>
      </c>
    </row>
    <row r="331" spans="1:25" ht="24">
      <c r="A331" s="1304"/>
      <c r="B331" s="643">
        <v>7146</v>
      </c>
      <c r="C331" s="643" t="s">
        <v>1971</v>
      </c>
      <c r="D331" s="3087">
        <v>1</v>
      </c>
      <c r="E331" s="3088" t="str">
        <f t="shared" si="53"/>
        <v>收到其他与投资活动有关的现金</v>
      </c>
      <c r="F331" s="3089" t="s">
        <v>1972</v>
      </c>
      <c r="G331" s="3090">
        <f t="shared" si="54"/>
        <v>10464100</v>
      </c>
      <c r="H331" s="3091">
        <f t="shared" ca="1" si="47"/>
        <v>10464100</v>
      </c>
      <c r="I331" s="3093">
        <f ca="1">IF(AND(LEN(G331)&gt;0,LEN(H331)&gt;0),ROUND(SUM(G331)-SUM(H331),2),"")</f>
        <v>0</v>
      </c>
      <c r="J331" s="3072" t="str">
        <f ca="1">IF(ISNA(I331),"N/A",IF(I331=0,"√","？"))</f>
        <v>√</v>
      </c>
      <c r="K331" s="3090">
        <f t="shared" si="45"/>
        <v>0</v>
      </c>
      <c r="L331" s="3071">
        <f ca="1">INDIRECT("Notes!CheckB"&amp;$C331)</f>
        <v>0</v>
      </c>
      <c r="M331" s="3093">
        <f ca="1">IF(AND(LEN(K331)&gt;0,LEN(L331)&gt;0),ROUND(SUM(K331)-SUM(L331),2),"")</f>
        <v>0</v>
      </c>
      <c r="N331" s="3072" t="str">
        <f ca="1">IF(ISNA(M331),"N/A",IF(M331=0,"√","？"))</f>
        <v>√</v>
      </c>
      <c r="O331" s="3099"/>
      <c r="P331" s="3100"/>
      <c r="Q331" s="3100"/>
      <c r="R331" s="3100"/>
      <c r="S331" s="3101" t="s">
        <v>295</v>
      </c>
      <c r="T331" s="3101" t="s">
        <v>213</v>
      </c>
      <c r="U331" s="3102"/>
      <c r="V331" s="3102" t="s">
        <v>295</v>
      </c>
      <c r="W331" s="3102" t="s">
        <v>6797</v>
      </c>
      <c r="X331" s="3102" t="s">
        <v>6800</v>
      </c>
      <c r="Y331" s="3103" t="s">
        <v>164</v>
      </c>
    </row>
    <row r="332" spans="1:25" ht="24">
      <c r="A332" s="1304"/>
      <c r="B332" s="643">
        <v>7196</v>
      </c>
      <c r="C332" s="643" t="s">
        <v>1978</v>
      </c>
      <c r="D332" s="3087">
        <v>1</v>
      </c>
      <c r="E332" s="3088" t="str">
        <f t="shared" si="53"/>
        <v>支付其他与投资活动有关的现金</v>
      </c>
      <c r="F332" s="3089" t="s">
        <v>1979</v>
      </c>
      <c r="G332" s="3090">
        <f t="shared" si="54"/>
        <v>2900000</v>
      </c>
      <c r="H332" s="3091">
        <f t="shared" ca="1" si="47"/>
        <v>2900000</v>
      </c>
      <c r="I332" s="3093">
        <f ca="1">IF(AND(LEN(G332)&gt;0,LEN(H332)&gt;0),ROUND(SUM(G332)-SUM(H332),2),"")</f>
        <v>0</v>
      </c>
      <c r="J332" s="3072" t="str">
        <f ca="1">IF(ISNA(I332),"N/A",IF(I332=0,"√","？"))</f>
        <v>√</v>
      </c>
      <c r="K332" s="3090">
        <f t="shared" si="45"/>
        <v>0</v>
      </c>
      <c r="L332" s="3071">
        <f ca="1">INDIRECT("Notes!CheckB"&amp;$C332)</f>
        <v>0</v>
      </c>
      <c r="M332" s="3093">
        <f ca="1">IF(AND(LEN(K332)&gt;0,LEN(L332)&gt;0),ROUND(SUM(K332)-SUM(L332),2),"")</f>
        <v>0</v>
      </c>
      <c r="N332" s="3072" t="str">
        <f ca="1">IF(ISNA(M332),"N/A",IF(M332=0,"√","？"))</f>
        <v>√</v>
      </c>
      <c r="O332" s="3099"/>
      <c r="P332" s="3100"/>
      <c r="Q332" s="3100"/>
      <c r="R332" s="3100"/>
      <c r="S332" s="3101" t="s">
        <v>295</v>
      </c>
      <c r="T332" s="3101" t="s">
        <v>213</v>
      </c>
      <c r="U332" s="3102"/>
      <c r="V332" s="3102" t="s">
        <v>295</v>
      </c>
      <c r="W332" s="3102" t="s">
        <v>6797</v>
      </c>
      <c r="X332" s="3102" t="s">
        <v>6800</v>
      </c>
      <c r="Y332" s="3103" t="s">
        <v>164</v>
      </c>
    </row>
    <row r="333" spans="1:25" ht="24">
      <c r="A333" s="1304"/>
      <c r="B333" s="643">
        <v>7246</v>
      </c>
      <c r="C333" s="643" t="s">
        <v>1983</v>
      </c>
      <c r="D333" s="3087">
        <v>1</v>
      </c>
      <c r="E333" s="3088" t="str">
        <f t="shared" si="53"/>
        <v>收到其他与筹资活动有关的现金</v>
      </c>
      <c r="F333" s="3089" t="s">
        <v>1984</v>
      </c>
      <c r="G333" s="3090">
        <f t="shared" si="54"/>
        <v>0</v>
      </c>
      <c r="H333" s="3091">
        <f t="shared" ca="1" si="47"/>
        <v>0</v>
      </c>
      <c r="I333" s="3093">
        <f ca="1">IF(AND(LEN(G333)&gt;0,LEN(H333)&gt;0),ROUND(SUM(G333)-SUM(H333),2),"")</f>
        <v>0</v>
      </c>
      <c r="J333" s="3072" t="str">
        <f ca="1">IF(ISNA(I333),"N/A",IF(I333=0,"√","？"))</f>
        <v>√</v>
      </c>
      <c r="K333" s="3090">
        <f t="shared" si="45"/>
        <v>0</v>
      </c>
      <c r="L333" s="3071">
        <f ca="1">INDIRECT("Notes!CheckB"&amp;$C333)</f>
        <v>0</v>
      </c>
      <c r="M333" s="3093">
        <f ca="1">IF(AND(LEN(K333)&gt;0,LEN(L333)&gt;0),ROUND(SUM(K333)-SUM(L333),2),"")</f>
        <v>0</v>
      </c>
      <c r="N333" s="3072" t="str">
        <f ca="1">IF(ISNA(M333),"N/A",IF(M333=0,"√","？"))</f>
        <v>√</v>
      </c>
      <c r="O333" s="3099"/>
      <c r="P333" s="3100"/>
      <c r="Q333" s="3100"/>
      <c r="R333" s="3100"/>
      <c r="S333" s="3101" t="s">
        <v>295</v>
      </c>
      <c r="T333" s="3101" t="s">
        <v>213</v>
      </c>
      <c r="U333" s="3102"/>
      <c r="V333" s="3102" t="s">
        <v>295</v>
      </c>
      <c r="W333" s="3102" t="s">
        <v>6797</v>
      </c>
      <c r="X333" s="3102" t="s">
        <v>6800</v>
      </c>
      <c r="Y333" s="3103" t="s">
        <v>164</v>
      </c>
    </row>
    <row r="334" spans="1:25" ht="24">
      <c r="A334" s="1304"/>
      <c r="B334" s="643">
        <v>7296</v>
      </c>
      <c r="C334" s="643" t="s">
        <v>1990</v>
      </c>
      <c r="D334" s="3087">
        <v>1</v>
      </c>
      <c r="E334" s="3088" t="str">
        <f t="shared" si="53"/>
        <v>支付其他与筹资活动有关的现金</v>
      </c>
      <c r="F334" s="3089" t="s">
        <v>1991</v>
      </c>
      <c r="G334" s="3090">
        <f t="shared" si="54"/>
        <v>0</v>
      </c>
      <c r="H334" s="3091">
        <f t="shared" ca="1" si="47"/>
        <v>0</v>
      </c>
      <c r="I334" s="3093">
        <f ca="1">IF(AND(LEN(G334)&gt;0,LEN(H334)&gt;0),ROUND(SUM(G334)-SUM(H334),2),"")</f>
        <v>0</v>
      </c>
      <c r="J334" s="3072" t="str">
        <f ca="1">IF(ISNA(I334),"N/A",IF(I334=0,"√","？"))</f>
        <v>√</v>
      </c>
      <c r="K334" s="3090">
        <f t="shared" si="45"/>
        <v>0</v>
      </c>
      <c r="L334" s="3071">
        <f ca="1">INDIRECT("Notes!CheckB"&amp;$C334)</f>
        <v>0</v>
      </c>
      <c r="M334" s="3093">
        <f ca="1">IF(AND(LEN(K334)&gt;0,LEN(L334)&gt;0),ROUND(SUM(K334)-SUM(L334),2),"")</f>
        <v>0</v>
      </c>
      <c r="N334" s="3072" t="str">
        <f ca="1">IF(ISNA(M334),"N/A",IF(M334=0,"√","？"))</f>
        <v>√</v>
      </c>
      <c r="O334" s="3099"/>
      <c r="P334" s="3100"/>
      <c r="Q334" s="3100"/>
      <c r="R334" s="3100"/>
      <c r="S334" s="3101" t="s">
        <v>295</v>
      </c>
      <c r="T334" s="3101" t="s">
        <v>213</v>
      </c>
      <c r="U334" s="3102"/>
      <c r="V334" s="3102" t="s">
        <v>295</v>
      </c>
      <c r="W334" s="3102" t="s">
        <v>6797</v>
      </c>
      <c r="X334" s="3102" t="s">
        <v>6800</v>
      </c>
      <c r="Y334" s="3103" t="s">
        <v>164</v>
      </c>
    </row>
    <row r="335" spans="1:25" ht="24" hidden="1">
      <c r="A335" s="1304"/>
      <c r="B335" s="643">
        <v>7001</v>
      </c>
      <c r="C335" s="643" t="s">
        <v>1944</v>
      </c>
      <c r="D335" s="3087">
        <v>2</v>
      </c>
      <c r="E335" s="3088" t="str">
        <f t="shared" si="53"/>
        <v>销售商品提供劳务收到的现金</v>
      </c>
      <c r="F335" s="3089" t="s">
        <v>1945</v>
      </c>
      <c r="G335" s="3090">
        <f t="shared" si="54"/>
        <v>36631011.609999999</v>
      </c>
      <c r="H335" s="3091">
        <f t="shared" ca="1" si="47"/>
        <v>0</v>
      </c>
      <c r="I335" s="3093" t="s">
        <v>6803</v>
      </c>
      <c r="J335" s="3072"/>
      <c r="K335" s="3090">
        <f t="shared" si="45"/>
        <v>43157155</v>
      </c>
      <c r="L335" s="3071" t="s">
        <v>6799</v>
      </c>
      <c r="M335" s="3093" t="s">
        <v>6803</v>
      </c>
      <c r="N335" s="3072"/>
      <c r="O335" s="3099"/>
      <c r="P335" s="3100"/>
      <c r="Q335" s="3100"/>
      <c r="R335" s="3100"/>
      <c r="S335" s="3101" t="s">
        <v>295</v>
      </c>
      <c r="T335" s="3101" t="s">
        <v>213</v>
      </c>
      <c r="U335" s="3102"/>
      <c r="V335" s="3102" t="s">
        <v>295</v>
      </c>
      <c r="W335" s="3102" t="s">
        <v>6797</v>
      </c>
      <c r="X335" s="3102" t="s">
        <v>213</v>
      </c>
      <c r="Y335" s="3103" t="s">
        <v>164</v>
      </c>
    </row>
    <row r="336" spans="1:25" ht="24" hidden="1">
      <c r="A336" s="1304"/>
      <c r="B336" s="643">
        <v>7051</v>
      </c>
      <c r="C336" s="643" t="s">
        <v>1951</v>
      </c>
      <c r="D336" s="3087">
        <v>2</v>
      </c>
      <c r="E336" s="3088" t="str">
        <f t="shared" si="53"/>
        <v>购买商品接受劳务支付的现金</v>
      </c>
      <c r="F336" s="3089" t="s">
        <v>1952</v>
      </c>
      <c r="G336" s="3090">
        <f t="shared" si="54"/>
        <v>19308391.789999999</v>
      </c>
      <c r="H336" s="3091">
        <f t="shared" ca="1" si="47"/>
        <v>0</v>
      </c>
      <c r="I336" s="3093" t="s">
        <v>6803</v>
      </c>
      <c r="J336" s="3072"/>
      <c r="K336" s="3090">
        <f t="shared" si="45"/>
        <v>21518656.059999999</v>
      </c>
      <c r="L336" s="3071" t="s">
        <v>6799</v>
      </c>
      <c r="M336" s="3093" t="s">
        <v>6803</v>
      </c>
      <c r="N336" s="3072"/>
      <c r="O336" s="3099"/>
      <c r="P336" s="3100"/>
      <c r="Q336" s="3100"/>
      <c r="R336" s="3100"/>
      <c r="S336" s="3101" t="s">
        <v>295</v>
      </c>
      <c r="T336" s="3101" t="s">
        <v>213</v>
      </c>
      <c r="U336" s="3102"/>
      <c r="V336" s="3102" t="s">
        <v>295</v>
      </c>
      <c r="W336" s="3102" t="s">
        <v>6797</v>
      </c>
      <c r="X336" s="3102" t="s">
        <v>213</v>
      </c>
      <c r="Y336" s="3103" t="s">
        <v>164</v>
      </c>
    </row>
    <row r="337" spans="1:25" ht="24" hidden="1">
      <c r="A337" s="1304"/>
      <c r="B337" s="643">
        <v>7061</v>
      </c>
      <c r="C337" s="643" t="s">
        <v>1953</v>
      </c>
      <c r="D337" s="3087">
        <v>2</v>
      </c>
      <c r="E337" s="3088" t="str">
        <f t="shared" si="53"/>
        <v>支付给职工以及为职工支付的现金</v>
      </c>
      <c r="F337" s="3089" t="s">
        <v>1954</v>
      </c>
      <c r="G337" s="3090">
        <f t="shared" si="54"/>
        <v>8360207.9299999997</v>
      </c>
      <c r="H337" s="3091">
        <f t="shared" ca="1" si="47"/>
        <v>0</v>
      </c>
      <c r="I337" s="3093" t="s">
        <v>6803</v>
      </c>
      <c r="J337" s="3072"/>
      <c r="K337" s="3090">
        <f t="shared" si="45"/>
        <v>7799242.21</v>
      </c>
      <c r="L337" s="3071" t="s">
        <v>6799</v>
      </c>
      <c r="M337" s="3093" t="s">
        <v>6803</v>
      </c>
      <c r="N337" s="3072"/>
      <c r="O337" s="3099"/>
      <c r="P337" s="3100"/>
      <c r="Q337" s="3100"/>
      <c r="R337" s="3100"/>
      <c r="S337" s="3101" t="s">
        <v>295</v>
      </c>
      <c r="T337" s="3101" t="s">
        <v>213</v>
      </c>
      <c r="U337" s="3102"/>
      <c r="V337" s="3102" t="s">
        <v>295</v>
      </c>
      <c r="W337" s="3102" t="s">
        <v>6797</v>
      </c>
      <c r="X337" s="3102" t="s">
        <v>213</v>
      </c>
      <c r="Y337" s="3103" t="s">
        <v>164</v>
      </c>
    </row>
    <row r="338" spans="1:25" ht="18" hidden="1">
      <c r="A338" s="1304"/>
      <c r="B338" s="643">
        <v>7071</v>
      </c>
      <c r="C338" s="643" t="s">
        <v>1955</v>
      </c>
      <c r="D338" s="3087">
        <v>2</v>
      </c>
      <c r="E338" s="3088" t="str">
        <f t="shared" si="53"/>
        <v>支付的各项税费</v>
      </c>
      <c r="F338" s="3089" t="s">
        <v>1956</v>
      </c>
      <c r="G338" s="3090">
        <f t="shared" si="54"/>
        <v>3106865.8</v>
      </c>
      <c r="H338" s="3091">
        <f t="shared" ca="1" si="47"/>
        <v>0</v>
      </c>
      <c r="I338" s="3093" t="s">
        <v>6803</v>
      </c>
      <c r="J338" s="3072"/>
      <c r="K338" s="3090">
        <f t="shared" si="45"/>
        <v>3876417.5</v>
      </c>
      <c r="L338" s="3071" t="s">
        <v>6799</v>
      </c>
      <c r="M338" s="3093" t="s">
        <v>6803</v>
      </c>
      <c r="N338" s="3072"/>
      <c r="O338" s="3099"/>
      <c r="P338" s="3100"/>
      <c r="Q338" s="3100"/>
      <c r="R338" s="3100"/>
      <c r="S338" s="3101" t="s">
        <v>295</v>
      </c>
      <c r="T338" s="3101" t="s">
        <v>213</v>
      </c>
      <c r="U338" s="3102"/>
      <c r="V338" s="3102" t="s">
        <v>295</v>
      </c>
      <c r="W338" s="3102" t="s">
        <v>6797</v>
      </c>
      <c r="X338" s="3102" t="s">
        <v>213</v>
      </c>
      <c r="Y338" s="3103" t="s">
        <v>164</v>
      </c>
    </row>
    <row r="339" spans="1:25" ht="24" hidden="1">
      <c r="A339" s="1304"/>
      <c r="B339" s="643">
        <v>7101</v>
      </c>
      <c r="C339" s="643" t="s">
        <v>1963</v>
      </c>
      <c r="D339" s="3087">
        <v>2</v>
      </c>
      <c r="E339" s="3088" t="str">
        <f t="shared" si="53"/>
        <v>收回投资收到的现金</v>
      </c>
      <c r="F339" s="3089" t="s">
        <v>1964</v>
      </c>
      <c r="G339" s="3090">
        <f t="shared" si="54"/>
        <v>650000</v>
      </c>
      <c r="H339" s="3091">
        <f t="shared" ca="1" si="47"/>
        <v>0</v>
      </c>
      <c r="I339" s="3093" t="s">
        <v>6803</v>
      </c>
      <c r="J339" s="3072"/>
      <c r="K339" s="3090">
        <f t="shared" si="45"/>
        <v>0</v>
      </c>
      <c r="L339" s="3071" t="s">
        <v>6799</v>
      </c>
      <c r="M339" s="3093" t="s">
        <v>6803</v>
      </c>
      <c r="N339" s="3072"/>
      <c r="O339" s="3099"/>
      <c r="P339" s="3100"/>
      <c r="Q339" s="3100"/>
      <c r="R339" s="3100"/>
      <c r="S339" s="3101" t="s">
        <v>295</v>
      </c>
      <c r="T339" s="3101" t="s">
        <v>213</v>
      </c>
      <c r="U339" s="3102"/>
      <c r="V339" s="3102" t="s">
        <v>295</v>
      </c>
      <c r="W339" s="3102" t="s">
        <v>6797</v>
      </c>
      <c r="X339" s="3102" t="s">
        <v>213</v>
      </c>
      <c r="Y339" s="3103" t="s">
        <v>164</v>
      </c>
    </row>
    <row r="340" spans="1:25" ht="24" hidden="1">
      <c r="A340" s="1304"/>
      <c r="B340" s="643">
        <v>7105</v>
      </c>
      <c r="C340" s="643" t="s">
        <v>1965</v>
      </c>
      <c r="D340" s="3087">
        <v>2</v>
      </c>
      <c r="E340" s="3088" t="str">
        <f t="shared" si="53"/>
        <v>取得投资收益收到的现金</v>
      </c>
      <c r="F340" s="3089" t="s">
        <v>1966</v>
      </c>
      <c r="G340" s="3090">
        <f t="shared" si="54"/>
        <v>41851.06</v>
      </c>
      <c r="H340" s="3091">
        <f t="shared" ca="1" si="47"/>
        <v>0</v>
      </c>
      <c r="I340" s="3093" t="s">
        <v>6803</v>
      </c>
      <c r="J340" s="3072"/>
      <c r="K340" s="3090">
        <f t="shared" si="45"/>
        <v>38200.720000000001</v>
      </c>
      <c r="L340" s="3071" t="s">
        <v>6799</v>
      </c>
      <c r="M340" s="3093" t="s">
        <v>6803</v>
      </c>
      <c r="N340" s="3072"/>
      <c r="O340" s="3099"/>
      <c r="P340" s="3100"/>
      <c r="Q340" s="3100"/>
      <c r="R340" s="3100"/>
      <c r="S340" s="3101" t="s">
        <v>295</v>
      </c>
      <c r="T340" s="3101" t="s">
        <v>213</v>
      </c>
      <c r="U340" s="3102"/>
      <c r="V340" s="3102" t="s">
        <v>295</v>
      </c>
      <c r="W340" s="3102" t="s">
        <v>6797</v>
      </c>
      <c r="X340" s="3102" t="s">
        <v>213</v>
      </c>
      <c r="Y340" s="3103" t="s">
        <v>164</v>
      </c>
    </row>
    <row r="341" spans="1:25" ht="36" hidden="1">
      <c r="A341" s="1304"/>
      <c r="B341" s="643">
        <v>7111</v>
      </c>
      <c r="C341" s="643" t="s">
        <v>1967</v>
      </c>
      <c r="D341" s="3087">
        <v>2</v>
      </c>
      <c r="E341" s="3088" t="str">
        <f t="shared" si="53"/>
        <v>处置固定资产无形资产长期资产收回的现金</v>
      </c>
      <c r="F341" s="3089" t="s">
        <v>1968</v>
      </c>
      <c r="G341" s="3090">
        <f t="shared" si="54"/>
        <v>0</v>
      </c>
      <c r="H341" s="3091">
        <f t="shared" ca="1" si="47"/>
        <v>0</v>
      </c>
      <c r="I341" s="3093" t="s">
        <v>6803</v>
      </c>
      <c r="J341" s="3072"/>
      <c r="K341" s="3090">
        <f t="shared" si="45"/>
        <v>456.04</v>
      </c>
      <c r="L341" s="3071" t="s">
        <v>6799</v>
      </c>
      <c r="M341" s="3093" t="s">
        <v>6803</v>
      </c>
      <c r="N341" s="3072"/>
      <c r="O341" s="3099"/>
      <c r="P341" s="3100"/>
      <c r="Q341" s="3100"/>
      <c r="R341" s="3100"/>
      <c r="S341" s="3101" t="s">
        <v>295</v>
      </c>
      <c r="T341" s="3101" t="s">
        <v>213</v>
      </c>
      <c r="U341" s="3102"/>
      <c r="V341" s="3102" t="s">
        <v>295</v>
      </c>
      <c r="W341" s="3102" t="s">
        <v>6797</v>
      </c>
      <c r="X341" s="3102" t="s">
        <v>213</v>
      </c>
      <c r="Y341" s="3103" t="s">
        <v>164</v>
      </c>
    </row>
    <row r="342" spans="1:25" ht="36" hidden="1">
      <c r="A342" s="1304"/>
      <c r="B342" s="643">
        <v>7151</v>
      </c>
      <c r="C342" s="643" t="s">
        <v>1973</v>
      </c>
      <c r="D342" s="3087">
        <v>2</v>
      </c>
      <c r="E342" s="3088" t="str">
        <f t="shared" si="53"/>
        <v>购置固定资产无形资产长期资产支付的现金</v>
      </c>
      <c r="F342" s="3089" t="s">
        <v>1974</v>
      </c>
      <c r="G342" s="3090">
        <f t="shared" si="54"/>
        <v>493144.53</v>
      </c>
      <c r="H342" s="3091">
        <f t="shared" ca="1" si="47"/>
        <v>0</v>
      </c>
      <c r="I342" s="3093" t="s">
        <v>6803</v>
      </c>
      <c r="J342" s="3072"/>
      <c r="K342" s="3090">
        <f t="shared" si="45"/>
        <v>2473925.15</v>
      </c>
      <c r="L342" s="3071" t="s">
        <v>6799</v>
      </c>
      <c r="M342" s="3093" t="s">
        <v>6803</v>
      </c>
      <c r="N342" s="3072"/>
      <c r="O342" s="3099"/>
      <c r="P342" s="3100"/>
      <c r="Q342" s="3100"/>
      <c r="R342" s="3100"/>
      <c r="S342" s="3101" t="s">
        <v>295</v>
      </c>
      <c r="T342" s="3101" t="s">
        <v>213</v>
      </c>
      <c r="U342" s="3102"/>
      <c r="V342" s="3102" t="s">
        <v>295</v>
      </c>
      <c r="W342" s="3102" t="s">
        <v>6797</v>
      </c>
      <c r="X342" s="3102" t="s">
        <v>213</v>
      </c>
      <c r="Y342" s="3103" t="s">
        <v>164</v>
      </c>
    </row>
    <row r="343" spans="1:25" ht="18" hidden="1">
      <c r="A343" s="1304"/>
      <c r="B343" s="643">
        <v>7161</v>
      </c>
      <c r="C343" s="643" t="s">
        <v>1975</v>
      </c>
      <c r="D343" s="3087">
        <v>2</v>
      </c>
      <c r="E343" s="3088" t="str">
        <f t="shared" si="53"/>
        <v>投资支付的现金</v>
      </c>
      <c r="F343" s="3089" t="s">
        <v>1976</v>
      </c>
      <c r="G343" s="3090">
        <f t="shared" si="54"/>
        <v>0</v>
      </c>
      <c r="H343" s="3091">
        <f t="shared" ca="1" si="47"/>
        <v>0</v>
      </c>
      <c r="I343" s="3093" t="s">
        <v>6803</v>
      </c>
      <c r="J343" s="3072"/>
      <c r="K343" s="3090">
        <f t="shared" si="45"/>
        <v>1850000</v>
      </c>
      <c r="L343" s="3071" t="s">
        <v>6799</v>
      </c>
      <c r="M343" s="3093" t="s">
        <v>6803</v>
      </c>
      <c r="N343" s="3072"/>
      <c r="O343" s="3099"/>
      <c r="P343" s="3100"/>
      <c r="Q343" s="3100"/>
      <c r="R343" s="3100"/>
      <c r="S343" s="3101" t="s">
        <v>295</v>
      </c>
      <c r="T343" s="3101" t="s">
        <v>213</v>
      </c>
      <c r="U343" s="3102"/>
      <c r="V343" s="3102" t="s">
        <v>295</v>
      </c>
      <c r="W343" s="3102" t="s">
        <v>6797</v>
      </c>
      <c r="X343" s="3102" t="s">
        <v>213</v>
      </c>
      <c r="Y343" s="3103" t="s">
        <v>164</v>
      </c>
    </row>
    <row r="344" spans="1:25" ht="24" hidden="1">
      <c r="A344" s="1304"/>
      <c r="B344" s="643">
        <v>7211</v>
      </c>
      <c r="C344" s="643" t="s">
        <v>1980</v>
      </c>
      <c r="D344" s="3087">
        <v>2</v>
      </c>
      <c r="E344" s="3088" t="str">
        <f t="shared" si="53"/>
        <v>取得借款收到的现金</v>
      </c>
      <c r="F344" s="3089" t="s">
        <v>1981</v>
      </c>
      <c r="G344" s="3090">
        <f t="shared" si="54"/>
        <v>2000000</v>
      </c>
      <c r="H344" s="3091">
        <f t="shared" ca="1" si="47"/>
        <v>0</v>
      </c>
      <c r="I344" s="3093" t="s">
        <v>6803</v>
      </c>
      <c r="J344" s="3072"/>
      <c r="K344" s="3090">
        <f t="shared" si="45"/>
        <v>0</v>
      </c>
      <c r="L344" s="3071" t="s">
        <v>6799</v>
      </c>
      <c r="M344" s="3093" t="s">
        <v>6803</v>
      </c>
      <c r="N344" s="3072"/>
      <c r="O344" s="3099"/>
      <c r="P344" s="3100"/>
      <c r="Q344" s="3100"/>
      <c r="R344" s="3100"/>
      <c r="S344" s="3101" t="s">
        <v>295</v>
      </c>
      <c r="T344" s="3101" t="s">
        <v>213</v>
      </c>
      <c r="U344" s="3102"/>
      <c r="V344" s="3102" t="s">
        <v>295</v>
      </c>
      <c r="W344" s="3102" t="s">
        <v>6797</v>
      </c>
      <c r="X344" s="3102" t="s">
        <v>213</v>
      </c>
      <c r="Y344" s="3103" t="s">
        <v>164</v>
      </c>
    </row>
    <row r="345" spans="1:25" ht="24" hidden="1">
      <c r="A345" s="1304"/>
      <c r="B345" s="643">
        <v>7251</v>
      </c>
      <c r="C345" s="643" t="s">
        <v>1986</v>
      </c>
      <c r="D345" s="3087">
        <v>2</v>
      </c>
      <c r="E345" s="3088" t="str">
        <f t="shared" si="53"/>
        <v>偿还债务支付的现金</v>
      </c>
      <c r="F345" s="3089" t="s">
        <v>1987</v>
      </c>
      <c r="G345" s="3090">
        <f t="shared" si="54"/>
        <v>0</v>
      </c>
      <c r="H345" s="3091">
        <f t="shared" ca="1" si="47"/>
        <v>0</v>
      </c>
      <c r="I345" s="3093" t="s">
        <v>6803</v>
      </c>
      <c r="J345" s="3072"/>
      <c r="K345" s="3090">
        <f t="shared" si="45"/>
        <v>10000000</v>
      </c>
      <c r="L345" s="3071" t="s">
        <v>6799</v>
      </c>
      <c r="M345" s="3093" t="s">
        <v>6803</v>
      </c>
      <c r="N345" s="3072"/>
      <c r="O345" s="3099"/>
      <c r="P345" s="3100"/>
      <c r="Q345" s="3100"/>
      <c r="R345" s="3100"/>
      <c r="S345" s="3101" t="s">
        <v>295</v>
      </c>
      <c r="T345" s="3101" t="s">
        <v>213</v>
      </c>
      <c r="U345" s="3102"/>
      <c r="V345" s="3102" t="s">
        <v>295</v>
      </c>
      <c r="W345" s="3102" t="s">
        <v>6797</v>
      </c>
      <c r="X345" s="3102" t="s">
        <v>213</v>
      </c>
      <c r="Y345" s="3103" t="s">
        <v>164</v>
      </c>
    </row>
    <row r="346" spans="1:25" ht="24" hidden="1">
      <c r="A346" s="1304"/>
      <c r="B346" s="643">
        <v>7261</v>
      </c>
      <c r="C346" s="643" t="s">
        <v>1988</v>
      </c>
      <c r="D346" s="3087">
        <v>2</v>
      </c>
      <c r="E346" s="3088" t="str">
        <f t="shared" si="53"/>
        <v>分配利润偿付利息支付的现金</v>
      </c>
      <c r="F346" s="3089" t="s">
        <v>1989</v>
      </c>
      <c r="G346" s="3090">
        <f t="shared" si="54"/>
        <v>10499673.34</v>
      </c>
      <c r="H346" s="3091">
        <f t="shared" ca="1" si="47"/>
        <v>0</v>
      </c>
      <c r="I346" s="3093" t="s">
        <v>6803</v>
      </c>
      <c r="J346" s="3072"/>
      <c r="K346" s="3090">
        <f t="shared" si="45"/>
        <v>16721.77</v>
      </c>
      <c r="L346" s="3071" t="s">
        <v>6799</v>
      </c>
      <c r="M346" s="3093" t="s">
        <v>6803</v>
      </c>
      <c r="N346" s="3072"/>
      <c r="O346" s="3099"/>
      <c r="P346" s="3100"/>
      <c r="Q346" s="3100"/>
      <c r="R346" s="3100"/>
      <c r="S346" s="3101" t="s">
        <v>295</v>
      </c>
      <c r="T346" s="3101" t="s">
        <v>213</v>
      </c>
      <c r="U346" s="3102"/>
      <c r="V346" s="3102" t="s">
        <v>295</v>
      </c>
      <c r="W346" s="3102" t="s">
        <v>6797</v>
      </c>
      <c r="X346" s="3102" t="s">
        <v>213</v>
      </c>
      <c r="Y346" s="3103" t="s">
        <v>164</v>
      </c>
    </row>
    <row r="347" spans="1:25" ht="24" hidden="1">
      <c r="A347" s="1304"/>
      <c r="B347" s="643"/>
      <c r="C347" s="643" t="s">
        <v>1993</v>
      </c>
      <c r="D347" s="3087">
        <v>3</v>
      </c>
      <c r="E347" s="3088" t="str">
        <f t="shared" si="53"/>
        <v xml:space="preserve">        ----</v>
      </c>
      <c r="F347" s="3089" t="s">
        <v>1994</v>
      </c>
      <c r="G347" s="3090" t="str">
        <f t="shared" si="54"/>
        <v xml:space="preserve">        ----</v>
      </c>
      <c r="H347" s="3091" t="s">
        <v>6799</v>
      </c>
      <c r="I347" s="3093" t="s">
        <v>6803</v>
      </c>
      <c r="J347" s="3072"/>
      <c r="K347" s="3090" t="str">
        <f t="shared" si="45"/>
        <v xml:space="preserve">        ----</v>
      </c>
      <c r="L347" s="3071" t="s">
        <v>6799</v>
      </c>
      <c r="M347" s="3093" t="s">
        <v>6803</v>
      </c>
      <c r="N347" s="3072"/>
      <c r="O347" s="3099"/>
      <c r="P347" s="3100"/>
      <c r="Q347" s="3100"/>
      <c r="R347" s="3100"/>
      <c r="S347" s="3101" t="s">
        <v>295</v>
      </c>
      <c r="T347" s="3101" t="s">
        <v>213</v>
      </c>
      <c r="U347" s="3102"/>
      <c r="V347" s="3102" t="s">
        <v>295</v>
      </c>
      <c r="W347" s="3102" t="s">
        <v>6797</v>
      </c>
      <c r="X347" s="3102" t="s">
        <v>6798</v>
      </c>
      <c r="Y347" s="3103" t="s">
        <v>164</v>
      </c>
    </row>
    <row r="348" spans="1:25" ht="24" hidden="1">
      <c r="A348" s="1304"/>
      <c r="B348" s="643"/>
      <c r="C348" s="643" t="s">
        <v>1996</v>
      </c>
      <c r="D348" s="3087">
        <v>3</v>
      </c>
      <c r="E348" s="3088" t="str">
        <f t="shared" si="53"/>
        <v xml:space="preserve">        ----</v>
      </c>
      <c r="F348" s="3089" t="s">
        <v>1997</v>
      </c>
      <c r="G348" s="3090" t="str">
        <f t="shared" si="54"/>
        <v xml:space="preserve">        ----</v>
      </c>
      <c r="H348" s="3091" t="s">
        <v>6799</v>
      </c>
      <c r="I348" s="3093" t="s">
        <v>6803</v>
      </c>
      <c r="J348" s="3072"/>
      <c r="K348" s="3090" t="str">
        <f t="shared" si="45"/>
        <v xml:space="preserve">        ----</v>
      </c>
      <c r="L348" s="3071" t="s">
        <v>6799</v>
      </c>
      <c r="M348" s="3093" t="s">
        <v>6803</v>
      </c>
      <c r="N348" s="3072"/>
      <c r="O348" s="3099"/>
      <c r="P348" s="3100"/>
      <c r="Q348" s="3100"/>
      <c r="R348" s="3100"/>
      <c r="S348" s="3101" t="s">
        <v>295</v>
      </c>
      <c r="T348" s="3101" t="s">
        <v>213</v>
      </c>
      <c r="U348" s="3102"/>
      <c r="V348" s="3102" t="s">
        <v>295</v>
      </c>
      <c r="W348" s="3102" t="s">
        <v>6797</v>
      </c>
      <c r="X348" s="3102" t="s">
        <v>6798</v>
      </c>
      <c r="Y348" s="3103" t="s">
        <v>164</v>
      </c>
    </row>
    <row r="349" spans="1:25" ht="24" hidden="1">
      <c r="A349" s="1304"/>
      <c r="B349" s="643"/>
      <c r="C349" s="643" t="s">
        <v>1998</v>
      </c>
      <c r="D349" s="3087">
        <v>3</v>
      </c>
      <c r="E349" s="3088" t="str">
        <f t="shared" si="53"/>
        <v xml:space="preserve">        ----</v>
      </c>
      <c r="F349" s="3089" t="s">
        <v>1999</v>
      </c>
      <c r="G349" s="3090" t="str">
        <f t="shared" si="54"/>
        <v xml:space="preserve">        ----</v>
      </c>
      <c r="H349" s="3091" t="s">
        <v>6799</v>
      </c>
      <c r="I349" s="3093" t="s">
        <v>6803</v>
      </c>
      <c r="J349" s="3072"/>
      <c r="K349" s="3090" t="str">
        <f t="shared" si="45"/>
        <v xml:space="preserve">        ----</v>
      </c>
      <c r="L349" s="3071" t="s">
        <v>6799</v>
      </c>
      <c r="M349" s="3093" t="s">
        <v>6803</v>
      </c>
      <c r="N349" s="3072"/>
      <c r="O349" s="3099"/>
      <c r="P349" s="3100"/>
      <c r="Q349" s="3100"/>
      <c r="R349" s="3100"/>
      <c r="S349" s="3101" t="s">
        <v>295</v>
      </c>
      <c r="T349" s="3101" t="s">
        <v>213</v>
      </c>
      <c r="U349" s="3102"/>
      <c r="V349" s="3102" t="s">
        <v>295</v>
      </c>
      <c r="W349" s="3102" t="s">
        <v>6797</v>
      </c>
      <c r="X349" s="3102" t="s">
        <v>6798</v>
      </c>
      <c r="Y349" s="3103" t="s">
        <v>164</v>
      </c>
    </row>
    <row r="350" spans="1:25" ht="24" hidden="1">
      <c r="A350" s="1304"/>
      <c r="B350" s="643"/>
      <c r="C350" s="643" t="s">
        <v>2008</v>
      </c>
      <c r="D350" s="3087">
        <v>3</v>
      </c>
      <c r="E350" s="3088" t="str">
        <f t="shared" si="53"/>
        <v xml:space="preserve">        ----</v>
      </c>
      <c r="F350" s="3089" t="s">
        <v>2009</v>
      </c>
      <c r="G350" s="3090" t="str">
        <f t="shared" si="54"/>
        <v xml:space="preserve">        ----</v>
      </c>
      <c r="H350" s="3091" t="s">
        <v>6799</v>
      </c>
      <c r="I350" s="3093" t="s">
        <v>6803</v>
      </c>
      <c r="J350" s="3072"/>
      <c r="K350" s="3090" t="str">
        <f t="shared" si="45"/>
        <v xml:space="preserve">        ----</v>
      </c>
      <c r="L350" s="3071" t="s">
        <v>6799</v>
      </c>
      <c r="M350" s="3093" t="s">
        <v>6803</v>
      </c>
      <c r="N350" s="3072"/>
      <c r="O350" s="3099"/>
      <c r="P350" s="3100"/>
      <c r="Q350" s="3100"/>
      <c r="R350" s="3100"/>
      <c r="S350" s="3101" t="s">
        <v>295</v>
      </c>
      <c r="T350" s="3101" t="s">
        <v>213</v>
      </c>
      <c r="U350" s="3102"/>
      <c r="V350" s="3102" t="s">
        <v>295</v>
      </c>
      <c r="W350" s="3102" t="s">
        <v>6797</v>
      </c>
      <c r="X350" s="3102" t="s">
        <v>6800</v>
      </c>
      <c r="Y350" s="3103" t="s">
        <v>164</v>
      </c>
    </row>
    <row r="351" spans="1:25" ht="24" hidden="1">
      <c r="A351" s="1304"/>
      <c r="B351" s="643"/>
      <c r="C351" s="643" t="s">
        <v>2010</v>
      </c>
      <c r="D351" s="3087">
        <v>3</v>
      </c>
      <c r="E351" s="3088" t="str">
        <f t="shared" si="53"/>
        <v xml:space="preserve">        ----</v>
      </c>
      <c r="F351" s="3089" t="s">
        <v>2011</v>
      </c>
      <c r="G351" s="3090" t="str">
        <f t="shared" si="54"/>
        <v xml:space="preserve">        ----</v>
      </c>
      <c r="H351" s="3091" t="s">
        <v>6799</v>
      </c>
      <c r="I351" s="3093" t="s">
        <v>6803</v>
      </c>
      <c r="J351" s="3072"/>
      <c r="K351" s="3090" t="str">
        <f t="shared" ref="K351:K408" si="55">IF(ISERROR(VLOOKUP($B351,Sheet_Trialbal,10,0)),"        ----",VLOOKUP($B351,Sheet_Trialbal,10,0))</f>
        <v xml:space="preserve">        ----</v>
      </c>
      <c r="L351" s="3071" t="s">
        <v>6799</v>
      </c>
      <c r="M351" s="3093" t="s">
        <v>6803</v>
      </c>
      <c r="N351" s="3072"/>
      <c r="O351" s="3099"/>
      <c r="P351" s="3100"/>
      <c r="Q351" s="3100"/>
      <c r="R351" s="3100"/>
      <c r="S351" s="3101" t="s">
        <v>295</v>
      </c>
      <c r="T351" s="3101" t="s">
        <v>213</v>
      </c>
      <c r="U351" s="3102"/>
      <c r="V351" s="3102" t="s">
        <v>295</v>
      </c>
      <c r="W351" s="3102" t="s">
        <v>6797</v>
      </c>
      <c r="X351" s="3102" t="s">
        <v>6800</v>
      </c>
      <c r="Y351" s="3103" t="s">
        <v>164</v>
      </c>
    </row>
    <row r="352" spans="1:25" ht="24" hidden="1">
      <c r="A352" s="1304"/>
      <c r="B352" s="643"/>
      <c r="C352" s="643" t="s">
        <v>2003</v>
      </c>
      <c r="D352" s="3087">
        <v>3</v>
      </c>
      <c r="E352" s="3088" t="str">
        <f t="shared" si="53"/>
        <v xml:space="preserve">        ----</v>
      </c>
      <c r="F352" s="3089" t="s">
        <v>2004</v>
      </c>
      <c r="G352" s="3090" t="str">
        <f t="shared" si="54"/>
        <v xml:space="preserve">        ----</v>
      </c>
      <c r="H352" s="3091" t="s">
        <v>6799</v>
      </c>
      <c r="I352" s="3093" t="s">
        <v>6803</v>
      </c>
      <c r="J352" s="3072"/>
      <c r="K352" s="3090" t="str">
        <f t="shared" si="55"/>
        <v xml:space="preserve">        ----</v>
      </c>
      <c r="L352" s="3071" t="s">
        <v>6799</v>
      </c>
      <c r="M352" s="3093" t="s">
        <v>6803</v>
      </c>
      <c r="N352" s="3072"/>
      <c r="O352" s="3099"/>
      <c r="P352" s="3100"/>
      <c r="Q352" s="3100"/>
      <c r="R352" s="3100"/>
      <c r="S352" s="3101" t="s">
        <v>295</v>
      </c>
      <c r="T352" s="3101" t="s">
        <v>213</v>
      </c>
      <c r="U352" s="3102"/>
      <c r="V352" s="3102" t="s">
        <v>295</v>
      </c>
      <c r="W352" s="3102" t="s">
        <v>6797</v>
      </c>
      <c r="X352" s="3102" t="s">
        <v>6798</v>
      </c>
      <c r="Y352" s="3103" t="s">
        <v>164</v>
      </c>
    </row>
    <row r="353" spans="1:25" ht="24" hidden="1">
      <c r="A353" s="1304"/>
      <c r="B353" s="643"/>
      <c r="C353" s="643" t="s">
        <v>2006</v>
      </c>
      <c r="D353" s="3087">
        <v>3</v>
      </c>
      <c r="E353" s="3088" t="str">
        <f t="shared" si="53"/>
        <v xml:space="preserve">        ----</v>
      </c>
      <c r="F353" s="3089" t="s">
        <v>2007</v>
      </c>
      <c r="G353" s="3090" t="str">
        <f t="shared" si="54"/>
        <v xml:space="preserve">        ----</v>
      </c>
      <c r="H353" s="3091" t="s">
        <v>6799</v>
      </c>
      <c r="I353" s="3093" t="s">
        <v>6803</v>
      </c>
      <c r="J353" s="3072"/>
      <c r="K353" s="3090" t="str">
        <f t="shared" si="55"/>
        <v xml:space="preserve">        ----</v>
      </c>
      <c r="L353" s="3071" t="s">
        <v>6799</v>
      </c>
      <c r="M353" s="3093" t="s">
        <v>6803</v>
      </c>
      <c r="N353" s="3072"/>
      <c r="O353" s="3099"/>
      <c r="P353" s="3100"/>
      <c r="Q353" s="3100"/>
      <c r="R353" s="3100"/>
      <c r="S353" s="3101" t="s">
        <v>295</v>
      </c>
      <c r="T353" s="3101" t="s">
        <v>213</v>
      </c>
      <c r="U353" s="3102"/>
      <c r="V353" s="3102" t="s">
        <v>295</v>
      </c>
      <c r="W353" s="3102" t="s">
        <v>6797</v>
      </c>
      <c r="X353" s="3102" t="s">
        <v>213</v>
      </c>
      <c r="Y353" s="3103" t="s">
        <v>164</v>
      </c>
    </row>
    <row r="354" spans="1:25" ht="36" hidden="1">
      <c r="A354" s="1304"/>
      <c r="B354" s="643"/>
      <c r="C354" s="643" t="s">
        <v>2012</v>
      </c>
      <c r="D354" s="3087">
        <v>3</v>
      </c>
      <c r="E354" s="3088" t="str">
        <f t="shared" si="53"/>
        <v xml:space="preserve">        ----</v>
      </c>
      <c r="F354" s="3089" t="s">
        <v>2013</v>
      </c>
      <c r="G354" s="3090" t="str">
        <f t="shared" si="54"/>
        <v xml:space="preserve">        ----</v>
      </c>
      <c r="H354" s="3091">
        <f t="shared" ref="H354:H368" ca="1" si="56">INDIRECT("Notes!CheckA"&amp;$C354)</f>
        <v>0</v>
      </c>
      <c r="I354" s="3093" t="s">
        <v>6803</v>
      </c>
      <c r="J354" s="3072"/>
      <c r="K354" s="3090" t="str">
        <f t="shared" si="55"/>
        <v xml:space="preserve">        ----</v>
      </c>
      <c r="L354" s="3071" t="s">
        <v>6799</v>
      </c>
      <c r="M354" s="3093" t="s">
        <v>6803</v>
      </c>
      <c r="N354" s="3072"/>
      <c r="O354" s="3099"/>
      <c r="P354" s="3100"/>
      <c r="Q354" s="3100"/>
      <c r="R354" s="3100"/>
      <c r="S354" s="3101" t="s">
        <v>295</v>
      </c>
      <c r="T354" s="3101" t="s">
        <v>213</v>
      </c>
      <c r="U354" s="3102"/>
      <c r="V354" s="3102" t="s">
        <v>295</v>
      </c>
      <c r="W354" s="3102" t="s">
        <v>6797</v>
      </c>
      <c r="X354" s="3102" t="s">
        <v>213</v>
      </c>
      <c r="Y354" s="3103" t="s">
        <v>164</v>
      </c>
    </row>
    <row r="355" spans="1:25" ht="48" hidden="1">
      <c r="A355" s="1304"/>
      <c r="B355" s="643"/>
      <c r="C355" s="643" t="s">
        <v>2015</v>
      </c>
      <c r="D355" s="3087">
        <v>3</v>
      </c>
      <c r="E355" s="3088" t="str">
        <f t="shared" si="53"/>
        <v xml:space="preserve">        ----</v>
      </c>
      <c r="F355" s="3089" t="s">
        <v>2016</v>
      </c>
      <c r="G355" s="3090" t="str">
        <f t="shared" si="54"/>
        <v xml:space="preserve">        ----</v>
      </c>
      <c r="H355" s="3091">
        <f t="shared" ca="1" si="56"/>
        <v>0</v>
      </c>
      <c r="I355" s="3093" t="s">
        <v>6803</v>
      </c>
      <c r="J355" s="3072"/>
      <c r="K355" s="3090" t="str">
        <f t="shared" si="55"/>
        <v xml:space="preserve">        ----</v>
      </c>
      <c r="L355" s="3071" t="s">
        <v>6799</v>
      </c>
      <c r="M355" s="3093" t="s">
        <v>6803</v>
      </c>
      <c r="N355" s="3072"/>
      <c r="O355" s="3099"/>
      <c r="P355" s="3100"/>
      <c r="Q355" s="3100"/>
      <c r="R355" s="3100"/>
      <c r="S355" s="3101" t="s">
        <v>295</v>
      </c>
      <c r="T355" s="3101" t="s">
        <v>213</v>
      </c>
      <c r="U355" s="3102"/>
      <c r="V355" s="3102" t="s">
        <v>295</v>
      </c>
      <c r="W355" s="3102" t="s">
        <v>6797</v>
      </c>
      <c r="X355" s="3102" t="s">
        <v>213</v>
      </c>
      <c r="Y355" s="3103" t="s">
        <v>164</v>
      </c>
    </row>
    <row r="356" spans="1:25" ht="36" hidden="1">
      <c r="A356" s="1304"/>
      <c r="B356" s="643"/>
      <c r="C356" s="643" t="s">
        <v>2018</v>
      </c>
      <c r="D356" s="3087">
        <v>3</v>
      </c>
      <c r="E356" s="3088" t="str">
        <f t="shared" si="53"/>
        <v xml:space="preserve">        ----</v>
      </c>
      <c r="F356" s="3089" t="s">
        <v>2019</v>
      </c>
      <c r="G356" s="3090" t="str">
        <f t="shared" si="54"/>
        <v xml:space="preserve">        ----</v>
      </c>
      <c r="H356" s="3091">
        <f t="shared" ca="1" si="56"/>
        <v>0</v>
      </c>
      <c r="I356" s="3093" t="s">
        <v>6803</v>
      </c>
      <c r="J356" s="3072"/>
      <c r="K356" s="3090" t="str">
        <f t="shared" si="55"/>
        <v xml:space="preserve">        ----</v>
      </c>
      <c r="L356" s="3071" t="s">
        <v>6799</v>
      </c>
      <c r="M356" s="3093" t="s">
        <v>6803</v>
      </c>
      <c r="N356" s="3072"/>
      <c r="O356" s="3099"/>
      <c r="P356" s="3100"/>
      <c r="Q356" s="3100"/>
      <c r="R356" s="3100"/>
      <c r="S356" s="3101" t="s">
        <v>295</v>
      </c>
      <c r="T356" s="3101" t="s">
        <v>213</v>
      </c>
      <c r="U356" s="3102"/>
      <c r="V356" s="3102" t="s">
        <v>295</v>
      </c>
      <c r="W356" s="3102" t="s">
        <v>6797</v>
      </c>
      <c r="X356" s="3102" t="s">
        <v>213</v>
      </c>
      <c r="Y356" s="3103" t="s">
        <v>164</v>
      </c>
    </row>
    <row r="357" spans="1:25" ht="36" hidden="1">
      <c r="A357" s="1304"/>
      <c r="B357" s="643"/>
      <c r="C357" s="643" t="s">
        <v>2022</v>
      </c>
      <c r="D357" s="3087">
        <v>3</v>
      </c>
      <c r="E357" s="3088" t="str">
        <f t="shared" si="53"/>
        <v xml:space="preserve">        ----</v>
      </c>
      <c r="F357" s="3089" t="s">
        <v>2023</v>
      </c>
      <c r="G357" s="3090" t="str">
        <f t="shared" si="54"/>
        <v xml:space="preserve">        ----</v>
      </c>
      <c r="H357" s="3091">
        <f t="shared" ca="1" si="56"/>
        <v>0</v>
      </c>
      <c r="I357" s="3093" t="s">
        <v>6803</v>
      </c>
      <c r="J357" s="3072"/>
      <c r="K357" s="3090" t="str">
        <f t="shared" si="55"/>
        <v xml:space="preserve">        ----</v>
      </c>
      <c r="L357" s="3071" t="s">
        <v>6799</v>
      </c>
      <c r="M357" s="3093" t="s">
        <v>6803</v>
      </c>
      <c r="N357" s="3072"/>
      <c r="O357" s="3099"/>
      <c r="P357" s="3100"/>
      <c r="Q357" s="3100"/>
      <c r="R357" s="3100"/>
      <c r="S357" s="3101" t="s">
        <v>295</v>
      </c>
      <c r="T357" s="3101" t="s">
        <v>213</v>
      </c>
      <c r="U357" s="3102"/>
      <c r="V357" s="3102" t="s">
        <v>295</v>
      </c>
      <c r="W357" s="3102" t="s">
        <v>6797</v>
      </c>
      <c r="X357" s="3102" t="s">
        <v>213</v>
      </c>
      <c r="Y357" s="3103" t="s">
        <v>164</v>
      </c>
    </row>
    <row r="358" spans="1:25" ht="48" hidden="1">
      <c r="A358" s="1304"/>
      <c r="B358" s="643"/>
      <c r="C358" s="643" t="s">
        <v>2026</v>
      </c>
      <c r="D358" s="3087">
        <v>3</v>
      </c>
      <c r="E358" s="3088" t="str">
        <f t="shared" si="53"/>
        <v xml:space="preserve">        ----</v>
      </c>
      <c r="F358" s="3089" t="s">
        <v>2027</v>
      </c>
      <c r="G358" s="3090" t="str">
        <f t="shared" si="54"/>
        <v xml:space="preserve">        ----</v>
      </c>
      <c r="H358" s="3091">
        <f t="shared" ca="1" si="56"/>
        <v>0</v>
      </c>
      <c r="I358" s="3093" t="s">
        <v>6803</v>
      </c>
      <c r="J358" s="3072"/>
      <c r="K358" s="3090" t="str">
        <f t="shared" si="55"/>
        <v xml:space="preserve">        ----</v>
      </c>
      <c r="L358" s="3071" t="s">
        <v>6799</v>
      </c>
      <c r="M358" s="3093" t="s">
        <v>6803</v>
      </c>
      <c r="N358" s="3072"/>
      <c r="O358" s="3099"/>
      <c r="P358" s="3100"/>
      <c r="Q358" s="3100"/>
      <c r="R358" s="3100"/>
      <c r="S358" s="3101" t="s">
        <v>295</v>
      </c>
      <c r="T358" s="3101" t="s">
        <v>213</v>
      </c>
      <c r="U358" s="3102"/>
      <c r="V358" s="3102" t="s">
        <v>295</v>
      </c>
      <c r="W358" s="3102" t="s">
        <v>6797</v>
      </c>
      <c r="X358" s="3102" t="s">
        <v>213</v>
      </c>
      <c r="Y358" s="3103" t="s">
        <v>164</v>
      </c>
    </row>
    <row r="359" spans="1:25" ht="36" hidden="1">
      <c r="A359" s="1304"/>
      <c r="B359" s="643"/>
      <c r="C359" s="643" t="s">
        <v>2030</v>
      </c>
      <c r="D359" s="3087">
        <v>3</v>
      </c>
      <c r="E359" s="3088" t="str">
        <f t="shared" si="53"/>
        <v xml:space="preserve">        ----</v>
      </c>
      <c r="F359" s="3089" t="s">
        <v>2031</v>
      </c>
      <c r="G359" s="3090" t="str">
        <f t="shared" si="54"/>
        <v xml:space="preserve">        ----</v>
      </c>
      <c r="H359" s="3091">
        <f t="shared" ca="1" si="56"/>
        <v>0</v>
      </c>
      <c r="I359" s="3093" t="s">
        <v>6803</v>
      </c>
      <c r="J359" s="3072"/>
      <c r="K359" s="3090" t="str">
        <f t="shared" si="55"/>
        <v xml:space="preserve">        ----</v>
      </c>
      <c r="L359" s="3071" t="s">
        <v>6799</v>
      </c>
      <c r="M359" s="3093" t="s">
        <v>6803</v>
      </c>
      <c r="N359" s="3072"/>
      <c r="O359" s="3099"/>
      <c r="P359" s="3100"/>
      <c r="Q359" s="3100"/>
      <c r="R359" s="3100"/>
      <c r="S359" s="3101" t="s">
        <v>295</v>
      </c>
      <c r="T359" s="3101" t="s">
        <v>213</v>
      </c>
      <c r="U359" s="3102"/>
      <c r="V359" s="3102" t="s">
        <v>295</v>
      </c>
      <c r="W359" s="3102" t="s">
        <v>6797</v>
      </c>
      <c r="X359" s="3102" t="s">
        <v>213</v>
      </c>
      <c r="Y359" s="3103" t="s">
        <v>164</v>
      </c>
    </row>
    <row r="360" spans="1:25" ht="36" hidden="1">
      <c r="A360" s="1304"/>
      <c r="B360" s="643"/>
      <c r="C360" s="643" t="s">
        <v>2035</v>
      </c>
      <c r="D360" s="3087">
        <v>3</v>
      </c>
      <c r="E360" s="3088" t="str">
        <f t="shared" si="53"/>
        <v xml:space="preserve">        ----</v>
      </c>
      <c r="F360" s="3089" t="s">
        <v>2036</v>
      </c>
      <c r="G360" s="3090" t="str">
        <f t="shared" si="54"/>
        <v xml:space="preserve">        ----</v>
      </c>
      <c r="H360" s="3091">
        <f t="shared" ca="1" si="56"/>
        <v>0</v>
      </c>
      <c r="I360" s="3093" t="s">
        <v>6803</v>
      </c>
      <c r="J360" s="3072"/>
      <c r="K360" s="3090" t="str">
        <f t="shared" si="55"/>
        <v xml:space="preserve">        ----</v>
      </c>
      <c r="L360" s="3071" t="s">
        <v>6799</v>
      </c>
      <c r="M360" s="3093" t="s">
        <v>6803</v>
      </c>
      <c r="N360" s="3072"/>
      <c r="O360" s="3099"/>
      <c r="P360" s="3100"/>
      <c r="Q360" s="3100"/>
      <c r="R360" s="3100"/>
      <c r="S360" s="3101" t="s">
        <v>295</v>
      </c>
      <c r="T360" s="3101" t="s">
        <v>213</v>
      </c>
      <c r="U360" s="3102"/>
      <c r="V360" s="3102" t="s">
        <v>295</v>
      </c>
      <c r="W360" s="3102" t="s">
        <v>6797</v>
      </c>
      <c r="X360" s="3102" t="s">
        <v>213</v>
      </c>
      <c r="Y360" s="3103" t="s">
        <v>164</v>
      </c>
    </row>
    <row r="361" spans="1:25" ht="36" hidden="1">
      <c r="A361" s="1304"/>
      <c r="B361" s="643"/>
      <c r="C361" s="643" t="s">
        <v>2038</v>
      </c>
      <c r="D361" s="3087">
        <v>3</v>
      </c>
      <c r="E361" s="3088" t="str">
        <f t="shared" si="53"/>
        <v xml:space="preserve">        ----</v>
      </c>
      <c r="F361" s="3089" t="s">
        <v>2039</v>
      </c>
      <c r="G361" s="3090" t="str">
        <f t="shared" si="54"/>
        <v xml:space="preserve">        ----</v>
      </c>
      <c r="H361" s="3091">
        <f t="shared" ca="1" si="56"/>
        <v>0</v>
      </c>
      <c r="I361" s="3093" t="s">
        <v>6803</v>
      </c>
      <c r="J361" s="3072"/>
      <c r="K361" s="3090" t="str">
        <f t="shared" si="55"/>
        <v xml:space="preserve">        ----</v>
      </c>
      <c r="L361" s="3071" t="s">
        <v>6799</v>
      </c>
      <c r="M361" s="3093" t="s">
        <v>6803</v>
      </c>
      <c r="N361" s="3072"/>
      <c r="O361" s="3099"/>
      <c r="P361" s="3100"/>
      <c r="Q361" s="3100"/>
      <c r="R361" s="3100"/>
      <c r="S361" s="3101" t="s">
        <v>295</v>
      </c>
      <c r="T361" s="3101" t="s">
        <v>213</v>
      </c>
      <c r="U361" s="3102"/>
      <c r="V361" s="3102" t="s">
        <v>295</v>
      </c>
      <c r="W361" s="3102" t="s">
        <v>6797</v>
      </c>
      <c r="X361" s="3102" t="s">
        <v>213</v>
      </c>
      <c r="Y361" s="3103" t="s">
        <v>164</v>
      </c>
    </row>
    <row r="362" spans="1:25" ht="24" hidden="1">
      <c r="A362" s="1304"/>
      <c r="B362" s="643"/>
      <c r="C362" s="643" t="s">
        <v>2042</v>
      </c>
      <c r="D362" s="3087">
        <v>3</v>
      </c>
      <c r="E362" s="3088" t="str">
        <f t="shared" si="53"/>
        <v xml:space="preserve">        ----</v>
      </c>
      <c r="F362" s="3089" t="s">
        <v>2043</v>
      </c>
      <c r="G362" s="3090" t="str">
        <f t="shared" si="54"/>
        <v xml:space="preserve">        ----</v>
      </c>
      <c r="H362" s="3091">
        <f t="shared" ca="1" si="56"/>
        <v>0</v>
      </c>
      <c r="I362" s="3093" t="s">
        <v>6803</v>
      </c>
      <c r="J362" s="3072"/>
      <c r="K362" s="3090" t="str">
        <f t="shared" si="55"/>
        <v xml:space="preserve">        ----</v>
      </c>
      <c r="L362" s="3071" t="s">
        <v>6799</v>
      </c>
      <c r="M362" s="3093" t="s">
        <v>6803</v>
      </c>
      <c r="N362" s="3072"/>
      <c r="O362" s="3099"/>
      <c r="P362" s="3100"/>
      <c r="Q362" s="3100"/>
      <c r="R362" s="3100"/>
      <c r="S362" s="3101" t="s">
        <v>295</v>
      </c>
      <c r="T362" s="3101" t="s">
        <v>213</v>
      </c>
      <c r="U362" s="3102"/>
      <c r="V362" s="3102" t="s">
        <v>295</v>
      </c>
      <c r="W362" s="3102" t="s">
        <v>6797</v>
      </c>
      <c r="X362" s="3102" t="s">
        <v>213</v>
      </c>
      <c r="Y362" s="3103" t="s">
        <v>164</v>
      </c>
    </row>
    <row r="363" spans="1:25" ht="36" hidden="1">
      <c r="A363" s="1304"/>
      <c r="B363" s="643"/>
      <c r="C363" s="643" t="s">
        <v>2045</v>
      </c>
      <c r="D363" s="3087">
        <v>3</v>
      </c>
      <c r="E363" s="3088" t="str">
        <f t="shared" si="53"/>
        <v xml:space="preserve">        ----</v>
      </c>
      <c r="F363" s="3089" t="s">
        <v>2046</v>
      </c>
      <c r="G363" s="3090" t="str">
        <f t="shared" si="54"/>
        <v xml:space="preserve">        ----</v>
      </c>
      <c r="H363" s="3091">
        <f t="shared" ca="1" si="56"/>
        <v>0</v>
      </c>
      <c r="I363" s="3093" t="s">
        <v>6803</v>
      </c>
      <c r="J363" s="3072"/>
      <c r="K363" s="3090" t="str">
        <f t="shared" si="55"/>
        <v xml:space="preserve">        ----</v>
      </c>
      <c r="L363" s="3071" t="s">
        <v>6799</v>
      </c>
      <c r="M363" s="3093" t="s">
        <v>6803</v>
      </c>
      <c r="N363" s="3072"/>
      <c r="O363" s="3099"/>
      <c r="P363" s="3100"/>
      <c r="Q363" s="3100"/>
      <c r="R363" s="3100"/>
      <c r="S363" s="3101" t="s">
        <v>295</v>
      </c>
      <c r="T363" s="3101" t="s">
        <v>213</v>
      </c>
      <c r="U363" s="3102"/>
      <c r="V363" s="3102" t="s">
        <v>295</v>
      </c>
      <c r="W363" s="3102" t="s">
        <v>6797</v>
      </c>
      <c r="X363" s="3102" t="s">
        <v>213</v>
      </c>
      <c r="Y363" s="3103" t="s">
        <v>164</v>
      </c>
    </row>
    <row r="364" spans="1:25" ht="36" hidden="1">
      <c r="A364" s="1304"/>
      <c r="B364" s="643"/>
      <c r="C364" s="643" t="s">
        <v>2048</v>
      </c>
      <c r="D364" s="3087">
        <v>3</v>
      </c>
      <c r="E364" s="3088" t="str">
        <f t="shared" si="53"/>
        <v xml:space="preserve">        ----</v>
      </c>
      <c r="F364" s="3089" t="s">
        <v>2049</v>
      </c>
      <c r="G364" s="3090" t="str">
        <f t="shared" si="54"/>
        <v xml:space="preserve">        ----</v>
      </c>
      <c r="H364" s="3091">
        <f t="shared" ca="1" si="56"/>
        <v>0</v>
      </c>
      <c r="I364" s="3093" t="s">
        <v>6803</v>
      </c>
      <c r="J364" s="3072"/>
      <c r="K364" s="3090" t="str">
        <f t="shared" si="55"/>
        <v xml:space="preserve">        ----</v>
      </c>
      <c r="L364" s="3071" t="s">
        <v>6799</v>
      </c>
      <c r="M364" s="3093" t="s">
        <v>6803</v>
      </c>
      <c r="N364" s="3072"/>
      <c r="O364" s="3099"/>
      <c r="P364" s="3100"/>
      <c r="Q364" s="3100"/>
      <c r="R364" s="3100"/>
      <c r="S364" s="3101" t="s">
        <v>295</v>
      </c>
      <c r="T364" s="3101" t="s">
        <v>213</v>
      </c>
      <c r="U364" s="3102"/>
      <c r="V364" s="3102" t="s">
        <v>295</v>
      </c>
      <c r="W364" s="3102" t="s">
        <v>6797</v>
      </c>
      <c r="X364" s="3102" t="s">
        <v>213</v>
      </c>
      <c r="Y364" s="3103" t="s">
        <v>164</v>
      </c>
    </row>
    <row r="365" spans="1:25" ht="36" hidden="1">
      <c r="A365" s="1304"/>
      <c r="B365" s="643"/>
      <c r="C365" s="643" t="s">
        <v>2051</v>
      </c>
      <c r="D365" s="3087">
        <v>3</v>
      </c>
      <c r="E365" s="3088" t="str">
        <f t="shared" si="53"/>
        <v xml:space="preserve">        ----</v>
      </c>
      <c r="F365" s="3089" t="s">
        <v>2052</v>
      </c>
      <c r="G365" s="3090" t="str">
        <f t="shared" si="54"/>
        <v xml:space="preserve">        ----</v>
      </c>
      <c r="H365" s="3091">
        <f t="shared" ca="1" si="56"/>
        <v>0</v>
      </c>
      <c r="I365" s="3093" t="s">
        <v>6803</v>
      </c>
      <c r="J365" s="3072"/>
      <c r="K365" s="3090" t="str">
        <f t="shared" si="55"/>
        <v xml:space="preserve">        ----</v>
      </c>
      <c r="L365" s="3071" t="s">
        <v>6799</v>
      </c>
      <c r="M365" s="3093" t="s">
        <v>6803</v>
      </c>
      <c r="N365" s="3072"/>
      <c r="O365" s="3099"/>
      <c r="P365" s="3100"/>
      <c r="Q365" s="3100"/>
      <c r="R365" s="3100"/>
      <c r="S365" s="3101" t="s">
        <v>295</v>
      </c>
      <c r="T365" s="3101" t="s">
        <v>213</v>
      </c>
      <c r="U365" s="3102"/>
      <c r="V365" s="3102" t="s">
        <v>295</v>
      </c>
      <c r="W365" s="3102" t="s">
        <v>6797</v>
      </c>
      <c r="X365" s="3102" t="s">
        <v>213</v>
      </c>
      <c r="Y365" s="3103" t="s">
        <v>164</v>
      </c>
    </row>
    <row r="366" spans="1:25" ht="36" hidden="1">
      <c r="A366" s="1304"/>
      <c r="B366" s="643"/>
      <c r="C366" s="643" t="s">
        <v>2055</v>
      </c>
      <c r="D366" s="3087">
        <v>3</v>
      </c>
      <c r="E366" s="3088" t="str">
        <f t="shared" si="53"/>
        <v xml:space="preserve">        ----</v>
      </c>
      <c r="F366" s="3089" t="s">
        <v>2056</v>
      </c>
      <c r="G366" s="3090" t="str">
        <f t="shared" si="54"/>
        <v xml:space="preserve">        ----</v>
      </c>
      <c r="H366" s="3091">
        <f t="shared" ca="1" si="56"/>
        <v>-2701456.75</v>
      </c>
      <c r="I366" s="3093" t="s">
        <v>6803</v>
      </c>
      <c r="J366" s="3072"/>
      <c r="K366" s="3090" t="str">
        <f t="shared" si="55"/>
        <v xml:space="preserve">        ----</v>
      </c>
      <c r="L366" s="3071" t="s">
        <v>6799</v>
      </c>
      <c r="M366" s="3093" t="s">
        <v>6803</v>
      </c>
      <c r="N366" s="3072"/>
      <c r="O366" s="3099"/>
      <c r="P366" s="3100"/>
      <c r="Q366" s="3100"/>
      <c r="R366" s="3100"/>
      <c r="S366" s="3101" t="s">
        <v>295</v>
      </c>
      <c r="T366" s="3101" t="s">
        <v>213</v>
      </c>
      <c r="U366" s="3102"/>
      <c r="V366" s="3102" t="s">
        <v>295</v>
      </c>
      <c r="W366" s="3102" t="s">
        <v>6797</v>
      </c>
      <c r="X366" s="3102" t="s">
        <v>213</v>
      </c>
      <c r="Y366" s="3103" t="s">
        <v>164</v>
      </c>
    </row>
    <row r="367" spans="1:25" ht="36" hidden="1">
      <c r="A367" s="1304"/>
      <c r="B367" s="643"/>
      <c r="C367" s="643" t="s">
        <v>2058</v>
      </c>
      <c r="D367" s="3087">
        <v>3</v>
      </c>
      <c r="E367" s="3088" t="str">
        <f t="shared" si="53"/>
        <v xml:space="preserve">        ----</v>
      </c>
      <c r="F367" s="3089" t="s">
        <v>2059</v>
      </c>
      <c r="G367" s="3090" t="str">
        <f t="shared" si="54"/>
        <v xml:space="preserve">        ----</v>
      </c>
      <c r="H367" s="3091">
        <f t="shared" ca="1" si="56"/>
        <v>3629106.52</v>
      </c>
      <c r="I367" s="3093" t="s">
        <v>6803</v>
      </c>
      <c r="J367" s="3072"/>
      <c r="K367" s="3090" t="str">
        <f t="shared" si="55"/>
        <v xml:space="preserve">        ----</v>
      </c>
      <c r="L367" s="3071" t="s">
        <v>6799</v>
      </c>
      <c r="M367" s="3093" t="s">
        <v>6803</v>
      </c>
      <c r="N367" s="3072"/>
      <c r="O367" s="3099"/>
      <c r="P367" s="3100"/>
      <c r="Q367" s="3100"/>
      <c r="R367" s="3100"/>
      <c r="S367" s="3101" t="s">
        <v>295</v>
      </c>
      <c r="T367" s="3101" t="s">
        <v>213</v>
      </c>
      <c r="U367" s="3102"/>
      <c r="V367" s="3102" t="s">
        <v>295</v>
      </c>
      <c r="W367" s="3102" t="s">
        <v>6797</v>
      </c>
      <c r="X367" s="3102" t="s">
        <v>213</v>
      </c>
      <c r="Y367" s="3103" t="s">
        <v>164</v>
      </c>
    </row>
    <row r="368" spans="1:25" ht="24" hidden="1">
      <c r="A368" s="1304"/>
      <c r="B368" s="643"/>
      <c r="C368" s="643" t="s">
        <v>2061</v>
      </c>
      <c r="D368" s="3087">
        <v>3</v>
      </c>
      <c r="E368" s="3088" t="str">
        <f t="shared" si="53"/>
        <v xml:space="preserve">        ----</v>
      </c>
      <c r="F368" s="3089" t="s">
        <v>2062</v>
      </c>
      <c r="G368" s="3090" t="str">
        <f t="shared" si="54"/>
        <v xml:space="preserve">        ----</v>
      </c>
      <c r="H368" s="3091">
        <f t="shared" ca="1" si="56"/>
        <v>0</v>
      </c>
      <c r="I368" s="3093" t="s">
        <v>6803</v>
      </c>
      <c r="J368" s="3072"/>
      <c r="K368" s="3090" t="str">
        <f t="shared" si="55"/>
        <v xml:space="preserve">        ----</v>
      </c>
      <c r="L368" s="3071" t="s">
        <v>6799</v>
      </c>
      <c r="M368" s="3093" t="s">
        <v>6803</v>
      </c>
      <c r="N368" s="3072"/>
      <c r="O368" s="3099"/>
      <c r="P368" s="3100"/>
      <c r="Q368" s="3100"/>
      <c r="R368" s="3100"/>
      <c r="S368" s="3101" t="s">
        <v>295</v>
      </c>
      <c r="T368" s="3101" t="s">
        <v>213</v>
      </c>
      <c r="U368" s="3102"/>
      <c r="V368" s="3102" t="s">
        <v>295</v>
      </c>
      <c r="W368" s="3102" t="s">
        <v>6797</v>
      </c>
      <c r="X368" s="3102" t="s">
        <v>213</v>
      </c>
      <c r="Y368" s="3103" t="s">
        <v>164</v>
      </c>
    </row>
    <row r="369" spans="1:25" ht="24" hidden="1">
      <c r="A369" s="1304"/>
      <c r="B369" s="643"/>
      <c r="C369" s="643" t="s">
        <v>2100</v>
      </c>
      <c r="D369" s="3087">
        <v>3</v>
      </c>
      <c r="E369" s="3088" t="str">
        <f t="shared" si="53"/>
        <v xml:space="preserve">        ----</v>
      </c>
      <c r="F369" s="3089" t="s">
        <v>887</v>
      </c>
      <c r="G369" s="3090" t="str">
        <f t="shared" si="54"/>
        <v xml:space="preserve">        ----</v>
      </c>
      <c r="H369" s="3091" t="s">
        <v>6799</v>
      </c>
      <c r="I369" s="3093" t="s">
        <v>6803</v>
      </c>
      <c r="J369" s="3072"/>
      <c r="K369" s="3090" t="str">
        <f t="shared" si="55"/>
        <v xml:space="preserve">        ----</v>
      </c>
      <c r="L369" s="3071" t="s">
        <v>6799</v>
      </c>
      <c r="M369" s="3093" t="s">
        <v>6803</v>
      </c>
      <c r="N369" s="3072"/>
      <c r="O369" s="3099"/>
      <c r="P369" s="3100"/>
      <c r="Q369" s="3100"/>
      <c r="R369" s="3100"/>
      <c r="S369" s="3101" t="s">
        <v>295</v>
      </c>
      <c r="T369" s="3101" t="s">
        <v>213</v>
      </c>
      <c r="U369" s="3102"/>
      <c r="V369" s="3102" t="s">
        <v>295</v>
      </c>
      <c r="W369" s="3102" t="s">
        <v>6797</v>
      </c>
      <c r="X369" s="3102" t="s">
        <v>6798</v>
      </c>
      <c r="Y369" s="3103" t="s">
        <v>164</v>
      </c>
    </row>
    <row r="370" spans="1:25" ht="24" hidden="1">
      <c r="A370" s="1304"/>
      <c r="B370" s="643"/>
      <c r="C370" s="643" t="s">
        <v>1351</v>
      </c>
      <c r="D370" s="3087">
        <v>3</v>
      </c>
      <c r="E370" s="3088" t="str">
        <f t="shared" si="53"/>
        <v xml:space="preserve">        ----</v>
      </c>
      <c r="F370" s="3089" t="s">
        <v>1352</v>
      </c>
      <c r="G370" s="3090" t="str">
        <f t="shared" si="54"/>
        <v xml:space="preserve">        ----</v>
      </c>
      <c r="H370" s="3091" t="s">
        <v>6799</v>
      </c>
      <c r="I370" s="3093" t="s">
        <v>6803</v>
      </c>
      <c r="J370" s="3072"/>
      <c r="K370" s="3090" t="str">
        <f t="shared" si="55"/>
        <v xml:space="preserve">        ----</v>
      </c>
      <c r="L370" s="3071" t="s">
        <v>6799</v>
      </c>
      <c r="M370" s="3093" t="s">
        <v>6803</v>
      </c>
      <c r="N370" s="3072"/>
      <c r="O370" s="3099"/>
      <c r="P370" s="3100"/>
      <c r="Q370" s="3100"/>
      <c r="R370" s="3100"/>
      <c r="S370" s="3101" t="s">
        <v>295</v>
      </c>
      <c r="T370" s="3101" t="s">
        <v>213</v>
      </c>
      <c r="U370" s="3102"/>
      <c r="V370" s="3102" t="s">
        <v>295</v>
      </c>
      <c r="W370" s="3102" t="s">
        <v>6797</v>
      </c>
      <c r="X370" s="3102" t="s">
        <v>6798</v>
      </c>
      <c r="Y370" s="3103" t="s">
        <v>164</v>
      </c>
    </row>
    <row r="371" spans="1:25" ht="18" hidden="1">
      <c r="A371" s="1304"/>
      <c r="B371" s="643"/>
      <c r="C371" s="643" t="s">
        <v>1347</v>
      </c>
      <c r="D371" s="3087">
        <v>3</v>
      </c>
      <c r="E371" s="3088" t="str">
        <f t="shared" si="53"/>
        <v xml:space="preserve">        ----</v>
      </c>
      <c r="F371" s="3089" t="s">
        <v>6458</v>
      </c>
      <c r="G371" s="3090" t="str">
        <f t="shared" si="54"/>
        <v xml:space="preserve">        ----</v>
      </c>
      <c r="H371" s="3091" t="s">
        <v>6799</v>
      </c>
      <c r="I371" s="3093" t="s">
        <v>6803</v>
      </c>
      <c r="J371" s="3072"/>
      <c r="K371" s="3090" t="str">
        <f t="shared" si="55"/>
        <v xml:space="preserve">        ----</v>
      </c>
      <c r="L371" s="3071" t="s">
        <v>6799</v>
      </c>
      <c r="M371" s="3093" t="s">
        <v>6803</v>
      </c>
      <c r="N371" s="3072"/>
      <c r="O371" s="3099"/>
      <c r="P371" s="3100"/>
      <c r="Q371" s="3100"/>
      <c r="R371" s="3100"/>
      <c r="S371" s="3101" t="s">
        <v>295</v>
      </c>
      <c r="T371" s="3101" t="s">
        <v>213</v>
      </c>
      <c r="U371" s="3102"/>
      <c r="V371" s="3102" t="s">
        <v>295</v>
      </c>
      <c r="W371" s="3102" t="s">
        <v>6797</v>
      </c>
      <c r="X371" s="3102" t="s">
        <v>6800</v>
      </c>
      <c r="Y371" s="3103" t="s">
        <v>164</v>
      </c>
    </row>
    <row r="372" spans="1:25" ht="18" hidden="1">
      <c r="A372" s="1304"/>
      <c r="B372" s="643"/>
      <c r="C372" s="643" t="s">
        <v>2156</v>
      </c>
      <c r="D372" s="3087">
        <v>3</v>
      </c>
      <c r="E372" s="3088" t="str">
        <f t="shared" si="53"/>
        <v xml:space="preserve">        ----</v>
      </c>
      <c r="F372" s="3089" t="s">
        <v>2157</v>
      </c>
      <c r="G372" s="3090" t="str">
        <f t="shared" si="54"/>
        <v xml:space="preserve">        ----</v>
      </c>
      <c r="H372" s="3091">
        <f t="shared" ref="H372:H380" ca="1" si="57">INDIRECT("Notes!CheckA"&amp;$C372)</f>
        <v>0</v>
      </c>
      <c r="I372" s="3093" t="s">
        <v>6803</v>
      </c>
      <c r="J372" s="3072"/>
      <c r="K372" s="3090" t="str">
        <f t="shared" si="55"/>
        <v xml:space="preserve">        ----</v>
      </c>
      <c r="L372" s="3071">
        <f t="shared" ref="L372:L380" ca="1" si="58">INDIRECT("Notes!CheckB"&amp;$C372)</f>
        <v>0</v>
      </c>
      <c r="M372" s="3093" t="s">
        <v>6803</v>
      </c>
      <c r="N372" s="3072"/>
      <c r="O372" s="3099"/>
      <c r="P372" s="3100"/>
      <c r="Q372" s="3100"/>
      <c r="R372" s="3100"/>
      <c r="S372" s="3101" t="s">
        <v>295</v>
      </c>
      <c r="T372" s="3101" t="s">
        <v>213</v>
      </c>
      <c r="U372" s="3102"/>
      <c r="V372" s="3102" t="s">
        <v>295</v>
      </c>
      <c r="W372" s="3102" t="s">
        <v>6797</v>
      </c>
      <c r="X372" s="3102" t="s">
        <v>6798</v>
      </c>
      <c r="Y372" s="3103" t="s">
        <v>164</v>
      </c>
    </row>
    <row r="373" spans="1:25" ht="18" hidden="1">
      <c r="A373" s="1304"/>
      <c r="B373" s="643"/>
      <c r="C373" s="643" t="s">
        <v>2176</v>
      </c>
      <c r="D373" s="3087">
        <v>3</v>
      </c>
      <c r="E373" s="3088" t="str">
        <f t="shared" si="53"/>
        <v xml:space="preserve">        ----</v>
      </c>
      <c r="F373" s="3089" t="s">
        <v>2177</v>
      </c>
      <c r="G373" s="3090" t="str">
        <f t="shared" si="54"/>
        <v xml:space="preserve">        ----</v>
      </c>
      <c r="H373" s="3091">
        <f t="shared" ca="1" si="57"/>
        <v>0</v>
      </c>
      <c r="I373" s="3093" t="s">
        <v>6803</v>
      </c>
      <c r="J373" s="3072"/>
      <c r="K373" s="3090" t="str">
        <f t="shared" si="55"/>
        <v xml:space="preserve">        ----</v>
      </c>
      <c r="L373" s="3071">
        <f t="shared" ca="1" si="58"/>
        <v>0</v>
      </c>
      <c r="M373" s="3093" t="s">
        <v>6803</v>
      </c>
      <c r="N373" s="3072"/>
      <c r="O373" s="3099"/>
      <c r="P373" s="3100"/>
      <c r="Q373" s="3100"/>
      <c r="R373" s="3100"/>
      <c r="S373" s="3101" t="s">
        <v>295</v>
      </c>
      <c r="T373" s="3101" t="s">
        <v>213</v>
      </c>
      <c r="U373" s="3102"/>
      <c r="V373" s="3102" t="s">
        <v>295</v>
      </c>
      <c r="W373" s="3102" t="s">
        <v>6797</v>
      </c>
      <c r="X373" s="3102" t="s">
        <v>6798</v>
      </c>
      <c r="Y373" s="3103" t="s">
        <v>164</v>
      </c>
    </row>
    <row r="374" spans="1:25" ht="18" hidden="1">
      <c r="A374" s="1304"/>
      <c r="B374" s="643"/>
      <c r="C374" s="643" t="s">
        <v>2178</v>
      </c>
      <c r="D374" s="3087">
        <v>3</v>
      </c>
      <c r="E374" s="3088" t="str">
        <f t="shared" si="53"/>
        <v xml:space="preserve">        ----</v>
      </c>
      <c r="F374" s="3089" t="s">
        <v>2179</v>
      </c>
      <c r="G374" s="3090" t="str">
        <f t="shared" si="54"/>
        <v xml:space="preserve">        ----</v>
      </c>
      <c r="H374" s="3091">
        <f t="shared" ca="1" si="57"/>
        <v>0</v>
      </c>
      <c r="I374" s="3093" t="s">
        <v>6803</v>
      </c>
      <c r="J374" s="3072"/>
      <c r="K374" s="3090" t="str">
        <f t="shared" si="55"/>
        <v xml:space="preserve">        ----</v>
      </c>
      <c r="L374" s="3071">
        <f t="shared" ca="1" si="58"/>
        <v>0</v>
      </c>
      <c r="M374" s="3093" t="s">
        <v>6803</v>
      </c>
      <c r="N374" s="3072"/>
      <c r="O374" s="3099"/>
      <c r="P374" s="3100"/>
      <c r="Q374" s="3100"/>
      <c r="R374" s="3100"/>
      <c r="S374" s="3101" t="s">
        <v>295</v>
      </c>
      <c r="T374" s="3101" t="s">
        <v>213</v>
      </c>
      <c r="U374" s="3102"/>
      <c r="V374" s="3102" t="s">
        <v>295</v>
      </c>
      <c r="W374" s="3102" t="s">
        <v>6797</v>
      </c>
      <c r="X374" s="3102" t="s">
        <v>6798</v>
      </c>
      <c r="Y374" s="3103" t="s">
        <v>164</v>
      </c>
    </row>
    <row r="375" spans="1:25" ht="24" hidden="1">
      <c r="A375" s="1304"/>
      <c r="B375" s="643"/>
      <c r="C375" s="643" t="s">
        <v>2111</v>
      </c>
      <c r="D375" s="3087">
        <v>3</v>
      </c>
      <c r="E375" s="3088" t="str">
        <f t="shared" si="53"/>
        <v xml:space="preserve">        ----</v>
      </c>
      <c r="F375" s="3089" t="s">
        <v>2112</v>
      </c>
      <c r="G375" s="3090" t="str">
        <f t="shared" si="54"/>
        <v xml:space="preserve">        ----</v>
      </c>
      <c r="H375" s="3091">
        <f t="shared" ca="1" si="57"/>
        <v>0</v>
      </c>
      <c r="I375" s="3093" t="s">
        <v>6803</v>
      </c>
      <c r="J375" s="3072"/>
      <c r="K375" s="3090" t="str">
        <f t="shared" si="55"/>
        <v xml:space="preserve">        ----</v>
      </c>
      <c r="L375" s="3071">
        <f t="shared" ca="1" si="58"/>
        <v>0</v>
      </c>
      <c r="M375" s="3093" t="s">
        <v>6803</v>
      </c>
      <c r="N375" s="3072"/>
      <c r="O375" s="3099"/>
      <c r="P375" s="3100"/>
      <c r="Q375" s="3100"/>
      <c r="R375" s="3100"/>
      <c r="S375" s="3101" t="s">
        <v>295</v>
      </c>
      <c r="T375" s="3101" t="s">
        <v>213</v>
      </c>
      <c r="U375" s="3102"/>
      <c r="V375" s="3102" t="s">
        <v>295</v>
      </c>
      <c r="W375" s="3102" t="s">
        <v>6797</v>
      </c>
      <c r="X375" s="3102" t="s">
        <v>6798</v>
      </c>
      <c r="Y375" s="3103" t="s">
        <v>119</v>
      </c>
    </row>
    <row r="376" spans="1:25" ht="24" hidden="1">
      <c r="A376" s="1304"/>
      <c r="B376" s="643"/>
      <c r="C376" s="643" t="s">
        <v>2113</v>
      </c>
      <c r="D376" s="3087">
        <v>3</v>
      </c>
      <c r="E376" s="3088" t="str">
        <f t="shared" si="53"/>
        <v xml:space="preserve">        ----</v>
      </c>
      <c r="F376" s="3089" t="s">
        <v>2114</v>
      </c>
      <c r="G376" s="3090" t="str">
        <f t="shared" si="54"/>
        <v xml:space="preserve">        ----</v>
      </c>
      <c r="H376" s="3091">
        <f t="shared" ca="1" si="57"/>
        <v>0</v>
      </c>
      <c r="I376" s="3093" t="s">
        <v>6803</v>
      </c>
      <c r="J376" s="3072"/>
      <c r="K376" s="3090" t="str">
        <f t="shared" si="55"/>
        <v xml:space="preserve">        ----</v>
      </c>
      <c r="L376" s="3071">
        <f t="shared" ca="1" si="58"/>
        <v>0</v>
      </c>
      <c r="M376" s="3093" t="s">
        <v>6803</v>
      </c>
      <c r="N376" s="3072"/>
      <c r="O376" s="3099"/>
      <c r="P376" s="3100"/>
      <c r="Q376" s="3100"/>
      <c r="R376" s="3100"/>
      <c r="S376" s="3101" t="s">
        <v>295</v>
      </c>
      <c r="T376" s="3101" t="s">
        <v>213</v>
      </c>
      <c r="U376" s="3102"/>
      <c r="V376" s="3102" t="s">
        <v>295</v>
      </c>
      <c r="W376" s="3102" t="s">
        <v>6797</v>
      </c>
      <c r="X376" s="3102" t="s">
        <v>6798</v>
      </c>
      <c r="Y376" s="3103" t="s">
        <v>119</v>
      </c>
    </row>
    <row r="377" spans="1:25" ht="24" hidden="1">
      <c r="A377" s="1304"/>
      <c r="B377" s="643"/>
      <c r="C377" s="643" t="s">
        <v>2115</v>
      </c>
      <c r="D377" s="3087">
        <v>3</v>
      </c>
      <c r="E377" s="3088" t="str">
        <f t="shared" si="53"/>
        <v xml:space="preserve">        ----</v>
      </c>
      <c r="F377" s="3089" t="s">
        <v>2116</v>
      </c>
      <c r="G377" s="3090" t="str">
        <f t="shared" si="54"/>
        <v xml:space="preserve">        ----</v>
      </c>
      <c r="H377" s="3091">
        <f t="shared" ca="1" si="57"/>
        <v>0</v>
      </c>
      <c r="I377" s="3093" t="s">
        <v>6803</v>
      </c>
      <c r="J377" s="3072"/>
      <c r="K377" s="3090" t="str">
        <f t="shared" si="55"/>
        <v xml:space="preserve">        ----</v>
      </c>
      <c r="L377" s="3071">
        <f t="shared" ca="1" si="58"/>
        <v>0</v>
      </c>
      <c r="M377" s="3093" t="s">
        <v>6803</v>
      </c>
      <c r="N377" s="3072"/>
      <c r="O377" s="3099"/>
      <c r="P377" s="3100"/>
      <c r="Q377" s="3100"/>
      <c r="R377" s="3100"/>
      <c r="S377" s="3101" t="s">
        <v>295</v>
      </c>
      <c r="T377" s="3101" t="s">
        <v>213</v>
      </c>
      <c r="U377" s="3102"/>
      <c r="V377" s="3102" t="s">
        <v>295</v>
      </c>
      <c r="W377" s="3102" t="s">
        <v>6797</v>
      </c>
      <c r="X377" s="3102" t="s">
        <v>6798</v>
      </c>
      <c r="Y377" s="3103" t="s">
        <v>119</v>
      </c>
    </row>
    <row r="378" spans="1:25" ht="24" hidden="1">
      <c r="A378" s="1304"/>
      <c r="B378" s="643"/>
      <c r="C378" s="643" t="s">
        <v>2117</v>
      </c>
      <c r="D378" s="3087">
        <v>3</v>
      </c>
      <c r="E378" s="3088" t="str">
        <f t="shared" si="53"/>
        <v xml:space="preserve">        ----</v>
      </c>
      <c r="F378" s="3089" t="s">
        <v>2118</v>
      </c>
      <c r="G378" s="3090" t="str">
        <f t="shared" si="54"/>
        <v xml:space="preserve">        ----</v>
      </c>
      <c r="H378" s="3091">
        <f t="shared" ca="1" si="57"/>
        <v>0</v>
      </c>
      <c r="I378" s="3093" t="s">
        <v>6803</v>
      </c>
      <c r="J378" s="3072"/>
      <c r="K378" s="3090" t="str">
        <f t="shared" si="55"/>
        <v xml:space="preserve">        ----</v>
      </c>
      <c r="L378" s="3071">
        <f t="shared" ca="1" si="58"/>
        <v>0</v>
      </c>
      <c r="M378" s="3093" t="s">
        <v>6803</v>
      </c>
      <c r="N378" s="3072"/>
      <c r="O378" s="3099"/>
      <c r="P378" s="3100"/>
      <c r="Q378" s="3100"/>
      <c r="R378" s="3100"/>
      <c r="S378" s="3101" t="s">
        <v>295</v>
      </c>
      <c r="T378" s="3101" t="s">
        <v>213</v>
      </c>
      <c r="U378" s="3102"/>
      <c r="V378" s="3102" t="s">
        <v>295</v>
      </c>
      <c r="W378" s="3102" t="s">
        <v>6797</v>
      </c>
      <c r="X378" s="3102" t="s">
        <v>6798</v>
      </c>
      <c r="Y378" s="3103" t="s">
        <v>119</v>
      </c>
    </row>
    <row r="379" spans="1:25" ht="36" hidden="1">
      <c r="A379" s="1304"/>
      <c r="B379" s="643"/>
      <c r="C379" s="643" t="s">
        <v>2120</v>
      </c>
      <c r="D379" s="3087">
        <v>3</v>
      </c>
      <c r="E379" s="3088" t="str">
        <f t="shared" si="53"/>
        <v xml:space="preserve">        ----</v>
      </c>
      <c r="F379" s="3089" t="s">
        <v>2121</v>
      </c>
      <c r="G379" s="3090" t="str">
        <f t="shared" si="54"/>
        <v xml:space="preserve">        ----</v>
      </c>
      <c r="H379" s="3091">
        <f t="shared" ca="1" si="57"/>
        <v>0</v>
      </c>
      <c r="I379" s="3093" t="s">
        <v>6803</v>
      </c>
      <c r="J379" s="3072"/>
      <c r="K379" s="3090" t="str">
        <f t="shared" si="55"/>
        <v xml:space="preserve">        ----</v>
      </c>
      <c r="L379" s="3071">
        <f t="shared" ca="1" si="58"/>
        <v>0</v>
      </c>
      <c r="M379" s="3093" t="s">
        <v>6803</v>
      </c>
      <c r="N379" s="3072"/>
      <c r="O379" s="3099"/>
      <c r="P379" s="3100"/>
      <c r="Q379" s="3100"/>
      <c r="R379" s="3100"/>
      <c r="S379" s="3101" t="s">
        <v>295</v>
      </c>
      <c r="T379" s="3101" t="s">
        <v>213</v>
      </c>
      <c r="U379" s="3102"/>
      <c r="V379" s="3102" t="s">
        <v>295</v>
      </c>
      <c r="W379" s="3102" t="s">
        <v>6797</v>
      </c>
      <c r="X379" s="3102" t="s">
        <v>6798</v>
      </c>
      <c r="Y379" s="3103" t="s">
        <v>119</v>
      </c>
    </row>
    <row r="380" spans="1:25" ht="36" hidden="1">
      <c r="A380" s="1304"/>
      <c r="B380" s="643"/>
      <c r="C380" s="643" t="s">
        <v>2125</v>
      </c>
      <c r="D380" s="3087">
        <v>3</v>
      </c>
      <c r="E380" s="3088" t="str">
        <f t="shared" si="53"/>
        <v xml:space="preserve">        ----</v>
      </c>
      <c r="F380" s="3089" t="s">
        <v>2126</v>
      </c>
      <c r="G380" s="3090" t="str">
        <f t="shared" si="54"/>
        <v xml:space="preserve">        ----</v>
      </c>
      <c r="H380" s="3091">
        <f t="shared" ca="1" si="57"/>
        <v>0</v>
      </c>
      <c r="I380" s="3093" t="s">
        <v>6803</v>
      </c>
      <c r="J380" s="3072"/>
      <c r="K380" s="3090" t="str">
        <f t="shared" si="55"/>
        <v xml:space="preserve">        ----</v>
      </c>
      <c r="L380" s="3071">
        <f t="shared" ca="1" si="58"/>
        <v>0</v>
      </c>
      <c r="M380" s="3093" t="s">
        <v>6803</v>
      </c>
      <c r="N380" s="3072"/>
      <c r="O380" s="3099"/>
      <c r="P380" s="3100"/>
      <c r="Q380" s="3100"/>
      <c r="R380" s="3100"/>
      <c r="S380" s="3101" t="s">
        <v>295</v>
      </c>
      <c r="T380" s="3101" t="s">
        <v>213</v>
      </c>
      <c r="U380" s="3102"/>
      <c r="V380" s="3102" t="s">
        <v>295</v>
      </c>
      <c r="W380" s="3102" t="s">
        <v>6797</v>
      </c>
      <c r="X380" s="3102" t="s">
        <v>6798</v>
      </c>
      <c r="Y380" s="3103" t="s">
        <v>119</v>
      </c>
    </row>
    <row r="381" spans="1:25" ht="24" hidden="1">
      <c r="A381" s="1304"/>
      <c r="B381" s="643"/>
      <c r="C381" s="643" t="s">
        <v>2127</v>
      </c>
      <c r="D381" s="3087">
        <v>3</v>
      </c>
      <c r="E381" s="3088" t="str">
        <f t="shared" si="53"/>
        <v xml:space="preserve">        ----</v>
      </c>
      <c r="F381" s="3089" t="s">
        <v>2128</v>
      </c>
      <c r="G381" s="3090" t="str">
        <f t="shared" si="54"/>
        <v xml:space="preserve">        ----</v>
      </c>
      <c r="H381" s="3091" t="s">
        <v>6799</v>
      </c>
      <c r="I381" s="3093" t="s">
        <v>6803</v>
      </c>
      <c r="J381" s="3072"/>
      <c r="K381" s="3090" t="str">
        <f t="shared" si="55"/>
        <v xml:space="preserve">        ----</v>
      </c>
      <c r="L381" s="3071" t="s">
        <v>6799</v>
      </c>
      <c r="M381" s="3093" t="s">
        <v>6803</v>
      </c>
      <c r="N381" s="3072"/>
      <c r="O381" s="3099"/>
      <c r="P381" s="3100"/>
      <c r="Q381" s="3100"/>
      <c r="R381" s="3100"/>
      <c r="S381" s="3101" t="s">
        <v>295</v>
      </c>
      <c r="T381" s="3101" t="s">
        <v>213</v>
      </c>
      <c r="U381" s="3102"/>
      <c r="V381" s="3102" t="s">
        <v>295</v>
      </c>
      <c r="W381" s="3102" t="s">
        <v>145</v>
      </c>
      <c r="X381" s="3102" t="s">
        <v>6800</v>
      </c>
      <c r="Y381" s="3103" t="s">
        <v>119</v>
      </c>
    </row>
    <row r="382" spans="1:25" ht="48" hidden="1">
      <c r="A382" s="1304"/>
      <c r="B382" s="643"/>
      <c r="C382" s="643" t="s">
        <v>2149</v>
      </c>
      <c r="D382" s="3087">
        <v>3</v>
      </c>
      <c r="E382" s="3088" t="str">
        <f t="shared" si="53"/>
        <v xml:space="preserve">        ----</v>
      </c>
      <c r="F382" s="3089" t="s">
        <v>2159</v>
      </c>
      <c r="G382" s="3090" t="str">
        <f t="shared" si="54"/>
        <v xml:space="preserve">        ----</v>
      </c>
      <c r="H382" s="3091">
        <f ca="1">INDIRECT("Notes!CheckA"&amp;$C382)</f>
        <v>0</v>
      </c>
      <c r="I382" s="3093" t="s">
        <v>6803</v>
      </c>
      <c r="J382" s="3072"/>
      <c r="K382" s="3090" t="str">
        <f t="shared" si="55"/>
        <v xml:space="preserve">        ----</v>
      </c>
      <c r="L382" s="3071" t="s">
        <v>6799</v>
      </c>
      <c r="M382" s="3093" t="s">
        <v>6803</v>
      </c>
      <c r="N382" s="3072"/>
      <c r="O382" s="3099"/>
      <c r="P382" s="3100"/>
      <c r="Q382" s="3100"/>
      <c r="R382" s="3100"/>
      <c r="S382" s="3101" t="s">
        <v>295</v>
      </c>
      <c r="T382" s="3101" t="s">
        <v>213</v>
      </c>
      <c r="U382" s="3102"/>
      <c r="V382" s="3102" t="s">
        <v>295</v>
      </c>
      <c r="W382" s="3102" t="s">
        <v>6797</v>
      </c>
      <c r="X382" s="3102" t="s">
        <v>6800</v>
      </c>
      <c r="Y382" s="3103" t="s">
        <v>164</v>
      </c>
    </row>
    <row r="383" spans="1:25" ht="48" hidden="1">
      <c r="A383" s="1304"/>
      <c r="B383" s="643"/>
      <c r="C383" s="643" t="s">
        <v>2160</v>
      </c>
      <c r="D383" s="3087">
        <v>3</v>
      </c>
      <c r="E383" s="3088" t="str">
        <f t="shared" si="53"/>
        <v xml:space="preserve">        ----</v>
      </c>
      <c r="F383" s="3089" t="s">
        <v>2161</v>
      </c>
      <c r="G383" s="3090" t="str">
        <f t="shared" si="54"/>
        <v xml:space="preserve">        ----</v>
      </c>
      <c r="H383" s="3091">
        <f ca="1">INDIRECT("Notes!CheckA"&amp;$C383)</f>
        <v>0</v>
      </c>
      <c r="I383" s="3093" t="s">
        <v>6803</v>
      </c>
      <c r="J383" s="3072"/>
      <c r="K383" s="3090" t="str">
        <f t="shared" si="55"/>
        <v xml:space="preserve">        ----</v>
      </c>
      <c r="L383" s="3071" t="s">
        <v>6799</v>
      </c>
      <c r="M383" s="3093" t="s">
        <v>6803</v>
      </c>
      <c r="N383" s="3072"/>
      <c r="O383" s="3099"/>
      <c r="P383" s="3100"/>
      <c r="Q383" s="3100"/>
      <c r="R383" s="3100"/>
      <c r="S383" s="3101" t="s">
        <v>295</v>
      </c>
      <c r="T383" s="3101" t="s">
        <v>213</v>
      </c>
      <c r="U383" s="3102"/>
      <c r="V383" s="3102" t="s">
        <v>295</v>
      </c>
      <c r="W383" s="3102" t="s">
        <v>6797</v>
      </c>
      <c r="X383" s="3102" t="s">
        <v>6800</v>
      </c>
      <c r="Y383" s="3103" t="s">
        <v>164</v>
      </c>
    </row>
    <row r="384" spans="1:25" ht="60" hidden="1">
      <c r="A384" s="1304"/>
      <c r="B384" s="643"/>
      <c r="C384" s="643" t="s">
        <v>2144</v>
      </c>
      <c r="D384" s="3087">
        <v>3</v>
      </c>
      <c r="E384" s="3088" t="str">
        <f t="shared" si="53"/>
        <v xml:space="preserve">        ----</v>
      </c>
      <c r="F384" s="3089" t="s">
        <v>2145</v>
      </c>
      <c r="G384" s="3090" t="str">
        <f t="shared" si="54"/>
        <v xml:space="preserve">        ----</v>
      </c>
      <c r="H384" s="3091" t="s">
        <v>6799</v>
      </c>
      <c r="I384" s="3093" t="s">
        <v>6803</v>
      </c>
      <c r="J384" s="3072"/>
      <c r="K384" s="3090" t="str">
        <f t="shared" si="55"/>
        <v xml:space="preserve">        ----</v>
      </c>
      <c r="L384" s="3071" t="s">
        <v>6799</v>
      </c>
      <c r="M384" s="3093" t="s">
        <v>6803</v>
      </c>
      <c r="N384" s="3072"/>
      <c r="O384" s="3099"/>
      <c r="P384" s="3100"/>
      <c r="Q384" s="3100"/>
      <c r="R384" s="3100"/>
      <c r="S384" s="3101" t="s">
        <v>295</v>
      </c>
      <c r="T384" s="3101" t="s">
        <v>213</v>
      </c>
      <c r="U384" s="3102"/>
      <c r="V384" s="3102" t="s">
        <v>295</v>
      </c>
      <c r="W384" s="3102" t="s">
        <v>6797</v>
      </c>
      <c r="X384" s="3102" t="s">
        <v>6800</v>
      </c>
      <c r="Y384" s="3103" t="s">
        <v>164</v>
      </c>
    </row>
    <row r="385" spans="1:25" ht="36" hidden="1">
      <c r="A385" s="1304"/>
      <c r="B385" s="643"/>
      <c r="C385" s="643" t="s">
        <v>2130</v>
      </c>
      <c r="D385" s="3087">
        <v>3</v>
      </c>
      <c r="E385" s="3088" t="str">
        <f t="shared" si="53"/>
        <v xml:space="preserve">        ----</v>
      </c>
      <c r="F385" s="3089" t="s">
        <v>2131</v>
      </c>
      <c r="G385" s="3090" t="str">
        <f t="shared" si="54"/>
        <v xml:space="preserve">        ----</v>
      </c>
      <c r="H385" s="3091" t="s">
        <v>6799</v>
      </c>
      <c r="I385" s="3093" t="s">
        <v>6803</v>
      </c>
      <c r="J385" s="3072"/>
      <c r="K385" s="3090" t="str">
        <f t="shared" si="55"/>
        <v xml:space="preserve">        ----</v>
      </c>
      <c r="L385" s="3071" t="s">
        <v>6799</v>
      </c>
      <c r="M385" s="3093" t="s">
        <v>6803</v>
      </c>
      <c r="N385" s="3072"/>
      <c r="O385" s="3099"/>
      <c r="P385" s="3100"/>
      <c r="Q385" s="3100"/>
      <c r="R385" s="3100"/>
      <c r="S385" s="3101" t="s">
        <v>295</v>
      </c>
      <c r="T385" s="3101" t="s">
        <v>213</v>
      </c>
      <c r="U385" s="3102"/>
      <c r="V385" s="3102" t="s">
        <v>295</v>
      </c>
      <c r="W385" s="3102" t="s">
        <v>6797</v>
      </c>
      <c r="X385" s="3102" t="s">
        <v>6800</v>
      </c>
      <c r="Y385" s="3103" t="s">
        <v>164</v>
      </c>
    </row>
    <row r="386" spans="1:25" ht="24" hidden="1">
      <c r="A386" s="1304"/>
      <c r="B386" s="643"/>
      <c r="C386" s="643" t="s">
        <v>2064</v>
      </c>
      <c r="D386" s="3087">
        <v>3</v>
      </c>
      <c r="E386" s="3088" t="str">
        <f t="shared" si="53"/>
        <v xml:space="preserve">        ----</v>
      </c>
      <c r="F386" s="3089" t="s">
        <v>2065</v>
      </c>
      <c r="G386" s="3090" t="str">
        <f t="shared" si="54"/>
        <v xml:space="preserve">        ----</v>
      </c>
      <c r="H386" s="3091">
        <f ca="1">INDIRECT("Notes!CheckA"&amp;$C386)</f>
        <v>0</v>
      </c>
      <c r="I386" s="3093" t="s">
        <v>6803</v>
      </c>
      <c r="J386" s="3072"/>
      <c r="K386" s="3090" t="str">
        <f t="shared" si="55"/>
        <v xml:space="preserve">        ----</v>
      </c>
      <c r="L386" s="3071">
        <f ca="1">INDIRECT("Notes!CheckB"&amp;$C386)</f>
        <v>0</v>
      </c>
      <c r="M386" s="3093" t="s">
        <v>6803</v>
      </c>
      <c r="N386" s="3072"/>
      <c r="O386" s="3099"/>
      <c r="P386" s="3100"/>
      <c r="Q386" s="3100"/>
      <c r="R386" s="3100"/>
      <c r="S386" s="3101" t="s">
        <v>295</v>
      </c>
      <c r="T386" s="3101" t="s">
        <v>213</v>
      </c>
      <c r="U386" s="3102"/>
      <c r="V386" s="3102" t="s">
        <v>295</v>
      </c>
      <c r="W386" s="3102" t="s">
        <v>6797</v>
      </c>
      <c r="X386" s="3102" t="s">
        <v>6798</v>
      </c>
      <c r="Y386" s="3103" t="s">
        <v>164</v>
      </c>
    </row>
    <row r="387" spans="1:25" ht="24" hidden="1">
      <c r="A387" s="1304"/>
      <c r="B387" s="643"/>
      <c r="C387" s="643" t="s">
        <v>2067</v>
      </c>
      <c r="D387" s="3087">
        <v>3</v>
      </c>
      <c r="E387" s="3088" t="str">
        <f t="shared" si="53"/>
        <v xml:space="preserve">        ----</v>
      </c>
      <c r="F387" s="3089" t="s">
        <v>2068</v>
      </c>
      <c r="G387" s="3090" t="str">
        <f t="shared" si="54"/>
        <v xml:space="preserve">        ----</v>
      </c>
      <c r="H387" s="3091">
        <f ca="1">INDIRECT("Notes!CheckA"&amp;$C387)</f>
        <v>0</v>
      </c>
      <c r="I387" s="3093" t="s">
        <v>6803</v>
      </c>
      <c r="J387" s="3072"/>
      <c r="K387" s="3090" t="str">
        <f t="shared" si="55"/>
        <v xml:space="preserve">        ----</v>
      </c>
      <c r="L387" s="3071">
        <f ca="1">INDIRECT("Notes!CheckB"&amp;$C387)</f>
        <v>0</v>
      </c>
      <c r="M387" s="3093" t="s">
        <v>6803</v>
      </c>
      <c r="N387" s="3072"/>
      <c r="O387" s="3099"/>
      <c r="P387" s="3100"/>
      <c r="Q387" s="3100"/>
      <c r="R387" s="3100"/>
      <c r="S387" s="3101" t="s">
        <v>295</v>
      </c>
      <c r="T387" s="3101" t="s">
        <v>213</v>
      </c>
      <c r="U387" s="3102"/>
      <c r="V387" s="3102" t="s">
        <v>295</v>
      </c>
      <c r="W387" s="3102" t="s">
        <v>6797</v>
      </c>
      <c r="X387" s="3102" t="s">
        <v>6798</v>
      </c>
      <c r="Y387" s="3103" t="s">
        <v>164</v>
      </c>
    </row>
    <row r="388" spans="1:25" ht="18" hidden="1">
      <c r="A388" s="1304"/>
      <c r="B388" s="643"/>
      <c r="C388" s="643" t="s">
        <v>2069</v>
      </c>
      <c r="D388" s="3087">
        <v>3</v>
      </c>
      <c r="E388" s="3088" t="str">
        <f t="shared" si="53"/>
        <v xml:space="preserve">        ----</v>
      </c>
      <c r="F388" s="3089" t="s">
        <v>2070</v>
      </c>
      <c r="G388" s="3090" t="str">
        <f t="shared" si="54"/>
        <v xml:space="preserve">        ----</v>
      </c>
      <c r="H388" s="3091" t="s">
        <v>6799</v>
      </c>
      <c r="I388" s="3093" t="s">
        <v>6803</v>
      </c>
      <c r="J388" s="3072"/>
      <c r="K388" s="3090" t="str">
        <f t="shared" si="55"/>
        <v xml:space="preserve">        ----</v>
      </c>
      <c r="L388" s="3071" t="s">
        <v>6799</v>
      </c>
      <c r="M388" s="3093" t="s">
        <v>6803</v>
      </c>
      <c r="N388" s="3072"/>
      <c r="O388" s="3099"/>
      <c r="P388" s="3100"/>
      <c r="Q388" s="3100"/>
      <c r="R388" s="3100"/>
      <c r="S388" s="3101" t="s">
        <v>295</v>
      </c>
      <c r="T388" s="3101" t="s">
        <v>213</v>
      </c>
      <c r="U388" s="3102"/>
      <c r="V388" s="3102" t="s">
        <v>295</v>
      </c>
      <c r="W388" s="3102" t="s">
        <v>6797</v>
      </c>
      <c r="X388" s="3102" t="s">
        <v>6798</v>
      </c>
      <c r="Y388" s="3103" t="s">
        <v>164</v>
      </c>
    </row>
    <row r="389" spans="1:25" ht="18" hidden="1">
      <c r="A389" s="1304"/>
      <c r="B389" s="643"/>
      <c r="C389" s="643" t="s">
        <v>2072</v>
      </c>
      <c r="D389" s="3087">
        <v>3</v>
      </c>
      <c r="E389" s="3088" t="str">
        <f t="shared" si="53"/>
        <v xml:space="preserve">        ----</v>
      </c>
      <c r="F389" s="3089" t="s">
        <v>2073</v>
      </c>
      <c r="G389" s="3090" t="str">
        <f t="shared" si="54"/>
        <v xml:space="preserve">        ----</v>
      </c>
      <c r="H389" s="3091" t="s">
        <v>6799</v>
      </c>
      <c r="I389" s="3093" t="s">
        <v>6803</v>
      </c>
      <c r="J389" s="3072"/>
      <c r="K389" s="3090" t="str">
        <f t="shared" si="55"/>
        <v xml:space="preserve">        ----</v>
      </c>
      <c r="L389" s="3071" t="s">
        <v>6799</v>
      </c>
      <c r="M389" s="3093" t="s">
        <v>6803</v>
      </c>
      <c r="N389" s="3072"/>
      <c r="O389" s="3099"/>
      <c r="P389" s="3100"/>
      <c r="Q389" s="3100"/>
      <c r="R389" s="3100"/>
      <c r="S389" s="3101" t="s">
        <v>295</v>
      </c>
      <c r="T389" s="3101" t="s">
        <v>213</v>
      </c>
      <c r="U389" s="3102"/>
      <c r="V389" s="3102" t="s">
        <v>295</v>
      </c>
      <c r="W389" s="3102" t="s">
        <v>6797</v>
      </c>
      <c r="X389" s="3102" t="s">
        <v>6798</v>
      </c>
      <c r="Y389" s="3103" t="s">
        <v>164</v>
      </c>
    </row>
    <row r="390" spans="1:25" ht="24" hidden="1">
      <c r="A390" s="1304"/>
      <c r="B390" s="643"/>
      <c r="C390" s="643" t="s">
        <v>2075</v>
      </c>
      <c r="D390" s="3087">
        <v>3</v>
      </c>
      <c r="E390" s="3088" t="str">
        <f t="shared" si="53"/>
        <v xml:space="preserve">        ----</v>
      </c>
      <c r="F390" s="3089" t="s">
        <v>2076</v>
      </c>
      <c r="G390" s="3090" t="str">
        <f t="shared" si="54"/>
        <v xml:space="preserve">        ----</v>
      </c>
      <c r="H390" s="3091" t="s">
        <v>6799</v>
      </c>
      <c r="I390" s="3093" t="s">
        <v>6803</v>
      </c>
      <c r="J390" s="3072"/>
      <c r="K390" s="3090" t="str">
        <f t="shared" si="55"/>
        <v xml:space="preserve">        ----</v>
      </c>
      <c r="L390" s="3071" t="s">
        <v>6799</v>
      </c>
      <c r="M390" s="3093" t="s">
        <v>6803</v>
      </c>
      <c r="N390" s="3072"/>
      <c r="O390" s="3099"/>
      <c r="P390" s="3100"/>
      <c r="Q390" s="3100"/>
      <c r="R390" s="3100"/>
      <c r="S390" s="3101" t="s">
        <v>295</v>
      </c>
      <c r="T390" s="3101" t="s">
        <v>213</v>
      </c>
      <c r="U390" s="3102"/>
      <c r="V390" s="3102" t="s">
        <v>295</v>
      </c>
      <c r="W390" s="3102" t="s">
        <v>6797</v>
      </c>
      <c r="X390" s="3102" t="s">
        <v>6798</v>
      </c>
      <c r="Y390" s="3103" t="s">
        <v>164</v>
      </c>
    </row>
    <row r="391" spans="1:25" ht="24" hidden="1">
      <c r="A391" s="1304"/>
      <c r="B391" s="643"/>
      <c r="C391" s="643" t="s">
        <v>2077</v>
      </c>
      <c r="D391" s="3087">
        <v>3</v>
      </c>
      <c r="E391" s="3088" t="str">
        <f t="shared" si="53"/>
        <v xml:space="preserve">        ----</v>
      </c>
      <c r="F391" s="3089" t="s">
        <v>2078</v>
      </c>
      <c r="G391" s="3090" t="str">
        <f t="shared" si="54"/>
        <v xml:space="preserve">        ----</v>
      </c>
      <c r="H391" s="3091" t="s">
        <v>6799</v>
      </c>
      <c r="I391" s="3093" t="s">
        <v>6803</v>
      </c>
      <c r="J391" s="3072"/>
      <c r="K391" s="3090" t="str">
        <f t="shared" si="55"/>
        <v xml:space="preserve">        ----</v>
      </c>
      <c r="L391" s="3071" t="s">
        <v>6799</v>
      </c>
      <c r="M391" s="3093" t="s">
        <v>6803</v>
      </c>
      <c r="N391" s="3072"/>
      <c r="O391" s="3099"/>
      <c r="P391" s="3100"/>
      <c r="Q391" s="3100"/>
      <c r="R391" s="3100"/>
      <c r="S391" s="3101" t="s">
        <v>295</v>
      </c>
      <c r="T391" s="3101" t="s">
        <v>213</v>
      </c>
      <c r="U391" s="3102"/>
      <c r="V391" s="3102" t="s">
        <v>295</v>
      </c>
      <c r="W391" s="3102" t="s">
        <v>6797</v>
      </c>
      <c r="X391" s="3102" t="s">
        <v>6798</v>
      </c>
      <c r="Y391" s="3103" t="s">
        <v>164</v>
      </c>
    </row>
    <row r="392" spans="1:25" ht="24" hidden="1">
      <c r="A392" s="1304"/>
      <c r="B392" s="643"/>
      <c r="C392" s="643" t="s">
        <v>2079</v>
      </c>
      <c r="D392" s="3087">
        <v>3</v>
      </c>
      <c r="E392" s="3088" t="str">
        <f t="shared" si="53"/>
        <v xml:space="preserve">        ----</v>
      </c>
      <c r="F392" s="3089" t="s">
        <v>2080</v>
      </c>
      <c r="G392" s="3090" t="str">
        <f t="shared" si="54"/>
        <v xml:space="preserve">        ----</v>
      </c>
      <c r="H392" s="3091" t="s">
        <v>6799</v>
      </c>
      <c r="I392" s="3093" t="s">
        <v>6803</v>
      </c>
      <c r="J392" s="3072"/>
      <c r="K392" s="3090" t="str">
        <f t="shared" si="55"/>
        <v xml:space="preserve">        ----</v>
      </c>
      <c r="L392" s="3071" t="s">
        <v>6799</v>
      </c>
      <c r="M392" s="3093" t="s">
        <v>6803</v>
      </c>
      <c r="N392" s="3072"/>
      <c r="O392" s="3099"/>
      <c r="P392" s="3100"/>
      <c r="Q392" s="3100"/>
      <c r="R392" s="3100"/>
      <c r="S392" s="3101" t="s">
        <v>295</v>
      </c>
      <c r="T392" s="3101" t="s">
        <v>213</v>
      </c>
      <c r="U392" s="3102"/>
      <c r="V392" s="3102" t="s">
        <v>295</v>
      </c>
      <c r="W392" s="3102" t="s">
        <v>6797</v>
      </c>
      <c r="X392" s="3102" t="s">
        <v>6798</v>
      </c>
      <c r="Y392" s="3103" t="s">
        <v>164</v>
      </c>
    </row>
    <row r="393" spans="1:25" ht="24" hidden="1">
      <c r="A393" s="1304"/>
      <c r="B393" s="643"/>
      <c r="C393" s="643" t="s">
        <v>2081</v>
      </c>
      <c r="D393" s="3087">
        <v>3</v>
      </c>
      <c r="E393" s="3088" t="str">
        <f t="shared" ref="E393:E408" si="59">IF(ISERROR(VLOOKUP($B393,Sheet_Items,2,0)),"        ----",VLOOKUP($B393,Sheet_Items,2,0))</f>
        <v xml:space="preserve">        ----</v>
      </c>
      <c r="F393" s="3089" t="s">
        <v>2082</v>
      </c>
      <c r="G393" s="3090" t="str">
        <f t="shared" ref="G393:G408" si="60">IF(ISERROR(VLOOKUP($B393,Sheet_Trialbal,6,0)),"        ----",VLOOKUP($B393,Sheet_Trialbal,6,0))</f>
        <v xml:space="preserve">        ----</v>
      </c>
      <c r="H393" s="3091" t="s">
        <v>6799</v>
      </c>
      <c r="I393" s="3093" t="s">
        <v>6803</v>
      </c>
      <c r="J393" s="3072"/>
      <c r="K393" s="3090" t="str">
        <f t="shared" si="55"/>
        <v xml:space="preserve">        ----</v>
      </c>
      <c r="L393" s="3071" t="s">
        <v>6799</v>
      </c>
      <c r="M393" s="3093" t="s">
        <v>6803</v>
      </c>
      <c r="N393" s="3072"/>
      <c r="O393" s="3099"/>
      <c r="P393" s="3100"/>
      <c r="Q393" s="3100"/>
      <c r="R393" s="3100"/>
      <c r="S393" s="3101" t="s">
        <v>295</v>
      </c>
      <c r="T393" s="3101" t="s">
        <v>213</v>
      </c>
      <c r="U393" s="3102"/>
      <c r="V393" s="3102" t="s">
        <v>295</v>
      </c>
      <c r="W393" s="3102" t="s">
        <v>6797</v>
      </c>
      <c r="X393" s="3102" t="s">
        <v>6798</v>
      </c>
      <c r="Y393" s="3103" t="s">
        <v>164</v>
      </c>
    </row>
    <row r="394" spans="1:25" ht="24" hidden="1">
      <c r="A394" s="1304"/>
      <c r="B394" s="643"/>
      <c r="C394" s="643" t="s">
        <v>2083</v>
      </c>
      <c r="D394" s="3087">
        <v>3</v>
      </c>
      <c r="E394" s="3088" t="str">
        <f t="shared" si="59"/>
        <v xml:space="preserve">        ----</v>
      </c>
      <c r="F394" s="3089" t="s">
        <v>2084</v>
      </c>
      <c r="G394" s="3090" t="str">
        <f t="shared" si="60"/>
        <v xml:space="preserve">        ----</v>
      </c>
      <c r="H394" s="3091" t="s">
        <v>6799</v>
      </c>
      <c r="I394" s="3093" t="s">
        <v>6803</v>
      </c>
      <c r="J394" s="3072"/>
      <c r="K394" s="3090" t="str">
        <f t="shared" si="55"/>
        <v xml:space="preserve">        ----</v>
      </c>
      <c r="L394" s="3071" t="s">
        <v>6799</v>
      </c>
      <c r="M394" s="3093" t="s">
        <v>6803</v>
      </c>
      <c r="N394" s="3072"/>
      <c r="O394" s="3099"/>
      <c r="P394" s="3100"/>
      <c r="Q394" s="3100"/>
      <c r="R394" s="3100"/>
      <c r="S394" s="3101" t="s">
        <v>295</v>
      </c>
      <c r="T394" s="3101" t="s">
        <v>213</v>
      </c>
      <c r="U394" s="3102"/>
      <c r="V394" s="3102" t="s">
        <v>295</v>
      </c>
      <c r="W394" s="3102" t="s">
        <v>6797</v>
      </c>
      <c r="X394" s="3102" t="s">
        <v>6798</v>
      </c>
      <c r="Y394" s="3103" t="s">
        <v>164</v>
      </c>
    </row>
    <row r="395" spans="1:25" ht="24" hidden="1">
      <c r="A395" s="1304"/>
      <c r="B395" s="643"/>
      <c r="C395" s="643" t="s">
        <v>2085</v>
      </c>
      <c r="D395" s="3087">
        <v>3</v>
      </c>
      <c r="E395" s="3088" t="str">
        <f t="shared" si="59"/>
        <v xml:space="preserve">        ----</v>
      </c>
      <c r="F395" s="3089" t="s">
        <v>2086</v>
      </c>
      <c r="G395" s="3090" t="str">
        <f t="shared" si="60"/>
        <v xml:space="preserve">        ----</v>
      </c>
      <c r="H395" s="3091" t="s">
        <v>6799</v>
      </c>
      <c r="I395" s="3093" t="s">
        <v>6803</v>
      </c>
      <c r="J395" s="3072"/>
      <c r="K395" s="3090" t="str">
        <f t="shared" si="55"/>
        <v xml:space="preserve">        ----</v>
      </c>
      <c r="L395" s="3071" t="s">
        <v>6799</v>
      </c>
      <c r="M395" s="3093" t="s">
        <v>6803</v>
      </c>
      <c r="N395" s="3072"/>
      <c r="O395" s="3099"/>
      <c r="P395" s="3100"/>
      <c r="Q395" s="3100"/>
      <c r="R395" s="3100"/>
      <c r="S395" s="3101" t="s">
        <v>295</v>
      </c>
      <c r="T395" s="3101" t="s">
        <v>213</v>
      </c>
      <c r="U395" s="3102"/>
      <c r="V395" s="3102" t="s">
        <v>295</v>
      </c>
      <c r="W395" s="3102" t="s">
        <v>6797</v>
      </c>
      <c r="X395" s="3102" t="s">
        <v>6798</v>
      </c>
      <c r="Y395" s="3103" t="s">
        <v>164</v>
      </c>
    </row>
    <row r="396" spans="1:25" ht="24" hidden="1">
      <c r="A396" s="1304"/>
      <c r="B396" s="643"/>
      <c r="C396" s="643" t="s">
        <v>2088</v>
      </c>
      <c r="D396" s="3087">
        <v>3</v>
      </c>
      <c r="E396" s="3088" t="str">
        <f t="shared" si="59"/>
        <v xml:space="preserve">        ----</v>
      </c>
      <c r="F396" s="3089" t="s">
        <v>2089</v>
      </c>
      <c r="G396" s="3090" t="str">
        <f t="shared" si="60"/>
        <v xml:space="preserve">        ----</v>
      </c>
      <c r="H396" s="3091" t="s">
        <v>6799</v>
      </c>
      <c r="I396" s="3093" t="s">
        <v>6803</v>
      </c>
      <c r="J396" s="3072"/>
      <c r="K396" s="3090" t="str">
        <f t="shared" si="55"/>
        <v xml:space="preserve">        ----</v>
      </c>
      <c r="L396" s="3071" t="s">
        <v>6799</v>
      </c>
      <c r="M396" s="3093" t="s">
        <v>6803</v>
      </c>
      <c r="N396" s="3072"/>
      <c r="O396" s="3099"/>
      <c r="P396" s="3100"/>
      <c r="Q396" s="3100"/>
      <c r="R396" s="3100"/>
      <c r="S396" s="3101" t="s">
        <v>295</v>
      </c>
      <c r="T396" s="3101" t="s">
        <v>213</v>
      </c>
      <c r="U396" s="3102"/>
      <c r="V396" s="3102" t="s">
        <v>295</v>
      </c>
      <c r="W396" s="3102" t="s">
        <v>6797</v>
      </c>
      <c r="X396" s="3102" t="s">
        <v>6798</v>
      </c>
      <c r="Y396" s="3103" t="s">
        <v>164</v>
      </c>
    </row>
    <row r="397" spans="1:25" ht="18" hidden="1">
      <c r="A397" s="1304"/>
      <c r="B397" s="643"/>
      <c r="C397" s="643" t="s">
        <v>2091</v>
      </c>
      <c r="D397" s="3087">
        <v>3</v>
      </c>
      <c r="E397" s="3088" t="str">
        <f t="shared" si="59"/>
        <v xml:space="preserve">        ----</v>
      </c>
      <c r="F397" s="3089" t="s">
        <v>2092</v>
      </c>
      <c r="G397" s="3090" t="str">
        <f t="shared" si="60"/>
        <v xml:space="preserve">        ----</v>
      </c>
      <c r="H397" s="3091" t="s">
        <v>6799</v>
      </c>
      <c r="I397" s="3093" t="s">
        <v>6803</v>
      </c>
      <c r="J397" s="3072"/>
      <c r="K397" s="3090" t="str">
        <f t="shared" si="55"/>
        <v xml:space="preserve">        ----</v>
      </c>
      <c r="L397" s="3071" t="s">
        <v>6799</v>
      </c>
      <c r="M397" s="3093" t="s">
        <v>6803</v>
      </c>
      <c r="N397" s="3072"/>
      <c r="O397" s="3099"/>
      <c r="P397" s="3100"/>
      <c r="Q397" s="3100"/>
      <c r="R397" s="3100"/>
      <c r="S397" s="3101" t="s">
        <v>295</v>
      </c>
      <c r="T397" s="3101" t="s">
        <v>213</v>
      </c>
      <c r="U397" s="3102"/>
      <c r="V397" s="3102" t="s">
        <v>295</v>
      </c>
      <c r="W397" s="3102" t="s">
        <v>6797</v>
      </c>
      <c r="X397" s="3102" t="s">
        <v>6798</v>
      </c>
      <c r="Y397" s="3103" t="s">
        <v>164</v>
      </c>
    </row>
    <row r="398" spans="1:25" ht="24" hidden="1">
      <c r="A398" s="1304"/>
      <c r="B398" s="643"/>
      <c r="C398" s="643" t="s">
        <v>2094</v>
      </c>
      <c r="D398" s="3087">
        <v>3</v>
      </c>
      <c r="E398" s="3088" t="str">
        <f t="shared" si="59"/>
        <v xml:space="preserve">        ----</v>
      </c>
      <c r="F398" s="3089" t="s">
        <v>2095</v>
      </c>
      <c r="G398" s="3090" t="str">
        <f t="shared" si="60"/>
        <v xml:space="preserve">        ----</v>
      </c>
      <c r="H398" s="3091">
        <f ca="1">INDIRECT("Notes!CheckA"&amp;$C398)</f>
        <v>0</v>
      </c>
      <c r="I398" s="3093" t="s">
        <v>6803</v>
      </c>
      <c r="J398" s="3072"/>
      <c r="K398" s="3090" t="str">
        <f t="shared" si="55"/>
        <v xml:space="preserve">        ----</v>
      </c>
      <c r="L398" s="3071">
        <f ca="1">INDIRECT("Notes!CheckB"&amp;$C398)</f>
        <v>0</v>
      </c>
      <c r="M398" s="3093" t="s">
        <v>6803</v>
      </c>
      <c r="N398" s="3072"/>
      <c r="O398" s="3099"/>
      <c r="P398" s="3100"/>
      <c r="Q398" s="3100"/>
      <c r="R398" s="3100"/>
      <c r="S398" s="3101" t="s">
        <v>295</v>
      </c>
      <c r="T398" s="3101" t="s">
        <v>213</v>
      </c>
      <c r="U398" s="3102"/>
      <c r="V398" s="3102" t="s">
        <v>295</v>
      </c>
      <c r="W398" s="3102" t="s">
        <v>6797</v>
      </c>
      <c r="X398" s="3102" t="s">
        <v>6798</v>
      </c>
      <c r="Y398" s="3103" t="s">
        <v>164</v>
      </c>
    </row>
    <row r="399" spans="1:25" ht="24" hidden="1">
      <c r="A399" s="1304"/>
      <c r="B399" s="643"/>
      <c r="C399" s="643" t="s">
        <v>2096</v>
      </c>
      <c r="D399" s="3087">
        <v>3</v>
      </c>
      <c r="E399" s="3088" t="str">
        <f t="shared" si="59"/>
        <v xml:space="preserve">        ----</v>
      </c>
      <c r="F399" s="3089" t="s">
        <v>2097</v>
      </c>
      <c r="G399" s="3090" t="str">
        <f t="shared" si="60"/>
        <v xml:space="preserve">        ----</v>
      </c>
      <c r="H399" s="3091">
        <f ca="1">INDIRECT("Notes!CheckA"&amp;$C399)</f>
        <v>0</v>
      </c>
      <c r="I399" s="3093" t="s">
        <v>6803</v>
      </c>
      <c r="J399" s="3072"/>
      <c r="K399" s="3090" t="str">
        <f t="shared" si="55"/>
        <v xml:space="preserve">        ----</v>
      </c>
      <c r="L399" s="3071">
        <f ca="1">INDIRECT("Notes!CheckB"&amp;$C399)</f>
        <v>0</v>
      </c>
      <c r="M399" s="3093" t="s">
        <v>6803</v>
      </c>
      <c r="N399" s="3072"/>
      <c r="O399" s="3099"/>
      <c r="P399" s="3100"/>
      <c r="Q399" s="3100"/>
      <c r="R399" s="3100"/>
      <c r="S399" s="3101" t="s">
        <v>295</v>
      </c>
      <c r="T399" s="3101" t="s">
        <v>213</v>
      </c>
      <c r="U399" s="3102"/>
      <c r="V399" s="3102" t="s">
        <v>295</v>
      </c>
      <c r="W399" s="3102" t="s">
        <v>6797</v>
      </c>
      <c r="X399" s="3102" t="s">
        <v>6798</v>
      </c>
      <c r="Y399" s="3103" t="s">
        <v>164</v>
      </c>
    </row>
    <row r="400" spans="1:25" ht="24" hidden="1">
      <c r="A400" s="1304"/>
      <c r="B400" s="643"/>
      <c r="C400" s="643" t="s">
        <v>2153</v>
      </c>
      <c r="D400" s="3087">
        <v>3</v>
      </c>
      <c r="E400" s="3088" t="str">
        <f t="shared" si="59"/>
        <v xml:space="preserve">        ----</v>
      </c>
      <c r="F400" s="3089" t="s">
        <v>2154</v>
      </c>
      <c r="G400" s="3090" t="str">
        <f t="shared" si="60"/>
        <v xml:space="preserve">        ----</v>
      </c>
      <c r="H400" s="3091" t="s">
        <v>6799</v>
      </c>
      <c r="I400" s="3093" t="s">
        <v>6803</v>
      </c>
      <c r="J400" s="3072"/>
      <c r="K400" s="3090" t="str">
        <f t="shared" si="55"/>
        <v xml:space="preserve">        ----</v>
      </c>
      <c r="L400" s="3071" t="s">
        <v>6799</v>
      </c>
      <c r="M400" s="3093" t="s">
        <v>6803</v>
      </c>
      <c r="N400" s="3072"/>
      <c r="O400" s="3099"/>
      <c r="P400" s="3100"/>
      <c r="Q400" s="3100"/>
      <c r="R400" s="3100"/>
      <c r="S400" s="3101" t="s">
        <v>295</v>
      </c>
      <c r="T400" s="3101" t="s">
        <v>213</v>
      </c>
      <c r="U400" s="3102"/>
      <c r="V400" s="3102" t="s">
        <v>295</v>
      </c>
      <c r="W400" s="3102" t="s">
        <v>145</v>
      </c>
      <c r="X400" s="3102" t="s">
        <v>6800</v>
      </c>
      <c r="Y400" s="3103" t="s">
        <v>164</v>
      </c>
    </row>
    <row r="401" spans="1:25" ht="24" hidden="1">
      <c r="A401" s="1304"/>
      <c r="B401" s="643"/>
      <c r="C401" s="643" t="s">
        <v>6103</v>
      </c>
      <c r="D401" s="3087">
        <v>3</v>
      </c>
      <c r="E401" s="3088" t="str">
        <f t="shared" si="59"/>
        <v xml:space="preserve">        ----</v>
      </c>
      <c r="F401" s="3089" t="s">
        <v>6102</v>
      </c>
      <c r="G401" s="3090" t="str">
        <f t="shared" si="60"/>
        <v xml:space="preserve">        ----</v>
      </c>
      <c r="H401" s="3091">
        <f ca="1">INDIRECT("Notes!CheckA"&amp;$C401)</f>
        <v>0</v>
      </c>
      <c r="I401" s="3093" t="s">
        <v>6803</v>
      </c>
      <c r="J401" s="3072"/>
      <c r="K401" s="3090" t="str">
        <f t="shared" si="55"/>
        <v xml:space="preserve">        ----</v>
      </c>
      <c r="L401" s="3071">
        <f ca="1">INDIRECT("Notes!CheckB"&amp;$C401)</f>
        <v>0</v>
      </c>
      <c r="M401" s="3093" t="s">
        <v>6803</v>
      </c>
      <c r="N401" s="3072"/>
      <c r="O401" s="3099"/>
      <c r="P401" s="3100"/>
      <c r="Q401" s="3100"/>
      <c r="R401" s="3100"/>
      <c r="S401" s="3101" t="s">
        <v>213</v>
      </c>
      <c r="T401" s="3101" t="s">
        <v>213</v>
      </c>
      <c r="U401" s="3102"/>
      <c r="V401" s="3102" t="s">
        <v>295</v>
      </c>
      <c r="W401" s="3102" t="s">
        <v>6802</v>
      </c>
      <c r="X401" s="3102" t="s">
        <v>6801</v>
      </c>
      <c r="Y401" s="3103" t="s">
        <v>164</v>
      </c>
    </row>
    <row r="402" spans="1:25" ht="24" hidden="1">
      <c r="A402" s="1304"/>
      <c r="B402" s="643"/>
      <c r="C402" s="643" t="s">
        <v>2181</v>
      </c>
      <c r="D402" s="3087">
        <v>3</v>
      </c>
      <c r="E402" s="3088" t="str">
        <f t="shared" si="59"/>
        <v xml:space="preserve">        ----</v>
      </c>
      <c r="F402" s="3089" t="s">
        <v>912</v>
      </c>
      <c r="G402" s="3090" t="str">
        <f t="shared" si="60"/>
        <v xml:space="preserve">        ----</v>
      </c>
      <c r="H402" s="3091">
        <f ca="1">INDIRECT("Notes!CheckA"&amp;$C402)</f>
        <v>0</v>
      </c>
      <c r="I402" s="3093" t="s">
        <v>6803</v>
      </c>
      <c r="J402" s="3072"/>
      <c r="K402" s="3090" t="str">
        <f t="shared" si="55"/>
        <v xml:space="preserve">        ----</v>
      </c>
      <c r="L402" s="3071">
        <f ca="1">INDIRECT("Notes!CheckB"&amp;$C402)</f>
        <v>0</v>
      </c>
      <c r="M402" s="3093" t="s">
        <v>6803</v>
      </c>
      <c r="N402" s="3072"/>
      <c r="O402" s="3099"/>
      <c r="P402" s="3100"/>
      <c r="Q402" s="3100"/>
      <c r="R402" s="3100"/>
      <c r="S402" s="3101" t="s">
        <v>295</v>
      </c>
      <c r="T402" s="3101" t="s">
        <v>213</v>
      </c>
      <c r="U402" s="3102"/>
      <c r="V402" s="3102" t="s">
        <v>295</v>
      </c>
      <c r="W402" s="3102" t="s">
        <v>6797</v>
      </c>
      <c r="X402" s="3102" t="s">
        <v>6800</v>
      </c>
      <c r="Y402" s="3103" t="s">
        <v>164</v>
      </c>
    </row>
    <row r="403" spans="1:25" ht="72" hidden="1">
      <c r="A403" s="1304"/>
      <c r="B403" s="643"/>
      <c r="C403" s="643" t="s">
        <v>2187</v>
      </c>
      <c r="D403" s="150">
        <v>3</v>
      </c>
      <c r="E403" s="1310" t="str">
        <f t="shared" si="59"/>
        <v xml:space="preserve">        ----</v>
      </c>
      <c r="F403" s="163" t="s">
        <v>2188</v>
      </c>
      <c r="G403" s="1311" t="str">
        <f t="shared" si="60"/>
        <v xml:space="preserve">        ----</v>
      </c>
      <c r="H403" s="70" t="s">
        <v>6799</v>
      </c>
      <c r="I403" s="3092" t="s">
        <v>6803</v>
      </c>
      <c r="J403" s="1293"/>
      <c r="K403" s="1311" t="str">
        <f t="shared" si="55"/>
        <v xml:space="preserve">        ----</v>
      </c>
      <c r="L403" s="70" t="s">
        <v>6799</v>
      </c>
      <c r="M403" s="3092" t="s">
        <v>6803</v>
      </c>
      <c r="N403" s="1293"/>
      <c r="O403" s="3099"/>
      <c r="P403" s="3100"/>
      <c r="Q403" s="3100"/>
      <c r="R403" s="3100"/>
      <c r="S403" s="3101" t="s">
        <v>295</v>
      </c>
      <c r="T403" s="3101" t="s">
        <v>213</v>
      </c>
      <c r="U403" s="3102"/>
      <c r="V403" s="3102" t="s">
        <v>295</v>
      </c>
      <c r="W403" s="3102" t="s">
        <v>6797</v>
      </c>
      <c r="X403" s="3102" t="s">
        <v>6800</v>
      </c>
      <c r="Y403" s="3103" t="s">
        <v>164</v>
      </c>
    </row>
    <row r="404" spans="1:25" ht="24" hidden="1">
      <c r="A404" s="1304"/>
      <c r="B404" s="643"/>
      <c r="C404" s="643" t="s">
        <v>2184</v>
      </c>
      <c r="D404" s="150">
        <v>3</v>
      </c>
      <c r="E404" s="1310" t="str">
        <f t="shared" si="59"/>
        <v xml:space="preserve">        ----</v>
      </c>
      <c r="F404" s="163" t="s">
        <v>2185</v>
      </c>
      <c r="G404" s="1311" t="str">
        <f t="shared" si="60"/>
        <v xml:space="preserve">        ----</v>
      </c>
      <c r="H404" s="70" t="s">
        <v>6799</v>
      </c>
      <c r="I404" s="3092" t="s">
        <v>6803</v>
      </c>
      <c r="J404" s="1293"/>
      <c r="K404" s="1311" t="str">
        <f t="shared" si="55"/>
        <v xml:space="preserve">        ----</v>
      </c>
      <c r="L404" s="70" t="s">
        <v>6799</v>
      </c>
      <c r="M404" s="3092" t="s">
        <v>6803</v>
      </c>
      <c r="N404" s="1293"/>
      <c r="O404" s="3099"/>
      <c r="P404" s="3100"/>
      <c r="Q404" s="3100"/>
      <c r="R404" s="3100"/>
      <c r="S404" s="3101" t="s">
        <v>295</v>
      </c>
      <c r="T404" s="3101" t="s">
        <v>213</v>
      </c>
      <c r="U404" s="3102"/>
      <c r="V404" s="3102" t="s">
        <v>295</v>
      </c>
      <c r="W404" s="3102" t="s">
        <v>6797</v>
      </c>
      <c r="X404" s="3102" t="s">
        <v>213</v>
      </c>
      <c r="Y404" s="3103" t="s">
        <v>164</v>
      </c>
    </row>
    <row r="405" spans="1:25" ht="24" hidden="1">
      <c r="A405" s="1304"/>
      <c r="B405" s="643"/>
      <c r="C405" s="643" t="s">
        <v>2190</v>
      </c>
      <c r="D405" s="150">
        <v>3</v>
      </c>
      <c r="E405" s="1310" t="str">
        <f t="shared" si="59"/>
        <v xml:space="preserve">        ----</v>
      </c>
      <c r="F405" s="163" t="s">
        <v>2191</v>
      </c>
      <c r="G405" s="1311" t="str">
        <f t="shared" si="60"/>
        <v xml:space="preserve">        ----</v>
      </c>
      <c r="H405" s="70" t="s">
        <v>6799</v>
      </c>
      <c r="I405" s="3092" t="s">
        <v>6803</v>
      </c>
      <c r="J405" s="1293"/>
      <c r="K405" s="1311" t="str">
        <f t="shared" si="55"/>
        <v xml:space="preserve">        ----</v>
      </c>
      <c r="L405" s="70" t="s">
        <v>6799</v>
      </c>
      <c r="M405" s="3092" t="s">
        <v>6803</v>
      </c>
      <c r="N405" s="1293"/>
      <c r="O405" s="3099"/>
      <c r="P405" s="3100"/>
      <c r="Q405" s="3100"/>
      <c r="R405" s="3100"/>
      <c r="S405" s="3101" t="s">
        <v>295</v>
      </c>
      <c r="T405" s="3101" t="s">
        <v>213</v>
      </c>
      <c r="U405" s="3102"/>
      <c r="V405" s="3102" t="s">
        <v>295</v>
      </c>
      <c r="W405" s="3102" t="s">
        <v>6797</v>
      </c>
      <c r="X405" s="3102" t="s">
        <v>213</v>
      </c>
      <c r="Y405" s="3103" t="s">
        <v>164</v>
      </c>
    </row>
    <row r="406" spans="1:25" ht="24" hidden="1">
      <c r="A406" s="1304"/>
      <c r="B406" s="643"/>
      <c r="C406" s="643" t="s">
        <v>2193</v>
      </c>
      <c r="D406" s="150">
        <v>3</v>
      </c>
      <c r="E406" s="1310" t="str">
        <f t="shared" si="59"/>
        <v xml:space="preserve">        ----</v>
      </c>
      <c r="F406" s="163" t="s">
        <v>2194</v>
      </c>
      <c r="G406" s="1311" t="str">
        <f t="shared" si="60"/>
        <v xml:space="preserve">        ----</v>
      </c>
      <c r="H406" s="70">
        <f ca="1">INDIRECT("Notes!CheckA"&amp;$C406)</f>
        <v>0</v>
      </c>
      <c r="I406" s="3092" t="s">
        <v>6803</v>
      </c>
      <c r="J406" s="1293"/>
      <c r="K406" s="1311" t="str">
        <f t="shared" si="55"/>
        <v xml:space="preserve">        ----</v>
      </c>
      <c r="L406" s="70">
        <f ca="1">INDIRECT("Notes!CheckB"&amp;$C406)</f>
        <v>0</v>
      </c>
      <c r="M406" s="3092" t="s">
        <v>6803</v>
      </c>
      <c r="N406" s="1293"/>
      <c r="O406" s="3099"/>
      <c r="P406" s="3100"/>
      <c r="Q406" s="3100"/>
      <c r="R406" s="3100"/>
      <c r="S406" s="3101" t="s">
        <v>295</v>
      </c>
      <c r="T406" s="3101" t="s">
        <v>213</v>
      </c>
      <c r="U406" s="3102"/>
      <c r="V406" s="3102" t="s">
        <v>295</v>
      </c>
      <c r="W406" s="3102" t="s">
        <v>6797</v>
      </c>
      <c r="X406" s="3102" t="s">
        <v>213</v>
      </c>
      <c r="Y406" s="3103" t="s">
        <v>164</v>
      </c>
    </row>
    <row r="407" spans="1:25" ht="18" hidden="1">
      <c r="A407" s="1304"/>
      <c r="B407" s="643"/>
      <c r="C407" s="643" t="s">
        <v>2197</v>
      </c>
      <c r="D407" s="150">
        <v>3</v>
      </c>
      <c r="E407" s="1310" t="str">
        <f t="shared" si="59"/>
        <v xml:space="preserve">        ----</v>
      </c>
      <c r="F407" s="163" t="s">
        <v>2198</v>
      </c>
      <c r="G407" s="1311" t="str">
        <f t="shared" si="60"/>
        <v xml:space="preserve">        ----</v>
      </c>
      <c r="H407" s="70" t="s">
        <v>6799</v>
      </c>
      <c r="I407" s="3092" t="s">
        <v>6803</v>
      </c>
      <c r="J407" s="1293"/>
      <c r="K407" s="1311" t="str">
        <f t="shared" si="55"/>
        <v xml:space="preserve">        ----</v>
      </c>
      <c r="L407" s="70" t="s">
        <v>6799</v>
      </c>
      <c r="M407" s="3092" t="s">
        <v>6803</v>
      </c>
      <c r="N407" s="1293"/>
      <c r="O407" s="3099"/>
      <c r="P407" s="3100"/>
      <c r="Q407" s="3100"/>
      <c r="R407" s="3100"/>
      <c r="S407" s="3101" t="s">
        <v>295</v>
      </c>
      <c r="T407" s="3101" t="s">
        <v>213</v>
      </c>
      <c r="U407" s="3102"/>
      <c r="V407" s="3102" t="s">
        <v>295</v>
      </c>
      <c r="W407" s="3102" t="s">
        <v>6797</v>
      </c>
      <c r="X407" s="3102" t="s">
        <v>213</v>
      </c>
      <c r="Y407" s="3103" t="s">
        <v>164</v>
      </c>
    </row>
    <row r="408" spans="1:25" ht="18" hidden="1">
      <c r="A408" s="1304"/>
      <c r="B408" s="643"/>
      <c r="C408" s="643" t="s">
        <v>2200</v>
      </c>
      <c r="D408" s="1313">
        <v>3</v>
      </c>
      <c r="E408" s="1310" t="str">
        <f t="shared" si="59"/>
        <v xml:space="preserve">        ----</v>
      </c>
      <c r="F408" s="163" t="s">
        <v>2201</v>
      </c>
      <c r="G408" s="1314" t="str">
        <f t="shared" si="60"/>
        <v xml:space="preserve">        ----</v>
      </c>
      <c r="H408" s="1315" t="s">
        <v>6799</v>
      </c>
      <c r="I408" s="3092" t="s">
        <v>6803</v>
      </c>
      <c r="J408" s="1293"/>
      <c r="K408" s="1314" t="str">
        <f t="shared" si="55"/>
        <v xml:space="preserve">        ----</v>
      </c>
      <c r="L408" s="1315" t="s">
        <v>6799</v>
      </c>
      <c r="M408" s="3092" t="s">
        <v>6803</v>
      </c>
      <c r="N408" s="1293"/>
      <c r="O408" s="3099"/>
      <c r="P408" s="3100"/>
      <c r="Q408" s="3100"/>
      <c r="R408" s="3100"/>
      <c r="S408" s="3101" t="s">
        <v>295</v>
      </c>
      <c r="T408" s="3101" t="s">
        <v>213</v>
      </c>
      <c r="U408" s="3102"/>
      <c r="V408" s="3102" t="s">
        <v>295</v>
      </c>
      <c r="W408" s="3102" t="s">
        <v>6797</v>
      </c>
      <c r="X408" s="3102" t="s">
        <v>213</v>
      </c>
      <c r="Y408" s="3103" t="s">
        <v>164</v>
      </c>
    </row>
    <row r="409" spans="1:25" ht="18.75" thickBot="1">
      <c r="A409" s="1304"/>
      <c r="B409" s="643"/>
      <c r="C409" s="643"/>
      <c r="D409" s="1316"/>
      <c r="E409" s="1316"/>
      <c r="F409" s="1316"/>
      <c r="G409" s="1316"/>
      <c r="H409" s="1316"/>
      <c r="I409" s="3094"/>
      <c r="J409" s="3094"/>
      <c r="K409" s="1316"/>
      <c r="L409" s="1316"/>
      <c r="M409" s="3094"/>
      <c r="N409" s="3094"/>
      <c r="O409" s="641"/>
      <c r="P409" s="641"/>
      <c r="Q409" s="641"/>
      <c r="R409" s="641"/>
      <c r="S409" s="641"/>
      <c r="T409" s="641"/>
    </row>
    <row r="410" spans="1:25" ht="18.75" thickTop="1">
      <c r="A410" s="181"/>
      <c r="B410" s="641"/>
      <c r="C410" s="641"/>
      <c r="D410" s="641"/>
      <c r="E410" s="641"/>
      <c r="F410" s="641"/>
      <c r="G410" s="641"/>
      <c r="H410" s="641"/>
      <c r="I410" s="641"/>
      <c r="J410" s="641"/>
      <c r="K410" s="641"/>
      <c r="L410" s="641"/>
      <c r="M410" s="641"/>
      <c r="N410" s="641"/>
      <c r="O410" s="641"/>
      <c r="P410" s="641"/>
      <c r="Q410" s="641"/>
      <c r="R410" s="641"/>
      <c r="S410" s="641"/>
      <c r="T410" s="641"/>
    </row>
    <row r="411" spans="1:25" ht="18">
      <c r="A411" s="181"/>
      <c r="B411" s="641"/>
      <c r="C411" s="641"/>
      <c r="D411" s="1277" t="s">
        <v>2538</v>
      </c>
      <c r="E411" s="641"/>
      <c r="F411" s="641"/>
      <c r="G411" s="641"/>
      <c r="H411" s="641"/>
      <c r="I411" s="641"/>
      <c r="J411" s="641"/>
      <c r="K411" s="641"/>
      <c r="L411" s="641"/>
      <c r="M411" s="641"/>
      <c r="N411" s="641"/>
      <c r="O411" s="641"/>
      <c r="P411" s="641"/>
      <c r="Q411" s="641"/>
      <c r="R411" s="641"/>
      <c r="S411" s="641"/>
      <c r="T411" s="641"/>
    </row>
    <row r="412" spans="1:25" ht="18">
      <c r="A412" s="181"/>
      <c r="B412" s="641"/>
      <c r="C412" s="641"/>
      <c r="D412" s="641"/>
      <c r="E412" s="641"/>
      <c r="F412" s="641"/>
      <c r="G412" s="641"/>
      <c r="H412" s="641"/>
      <c r="I412" s="641"/>
      <c r="J412" s="641"/>
      <c r="K412" s="641"/>
      <c r="L412" s="641"/>
      <c r="M412" s="641"/>
      <c r="N412" s="641"/>
      <c r="O412" s="641"/>
      <c r="P412" s="641"/>
      <c r="Q412" s="641"/>
      <c r="R412" s="641"/>
      <c r="S412" s="641"/>
      <c r="T412" s="641"/>
    </row>
    <row r="413" spans="1:25" ht="18">
      <c r="A413" s="181"/>
      <c r="B413" s="641"/>
      <c r="C413" s="641"/>
      <c r="D413" s="641"/>
      <c r="E413" s="641"/>
      <c r="F413" s="641"/>
      <c r="G413" s="641"/>
      <c r="H413" s="641"/>
      <c r="I413" s="641"/>
      <c r="J413" s="641"/>
      <c r="K413" s="641"/>
      <c r="L413" s="641"/>
      <c r="M413" s="641"/>
      <c r="N413" s="641"/>
      <c r="O413" s="641"/>
      <c r="P413" s="641"/>
      <c r="Q413" s="641"/>
      <c r="R413" s="641"/>
      <c r="S413" s="641"/>
      <c r="T413" s="641"/>
    </row>
    <row r="414" spans="1:25" ht="18">
      <c r="A414" s="30"/>
      <c r="I414" s="641"/>
      <c r="J414" s="641"/>
      <c r="M414" s="641"/>
      <c r="N414" s="641"/>
      <c r="O414" s="641"/>
      <c r="P414" s="641"/>
      <c r="Q414" s="641"/>
      <c r="R414" s="641"/>
      <c r="S414" s="641"/>
      <c r="T414" s="641"/>
    </row>
    <row r="415" spans="1:25" ht="18">
      <c r="A415" s="30"/>
      <c r="I415" s="641"/>
      <c r="J415" s="641"/>
      <c r="M415" s="641"/>
      <c r="N415" s="641"/>
      <c r="O415" s="641"/>
      <c r="P415" s="641"/>
      <c r="Q415" s="641"/>
      <c r="R415" s="641"/>
      <c r="S415" s="641"/>
      <c r="T415" s="641"/>
    </row>
    <row r="416" spans="1:25" ht="18">
      <c r="A416" s="30"/>
      <c r="I416" s="641"/>
      <c r="J416" s="641"/>
      <c r="M416" s="641"/>
      <c r="N416" s="641"/>
      <c r="O416" s="641"/>
      <c r="P416" s="641"/>
      <c r="Q416" s="641"/>
      <c r="R416" s="641"/>
      <c r="S416" s="641"/>
      <c r="T416" s="641"/>
    </row>
    <row r="417" spans="1:20" ht="18">
      <c r="A417" s="30"/>
      <c r="I417" s="641"/>
      <c r="J417" s="641"/>
      <c r="M417" s="641"/>
      <c r="N417" s="641"/>
      <c r="O417" s="641"/>
      <c r="P417" s="641"/>
      <c r="Q417" s="641"/>
      <c r="R417" s="641"/>
      <c r="S417" s="641"/>
      <c r="T417" s="641"/>
    </row>
    <row r="418" spans="1:20">
      <c r="I418" s="641"/>
      <c r="J418" s="641"/>
      <c r="M418" s="641"/>
      <c r="N418" s="641"/>
      <c r="O418" s="641"/>
      <c r="P418" s="641"/>
      <c r="Q418" s="641"/>
      <c r="R418" s="641"/>
      <c r="S418" s="641"/>
      <c r="T418" s="641"/>
    </row>
  </sheetData>
  <sheetProtection algorithmName="SHA-512" hashValue="UNB/bfLAoKKv6uv8tsTLSql51m2b5AumrW4l+yOBQBDcMF0D4jyEY7hFtblqCVfavOI7i5ahBHurj8BiTB5Cdw==" saltValue="tZVfBPHvJe9UNmATNbU2LQ==" spinCount="100000" sheet="1" scenarios="1" formatCells="0" autoFilter="0"/>
  <autoFilter ref="B8:Y408">
    <filterColumn colId="2">
      <filters>
        <filter val="1"/>
      </filters>
    </filterColumn>
  </autoFilter>
  <phoneticPr fontId="163" type="noConversion"/>
  <conditionalFormatting sqref="I9:I408 M9:M408">
    <cfRule type="expression" dxfId="4118" priority="1" stopIfTrue="1">
      <formula>AND(J9&lt;&gt;"√",J9&lt;&gt;"")</formula>
    </cfRule>
  </conditionalFormatting>
  <dataValidations count="4">
    <dataValidation type="list" allowBlank="1" showInputMessage="1" showErrorMessage="1" sqref="J9:J408 N9:N408">
      <formula1>"√,×,N/A,？"</formula1>
    </dataValidation>
    <dataValidation type="list" allowBlank="1" showInputMessage="1" showErrorMessage="1" errorTitle="REAL勾稽检查" error="请从下拉框选择Y,N,N/A,？" promptTitle="REAL" prompt="请填写该项注释的完成情况。" sqref="O9:O408">
      <formula1>"Y,N,N/A,？"</formula1>
    </dataValidation>
    <dataValidation type="list" allowBlank="1" showInputMessage="1" showErrorMessage="1" errorTitle="REAL注释列表" error="请从下拉框选择Y,N" promptTitle="REAL" prompt="请从下拉框选择Y,N" sqref="S9:T408">
      <formula1>"Y,N"</formula1>
    </dataValidation>
    <dataValidation allowBlank="1" showInputMessage="1" showErrorMessage="1" prompt="选择级次 1~3，可筛选注释项。" sqref="D9"/>
  </dataValidations>
  <hyperlinks>
    <hyperlink ref="I9" location="'Notes'!CheckA1015b" display="Notes"/>
    <hyperlink ref="M9" location="'Notes'!CheckB1015b" display="Notes"/>
    <hyperlink ref="I10" location="'Notes'!CheckA1015a" display="Notes"/>
    <hyperlink ref="M10" location="'Notes'!CheckB1015a" display="Notes"/>
    <hyperlink ref="I11" location="'Notes'!CheckA1015c" display="Notes"/>
    <hyperlink ref="M11" location="'Notes'!CheckB1015c" display="Notes"/>
    <hyperlink ref="I12" location="'Notes'!CheckA1102a" display="Notes"/>
    <hyperlink ref="M12" location="'Notes'!CheckB1102a" display="Notes"/>
    <hyperlink ref="I13" location="'Notes'!CheckA1101a" display="Notes"/>
    <hyperlink ref="M13" location="'Notes'!CheckB1101a" display="Notes"/>
    <hyperlink ref="I14" location="'Notes'!CheckA1115a" display="Notes"/>
    <hyperlink ref="M14" location="'Notes'!CheckB1115a" display="Notes"/>
    <hyperlink ref="I15" location="'Notes'!CheckA1121e" display="Notes"/>
    <hyperlink ref="M15" location="'Notes'!CheckB1121e" display="Notes"/>
    <hyperlink ref="I16" location="'Notes'!CheckA1121b" display="Notes"/>
    <hyperlink ref="M16" location="'Notes'!CheckB1121b" display="Notes"/>
    <hyperlink ref="I17" location="'Notes'!CheckA1121d" display="Notes"/>
    <hyperlink ref="M17" location="'Notes'!CheckB1121d" display="Notes"/>
    <hyperlink ref="I18" location="'Notes'!CheckA1121c" display="Notes"/>
    <hyperlink ref="M18" location="'Notes'!CheckB1121c" display="Notes"/>
    <hyperlink ref="I19" location="'Notes'!CheckA1121f" display="Notes"/>
    <hyperlink ref="M19" location="'Notes'!CheckB1121f" display="Notes"/>
    <hyperlink ref="I20" location="'Notes'!CheckA1121g" display="Notes"/>
    <hyperlink ref="M20" location="'Notes'!CheckB1121g" display="Notes"/>
    <hyperlink ref="I21" location="'Notes'!CheckA1121h" display="Notes"/>
    <hyperlink ref="M21" location="'Notes'!CheckB1121h" display="Notes"/>
    <hyperlink ref="I22" location="'Notes'!CheckA1121n" display="Notes"/>
    <hyperlink ref="M22" location="'Notes'!CheckB1121n" display="Notes"/>
    <hyperlink ref="I23" location="'Notes'!CheckA1121i" display="Notes"/>
    <hyperlink ref="M23" location="'Notes'!CheckB1121i" display="Notes"/>
    <hyperlink ref="I24" location="'Notes'!CheckA1121j" display="Notes"/>
    <hyperlink ref="M24" location="'Notes'!CheckB1121j" display="Notes"/>
    <hyperlink ref="I25" location="'Notes'!CheckA1121k" display="Notes"/>
    <hyperlink ref="M25" location="'Notes'!CheckB1121k" display="Notes"/>
    <hyperlink ref="I26" location="'Notes'!CheckA1121l" display="Notes"/>
    <hyperlink ref="M26" location="'Notes'!CheckB1121l" display="Notes"/>
    <hyperlink ref="I27" location="'Notes'!CheckA1121m" display="Notes"/>
    <hyperlink ref="M27" location="'Notes'!CheckB1121m" display="Notes"/>
    <hyperlink ref="I28" location="'Notes'!CheckA1122j" display="Notes"/>
    <hyperlink ref="M28" location="'Notes'!CheckB1122j" display="Notes"/>
    <hyperlink ref="I29" location="'Notes'!CheckA1122p" display="Notes"/>
    <hyperlink ref="M29" location="'Notes'!CheckB1122p" display="Notes"/>
    <hyperlink ref="I30" location="'Notes'!CheckA1122r" display="Notes"/>
    <hyperlink ref="M30" location="'Notes'!CheckB1122r" display="Notes"/>
    <hyperlink ref="I31" location="'Notes'!CheckA1122s" display="Notes"/>
    <hyperlink ref="M31" location="'Notes'!CheckB1122s" display="Notes"/>
    <hyperlink ref="I32" location="'Notes'!CheckA1122t" display="Notes"/>
    <hyperlink ref="M32" location="'Notes'!CheckB1122t" display="Notes"/>
    <hyperlink ref="I33" location="'Notes'!CheckA112202" display="Notes"/>
    <hyperlink ref="M33" location="'Notes'!CheckB112202" display="Notes"/>
    <hyperlink ref="I34" location="'Notes'!CheckA1122q" display="Notes"/>
    <hyperlink ref="M34" location="'Notes'!CheckB1122q" display="Notes"/>
    <hyperlink ref="I35" location="'Notes'!CheckA1122y" display="Notes"/>
    <hyperlink ref="M35" location="'Notes'!CheckB1122y" display="Notes"/>
    <hyperlink ref="I36" location="'Notes'!CheckA1122z" display="Notes"/>
    <hyperlink ref="M36" location="'Notes'!CheckB1122z" display="Notes"/>
    <hyperlink ref="I37" location="'Notes'!CheckA1122u" display="Notes"/>
    <hyperlink ref="M37" location="'Notes'!CheckB1122u" display="Notes"/>
    <hyperlink ref="I38" location="'Notes'!CheckA1122h" display="Notes"/>
    <hyperlink ref="M38" location="'Notes'!CheckB1122h" display="Notes"/>
    <hyperlink ref="I39" location="'Notes'!CheckA1122v" display="Notes"/>
    <hyperlink ref="M39" location="'Notes'!CheckB1122v" display="Notes"/>
    <hyperlink ref="I40" location="'Notes'!CheckA1122i" display="Notes"/>
    <hyperlink ref="M40" location="'Notes'!CheckB1122i" display="Notes"/>
    <hyperlink ref="I41" location="'Notes'!CheckA1122k" display="Notes"/>
    <hyperlink ref="M41" location="'Notes'!CheckB1122k" display="Notes"/>
    <hyperlink ref="I42" location="'Notes'!CheckA1122m" display="Notes"/>
    <hyperlink ref="M42" location="'Notes'!CheckB1122m" display="Notes"/>
    <hyperlink ref="I43" location="'Notes'!CheckA1122n" display="Notes"/>
    <hyperlink ref="M43" location="'Notes'!CheckB1122n" display="Notes"/>
    <hyperlink ref="I44" location="'Notes'!CheckA1122c" display="Notes"/>
    <hyperlink ref="M44" location="'Notes'!CheckB1122c" display="Notes"/>
    <hyperlink ref="I45" location="'Notes'!CheckA1122l" display="Notes"/>
    <hyperlink ref="M45" location="'Notes'!CheckB1122l" display="Notes"/>
    <hyperlink ref="I46" location="'Notes'!CheckA1122x" display="Notes"/>
    <hyperlink ref="M46" location="'Notes'!CheckB1122x" display="Notes"/>
    <hyperlink ref="I47" location="'Notes'!CheckA1124a" display="Notes"/>
    <hyperlink ref="M47" location="'Notes'!CheckB1124a" display="Notes"/>
    <hyperlink ref="I48" location="'Notes'!CheckA1124b" display="Notes"/>
    <hyperlink ref="M48" location="'Notes'!CheckB1124b" display="Notes"/>
    <hyperlink ref="I49" location="'Notes'!CheckA1124c" display="Notes"/>
    <hyperlink ref="M49" location="'Notes'!CheckB1124c" display="Notes"/>
    <hyperlink ref="I50" location="'Notes'!CheckA1124d" display="Notes"/>
    <hyperlink ref="M50" location="'Notes'!CheckB1124d" display="Notes"/>
    <hyperlink ref="I51" location="'Notes'!CheckA1124e" display="Notes"/>
    <hyperlink ref="M51" location="'Notes'!CheckB1124e" display="Notes"/>
    <hyperlink ref="I52" location="'Notes'!CheckA1124g" display="Notes"/>
    <hyperlink ref="M52" location="'Notes'!CheckB1124g" display="Notes"/>
    <hyperlink ref="I53" location="'Notes'!CheckA1124h" display="Notes"/>
    <hyperlink ref="M53" location="'Notes'!CheckB1124h" display="Notes"/>
    <hyperlink ref="I54" location="'Notes'!CheckA1124i" display="Notes"/>
    <hyperlink ref="M54" location="'Notes'!CheckB1124i" display="Notes"/>
    <hyperlink ref="I55" location="'Notes'!CheckA1124j" display="Notes"/>
    <hyperlink ref="M55" location="'Notes'!CheckB1124j" display="Notes"/>
    <hyperlink ref="I56" location="'Notes'!CheckA1124f" display="Notes"/>
    <hyperlink ref="M56" location="'Notes'!CheckB1124f" display="Notes"/>
    <hyperlink ref="I57" location="'Notes'!CheckA1125a" display="Notes"/>
    <hyperlink ref="M57" location="'Notes'!CheckB1125a" display="Notes"/>
    <hyperlink ref="I58" location="'Notes'!CheckA1125c" display="Notes"/>
    <hyperlink ref="M58" location="'Notes'!CheckB1125c" display="Notes"/>
    <hyperlink ref="I59" location="'Notes'!CheckA1125d" display="Notes"/>
    <hyperlink ref="M59" location="'Notes'!CheckB1125d" display="Notes"/>
    <hyperlink ref="I60" location="'Notes'!CheckA1125f" display="Notes"/>
    <hyperlink ref="M60" location="'Notes'!CheckB1125f" display="Notes"/>
    <hyperlink ref="I61" location="'Notes'!CheckA1125e" display="Notes"/>
    <hyperlink ref="M61" location="'Notes'!CheckB1125e" display="Notes"/>
    <hyperlink ref="I62" location="'Notes'!CheckA1125x" display="Notes"/>
    <hyperlink ref="M62" location="'Notes'!CheckB1125x" display="Notes"/>
    <hyperlink ref="I63" location="'Notes'!CheckA1220a" display="Notes"/>
    <hyperlink ref="M63" location="'Notes'!CheckB1220a" display="Notes"/>
    <hyperlink ref="I64" location="'Notes'!CheckA1132a" display="Notes"/>
    <hyperlink ref="M64" location="'Notes'!CheckB1132a" display="Notes"/>
    <hyperlink ref="I65" location="'Notes'!CheckA1132b" display="Notes"/>
    <hyperlink ref="M65" location="'Notes'!CheckB1132b" display="Notes"/>
    <hyperlink ref="I66" location="'Notes'!CheckA1131a" display="Notes"/>
    <hyperlink ref="M66" location="'Notes'!CheckB1131a" display="Notes"/>
    <hyperlink ref="I67" location="'Notes'!CheckA1131b" display="Notes"/>
    <hyperlink ref="M67" location="'Notes'!CheckB1131b" display="Notes"/>
    <hyperlink ref="I68" location="'Notes'!CheckA1221j" display="Notes"/>
    <hyperlink ref="M68" location="'Notes'!CheckB1221j" display="Notes"/>
    <hyperlink ref="I69" location="'Notes'!CheckA1221l" display="Notes"/>
    <hyperlink ref="M69" location="'Notes'!CheckB1221l" display="Notes"/>
    <hyperlink ref="I70" location="'Notes'!CheckA122100" display="Notes"/>
    <hyperlink ref="M70" location="'Notes'!CheckB122100" display="Notes"/>
    <hyperlink ref="I71" location="'Notes'!CheckA122101" display="Notes"/>
    <hyperlink ref="M71" location="'Notes'!CheckB122101" display="Notes"/>
    <hyperlink ref="I72" location="'Notes'!CheckA122111" display="Notes"/>
    <hyperlink ref="M72" location="'Notes'!CheckB122111" display="Notes"/>
    <hyperlink ref="I73" location="'Notes'!CheckA122112" display="Notes"/>
    <hyperlink ref="M73" location="'Notes'!CheckB122112" display="Notes"/>
    <hyperlink ref="I74" location="'Notes'!CheckA122113" display="Notes"/>
    <hyperlink ref="M74" location="'Notes'!CheckB122113" display="Notes"/>
    <hyperlink ref="I75" location="'Notes'!CheckA122114" display="Notes"/>
    <hyperlink ref="M75" location="'Notes'!CheckB122114" display="Notes"/>
    <hyperlink ref="I76" location="'Notes'!CheckA122102" display="Notes"/>
    <hyperlink ref="M76" location="'Notes'!CheckB122102" display="Notes"/>
    <hyperlink ref="I77" location="'Notes'!CheckA122121" display="Notes"/>
    <hyperlink ref="M77" location="'Notes'!CheckB122121" display="Notes"/>
    <hyperlink ref="I78" location="'Notes'!CheckA122122" display="Notes"/>
    <hyperlink ref="M78" location="'Notes'!CheckB122122" display="Notes"/>
    <hyperlink ref="I79" location="'Notes'!CheckA122123" display="Notes"/>
    <hyperlink ref="M79" location="'Notes'!CheckB122123" display="Notes"/>
    <hyperlink ref="I80" location="'Notes'!CheckA122124" display="Notes"/>
    <hyperlink ref="M80" location="'Notes'!CheckB122124" display="Notes"/>
    <hyperlink ref="I81" location="'Notes'!CheckA122103" display="Notes"/>
    <hyperlink ref="M81" location="'Notes'!CheckB122103" display="Notes"/>
    <hyperlink ref="I82" location="'Notes'!CheckA122131" display="Notes"/>
    <hyperlink ref="M82" location="'Notes'!CheckB122131" display="Notes"/>
    <hyperlink ref="I83" location="'Notes'!CheckA122132" display="Notes"/>
    <hyperlink ref="M83" location="'Notes'!CheckB122132" display="Notes"/>
    <hyperlink ref="I84" location="'Notes'!CheckA122133" display="Notes"/>
    <hyperlink ref="M84" location="'Notes'!CheckB122133" display="Notes"/>
    <hyperlink ref="I85" location="'Notes'!CheckA122134" display="Notes"/>
    <hyperlink ref="M85" location="'Notes'!CheckB122134" display="Notes"/>
    <hyperlink ref="I86" location="'Notes'!CheckA1221t" display="Notes"/>
    <hyperlink ref="M86" location="'Notes'!CheckB1221t" display="Notes"/>
    <hyperlink ref="I87" location="'Notes'!CheckA1221v" display="Notes"/>
    <hyperlink ref="M87" location="'Notes'!CheckB1221v" display="Notes"/>
    <hyperlink ref="I88" location="'Notes'!CheckA1221w" display="Notes"/>
    <hyperlink ref="M88" location="'Notes'!CheckB1221w" display="Notes"/>
    <hyperlink ref="I89" location="'Notes'!CheckA1221y" display="Notes"/>
    <hyperlink ref="M89" location="'Notes'!CheckB1221y" display="Notes"/>
    <hyperlink ref="I90" location="'Notes'!CheckA122104" display="Notes"/>
    <hyperlink ref="M90" location="'Notes'!CheckB122104" display="Notes"/>
    <hyperlink ref="I91" location="'Notes'!CheckA1221h" display="Notes"/>
    <hyperlink ref="M91" location="'Notes'!CheckB1221h" display="Notes"/>
    <hyperlink ref="I92" location="'Notes'!CheckA1221z" display="Notes"/>
    <hyperlink ref="M92" location="'Notes'!CheckB1221z" display="Notes"/>
    <hyperlink ref="I93" location="'Notes'!CheckA1221i" display="Notes"/>
    <hyperlink ref="M93" location="'Notes'!CheckB1221i" display="Notes"/>
    <hyperlink ref="I94" location="'Notes'!CheckA1221k" display="Notes"/>
    <hyperlink ref="M94" location="'Notes'!CheckB1221k" display="Notes"/>
    <hyperlink ref="I95" location="'Notes'!CheckA1221r" display="Notes"/>
    <hyperlink ref="M95" location="'Notes'!CheckB1221r" display="Notes"/>
    <hyperlink ref="I96" location="'Notes'!CheckA1221n" display="Notes"/>
    <hyperlink ref="M96" location="'Notes'!CheckB1221n" display="Notes"/>
    <hyperlink ref="I97" location="'Notes'!CheckA1221o" display="Notes"/>
    <hyperlink ref="M97" location="'Notes'!CheckB1221o" display="Notes"/>
    <hyperlink ref="I98" location="'Notes'!CheckA1221c" display="Notes"/>
    <hyperlink ref="M98" location="'Notes'!CheckB1221c" display="Notes"/>
    <hyperlink ref="I99" location="'Notes'!CheckA1221m" display="Notes"/>
    <hyperlink ref="M99" location="'Notes'!CheckB1221m" display="Notes"/>
    <hyperlink ref="I100" location="'Notes'!CheckA1221x" display="Notes"/>
    <hyperlink ref="M100" location="'Notes'!CheckB1221x" display="Notes"/>
    <hyperlink ref="I101" location="'Notes'!CheckA1400a" display="Notes"/>
    <hyperlink ref="M101" location="'Notes'!CheckB1400a" display="Notes"/>
    <hyperlink ref="I102" location="'Notes'!CheckA1400b" display="Notes"/>
    <hyperlink ref="M102" location="'Notes'!CheckB1400b" display="Notes"/>
    <hyperlink ref="I103" location="'Notes'!CheckA1400t" display="Notes"/>
    <hyperlink ref="M103" location="'Notes'!CheckB1400t" display="Notes"/>
    <hyperlink ref="I104" location="'Notes'!CheckA1400h" display="Notes"/>
    <hyperlink ref="M104" location="'Notes'!CheckB1400h" display="Notes"/>
    <hyperlink ref="I105" location="'Notes'!CheckA1400d" display="Notes"/>
    <hyperlink ref="M105" location="'Notes'!CheckB1400d" display="Notes"/>
    <hyperlink ref="I106" location="'Notes'!CheckA1400e" display="Notes"/>
    <hyperlink ref="M106" location="'Notes'!CheckB1400e" display="Notes"/>
    <hyperlink ref="I107" location="'Notes'!CheckA1400g" display="Notes"/>
    <hyperlink ref="M107" location="'Notes'!CheckB1400g" display="Notes"/>
    <hyperlink ref="I108" location="'Notes'!CheckA1400s" display="Notes"/>
    <hyperlink ref="M108" location="'Notes'!CheckB1400s" display="Notes"/>
    <hyperlink ref="I109" location="'Notes'!CheckA1400c" display="Notes"/>
    <hyperlink ref="M109" location="'Notes'!CheckB1400c" display="Notes"/>
    <hyperlink ref="I110" location="'Notes'!CheckA1400x" display="Notes"/>
    <hyperlink ref="M110" location="'Notes'!CheckB1400x" display="Notes"/>
    <hyperlink ref="I111" location="'Notes'!CheckA1315b" display="Notes"/>
    <hyperlink ref="M111" location="'Notes'!CheckB1315b" display="Notes"/>
    <hyperlink ref="I112" location="'Notes'!CheckA1315f" display="Notes"/>
    <hyperlink ref="M112" location="'Notes'!CheckB1315f" display="Notes"/>
    <hyperlink ref="I113" location="'Notes'!CheckA1495a" display="Notes"/>
    <hyperlink ref="M113" location="'Notes'!CheckB1495a" display="Notes"/>
    <hyperlink ref="I114" location="'Notes'!CheckA1495b" display="Notes"/>
    <hyperlink ref="M114" location="'Notes'!CheckB1495b" display="Notes"/>
    <hyperlink ref="I115" location="'Notes'!CheckA1496a" display="Notes"/>
    <hyperlink ref="M115" location="'Notes'!CheckB1496a" display="Notes"/>
    <hyperlink ref="I116" location="'Notes'!CheckA1505a" display="Notes"/>
    <hyperlink ref="M116" location="'Notes'!CheckB1505a" display="Notes"/>
    <hyperlink ref="I117" location="'Notes'!CheckA1505b" display="Notes"/>
    <hyperlink ref="M117" location="'Notes'!CheckB1505b" display="Notes"/>
    <hyperlink ref="I118" location="'Notes'!CheckA1505g" display="Notes"/>
    <hyperlink ref="M118" location="'Notes'!CheckB1505g" display="Notes"/>
    <hyperlink ref="I119" location="'Notes'!CheckA1505c" display="Notes"/>
    <hyperlink ref="M119" location="'Notes'!CheckB1505c" display="Notes"/>
    <hyperlink ref="I120" location="'Notes'!CheckA1505d" display="Notes"/>
    <hyperlink ref="M120" location="'Notes'!CheckB1505d" display="Notes"/>
    <hyperlink ref="I121" location="'Notes'!CheckA1505e" display="Notes"/>
    <hyperlink ref="M121" location="'Notes'!CheckB1505e" display="Notes"/>
    <hyperlink ref="I122" location="'Notes'!CheckA1505k" display="Notes"/>
    <hyperlink ref="M122" location="'Notes'!CheckB1505k" display="Notes"/>
    <hyperlink ref="I123" location="'Notes'!CheckA1505f" display="Notes"/>
    <hyperlink ref="M123" location="'Notes'!CheckB1505f" display="Notes"/>
    <hyperlink ref="I124" location="'Notes'!CheckA1503a" display="Notes"/>
    <hyperlink ref="M124" location="'Notes'!CheckB1503a" display="Notes"/>
    <hyperlink ref="I125" location="'Notes'!CheckA1503e" display="Notes"/>
    <hyperlink ref="M125" location="'Notes'!CheckB1503e" display="Notes"/>
    <hyperlink ref="I126" location="'Notes'!CheckA1503i" display="Notes"/>
    <hyperlink ref="M126" location="'Notes'!CheckB1503i" display="Notes"/>
    <hyperlink ref="I127" location="'Notes'!CheckA1503j" display="Notes"/>
    <hyperlink ref="M127" location="'Notes'!CheckB1503j" display="Notes"/>
    <hyperlink ref="I128" location="'Notes'!CheckA1503k" display="Notes"/>
    <hyperlink ref="M128" location="'Notes'!CheckB1503k" display="Notes"/>
    <hyperlink ref="I129" location="'Notes'!CheckA1503g" display="Notes"/>
    <hyperlink ref="M129" location="'Notes'!CheckB1503g" display="Notes"/>
    <hyperlink ref="I130" location="'Notes'!CheckA1508a" display="Notes"/>
    <hyperlink ref="M130" location="'Notes'!CheckB1508a" display="Notes"/>
    <hyperlink ref="I131" location="'Notes'!CheckA1508b" display="Notes"/>
    <hyperlink ref="M131" location="'Notes'!CheckB1508b" display="Notes"/>
    <hyperlink ref="I132" location="'Notes'!CheckA1508c" display="Notes"/>
    <hyperlink ref="M132" location="'Notes'!CheckB1508c" display="Notes"/>
    <hyperlink ref="I133" location="'Notes'!CheckA1508d" display="Notes"/>
    <hyperlink ref="M133" location="'Notes'!CheckB1508d" display="Notes"/>
    <hyperlink ref="I134" location="'Notes'!CheckA1508e" display="Notes"/>
    <hyperlink ref="M134" location="'Notes'!CheckB1508e" display="Notes"/>
    <hyperlink ref="I135" location="'Notes'!CheckA1508f" display="Notes"/>
    <hyperlink ref="M135" location="'Notes'!CheckB1508f" display="Notes"/>
    <hyperlink ref="I136" location="'Notes'!CheckA1508k" display="Notes"/>
    <hyperlink ref="M136" location="'Notes'!CheckB1508k" display="Notes"/>
    <hyperlink ref="I137" location="'Notes'!CheckA1508g" display="Notes"/>
    <hyperlink ref="M137" location="'Notes'!CheckB1508g" display="Notes"/>
    <hyperlink ref="I138" location="'Notes'!CheckA1501a" display="Notes"/>
    <hyperlink ref="M138" location="'Notes'!CheckB1501a" display="Notes"/>
    <hyperlink ref="I139" location="'Notes'!CheckA1501d" display="Notes"/>
    <hyperlink ref="M139" location="'Notes'!CheckB1501d" display="Notes"/>
    <hyperlink ref="I140" location="'Notes'!CheckA1501e" display="Notes"/>
    <hyperlink ref="M140" location="'Notes'!CheckB1501e" display="Notes"/>
    <hyperlink ref="I141" location="'Notes'!CheckA1501f" display="Notes"/>
    <hyperlink ref="M141" location="'Notes'!CheckB1501f" display="Notes"/>
    <hyperlink ref="I142" location="'Notes'!CheckA1531a" display="Notes"/>
    <hyperlink ref="M142" location="'Notes'!CheckB1531a" display="Notes"/>
    <hyperlink ref="I143" location="'Notes'!CheckA1531t" display="Notes"/>
    <hyperlink ref="M143" location="'Notes'!CheckB1531t" display="Notes"/>
    <hyperlink ref="I144" location="'Notes'!CheckA1531i" display="Notes"/>
    <hyperlink ref="M144" location="'Notes'!CheckB1531i" display="Notes"/>
    <hyperlink ref="I145" location="'Notes'!CheckA1531j" display="Notes"/>
    <hyperlink ref="M145" location="'Notes'!CheckB1531j" display="Notes"/>
    <hyperlink ref="I146" location="'Notes'!CheckA1531k" display="Notes"/>
    <hyperlink ref="M146" location="'Notes'!CheckB1531k" display="Notes"/>
    <hyperlink ref="I147" location="'Notes'!CheckA1531p" display="Notes"/>
    <hyperlink ref="M147" location="'Notes'!CheckB1531p" display="Notes"/>
    <hyperlink ref="I148" location="'Notes'!CheckA1531h" display="Notes"/>
    <hyperlink ref="M148" location="'Notes'!CheckB1531h" display="Notes"/>
    <hyperlink ref="I149" location="'Notes'!CheckA1531m" display="Notes"/>
    <hyperlink ref="M149" location="'Notes'!CheckB1531m" display="Notes"/>
    <hyperlink ref="I150" location="'Notes'!CheckA1531g" display="Notes"/>
    <hyperlink ref="M150" location="'Notes'!CheckB1531g" display="Notes"/>
    <hyperlink ref="I151" location="'Notes'!CheckA1531q" display="Notes"/>
    <hyperlink ref="M151" location="'Notes'!CheckB1531q" display="Notes"/>
    <hyperlink ref="I152" location="'Notes'!CheckA1531c" display="Notes"/>
    <hyperlink ref="M152" location="'Notes'!CheckB1531c" display="Notes"/>
    <hyperlink ref="I153" location="'Notes'!CheckA1531s" display="Notes"/>
    <hyperlink ref="M153" location="'Notes'!CheckB1531s" display="Notes"/>
    <hyperlink ref="I154" location="'Notes'!CheckA1531b" display="Notes"/>
    <hyperlink ref="M154" location="'Notes'!CheckB1531b" display="Notes"/>
    <hyperlink ref="I155" location="'Notes'!CheckA1531f" display="Notes"/>
    <hyperlink ref="M155" location="'Notes'!CheckB1531f" display="Notes"/>
    <hyperlink ref="I156" location="'Notes'!CheckA1511c" display="Notes"/>
    <hyperlink ref="M156" location="'Notes'!CheckB1511c" display="Notes"/>
    <hyperlink ref="I157" location="'Notes'!CheckA1511d" display="Notes"/>
    <hyperlink ref="M157" location="'Notes'!CheckB1511d" display="Notes"/>
    <hyperlink ref="I158" location="'Notes'!CheckA1511b" display="Notes"/>
    <hyperlink ref="M158" location="'Notes'!CheckB1511b" display="Notes"/>
    <hyperlink ref="I159" location="'Notes'!CheckA1538a" display="Notes"/>
    <hyperlink ref="M159" location="'Notes'!CheckB1538a" display="Notes"/>
    <hyperlink ref="I160" location="'Notes'!CheckA1538b" display="Notes"/>
    <hyperlink ref="M160" location="'Notes'!CheckB1538b" display="Notes"/>
    <hyperlink ref="I161" location="'Notes'!CheckA1539a" display="Notes"/>
    <hyperlink ref="M161" location="'Notes'!CheckB1539a" display="Notes"/>
    <hyperlink ref="I162" location="'Notes'!CheckA1539b" display="Notes"/>
    <hyperlink ref="M162" location="'Notes'!CheckB1539b" display="Notes"/>
    <hyperlink ref="I163" location="'Notes'!CheckA1539c" display="Notes"/>
    <hyperlink ref="M163" location="'Notes'!CheckB1539c" display="Notes"/>
    <hyperlink ref="I164" location="'Notes'!CheckA1521h" display="Notes"/>
    <hyperlink ref="M164" location="'Notes'!CheckB1521h" display="Notes"/>
    <hyperlink ref="I165" location="'Notes'!CheckA1521b" display="Notes"/>
    <hyperlink ref="M165" location="'Notes'!CheckB1521b" display="Notes"/>
    <hyperlink ref="I166" location="'Notes'!CheckA1521c" display="Notes"/>
    <hyperlink ref="M166" location="'Notes'!CheckB1521c" display="Notes"/>
    <hyperlink ref="I167" location="'Notes'!CheckA1521s" display="Notes"/>
    <hyperlink ref="M167" location="'Notes'!CheckB1521s" display="Notes"/>
    <hyperlink ref="I168" location="'Notes'!CheckA1611a" display="Notes"/>
    <hyperlink ref="M168" location="'Notes'!CheckB1611a" display="Notes"/>
    <hyperlink ref="I169" location="'Notes'!CheckA1601k" display="Notes"/>
    <hyperlink ref="M169" location="'Notes'!CheckB1601k" display="Notes"/>
    <hyperlink ref="I170" location="'Notes'!CheckA1601b" display="Notes"/>
    <hyperlink ref="M170" location="'Notes'!CheckB1601b" display="Notes"/>
    <hyperlink ref="I171" location="'Notes'!CheckA1601c" display="Notes"/>
    <hyperlink ref="M171" location="'Notes'!CheckB1601c" display="Notes"/>
    <hyperlink ref="I172" location="'Notes'!CheckA1601d" display="Notes"/>
    <hyperlink ref="M172" location="'Notes'!CheckB1601d" display="Notes"/>
    <hyperlink ref="I173" location="'Notes'!CheckA1601l" display="Notes"/>
    <hyperlink ref="M173" location="'Notes'!CheckB1601l" display="Notes"/>
    <hyperlink ref="I174" location="'Notes'!CheckA1601f" display="Notes"/>
    <hyperlink ref="M174" location="'Notes'!CheckB1601f" display="Notes"/>
    <hyperlink ref="I175" location="'Notes'!CheckA1601s" display="Notes"/>
    <hyperlink ref="M175" location="'Notes'!CheckB1601s" display="Notes"/>
    <hyperlink ref="I176" location="'Notes'!CheckA1601x" display="Notes"/>
    <hyperlink ref="M176" location="'Notes'!CheckB1601x" display="Notes"/>
    <hyperlink ref="I177" location="'Notes'!CheckA1606b" display="Notes"/>
    <hyperlink ref="M177" location="'Notes'!CheckB1606b" display="Notes"/>
    <hyperlink ref="I178" location="'Notes'!CheckA1606a" display="Notes"/>
    <hyperlink ref="M178" location="'Notes'!CheckB1606a" display="Notes"/>
    <hyperlink ref="I179" location="'Notes'!CheckA1616a" display="Notes"/>
    <hyperlink ref="M179" location="'Notes'!CheckB1616a" display="Notes"/>
    <hyperlink ref="I180" location="'Notes'!CheckA1604a" display="Notes"/>
    <hyperlink ref="M180" location="'Notes'!CheckB1604a" display="Notes"/>
    <hyperlink ref="I181" location="'Notes'!CheckA1604b" display="Notes"/>
    <hyperlink ref="M181" location="'Notes'!CheckB1604b" display="Notes"/>
    <hyperlink ref="I182" location="'Notes'!CheckA1604c" display="Notes"/>
    <hyperlink ref="M182" location="'Notes'!CheckB1604c" display="Notes"/>
    <hyperlink ref="I183" location="'Notes'!CheckA1604g" display="Notes"/>
    <hyperlink ref="M183" location="'Notes'!CheckB1604g" display="Notes"/>
    <hyperlink ref="I184" location="'Notes'!CheckA1604d" display="Notes"/>
    <hyperlink ref="M184" location="'Notes'!CheckB1604d" display="Notes"/>
    <hyperlink ref="I185" location="'Notes'!CheckA1605a" display="Notes"/>
    <hyperlink ref="M185" location="'Notes'!CheckB1605a" display="Notes"/>
    <hyperlink ref="I186" location="'Notes'!CheckA1621c" display="Notes"/>
    <hyperlink ref="M186" location="'Notes'!CheckB1621c" display="Notes"/>
    <hyperlink ref="I187" location="'Notes'!CheckA1621b" display="Notes"/>
    <hyperlink ref="M187" location="'Notes'!CheckB1621b" display="Notes"/>
    <hyperlink ref="I188" location="'Notes'!CheckA1631b" display="Notes"/>
    <hyperlink ref="M188" location="'Notes'!CheckB1631b" display="Notes"/>
    <hyperlink ref="I189" location="'Notes'!CheckA1701a" display="Notes"/>
    <hyperlink ref="M189" location="'Notes'!CheckB1701a" display="Notes"/>
    <hyperlink ref="I190" location="'Notes'!CheckA1701f" display="Notes"/>
    <hyperlink ref="M190" location="'Notes'!CheckB1701f" display="Notes"/>
    <hyperlink ref="I191" location="'Notes'!CheckA1701e" display="Notes"/>
    <hyperlink ref="M191" location="'Notes'!CheckB1701e" display="Notes"/>
    <hyperlink ref="I192" location="'Notes'!CheckA1701g" display="Notes"/>
    <hyperlink ref="M192" location="'Notes'!CheckB1701g" display="Notes"/>
    <hyperlink ref="I193" location="'Notes'!CheckA1701h" display="Notes"/>
    <hyperlink ref="M193" location="'Notes'!CheckB1701h" display="Notes"/>
    <hyperlink ref="I194" location="'Notes'!CheckA1701x" display="Notes"/>
    <hyperlink ref="M194" location="'Notes'!CheckB1701x" display="Notes"/>
    <hyperlink ref="I195" location="'Notes'!CheckA1700b" display="Notes"/>
    <hyperlink ref="M195" location="'Notes'!CheckB1700b" display="Notes"/>
    <hyperlink ref="I196" location="'Notes'!CheckA1711a" display="Notes"/>
    <hyperlink ref="M196" location="'Notes'!CheckB1711a" display="Notes"/>
    <hyperlink ref="I197" location="'Notes'!CheckA1711b" display="Notes"/>
    <hyperlink ref="M197" location="'Notes'!CheckB1711b" display="Notes"/>
    <hyperlink ref="I198" location="'Notes'!CheckA1801a" display="Notes"/>
    <hyperlink ref="M198" location="'Notes'!CheckB1801a" display="Notes"/>
    <hyperlink ref="I199" location="'Notes'!CheckA1801x" display="Notes"/>
    <hyperlink ref="M199" location="'Notes'!CheckB1801x" display="Notes"/>
    <hyperlink ref="I200" location="'Notes'!CheckA1829a" display="Notes"/>
    <hyperlink ref="M200" location="'Notes'!CheckB1829a" display="Notes"/>
    <hyperlink ref="I201" location="'Notes'!CheckA1829b" display="Notes"/>
    <hyperlink ref="M201" location="'Notes'!CheckB1829b" display="Notes"/>
    <hyperlink ref="I202" location="'Notes'!CheckA1829c" display="Notes"/>
    <hyperlink ref="M202" location="'Notes'!CheckB1829c" display="Notes"/>
    <hyperlink ref="I203" location="'Notes'!CheckA1829e" display="Notes"/>
    <hyperlink ref="M203" location="'Notes'!CheckB1829e" display="Notes"/>
    <hyperlink ref="I204" location="'Notes'!CheckA1829f" display="Notes"/>
    <hyperlink ref="M204" location="'Notes'!CheckB1829f" display="Notes"/>
    <hyperlink ref="I205" location="'Notes'!CheckA1996a" display="Notes"/>
    <hyperlink ref="M205" location="'Notes'!CheckB1996a" display="Notes"/>
    <hyperlink ref="I206" location="'Notes'!CheckA2001a" display="Notes"/>
    <hyperlink ref="M206" location="'Notes'!CheckB2001a" display="Notes"/>
    <hyperlink ref="I207" location="'Notes'!CheckA2001d" display="Notes"/>
    <hyperlink ref="M207" location="'Notes'!CheckB2001d" display="Notes"/>
    <hyperlink ref="I208" location="'Notes'!CheckA2001e" display="Notes"/>
    <hyperlink ref="M208" location="'Notes'!CheckB2001e" display="Notes"/>
    <hyperlink ref="I209" location="'Notes'!CheckA2001f" display="Notes"/>
    <hyperlink ref="M209" location="'Notes'!CheckB2001f" display="Notes"/>
    <hyperlink ref="I210" location="'Notes'!CheckA2001b" display="Notes"/>
    <hyperlink ref="M210" location="'Notes'!CheckB2001b" display="Notes"/>
    <hyperlink ref="I211" location="'Notes'!CheckA2001c" display="Notes"/>
    <hyperlink ref="M211" location="'Notes'!CheckB2001c" display="Notes"/>
    <hyperlink ref="I212" location="'Notes'!CheckA2102a" display="Notes"/>
    <hyperlink ref="M212" location="'Notes'!CheckB2102a" display="Notes"/>
    <hyperlink ref="I213" location="'Notes'!CheckA2102b" display="Notes"/>
    <hyperlink ref="M213" location="'Notes'!CheckB2102b" display="Notes"/>
    <hyperlink ref="I214" location="'Notes'!CheckA2101a" display="Notes"/>
    <hyperlink ref="M214" location="'Notes'!CheckB2101a" display="Notes"/>
    <hyperlink ref="I215" location="'Notes'!CheckA2115a" display="Notes"/>
    <hyperlink ref="M215" location="'Notes'!CheckB2115a" display="Notes"/>
    <hyperlink ref="I216" location="'Notes'!CheckA2201a" display="Notes"/>
    <hyperlink ref="M216" location="'Notes'!CheckB2201a" display="Notes"/>
    <hyperlink ref="I217" location="'Notes'!CheckA2202e" display="Notes"/>
    <hyperlink ref="M217" location="'Notes'!CheckB2202e" display="Notes"/>
    <hyperlink ref="I218" location="'Notes'!CheckA2202f" display="Notes"/>
    <hyperlink ref="M218" location="'Notes'!CheckB2202f" display="Notes"/>
    <hyperlink ref="I219" location="'Notes'!CheckA2202a" display="Notes"/>
    <hyperlink ref="M219" location="'Notes'!CheckB2202a" display="Notes"/>
    <hyperlink ref="I220" location="'Notes'!CheckA2202d" display="Notes"/>
    <hyperlink ref="M220" location="'Notes'!CheckB2202d" display="Notes"/>
    <hyperlink ref="I221" location="'Notes'!CheckA2202c" display="Notes"/>
    <hyperlink ref="M221" location="'Notes'!CheckB2202c" display="Notes"/>
    <hyperlink ref="I222" location="'Notes'!CheckA2202g" display="Notes"/>
    <hyperlink ref="M222" location="'Notes'!CheckB2202g" display="Notes"/>
    <hyperlink ref="I223" location="'Notes'!CheckA2202x" display="Notes"/>
    <hyperlink ref="M223" location="'Notes'!CheckB2202x" display="Notes"/>
    <hyperlink ref="I224" location="'Notes'!CheckA2205f" display="Notes"/>
    <hyperlink ref="M224" location="'Notes'!CheckB2205f" display="Notes"/>
    <hyperlink ref="I225" location="'Notes'!CheckA2205g" display="Notes"/>
    <hyperlink ref="M225" location="'Notes'!CheckB2205g" display="Notes"/>
    <hyperlink ref="I226" location="'Notes'!CheckA2205a" display="Notes"/>
    <hyperlink ref="M226" location="'Notes'!CheckB2205a" display="Notes"/>
    <hyperlink ref="I227" location="'Notes'!CheckA2205h" display="Notes"/>
    <hyperlink ref="M227" location="'Notes'!CheckB2205h" display="Notes"/>
    <hyperlink ref="I228" location="'Notes'!CheckA2205e" display="Notes"/>
    <hyperlink ref="M228" location="'Notes'!CheckB2205e" display="Notes"/>
    <hyperlink ref="I229" location="'Notes'!CheckA2205c" display="Notes"/>
    <hyperlink ref="M229" location="'Notes'!CheckB2205c" display="Notes"/>
    <hyperlink ref="I230" location="'Notes'!CheckA2205x" display="Notes"/>
    <hyperlink ref="M230" location="'Notes'!CheckB2205x" display="Notes"/>
    <hyperlink ref="I231" location="'Notes'!CheckA2211a" display="Notes"/>
    <hyperlink ref="M231" location="'Notes'!CheckB2211a" display="Notes"/>
    <hyperlink ref="I232" location="'Notes'!CheckA2211b" display="Notes"/>
    <hyperlink ref="M232" location="'Notes'!CheckB2211b" display="Notes"/>
    <hyperlink ref="I233" location="'Notes'!CheckA2211c" display="Notes"/>
    <hyperlink ref="M233" location="'Notes'!CheckB2211c" display="Notes"/>
    <hyperlink ref="I234" location="'Notes'!CheckA2211d" display="Notes"/>
    <hyperlink ref="M234" location="'Notes'!CheckB2211d" display="Notes"/>
    <hyperlink ref="I235" location="'Notes'!CheckA2211x" display="Notes"/>
    <hyperlink ref="M235" location="'Notes'!CheckB2211x" display="Notes"/>
    <hyperlink ref="I236" location="'Notes'!CheckA2221a" display="Notes"/>
    <hyperlink ref="M236" location="'Notes'!CheckB2221a" display="Notes"/>
    <hyperlink ref="I237" location="'Notes'!CheckA2221x" display="Notes"/>
    <hyperlink ref="M237" location="'Notes'!CheckB2221x" display="Notes"/>
    <hyperlink ref="I238" location="'Notes'!CheckA2246a" display="Notes"/>
    <hyperlink ref="M238" location="'Notes'!CheckB2246a" display="Notes"/>
    <hyperlink ref="I239" location="'Notes'!CheckA2231a" display="Notes"/>
    <hyperlink ref="M239" location="'Notes'!CheckB2231a" display="Notes"/>
    <hyperlink ref="I240" location="'Notes'!CheckA2231b" display="Notes"/>
    <hyperlink ref="M240" location="'Notes'!CheckB2231b" display="Notes"/>
    <hyperlink ref="I241" location="'Notes'!CheckA2232a" display="Notes"/>
    <hyperlink ref="M241" location="'Notes'!CheckB2232a" display="Notes"/>
    <hyperlink ref="I242" location="'Notes'!CheckA2232b" display="Notes"/>
    <hyperlink ref="M242" location="'Notes'!CheckB2232b" display="Notes"/>
    <hyperlink ref="I243" location="'Notes'!CheckA2241e" display="Notes"/>
    <hyperlink ref="M243" location="'Notes'!CheckB2241e" display="Notes"/>
    <hyperlink ref="I244" location="'Notes'!CheckA2241f" display="Notes"/>
    <hyperlink ref="M244" location="'Notes'!CheckB2241f" display="Notes"/>
    <hyperlink ref="I245" location="'Notes'!CheckA2241c" display="Notes"/>
    <hyperlink ref="M245" location="'Notes'!CheckB2241c" display="Notes"/>
    <hyperlink ref="I246" location="'Notes'!CheckA2241b" display="Notes"/>
    <hyperlink ref="M246" location="'Notes'!CheckB2241b" display="Notes"/>
    <hyperlink ref="I247" location="'Notes'!CheckA2241g" display="Notes"/>
    <hyperlink ref="M247" location="'Notes'!CheckB2241g" display="Notes"/>
    <hyperlink ref="I248" location="'Notes'!CheckA2241a" display="Notes"/>
    <hyperlink ref="M248" location="'Notes'!CheckB2241a" display="Notes"/>
    <hyperlink ref="I249" location="'Notes'!CheckA2241x" display="Notes"/>
    <hyperlink ref="M249" location="'Notes'!CheckB2241x" display="Notes"/>
    <hyperlink ref="I250" location="'Notes'!CheckA2315a" display="Notes"/>
    <hyperlink ref="M250" location="'Notes'!CheckB2315a" display="Notes"/>
    <hyperlink ref="I251" location="'Notes'!CheckA2395a" display="Notes"/>
    <hyperlink ref="M251" location="'Notes'!CheckB2395a" display="Notes"/>
    <hyperlink ref="I252" location="'Notes'!CheckA2395b" display="Notes"/>
    <hyperlink ref="M252" location="'Notes'!CheckB2395b" display="Notes"/>
    <hyperlink ref="I253" location="'Notes'!CheckA2395e" display="Notes"/>
    <hyperlink ref="M253" location="'Notes'!CheckB2395e" display="Notes"/>
    <hyperlink ref="I254" location="'Notes'!CheckA2395f" display="Notes"/>
    <hyperlink ref="M254" location="'Notes'!CheckB2395f" display="Notes"/>
    <hyperlink ref="I255" location="'Notes'!CheckA2396a" display="Notes"/>
    <hyperlink ref="M255" location="'Notes'!CheckB2396a" display="Notes"/>
    <hyperlink ref="I256" location="'Notes'!CheckA2396c" display="Notes"/>
    <hyperlink ref="M256" location="'Notes'!CheckB2396c" display="Notes"/>
    <hyperlink ref="I257" location="'Notes'!CheckA2501a" display="Notes"/>
    <hyperlink ref="M257" location="'Notes'!CheckB2501a" display="Notes"/>
    <hyperlink ref="I258" location="'Notes'!CheckA2501d" display="Notes"/>
    <hyperlink ref="M258" location="'Notes'!CheckB2501d" display="Notes"/>
    <hyperlink ref="I259" location="'Notes'!CheckA2501e" display="Notes"/>
    <hyperlink ref="M259" location="'Notes'!CheckB2501e" display="Notes"/>
    <hyperlink ref="I260" location="'Notes'!CheckA2501f" display="Notes"/>
    <hyperlink ref="M260" location="'Notes'!CheckB2501f" display="Notes"/>
    <hyperlink ref="I261" location="'Notes'!CheckA2501c" display="Notes"/>
    <hyperlink ref="M261" location="'Notes'!CheckB2501c" display="Notes"/>
    <hyperlink ref="I262" location="'Notes'!CheckA2502b" display="Notes"/>
    <hyperlink ref="M262" location="'Notes'!CheckB2502b" display="Notes"/>
    <hyperlink ref="I263" location="'Notes'!CheckA2502a" display="Notes"/>
    <hyperlink ref="M263" location="'Notes'!CheckB2502a" display="Notes"/>
    <hyperlink ref="I264" location="'Notes'!CheckA2502d" display="Notes"/>
    <hyperlink ref="M264" location="'Notes'!CheckB2502d" display="Notes"/>
    <hyperlink ref="I265" location="'Notes'!CheckA2502c" display="Notes"/>
    <hyperlink ref="M265" location="'Notes'!CheckB2502c" display="Notes"/>
    <hyperlink ref="I266" location="'Notes'!CheckA2502e" display="Notes"/>
    <hyperlink ref="M266" location="'Notes'!CheckB2502e" display="Notes"/>
    <hyperlink ref="I267" location="'Notes'!CheckA2706a" display="Notes"/>
    <hyperlink ref="M267" location="'Notes'!CheckB2706a" display="Notes"/>
    <hyperlink ref="I268" location="'Notes'!CheckA2701c" display="Notes"/>
    <hyperlink ref="M268" location="'Notes'!CheckB2701c" display="Notes"/>
    <hyperlink ref="I269" location="'Notes'!CheckA2701d" display="Notes"/>
    <hyperlink ref="M269" location="'Notes'!CheckB2701d" display="Notes"/>
    <hyperlink ref="I270" location="'Notes'!CheckA2711a" display="Notes"/>
    <hyperlink ref="M270" location="'Notes'!CheckB2711a" display="Notes"/>
    <hyperlink ref="I271" location="'Notes'!CheckA2711b" display="Notes"/>
    <hyperlink ref="M271" location="'Notes'!CheckB2711b" display="Notes"/>
    <hyperlink ref="I272" location="'Notes'!CheckA2715a" display="Notes"/>
    <hyperlink ref="M272" location="'Notes'!CheckB2715a" display="Notes"/>
    <hyperlink ref="I273" location="'Notes'!CheckA2715b" display="Notes"/>
    <hyperlink ref="M273" location="'Notes'!CheckB2715b" display="Notes"/>
    <hyperlink ref="I274" location="'Notes'!CheckA2715c" display="Notes"/>
    <hyperlink ref="M274" location="'Notes'!CheckB2715c" display="Notes"/>
    <hyperlink ref="I275" location="'Notes'!CheckA2715d" display="Notes"/>
    <hyperlink ref="M275" location="'Notes'!CheckB2715d" display="Notes"/>
    <hyperlink ref="I276" location="'Notes'!CheckA2715g" display="Notes"/>
    <hyperlink ref="M276" location="'Notes'!CheckB2715g" display="Notes"/>
    <hyperlink ref="I277" location="'Notes'!CheckA2715h" display="Notes"/>
    <hyperlink ref="M277" location="'Notes'!CheckB2715h" display="Notes"/>
    <hyperlink ref="I278" location="'Notes'!CheckA2801a" display="Notes"/>
    <hyperlink ref="M278" location="'Notes'!CheckB2801a" display="Notes"/>
    <hyperlink ref="I279" location="'Notes'!CheckA2401a" display="Notes"/>
    <hyperlink ref="M279" location="'Notes'!CheckB2401a" display="Notes"/>
    <hyperlink ref="I280" location="'Notes'!CheckA2401b" display="Notes"/>
    <hyperlink ref="M280" location="'Notes'!CheckB2401b" display="Notes"/>
    <hyperlink ref="I281" location="'Notes'!CheckA2996a" display="Notes"/>
    <hyperlink ref="M281" location="'Notes'!CheckB2996a" display="Notes"/>
    <hyperlink ref="I282" location="'Notes'!CheckA2996x" display="Notes"/>
    <hyperlink ref="M282" location="'Notes'!CheckB2996x" display="Notes"/>
    <hyperlink ref="I283" location="'Notes'!CheckA4001a" display="Notes"/>
    <hyperlink ref="M283" location="'Notes'!CheckB4001a" display="Notes"/>
    <hyperlink ref="I284" location="'Notes'!CheckA4001b" display="Notes"/>
    <hyperlink ref="M284" location="'Notes'!CheckB4001b" display="Notes"/>
    <hyperlink ref="I285" location="'Notes'!CheckA4015b" display="Notes"/>
    <hyperlink ref="M285" location="'Notes'!CheckB4015b" display="Notes"/>
    <hyperlink ref="I286" location="'Notes'!CheckA4015a" display="Notes"/>
    <hyperlink ref="M286" location="'Notes'!CheckB4015a" display="Notes"/>
    <hyperlink ref="I287" location="'Notes'!CheckA4002a" display="Notes"/>
    <hyperlink ref="M287" location="'Notes'!CheckB4002a" display="Notes"/>
    <hyperlink ref="I288" location="'Notes'!CheckA4201a" display="Notes"/>
    <hyperlink ref="M288" location="'Notes'!CheckB4201a" display="Notes"/>
    <hyperlink ref="I289" location="'Notes'!CheckA4215b" display="Notes"/>
    <hyperlink ref="M289" location="'Notes'!CheckB4215b" display="Notes"/>
    <hyperlink ref="I290" location="'Notes'!CheckA4301a" display="Notes"/>
    <hyperlink ref="M290" location="'Notes'!CheckB4301a" display="Notes"/>
    <hyperlink ref="I291" location="'Notes'!CheckA4101b" display="Notes"/>
    <hyperlink ref="M291" location="'Notes'!CheckB4101b" display="Notes"/>
    <hyperlink ref="I292" location="'Notes'!CheckA4102a" display="Notes"/>
    <hyperlink ref="M292" location="'Notes'!CheckB4102a" display="Notes"/>
    <hyperlink ref="I293" location="'Notes'!CheckA4200a" display="Notes"/>
    <hyperlink ref="M293" location="'Notes'!CheckB4200a" display="Notes"/>
    <hyperlink ref="I294" location="'Notes'!CheckA4200b" display="Notes"/>
    <hyperlink ref="M294" location="'Notes'!CheckB4200b" display="Notes"/>
    <hyperlink ref="I295" location="'Notes'!CheckA6064h" display="Notes"/>
    <hyperlink ref="M295" location="'Notes'!CheckB6064h" display="Notes"/>
    <hyperlink ref="I296" location="'Notes'!CheckA6064a" display="Notes"/>
    <hyperlink ref="M296" location="'Notes'!CheckB6064a" display="Notes"/>
    <hyperlink ref="I297" location="'Notes'!CheckA6064b" display="Notes"/>
    <hyperlink ref="M297" location="'Notes'!CheckB6064b" display="Notes"/>
    <hyperlink ref="I298" location="'Notes'!CheckA6064c" display="Notes"/>
    <hyperlink ref="M298" location="'Notes'!CheckB6064c" display="Notes"/>
    <hyperlink ref="I299" location="'Notes'!CheckA6064d" display="Notes"/>
    <hyperlink ref="M299" location="'Notes'!CheckB6064d" display="Notes"/>
    <hyperlink ref="I300" location="'Notes'!CheckA6064e" display="Notes"/>
    <hyperlink ref="M300" location="'Notes'!CheckB6064e" display="Notes"/>
    <hyperlink ref="I301" location="'Notes'!CheckA6064f" display="Notes"/>
    <hyperlink ref="M301" location="'Notes'!CheckB6064f" display="Notes"/>
    <hyperlink ref="I302" location="'Notes'!CheckA6064g" display="Notes"/>
    <hyperlink ref="M302" location="'Notes'!CheckB6064g" display="Notes"/>
    <hyperlink ref="I303" location="'Notes'!CheckA6001x" display="Notes"/>
    <hyperlink ref="M303" location="'Notes'!CheckB6001x" display="Notes"/>
    <hyperlink ref="I304" location="'Notes'!CheckA6401x" display="Notes"/>
    <hyperlink ref="M304" location="'Notes'!CheckB6401x" display="Notes"/>
    <hyperlink ref="I305" location="'Notes'!CheckA6600a" display="Notes"/>
    <hyperlink ref="M305" location="'Notes'!CheckB6600a" display="Notes"/>
    <hyperlink ref="I306" location="'Notes'!CheckA6600x" display="Notes"/>
    <hyperlink ref="M306" location="'Notes'!CheckB6600x" display="Notes"/>
    <hyperlink ref="I307" location="'Notes'!CheckA6601a" display="Notes"/>
    <hyperlink ref="M307" location="'Notes'!CheckB6601a" display="Notes"/>
    <hyperlink ref="I308" location="'Notes'!CheckA6601x" display="Notes"/>
    <hyperlink ref="M308" location="'Notes'!CheckB6601x" display="Notes"/>
    <hyperlink ref="I309" location="'Notes'!CheckA6602a" display="Notes"/>
    <hyperlink ref="M309" location="'Notes'!CheckB6602a" display="Notes"/>
    <hyperlink ref="I310" location="'Notes'!CheckA6602x" display="Notes"/>
    <hyperlink ref="M310" location="'Notes'!CheckB6602x" display="Notes"/>
    <hyperlink ref="I311" location="'Notes'!CheckA6606x" display="Notes"/>
    <hyperlink ref="M311" location="'Notes'!CheckB6606x" display="Notes"/>
    <hyperlink ref="I312" location="'Notes'!CheckA6606a" display="Notes"/>
    <hyperlink ref="M312" location="'Notes'!CheckB6606a" display="Notes"/>
    <hyperlink ref="I313" location="'Notes'!CheckA6603a" display="Notes"/>
    <hyperlink ref="M313" location="'Notes'!CheckB6603a" display="Notes"/>
    <hyperlink ref="I314" location="'Notes'!CheckA6603x" display="Notes"/>
    <hyperlink ref="M314" location="'Notes'!CheckB6603x" display="Notes"/>
    <hyperlink ref="I315" location="'Notes'!CheckA6181a" display="Notes"/>
    <hyperlink ref="M315" location="'Notes'!CheckB6181a" display="Notes"/>
    <hyperlink ref="I316" location="'Notes'!CheckA6111a" display="Notes"/>
    <hyperlink ref="M316" location="'Notes'!CheckB6111a" display="Notes"/>
    <hyperlink ref="I317" location="'Notes'!CheckA6102a" display="Notes"/>
    <hyperlink ref="M317" location="'Notes'!CheckB6102a" display="Notes"/>
    <hyperlink ref="I318" location="'Notes'!CheckA6101b" display="Notes"/>
    <hyperlink ref="M318" location="'Notes'!CheckB6101b" display="Notes"/>
    <hyperlink ref="I319" location="'Notes'!CheckA6672a" display="Notes"/>
    <hyperlink ref="M319" location="'Notes'!CheckB6672a" display="Notes"/>
    <hyperlink ref="I320" location="'Notes'!CheckA6671a" display="Notes"/>
    <hyperlink ref="M320" location="'Notes'!CheckB6671a" display="Notes"/>
    <hyperlink ref="I321" location="'Notes'!CheckA6171a" display="Notes"/>
    <hyperlink ref="M321" location="'Notes'!CheckB6171a" display="Notes"/>
    <hyperlink ref="I322" location="'Notes'!CheckA6710a" display="Notes"/>
    <hyperlink ref="M322" location="'Notes'!CheckB6710a" display="Notes"/>
    <hyperlink ref="I323" location="'Notes'!CheckA6710b" display="Notes"/>
    <hyperlink ref="M323" location="'Notes'!CheckB6710b" display="Notes"/>
    <hyperlink ref="I324" location="'Notes'!CheckA6711a" display="Notes"/>
    <hyperlink ref="M324" location="'Notes'!CheckB6711a" display="Notes"/>
    <hyperlink ref="I325" location="'Notes'!CheckA6791a" display="Notes"/>
    <hyperlink ref="M325" location="'Notes'!CheckB6791a" display="Notes"/>
    <hyperlink ref="I326" location="'Notes'!CheckA6791b" display="Notes"/>
    <hyperlink ref="M326" location="'Notes'!CheckB6791b" display="Notes"/>
    <hyperlink ref="I327" location="'Notes'!CheckA7046a" display="Notes"/>
    <hyperlink ref="M327" location="'Notes'!CheckB7046a" display="Notes"/>
    <hyperlink ref="I328" location="'Notes'!CheckA7046x" display="Notes"/>
    <hyperlink ref="M328" location="'Notes'!CheckB7046x" display="Notes"/>
    <hyperlink ref="I329" location="'Notes'!CheckA7096a" display="Notes"/>
    <hyperlink ref="M329" location="'Notes'!CheckB7096a" display="Notes"/>
    <hyperlink ref="I330" location="'Notes'!CheckA7096x" display="Notes"/>
    <hyperlink ref="M330" location="'Notes'!CheckB7096x" display="Notes"/>
    <hyperlink ref="I331" location="'Notes'!CheckA7146a" display="Notes"/>
    <hyperlink ref="M331" location="'Notes'!CheckB7146a" display="Notes"/>
    <hyperlink ref="I332" location="'Notes'!CheckA7196a" display="Notes"/>
    <hyperlink ref="M332" location="'Notes'!CheckB7196a" display="Notes"/>
    <hyperlink ref="I333" location="'Notes'!CheckA7246a" display="Notes"/>
    <hyperlink ref="M333" location="'Notes'!CheckB7246a" display="Notes"/>
    <hyperlink ref="I334" location="'Notes'!CheckA7296a" display="Notes"/>
    <hyperlink ref="M334" location="'Notes'!CheckB7296a" display="Notes"/>
    <hyperlink ref="I335" location="'Notes'!CheckA7001x" display="Notes"/>
    <hyperlink ref="M335" location="'Notes'!CheckB7001x" display="Notes"/>
    <hyperlink ref="I336" location="'Notes'!CheckA7051x" display="Notes"/>
    <hyperlink ref="M336" location="'Notes'!CheckB7051x" display="Notes"/>
    <hyperlink ref="I337" location="'Notes'!CheckA7061x" display="Notes"/>
    <hyperlink ref="M337" location="'Notes'!CheckB7061x" display="Notes"/>
    <hyperlink ref="I338" location="'Notes'!CheckA7071x" display="Notes"/>
    <hyperlink ref="M338" location="'Notes'!CheckB7071x" display="Notes"/>
    <hyperlink ref="I339" location="'Notes'!CheckA7101x" display="Notes"/>
    <hyperlink ref="M339" location="'Notes'!CheckB7101x" display="Notes"/>
    <hyperlink ref="I340" location="'Notes'!CheckA7105x" display="Notes"/>
    <hyperlink ref="M340" location="'Notes'!CheckB7105x" display="Notes"/>
    <hyperlink ref="I341" location="'Notes'!CheckA7111x" display="Notes"/>
    <hyperlink ref="M341" location="'Notes'!CheckB7111x" display="Notes"/>
    <hyperlink ref="I342" location="'Notes'!CheckA7151x" display="Notes"/>
    <hyperlink ref="M342" location="'Notes'!CheckB7151x" display="Notes"/>
    <hyperlink ref="I343" location="'Notes'!CheckA7161x" display="Notes"/>
    <hyperlink ref="M343" location="'Notes'!CheckB7161x" display="Notes"/>
    <hyperlink ref="I344" location="'Notes'!CheckA7211x" display="Notes"/>
    <hyperlink ref="M344" location="'Notes'!CheckB7211x" display="Notes"/>
    <hyperlink ref="I345" location="'Notes'!CheckA7251x" display="Notes"/>
    <hyperlink ref="M345" location="'Notes'!CheckB7251x" display="Notes"/>
    <hyperlink ref="I346" location="'Notes'!CheckA7261x" display="Notes"/>
    <hyperlink ref="M346" location="'Notes'!CheckB7261x" display="Notes"/>
    <hyperlink ref="I347" location="'Notes'!CheckA7500a" display="Notes"/>
    <hyperlink ref="M347" location="'Notes'!CheckB7500a" display="Notes"/>
    <hyperlink ref="I348" location="'Notes'!CheckA7500b" display="Notes"/>
    <hyperlink ref="M348" location="'Notes'!CheckB7500b" display="Notes"/>
    <hyperlink ref="I349" location="'Notes'!CheckA7500c" display="Notes"/>
    <hyperlink ref="M349" location="'Notes'!CheckB7500c" display="Notes"/>
    <hyperlink ref="I350" location="'Notes'!CheckA7500g" display="Notes"/>
    <hyperlink ref="M350" location="'Notes'!CheckB7500g" display="Notes"/>
    <hyperlink ref="I351" location="'Notes'!CheckA7500h" display="Notes"/>
    <hyperlink ref="M351" location="'Notes'!CheckB7500h" display="Notes"/>
    <hyperlink ref="I352" location="'Notes'!CheckA7500e" display="Notes"/>
    <hyperlink ref="M352" location="'Notes'!CheckB7500e" display="Notes"/>
    <hyperlink ref="I353" location="'Notes'!CheckA7500f" display="Notes"/>
    <hyperlink ref="M353" location="'Notes'!CheckB7500f" display="Notes"/>
    <hyperlink ref="I354" location="'Notes'!CheckA7503a" display="Notes"/>
    <hyperlink ref="M354" location="'Notes'!CheckB7503a" display="Notes"/>
    <hyperlink ref="I355" location="'Notes'!CheckA7505a" display="Notes"/>
    <hyperlink ref="M355" location="'Notes'!CheckB7505a" display="Notes"/>
    <hyperlink ref="I356" location="'Notes'!CheckA7506a" display="Notes"/>
    <hyperlink ref="M356" location="'Notes'!CheckB7506a" display="Notes"/>
    <hyperlink ref="I357" location="'Notes'!CheckA7507a" display="Notes"/>
    <hyperlink ref="M357" location="'Notes'!CheckB7507a" display="Notes"/>
    <hyperlink ref="I358" location="'Notes'!CheckA7508a" display="Notes"/>
    <hyperlink ref="M358" location="'Notes'!CheckB7508a" display="Notes"/>
    <hyperlink ref="I359" location="'Notes'!CheckA7509a" display="Notes"/>
    <hyperlink ref="M359" location="'Notes'!CheckB7509a" display="Notes"/>
    <hyperlink ref="I360" location="'Notes'!CheckA7510a" display="Notes"/>
    <hyperlink ref="M360" location="'Notes'!CheckB7510a" display="Notes"/>
    <hyperlink ref="I361" location="'Notes'!CheckA7511a" display="Notes"/>
    <hyperlink ref="M361" location="'Notes'!CheckB7511a" display="Notes"/>
    <hyperlink ref="I362" location="'Notes'!CheckA7512a" display="Notes"/>
    <hyperlink ref="M362" location="'Notes'!CheckB7512a" display="Notes"/>
    <hyperlink ref="I363" location="'Notes'!CheckA7515a" display="Notes"/>
    <hyperlink ref="M363" location="'Notes'!CheckB7515a" display="Notes"/>
    <hyperlink ref="I364" location="'Notes'!CheckA7516a" display="Notes"/>
    <hyperlink ref="M364" location="'Notes'!CheckB7516a" display="Notes"/>
    <hyperlink ref="I365" location="'Notes'!CheckA7517a" display="Notes"/>
    <hyperlink ref="M365" location="'Notes'!CheckB7517a" display="Notes"/>
    <hyperlink ref="I366" location="'Notes'!CheckA7518a" display="Notes"/>
    <hyperlink ref="M366" location="'Notes'!CheckB7518a" display="Notes"/>
    <hyperlink ref="I367" location="'Notes'!CheckA7519a" display="Notes"/>
    <hyperlink ref="M367" location="'Notes'!CheckB7519a" display="Notes"/>
    <hyperlink ref="I368" location="'Notes'!CheckA7523a" display="Notes"/>
    <hyperlink ref="M368" location="'Notes'!CheckB7523a" display="Notes"/>
    <hyperlink ref="I369" location="'Notes'!CheckA9314a" display="Notes"/>
    <hyperlink ref="M369" location="'Notes'!CheckB9314a" display="Notes"/>
    <hyperlink ref="I370" location="'Notes'!CheckA1997a" display="Notes"/>
    <hyperlink ref="M370" location="'Notes'!CheckB1997a" display="Notes"/>
    <hyperlink ref="I371" location="'Notes'!CheckA1704a" display="Notes"/>
    <hyperlink ref="M371" location="'Notes'!CheckB1704a" display="Notes"/>
    <hyperlink ref="I372" location="'Notes'!CheckA9371h" display="Notes"/>
    <hyperlink ref="M372" location="'Notes'!CheckB9371h" display="Notes"/>
    <hyperlink ref="I373" location="'Notes'!CheckA9371i" display="Notes"/>
    <hyperlink ref="M373" location="'Notes'!CheckB9371i" display="Notes"/>
    <hyperlink ref="I374" location="'Notes'!CheckA9371j" display="Notes"/>
    <hyperlink ref="M374" location="'Notes'!CheckB9371j" display="Notes"/>
    <hyperlink ref="I375" location="'Notes'!CheckA9325g" display="Notes"/>
    <hyperlink ref="M375" location="'Notes'!CheckB9325g" display="Notes"/>
    <hyperlink ref="I376" location="'Notes'!CheckA9325h" display="Notes"/>
    <hyperlink ref="M376" location="'Notes'!CheckB9325h" display="Notes"/>
    <hyperlink ref="I377" location="'Notes'!CheckA9325i" display="Notes"/>
    <hyperlink ref="M377" location="'Notes'!CheckB9325i" display="Notes"/>
    <hyperlink ref="I378" location="'Notes'!CheckA9325j" display="Notes"/>
    <hyperlink ref="M378" location="'Notes'!CheckB9325j" display="Notes"/>
    <hyperlink ref="I379" location="'Notes'!CheckA9325k" display="Notes"/>
    <hyperlink ref="M379" location="'Notes'!CheckB9325k" display="Notes"/>
    <hyperlink ref="I380" location="'Notes'!CheckA9325m" display="Notes"/>
    <hyperlink ref="M380" location="'Notes'!CheckB9325m" display="Notes"/>
    <hyperlink ref="I381" location="'Notes'!CheckA9331a" display="Notes"/>
    <hyperlink ref="M381" location="'Notes'!CheckB9331a" display="Notes"/>
    <hyperlink ref="I382" location="'Notes'!CheckA9331i" display="Notes"/>
    <hyperlink ref="M382" location="'Notes'!CheckB9331i" display="Notes"/>
    <hyperlink ref="I383" location="'Notes'!CheckA9331j" display="Notes"/>
    <hyperlink ref="M383" location="'Notes'!CheckB9331j" display="Notes"/>
    <hyperlink ref="I384" location="'Notes'!CheckA9331g" display="Notes"/>
    <hyperlink ref="M384" location="'Notes'!CheckB9331g" display="Notes"/>
    <hyperlink ref="I385" location="'Notes'!CheckA9331b" display="Notes"/>
    <hyperlink ref="M385" location="'Notes'!CheckB9331b" display="Notes"/>
    <hyperlink ref="I386" location="'Notes'!CheckA9120m" display="Notes"/>
    <hyperlink ref="M386" location="'Notes'!CheckB9120m" display="Notes"/>
    <hyperlink ref="I387" location="'Notes'!CheckA9120n" display="Notes"/>
    <hyperlink ref="M387" location="'Notes'!CheckB9120n" display="Notes"/>
    <hyperlink ref="I388" location="'Notes'!CheckA9120c" display="Notes"/>
    <hyperlink ref="M388" location="'Notes'!CheckB9120c" display="Notes"/>
    <hyperlink ref="I389" location="'Notes'!CheckA9120d" display="Notes"/>
    <hyperlink ref="M389" location="'Notes'!CheckB9120d" display="Notes"/>
    <hyperlink ref="I390" location="'Notes'!CheckA9120e" display="Notes"/>
    <hyperlink ref="M390" location="'Notes'!CheckB9120e" display="Notes"/>
    <hyperlink ref="I391" location="'Notes'!CheckA9120f" display="Notes"/>
    <hyperlink ref="M391" location="'Notes'!CheckB9120f" display="Notes"/>
    <hyperlink ref="I392" location="'Notes'!CheckA9120g" display="Notes"/>
    <hyperlink ref="M392" location="'Notes'!CheckB9120g" display="Notes"/>
    <hyperlink ref="I393" location="'Notes'!CheckA9120h" display="Notes"/>
    <hyperlink ref="M393" location="'Notes'!CheckB9120h" display="Notes"/>
    <hyperlink ref="I394" location="'Notes'!CheckA9120i" display="Notes"/>
    <hyperlink ref="M394" location="'Notes'!CheckB9120i" display="Notes"/>
    <hyperlink ref="I395" location="'Notes'!CheckA9120j" display="Notes"/>
    <hyperlink ref="M395" location="'Notes'!CheckB9120j" display="Notes"/>
    <hyperlink ref="I396" location="'Notes'!CheckA9120k" display="Notes"/>
    <hyperlink ref="M396" location="'Notes'!CheckB9120k" display="Notes"/>
    <hyperlink ref="I397" location="'Notes'!CheckA9120l" display="Notes"/>
    <hyperlink ref="M397" location="'Notes'!CheckB9120l" display="Notes"/>
    <hyperlink ref="I398" location="'Notes'!CheckA9120o" display="Notes"/>
    <hyperlink ref="M398" location="'Notes'!CheckB9120o" display="Notes"/>
    <hyperlink ref="I399" location="'Notes'!CheckA9120p" display="Notes"/>
    <hyperlink ref="M399" location="'Notes'!CheckB9120p" display="Notes"/>
    <hyperlink ref="I400" location="'Notes'!CheckA9367a" display="Notes"/>
    <hyperlink ref="M400" location="'Notes'!CheckB9367a" display="Notes"/>
    <hyperlink ref="I401" location="'Notes'!CheckA9367b" display="Notes"/>
    <hyperlink ref="M401" location="'Notes'!CheckB9367b" display="Notes"/>
    <hyperlink ref="I402" location="'Notes'!CheckA9601a" display="Notes"/>
    <hyperlink ref="M402" location="'Notes'!CheckB9601a" display="Notes"/>
    <hyperlink ref="I403" location="'Notes'!CheckA9601c" display="Notes"/>
    <hyperlink ref="M403" location="'Notes'!CheckB9601c" display="Notes"/>
    <hyperlink ref="I404" location="'Notes'!CheckA9601b" display="Notes"/>
    <hyperlink ref="M404" location="'Notes'!CheckB9601b" display="Notes"/>
    <hyperlink ref="I405" location="'Notes'!CheckA9601d" display="Notes"/>
    <hyperlink ref="M405" location="'Notes'!CheckB9601d" display="Notes"/>
    <hyperlink ref="I406" location="'Notes'!CheckA9690a" display="Notes"/>
    <hyperlink ref="M406" location="'Notes'!CheckB9690a" display="Notes"/>
    <hyperlink ref="I407" location="'Notes'!CheckA9690b" display="Notes"/>
    <hyperlink ref="M407" location="'Notes'!CheckB9690b" display="Notes"/>
    <hyperlink ref="I408" location="'Notes'!CheckA9690c" display="Notes"/>
    <hyperlink ref="M408" location="'Notes'!CheckB9690c" display="Notes"/>
  </hyperlinks>
  <pageMargins left="0.78740157480314998" right="0" top="0.78740157480314998" bottom="0.196850393700787" header="0.511811023622047" footer="0.511811023622047"/>
  <pageSetup paperSize="9" scale="75" orientation="portrait" blackAndWhite="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pageSetUpPr autoPageBreaks="0"/>
  </sheetPr>
  <dimension ref="A1:AH6265"/>
  <sheetViews>
    <sheetView topLeftCell="A5063" workbookViewId="0">
      <selection activeCell="H5065" sqref="H5065"/>
    </sheetView>
  </sheetViews>
  <sheetFormatPr defaultRowHeight="12"/>
  <cols>
    <col min="1" max="4" width="0.140625" style="369" customWidth="1"/>
    <col min="5" max="5" width="3.7109375" style="2716" customWidth="1"/>
    <col min="6" max="6" width="0.140625" style="287" customWidth="1"/>
    <col min="7" max="7" width="26" style="288" customWidth="1"/>
    <col min="8" max="16" width="14.5703125" style="288" customWidth="1"/>
    <col min="17" max="18" width="14.5703125" style="290" customWidth="1"/>
    <col min="19" max="19" width="12.7109375" style="291" customWidth="1"/>
    <col min="20" max="20" width="12.7109375" style="288" customWidth="1"/>
    <col min="21" max="25" width="15.7109375" style="288" customWidth="1"/>
    <col min="26" max="31" width="9.140625" style="369"/>
    <col min="32" max="34" width="9.140625" style="288"/>
  </cols>
  <sheetData>
    <row r="1" spans="1:31" s="287" customFormat="1" ht="0.75" customHeight="1">
      <c r="A1" s="371"/>
      <c r="B1" s="371"/>
      <c r="C1" s="371"/>
      <c r="D1" s="371"/>
      <c r="E1" s="2716"/>
      <c r="F1" s="294"/>
      <c r="G1" s="294" t="str">
        <f ca="1">MID(CELL("filename",A1), FIND("]",CELL("filename",A1))+1,255)</f>
        <v>Notes</v>
      </c>
      <c r="H1" s="294"/>
      <c r="I1" s="294"/>
      <c r="J1" s="294"/>
      <c r="K1" s="294"/>
      <c r="L1" s="294"/>
      <c r="M1" s="294"/>
      <c r="N1" s="294"/>
      <c r="O1" s="294"/>
      <c r="P1" s="294"/>
      <c r="Q1" s="362"/>
      <c r="R1" s="362"/>
      <c r="S1" s="363"/>
      <c r="T1" s="294"/>
      <c r="U1" s="294"/>
      <c r="V1" s="294"/>
      <c r="W1" s="294"/>
      <c r="X1" s="294"/>
      <c r="Y1" s="294"/>
      <c r="Z1" s="609" t="s">
        <v>2725</v>
      </c>
      <c r="AA1" s="609"/>
      <c r="AB1" s="369"/>
      <c r="AC1" s="369"/>
      <c r="AD1" s="369"/>
      <c r="AE1" s="369"/>
    </row>
    <row r="2" spans="1:31" ht="15" customHeight="1">
      <c r="A2" s="371"/>
      <c r="B2" s="371"/>
      <c r="C2" s="371"/>
      <c r="D2" s="371"/>
      <c r="F2" s="294"/>
      <c r="G2" s="295" t="s">
        <v>2646</v>
      </c>
      <c r="H2" s="296" t="str">
        <f>IF(Lead!$C$5="","",Lead!$C$5)</f>
        <v>福建省力菲克药业有限公司</v>
      </c>
      <c r="I2" s="306"/>
      <c r="J2" s="321"/>
      <c r="K2" s="322"/>
      <c r="L2" s="323" t="s">
        <v>2521</v>
      </c>
      <c r="N2" s="324" t="s">
        <v>2501</v>
      </c>
      <c r="O2" s="322"/>
      <c r="P2" s="322"/>
      <c r="Q2" s="2742" t="str">
        <f ca="1">HYPERLINK("#'"&amp;$G$1&amp;"'!"&amp;ADDRESS(ROW(Notes!S12),COLUMN(Notes!S12),4),S12)</f>
        <v>操作提示：</v>
      </c>
      <c r="R2" s="322"/>
      <c r="S2" s="2740" t="s">
        <v>6582</v>
      </c>
      <c r="T2" s="2739" t="s">
        <v>6587</v>
      </c>
      <c r="U2" s="2724">
        <f>Lead!$F$5</f>
        <v>43830</v>
      </c>
      <c r="V2" s="2728" t="str">
        <f>IF($T$3="Specific",TEXT($U$2,$T$4),"期末余额")</f>
        <v>2019年12月31日</v>
      </c>
      <c r="W2" s="2728" t="str">
        <f>IF($T$3="Specific",TEXT($U$2,$T$4),"期末")</f>
        <v>2019年12月31日</v>
      </c>
      <c r="X2" s="2728"/>
      <c r="Y2" s="2729"/>
      <c r="Z2" s="371"/>
      <c r="AA2" s="371"/>
    </row>
    <row r="3" spans="1:31" ht="15" customHeight="1">
      <c r="A3" s="371"/>
      <c r="B3" s="371"/>
      <c r="C3" s="371"/>
      <c r="D3" s="371"/>
      <c r="F3" s="294"/>
      <c r="G3" s="297" t="s">
        <v>2647</v>
      </c>
      <c r="H3" s="298" t="s">
        <v>2726</v>
      </c>
      <c r="I3" s="325"/>
      <c r="J3" s="326"/>
      <c r="K3" s="327" t="s">
        <v>2649</v>
      </c>
      <c r="L3" s="328" t="str">
        <f>IF(Lead!$E$9="","",Lead!$E$9)</f>
        <v>孙健</v>
      </c>
      <c r="N3" s="329">
        <f>IF(Lead!$F$9="","",Lead!$F$9)</f>
        <v>43864</v>
      </c>
      <c r="O3" s="295" t="s">
        <v>2650</v>
      </c>
      <c r="P3" s="2743" t="s">
        <v>6588</v>
      </c>
      <c r="Q3" s="2742" t="str">
        <f ca="1">HYPERLINK("#'"&amp;$G$1&amp;"'!"&amp;ADDRESS(ROW(Notes!S2),COLUMN(Notes!S2),4),S2)</f>
        <v>自定义标识：</v>
      </c>
      <c r="R3" s="322"/>
      <c r="S3" s="364" t="s">
        <v>6583</v>
      </c>
      <c r="T3" s="2734" t="s">
        <v>6111</v>
      </c>
      <c r="U3" s="2725">
        <f>Lead!$F$6</f>
        <v>43465</v>
      </c>
      <c r="V3" s="2730" t="str">
        <f>IF($T$3="Specific",TEXT($U$3,$T$4),"期初余额")</f>
        <v>2018年12月31日</v>
      </c>
      <c r="W3" s="2730" t="str">
        <f>IF($T$3="Specific",TEXT($U$3,$T$4),"期初")</f>
        <v>2018年12月31日</v>
      </c>
      <c r="X3" s="2730" t="str">
        <f>TEXT($U$3+1,$T$4)</f>
        <v>2019年1月1日</v>
      </c>
      <c r="Y3" s="2731" t="str">
        <f>TEXT(DATE(2017,12,31),$T$4)</f>
        <v>2017年12月31日</v>
      </c>
      <c r="Z3" s="371"/>
      <c r="AA3" s="371"/>
    </row>
    <row r="4" spans="1:31" ht="15" customHeight="1">
      <c r="A4" s="371"/>
      <c r="B4" s="371"/>
      <c r="C4" s="371"/>
      <c r="D4" s="371"/>
      <c r="F4" s="294"/>
      <c r="G4" s="297" t="s">
        <v>2651</v>
      </c>
      <c r="H4" s="299">
        <f>Lead!$F$5</f>
        <v>43830</v>
      </c>
      <c r="I4" s="325"/>
      <c r="J4" s="326"/>
      <c r="K4" s="327" t="s">
        <v>2652</v>
      </c>
      <c r="L4" s="328" t="str">
        <f>IF(Lead!$E$10="","",Lead!$E$10)</f>
        <v/>
      </c>
      <c r="N4" s="330" t="str">
        <f>IF(Lead!$F$10="","",Lead!$F$10)</f>
        <v/>
      </c>
      <c r="O4" s="295" t="s">
        <v>2653</v>
      </c>
      <c r="P4" s="325"/>
      <c r="Q4" s="322"/>
      <c r="R4" s="322"/>
      <c r="S4" s="364" t="s">
        <v>6584</v>
      </c>
      <c r="T4" s="2734" t="s">
        <v>6112</v>
      </c>
      <c r="U4" s="2725" t="str">
        <f>Lead!$F$7</f>
        <v>2019年度</v>
      </c>
      <c r="V4" s="2730" t="str">
        <f>IF($T$3="Specific",$U$4,"本期发生额")</f>
        <v>2019年度</v>
      </c>
      <c r="W4" s="2730" t="str">
        <f>IF($T$3="Specific",$U$4,"本期")</f>
        <v>2019年度</v>
      </c>
      <c r="X4" s="2730"/>
      <c r="Y4" s="2731"/>
      <c r="Z4" s="371"/>
      <c r="AA4" s="371"/>
    </row>
    <row r="5" spans="1:31" ht="9" customHeight="1" thickBot="1">
      <c r="A5" s="371"/>
      <c r="B5" s="371"/>
      <c r="C5" s="371"/>
      <c r="D5" s="371"/>
      <c r="F5" s="294"/>
      <c r="G5" s="300"/>
      <c r="H5" s="300"/>
      <c r="I5" s="300"/>
      <c r="J5" s="331"/>
      <c r="K5" s="300"/>
      <c r="L5" s="300"/>
      <c r="M5" s="300"/>
      <c r="N5" s="332"/>
      <c r="O5" s="300"/>
      <c r="P5" s="300"/>
      <c r="Q5" s="322"/>
      <c r="R5" s="322"/>
      <c r="S5" s="364"/>
      <c r="T5" s="290"/>
      <c r="U5" s="2726" t="str">
        <f>Lead!$F$8</f>
        <v>2018年度</v>
      </c>
      <c r="V5" s="2732" t="str">
        <f>IF($T$3="Specific",$U$5,"上期发生额")</f>
        <v>2018年度</v>
      </c>
      <c r="W5" s="2732" t="str">
        <f>IF($T$3="Specific",$U$5,"上期")</f>
        <v>2018年度</v>
      </c>
      <c r="X5" s="2732"/>
      <c r="Y5" s="2733"/>
      <c r="Z5" s="371"/>
      <c r="AA5" s="371"/>
    </row>
    <row r="6" spans="1:31" ht="6" customHeight="1" thickTop="1">
      <c r="A6" s="371"/>
      <c r="B6" s="371"/>
      <c r="C6" s="371"/>
      <c r="D6" s="371"/>
      <c r="F6" s="294"/>
      <c r="G6" s="301"/>
      <c r="H6" s="301"/>
      <c r="I6" s="301"/>
      <c r="J6" s="301"/>
      <c r="K6" s="301"/>
      <c r="L6" s="301"/>
      <c r="M6" s="301"/>
      <c r="N6" s="301"/>
      <c r="O6" s="301"/>
      <c r="P6" s="301"/>
      <c r="Q6" s="322"/>
      <c r="R6" s="322"/>
      <c r="S6" s="364"/>
      <c r="T6" s="322"/>
      <c r="U6" s="301"/>
      <c r="V6" s="301"/>
      <c r="W6" s="301"/>
      <c r="X6" s="301"/>
      <c r="Y6" s="301"/>
      <c r="Z6" s="371"/>
      <c r="AA6" s="371"/>
    </row>
    <row r="7" spans="1:31" ht="18">
      <c r="A7" s="2714"/>
      <c r="B7" s="371"/>
      <c r="C7" s="371"/>
      <c r="D7" s="371"/>
      <c r="F7" s="294"/>
      <c r="G7" s="302" t="s">
        <v>2728</v>
      </c>
      <c r="H7" s="303">
        <f ca="1">SUMIF($J:$J,"附注列报*",$L:$L)</f>
        <v>59455268.369999997</v>
      </c>
      <c r="I7" s="333">
        <f ca="1">SUMIF($J:$J,"附注列报*",$O:$O)</f>
        <v>67207912.659999996</v>
      </c>
      <c r="J7" s="334" t="s">
        <v>2729</v>
      </c>
      <c r="K7" s="335">
        <f ca="1">COUNTIF($L:$L,"#Logical!")+COUNTIF($O:$O,"#Logical!")</f>
        <v>2</v>
      </c>
      <c r="L7" s="336" t="s">
        <v>2730</v>
      </c>
      <c r="M7" s="337">
        <f>COUNTIF($D:$D,"&gt;1")</f>
        <v>0</v>
      </c>
      <c r="N7" s="338" t="s">
        <v>2731</v>
      </c>
      <c r="P7" s="337">
        <f ca="1">COUNTIF($K:$K,"请设置公式")+COUNTIF($N:$N,"请设置公式")</f>
        <v>0</v>
      </c>
      <c r="Q7" s="322"/>
      <c r="R7" s="322"/>
      <c r="S7" s="364" t="s">
        <v>6585</v>
      </c>
      <c r="T7" s="2741" t="s">
        <v>6586</v>
      </c>
      <c r="U7" s="2735"/>
      <c r="V7" s="340" t="s">
        <v>6579</v>
      </c>
      <c r="W7" s="301"/>
      <c r="X7" s="301"/>
      <c r="Y7" s="301"/>
      <c r="Z7" s="371"/>
      <c r="AA7" s="371"/>
    </row>
    <row r="8" spans="1:31" ht="18" customHeight="1">
      <c r="A8" s="371" t="s">
        <v>2733</v>
      </c>
      <c r="B8" s="371" t="s">
        <v>2734</v>
      </c>
      <c r="C8" s="371" t="s">
        <v>2</v>
      </c>
      <c r="D8" s="371" t="s">
        <v>14</v>
      </c>
      <c r="E8" s="2716" t="s">
        <v>4</v>
      </c>
      <c r="F8" s="304" t="s">
        <v>2735</v>
      </c>
      <c r="G8" s="304"/>
      <c r="H8" s="304"/>
      <c r="I8" s="304"/>
      <c r="J8" s="304"/>
      <c r="K8" s="304"/>
      <c r="L8" s="304"/>
      <c r="M8" s="304"/>
      <c r="N8" s="339" t="s">
        <v>2736</v>
      </c>
      <c r="O8" s="304"/>
      <c r="P8" s="337">
        <f ca="1">COUNTIF($Q:$Q,"请输入")</f>
        <v>116</v>
      </c>
      <c r="Q8" s="366"/>
      <c r="R8" s="366"/>
      <c r="S8" s="364"/>
      <c r="U8" s="2736"/>
      <c r="V8" s="340" t="s">
        <v>6580</v>
      </c>
      <c r="W8" s="304"/>
      <c r="X8" s="304"/>
      <c r="Y8" s="304"/>
      <c r="Z8" s="371"/>
      <c r="AA8" s="609" t="s">
        <v>2738</v>
      </c>
    </row>
    <row r="9" spans="1:31" ht="17.25">
      <c r="A9" s="2715">
        <v>1015</v>
      </c>
      <c r="B9" s="371">
        <v>1</v>
      </c>
      <c r="C9" s="2716" t="str">
        <f>VLOOKUP($A9,Sheet_Items,2,0)</f>
        <v>货币资金</v>
      </c>
      <c r="D9" s="371"/>
      <c r="E9" s="2716" t="s">
        <v>2739</v>
      </c>
      <c r="F9" s="294"/>
      <c r="G9" s="305" t="str">
        <f>B9&amp;" "&amp;C9</f>
        <v>1 货币资金</v>
      </c>
      <c r="H9" s="306"/>
      <c r="I9" s="306"/>
      <c r="J9" s="306" t="s">
        <v>2740</v>
      </c>
      <c r="K9" s="341">
        <f>VLOOKUP($A9,Sheet_Trialbal,6,0)</f>
        <v>479304.95</v>
      </c>
      <c r="L9" s="342"/>
      <c r="M9" s="306" t="s">
        <v>2741</v>
      </c>
      <c r="N9" s="341">
        <f>VLOOKUP($A9,Sheet_Trialbal,10,0)</f>
        <v>252723.84</v>
      </c>
      <c r="O9" s="342"/>
      <c r="P9" s="301"/>
      <c r="S9" s="364"/>
      <c r="U9" s="2737"/>
      <c r="V9" s="2713" t="s">
        <v>6581</v>
      </c>
      <c r="Z9" s="609" t="s">
        <v>48</v>
      </c>
      <c r="AA9" s="609" t="s">
        <v>5649</v>
      </c>
    </row>
    <row r="10" spans="1:31" ht="18">
      <c r="A10" s="2714" t="s">
        <v>69</v>
      </c>
      <c r="B10" s="371">
        <v>1</v>
      </c>
      <c r="C10" s="371"/>
      <c r="D10" s="2716" t="str">
        <f>VLOOKUP($A10,Sheet_NoteList,2,0)</f>
        <v>货币资金明细项目</v>
      </c>
      <c r="E10" s="2716" t="s">
        <v>6530</v>
      </c>
      <c r="F10" s="294"/>
      <c r="G10" s="307" t="str">
        <f>"("&amp;B10&amp;")"&amp;D10</f>
        <v>(1)货币资金明细项目</v>
      </c>
      <c r="H10" s="1517" t="str">
        <f>$A10</f>
        <v>1015b</v>
      </c>
      <c r="I10" s="343" t="s">
        <v>5124</v>
      </c>
      <c r="J10" s="301" t="s">
        <v>5122</v>
      </c>
      <c r="K10" s="2210">
        <f>H17</f>
        <v>479304.95</v>
      </c>
      <c r="L10" s="345" t="str">
        <f>IF($I10="适用",IF(ROUND($K$9-K10,2)=0,"F/S",ROUND($K$9-K10,2)),"#N/A")</f>
        <v>F/S</v>
      </c>
      <c r="M10" s="301" t="s">
        <v>5123</v>
      </c>
      <c r="N10" s="2210">
        <f>I17</f>
        <v>252723.84</v>
      </c>
      <c r="O10" s="345" t="str">
        <f>IF($I10="适用",IF(ROUND($N$9-N10,2)=0,"F/S",ROUND($N$9-N10,2)),"#N/A")</f>
        <v>F/S</v>
      </c>
      <c r="P10" s="301"/>
      <c r="Q10" s="290" t="str">
        <f>IF($I10="不适用","",IF(ROUND(SUM($H$13:$I$17),2)=0,"请输入",""))</f>
        <v/>
      </c>
      <c r="S10" s="364"/>
      <c r="U10" s="2738"/>
      <c r="V10" s="2713" t="s">
        <v>6578</v>
      </c>
      <c r="Z10" s="609" t="s">
        <v>48</v>
      </c>
      <c r="AA10" s="609" t="s">
        <v>5649</v>
      </c>
    </row>
    <row r="11" spans="1:31" ht="0.75" customHeight="1" thickBot="1">
      <c r="A11" s="2714"/>
      <c r="B11" s="371"/>
      <c r="C11" s="371"/>
      <c r="D11" s="371"/>
      <c r="F11" s="371"/>
      <c r="G11" s="371" t="s">
        <v>2746</v>
      </c>
      <c r="H11" s="371" t="s">
        <v>2747</v>
      </c>
      <c r="I11" s="371" t="s">
        <v>2748</v>
      </c>
      <c r="J11" s="291"/>
      <c r="K11" s="291"/>
      <c r="L11" s="291"/>
      <c r="M11" s="291"/>
      <c r="Z11" s="609" t="s">
        <v>48</v>
      </c>
      <c r="AA11" s="609" t="s">
        <v>5649</v>
      </c>
    </row>
    <row r="12" spans="1:31" ht="18.75" thickTop="1">
      <c r="A12" s="2714"/>
      <c r="B12" s="371"/>
      <c r="C12" s="371"/>
      <c r="D12" s="371"/>
      <c r="E12" s="2716" t="s">
        <v>2749</v>
      </c>
      <c r="F12" s="294"/>
      <c r="G12" s="1574" t="s">
        <v>47</v>
      </c>
      <c r="H12" s="1454" t="str">
        <f>$V$2&amp;""</f>
        <v>2019年12月31日</v>
      </c>
      <c r="I12" s="1455" t="str">
        <f>$V$3</f>
        <v>2018年12月31日</v>
      </c>
      <c r="J12" s="1532" t="s">
        <v>5265</v>
      </c>
      <c r="K12" s="1530" t="str">
        <f>""&amp;"&gt;期末:"&amp;""</f>
        <v>&gt;期末:</v>
      </c>
      <c r="L12" s="1530" t="str">
        <f>""&amp;"&gt;期初:"&amp;""</f>
        <v>&gt;期初:</v>
      </c>
      <c r="M12" s="291"/>
      <c r="S12" s="365" t="s">
        <v>2727</v>
      </c>
      <c r="Z12" s="609" t="s">
        <v>48</v>
      </c>
      <c r="AA12" s="609" t="s">
        <v>5649</v>
      </c>
    </row>
    <row r="13" spans="1:31" ht="18">
      <c r="A13" s="2714"/>
      <c r="B13" s="371">
        <v>101</v>
      </c>
      <c r="C13" s="371"/>
      <c r="D13" s="2716">
        <f t="shared" ref="D13:D17" si="0">IF(OR(G13="*",G13="",G13=0),0,COUNTIF($G$13:$G$17,G13))</f>
        <v>1</v>
      </c>
      <c r="E13" s="2721">
        <v>1</v>
      </c>
      <c r="F13" s="294"/>
      <c r="G13" s="308" t="s">
        <v>2750</v>
      </c>
      <c r="H13" s="309">
        <v>2205.96</v>
      </c>
      <c r="I13" s="3110">
        <v>2412.5700000000002</v>
      </c>
      <c r="J13" s="291"/>
      <c r="K13" s="1541">
        <f ca="1">HYPERLINK("#'"&amp;$G$1&amp;"'!"&amp;ADDRESS(ROW(Notes!J33),COLUMN(Notes!J33),4),J33-H13)</f>
        <v>0</v>
      </c>
      <c r="L13" s="1541">
        <f ca="1">HYPERLINK("#'"&amp;$G$1&amp;"'!"&amp;ADDRESS(ROW(Notes!M33),COLUMN(Notes!M33),4),M33-I13)</f>
        <v>0</v>
      </c>
      <c r="M13" s="291"/>
      <c r="N13" s="357" t="s">
        <v>2777</v>
      </c>
      <c r="O13" s="291"/>
      <c r="P13" s="291"/>
      <c r="Q13" s="367"/>
      <c r="R13" s="367"/>
      <c r="S13" s="365" t="s">
        <v>2732</v>
      </c>
      <c r="Z13" s="609" t="s">
        <v>48</v>
      </c>
      <c r="AA13" s="609" t="s">
        <v>5649</v>
      </c>
    </row>
    <row r="14" spans="1:31" ht="18">
      <c r="A14" s="2714"/>
      <c r="B14" s="371">
        <v>102</v>
      </c>
      <c r="C14" s="371"/>
      <c r="D14" s="2716">
        <f t="shared" si="0"/>
        <v>1</v>
      </c>
      <c r="E14" s="2721">
        <v>1</v>
      </c>
      <c r="F14" s="294"/>
      <c r="G14" s="308" t="s">
        <v>66</v>
      </c>
      <c r="H14" s="309">
        <v>477098.99</v>
      </c>
      <c r="I14" s="346">
        <v>250311.27</v>
      </c>
      <c r="J14" s="291"/>
      <c r="K14" s="1541">
        <f ca="1">HYPERLINK("#'"&amp;$G$1&amp;"'!"&amp;ADDRESS(ROW(Notes!J42),COLUMN(Notes!J42),4),J42-H14)</f>
        <v>0</v>
      </c>
      <c r="L14" s="1541">
        <f ca="1">HYPERLINK("#'"&amp;$G$1&amp;"'!"&amp;ADDRESS(ROW(Notes!M42),COLUMN(Notes!M42),4),M42-I14)</f>
        <v>0</v>
      </c>
      <c r="M14" s="291"/>
      <c r="N14" s="355" t="s">
        <v>2781</v>
      </c>
      <c r="O14" s="291"/>
      <c r="P14" s="291"/>
      <c r="Q14" s="367"/>
      <c r="R14" s="367"/>
      <c r="S14" s="365" t="s">
        <v>2737</v>
      </c>
      <c r="Z14" s="609" t="s">
        <v>48</v>
      </c>
      <c r="AA14" s="609" t="s">
        <v>5649</v>
      </c>
    </row>
    <row r="15" spans="1:31" ht="18">
      <c r="A15" s="2714"/>
      <c r="B15" s="371">
        <v>103</v>
      </c>
      <c r="C15" s="371"/>
      <c r="D15" s="2716">
        <f t="shared" si="0"/>
        <v>1</v>
      </c>
      <c r="E15" s="2721">
        <v>1</v>
      </c>
      <c r="F15" s="294"/>
      <c r="G15" s="308" t="s">
        <v>85</v>
      </c>
      <c r="H15" s="309"/>
      <c r="I15" s="346"/>
      <c r="J15" s="291"/>
      <c r="K15" s="1541">
        <f ca="1">HYPERLINK("#'"&amp;$G$1&amp;"'!"&amp;ADDRESS(ROW(Notes!J56),COLUMN(Notes!J56),4),J56-H15)</f>
        <v>0</v>
      </c>
      <c r="L15" s="1541">
        <f ca="1">HYPERLINK("#'"&amp;$G$1&amp;"'!"&amp;ADDRESS(ROW(Notes!M56),COLUMN(Notes!M56),4),M56-I15)</f>
        <v>0</v>
      </c>
      <c r="M15" s="291"/>
      <c r="N15" s="2685"/>
      <c r="O15" s="291"/>
      <c r="P15" s="291"/>
      <c r="Q15" s="367"/>
      <c r="R15" s="367"/>
      <c r="S15" s="364" t="s">
        <v>2799</v>
      </c>
      <c r="Z15" s="609" t="s">
        <v>48</v>
      </c>
      <c r="AA15" s="609" t="s">
        <v>5649</v>
      </c>
    </row>
    <row r="16" spans="1:31" ht="18">
      <c r="A16" s="2714"/>
      <c r="B16" s="371">
        <v>104</v>
      </c>
      <c r="C16" s="371" t="s">
        <v>2791</v>
      </c>
      <c r="D16" s="2716">
        <f t="shared" si="0"/>
        <v>0</v>
      </c>
      <c r="E16" s="2721">
        <v>1</v>
      </c>
      <c r="F16" s="294"/>
      <c r="G16" s="1573" t="s">
        <v>2792</v>
      </c>
      <c r="H16" s="309"/>
      <c r="I16" s="346"/>
      <c r="J16" s="291"/>
      <c r="K16" s="456"/>
      <c r="L16" s="456"/>
      <c r="M16" s="291"/>
      <c r="N16" s="355"/>
      <c r="O16" s="291"/>
      <c r="P16" s="291"/>
      <c r="Q16" s="367"/>
      <c r="R16" s="367"/>
      <c r="S16" s="2727" t="s">
        <v>2805</v>
      </c>
      <c r="Z16" s="609" t="s">
        <v>48</v>
      </c>
      <c r="AA16" s="609" t="s">
        <v>5649</v>
      </c>
    </row>
    <row r="17" spans="1:27" ht="18.75" thickBot="1">
      <c r="A17" s="2714"/>
      <c r="B17" s="371"/>
      <c r="C17" s="371"/>
      <c r="D17" s="2716">
        <f t="shared" si="0"/>
        <v>1</v>
      </c>
      <c r="E17" s="2721" t="s">
        <v>2751</v>
      </c>
      <c r="F17" s="294"/>
      <c r="G17" s="374" t="s">
        <v>2752</v>
      </c>
      <c r="H17" s="1478">
        <f>SUMPRODUCT($E12:$E16,H12:H16)</f>
        <v>479304.95</v>
      </c>
      <c r="I17" s="1479">
        <f>SUMPRODUCT($E12:$E16,I12:I16)</f>
        <v>252723.84</v>
      </c>
      <c r="J17" s="291"/>
      <c r="K17" s="1531">
        <f t="shared" ref="K17:L17" ca="1" si="1">SUM(K13:K16)</f>
        <v>0</v>
      </c>
      <c r="L17" s="1531">
        <f t="shared" ca="1" si="1"/>
        <v>0</v>
      </c>
      <c r="M17" s="291"/>
      <c r="S17" s="364"/>
      <c r="Z17" s="609" t="s">
        <v>48</v>
      </c>
      <c r="AA17" s="609" t="s">
        <v>5649</v>
      </c>
    </row>
    <row r="18" spans="1:27" ht="24.75" thickBot="1">
      <c r="A18" s="2714"/>
      <c r="B18" s="371">
        <v>901</v>
      </c>
      <c r="C18" s="371"/>
      <c r="D18" s="371"/>
      <c r="E18" s="2716" t="s">
        <v>2753</v>
      </c>
      <c r="F18" s="294"/>
      <c r="G18" s="312" t="s">
        <v>2754</v>
      </c>
      <c r="H18" s="313"/>
      <c r="I18" s="348"/>
      <c r="J18" s="343"/>
      <c r="K18" s="317"/>
      <c r="L18" s="317"/>
      <c r="M18" s="291"/>
      <c r="N18" s="355"/>
      <c r="O18" s="291"/>
      <c r="P18" s="291"/>
      <c r="S18" s="2727" t="s">
        <v>2819</v>
      </c>
      <c r="Z18" s="609" t="s">
        <v>48</v>
      </c>
      <c r="AA18" s="609" t="s">
        <v>5649</v>
      </c>
    </row>
    <row r="19" spans="1:27" ht="18">
      <c r="A19" s="2714"/>
      <c r="B19" s="371"/>
      <c r="C19" s="371" t="s">
        <v>2755</v>
      </c>
      <c r="D19" s="371"/>
      <c r="F19" s="294"/>
      <c r="G19" s="314"/>
      <c r="H19" s="315" t="s">
        <v>3002</v>
      </c>
      <c r="I19" s="315" t="s">
        <v>3002</v>
      </c>
      <c r="J19" s="350"/>
      <c r="K19" s="1539" t="s">
        <v>5366</v>
      </c>
      <c r="L19" s="354"/>
      <c r="M19" s="291"/>
      <c r="N19" s="291"/>
      <c r="S19" s="364"/>
      <c r="Z19" s="609" t="s">
        <v>48</v>
      </c>
      <c r="AA19" s="609" t="s">
        <v>5649</v>
      </c>
    </row>
    <row r="20" spans="1:27" ht="18">
      <c r="A20" s="2714" t="s">
        <v>45</v>
      </c>
      <c r="B20" s="371">
        <v>2</v>
      </c>
      <c r="C20" s="371"/>
      <c r="D20" s="2716" t="str">
        <f>VLOOKUP($A20,Sheet_NoteList,2,0)</f>
        <v>货币资金按币种列示</v>
      </c>
      <c r="E20" s="2716" t="s">
        <v>6531</v>
      </c>
      <c r="F20" s="294"/>
      <c r="G20" s="307" t="str">
        <f>"("&amp;B20&amp;")"&amp;D20</f>
        <v>(2)货币资金按币种列示</v>
      </c>
      <c r="H20" s="1517" t="str">
        <f>$A20</f>
        <v>1015a</v>
      </c>
      <c r="I20" s="343" t="s">
        <v>5363</v>
      </c>
      <c r="J20" s="301" t="s">
        <v>5361</v>
      </c>
      <c r="K20" s="2210">
        <f>J57</f>
        <v>479304.95</v>
      </c>
      <c r="L20" s="345" t="str">
        <f>IF($I20="适用",IF(ROUND(K9-K20,2)=0,"F/S",ROUND(K9-K20,2)),"#N/A")</f>
        <v>F/S</v>
      </c>
      <c r="M20" s="301" t="s">
        <v>5362</v>
      </c>
      <c r="N20" s="2210">
        <f>M57</f>
        <v>252723.84</v>
      </c>
      <c r="O20" s="345" t="str">
        <f>IF($I20="适用",IF(ROUND(N9-N20,2)=0,"F/S",ROUND(N9-N20,2)),"#N/A")</f>
        <v>F/S</v>
      </c>
      <c r="P20" s="301"/>
      <c r="Q20" s="290" t="str">
        <f>IF($I20="不适用","",IF(ROUND(SUM($H$25:$M$57),2)=0,"请输入",""))</f>
        <v/>
      </c>
      <c r="S20" s="364"/>
      <c r="Z20" s="609" t="s">
        <v>48</v>
      </c>
      <c r="AA20" s="609" t="s">
        <v>5649</v>
      </c>
    </row>
    <row r="21" spans="1:27" ht="0.75" customHeight="1">
      <c r="A21" s="2714"/>
      <c r="B21" s="371"/>
      <c r="C21" s="371"/>
      <c r="D21" s="371"/>
      <c r="F21" s="371"/>
      <c r="G21" s="371" t="s">
        <v>2762</v>
      </c>
      <c r="H21" s="371" t="s">
        <v>2763</v>
      </c>
      <c r="I21" s="371" t="s">
        <v>2764</v>
      </c>
      <c r="J21" s="371" t="s">
        <v>2765</v>
      </c>
      <c r="K21" s="371" t="s">
        <v>2766</v>
      </c>
      <c r="L21" s="371" t="s">
        <v>2767</v>
      </c>
      <c r="M21" s="371" t="s">
        <v>2768</v>
      </c>
      <c r="N21" s="291"/>
      <c r="O21" s="291"/>
      <c r="P21" s="291"/>
      <c r="Q21" s="367"/>
      <c r="R21" s="367"/>
      <c r="S21" s="364"/>
      <c r="Z21" s="609" t="s">
        <v>48</v>
      </c>
      <c r="AA21" s="609" t="s">
        <v>5649</v>
      </c>
    </row>
    <row r="22" spans="1:27" ht="0.75" customHeight="1" thickBot="1">
      <c r="A22" s="2714"/>
      <c r="B22" s="371"/>
      <c r="C22" s="371"/>
      <c r="D22" s="371"/>
      <c r="F22" s="371"/>
      <c r="G22" s="371"/>
      <c r="H22" s="371" t="s">
        <v>2769</v>
      </c>
      <c r="I22" s="371" t="s">
        <v>2770</v>
      </c>
      <c r="J22" s="371" t="s">
        <v>2771</v>
      </c>
      <c r="K22" s="371" t="s">
        <v>2772</v>
      </c>
      <c r="L22" s="371" t="s">
        <v>2773</v>
      </c>
      <c r="M22" s="371" t="s">
        <v>2774</v>
      </c>
      <c r="N22" s="291"/>
      <c r="O22" s="291"/>
      <c r="P22" s="291"/>
      <c r="Q22" s="367"/>
      <c r="R22" s="367"/>
      <c r="S22" s="364"/>
      <c r="Z22" s="609" t="s">
        <v>48</v>
      </c>
      <c r="AA22" s="609" t="s">
        <v>5649</v>
      </c>
    </row>
    <row r="23" spans="1:27" ht="18">
      <c r="A23" s="2714"/>
      <c r="B23" s="371"/>
      <c r="C23" s="371"/>
      <c r="D23" s="371"/>
      <c r="E23" s="2716" t="s">
        <v>2749</v>
      </c>
      <c r="F23" s="294"/>
      <c r="G23" s="3516" t="s">
        <v>47</v>
      </c>
      <c r="H23" s="3531" t="str">
        <f>$V$2</f>
        <v>2019年12月31日</v>
      </c>
      <c r="I23" s="3532"/>
      <c r="J23" s="3516"/>
      <c r="K23" s="3531" t="str">
        <f>$V$3</f>
        <v>2018年12月31日</v>
      </c>
      <c r="L23" s="3532"/>
      <c r="M23" s="3532"/>
      <c r="N23" s="355" t="s">
        <v>5604</v>
      </c>
      <c r="O23" s="291"/>
      <c r="P23" s="291"/>
      <c r="Q23" s="367"/>
      <c r="R23" s="367"/>
      <c r="S23" s="364"/>
      <c r="Z23" s="609" t="s">
        <v>48</v>
      </c>
      <c r="AA23" s="609" t="s">
        <v>5649</v>
      </c>
    </row>
    <row r="24" spans="1:27" ht="18">
      <c r="A24" s="2714"/>
      <c r="B24" s="371"/>
      <c r="C24" s="371"/>
      <c r="D24" s="371"/>
      <c r="E24" s="2716" t="s">
        <v>2749</v>
      </c>
      <c r="F24" s="294"/>
      <c r="G24" s="3517"/>
      <c r="H24" s="1523" t="s">
        <v>2778</v>
      </c>
      <c r="I24" s="1523" t="s">
        <v>2779</v>
      </c>
      <c r="J24" s="1523" t="s">
        <v>2780</v>
      </c>
      <c r="K24" s="1523" t="s">
        <v>2778</v>
      </c>
      <c r="L24" s="1523" t="s">
        <v>2779</v>
      </c>
      <c r="M24" s="1524" t="s">
        <v>2780</v>
      </c>
      <c r="N24" s="355" t="s">
        <v>5364</v>
      </c>
      <c r="O24" s="1522" t="s">
        <v>5365</v>
      </c>
      <c r="P24" s="291"/>
      <c r="Q24" s="367"/>
      <c r="R24" s="367"/>
      <c r="S24" s="364"/>
      <c r="Z24" s="609" t="s">
        <v>48</v>
      </c>
      <c r="AA24" s="609" t="s">
        <v>5649</v>
      </c>
    </row>
    <row r="25" spans="1:27" ht="18">
      <c r="A25" s="2714"/>
      <c r="B25" s="371">
        <v>101</v>
      </c>
      <c r="C25" s="371"/>
      <c r="D25" s="2716">
        <f t="shared" ref="D25:D57" si="2">IF(OR(G25="*",G25="",G25=0),0,COUNTIF($G$25:$G$57,G25))</f>
        <v>1</v>
      </c>
      <c r="E25" s="2721" t="s">
        <v>41</v>
      </c>
      <c r="F25" s="294"/>
      <c r="G25" s="308" t="s">
        <v>2782</v>
      </c>
      <c r="H25" s="309"/>
      <c r="I25" s="360" t="s">
        <v>2783</v>
      </c>
      <c r="J25" s="309"/>
      <c r="K25" s="309"/>
      <c r="L25" s="360"/>
      <c r="M25" s="346"/>
      <c r="N25" s="355" t="s">
        <v>6176</v>
      </c>
      <c r="O25" s="291"/>
      <c r="P25" s="291"/>
      <c r="Q25" s="367"/>
      <c r="R25" s="367"/>
      <c r="S25" s="2727" t="s">
        <v>6176</v>
      </c>
      <c r="Z25" s="609" t="s">
        <v>48</v>
      </c>
      <c r="AA25" s="609" t="s">
        <v>5649</v>
      </c>
    </row>
    <row r="26" spans="1:27" ht="18">
      <c r="A26" s="2714"/>
      <c r="B26" s="371">
        <v>101.001</v>
      </c>
      <c r="C26" s="371"/>
      <c r="D26" s="2716">
        <f t="shared" si="2"/>
        <v>1</v>
      </c>
      <c r="E26" s="2721" t="s">
        <v>2784</v>
      </c>
      <c r="F26" s="294"/>
      <c r="G26" s="308" t="s">
        <v>2785</v>
      </c>
      <c r="H26" s="309"/>
      <c r="I26" s="360"/>
      <c r="J26" s="309">
        <v>2205.96</v>
      </c>
      <c r="K26" s="309"/>
      <c r="L26" s="360"/>
      <c r="M26" s="346">
        <v>2412.5700000000002</v>
      </c>
      <c r="O26" s="291"/>
      <c r="P26" s="291"/>
      <c r="Q26" s="367"/>
      <c r="R26" s="367"/>
      <c r="S26" s="364"/>
      <c r="Z26" s="609" t="s">
        <v>48</v>
      </c>
      <c r="AA26" s="609" t="s">
        <v>5649</v>
      </c>
    </row>
    <row r="27" spans="1:27" ht="18">
      <c r="A27" s="2714"/>
      <c r="B27" s="371">
        <v>101.002</v>
      </c>
      <c r="C27" s="371"/>
      <c r="D27" s="2716">
        <f t="shared" si="2"/>
        <v>1</v>
      </c>
      <c r="E27" s="2721" t="s">
        <v>2784</v>
      </c>
      <c r="F27" s="294"/>
      <c r="G27" s="308" t="s">
        <v>2786</v>
      </c>
      <c r="H27" s="309"/>
      <c r="I27" s="360"/>
      <c r="J27" s="309"/>
      <c r="K27" s="309"/>
      <c r="L27" s="360"/>
      <c r="M27" s="346"/>
      <c r="N27" s="291"/>
      <c r="O27" s="291"/>
      <c r="P27" s="291"/>
      <c r="Q27" s="367"/>
      <c r="R27" s="367"/>
      <c r="S27" s="364"/>
      <c r="Z27" s="609" t="s">
        <v>48</v>
      </c>
      <c r="AA27" s="609" t="s">
        <v>5649</v>
      </c>
    </row>
    <row r="28" spans="1:27" ht="18">
      <c r="A28" s="2714"/>
      <c r="B28" s="371">
        <v>101.003</v>
      </c>
      <c r="C28" s="371"/>
      <c r="D28" s="2716">
        <f t="shared" si="2"/>
        <v>1</v>
      </c>
      <c r="E28" s="2721" t="s">
        <v>2784</v>
      </c>
      <c r="F28" s="294"/>
      <c r="G28" s="308" t="s">
        <v>2787</v>
      </c>
      <c r="H28" s="309"/>
      <c r="I28" s="360"/>
      <c r="J28" s="309"/>
      <c r="K28" s="309"/>
      <c r="L28" s="360"/>
      <c r="M28" s="346"/>
      <c r="N28" s="291"/>
      <c r="O28" s="291"/>
      <c r="P28" s="291"/>
      <c r="Q28" s="367"/>
      <c r="R28" s="367"/>
      <c r="S28" s="364"/>
      <c r="Z28" s="609" t="s">
        <v>48</v>
      </c>
      <c r="AA28" s="609" t="s">
        <v>5649</v>
      </c>
    </row>
    <row r="29" spans="1:27" ht="18">
      <c r="A29" s="2714"/>
      <c r="B29" s="371">
        <v>101.004</v>
      </c>
      <c r="C29" s="371"/>
      <c r="D29" s="2716">
        <f t="shared" si="2"/>
        <v>1</v>
      </c>
      <c r="E29" s="2721" t="s">
        <v>2784</v>
      </c>
      <c r="F29" s="294"/>
      <c r="G29" s="308" t="s">
        <v>2788</v>
      </c>
      <c r="H29" s="309"/>
      <c r="I29" s="360"/>
      <c r="J29" s="309"/>
      <c r="K29" s="309"/>
      <c r="L29" s="360"/>
      <c r="M29" s="346"/>
      <c r="N29" s="291"/>
      <c r="O29" s="291"/>
      <c r="P29" s="291"/>
      <c r="Q29" s="367"/>
      <c r="R29" s="367"/>
      <c r="S29" s="364"/>
      <c r="Z29" s="609" t="s">
        <v>48</v>
      </c>
      <c r="AA29" s="609" t="s">
        <v>5649</v>
      </c>
    </row>
    <row r="30" spans="1:27" ht="18">
      <c r="A30" s="2714"/>
      <c r="B30" s="371">
        <v>101.005</v>
      </c>
      <c r="C30" s="371"/>
      <c r="D30" s="2716">
        <f t="shared" si="2"/>
        <v>1</v>
      </c>
      <c r="E30" s="2721" t="s">
        <v>2784</v>
      </c>
      <c r="F30" s="294"/>
      <c r="G30" s="308" t="s">
        <v>2789</v>
      </c>
      <c r="H30" s="309"/>
      <c r="I30" s="360"/>
      <c r="J30" s="309"/>
      <c r="K30" s="309"/>
      <c r="L30" s="360"/>
      <c r="M30" s="346"/>
      <c r="N30" s="291"/>
      <c r="O30" s="291"/>
      <c r="P30" s="291"/>
      <c r="Q30" s="367"/>
      <c r="R30" s="367"/>
      <c r="S30" s="364"/>
      <c r="Z30" s="609" t="s">
        <v>48</v>
      </c>
      <c r="AA30" s="609" t="s">
        <v>5649</v>
      </c>
    </row>
    <row r="31" spans="1:27" ht="18">
      <c r="A31" s="2714"/>
      <c r="B31" s="371">
        <v>101.006</v>
      </c>
      <c r="C31" s="371"/>
      <c r="D31" s="2716">
        <f t="shared" si="2"/>
        <v>1</v>
      </c>
      <c r="E31" s="2721" t="s">
        <v>2784</v>
      </c>
      <c r="F31" s="294"/>
      <c r="G31" s="308" t="s">
        <v>2790</v>
      </c>
      <c r="H31" s="309"/>
      <c r="I31" s="360"/>
      <c r="J31" s="309"/>
      <c r="K31" s="309"/>
      <c r="L31" s="360"/>
      <c r="M31" s="346"/>
      <c r="N31" s="291"/>
      <c r="O31" s="291"/>
      <c r="P31" s="291"/>
      <c r="Q31" s="367"/>
      <c r="R31" s="367"/>
      <c r="S31" s="364"/>
      <c r="Z31" s="609" t="s">
        <v>48</v>
      </c>
      <c r="AA31" s="609" t="s">
        <v>5649</v>
      </c>
    </row>
    <row r="32" spans="1:27" ht="18">
      <c r="A32" s="2714"/>
      <c r="B32" s="371">
        <v>101.00700000000001</v>
      </c>
      <c r="C32" s="371" t="s">
        <v>2791</v>
      </c>
      <c r="D32" s="2716">
        <f t="shared" si="2"/>
        <v>0</v>
      </c>
      <c r="E32" s="2721" t="s">
        <v>2784</v>
      </c>
      <c r="F32" s="294"/>
      <c r="G32" s="1520" t="s">
        <v>2792</v>
      </c>
      <c r="H32" s="309"/>
      <c r="I32" s="360"/>
      <c r="J32" s="309"/>
      <c r="K32" s="309"/>
      <c r="L32" s="360"/>
      <c r="M32" s="346"/>
      <c r="O32" s="291"/>
      <c r="P32" s="291"/>
      <c r="Q32" s="367"/>
      <c r="R32" s="367"/>
      <c r="S32" s="364"/>
      <c r="Z32" s="609" t="s">
        <v>48</v>
      </c>
      <c r="AA32" s="609" t="s">
        <v>5649</v>
      </c>
    </row>
    <row r="33" spans="1:29" ht="18">
      <c r="A33" s="2714"/>
      <c r="B33" s="371">
        <v>101.999</v>
      </c>
      <c r="C33" s="371" t="s">
        <v>2793</v>
      </c>
      <c r="D33" s="2716">
        <f t="shared" si="2"/>
        <v>1</v>
      </c>
      <c r="E33" s="2721">
        <v>1</v>
      </c>
      <c r="F33" s="294"/>
      <c r="G33" s="308" t="s">
        <v>2784</v>
      </c>
      <c r="H33" s="320"/>
      <c r="I33" s="360"/>
      <c r="J33" s="1476">
        <f>SUMIF($E$25:$E$57,$G33,J$25:J$57)</f>
        <v>2205.96</v>
      </c>
      <c r="K33" s="320"/>
      <c r="L33" s="360"/>
      <c r="M33" s="1477">
        <f>SUMIF($E$25:$E$57,$G33,M$25:M$57)</f>
        <v>2412.5700000000002</v>
      </c>
      <c r="N33" s="1534" t="str">
        <f ca="1">HYPERLINK("#'"&amp;$G$1&amp;"'!"&amp;ADDRESS(ROW(Notes!K13),COLUMN(Notes!K13),4),"* 请勿删除此行！点击往勾稽单元格，F5+Enter返回")</f>
        <v>* 请勿删除此行！点击往勾稽单元格，F5+Enter返回</v>
      </c>
      <c r="O33" s="291"/>
      <c r="P33" s="291"/>
      <c r="Q33" s="367"/>
      <c r="R33" s="367"/>
      <c r="S33" s="364"/>
      <c r="Z33" s="609" t="s">
        <v>48</v>
      </c>
      <c r="AA33" s="609" t="s">
        <v>5649</v>
      </c>
      <c r="AC33" s="369" t="s">
        <v>6573</v>
      </c>
    </row>
    <row r="34" spans="1:29" ht="18">
      <c r="A34" s="2714"/>
      <c r="B34" s="371">
        <v>102</v>
      </c>
      <c r="C34" s="371"/>
      <c r="D34" s="2716">
        <f t="shared" si="2"/>
        <v>1</v>
      </c>
      <c r="E34" s="2721" t="s">
        <v>41</v>
      </c>
      <c r="F34" s="294"/>
      <c r="G34" s="308" t="s">
        <v>2795</v>
      </c>
      <c r="H34" s="309" t="s">
        <v>2783</v>
      </c>
      <c r="I34" s="360" t="s">
        <v>2783</v>
      </c>
      <c r="J34" s="309"/>
      <c r="K34" s="309"/>
      <c r="L34" s="360"/>
      <c r="M34" s="346"/>
      <c r="N34" s="355" t="s">
        <v>2796</v>
      </c>
      <c r="O34" s="291"/>
      <c r="P34" s="291"/>
      <c r="Q34" s="367"/>
      <c r="R34" s="367"/>
      <c r="S34" s="364"/>
      <c r="Z34" s="609" t="s">
        <v>48</v>
      </c>
      <c r="AA34" s="609" t="s">
        <v>5649</v>
      </c>
    </row>
    <row r="35" spans="1:29" ht="18">
      <c r="A35" s="2714"/>
      <c r="B35" s="371">
        <v>102.001</v>
      </c>
      <c r="C35" s="371"/>
      <c r="D35" s="2716">
        <f t="shared" si="2"/>
        <v>1</v>
      </c>
      <c r="E35" s="2721" t="s">
        <v>2797</v>
      </c>
      <c r="F35" s="294"/>
      <c r="G35" s="308" t="s">
        <v>2798</v>
      </c>
      <c r="H35" s="309"/>
      <c r="I35" s="360"/>
      <c r="J35" s="309">
        <v>477098.99</v>
      </c>
      <c r="K35" s="309"/>
      <c r="L35" s="360"/>
      <c r="M35" s="346">
        <v>250311.27</v>
      </c>
      <c r="N35" s="355" t="s">
        <v>2799</v>
      </c>
      <c r="O35" s="291"/>
      <c r="P35" s="291"/>
      <c r="Q35" s="367"/>
      <c r="R35" s="367"/>
      <c r="S35" s="364"/>
      <c r="Z35" s="609" t="s">
        <v>48</v>
      </c>
      <c r="AA35" s="609" t="s">
        <v>5649</v>
      </c>
    </row>
    <row r="36" spans="1:29" ht="18">
      <c r="A36" s="2714"/>
      <c r="B36" s="371">
        <v>102.002</v>
      </c>
      <c r="C36" s="371"/>
      <c r="D36" s="2716">
        <f t="shared" si="2"/>
        <v>1</v>
      </c>
      <c r="E36" s="2721" t="s">
        <v>2797</v>
      </c>
      <c r="F36" s="294"/>
      <c r="G36" s="308" t="s">
        <v>2800</v>
      </c>
      <c r="H36" s="309"/>
      <c r="I36" s="360"/>
      <c r="J36" s="309"/>
      <c r="K36" s="309"/>
      <c r="L36" s="360"/>
      <c r="M36" s="346"/>
      <c r="N36" s="291"/>
      <c r="O36" s="291"/>
      <c r="P36" s="291"/>
      <c r="Q36" s="367"/>
      <c r="R36" s="367"/>
      <c r="S36" s="364"/>
      <c r="Z36" s="609" t="s">
        <v>48</v>
      </c>
      <c r="AA36" s="609" t="s">
        <v>5649</v>
      </c>
    </row>
    <row r="37" spans="1:29" ht="18">
      <c r="A37" s="2714"/>
      <c r="B37" s="371">
        <v>102.003</v>
      </c>
      <c r="C37" s="371"/>
      <c r="D37" s="2716">
        <f t="shared" si="2"/>
        <v>1</v>
      </c>
      <c r="E37" s="2721" t="s">
        <v>2797</v>
      </c>
      <c r="F37" s="294"/>
      <c r="G37" s="308" t="s">
        <v>2801</v>
      </c>
      <c r="H37" s="309"/>
      <c r="I37" s="360"/>
      <c r="J37" s="309"/>
      <c r="K37" s="309"/>
      <c r="L37" s="360"/>
      <c r="M37" s="346"/>
      <c r="N37" s="291"/>
      <c r="O37" s="291"/>
      <c r="P37" s="291"/>
      <c r="Q37" s="367"/>
      <c r="R37" s="367"/>
      <c r="S37" s="364"/>
      <c r="Z37" s="609" t="s">
        <v>48</v>
      </c>
      <c r="AA37" s="609" t="s">
        <v>5649</v>
      </c>
    </row>
    <row r="38" spans="1:29" ht="18">
      <c r="A38" s="2714"/>
      <c r="B38" s="371">
        <v>102.004</v>
      </c>
      <c r="C38" s="371"/>
      <c r="D38" s="2716">
        <f t="shared" si="2"/>
        <v>1</v>
      </c>
      <c r="E38" s="2721" t="s">
        <v>2797</v>
      </c>
      <c r="F38" s="294"/>
      <c r="G38" s="308" t="s">
        <v>2802</v>
      </c>
      <c r="H38" s="309"/>
      <c r="I38" s="360"/>
      <c r="J38" s="309"/>
      <c r="K38" s="309"/>
      <c r="L38" s="360"/>
      <c r="M38" s="346"/>
      <c r="N38" s="291"/>
      <c r="O38" s="291"/>
      <c r="P38" s="291"/>
      <c r="Q38" s="367"/>
      <c r="R38" s="367"/>
      <c r="S38" s="364"/>
      <c r="Z38" s="609" t="s">
        <v>48</v>
      </c>
      <c r="AA38" s="609" t="s">
        <v>5649</v>
      </c>
    </row>
    <row r="39" spans="1:29" ht="18">
      <c r="A39" s="2714"/>
      <c r="B39" s="371">
        <v>102.005</v>
      </c>
      <c r="C39" s="371"/>
      <c r="D39" s="2716">
        <f t="shared" si="2"/>
        <v>1</v>
      </c>
      <c r="E39" s="2721" t="s">
        <v>2797</v>
      </c>
      <c r="F39" s="294"/>
      <c r="G39" s="308" t="s">
        <v>2803</v>
      </c>
      <c r="H39" s="309"/>
      <c r="I39" s="360"/>
      <c r="J39" s="309"/>
      <c r="K39" s="309"/>
      <c r="L39" s="360"/>
      <c r="M39" s="346"/>
      <c r="N39" s="291"/>
      <c r="O39" s="291"/>
      <c r="P39" s="291"/>
      <c r="Q39" s="367"/>
      <c r="R39" s="367"/>
      <c r="S39" s="364"/>
      <c r="Z39" s="609" t="s">
        <v>48</v>
      </c>
      <c r="AA39" s="609" t="s">
        <v>5649</v>
      </c>
    </row>
    <row r="40" spans="1:29" ht="18">
      <c r="A40" s="2714"/>
      <c r="B40" s="371">
        <v>102.006</v>
      </c>
      <c r="C40" s="371"/>
      <c r="D40" s="2716">
        <f t="shared" si="2"/>
        <v>1</v>
      </c>
      <c r="E40" s="2721" t="s">
        <v>2797</v>
      </c>
      <c r="F40" s="294"/>
      <c r="G40" s="308" t="s">
        <v>2804</v>
      </c>
      <c r="H40" s="309"/>
      <c r="I40" s="360"/>
      <c r="J40" s="309"/>
      <c r="K40" s="309"/>
      <c r="L40" s="360"/>
      <c r="M40" s="346"/>
      <c r="N40" s="291"/>
      <c r="O40" s="291"/>
      <c r="P40" s="291"/>
      <c r="Q40" s="367"/>
      <c r="R40" s="367"/>
      <c r="S40" s="364"/>
      <c r="Z40" s="609" t="s">
        <v>48</v>
      </c>
      <c r="AA40" s="609" t="s">
        <v>5649</v>
      </c>
    </row>
    <row r="41" spans="1:29" ht="18">
      <c r="A41" s="2714"/>
      <c r="B41" s="371">
        <v>102.00700000000001</v>
      </c>
      <c r="C41" s="371" t="s">
        <v>2791</v>
      </c>
      <c r="D41" s="2716">
        <f t="shared" si="2"/>
        <v>0</v>
      </c>
      <c r="E41" s="2721" t="s">
        <v>2797</v>
      </c>
      <c r="F41" s="294"/>
      <c r="G41" s="1520" t="s">
        <v>2792</v>
      </c>
      <c r="H41" s="309"/>
      <c r="I41" s="360"/>
      <c r="J41" s="309"/>
      <c r="K41" s="309"/>
      <c r="L41" s="360"/>
      <c r="M41" s="346"/>
      <c r="N41" s="355" t="s">
        <v>2805</v>
      </c>
      <c r="O41" s="291"/>
      <c r="P41" s="291"/>
      <c r="Q41" s="367"/>
      <c r="R41" s="367"/>
      <c r="S41" s="364"/>
      <c r="Z41" s="609" t="s">
        <v>48</v>
      </c>
      <c r="AA41" s="609" t="s">
        <v>5649</v>
      </c>
    </row>
    <row r="42" spans="1:29" ht="18">
      <c r="A42" s="2714"/>
      <c r="B42" s="371">
        <v>102.999</v>
      </c>
      <c r="C42" s="371" t="s">
        <v>2793</v>
      </c>
      <c r="D42" s="2716">
        <f t="shared" si="2"/>
        <v>1</v>
      </c>
      <c r="E42" s="2721">
        <v>1</v>
      </c>
      <c r="F42" s="294"/>
      <c r="G42" s="308" t="s">
        <v>2797</v>
      </c>
      <c r="H42" s="320"/>
      <c r="I42" s="360"/>
      <c r="J42" s="1476">
        <f>SUMIF($E$25:$E$57,$G42,J$25:J$57)</f>
        <v>477098.99</v>
      </c>
      <c r="K42" s="320"/>
      <c r="L42" s="360"/>
      <c r="M42" s="1477">
        <f>SUMIF($E$25:$E$57,$G42,M$25:M$57)</f>
        <v>250311.27</v>
      </c>
      <c r="N42" s="1533" t="str">
        <f ca="1">HYPERLINK("#'"&amp;$G$1&amp;"'!"&amp;ADDRESS(ROW(Notes!K14),COLUMN(Notes!K14),4),"* 请勿删除此行！点击往勾稽单元格，F5+Enter返回")</f>
        <v>* 请勿删除此行！点击往勾稽单元格，F5+Enter返回</v>
      </c>
      <c r="O42" s="291"/>
      <c r="P42" s="291"/>
      <c r="Q42" s="367"/>
      <c r="R42" s="367"/>
      <c r="S42" s="364"/>
      <c r="Z42" s="609" t="s">
        <v>48</v>
      </c>
      <c r="AA42" s="609" t="s">
        <v>5649</v>
      </c>
      <c r="AC42" s="369" t="s">
        <v>6573</v>
      </c>
    </row>
    <row r="43" spans="1:29" ht="18">
      <c r="A43" s="2714"/>
      <c r="B43" s="371">
        <v>103</v>
      </c>
      <c r="C43" s="371"/>
      <c r="D43" s="2716">
        <f t="shared" si="2"/>
        <v>1</v>
      </c>
      <c r="E43" s="2721" t="s">
        <v>41</v>
      </c>
      <c r="F43" s="294"/>
      <c r="G43" s="308" t="s">
        <v>2806</v>
      </c>
      <c r="H43" s="320"/>
      <c r="I43" s="360"/>
      <c r="J43" s="320"/>
      <c r="K43" s="320"/>
      <c r="L43" s="360"/>
      <c r="M43" s="361"/>
      <c r="N43" s="291"/>
      <c r="O43" s="291"/>
      <c r="P43" s="291"/>
      <c r="Q43" s="367"/>
      <c r="R43" s="367"/>
      <c r="S43" s="364"/>
      <c r="Z43" s="609" t="s">
        <v>48</v>
      </c>
      <c r="AA43" s="609" t="s">
        <v>5649</v>
      </c>
    </row>
    <row r="44" spans="1:29" ht="18">
      <c r="A44" s="2714"/>
      <c r="B44" s="371">
        <v>103.001</v>
      </c>
      <c r="C44" s="371"/>
      <c r="D44" s="2716">
        <f t="shared" si="2"/>
        <v>1</v>
      </c>
      <c r="E44" s="2721" t="s">
        <v>2807</v>
      </c>
      <c r="F44" s="294"/>
      <c r="G44" s="308" t="s">
        <v>2808</v>
      </c>
      <c r="H44" s="320"/>
      <c r="I44" s="360"/>
      <c r="J44" s="320"/>
      <c r="K44" s="320"/>
      <c r="L44" s="360"/>
      <c r="M44" s="361"/>
      <c r="N44" s="291"/>
      <c r="O44" s="291"/>
      <c r="P44" s="291"/>
      <c r="Q44" s="367"/>
      <c r="R44" s="367"/>
      <c r="S44" s="364"/>
      <c r="Z44" s="609" t="s">
        <v>48</v>
      </c>
      <c r="AA44" s="609" t="s">
        <v>5649</v>
      </c>
    </row>
    <row r="45" spans="1:29" ht="18">
      <c r="A45" s="2714"/>
      <c r="B45" s="371">
        <v>103.002</v>
      </c>
      <c r="C45" s="371"/>
      <c r="D45" s="2716">
        <f t="shared" si="2"/>
        <v>1</v>
      </c>
      <c r="E45" s="2721" t="s">
        <v>2807</v>
      </c>
      <c r="F45" s="294"/>
      <c r="G45" s="308" t="s">
        <v>2809</v>
      </c>
      <c r="H45" s="320"/>
      <c r="I45" s="360"/>
      <c r="J45" s="320"/>
      <c r="K45" s="320"/>
      <c r="L45" s="360"/>
      <c r="M45" s="361"/>
      <c r="N45" s="291"/>
      <c r="O45" s="291"/>
      <c r="P45" s="291"/>
      <c r="Q45" s="367"/>
      <c r="R45" s="367"/>
      <c r="S45" s="364"/>
      <c r="Z45" s="609" t="s">
        <v>48</v>
      </c>
      <c r="AA45" s="609" t="s">
        <v>5649</v>
      </c>
    </row>
    <row r="46" spans="1:29" ht="18">
      <c r="A46" s="2714"/>
      <c r="B46" s="371">
        <v>103.003</v>
      </c>
      <c r="C46" s="371" t="s">
        <v>2791</v>
      </c>
      <c r="D46" s="2716">
        <f t="shared" si="2"/>
        <v>0</v>
      </c>
      <c r="E46" s="2721" t="s">
        <v>2807</v>
      </c>
      <c r="F46" s="294"/>
      <c r="G46" s="1520" t="s">
        <v>2792</v>
      </c>
      <c r="H46" s="320"/>
      <c r="I46" s="360"/>
      <c r="J46" s="320"/>
      <c r="K46" s="320"/>
      <c r="L46" s="360"/>
      <c r="M46" s="361"/>
      <c r="N46" s="291"/>
      <c r="O46" s="291"/>
      <c r="P46" s="291"/>
      <c r="Q46" s="367"/>
      <c r="R46" s="367"/>
      <c r="S46" s="364"/>
      <c r="Z46" s="609" t="s">
        <v>48</v>
      </c>
      <c r="AA46" s="609" t="s">
        <v>5649</v>
      </c>
    </row>
    <row r="47" spans="1:29" ht="18">
      <c r="A47" s="2714"/>
      <c r="B47" s="371">
        <v>103.999</v>
      </c>
      <c r="C47" s="371" t="s">
        <v>2793</v>
      </c>
      <c r="D47" s="2716">
        <f t="shared" si="2"/>
        <v>1</v>
      </c>
      <c r="E47" s="2721">
        <v>0</v>
      </c>
      <c r="F47" s="294"/>
      <c r="G47" s="308" t="s">
        <v>2807</v>
      </c>
      <c r="H47" s="320"/>
      <c r="I47" s="360"/>
      <c r="J47" s="1476">
        <f>SUMIF($E$25:$E$57,$G47,J$25:J$57)</f>
        <v>0</v>
      </c>
      <c r="K47" s="320"/>
      <c r="L47" s="360"/>
      <c r="M47" s="1477">
        <f>SUMIF($E$25:$E$57,$G47,M$25:M$57)</f>
        <v>0</v>
      </c>
      <c r="N47" s="355" t="s">
        <v>2810</v>
      </c>
      <c r="O47" s="291"/>
      <c r="P47" s="291"/>
      <c r="Q47" s="367"/>
      <c r="R47" s="367"/>
      <c r="S47" s="364"/>
      <c r="Z47" s="609" t="s">
        <v>48</v>
      </c>
      <c r="AA47" s="609" t="s">
        <v>5649</v>
      </c>
    </row>
    <row r="48" spans="1:29" ht="18">
      <c r="A48" s="2714"/>
      <c r="B48" s="371">
        <v>104</v>
      </c>
      <c r="C48" s="371"/>
      <c r="D48" s="2716">
        <f t="shared" si="2"/>
        <v>1</v>
      </c>
      <c r="E48" s="2721" t="s">
        <v>41</v>
      </c>
      <c r="F48" s="294"/>
      <c r="G48" s="308" t="s">
        <v>2811</v>
      </c>
      <c r="H48" s="309" t="s">
        <v>2783</v>
      </c>
      <c r="I48" s="360" t="s">
        <v>2783</v>
      </c>
      <c r="J48" s="309"/>
      <c r="K48" s="309"/>
      <c r="L48" s="360"/>
      <c r="M48" s="346"/>
      <c r="N48" s="291"/>
      <c r="O48" s="291"/>
      <c r="P48" s="291"/>
      <c r="Q48" s="367"/>
      <c r="R48" s="367"/>
      <c r="S48" s="364"/>
      <c r="Z48" s="609" t="s">
        <v>48</v>
      </c>
      <c r="AA48" s="609" t="s">
        <v>5649</v>
      </c>
    </row>
    <row r="49" spans="1:29" ht="18">
      <c r="A49" s="2714"/>
      <c r="B49" s="371">
        <v>104.001</v>
      </c>
      <c r="C49" s="371"/>
      <c r="D49" s="2716">
        <f t="shared" si="2"/>
        <v>1</v>
      </c>
      <c r="E49" s="2721" t="s">
        <v>2812</v>
      </c>
      <c r="F49" s="294"/>
      <c r="G49" s="308" t="s">
        <v>2813</v>
      </c>
      <c r="H49" s="309"/>
      <c r="I49" s="360"/>
      <c r="J49" s="309"/>
      <c r="K49" s="309"/>
      <c r="L49" s="360"/>
      <c r="M49" s="346"/>
      <c r="N49" s="291"/>
      <c r="O49" s="291"/>
      <c r="P49" s="291"/>
      <c r="Q49" s="367"/>
      <c r="R49" s="367"/>
      <c r="S49" s="364"/>
      <c r="Z49" s="609" t="s">
        <v>48</v>
      </c>
      <c r="AA49" s="609" t="s">
        <v>5649</v>
      </c>
    </row>
    <row r="50" spans="1:29" ht="18">
      <c r="A50" s="2714"/>
      <c r="B50" s="371">
        <v>104.002</v>
      </c>
      <c r="C50" s="371"/>
      <c r="D50" s="2716">
        <f t="shared" si="2"/>
        <v>1</v>
      </c>
      <c r="E50" s="2721" t="s">
        <v>2812</v>
      </c>
      <c r="F50" s="294"/>
      <c r="G50" s="308" t="s">
        <v>2814</v>
      </c>
      <c r="H50" s="309"/>
      <c r="I50" s="360"/>
      <c r="J50" s="309"/>
      <c r="K50" s="309"/>
      <c r="L50" s="360"/>
      <c r="M50" s="346"/>
      <c r="N50" s="291"/>
      <c r="O50" s="291"/>
      <c r="P50" s="291"/>
      <c r="Q50" s="367"/>
      <c r="R50" s="367"/>
      <c r="S50" s="364"/>
      <c r="Z50" s="609" t="s">
        <v>48</v>
      </c>
      <c r="AA50" s="609" t="s">
        <v>5649</v>
      </c>
    </row>
    <row r="51" spans="1:29" ht="18">
      <c r="A51" s="2714"/>
      <c r="B51" s="371">
        <v>104.003</v>
      </c>
      <c r="C51" s="371"/>
      <c r="D51" s="2716">
        <f t="shared" si="2"/>
        <v>1</v>
      </c>
      <c r="E51" s="2721" t="s">
        <v>2812</v>
      </c>
      <c r="F51" s="294"/>
      <c r="G51" s="308" t="s">
        <v>2815</v>
      </c>
      <c r="H51" s="309"/>
      <c r="I51" s="360"/>
      <c r="J51" s="309"/>
      <c r="K51" s="309"/>
      <c r="L51" s="360"/>
      <c r="M51" s="346"/>
      <c r="N51" s="291"/>
      <c r="O51" s="291"/>
      <c r="P51" s="291"/>
      <c r="Q51" s="367"/>
      <c r="R51" s="367"/>
      <c r="S51" s="364"/>
      <c r="Z51" s="609" t="s">
        <v>48</v>
      </c>
      <c r="AA51" s="609" t="s">
        <v>5649</v>
      </c>
    </row>
    <row r="52" spans="1:29" ht="18">
      <c r="A52" s="2714"/>
      <c r="B52" s="371">
        <v>104.004</v>
      </c>
      <c r="C52" s="371"/>
      <c r="D52" s="2716">
        <f t="shared" si="2"/>
        <v>1</v>
      </c>
      <c r="E52" s="2721" t="s">
        <v>2812</v>
      </c>
      <c r="F52" s="294"/>
      <c r="G52" s="308" t="s">
        <v>2816</v>
      </c>
      <c r="H52" s="309"/>
      <c r="I52" s="360"/>
      <c r="J52" s="309"/>
      <c r="K52" s="309"/>
      <c r="L52" s="360"/>
      <c r="M52" s="346"/>
      <c r="N52" s="291"/>
      <c r="O52" s="291"/>
      <c r="P52" s="291"/>
      <c r="Q52" s="367"/>
      <c r="R52" s="367"/>
      <c r="S52" s="364"/>
      <c r="Z52" s="609" t="s">
        <v>48</v>
      </c>
      <c r="AA52" s="609" t="s">
        <v>5649</v>
      </c>
    </row>
    <row r="53" spans="1:29" ht="18">
      <c r="A53" s="2714"/>
      <c r="B53" s="371">
        <v>104.005</v>
      </c>
      <c r="C53" s="371"/>
      <c r="D53" s="2716">
        <f t="shared" si="2"/>
        <v>1</v>
      </c>
      <c r="E53" s="2721" t="s">
        <v>2812</v>
      </c>
      <c r="F53" s="294"/>
      <c r="G53" s="308" t="s">
        <v>2817</v>
      </c>
      <c r="H53" s="309"/>
      <c r="I53" s="360"/>
      <c r="J53" s="309"/>
      <c r="K53" s="309"/>
      <c r="L53" s="360"/>
      <c r="M53" s="346"/>
      <c r="N53" s="291"/>
      <c r="O53" s="291"/>
      <c r="P53" s="291"/>
      <c r="Q53" s="367"/>
      <c r="R53" s="367"/>
      <c r="S53" s="364"/>
      <c r="Z53" s="609" t="s">
        <v>48</v>
      </c>
      <c r="AA53" s="609" t="s">
        <v>5649</v>
      </c>
    </row>
    <row r="54" spans="1:29" ht="18">
      <c r="A54" s="2714"/>
      <c r="B54" s="371">
        <v>104.006</v>
      </c>
      <c r="C54" s="371"/>
      <c r="D54" s="2716">
        <f t="shared" si="2"/>
        <v>1</v>
      </c>
      <c r="E54" s="2721" t="s">
        <v>2812</v>
      </c>
      <c r="F54" s="294"/>
      <c r="G54" s="308" t="s">
        <v>2818</v>
      </c>
      <c r="H54" s="309"/>
      <c r="I54" s="360"/>
      <c r="J54" s="309"/>
      <c r="K54" s="309"/>
      <c r="L54" s="360"/>
      <c r="M54" s="346"/>
      <c r="N54" s="291"/>
      <c r="O54" s="291"/>
      <c r="P54" s="291"/>
      <c r="Q54" s="367"/>
      <c r="R54" s="367"/>
      <c r="S54" s="364"/>
      <c r="Z54" s="609" t="s">
        <v>48</v>
      </c>
      <c r="AA54" s="609" t="s">
        <v>5649</v>
      </c>
    </row>
    <row r="55" spans="1:29" ht="18">
      <c r="A55" s="2714"/>
      <c r="B55" s="371">
        <v>104.00700000000001</v>
      </c>
      <c r="C55" s="371" t="s">
        <v>2791</v>
      </c>
      <c r="D55" s="2716">
        <f t="shared" si="2"/>
        <v>0</v>
      </c>
      <c r="E55" s="2721" t="s">
        <v>2812</v>
      </c>
      <c r="F55" s="294"/>
      <c r="G55" s="1520" t="s">
        <v>2792</v>
      </c>
      <c r="H55" s="309"/>
      <c r="I55" s="360"/>
      <c r="J55" s="309"/>
      <c r="K55" s="309"/>
      <c r="L55" s="360"/>
      <c r="M55" s="346"/>
      <c r="N55" s="291"/>
      <c r="O55" s="291"/>
      <c r="P55" s="291"/>
      <c r="Q55" s="367"/>
      <c r="R55" s="367"/>
      <c r="S55" s="364"/>
      <c r="Z55" s="609" t="s">
        <v>48</v>
      </c>
      <c r="AA55" s="609" t="s">
        <v>5649</v>
      </c>
    </row>
    <row r="56" spans="1:29" ht="18">
      <c r="A56" s="2714"/>
      <c r="B56" s="371">
        <v>104.999</v>
      </c>
      <c r="C56" s="371" t="s">
        <v>2793</v>
      </c>
      <c r="D56" s="2716">
        <f t="shared" si="2"/>
        <v>1</v>
      </c>
      <c r="E56" s="2721">
        <v>1</v>
      </c>
      <c r="F56" s="294"/>
      <c r="G56" s="308" t="s">
        <v>2812</v>
      </c>
      <c r="H56" s="320"/>
      <c r="I56" s="360"/>
      <c r="J56" s="1476">
        <f>SUMIF($E$25:$E$57,$G56,J$25:J$57)</f>
        <v>0</v>
      </c>
      <c r="K56" s="320"/>
      <c r="L56" s="360"/>
      <c r="M56" s="1477">
        <f>SUMIF($E$25:$E$57,$G56,M$25:M$57)</f>
        <v>0</v>
      </c>
      <c r="N56" s="1533" t="str">
        <f ca="1">HYPERLINK("#'"&amp;$G$1&amp;"'!"&amp;ADDRESS(ROW(Notes!K15),COLUMN(Notes!K15),4),"* 请勿删除此行！点击往勾稽单元格，F5+Enter返回")</f>
        <v>* 请勿删除此行！点击往勾稽单元格，F5+Enter返回</v>
      </c>
      <c r="O56" s="291"/>
      <c r="P56" s="291"/>
      <c r="Q56" s="367"/>
      <c r="R56" s="367"/>
      <c r="S56" s="364"/>
      <c r="Z56" s="609" t="s">
        <v>48</v>
      </c>
      <c r="AA56" s="609" t="s">
        <v>5649</v>
      </c>
      <c r="AC56" s="369" t="s">
        <v>6573</v>
      </c>
    </row>
    <row r="57" spans="1:29" ht="18.75" thickBot="1">
      <c r="A57" s="2714"/>
      <c r="B57" s="371"/>
      <c r="C57" s="371"/>
      <c r="D57" s="2716">
        <f t="shared" si="2"/>
        <v>1</v>
      </c>
      <c r="E57" s="2721" t="s">
        <v>2751</v>
      </c>
      <c r="F57" s="294"/>
      <c r="G57" s="1529" t="s">
        <v>2752</v>
      </c>
      <c r="H57" s="1525"/>
      <c r="I57" s="1526" t="s">
        <v>2783</v>
      </c>
      <c r="J57" s="1527">
        <f>SUMPRODUCT($E24:$E56,J24:J56)</f>
        <v>479304.95</v>
      </c>
      <c r="K57" s="1525"/>
      <c r="L57" s="1526"/>
      <c r="M57" s="1528">
        <f>SUMPRODUCT($E24:$E56,M24:M56)</f>
        <v>252723.84</v>
      </c>
      <c r="N57" s="291"/>
      <c r="O57" s="291"/>
      <c r="P57" s="291"/>
      <c r="Q57" s="367"/>
      <c r="R57" s="367"/>
      <c r="S57" s="364"/>
      <c r="Z57" s="609" t="s">
        <v>48</v>
      </c>
      <c r="AA57" s="609" t="s">
        <v>5649</v>
      </c>
    </row>
    <row r="58" spans="1:29" ht="18">
      <c r="A58" s="2714"/>
      <c r="B58" s="371"/>
      <c r="C58" s="371" t="s">
        <v>2755</v>
      </c>
      <c r="D58" s="371"/>
      <c r="F58" s="294"/>
      <c r="G58" s="314"/>
      <c r="H58" s="315"/>
      <c r="I58" s="393"/>
      <c r="J58" s="315"/>
      <c r="K58" s="315"/>
      <c r="L58" s="393"/>
      <c r="M58" s="315"/>
      <c r="N58" s="291"/>
      <c r="O58" s="291"/>
      <c r="P58" s="291"/>
      <c r="Q58" s="367"/>
      <c r="R58" s="367"/>
      <c r="S58" s="364"/>
      <c r="Z58" s="609" t="s">
        <v>48</v>
      </c>
      <c r="AA58" s="609" t="s">
        <v>5649</v>
      </c>
    </row>
    <row r="59" spans="1:29" ht="18">
      <c r="A59" s="2714" t="s">
        <v>88</v>
      </c>
      <c r="B59" s="371">
        <v>3</v>
      </c>
      <c r="C59" s="371"/>
      <c r="D59" s="2716" t="str">
        <f>VLOOKUP($A59,Sheet_NoteList,2,0)</f>
        <v>有回收风险的货币资金</v>
      </c>
      <c r="E59" s="2716" t="s">
        <v>6531</v>
      </c>
      <c r="F59" s="294"/>
      <c r="G59" s="307" t="str">
        <f>"("&amp;B59&amp;")"&amp;D59</f>
        <v>(3)有回收风险的货币资金</v>
      </c>
      <c r="H59" s="1517" t="str">
        <f>$A59</f>
        <v>1015c</v>
      </c>
      <c r="I59" s="343" t="s">
        <v>5571</v>
      </c>
      <c r="J59" s="301" t="s">
        <v>5570</v>
      </c>
      <c r="K59" s="2210">
        <f>H67</f>
        <v>0</v>
      </c>
      <c r="L59" s="345"/>
      <c r="M59" s="301"/>
      <c r="N59" s="391"/>
      <c r="O59" s="345" t="str">
        <f>IF($I59="适用",IF(ROUND(N9-N59,2)&gt;=0,"","#Logical!"),"#N/A")</f>
        <v/>
      </c>
      <c r="P59" s="301"/>
      <c r="S59" s="364"/>
      <c r="Z59" s="609" t="s">
        <v>48</v>
      </c>
      <c r="AA59" s="609" t="s">
        <v>5649</v>
      </c>
    </row>
    <row r="60" spans="1:29" ht="0.75" customHeight="1" thickBot="1">
      <c r="A60" s="2714"/>
      <c r="B60" s="371">
        <v>0.02</v>
      </c>
      <c r="C60" s="371"/>
      <c r="D60" s="371"/>
      <c r="F60" s="304"/>
      <c r="G60" s="304" t="s">
        <v>2820</v>
      </c>
      <c r="H60" s="304" t="s">
        <v>2747</v>
      </c>
      <c r="I60" s="304" t="s">
        <v>2821</v>
      </c>
      <c r="J60" s="387"/>
      <c r="K60" s="291"/>
      <c r="L60" s="291"/>
      <c r="M60" s="291"/>
      <c r="N60" s="291"/>
      <c r="S60" s="364"/>
      <c r="Z60" s="609" t="s">
        <v>48</v>
      </c>
      <c r="AA60" s="609" t="s">
        <v>5649</v>
      </c>
    </row>
    <row r="61" spans="1:29" ht="18">
      <c r="A61" s="2714"/>
      <c r="B61" s="371"/>
      <c r="C61" s="371"/>
      <c r="D61" s="371"/>
      <c r="E61" s="2716" t="s">
        <v>2749</v>
      </c>
      <c r="F61" s="294"/>
      <c r="G61" s="1621" t="s">
        <v>47</v>
      </c>
      <c r="H61" s="1619" t="str">
        <f>$V$2</f>
        <v>2019年12月31日</v>
      </c>
      <c r="I61" s="1620" t="s">
        <v>2508</v>
      </c>
      <c r="J61" s="355" t="s">
        <v>6176</v>
      </c>
      <c r="K61" s="291"/>
      <c r="L61" s="291"/>
      <c r="M61" s="291"/>
      <c r="N61" s="291"/>
      <c r="S61" s="364"/>
      <c r="Z61" s="609" t="s">
        <v>48</v>
      </c>
      <c r="AA61" s="609" t="s">
        <v>5649</v>
      </c>
    </row>
    <row r="62" spans="1:29" ht="18">
      <c r="A62" s="2714"/>
      <c r="B62" s="371">
        <v>101</v>
      </c>
      <c r="C62" s="371"/>
      <c r="D62" s="2716">
        <f t="shared" ref="D62:D67" si="3">IF(OR(G62="*",G62="",G62=0),0,COUNTIF($G$62:$G$67,G62))</f>
        <v>1</v>
      </c>
      <c r="E62" s="2721">
        <v>1</v>
      </c>
      <c r="F62" s="294"/>
      <c r="G62" s="308" t="s">
        <v>2822</v>
      </c>
      <c r="H62" s="309"/>
      <c r="I62" s="388"/>
      <c r="J62" s="387"/>
      <c r="K62" s="291"/>
      <c r="L62" s="291"/>
      <c r="M62" s="291"/>
      <c r="N62" s="291"/>
      <c r="O62" s="291"/>
      <c r="P62" s="291"/>
      <c r="Q62" s="367"/>
      <c r="R62" s="367"/>
      <c r="S62" s="364"/>
      <c r="Z62" s="609" t="s">
        <v>48</v>
      </c>
      <c r="AA62" s="609" t="s">
        <v>5649</v>
      </c>
    </row>
    <row r="63" spans="1:29" ht="18">
      <c r="A63" s="2714"/>
      <c r="B63" s="371">
        <v>102</v>
      </c>
      <c r="C63" s="371"/>
      <c r="D63" s="2716">
        <f t="shared" si="3"/>
        <v>1</v>
      </c>
      <c r="E63" s="2721">
        <v>1</v>
      </c>
      <c r="F63" s="294"/>
      <c r="G63" s="308" t="s">
        <v>2823</v>
      </c>
      <c r="H63" s="309"/>
      <c r="I63" s="388"/>
      <c r="J63" s="387"/>
      <c r="K63" s="291"/>
      <c r="L63" s="291"/>
      <c r="M63" s="291"/>
      <c r="N63" s="291"/>
      <c r="O63" s="291"/>
      <c r="P63" s="291"/>
      <c r="Q63" s="367"/>
      <c r="R63" s="367"/>
      <c r="S63" s="364"/>
      <c r="Z63" s="609" t="s">
        <v>48</v>
      </c>
      <c r="AA63" s="609" t="s">
        <v>5649</v>
      </c>
    </row>
    <row r="64" spans="1:29" ht="18">
      <c r="A64" s="2714"/>
      <c r="B64" s="371">
        <v>103</v>
      </c>
      <c r="C64" s="371"/>
      <c r="D64" s="2716">
        <f t="shared" si="3"/>
        <v>1</v>
      </c>
      <c r="E64" s="2721">
        <v>1</v>
      </c>
      <c r="F64" s="294"/>
      <c r="G64" s="308" t="s">
        <v>2824</v>
      </c>
      <c r="H64" s="1476">
        <f>H18</f>
        <v>0</v>
      </c>
      <c r="I64" s="388"/>
      <c r="J64" s="389" t="s">
        <v>6110</v>
      </c>
      <c r="K64" s="291"/>
      <c r="L64" s="291"/>
      <c r="M64" s="291"/>
      <c r="N64" s="291"/>
      <c r="O64" s="291"/>
      <c r="P64" s="291"/>
      <c r="Q64" s="367"/>
      <c r="R64" s="367"/>
      <c r="S64" s="364"/>
      <c r="Z64" s="609" t="s">
        <v>48</v>
      </c>
      <c r="AA64" s="609" t="s">
        <v>5649</v>
      </c>
    </row>
    <row r="65" spans="1:27" ht="18">
      <c r="A65" s="2714"/>
      <c r="B65" s="371">
        <v>104</v>
      </c>
      <c r="C65" s="371"/>
      <c r="D65" s="2716">
        <f t="shared" si="3"/>
        <v>1</v>
      </c>
      <c r="E65" s="2721">
        <v>1</v>
      </c>
      <c r="F65" s="294"/>
      <c r="G65" s="308" t="s">
        <v>2825</v>
      </c>
      <c r="H65" s="309"/>
      <c r="I65" s="388"/>
      <c r="J65" s="387"/>
      <c r="K65" s="291"/>
      <c r="L65" s="291"/>
      <c r="M65" s="291"/>
      <c r="N65" s="291"/>
      <c r="O65" s="291"/>
      <c r="P65" s="291"/>
      <c r="Q65" s="367"/>
      <c r="R65" s="367"/>
      <c r="S65" s="364"/>
      <c r="Z65" s="609" t="s">
        <v>48</v>
      </c>
      <c r="AA65" s="609" t="s">
        <v>5649</v>
      </c>
    </row>
    <row r="66" spans="1:27" ht="18">
      <c r="A66" s="2714"/>
      <c r="B66" s="371">
        <v>105</v>
      </c>
      <c r="C66" s="371" t="s">
        <v>2791</v>
      </c>
      <c r="D66" s="2716">
        <f t="shared" si="3"/>
        <v>0</v>
      </c>
      <c r="E66" s="2721">
        <v>1</v>
      </c>
      <c r="F66" s="294"/>
      <c r="G66" s="1618" t="s">
        <v>2792</v>
      </c>
      <c r="H66" s="309"/>
      <c r="I66" s="388"/>
      <c r="J66" s="387"/>
      <c r="K66" s="291"/>
      <c r="L66" s="291"/>
      <c r="M66" s="291"/>
      <c r="N66" s="291"/>
      <c r="O66" s="291"/>
      <c r="P66" s="291"/>
      <c r="Q66" s="367"/>
      <c r="R66" s="367"/>
      <c r="S66" s="364"/>
      <c r="Z66" s="609" t="s">
        <v>48</v>
      </c>
      <c r="AA66" s="609" t="s">
        <v>5649</v>
      </c>
    </row>
    <row r="67" spans="1:27" ht="18.75" thickBot="1">
      <c r="A67" s="2714"/>
      <c r="B67" s="371"/>
      <c r="C67" s="371"/>
      <c r="D67" s="2716">
        <f t="shared" si="3"/>
        <v>1</v>
      </c>
      <c r="E67" s="2721" t="s">
        <v>2751</v>
      </c>
      <c r="F67" s="294"/>
      <c r="G67" s="1529" t="s">
        <v>2752</v>
      </c>
      <c r="H67" s="1527">
        <f>SUMPRODUCT($E61:$E66,H61:H66)</f>
        <v>0</v>
      </c>
      <c r="I67" s="1612"/>
      <c r="J67" s="387"/>
      <c r="K67" s="291"/>
      <c r="L67" s="291"/>
      <c r="M67" s="291"/>
      <c r="N67" s="291"/>
      <c r="S67" s="364"/>
      <c r="Z67" s="609" t="s">
        <v>48</v>
      </c>
      <c r="AA67" s="609" t="s">
        <v>5649</v>
      </c>
    </row>
    <row r="68" spans="1:27" ht="24.75" thickBot="1">
      <c r="A68" s="2714"/>
      <c r="B68" s="371">
        <v>901</v>
      </c>
      <c r="C68" s="371"/>
      <c r="D68" s="371"/>
      <c r="E68" s="2716" t="s">
        <v>2753</v>
      </c>
      <c r="F68" s="294"/>
      <c r="G68" s="370" t="s">
        <v>2826</v>
      </c>
      <c r="H68" s="348"/>
      <c r="I68" s="390"/>
      <c r="J68" s="387"/>
      <c r="K68" s="349"/>
      <c r="L68" s="349"/>
      <c r="M68" s="291"/>
      <c r="N68" s="291"/>
      <c r="O68" s="291"/>
      <c r="P68" s="291"/>
      <c r="S68" s="364"/>
      <c r="Z68" s="609" t="s">
        <v>48</v>
      </c>
      <c r="AA68" s="609" t="s">
        <v>5649</v>
      </c>
    </row>
    <row r="69" spans="1:27" ht="18">
      <c r="A69" s="2714"/>
      <c r="B69" s="371"/>
      <c r="C69" s="371" t="s">
        <v>2755</v>
      </c>
      <c r="D69" s="371"/>
      <c r="F69" s="294"/>
      <c r="G69" s="314"/>
      <c r="H69" s="315"/>
      <c r="I69" s="393"/>
      <c r="J69" s="350"/>
      <c r="K69" s="291"/>
      <c r="L69" s="291"/>
      <c r="M69" s="291"/>
      <c r="N69" s="291"/>
      <c r="S69" s="364"/>
      <c r="Z69" s="609" t="s">
        <v>48</v>
      </c>
      <c r="AA69" s="609" t="s">
        <v>5649</v>
      </c>
    </row>
    <row r="70" spans="1:27" ht="17.25">
      <c r="A70" s="2715">
        <v>1102</v>
      </c>
      <c r="B70" s="371">
        <v>2</v>
      </c>
      <c r="C70" s="2716" t="str">
        <f>VLOOKUP($A70,Sheet_Items,2,0)</f>
        <v>交易性金融资产</v>
      </c>
      <c r="D70" s="371"/>
      <c r="E70" s="2716" t="s">
        <v>2739</v>
      </c>
      <c r="F70" s="371"/>
      <c r="G70" s="305" t="str">
        <f>B70&amp;" "&amp;C70</f>
        <v>2 交易性金融资产</v>
      </c>
      <c r="H70" s="306"/>
      <c r="I70" s="306"/>
      <c r="J70" s="306" t="s">
        <v>2740</v>
      </c>
      <c r="K70" s="341">
        <f>VLOOKUP($A70,Sheet_Trialbal,6,0)</f>
        <v>0</v>
      </c>
      <c r="L70" s="342"/>
      <c r="M70" s="306" t="s">
        <v>2741</v>
      </c>
      <c r="N70" s="341">
        <f>VLOOKUP($A70,Sheet_Trialbal,10,0)</f>
        <v>0</v>
      </c>
      <c r="O70" s="342"/>
      <c r="P70" s="301"/>
      <c r="S70" s="364"/>
      <c r="Z70" s="609" t="s">
        <v>137</v>
      </c>
      <c r="AA70" s="609" t="s">
        <v>2827</v>
      </c>
    </row>
    <row r="71" spans="1:27" ht="24">
      <c r="A71" s="2714" t="s">
        <v>135</v>
      </c>
      <c r="B71" s="371">
        <v>1</v>
      </c>
      <c r="C71" s="371"/>
      <c r="D71" s="2716" t="str">
        <f>VLOOKUP($A71,Sheet_NoteList,2,0)</f>
        <v>交易性金融资产明细项目</v>
      </c>
      <c r="E71" s="2716" t="s">
        <v>2742</v>
      </c>
      <c r="F71" s="371"/>
      <c r="G71" s="372" t="str">
        <f>"("&amp;B71&amp;")"&amp;D71</f>
        <v>(1)交易性金融资产明细项目</v>
      </c>
      <c r="H71" s="1517" t="str">
        <f>$A71</f>
        <v>1102a</v>
      </c>
      <c r="I71" s="343" t="s">
        <v>2743</v>
      </c>
      <c r="J71" s="301" t="s">
        <v>2744</v>
      </c>
      <c r="K71" s="2210">
        <f>H87</f>
        <v>0</v>
      </c>
      <c r="L71" s="349" t="str">
        <f>IF($I71="适用",IF(ROUND(K$70-K71,2)=0,"F/S",ROUND(K$70-K71,2)),"#N/A")</f>
        <v>F/S</v>
      </c>
      <c r="M71" s="301" t="s">
        <v>2745</v>
      </c>
      <c r="N71" s="2210">
        <f>I87</f>
        <v>0</v>
      </c>
      <c r="O71" s="349" t="str">
        <f>IF($I71="适用",IF(ROUND(N$70-N71,2)=0,"F/S",ROUND(N$70-N71,2)),"#N/A")</f>
        <v>F/S</v>
      </c>
      <c r="P71" s="301"/>
      <c r="S71" s="364"/>
      <c r="Z71" s="609" t="s">
        <v>137</v>
      </c>
      <c r="AA71" s="609" t="s">
        <v>2827</v>
      </c>
    </row>
    <row r="72" spans="1:27" ht="0.75" customHeight="1" thickBot="1">
      <c r="A72" s="2714"/>
      <c r="B72" s="371"/>
      <c r="C72" s="371"/>
      <c r="D72" s="2716"/>
      <c r="E72" s="586"/>
      <c r="F72" s="586"/>
      <c r="G72" s="2224" t="s">
        <v>2828</v>
      </c>
      <c r="H72" s="371" t="s">
        <v>2747</v>
      </c>
      <c r="I72" s="371" t="s">
        <v>2748</v>
      </c>
      <c r="J72" s="315"/>
      <c r="K72" s="392"/>
      <c r="L72" s="393"/>
      <c r="M72" s="315"/>
      <c r="N72" s="392"/>
      <c r="O72" s="393"/>
      <c r="P72" s="315"/>
      <c r="S72" s="364"/>
      <c r="Z72" s="609" t="s">
        <v>137</v>
      </c>
      <c r="AA72" s="609" t="s">
        <v>2827</v>
      </c>
    </row>
    <row r="73" spans="1:27" ht="18">
      <c r="A73" s="2714"/>
      <c r="B73" s="371"/>
      <c r="C73" s="371"/>
      <c r="D73" s="2716"/>
      <c r="E73" s="586" t="s">
        <v>2749</v>
      </c>
      <c r="F73" s="586"/>
      <c r="G73" s="2231" t="s">
        <v>47</v>
      </c>
      <c r="H73" s="2232" t="str">
        <f>$V$2</f>
        <v>2019年12月31日</v>
      </c>
      <c r="I73" s="2233" t="str">
        <f>$V$3</f>
        <v>2018年12月31日</v>
      </c>
      <c r="J73" s="355" t="s">
        <v>5266</v>
      </c>
      <c r="K73" s="392"/>
      <c r="L73" s="393"/>
      <c r="M73" s="315"/>
      <c r="N73" s="392"/>
      <c r="O73" s="393"/>
      <c r="P73" s="315"/>
      <c r="S73" s="364"/>
      <c r="Z73" s="609" t="s">
        <v>137</v>
      </c>
      <c r="AA73" s="609" t="s">
        <v>2827</v>
      </c>
    </row>
    <row r="74" spans="1:27" ht="24">
      <c r="A74" s="2714"/>
      <c r="B74" s="371">
        <v>101</v>
      </c>
      <c r="C74" s="371"/>
      <c r="D74" s="2716">
        <f t="shared" ref="D74:D87" si="4">IF(OR(G74="*",G74="",G74=0),0,COUNTIF($G$74:$G$87,G74))</f>
        <v>1</v>
      </c>
      <c r="E74" s="2721">
        <v>1</v>
      </c>
      <c r="F74" s="371"/>
      <c r="G74" s="1474" t="s">
        <v>49</v>
      </c>
      <c r="H74" s="1476">
        <f>SUM(H75:H80)</f>
        <v>0</v>
      </c>
      <c r="I74" s="1477">
        <f>SUM(I75:I80)</f>
        <v>0</v>
      </c>
      <c r="J74" s="315"/>
      <c r="K74" s="392"/>
      <c r="L74" s="393"/>
      <c r="M74" s="315"/>
      <c r="N74" s="392"/>
      <c r="O74" s="393"/>
      <c r="P74" s="315"/>
      <c r="S74" s="364"/>
      <c r="Z74" s="609" t="s">
        <v>137</v>
      </c>
      <c r="AA74" s="609" t="s">
        <v>2827</v>
      </c>
    </row>
    <row r="75" spans="1:27" ht="18">
      <c r="A75" s="2714"/>
      <c r="B75" s="371">
        <v>102</v>
      </c>
      <c r="C75" s="371" t="s">
        <v>2791</v>
      </c>
      <c r="D75" s="2716">
        <f t="shared" si="4"/>
        <v>1</v>
      </c>
      <c r="E75" s="2721">
        <v>0</v>
      </c>
      <c r="F75" s="371"/>
      <c r="G75" s="2222" t="s">
        <v>5631</v>
      </c>
      <c r="H75" s="309"/>
      <c r="I75" s="394"/>
      <c r="J75" s="355" t="s">
        <v>5636</v>
      </c>
      <c r="K75" s="392"/>
      <c r="L75" s="393"/>
      <c r="M75" s="315"/>
      <c r="N75" s="392"/>
      <c r="O75" s="393"/>
      <c r="P75" s="315"/>
      <c r="S75" s="364"/>
      <c r="Z75" s="609" t="s">
        <v>137</v>
      </c>
      <c r="AA75" s="609" t="s">
        <v>2827</v>
      </c>
    </row>
    <row r="76" spans="1:27" ht="18">
      <c r="A76" s="2714"/>
      <c r="B76" s="371">
        <v>103</v>
      </c>
      <c r="C76" s="371" t="s">
        <v>6532</v>
      </c>
      <c r="D76" s="2716">
        <f t="shared" si="4"/>
        <v>1</v>
      </c>
      <c r="E76" s="2721">
        <v>0</v>
      </c>
      <c r="F76" s="371"/>
      <c r="G76" s="578" t="s">
        <v>5632</v>
      </c>
      <c r="H76" s="309"/>
      <c r="I76" s="394"/>
      <c r="J76" s="355" t="s">
        <v>2805</v>
      </c>
      <c r="K76" s="392"/>
      <c r="L76" s="393"/>
      <c r="M76" s="315"/>
      <c r="N76" s="392"/>
      <c r="O76" s="393"/>
      <c r="P76" s="315"/>
      <c r="S76" s="364"/>
      <c r="Z76" s="609" t="s">
        <v>137</v>
      </c>
      <c r="AA76" s="609" t="s">
        <v>2827</v>
      </c>
    </row>
    <row r="77" spans="1:27" ht="18">
      <c r="A77" s="2714"/>
      <c r="B77" s="371">
        <v>104</v>
      </c>
      <c r="C77" s="371" t="s">
        <v>2791</v>
      </c>
      <c r="D77" s="2716">
        <f t="shared" si="4"/>
        <v>1</v>
      </c>
      <c r="E77" s="2721">
        <v>0</v>
      </c>
      <c r="F77" s="371"/>
      <c r="G77" s="578" t="s">
        <v>5633</v>
      </c>
      <c r="H77" s="309"/>
      <c r="I77" s="394"/>
      <c r="J77" s="355"/>
      <c r="K77" s="392"/>
      <c r="L77" s="393"/>
      <c r="M77" s="315"/>
      <c r="N77" s="392"/>
      <c r="O77" s="393"/>
      <c r="P77" s="315"/>
      <c r="S77" s="364"/>
      <c r="Z77" s="609" t="s">
        <v>137</v>
      </c>
      <c r="AA77" s="609" t="s">
        <v>2827</v>
      </c>
    </row>
    <row r="78" spans="1:27" ht="18">
      <c r="A78" s="2714"/>
      <c r="B78" s="371">
        <v>105</v>
      </c>
      <c r="C78" s="371" t="s">
        <v>2791</v>
      </c>
      <c r="D78" s="2716">
        <f t="shared" si="4"/>
        <v>0</v>
      </c>
      <c r="E78" s="2721">
        <v>0</v>
      </c>
      <c r="F78" s="371"/>
      <c r="G78" s="578" t="s">
        <v>2792</v>
      </c>
      <c r="H78" s="309"/>
      <c r="I78" s="394"/>
      <c r="J78" s="355"/>
      <c r="K78" s="392"/>
      <c r="L78" s="393"/>
      <c r="M78" s="315"/>
      <c r="N78" s="392"/>
      <c r="O78" s="393"/>
      <c r="P78" s="315"/>
      <c r="S78" s="364"/>
      <c r="Z78" s="609" t="s">
        <v>137</v>
      </c>
      <c r="AA78" s="609" t="s">
        <v>2827</v>
      </c>
    </row>
    <row r="79" spans="1:27" ht="18">
      <c r="A79" s="2714"/>
      <c r="B79" s="371">
        <v>106</v>
      </c>
      <c r="C79" s="371" t="s">
        <v>6532</v>
      </c>
      <c r="D79" s="2716">
        <f t="shared" si="4"/>
        <v>0</v>
      </c>
      <c r="E79" s="2721">
        <v>0</v>
      </c>
      <c r="F79" s="371"/>
      <c r="G79" s="578" t="s">
        <v>2792</v>
      </c>
      <c r="H79" s="309"/>
      <c r="I79" s="394"/>
      <c r="J79" s="355"/>
      <c r="K79" s="392"/>
      <c r="L79" s="393"/>
      <c r="M79" s="315"/>
      <c r="N79" s="392"/>
      <c r="O79" s="393"/>
      <c r="P79" s="315"/>
      <c r="S79" s="364"/>
      <c r="Z79" s="609" t="s">
        <v>137</v>
      </c>
      <c r="AA79" s="609" t="s">
        <v>2827</v>
      </c>
    </row>
    <row r="80" spans="1:27" ht="18">
      <c r="A80" s="2714"/>
      <c r="B80" s="371">
        <v>107</v>
      </c>
      <c r="C80" s="371" t="s">
        <v>2791</v>
      </c>
      <c r="D80" s="2716">
        <f t="shared" si="4"/>
        <v>1</v>
      </c>
      <c r="E80" s="2721">
        <v>0</v>
      </c>
      <c r="F80" s="371"/>
      <c r="G80" s="578" t="s">
        <v>5150</v>
      </c>
      <c r="H80" s="309"/>
      <c r="I80" s="394"/>
      <c r="J80" s="315"/>
      <c r="K80" s="392"/>
      <c r="L80" s="393"/>
      <c r="M80" s="315"/>
      <c r="N80" s="392"/>
      <c r="O80" s="393"/>
      <c r="P80" s="315"/>
      <c r="S80" s="364"/>
      <c r="Z80" s="609" t="s">
        <v>137</v>
      </c>
      <c r="AA80" s="609" t="s">
        <v>2827</v>
      </c>
    </row>
    <row r="81" spans="1:27" ht="24">
      <c r="A81" s="2714"/>
      <c r="B81" s="371">
        <v>108</v>
      </c>
      <c r="C81" s="371"/>
      <c r="D81" s="2716">
        <f t="shared" si="4"/>
        <v>1</v>
      </c>
      <c r="E81" s="2721">
        <v>1</v>
      </c>
      <c r="F81" s="371"/>
      <c r="G81" s="1474" t="s">
        <v>2830</v>
      </c>
      <c r="H81" s="1476">
        <f>SUM(H82:H85)</f>
        <v>0</v>
      </c>
      <c r="I81" s="1477">
        <f>SUM(I82:I85)</f>
        <v>0</v>
      </c>
      <c r="J81" s="355" t="s">
        <v>2799</v>
      </c>
      <c r="K81" s="392"/>
      <c r="L81" s="393"/>
      <c r="M81" s="315"/>
      <c r="N81" s="392"/>
      <c r="O81" s="393"/>
      <c r="P81" s="315"/>
      <c r="S81" s="364"/>
      <c r="Z81" s="609" t="s">
        <v>137</v>
      </c>
      <c r="AA81" s="609" t="s">
        <v>2827</v>
      </c>
    </row>
    <row r="82" spans="1:27" ht="18">
      <c r="A82" s="2714"/>
      <c r="B82" s="371">
        <v>109</v>
      </c>
      <c r="C82" s="371" t="s">
        <v>2791</v>
      </c>
      <c r="D82" s="2716">
        <f t="shared" si="4"/>
        <v>1</v>
      </c>
      <c r="E82" s="2721">
        <v>0</v>
      </c>
      <c r="F82" s="371"/>
      <c r="G82" s="2222" t="s">
        <v>5634</v>
      </c>
      <c r="H82" s="309"/>
      <c r="I82" s="394"/>
      <c r="J82" s="315"/>
      <c r="K82" s="392"/>
      <c r="L82" s="393"/>
      <c r="M82" s="315"/>
      <c r="N82" s="392"/>
      <c r="O82" s="393"/>
      <c r="P82" s="315"/>
      <c r="S82" s="364"/>
      <c r="Z82" s="609" t="s">
        <v>137</v>
      </c>
      <c r="AA82" s="609" t="s">
        <v>2827</v>
      </c>
    </row>
    <row r="83" spans="1:27" ht="18">
      <c r="A83" s="2714"/>
      <c r="B83" s="371">
        <v>110</v>
      </c>
      <c r="C83" s="371" t="s">
        <v>2791</v>
      </c>
      <c r="D83" s="2716">
        <f t="shared" si="4"/>
        <v>0</v>
      </c>
      <c r="E83" s="2721">
        <v>0</v>
      </c>
      <c r="F83" s="371"/>
      <c r="G83" s="578" t="s">
        <v>2792</v>
      </c>
      <c r="H83" s="309"/>
      <c r="I83" s="394"/>
      <c r="J83" s="315"/>
      <c r="K83" s="392"/>
      <c r="L83" s="393"/>
      <c r="M83" s="315"/>
      <c r="N83" s="392"/>
      <c r="O83" s="393"/>
      <c r="P83" s="315"/>
      <c r="S83" s="364"/>
      <c r="Z83" s="609" t="s">
        <v>137</v>
      </c>
      <c r="AA83" s="609" t="s">
        <v>2827</v>
      </c>
    </row>
    <row r="84" spans="1:27" ht="18">
      <c r="A84" s="2714"/>
      <c r="B84" s="371">
        <v>111</v>
      </c>
      <c r="C84" s="371" t="s">
        <v>2791</v>
      </c>
      <c r="D84" s="2716">
        <f t="shared" si="4"/>
        <v>0</v>
      </c>
      <c r="E84" s="2721">
        <v>0</v>
      </c>
      <c r="F84" s="371"/>
      <c r="G84" s="578" t="s">
        <v>2792</v>
      </c>
      <c r="H84" s="309"/>
      <c r="I84" s="394"/>
      <c r="J84" s="315"/>
      <c r="K84" s="392"/>
      <c r="L84" s="393"/>
      <c r="M84" s="315"/>
      <c r="N84" s="392"/>
      <c r="O84" s="393"/>
      <c r="P84" s="315"/>
      <c r="S84" s="364"/>
      <c r="Z84" s="609" t="s">
        <v>137</v>
      </c>
      <c r="AA84" s="609" t="s">
        <v>2827</v>
      </c>
    </row>
    <row r="85" spans="1:27" ht="18">
      <c r="A85" s="2714"/>
      <c r="B85" s="371">
        <v>112</v>
      </c>
      <c r="C85" s="371" t="s">
        <v>6532</v>
      </c>
      <c r="D85" s="2716">
        <f t="shared" si="4"/>
        <v>1</v>
      </c>
      <c r="E85" s="2721">
        <v>0</v>
      </c>
      <c r="F85" s="371"/>
      <c r="G85" s="578" t="s">
        <v>5635</v>
      </c>
      <c r="H85" s="309"/>
      <c r="I85" s="394"/>
      <c r="J85" s="355" t="s">
        <v>5638</v>
      </c>
      <c r="K85" s="392"/>
      <c r="L85" s="393"/>
      <c r="M85" s="315"/>
      <c r="N85" s="392"/>
      <c r="O85" s="393"/>
      <c r="P85" s="315"/>
      <c r="S85" s="364"/>
      <c r="Z85" s="609" t="s">
        <v>137</v>
      </c>
      <c r="AA85" s="609" t="s">
        <v>2827</v>
      </c>
    </row>
    <row r="86" spans="1:27" ht="18">
      <c r="A86" s="2714"/>
      <c r="B86" s="371">
        <v>113</v>
      </c>
      <c r="C86" s="371" t="s">
        <v>2791</v>
      </c>
      <c r="D86" s="2716">
        <f t="shared" si="4"/>
        <v>0</v>
      </c>
      <c r="E86" s="2721">
        <v>1</v>
      </c>
      <c r="F86" s="371"/>
      <c r="G86" s="625" t="s">
        <v>2792</v>
      </c>
      <c r="H86" s="309"/>
      <c r="I86" s="394"/>
      <c r="J86" s="355" t="s">
        <v>5637</v>
      </c>
      <c r="K86" s="392"/>
      <c r="L86" s="393"/>
      <c r="M86" s="315"/>
      <c r="N86" s="392"/>
      <c r="O86" s="393"/>
      <c r="P86" s="315"/>
      <c r="S86" s="364"/>
      <c r="Z86" s="609" t="s">
        <v>137</v>
      </c>
      <c r="AA86" s="609" t="s">
        <v>2827</v>
      </c>
    </row>
    <row r="87" spans="1:27" ht="18.75" thickBot="1">
      <c r="A87" s="2714"/>
      <c r="B87" s="371"/>
      <c r="C87" s="371"/>
      <c r="D87" s="2716">
        <f t="shared" si="4"/>
        <v>1</v>
      </c>
      <c r="E87" s="2721" t="s">
        <v>2751</v>
      </c>
      <c r="F87" s="371"/>
      <c r="G87" s="2234" t="s">
        <v>2752</v>
      </c>
      <c r="H87" s="2235">
        <f>SUMPRODUCT($E73:$E86,H73:H86)</f>
        <v>0</v>
      </c>
      <c r="I87" s="2236">
        <f>SUMPRODUCT($E73:$E86,I73:I86)</f>
        <v>0</v>
      </c>
      <c r="J87" s="315"/>
      <c r="K87" s="392"/>
      <c r="L87" s="393"/>
      <c r="M87" s="315"/>
      <c r="N87" s="392"/>
      <c r="O87" s="393"/>
      <c r="P87" s="315"/>
      <c r="S87" s="364"/>
      <c r="Z87" s="609" t="s">
        <v>137</v>
      </c>
      <c r="AA87" s="609" t="s">
        <v>2827</v>
      </c>
    </row>
    <row r="88" spans="1:27" ht="18">
      <c r="A88" s="2714"/>
      <c r="B88" s="371"/>
      <c r="C88" s="371" t="s">
        <v>2755</v>
      </c>
      <c r="D88" s="2716"/>
      <c r="F88" s="371"/>
      <c r="G88" s="376"/>
      <c r="H88" s="315"/>
      <c r="I88" s="396"/>
      <c r="J88" s="315"/>
      <c r="K88" s="392"/>
      <c r="L88" s="393"/>
      <c r="M88" s="315"/>
      <c r="N88" s="392"/>
      <c r="O88" s="393"/>
      <c r="P88" s="315"/>
      <c r="S88" s="364"/>
      <c r="Z88" s="609" t="s">
        <v>137</v>
      </c>
      <c r="AA88" s="609" t="s">
        <v>2827</v>
      </c>
    </row>
    <row r="89" spans="1:27" ht="24">
      <c r="A89" s="2714">
        <v>1101</v>
      </c>
      <c r="B89" s="371">
        <v>3</v>
      </c>
      <c r="C89" s="371" t="s">
        <v>49</v>
      </c>
      <c r="D89" s="371"/>
      <c r="E89" s="2716" t="s">
        <v>2739</v>
      </c>
      <c r="F89" s="294"/>
      <c r="G89" s="305" t="str">
        <f>B89&amp;" "&amp;C89</f>
        <v>3 以公允价值计量且其变动计入当期损益的金融资产</v>
      </c>
      <c r="H89" s="306"/>
      <c r="I89" s="306"/>
      <c r="J89" s="306" t="s">
        <v>2740</v>
      </c>
      <c r="K89" s="341">
        <f>VLOOKUP($A89,Sheet_Trialbal,6,0)</f>
        <v>0</v>
      </c>
      <c r="L89" s="306"/>
      <c r="M89" s="306" t="s">
        <v>2741</v>
      </c>
      <c r="N89" s="341">
        <f>VLOOKUP($A89,Sheet_Trialbal,10,0)</f>
        <v>0</v>
      </c>
      <c r="O89" s="306"/>
      <c r="P89" s="301"/>
      <c r="S89" s="364"/>
      <c r="Z89" s="609" t="s">
        <v>108</v>
      </c>
      <c r="AA89" s="609" t="s">
        <v>6574</v>
      </c>
    </row>
    <row r="90" spans="1:27" ht="36">
      <c r="A90" s="2714" t="s">
        <v>106</v>
      </c>
      <c r="B90" s="371">
        <v>1</v>
      </c>
      <c r="C90" s="371"/>
      <c r="D90" s="2716" t="str">
        <f>VLOOKUP($A90,Sheet_NoteList,2,0)</f>
        <v>以公允价值计量且其变动计入当期损益的金融资产明细项目</v>
      </c>
      <c r="E90" s="2716" t="s">
        <v>2742</v>
      </c>
      <c r="F90" s="294"/>
      <c r="G90" s="372" t="str">
        <f>"("&amp;B90&amp;")"&amp;D90</f>
        <v>(1)以公允价值计量且其变动计入当期损益的金融资产明细项目</v>
      </c>
      <c r="H90" s="1517" t="str">
        <f>$A90</f>
        <v>1101a</v>
      </c>
      <c r="I90" s="343" t="s">
        <v>2743</v>
      </c>
      <c r="J90" s="301" t="s">
        <v>2744</v>
      </c>
      <c r="K90" s="2210">
        <f>H106</f>
        <v>0</v>
      </c>
      <c r="L90" s="345" t="str">
        <f>IF($I90="适用",IF(ROUND($K$89-K90,2)=0,"F/S",ROUND($K$89-K90,2)),"#N/A")</f>
        <v>F/S</v>
      </c>
      <c r="M90" s="301" t="s">
        <v>2745</v>
      </c>
      <c r="N90" s="2210">
        <f>I106</f>
        <v>0</v>
      </c>
      <c r="O90" s="345" t="str">
        <f>IF($I90="适用",IF(ROUND($N$89-N90,2)=0,"F/S",ROUND($N$89-N90,2)),"#N/A")</f>
        <v>F/S</v>
      </c>
      <c r="P90" s="301"/>
      <c r="Q90" s="290" t="str">
        <f>IF($I90="不适用","",IF(ROUND(SUM($H$93:$I$106),2)=0,"请输入",""))</f>
        <v>请输入</v>
      </c>
      <c r="S90" s="364"/>
      <c r="Z90" s="609" t="s">
        <v>108</v>
      </c>
      <c r="AA90" s="609" t="s">
        <v>5650</v>
      </c>
    </row>
    <row r="91" spans="1:27" ht="0.75" customHeight="1" thickBot="1">
      <c r="A91" s="2714"/>
      <c r="B91" s="371"/>
      <c r="C91" s="371"/>
      <c r="D91" s="371"/>
      <c r="F91" s="371"/>
      <c r="G91" s="371" t="s">
        <v>2832</v>
      </c>
      <c r="H91" s="371" t="s">
        <v>2833</v>
      </c>
      <c r="I91" s="371" t="s">
        <v>2834</v>
      </c>
      <c r="J91" s="291"/>
      <c r="K91" s="291"/>
      <c r="L91" s="291"/>
      <c r="M91" s="291"/>
      <c r="S91" s="364"/>
      <c r="Z91" s="609" t="s">
        <v>108</v>
      </c>
      <c r="AA91" s="609" t="s">
        <v>5650</v>
      </c>
    </row>
    <row r="92" spans="1:27" ht="18">
      <c r="A92" s="2714"/>
      <c r="B92" s="371"/>
      <c r="C92" s="371"/>
      <c r="D92" s="371"/>
      <c r="E92" s="2716" t="s">
        <v>2749</v>
      </c>
      <c r="F92" s="294"/>
      <c r="G92" s="2287" t="s">
        <v>47</v>
      </c>
      <c r="H92" s="1454" t="str">
        <f>$V$2</f>
        <v>2019年12月31日</v>
      </c>
      <c r="I92" s="1455" t="str">
        <f>$V$3</f>
        <v>2018年12月31日</v>
      </c>
      <c r="J92" s="355" t="s">
        <v>5267</v>
      </c>
      <c r="K92" s="291"/>
      <c r="L92" s="291"/>
      <c r="M92" s="291"/>
      <c r="S92" s="364"/>
      <c r="Z92" s="609" t="s">
        <v>108</v>
      </c>
      <c r="AA92" s="609" t="s">
        <v>5650</v>
      </c>
    </row>
    <row r="93" spans="1:27" ht="18">
      <c r="A93" s="2714"/>
      <c r="B93" s="371">
        <v>101</v>
      </c>
      <c r="C93" s="371"/>
      <c r="D93" s="2716">
        <f t="shared" ref="D93:D106" si="5">IF(OR(G93="*",G93="",G93=0),0,COUNTIF($G$93:$G$106,G93))</f>
        <v>1</v>
      </c>
      <c r="E93" s="2721" t="s">
        <v>41</v>
      </c>
      <c r="F93" s="294"/>
      <c r="G93" s="308" t="s">
        <v>71</v>
      </c>
      <c r="H93" s="320"/>
      <c r="I93" s="361"/>
      <c r="J93" s="291"/>
      <c r="K93" s="291"/>
      <c r="L93" s="291"/>
      <c r="M93" s="291"/>
      <c r="N93" s="291"/>
      <c r="O93" s="291"/>
      <c r="P93" s="291"/>
      <c r="Q93" s="367"/>
      <c r="R93" s="367"/>
      <c r="S93" s="364"/>
      <c r="Z93" s="609" t="s">
        <v>108</v>
      </c>
      <c r="AA93" s="609" t="s">
        <v>5650</v>
      </c>
    </row>
    <row r="94" spans="1:27" ht="18">
      <c r="A94" s="2714"/>
      <c r="B94" s="371">
        <v>101.001</v>
      </c>
      <c r="C94" s="371"/>
      <c r="D94" s="2716">
        <f t="shared" si="5"/>
        <v>1</v>
      </c>
      <c r="E94" s="2721" t="s">
        <v>2835</v>
      </c>
      <c r="F94" s="294"/>
      <c r="G94" s="308" t="s">
        <v>2836</v>
      </c>
      <c r="H94" s="2277">
        <v>0</v>
      </c>
      <c r="I94" s="346"/>
      <c r="J94" s="355" t="s">
        <v>5125</v>
      </c>
      <c r="K94" s="291"/>
      <c r="L94" s="291"/>
      <c r="M94" s="291"/>
      <c r="N94" s="291"/>
      <c r="O94" s="291"/>
      <c r="P94" s="291"/>
      <c r="Q94" s="367"/>
      <c r="R94" s="367"/>
      <c r="S94" s="364"/>
      <c r="Z94" s="609" t="s">
        <v>108</v>
      </c>
      <c r="AA94" s="609" t="s">
        <v>5650</v>
      </c>
    </row>
    <row r="95" spans="1:27" ht="18">
      <c r="A95" s="2714"/>
      <c r="B95" s="371">
        <v>101.002</v>
      </c>
      <c r="C95" s="371"/>
      <c r="D95" s="2716">
        <f t="shared" si="5"/>
        <v>1</v>
      </c>
      <c r="E95" s="2721" t="s">
        <v>2835</v>
      </c>
      <c r="F95" s="294"/>
      <c r="G95" s="603" t="s">
        <v>2837</v>
      </c>
      <c r="H95" s="2277">
        <v>0</v>
      </c>
      <c r="I95" s="346"/>
      <c r="J95" s="291"/>
      <c r="K95" s="291"/>
      <c r="L95" s="291"/>
      <c r="M95" s="291"/>
      <c r="N95" s="291"/>
      <c r="O95" s="291"/>
      <c r="P95" s="291"/>
      <c r="Q95" s="367"/>
      <c r="R95" s="367"/>
      <c r="S95" s="364"/>
      <c r="Z95" s="609" t="s">
        <v>108</v>
      </c>
      <c r="AA95" s="609" t="s">
        <v>5650</v>
      </c>
    </row>
    <row r="96" spans="1:27" ht="18">
      <c r="A96" s="2714"/>
      <c r="B96" s="371">
        <v>101.003</v>
      </c>
      <c r="C96" s="371" t="s">
        <v>2791</v>
      </c>
      <c r="D96" s="2716">
        <f t="shared" si="5"/>
        <v>1</v>
      </c>
      <c r="E96" s="2721" t="s">
        <v>2835</v>
      </c>
      <c r="F96" s="294"/>
      <c r="G96" s="578" t="s">
        <v>2838</v>
      </c>
      <c r="H96" s="2277">
        <v>0</v>
      </c>
      <c r="I96" s="346"/>
      <c r="J96" s="355" t="s">
        <v>6124</v>
      </c>
      <c r="K96" s="291"/>
      <c r="L96" s="291"/>
      <c r="M96" s="291"/>
      <c r="N96" s="291"/>
      <c r="O96" s="291"/>
      <c r="P96" s="291"/>
      <c r="Q96" s="367"/>
      <c r="R96" s="367"/>
      <c r="S96" s="364"/>
      <c r="Z96" s="609" t="s">
        <v>108</v>
      </c>
      <c r="AA96" s="609" t="s">
        <v>5650</v>
      </c>
    </row>
    <row r="97" spans="1:27" ht="18">
      <c r="A97" s="2714"/>
      <c r="B97" s="371">
        <v>101.004</v>
      </c>
      <c r="C97" s="371"/>
      <c r="D97" s="2716">
        <f t="shared" si="5"/>
        <v>1</v>
      </c>
      <c r="E97" s="2721" t="s">
        <v>2835</v>
      </c>
      <c r="F97" s="294"/>
      <c r="G97" s="603" t="s">
        <v>2839</v>
      </c>
      <c r="H97" s="2277">
        <v>0</v>
      </c>
      <c r="I97" s="346"/>
      <c r="J97" s="291"/>
      <c r="K97" s="291"/>
      <c r="L97" s="291"/>
      <c r="M97" s="291"/>
      <c r="N97" s="291"/>
      <c r="O97" s="291"/>
      <c r="P97" s="291"/>
      <c r="Q97" s="367"/>
      <c r="R97" s="367"/>
      <c r="S97" s="364"/>
      <c r="Z97" s="609" t="s">
        <v>108</v>
      </c>
      <c r="AA97" s="609" t="s">
        <v>5650</v>
      </c>
    </row>
    <row r="98" spans="1:27" ht="18">
      <c r="A98" s="2714"/>
      <c r="B98" s="371">
        <v>101.005</v>
      </c>
      <c r="C98" s="371" t="s">
        <v>2791</v>
      </c>
      <c r="D98" s="2716">
        <f t="shared" si="5"/>
        <v>0</v>
      </c>
      <c r="E98" s="2721" t="s">
        <v>2835</v>
      </c>
      <c r="F98" s="294"/>
      <c r="G98" s="578" t="s">
        <v>2792</v>
      </c>
      <c r="H98" s="2277">
        <v>0</v>
      </c>
      <c r="I98" s="346"/>
      <c r="J98" s="355" t="s">
        <v>2805</v>
      </c>
      <c r="K98" s="291"/>
      <c r="L98" s="291"/>
      <c r="M98" s="291"/>
      <c r="N98" s="291"/>
      <c r="O98" s="291"/>
      <c r="P98" s="291"/>
      <c r="Q98" s="367"/>
      <c r="R98" s="367"/>
      <c r="S98" s="364"/>
      <c r="Z98" s="609" t="s">
        <v>108</v>
      </c>
      <c r="AA98" s="609" t="s">
        <v>5650</v>
      </c>
    </row>
    <row r="99" spans="1:27" ht="18">
      <c r="A99" s="2714"/>
      <c r="B99" s="371">
        <v>101.999</v>
      </c>
      <c r="C99" s="371" t="s">
        <v>2793</v>
      </c>
      <c r="D99" s="2716">
        <f t="shared" si="5"/>
        <v>1</v>
      </c>
      <c r="E99" s="2721">
        <v>1</v>
      </c>
      <c r="F99" s="294"/>
      <c r="G99" s="308" t="s">
        <v>2835</v>
      </c>
      <c r="H99" s="2278">
        <v>0</v>
      </c>
      <c r="I99" s="397">
        <f>SUMIF($E$92:$E$105,$G99,I$92:I$105)</f>
        <v>0</v>
      </c>
      <c r="J99" s="291"/>
      <c r="K99" s="291"/>
      <c r="L99" s="291"/>
      <c r="M99" s="291"/>
      <c r="N99" s="291"/>
      <c r="O99" s="291"/>
      <c r="P99" s="291"/>
      <c r="Q99" s="367"/>
      <c r="R99" s="367"/>
      <c r="S99" s="364"/>
      <c r="Z99" s="609" t="s">
        <v>108</v>
      </c>
      <c r="AA99" s="609" t="s">
        <v>5650</v>
      </c>
    </row>
    <row r="100" spans="1:27" ht="24">
      <c r="A100" s="2714"/>
      <c r="B100" s="371">
        <v>102</v>
      </c>
      <c r="C100" s="371"/>
      <c r="D100" s="2716">
        <f t="shared" si="5"/>
        <v>1</v>
      </c>
      <c r="E100" s="2721" t="s">
        <v>41</v>
      </c>
      <c r="F100" s="294"/>
      <c r="G100" s="308" t="s">
        <v>2840</v>
      </c>
      <c r="H100" s="320"/>
      <c r="I100" s="361"/>
      <c r="J100" s="355" t="s">
        <v>2799</v>
      </c>
      <c r="K100" s="291"/>
      <c r="L100" s="291"/>
      <c r="M100" s="291"/>
      <c r="N100" s="291"/>
      <c r="O100" s="291"/>
      <c r="P100" s="291"/>
      <c r="Q100" s="367"/>
      <c r="R100" s="367"/>
      <c r="S100" s="364"/>
      <c r="Z100" s="609" t="s">
        <v>108</v>
      </c>
      <c r="AA100" s="609" t="s">
        <v>5650</v>
      </c>
    </row>
    <row r="101" spans="1:27" ht="18">
      <c r="A101" s="2714"/>
      <c r="B101" s="371">
        <v>102.001</v>
      </c>
      <c r="C101" s="371"/>
      <c r="D101" s="2716">
        <f t="shared" si="5"/>
        <v>1</v>
      </c>
      <c r="E101" s="2721" t="s">
        <v>2841</v>
      </c>
      <c r="F101" s="294"/>
      <c r="G101" s="308" t="s">
        <v>2842</v>
      </c>
      <c r="H101" s="2277">
        <v>0</v>
      </c>
      <c r="I101" s="346"/>
      <c r="J101" s="291"/>
      <c r="K101" s="291"/>
      <c r="L101" s="291"/>
      <c r="M101" s="291"/>
      <c r="N101" s="291"/>
      <c r="O101" s="291"/>
      <c r="P101" s="291"/>
      <c r="Q101" s="367"/>
      <c r="R101" s="367"/>
      <c r="S101" s="364"/>
      <c r="Z101" s="609" t="s">
        <v>108</v>
      </c>
      <c r="AA101" s="609" t="s">
        <v>5650</v>
      </c>
    </row>
    <row r="102" spans="1:27" ht="18">
      <c r="A102" s="2714"/>
      <c r="B102" s="371">
        <v>102.002</v>
      </c>
      <c r="C102" s="371"/>
      <c r="D102" s="2716">
        <f t="shared" si="5"/>
        <v>1</v>
      </c>
      <c r="E102" s="2721" t="s">
        <v>2841</v>
      </c>
      <c r="F102" s="294"/>
      <c r="G102" s="603" t="s">
        <v>2843</v>
      </c>
      <c r="H102" s="2277">
        <v>0</v>
      </c>
      <c r="I102" s="346"/>
      <c r="J102" s="291"/>
      <c r="K102" s="291"/>
      <c r="L102" s="291"/>
      <c r="M102" s="291"/>
      <c r="N102" s="291"/>
      <c r="O102" s="291"/>
      <c r="P102" s="291"/>
      <c r="Q102" s="367"/>
      <c r="R102" s="367"/>
      <c r="S102" s="364"/>
      <c r="Z102" s="609" t="s">
        <v>108</v>
      </c>
      <c r="AA102" s="609" t="s">
        <v>5650</v>
      </c>
    </row>
    <row r="103" spans="1:27" ht="18">
      <c r="A103" s="2714"/>
      <c r="B103" s="371">
        <v>102.003</v>
      </c>
      <c r="C103" s="371"/>
      <c r="D103" s="2716">
        <f t="shared" si="5"/>
        <v>1</v>
      </c>
      <c r="E103" s="2721" t="s">
        <v>2841</v>
      </c>
      <c r="F103" s="294"/>
      <c r="G103" s="603" t="s">
        <v>2844</v>
      </c>
      <c r="H103" s="2277">
        <v>0</v>
      </c>
      <c r="I103" s="346"/>
      <c r="J103" s="291"/>
      <c r="K103" s="291"/>
      <c r="L103" s="291"/>
      <c r="M103" s="291"/>
      <c r="N103" s="291"/>
      <c r="O103" s="291"/>
      <c r="P103" s="291"/>
      <c r="Q103" s="367"/>
      <c r="R103" s="367"/>
      <c r="S103" s="364"/>
      <c r="Z103" s="609" t="s">
        <v>108</v>
      </c>
      <c r="AA103" s="609" t="s">
        <v>5650</v>
      </c>
    </row>
    <row r="104" spans="1:27" ht="18">
      <c r="A104" s="2714"/>
      <c r="B104" s="371">
        <v>102.004</v>
      </c>
      <c r="C104" s="371" t="s">
        <v>2791</v>
      </c>
      <c r="D104" s="2716">
        <f t="shared" si="5"/>
        <v>0</v>
      </c>
      <c r="E104" s="2721" t="s">
        <v>2841</v>
      </c>
      <c r="F104" s="294"/>
      <c r="G104" s="578" t="s">
        <v>2792</v>
      </c>
      <c r="H104" s="2277">
        <v>0</v>
      </c>
      <c r="I104" s="346"/>
      <c r="J104" s="291"/>
      <c r="K104" s="291"/>
      <c r="L104" s="291"/>
      <c r="M104" s="291"/>
      <c r="N104" s="291"/>
      <c r="O104" s="291"/>
      <c r="P104" s="291"/>
      <c r="Q104" s="367"/>
      <c r="R104" s="367"/>
      <c r="S104" s="364"/>
      <c r="Z104" s="609" t="s">
        <v>108</v>
      </c>
      <c r="AA104" s="609" t="s">
        <v>5650</v>
      </c>
    </row>
    <row r="105" spans="1:27" ht="36">
      <c r="A105" s="2714"/>
      <c r="B105" s="371">
        <v>102.999</v>
      </c>
      <c r="C105" s="371" t="s">
        <v>2793</v>
      </c>
      <c r="D105" s="2716">
        <f t="shared" si="5"/>
        <v>1</v>
      </c>
      <c r="E105" s="2721">
        <v>1</v>
      </c>
      <c r="F105" s="294"/>
      <c r="G105" s="308" t="s">
        <v>2841</v>
      </c>
      <c r="H105" s="2278">
        <v>0</v>
      </c>
      <c r="I105" s="397">
        <f>SUMIF($E$92:$E$105,$G105,I$92:I$105)</f>
        <v>0</v>
      </c>
      <c r="J105" s="291"/>
      <c r="K105" s="291"/>
      <c r="L105" s="291"/>
      <c r="M105" s="291"/>
      <c r="N105" s="291"/>
      <c r="O105" s="291"/>
      <c r="P105" s="291"/>
      <c r="Q105" s="367"/>
      <c r="R105" s="367"/>
      <c r="S105" s="364"/>
      <c r="Z105" s="609" t="s">
        <v>108</v>
      </c>
      <c r="AA105" s="609" t="s">
        <v>5650</v>
      </c>
    </row>
    <row r="106" spans="1:27" ht="18.75" thickBot="1">
      <c r="A106" s="2714"/>
      <c r="B106" s="371"/>
      <c r="C106" s="371"/>
      <c r="D106" s="2716">
        <f t="shared" si="5"/>
        <v>1</v>
      </c>
      <c r="E106" s="2721" t="s">
        <v>2751</v>
      </c>
      <c r="F106" s="294"/>
      <c r="G106" s="374" t="s">
        <v>2752</v>
      </c>
      <c r="H106" s="375">
        <f>SUMPRODUCT($E92:$E105,H92:H105)</f>
        <v>0</v>
      </c>
      <c r="I106" s="395">
        <f>SUMPRODUCT($E92:$E105,I92:I105)</f>
        <v>0</v>
      </c>
      <c r="J106" s="291"/>
      <c r="K106" s="291"/>
      <c r="L106" s="291"/>
      <c r="M106" s="291"/>
      <c r="S106" s="364"/>
      <c r="Z106" s="609" t="s">
        <v>108</v>
      </c>
      <c r="AA106" s="609" t="s">
        <v>5650</v>
      </c>
    </row>
    <row r="107" spans="1:27" ht="18">
      <c r="A107" s="2714"/>
      <c r="B107" s="371"/>
      <c r="C107" s="371" t="s">
        <v>2755</v>
      </c>
      <c r="D107" s="371"/>
      <c r="F107" s="294"/>
      <c r="G107" s="301"/>
      <c r="H107" s="315"/>
      <c r="I107" s="315"/>
      <c r="J107" s="291"/>
      <c r="K107" s="291"/>
      <c r="L107" s="291"/>
      <c r="M107" s="291"/>
      <c r="S107" s="364"/>
      <c r="Z107" s="609" t="s">
        <v>108</v>
      </c>
      <c r="AA107" s="609" t="s">
        <v>5650</v>
      </c>
    </row>
    <row r="108" spans="1:27" ht="18">
      <c r="A108" s="2714">
        <v>1115</v>
      </c>
      <c r="B108" s="371">
        <v>4</v>
      </c>
      <c r="C108" s="2716" t="str">
        <f>VLOOKUP($A108,Sheet_Items,2,0)</f>
        <v>衍生金融资产</v>
      </c>
      <c r="D108" s="371"/>
      <c r="E108" s="2716" t="s">
        <v>2739</v>
      </c>
      <c r="F108" s="294"/>
      <c r="G108" s="305" t="str">
        <f>B108&amp;" "&amp;C108</f>
        <v>4 衍生金融资产</v>
      </c>
      <c r="H108" s="306"/>
      <c r="I108" s="306"/>
      <c r="J108" s="306" t="s">
        <v>2740</v>
      </c>
      <c r="K108" s="341">
        <f>VLOOKUP($A108,Sheet_Trialbal,6,0)</f>
        <v>0</v>
      </c>
      <c r="L108" s="342"/>
      <c r="M108" s="306" t="s">
        <v>2741</v>
      </c>
      <c r="N108" s="341">
        <f>VLOOKUP($A108,Sheet_Trialbal,10,0)</f>
        <v>0</v>
      </c>
      <c r="O108" s="306"/>
      <c r="P108" s="301"/>
      <c r="S108" s="364"/>
      <c r="Z108" s="609" t="s">
        <v>149</v>
      </c>
      <c r="AA108" s="609" t="s">
        <v>5651</v>
      </c>
    </row>
    <row r="109" spans="1:27" ht="18">
      <c r="A109" s="2714" t="s">
        <v>148</v>
      </c>
      <c r="B109" s="371">
        <v>1</v>
      </c>
      <c r="C109" s="371"/>
      <c r="D109" s="2716" t="str">
        <f>VLOOKUP($A109,Sheet_NoteList,2,0)</f>
        <v>衍生金融资产明细项目</v>
      </c>
      <c r="E109" s="2716" t="s">
        <v>2742</v>
      </c>
      <c r="F109" s="294"/>
      <c r="G109" s="307" t="str">
        <f>"("&amp;B109&amp;")"&amp;D109</f>
        <v>(1)衍生金融资产明细项目</v>
      </c>
      <c r="H109" s="1517" t="str">
        <f>$A109</f>
        <v>1115a</v>
      </c>
      <c r="I109" s="343" t="s">
        <v>2743</v>
      </c>
      <c r="J109" s="301" t="s">
        <v>2744</v>
      </c>
      <c r="K109" s="2210">
        <f>H117</f>
        <v>0</v>
      </c>
      <c r="L109" s="345" t="str">
        <f>IF($I109="适用",IF(ROUND($K$108-K109,2)=0,"F/S",ROUND($K$108-K109,2)),"#N/A")</f>
        <v>F/S</v>
      </c>
      <c r="M109" s="301" t="s">
        <v>2745</v>
      </c>
      <c r="N109" s="2210">
        <f>I117</f>
        <v>0</v>
      </c>
      <c r="O109" s="345" t="str">
        <f>IF($I109="适用",IF(ROUND($N$108-N109,2)=0,"F/S",ROUND($N$108-N109,2)),"#N/A")</f>
        <v>F/S</v>
      </c>
      <c r="P109" s="301"/>
      <c r="Q109" s="290" t="str">
        <f>IF($I109="不适用","",IF(ROUND(SUM($H$112:$I$117),2)=0,"请输入",""))</f>
        <v>请输入</v>
      </c>
      <c r="S109" s="364"/>
      <c r="Z109" s="609" t="s">
        <v>149</v>
      </c>
      <c r="AA109" s="609" t="s">
        <v>5651</v>
      </c>
    </row>
    <row r="110" spans="1:27" ht="0.75" customHeight="1" thickBot="1">
      <c r="A110" s="2714"/>
      <c r="B110" s="371"/>
      <c r="C110" s="371"/>
      <c r="D110" s="371"/>
      <c r="E110" s="586"/>
      <c r="F110" s="586"/>
      <c r="G110" s="2227" t="s">
        <v>2846</v>
      </c>
      <c r="H110" s="371" t="s">
        <v>2833</v>
      </c>
      <c r="I110" s="371" t="s">
        <v>2834</v>
      </c>
      <c r="J110" s="414"/>
      <c r="K110" s="414"/>
      <c r="L110" s="414"/>
      <c r="M110" s="414"/>
      <c r="S110" s="364"/>
      <c r="Z110" s="609" t="s">
        <v>149</v>
      </c>
      <c r="AA110" s="609" t="s">
        <v>5651</v>
      </c>
    </row>
    <row r="111" spans="1:27" ht="18">
      <c r="A111" s="2714"/>
      <c r="B111" s="371"/>
      <c r="C111" s="371"/>
      <c r="D111" s="371"/>
      <c r="E111" s="586" t="s">
        <v>2749</v>
      </c>
      <c r="F111" s="363"/>
      <c r="G111" s="2228" t="s">
        <v>47</v>
      </c>
      <c r="H111" s="2225" t="str">
        <f>$V$2</f>
        <v>2019年12月31日</v>
      </c>
      <c r="I111" s="2226" t="str">
        <f>$V$3</f>
        <v>2018年12月31日</v>
      </c>
      <c r="J111" s="355" t="s">
        <v>5268</v>
      </c>
      <c r="K111" s="291"/>
      <c r="L111" s="291"/>
      <c r="M111" s="291"/>
      <c r="O111" s="355" t="s">
        <v>2847</v>
      </c>
      <c r="P111" s="355"/>
      <c r="S111" s="364"/>
      <c r="Z111" s="609" t="s">
        <v>149</v>
      </c>
      <c r="AA111" s="609" t="s">
        <v>5651</v>
      </c>
    </row>
    <row r="112" spans="1:27" ht="18">
      <c r="A112" s="2714"/>
      <c r="B112" s="371">
        <v>101</v>
      </c>
      <c r="C112" s="371" t="s">
        <v>2791</v>
      </c>
      <c r="D112" s="2716">
        <f t="shared" ref="D112:D117" si="6">IF(OR(G112="*",G112="",G112=0),0,COUNTIF($G$112:$G$117,G112))</f>
        <v>1</v>
      </c>
      <c r="E112" s="2721">
        <v>1</v>
      </c>
      <c r="F112" s="294"/>
      <c r="G112" s="2222" t="s">
        <v>5639</v>
      </c>
      <c r="H112" s="309"/>
      <c r="I112" s="346"/>
      <c r="J112" s="291"/>
      <c r="K112" s="291"/>
      <c r="L112" s="291"/>
      <c r="M112" s="291"/>
      <c r="N112" s="291"/>
      <c r="O112" s="291"/>
      <c r="P112" s="291"/>
      <c r="Q112" s="367"/>
      <c r="R112" s="367"/>
      <c r="S112" s="364"/>
      <c r="Z112" s="609" t="s">
        <v>149</v>
      </c>
      <c r="AA112" s="609" t="s">
        <v>5651</v>
      </c>
    </row>
    <row r="113" spans="1:29" ht="18">
      <c r="A113" s="2714"/>
      <c r="B113" s="371">
        <v>102</v>
      </c>
      <c r="C113" s="371" t="s">
        <v>2791</v>
      </c>
      <c r="D113" s="2716">
        <f t="shared" si="6"/>
        <v>1</v>
      </c>
      <c r="E113" s="2721">
        <v>1</v>
      </c>
      <c r="F113" s="294"/>
      <c r="G113" s="2222" t="s">
        <v>5640</v>
      </c>
      <c r="H113" s="309"/>
      <c r="I113" s="346"/>
      <c r="J113" s="355" t="s">
        <v>5642</v>
      </c>
      <c r="K113" s="291"/>
      <c r="L113" s="291"/>
      <c r="M113" s="291"/>
      <c r="N113" s="291"/>
      <c r="O113" s="291"/>
      <c r="P113" s="291"/>
      <c r="Q113" s="367"/>
      <c r="R113" s="367"/>
      <c r="S113" s="364"/>
      <c r="Z113" s="609" t="s">
        <v>149</v>
      </c>
      <c r="AA113" s="609" t="s">
        <v>5651</v>
      </c>
    </row>
    <row r="114" spans="1:29" ht="18">
      <c r="A114" s="2714"/>
      <c r="B114" s="371">
        <v>103</v>
      </c>
      <c r="C114" s="371" t="s">
        <v>2791</v>
      </c>
      <c r="D114" s="2716">
        <f t="shared" si="6"/>
        <v>1</v>
      </c>
      <c r="E114" s="2721">
        <v>1</v>
      </c>
      <c r="F114" s="294"/>
      <c r="G114" s="2222" t="s">
        <v>5641</v>
      </c>
      <c r="H114" s="309"/>
      <c r="I114" s="346"/>
      <c r="J114" s="291"/>
      <c r="K114" s="291"/>
      <c r="L114" s="291"/>
      <c r="M114" s="291"/>
      <c r="N114" s="291"/>
      <c r="O114" s="291"/>
      <c r="P114" s="291"/>
      <c r="Q114" s="367"/>
      <c r="R114" s="367"/>
      <c r="S114" s="364"/>
      <c r="Z114" s="609" t="s">
        <v>149</v>
      </c>
      <c r="AA114" s="609" t="s">
        <v>5651</v>
      </c>
    </row>
    <row r="115" spans="1:29" ht="18">
      <c r="A115" s="2714"/>
      <c r="B115" s="371">
        <v>104</v>
      </c>
      <c r="C115" s="371" t="s">
        <v>2791</v>
      </c>
      <c r="D115" s="2716">
        <f t="shared" si="6"/>
        <v>0</v>
      </c>
      <c r="E115" s="2721">
        <v>1</v>
      </c>
      <c r="F115" s="294"/>
      <c r="G115" s="2222" t="s">
        <v>2792</v>
      </c>
      <c r="H115" s="309"/>
      <c r="I115" s="346"/>
      <c r="J115" s="291"/>
      <c r="K115" s="291"/>
      <c r="L115" s="291"/>
      <c r="M115" s="291"/>
      <c r="N115" s="291"/>
      <c r="O115" s="291"/>
      <c r="P115" s="291"/>
      <c r="Q115" s="367"/>
      <c r="R115" s="367"/>
      <c r="S115" s="364"/>
      <c r="Z115" s="609" t="s">
        <v>149</v>
      </c>
      <c r="AA115" s="609" t="s">
        <v>5651</v>
      </c>
    </row>
    <row r="116" spans="1:29" ht="18">
      <c r="A116" s="2714"/>
      <c r="B116" s="371">
        <v>105</v>
      </c>
      <c r="C116" s="371" t="s">
        <v>2791</v>
      </c>
      <c r="D116" s="2716">
        <f t="shared" si="6"/>
        <v>0</v>
      </c>
      <c r="E116" s="2721">
        <v>1</v>
      </c>
      <c r="F116" s="294"/>
      <c r="G116" s="2222" t="s">
        <v>2792</v>
      </c>
      <c r="H116" s="309"/>
      <c r="I116" s="346"/>
      <c r="J116" s="350"/>
      <c r="K116" s="415"/>
      <c r="L116" s="416"/>
      <c r="M116" s="291"/>
      <c r="N116" s="291"/>
      <c r="O116" s="291"/>
      <c r="P116" s="291"/>
      <c r="Q116" s="367"/>
      <c r="R116" s="367"/>
      <c r="S116" s="364"/>
      <c r="Z116" s="609" t="s">
        <v>149</v>
      </c>
      <c r="AA116" s="609" t="s">
        <v>5651</v>
      </c>
    </row>
    <row r="117" spans="1:29" ht="18.75" thickBot="1">
      <c r="A117" s="2714"/>
      <c r="B117" s="371"/>
      <c r="C117" s="371"/>
      <c r="D117" s="2716">
        <f t="shared" si="6"/>
        <v>1</v>
      </c>
      <c r="E117" s="2721" t="s">
        <v>2751</v>
      </c>
      <c r="F117" s="294"/>
      <c r="G117" s="374" t="s">
        <v>2752</v>
      </c>
      <c r="H117" s="1478">
        <f>SUMPRODUCT($E111:$E116,H111:H116)</f>
        <v>0</v>
      </c>
      <c r="I117" s="1479">
        <f>SUMPRODUCT($E111:$E116,I111:I116)</f>
        <v>0</v>
      </c>
      <c r="J117" s="291"/>
      <c r="K117" s="291"/>
      <c r="L117" s="291"/>
      <c r="M117" s="291"/>
      <c r="S117" s="364"/>
      <c r="Z117" s="609" t="s">
        <v>149</v>
      </c>
      <c r="AA117" s="609" t="s">
        <v>5651</v>
      </c>
    </row>
    <row r="118" spans="1:29" ht="18">
      <c r="A118" s="2714"/>
      <c r="B118" s="371"/>
      <c r="C118" s="371" t="s">
        <v>2755</v>
      </c>
      <c r="D118" s="371"/>
      <c r="F118" s="294"/>
      <c r="G118" s="301"/>
      <c r="H118" s="315"/>
      <c r="I118" s="315"/>
      <c r="J118" s="291"/>
      <c r="K118" s="291"/>
      <c r="L118" s="291"/>
      <c r="M118" s="291"/>
      <c r="S118" s="364"/>
      <c r="Z118" s="609" t="s">
        <v>149</v>
      </c>
      <c r="AA118" s="609" t="s">
        <v>5651</v>
      </c>
    </row>
    <row r="119" spans="1:29" ht="18">
      <c r="A119" s="2714">
        <v>1121</v>
      </c>
      <c r="B119" s="371">
        <v>5</v>
      </c>
      <c r="C119" s="2716" t="str">
        <f>VLOOKUP($A119,Sheet_Items,2,0)</f>
        <v>应收票据</v>
      </c>
      <c r="D119" s="371"/>
      <c r="E119" s="2716" t="s">
        <v>2739</v>
      </c>
      <c r="F119" s="294"/>
      <c r="G119" s="305" t="str">
        <f>B119&amp;" "&amp;C119</f>
        <v>5 应收票据</v>
      </c>
      <c r="H119" s="306"/>
      <c r="I119" s="306"/>
      <c r="J119" s="306" t="s">
        <v>2740</v>
      </c>
      <c r="K119" s="341">
        <f>VLOOKUP($A119,Sheet_Trialbal,6,0)</f>
        <v>0</v>
      </c>
      <c r="L119" s="342"/>
      <c r="M119" s="306" t="s">
        <v>2741</v>
      </c>
      <c r="N119" s="341">
        <f>VLOOKUP($A119,Sheet_Trialbal,10,0)</f>
        <v>0</v>
      </c>
      <c r="O119" s="306"/>
      <c r="P119" s="301"/>
      <c r="S119" s="364"/>
      <c r="Z119" s="609" t="s">
        <v>161</v>
      </c>
      <c r="AA119" s="609" t="s">
        <v>2880</v>
      </c>
    </row>
    <row r="120" spans="1:29" ht="18">
      <c r="A120" s="2714" t="s">
        <v>159</v>
      </c>
      <c r="B120" s="371">
        <v>1</v>
      </c>
      <c r="C120" s="371"/>
      <c r="D120" s="2716" t="str">
        <f>VLOOKUP($A120,Sheet_NoteList,2,0)</f>
        <v>应收票据分类列示</v>
      </c>
      <c r="E120" s="2716" t="s">
        <v>2742</v>
      </c>
      <c r="F120" s="371"/>
      <c r="G120" s="372" t="str">
        <f>"("&amp;B120&amp;")"&amp;D120</f>
        <v>(1)应收票据分类列示</v>
      </c>
      <c r="H120" s="1517" t="str">
        <f>$A120</f>
        <v>1121e</v>
      </c>
      <c r="I120" s="343" t="s">
        <v>2743</v>
      </c>
      <c r="J120" s="301" t="s">
        <v>2744</v>
      </c>
      <c r="K120" s="2210">
        <f>J128</f>
        <v>0</v>
      </c>
      <c r="L120" s="349" t="str">
        <f>IF($I120="适用",IF(ROUND(K$119-K120,2)=0,"F/S",ROUND(K$119-K120,2)),"#N/A")</f>
        <v>F/S</v>
      </c>
      <c r="M120" s="301" t="s">
        <v>2745</v>
      </c>
      <c r="N120" s="2210">
        <f>M128</f>
        <v>0</v>
      </c>
      <c r="O120" s="349" t="str">
        <f>IF($I120="适用",IF(ROUND(N$119-N120,2)=0,"F/S",ROUND(N$119-N120,2)),"#N/A")</f>
        <v>F/S</v>
      </c>
      <c r="P120" s="301"/>
      <c r="S120" s="364"/>
      <c r="Z120" s="609" t="s">
        <v>161</v>
      </c>
      <c r="AA120" s="609" t="s">
        <v>2880</v>
      </c>
    </row>
    <row r="121" spans="1:29" ht="0.75" customHeight="1">
      <c r="A121" s="2714"/>
      <c r="B121" s="371"/>
      <c r="C121" s="371"/>
      <c r="D121" s="2716"/>
      <c r="E121" s="586"/>
      <c r="F121" s="586"/>
      <c r="G121" s="2224" t="s">
        <v>2848</v>
      </c>
      <c r="H121" s="371" t="s">
        <v>2849</v>
      </c>
      <c r="I121" s="371" t="s">
        <v>2850</v>
      </c>
      <c r="J121" s="371" t="s">
        <v>2851</v>
      </c>
      <c r="K121" s="547" t="s">
        <v>2852</v>
      </c>
      <c r="L121" s="547" t="s">
        <v>2853</v>
      </c>
      <c r="M121" s="371" t="s">
        <v>2854</v>
      </c>
      <c r="N121" s="391"/>
      <c r="O121" s="349"/>
      <c r="P121" s="301"/>
      <c r="S121" s="364"/>
      <c r="Z121" s="609" t="s">
        <v>161</v>
      </c>
      <c r="AA121" s="609" t="s">
        <v>2880</v>
      </c>
    </row>
    <row r="122" spans="1:29" ht="0.75" customHeight="1" thickBot="1">
      <c r="A122" s="2714"/>
      <c r="B122" s="371"/>
      <c r="C122" s="371"/>
      <c r="D122" s="2716"/>
      <c r="E122" s="586"/>
      <c r="F122" s="586"/>
      <c r="G122" s="2224"/>
      <c r="H122" s="371" t="s">
        <v>2855</v>
      </c>
      <c r="I122" s="371" t="s">
        <v>2856</v>
      </c>
      <c r="J122" s="371" t="s">
        <v>2857</v>
      </c>
      <c r="K122" s="547" t="s">
        <v>2858</v>
      </c>
      <c r="L122" s="547" t="s">
        <v>2859</v>
      </c>
      <c r="M122" s="371" t="s">
        <v>2860</v>
      </c>
      <c r="N122" s="391"/>
      <c r="O122" s="349"/>
      <c r="P122" s="301"/>
      <c r="S122" s="364"/>
      <c r="Z122" s="609" t="s">
        <v>161</v>
      </c>
      <c r="AA122" s="609" t="s">
        <v>2880</v>
      </c>
    </row>
    <row r="123" spans="1:29" ht="18" customHeight="1">
      <c r="A123" s="2714"/>
      <c r="B123" s="371"/>
      <c r="C123" s="371"/>
      <c r="D123" s="2716"/>
      <c r="E123" s="586" t="s">
        <v>2749</v>
      </c>
      <c r="F123" s="414"/>
      <c r="G123" s="3472" t="s">
        <v>6001</v>
      </c>
      <c r="H123" s="3533" t="str">
        <f>$V$2</f>
        <v>2019年12月31日</v>
      </c>
      <c r="I123" s="3415"/>
      <c r="J123" s="3415"/>
      <c r="K123" s="3534" t="str">
        <f>$V$3</f>
        <v>2018年12月31日</v>
      </c>
      <c r="L123" s="3417"/>
      <c r="M123" s="3482"/>
      <c r="N123" s="355" t="s">
        <v>5269</v>
      </c>
      <c r="O123" s="349"/>
      <c r="P123" s="301"/>
      <c r="S123" s="364"/>
      <c r="Z123" s="609" t="s">
        <v>161</v>
      </c>
      <c r="AA123" s="609" t="s">
        <v>2880</v>
      </c>
    </row>
    <row r="124" spans="1:29" ht="18">
      <c r="A124" s="2714"/>
      <c r="B124" s="371"/>
      <c r="C124" s="371"/>
      <c r="D124" s="2716"/>
      <c r="E124" s="586" t="s">
        <v>2749</v>
      </c>
      <c r="F124" s="586"/>
      <c r="G124" s="3473"/>
      <c r="H124" s="2245" t="s">
        <v>2861</v>
      </c>
      <c r="I124" s="2245" t="s">
        <v>2862</v>
      </c>
      <c r="J124" s="2245" t="s">
        <v>2863</v>
      </c>
      <c r="K124" s="2238" t="s">
        <v>2861</v>
      </c>
      <c r="L124" s="2239" t="s">
        <v>2862</v>
      </c>
      <c r="M124" s="2240" t="s">
        <v>2863</v>
      </c>
      <c r="N124" s="391"/>
      <c r="O124" s="349"/>
      <c r="P124" s="301"/>
      <c r="S124" s="364"/>
      <c r="Z124" s="609" t="s">
        <v>161</v>
      </c>
      <c r="AA124" s="609" t="s">
        <v>2880</v>
      </c>
    </row>
    <row r="125" spans="1:29" ht="18">
      <c r="A125" s="2714"/>
      <c r="B125" s="371">
        <v>101</v>
      </c>
      <c r="C125" s="371"/>
      <c r="D125" s="2716">
        <f t="shared" ref="D125:D128" si="7">IF(OR(G125="*",G125="",G125=0),0,COUNTIF($G$125:$G$128,G125))</f>
        <v>1</v>
      </c>
      <c r="E125" s="2721">
        <v>1</v>
      </c>
      <c r="F125" s="371"/>
      <c r="G125" s="1474" t="s">
        <v>2864</v>
      </c>
      <c r="H125" s="2275"/>
      <c r="I125" s="2275"/>
      <c r="J125" s="1476">
        <f>H125-I125</f>
        <v>0</v>
      </c>
      <c r="K125" s="2275"/>
      <c r="L125" s="2275"/>
      <c r="M125" s="1477">
        <f>K125-L125</f>
        <v>0</v>
      </c>
      <c r="N125" s="391"/>
      <c r="O125" s="349"/>
      <c r="P125" s="301"/>
      <c r="S125" s="364"/>
      <c r="Z125" s="609" t="s">
        <v>161</v>
      </c>
      <c r="AA125" s="609" t="s">
        <v>2880</v>
      </c>
    </row>
    <row r="126" spans="1:29" ht="18">
      <c r="A126" s="2714"/>
      <c r="B126" s="371">
        <v>102</v>
      </c>
      <c r="C126" s="371"/>
      <c r="D126" s="2716">
        <f t="shared" si="7"/>
        <v>1</v>
      </c>
      <c r="E126" s="2721">
        <v>1</v>
      </c>
      <c r="F126" s="371"/>
      <c r="G126" s="1474" t="s">
        <v>2865</v>
      </c>
      <c r="H126" s="2275"/>
      <c r="I126" s="2275"/>
      <c r="J126" s="1476">
        <f t="shared" ref="J126:J127" si="8">H126-I126</f>
        <v>0</v>
      </c>
      <c r="K126" s="2275"/>
      <c r="L126" s="2275"/>
      <c r="M126" s="1477">
        <f t="shared" ref="M126:M127" si="9">K126-L126</f>
        <v>0</v>
      </c>
      <c r="N126" s="391"/>
      <c r="O126" s="349"/>
      <c r="P126" s="301"/>
      <c r="S126" s="364"/>
      <c r="Z126" s="609" t="s">
        <v>161</v>
      </c>
      <c r="AA126" s="609" t="s">
        <v>2880</v>
      </c>
    </row>
    <row r="127" spans="1:29" ht="18">
      <c r="A127" s="2714"/>
      <c r="B127" s="371">
        <v>103</v>
      </c>
      <c r="C127" s="371" t="s">
        <v>2791</v>
      </c>
      <c r="D127" s="2716">
        <f t="shared" si="7"/>
        <v>0</v>
      </c>
      <c r="E127" s="2721">
        <v>1</v>
      </c>
      <c r="F127" s="371"/>
      <c r="G127" s="2223" t="s">
        <v>2792</v>
      </c>
      <c r="H127" s="2275"/>
      <c r="I127" s="2275"/>
      <c r="J127" s="1476">
        <f t="shared" si="8"/>
        <v>0</v>
      </c>
      <c r="K127" s="2275"/>
      <c r="L127" s="2275"/>
      <c r="M127" s="1477">
        <f t="shared" si="9"/>
        <v>0</v>
      </c>
      <c r="N127" s="391"/>
      <c r="O127" s="349"/>
      <c r="P127" s="301"/>
      <c r="S127" s="364"/>
      <c r="Z127" s="609" t="s">
        <v>161</v>
      </c>
      <c r="AA127" s="609" t="s">
        <v>2880</v>
      </c>
    </row>
    <row r="128" spans="1:29" ht="18.75" thickBot="1">
      <c r="A128" s="2714"/>
      <c r="B128" s="371"/>
      <c r="C128" s="371"/>
      <c r="D128" s="2716">
        <f t="shared" si="7"/>
        <v>1</v>
      </c>
      <c r="E128" s="2721" t="s">
        <v>2751</v>
      </c>
      <c r="F128" s="371"/>
      <c r="G128" s="2234" t="s">
        <v>2752</v>
      </c>
      <c r="H128" s="2235">
        <f t="shared" ref="H128:M128" si="10">SUMPRODUCT($E124:$E127,H124:H127)</f>
        <v>0</v>
      </c>
      <c r="I128" s="2235">
        <f t="shared" si="10"/>
        <v>0</v>
      </c>
      <c r="J128" s="2235">
        <f t="shared" si="10"/>
        <v>0</v>
      </c>
      <c r="K128" s="2235">
        <f t="shared" si="10"/>
        <v>0</v>
      </c>
      <c r="L128" s="2235">
        <f t="shared" si="10"/>
        <v>0</v>
      </c>
      <c r="M128" s="2236">
        <f t="shared" si="10"/>
        <v>0</v>
      </c>
      <c r="N128" s="1533" t="str">
        <f ca="1">HYPERLINK("#'"&amp;$G$1&amp;"'!"&amp;ADDRESS(ROW(Notes!L186),COLUMN(Notes!L186),4),"* 请勿删除此行！点击往勾稽单元格，F5+Enter返回")</f>
        <v>* 请勿删除此行！点击往勾稽单元格，F5+Enter返回</v>
      </c>
      <c r="O128" s="349"/>
      <c r="P128" s="301"/>
      <c r="S128" s="364"/>
      <c r="Z128" s="609" t="s">
        <v>161</v>
      </c>
      <c r="AA128" s="609" t="s">
        <v>2880</v>
      </c>
      <c r="AC128" s="369" t="s">
        <v>2794</v>
      </c>
    </row>
    <row r="129" spans="1:31" ht="18">
      <c r="A129" s="2714"/>
      <c r="B129" s="371"/>
      <c r="C129" s="371" t="s">
        <v>2755</v>
      </c>
      <c r="D129" s="2716"/>
      <c r="F129" s="371"/>
      <c r="G129" s="376"/>
      <c r="H129" s="315"/>
      <c r="I129" s="396"/>
      <c r="J129" s="315"/>
      <c r="K129" s="423"/>
      <c r="L129" s="315"/>
      <c r="M129" s="315"/>
      <c r="N129" s="391"/>
      <c r="O129" s="349"/>
      <c r="P129" s="301"/>
      <c r="S129" s="364"/>
      <c r="Z129" s="609" t="s">
        <v>161</v>
      </c>
      <c r="AA129" s="609" t="s">
        <v>2880</v>
      </c>
    </row>
    <row r="130" spans="1:31" ht="18" hidden="1">
      <c r="A130" s="2714" t="s">
        <v>263</v>
      </c>
      <c r="B130" s="371">
        <v>1</v>
      </c>
      <c r="C130" s="371"/>
      <c r="D130" s="2716" t="str">
        <f>VLOOKUP($A130,Sheet_NoteList,2,0)</f>
        <v>应收票据分类</v>
      </c>
      <c r="E130" s="2716" t="s">
        <v>6608</v>
      </c>
      <c r="F130" s="294"/>
      <c r="G130" s="307" t="str">
        <f>"("&amp;B130&amp;")"&amp;D130</f>
        <v>(1)应收票据分类</v>
      </c>
      <c r="H130" s="1517" t="str">
        <f>$A130</f>
        <v>1121a</v>
      </c>
      <c r="I130" s="343" t="s">
        <v>6611</v>
      </c>
      <c r="J130" s="301" t="s">
        <v>6609</v>
      </c>
      <c r="K130" s="344">
        <f>H136</f>
        <v>0</v>
      </c>
      <c r="L130" s="345" t="str">
        <f>IF($I130="适用",IF(ROUND($K$119-K130,2)=0,"F/S",ROUND($K$119-K130,2)),"#N/A")</f>
        <v>#N/A</v>
      </c>
      <c r="M130" s="301" t="s">
        <v>6610</v>
      </c>
      <c r="N130" s="344">
        <f>I136</f>
        <v>0</v>
      </c>
      <c r="O130" s="345" t="str">
        <f>IF($I130="适用",IF(ROUND($N$119-N130,2)=0,"F/S",ROUND($N$119-N130,2)),"#N/A")</f>
        <v>#N/A</v>
      </c>
      <c r="P130" s="301"/>
      <c r="Q130" s="290" t="str">
        <f>IF($I130="不适用","",IF(ROUND(SUM($H$133:$I$136),2)=0,"请输入",""))</f>
        <v/>
      </c>
      <c r="S130" s="364"/>
      <c r="Z130" s="609" t="s">
        <v>161</v>
      </c>
      <c r="AA130" s="609" t="s">
        <v>2880</v>
      </c>
      <c r="AE130" s="369" t="s">
        <v>2761</v>
      </c>
    </row>
    <row r="131" spans="1:31" ht="0.75" hidden="1" customHeight="1" thickBot="1">
      <c r="A131" s="2714"/>
      <c r="B131" s="371">
        <v>118</v>
      </c>
      <c r="C131" s="371"/>
      <c r="D131" s="371"/>
      <c r="E131" s="586"/>
      <c r="F131" s="518"/>
      <c r="G131" s="2229" t="s">
        <v>2866</v>
      </c>
      <c r="H131" s="304" t="s">
        <v>2747</v>
      </c>
      <c r="I131" s="304" t="s">
        <v>2748</v>
      </c>
      <c r="J131" s="291"/>
      <c r="K131" s="291"/>
      <c r="L131" s="291"/>
      <c r="M131" s="291"/>
      <c r="S131" s="364"/>
      <c r="Z131" s="609" t="s">
        <v>161</v>
      </c>
      <c r="AA131" s="609" t="s">
        <v>2880</v>
      </c>
      <c r="AE131" s="369" t="s">
        <v>2761</v>
      </c>
    </row>
    <row r="132" spans="1:31" ht="18" hidden="1">
      <c r="A132" s="2714"/>
      <c r="B132" s="371"/>
      <c r="C132" s="371"/>
      <c r="D132" s="371"/>
      <c r="E132" s="586" t="s">
        <v>2749</v>
      </c>
      <c r="F132" s="363"/>
      <c r="G132" s="2230" t="s">
        <v>1412</v>
      </c>
      <c r="H132" s="2217" t="str">
        <f>$V$2</f>
        <v>2019年12月31日</v>
      </c>
      <c r="I132" s="2218" t="str">
        <f>$V$3</f>
        <v>2018年12月31日</v>
      </c>
      <c r="J132" s="424" t="s">
        <v>5990</v>
      </c>
      <c r="K132" s="291"/>
      <c r="L132" s="291"/>
      <c r="M132" s="291"/>
      <c r="S132" s="364"/>
      <c r="Z132" s="609" t="s">
        <v>161</v>
      </c>
      <c r="AA132" s="609" t="s">
        <v>2880</v>
      </c>
      <c r="AE132" s="369" t="s">
        <v>2761</v>
      </c>
    </row>
    <row r="133" spans="1:31" ht="18" hidden="1">
      <c r="A133" s="2714"/>
      <c r="B133" s="371">
        <v>101</v>
      </c>
      <c r="C133" s="371"/>
      <c r="D133" s="2716">
        <f>IF(OR(G133="*",G133="",G133=0),0,COUNTIF($G$133:$G$136,G133))</f>
        <v>1</v>
      </c>
      <c r="E133" s="2721">
        <v>1</v>
      </c>
      <c r="F133" s="294"/>
      <c r="G133" s="1474" t="s">
        <v>2864</v>
      </c>
      <c r="H133" s="309"/>
      <c r="I133" s="346"/>
      <c r="J133" s="291"/>
      <c r="K133" s="291"/>
      <c r="L133" s="291"/>
      <c r="M133" s="291"/>
      <c r="N133" s="291"/>
      <c r="O133" s="291"/>
      <c r="P133" s="291"/>
      <c r="Q133" s="367"/>
      <c r="R133" s="367"/>
      <c r="S133" s="364"/>
      <c r="Z133" s="609" t="s">
        <v>161</v>
      </c>
      <c r="AA133" s="609" t="s">
        <v>2880</v>
      </c>
      <c r="AE133" s="369" t="s">
        <v>2761</v>
      </c>
    </row>
    <row r="134" spans="1:31" ht="18" hidden="1">
      <c r="A134" s="2714"/>
      <c r="B134" s="371">
        <v>102</v>
      </c>
      <c r="C134" s="371"/>
      <c r="D134" s="2716">
        <f>IF(OR(G134="*",G134="",G134=0),0,COUNTIF($G$133:$G$136,G134))</f>
        <v>1</v>
      </c>
      <c r="E134" s="2721">
        <v>1</v>
      </c>
      <c r="F134" s="294"/>
      <c r="G134" s="1474" t="s">
        <v>2865</v>
      </c>
      <c r="H134" s="309"/>
      <c r="I134" s="346"/>
      <c r="J134" s="291"/>
      <c r="K134" s="291"/>
      <c r="L134" s="291"/>
      <c r="M134" s="291"/>
      <c r="N134" s="291"/>
      <c r="O134" s="291"/>
      <c r="P134" s="291"/>
      <c r="Q134" s="367"/>
      <c r="R134" s="367"/>
      <c r="S134" s="364"/>
      <c r="Z134" s="609" t="s">
        <v>161</v>
      </c>
      <c r="AA134" s="609" t="s">
        <v>2880</v>
      </c>
      <c r="AE134" s="369" t="s">
        <v>2761</v>
      </c>
    </row>
    <row r="135" spans="1:31" ht="18" hidden="1">
      <c r="A135" s="2714"/>
      <c r="B135" s="371">
        <v>103</v>
      </c>
      <c r="C135" s="371" t="s">
        <v>2791</v>
      </c>
      <c r="D135" s="2716">
        <f>IF(OR(G135="*",G135="",G135=0),0,COUNTIF($G$133:$G$136,G135))</f>
        <v>0</v>
      </c>
      <c r="E135" s="2721">
        <v>1</v>
      </c>
      <c r="F135" s="294"/>
      <c r="G135" s="2222" t="s">
        <v>2792</v>
      </c>
      <c r="H135" s="309"/>
      <c r="I135" s="346"/>
      <c r="J135" s="355" t="s">
        <v>2867</v>
      </c>
      <c r="K135" s="291"/>
      <c r="L135" s="291"/>
      <c r="M135" s="291"/>
      <c r="N135" s="291"/>
      <c r="O135" s="291"/>
      <c r="P135" s="291"/>
      <c r="Q135" s="367"/>
      <c r="R135" s="367"/>
      <c r="S135" s="364"/>
      <c r="Z135" s="609" t="s">
        <v>161</v>
      </c>
      <c r="AA135" s="609" t="s">
        <v>2880</v>
      </c>
      <c r="AE135" s="369" t="s">
        <v>2761</v>
      </c>
    </row>
    <row r="136" spans="1:31" ht="18.75" hidden="1" thickBot="1">
      <c r="A136" s="2714"/>
      <c r="B136" s="371"/>
      <c r="C136" s="371"/>
      <c r="D136" s="2716">
        <f>IF(OR(G136="*",G136="",G136=0),0,COUNTIF($G$133:$G$136,G136))</f>
        <v>1</v>
      </c>
      <c r="E136" s="2721" t="s">
        <v>2751</v>
      </c>
      <c r="F136" s="294"/>
      <c r="G136" s="310" t="s">
        <v>2752</v>
      </c>
      <c r="H136" s="1481">
        <f>SUMPRODUCT($E132:$E135,H132:H135)</f>
        <v>0</v>
      </c>
      <c r="I136" s="1482">
        <f>SUMPRODUCT($E132:$E135,I132:I135)</f>
        <v>0</v>
      </c>
      <c r="J136" s="291"/>
      <c r="K136" s="291"/>
      <c r="L136" s="291"/>
      <c r="M136" s="291"/>
      <c r="S136" s="364"/>
      <c r="Z136" s="609" t="s">
        <v>161</v>
      </c>
      <c r="AA136" s="609" t="s">
        <v>2880</v>
      </c>
      <c r="AE136" s="369" t="s">
        <v>2761</v>
      </c>
    </row>
    <row r="137" spans="1:31" s="288" customFormat="1" ht="18" hidden="1">
      <c r="A137" s="2714"/>
      <c r="B137" s="371"/>
      <c r="C137" s="371" t="s">
        <v>2755</v>
      </c>
      <c r="D137" s="2716"/>
      <c r="E137" s="2721"/>
      <c r="F137" s="294"/>
      <c r="G137" s="376"/>
      <c r="H137" s="315"/>
      <c r="I137" s="315"/>
      <c r="J137" s="291"/>
      <c r="K137" s="291"/>
      <c r="L137" s="291"/>
      <c r="M137" s="291"/>
      <c r="Q137" s="290"/>
      <c r="R137" s="290"/>
      <c r="S137" s="364"/>
      <c r="Z137" s="609" t="s">
        <v>161</v>
      </c>
      <c r="AA137" s="609" t="s">
        <v>2880</v>
      </c>
      <c r="AB137" s="369"/>
      <c r="AC137" s="369"/>
      <c r="AD137" s="369"/>
      <c r="AE137" s="369" t="s">
        <v>2761</v>
      </c>
    </row>
    <row r="138" spans="1:31" ht="18">
      <c r="A138" s="2714" t="s">
        <v>170</v>
      </c>
      <c r="B138" s="371">
        <v>2</v>
      </c>
      <c r="C138" s="371"/>
      <c r="D138" s="2716" t="str">
        <f>VLOOKUP($A138,Sheet_NoteList,2,0)</f>
        <v>期末已质押的应收票据</v>
      </c>
      <c r="E138" s="2716" t="s">
        <v>2742</v>
      </c>
      <c r="F138" s="294"/>
      <c r="G138" s="372" t="str">
        <f>"("&amp;B138&amp;")"&amp;D138</f>
        <v>(2)期末已质押的应收票据</v>
      </c>
      <c r="H138" s="1517" t="str">
        <f>$A138</f>
        <v>1121b</v>
      </c>
      <c r="I138" s="343" t="s">
        <v>2743</v>
      </c>
      <c r="J138" s="301" t="s">
        <v>2744</v>
      </c>
      <c r="K138" s="2210">
        <f>H144</f>
        <v>0</v>
      </c>
      <c r="L138" s="345"/>
      <c r="M138" s="301"/>
      <c r="N138" s="3083"/>
      <c r="O138" s="315"/>
      <c r="P138" s="301"/>
      <c r="Q138" s="290" t="str">
        <f>IF($I138="不适用","",IF(ROUND(SUM($H$141:$H$144),2)=0,"请输入",""))</f>
        <v>请输入</v>
      </c>
      <c r="S138" s="364"/>
      <c r="Z138" s="609" t="s">
        <v>161</v>
      </c>
      <c r="AA138" s="609" t="s">
        <v>2880</v>
      </c>
    </row>
    <row r="139" spans="1:31" ht="0.75" customHeight="1" thickBot="1">
      <c r="A139" s="2714"/>
      <c r="B139" s="371"/>
      <c r="C139" s="371"/>
      <c r="D139" s="371"/>
      <c r="E139" s="586"/>
      <c r="F139" s="586"/>
      <c r="G139" s="586" t="s">
        <v>2868</v>
      </c>
      <c r="H139" s="371" t="s">
        <v>2869</v>
      </c>
      <c r="I139" s="291"/>
      <c r="J139" s="291"/>
      <c r="K139" s="291"/>
      <c r="L139" s="291"/>
      <c r="M139" s="291"/>
      <c r="N139" s="291"/>
      <c r="O139" s="291"/>
      <c r="S139" s="364"/>
      <c r="Z139" s="609" t="s">
        <v>161</v>
      </c>
      <c r="AA139" s="609" t="s">
        <v>2880</v>
      </c>
    </row>
    <row r="140" spans="1:31" ht="18">
      <c r="A140" s="2714"/>
      <c r="B140" s="371"/>
      <c r="C140" s="371"/>
      <c r="D140" s="371"/>
      <c r="E140" s="586" t="s">
        <v>2749</v>
      </c>
      <c r="F140" s="363"/>
      <c r="G140" s="2533" t="s">
        <v>6115</v>
      </c>
      <c r="H140" s="2535" t="s">
        <v>6116</v>
      </c>
      <c r="I140" s="355" t="s">
        <v>5269</v>
      </c>
      <c r="J140" s="291"/>
      <c r="K140" s="291"/>
      <c r="L140" s="291"/>
      <c r="M140" s="291"/>
      <c r="N140" s="291"/>
      <c r="O140" s="291"/>
      <c r="P140" s="291"/>
      <c r="Q140" s="367"/>
      <c r="R140" s="367"/>
      <c r="S140" s="364"/>
      <c r="Z140" s="609" t="s">
        <v>161</v>
      </c>
      <c r="AA140" s="609" t="s">
        <v>2880</v>
      </c>
    </row>
    <row r="141" spans="1:31" ht="18">
      <c r="A141" s="2714"/>
      <c r="B141" s="371">
        <v>101</v>
      </c>
      <c r="C141" s="371"/>
      <c r="D141" s="2716">
        <f>IF(OR(G141="*",G141="",G141=0),0,COUNTIF($G$141:$G$144,G141))</f>
        <v>1</v>
      </c>
      <c r="E141" s="2721">
        <v>1</v>
      </c>
      <c r="F141" s="294"/>
      <c r="G141" s="1474" t="s">
        <v>2864</v>
      </c>
      <c r="H141" s="2296"/>
      <c r="I141" s="291"/>
      <c r="J141" s="291"/>
      <c r="K141" s="291"/>
      <c r="L141" s="291"/>
      <c r="M141" s="291"/>
      <c r="N141" s="291"/>
      <c r="O141" s="291"/>
      <c r="P141" s="291"/>
      <c r="Q141" s="367"/>
      <c r="R141" s="367"/>
      <c r="S141" s="364"/>
      <c r="Z141" s="609" t="s">
        <v>161</v>
      </c>
      <c r="AA141" s="609" t="s">
        <v>2880</v>
      </c>
    </row>
    <row r="142" spans="1:31" ht="18">
      <c r="A142" s="2714"/>
      <c r="B142" s="371">
        <v>102</v>
      </c>
      <c r="C142" s="371"/>
      <c r="D142" s="2716">
        <f>IF(OR(G142="*",G142="",G142=0),0,COUNTIF($G$141:$G$144,G142))</f>
        <v>1</v>
      </c>
      <c r="E142" s="2721">
        <v>1</v>
      </c>
      <c r="F142" s="294"/>
      <c r="G142" s="1474" t="s">
        <v>2865</v>
      </c>
      <c r="H142" s="2296"/>
      <c r="I142" s="291"/>
      <c r="J142" s="291"/>
      <c r="K142" s="291"/>
      <c r="L142" s="291"/>
      <c r="M142" s="291"/>
      <c r="N142" s="291"/>
      <c r="O142" s="291"/>
      <c r="P142" s="291"/>
      <c r="Q142" s="367"/>
      <c r="R142" s="367"/>
      <c r="S142" s="364"/>
      <c r="Z142" s="609" t="s">
        <v>161</v>
      </c>
      <c r="AA142" s="609" t="s">
        <v>2880</v>
      </c>
    </row>
    <row r="143" spans="1:31" ht="18">
      <c r="A143" s="2714"/>
      <c r="B143" s="371">
        <v>103</v>
      </c>
      <c r="C143" s="371" t="s">
        <v>2791</v>
      </c>
      <c r="D143" s="2716">
        <f>IF(OR(G143="*",G143="",G143=0),0,COUNTIF($G$141:$G$144,G143))</f>
        <v>0</v>
      </c>
      <c r="E143" s="2721">
        <v>1</v>
      </c>
      <c r="F143" s="294"/>
      <c r="G143" s="2538" t="s">
        <v>2792</v>
      </c>
      <c r="H143" s="2296"/>
      <c r="I143" s="291"/>
      <c r="J143" s="291"/>
      <c r="K143" s="291"/>
      <c r="L143" s="291"/>
      <c r="M143" s="291"/>
      <c r="N143" s="291"/>
      <c r="O143" s="291"/>
      <c r="P143" s="291"/>
      <c r="Q143" s="367"/>
      <c r="R143" s="367"/>
      <c r="S143" s="364"/>
      <c r="Z143" s="609" t="s">
        <v>161</v>
      </c>
      <c r="AA143" s="609" t="s">
        <v>2880</v>
      </c>
    </row>
    <row r="144" spans="1:31" ht="18.75" thickBot="1">
      <c r="A144" s="2714"/>
      <c r="B144" s="371"/>
      <c r="C144" s="371"/>
      <c r="D144" s="2716">
        <f>IF(OR(G144="*",G144="",G144=0),0,COUNTIF($G$141:$G$144,G144))</f>
        <v>1</v>
      </c>
      <c r="E144" s="2721" t="s">
        <v>2751</v>
      </c>
      <c r="F144" s="294"/>
      <c r="G144" s="2234" t="s">
        <v>5141</v>
      </c>
      <c r="H144" s="2236">
        <f>SUMPRODUCT($E140:$E143,H140:H143)</f>
        <v>0</v>
      </c>
      <c r="I144" s="291"/>
      <c r="J144" s="291"/>
      <c r="K144" s="291"/>
      <c r="L144" s="291"/>
      <c r="M144" s="291"/>
      <c r="N144" s="291"/>
      <c r="O144" s="291"/>
      <c r="S144" s="364"/>
      <c r="Z144" s="609" t="s">
        <v>161</v>
      </c>
      <c r="AA144" s="609" t="s">
        <v>2880</v>
      </c>
    </row>
    <row r="145" spans="1:27" ht="18">
      <c r="A145" s="2714"/>
      <c r="B145" s="371"/>
      <c r="C145" s="371" t="s">
        <v>2755</v>
      </c>
      <c r="D145" s="371"/>
      <c r="F145" s="294"/>
      <c r="G145" s="301"/>
      <c r="H145" s="315"/>
      <c r="I145" s="291"/>
      <c r="J145" s="291"/>
      <c r="K145" s="291"/>
      <c r="L145" s="291"/>
      <c r="M145" s="291"/>
      <c r="N145" s="291"/>
      <c r="O145" s="291"/>
      <c r="S145" s="364"/>
      <c r="Z145" s="609" t="s">
        <v>161</v>
      </c>
      <c r="AA145" s="609" t="s">
        <v>2880</v>
      </c>
    </row>
    <row r="146" spans="1:27" ht="24">
      <c r="A146" s="2714" t="s">
        <v>178</v>
      </c>
      <c r="B146" s="371">
        <v>3</v>
      </c>
      <c r="C146" s="371"/>
      <c r="D146" s="2716" t="str">
        <f>VLOOKUP($A146,Sheet_NoteList,2,0)</f>
        <v>期末已背书或贴现但尚未到期的应收票据</v>
      </c>
      <c r="E146" s="2716" t="s">
        <v>2742</v>
      </c>
      <c r="F146" s="294"/>
      <c r="G146" s="372" t="str">
        <f>"("&amp;B146&amp;")"&amp;D146</f>
        <v>(3)期末已背书或贴现但尚未到期的应收票据</v>
      </c>
      <c r="H146" s="1517" t="str">
        <f>$A146</f>
        <v>1121d</v>
      </c>
      <c r="I146" s="343" t="s">
        <v>2743</v>
      </c>
      <c r="J146" s="301"/>
      <c r="K146" s="391"/>
      <c r="L146" s="345"/>
      <c r="M146" s="301"/>
      <c r="N146" s="3083"/>
      <c r="O146" s="315"/>
      <c r="P146" s="301"/>
      <c r="Q146" s="290" t="str">
        <f>IF($I146="不适用","",IF(ROUND(SUM($H$149:$I$158),2)=0,"请输入",""))</f>
        <v>请输入</v>
      </c>
      <c r="S146" s="364"/>
      <c r="Z146" s="609" t="s">
        <v>161</v>
      </c>
      <c r="AA146" s="609" t="s">
        <v>2880</v>
      </c>
    </row>
    <row r="147" spans="1:27" ht="0.75" customHeight="1" thickBot="1">
      <c r="A147" s="2714"/>
      <c r="B147" s="371"/>
      <c r="C147" s="371"/>
      <c r="D147" s="371"/>
      <c r="F147" s="371"/>
      <c r="G147" s="371" t="s">
        <v>2871</v>
      </c>
      <c r="H147" s="371" t="s">
        <v>2872</v>
      </c>
      <c r="I147" s="371" t="s">
        <v>2873</v>
      </c>
      <c r="J147" s="291"/>
      <c r="K147" s="291"/>
      <c r="L147" s="291"/>
      <c r="M147" s="291"/>
      <c r="N147" s="291"/>
      <c r="O147" s="291"/>
      <c r="S147" s="364"/>
      <c r="Z147" s="609" t="s">
        <v>161</v>
      </c>
      <c r="AA147" s="609" t="s">
        <v>2880</v>
      </c>
    </row>
    <row r="148" spans="1:27" ht="18">
      <c r="A148" s="2714"/>
      <c r="B148" s="371"/>
      <c r="C148" s="371"/>
      <c r="D148" s="371"/>
      <c r="E148" s="2716" t="s">
        <v>2749</v>
      </c>
      <c r="F148" s="294"/>
      <c r="G148" s="2498" t="s">
        <v>1412</v>
      </c>
      <c r="H148" s="2552" t="s">
        <v>5127</v>
      </c>
      <c r="I148" s="2551" t="s">
        <v>5128</v>
      </c>
      <c r="J148" s="355" t="s">
        <v>5269</v>
      </c>
      <c r="K148" s="291"/>
      <c r="L148" s="291"/>
      <c r="M148" s="291"/>
      <c r="N148" s="291"/>
      <c r="O148" s="291"/>
      <c r="S148" s="364"/>
      <c r="Z148" s="609" t="s">
        <v>161</v>
      </c>
      <c r="AA148" s="609" t="s">
        <v>2880</v>
      </c>
    </row>
    <row r="149" spans="1:27" ht="18">
      <c r="A149" s="2714"/>
      <c r="B149" s="371">
        <v>101</v>
      </c>
      <c r="C149" s="371"/>
      <c r="D149" s="2716">
        <f t="shared" ref="D149:D158" si="11">IF(OR(G149="*",G149="",G149=0),0,COUNTIF($G$149:$G$158,G149))</f>
        <v>1</v>
      </c>
      <c r="E149" s="2721">
        <v>1</v>
      </c>
      <c r="F149" s="294"/>
      <c r="G149" s="308" t="s">
        <v>2864</v>
      </c>
      <c r="H149" s="309"/>
      <c r="I149" s="346"/>
      <c r="J149" s="291"/>
      <c r="K149" s="291"/>
      <c r="L149" s="291"/>
      <c r="M149" s="291"/>
      <c r="N149" s="291"/>
      <c r="O149" s="291"/>
      <c r="P149" s="291"/>
      <c r="Q149" s="367"/>
      <c r="R149" s="367"/>
      <c r="S149" s="364"/>
      <c r="Z149" s="609" t="s">
        <v>161</v>
      </c>
      <c r="AA149" s="609" t="s">
        <v>2880</v>
      </c>
    </row>
    <row r="150" spans="1:27" ht="18">
      <c r="A150" s="2714"/>
      <c r="B150" s="371">
        <v>102</v>
      </c>
      <c r="C150" s="371"/>
      <c r="D150" s="2716">
        <f t="shared" si="11"/>
        <v>1</v>
      </c>
      <c r="E150" s="2721">
        <v>1</v>
      </c>
      <c r="F150" s="294"/>
      <c r="G150" s="308" t="s">
        <v>2865</v>
      </c>
      <c r="H150" s="309"/>
      <c r="I150" s="346"/>
      <c r="J150" s="291"/>
      <c r="K150" s="291"/>
      <c r="L150" s="291"/>
      <c r="M150" s="291"/>
      <c r="N150" s="291"/>
      <c r="O150" s="291"/>
      <c r="P150" s="291"/>
      <c r="Q150" s="367"/>
      <c r="R150" s="367"/>
      <c r="S150" s="364"/>
      <c r="Z150" s="609" t="s">
        <v>161</v>
      </c>
      <c r="AA150" s="609" t="s">
        <v>2880</v>
      </c>
    </row>
    <row r="151" spans="1:27" ht="18">
      <c r="A151" s="2714"/>
      <c r="B151" s="371">
        <v>103</v>
      </c>
      <c r="C151" s="371" t="s">
        <v>2791</v>
      </c>
      <c r="D151" s="2716">
        <f t="shared" si="11"/>
        <v>0</v>
      </c>
      <c r="E151" s="2721">
        <v>1</v>
      </c>
      <c r="F151" s="294"/>
      <c r="G151" s="319" t="s">
        <v>2792</v>
      </c>
      <c r="H151" s="309"/>
      <c r="I151" s="346"/>
      <c r="J151" s="291"/>
      <c r="K151" s="291"/>
      <c r="L151" s="291"/>
      <c r="M151" s="291"/>
      <c r="N151" s="291"/>
      <c r="O151" s="291"/>
      <c r="P151" s="291"/>
      <c r="Q151" s="367"/>
      <c r="R151" s="367"/>
      <c r="S151" s="364"/>
      <c r="Z151" s="609" t="s">
        <v>161</v>
      </c>
      <c r="AA151" s="609" t="s">
        <v>2880</v>
      </c>
    </row>
    <row r="152" spans="1:27" ht="18">
      <c r="A152" s="2714"/>
      <c r="B152" s="371">
        <v>104</v>
      </c>
      <c r="C152" s="371" t="s">
        <v>2791</v>
      </c>
      <c r="D152" s="2716">
        <f t="shared" si="11"/>
        <v>0</v>
      </c>
      <c r="E152" s="2721">
        <v>1</v>
      </c>
      <c r="F152" s="294"/>
      <c r="G152" s="319" t="s">
        <v>2792</v>
      </c>
      <c r="H152" s="309"/>
      <c r="I152" s="346"/>
      <c r="J152" s="291"/>
      <c r="K152" s="291"/>
      <c r="L152" s="291"/>
      <c r="M152" s="291"/>
      <c r="N152" s="291"/>
      <c r="O152" s="291"/>
      <c r="P152" s="291"/>
      <c r="Q152" s="367"/>
      <c r="R152" s="367"/>
      <c r="S152" s="364"/>
      <c r="Z152" s="609" t="s">
        <v>161</v>
      </c>
      <c r="AA152" s="609" t="s">
        <v>2880</v>
      </c>
    </row>
    <row r="153" spans="1:27" ht="24">
      <c r="A153" s="2714"/>
      <c r="B153" s="371">
        <v>105</v>
      </c>
      <c r="C153" s="371"/>
      <c r="D153" s="2716">
        <f t="shared" si="11"/>
        <v>1</v>
      </c>
      <c r="E153" s="2721" t="s">
        <v>41</v>
      </c>
      <c r="F153" s="294"/>
      <c r="G153" s="1459" t="s">
        <v>5126</v>
      </c>
      <c r="H153" s="309"/>
      <c r="I153" s="346"/>
      <c r="J153" s="355" t="s">
        <v>5142</v>
      </c>
      <c r="K153" s="291"/>
      <c r="L153" s="291"/>
      <c r="M153" s="291"/>
      <c r="N153" s="291"/>
      <c r="O153" s="291"/>
      <c r="P153" s="291"/>
      <c r="Q153" s="367"/>
      <c r="R153" s="367"/>
      <c r="S153" s="364"/>
      <c r="Z153" s="609" t="s">
        <v>161</v>
      </c>
      <c r="AA153" s="609" t="s">
        <v>2880</v>
      </c>
    </row>
    <row r="154" spans="1:27" ht="24">
      <c r="A154" s="2714"/>
      <c r="B154" s="371">
        <v>105.001</v>
      </c>
      <c r="C154" s="371"/>
      <c r="D154" s="2716">
        <f t="shared" si="11"/>
        <v>1</v>
      </c>
      <c r="E154" s="2721" t="s">
        <v>2875</v>
      </c>
      <c r="F154" s="294"/>
      <c r="G154" s="603" t="s">
        <v>2876</v>
      </c>
      <c r="H154" s="309"/>
      <c r="I154" s="346"/>
      <c r="J154" s="291"/>
      <c r="K154" s="291"/>
      <c r="L154" s="291"/>
      <c r="M154" s="291"/>
      <c r="N154" s="291"/>
      <c r="O154" s="291"/>
      <c r="P154" s="291"/>
      <c r="Q154" s="367"/>
      <c r="R154" s="367"/>
      <c r="S154" s="364"/>
      <c r="Z154" s="609" t="s">
        <v>161</v>
      </c>
      <c r="AA154" s="609" t="s">
        <v>2880</v>
      </c>
    </row>
    <row r="155" spans="1:27" ht="24">
      <c r="A155" s="2714"/>
      <c r="B155" s="371">
        <v>105.002</v>
      </c>
      <c r="C155" s="371"/>
      <c r="D155" s="2716">
        <f t="shared" si="11"/>
        <v>1</v>
      </c>
      <c r="E155" s="2721" t="s">
        <v>2875</v>
      </c>
      <c r="F155" s="294"/>
      <c r="G155" s="603" t="s">
        <v>2877</v>
      </c>
      <c r="H155" s="309"/>
      <c r="I155" s="346"/>
      <c r="J155" s="291"/>
      <c r="K155" s="291"/>
      <c r="L155" s="291"/>
      <c r="M155" s="291"/>
      <c r="N155" s="291"/>
      <c r="O155" s="291"/>
      <c r="P155" s="291"/>
      <c r="Q155" s="367"/>
      <c r="R155" s="367"/>
      <c r="S155" s="364"/>
      <c r="Z155" s="609" t="s">
        <v>161</v>
      </c>
      <c r="AA155" s="609" t="s">
        <v>2880</v>
      </c>
    </row>
    <row r="156" spans="1:27" ht="18">
      <c r="A156" s="2714"/>
      <c r="B156" s="371">
        <v>105.003</v>
      </c>
      <c r="C156" s="371" t="s">
        <v>2791</v>
      </c>
      <c r="D156" s="2716">
        <f t="shared" si="11"/>
        <v>0</v>
      </c>
      <c r="E156" s="2721" t="s">
        <v>2875</v>
      </c>
      <c r="F156" s="294"/>
      <c r="G156" s="578" t="s">
        <v>2792</v>
      </c>
      <c r="H156" s="309"/>
      <c r="I156" s="346"/>
      <c r="J156" s="291"/>
      <c r="K156" s="291"/>
      <c r="L156" s="291"/>
      <c r="M156" s="291"/>
      <c r="N156" s="291"/>
      <c r="O156" s="291"/>
      <c r="P156" s="291"/>
      <c r="Q156" s="367"/>
      <c r="R156" s="367"/>
      <c r="S156" s="364"/>
      <c r="Z156" s="609" t="s">
        <v>161</v>
      </c>
      <c r="AA156" s="609" t="s">
        <v>2880</v>
      </c>
    </row>
    <row r="157" spans="1:27" ht="18">
      <c r="A157" s="2714"/>
      <c r="B157" s="371">
        <v>105.999</v>
      </c>
      <c r="C157" s="371" t="s">
        <v>2793</v>
      </c>
      <c r="D157" s="2716">
        <f t="shared" si="11"/>
        <v>1</v>
      </c>
      <c r="E157" s="2721">
        <v>0</v>
      </c>
      <c r="F157" s="294"/>
      <c r="G157" s="308" t="s">
        <v>2875</v>
      </c>
      <c r="H157" s="377">
        <f>SUMIF($E$148:$E$157,$G157,H$148:H$157)</f>
        <v>0</v>
      </c>
      <c r="I157" s="397">
        <f>SUMIF($E$148:$E$157,$G157,I$148:I$157)</f>
        <v>0</v>
      </c>
      <c r="J157" s="291"/>
      <c r="K157" s="291"/>
      <c r="L157" s="291"/>
      <c r="M157" s="291"/>
      <c r="N157" s="291"/>
      <c r="O157" s="291"/>
      <c r="P157" s="291"/>
      <c r="Q157" s="367"/>
      <c r="R157" s="367"/>
      <c r="S157" s="364"/>
      <c r="Z157" s="609" t="s">
        <v>161</v>
      </c>
      <c r="AA157" s="609" t="s">
        <v>2880</v>
      </c>
    </row>
    <row r="158" spans="1:27" ht="18.75" thickBot="1">
      <c r="A158" s="2714"/>
      <c r="B158" s="371"/>
      <c r="C158" s="371"/>
      <c r="D158" s="2716">
        <f t="shared" si="11"/>
        <v>1</v>
      </c>
      <c r="E158" s="2721" t="s">
        <v>2751</v>
      </c>
      <c r="F158" s="294"/>
      <c r="G158" s="2234" t="s">
        <v>2752</v>
      </c>
      <c r="H158" s="2325">
        <f>SUMPRODUCT($E148:$E157,H148:H157)</f>
        <v>0</v>
      </c>
      <c r="I158" s="2342">
        <f>SUMPRODUCT($E148:$E157,I148:I157)</f>
        <v>0</v>
      </c>
      <c r="J158" s="291"/>
      <c r="K158" s="291"/>
      <c r="L158" s="291"/>
      <c r="M158" s="291"/>
      <c r="N158" s="291"/>
      <c r="O158" s="291"/>
      <c r="S158" s="364"/>
      <c r="Z158" s="609" t="s">
        <v>161</v>
      </c>
      <c r="AA158" s="609" t="s">
        <v>2880</v>
      </c>
    </row>
    <row r="159" spans="1:27" ht="18">
      <c r="A159" s="2714"/>
      <c r="B159" s="371"/>
      <c r="C159" s="371" t="s">
        <v>2755</v>
      </c>
      <c r="D159" s="371"/>
      <c r="F159" s="294"/>
      <c r="G159" s="301"/>
      <c r="H159" s="315"/>
      <c r="I159" s="315"/>
      <c r="J159" s="291"/>
      <c r="K159" s="291"/>
      <c r="L159" s="291"/>
      <c r="M159" s="291"/>
      <c r="N159" s="291"/>
      <c r="O159" s="291"/>
      <c r="S159" s="364"/>
      <c r="Z159" s="609" t="s">
        <v>161</v>
      </c>
      <c r="AA159" s="609" t="s">
        <v>2880</v>
      </c>
    </row>
    <row r="160" spans="1:27" ht="24">
      <c r="A160" s="2714" t="s">
        <v>189</v>
      </c>
      <c r="B160" s="371">
        <v>4</v>
      </c>
      <c r="C160" s="371"/>
      <c r="D160" s="2716" t="str">
        <f>VLOOKUP($A160,Sheet_NoteList,2,0)</f>
        <v>期末因出票人未履约而将其转应收账款的应收票据</v>
      </c>
      <c r="E160" s="2716" t="s">
        <v>2742</v>
      </c>
      <c r="F160" s="294"/>
      <c r="G160" s="372" t="str">
        <f>"("&amp;B160&amp;")"&amp;D160</f>
        <v>(4)期末因出票人未履约而将其转应收账款的应收票据</v>
      </c>
      <c r="H160" s="1517" t="str">
        <f>$A160</f>
        <v>1121c</v>
      </c>
      <c r="I160" s="343" t="s">
        <v>2743</v>
      </c>
      <c r="J160" s="301" t="s">
        <v>2744</v>
      </c>
      <c r="K160" s="2210">
        <f>H168</f>
        <v>0</v>
      </c>
      <c r="L160" s="345"/>
      <c r="M160" s="301"/>
      <c r="N160" s="3083"/>
      <c r="O160" s="315"/>
      <c r="P160" s="301"/>
      <c r="Q160" s="290" t="str">
        <f>IF($I160="不适用","",IF(ROUND(SUM($H$163:$H$168),2)=0,"请输入",""))</f>
        <v>请输入</v>
      </c>
      <c r="S160" s="364"/>
      <c r="Z160" s="609" t="s">
        <v>161</v>
      </c>
      <c r="AA160" s="609" t="s">
        <v>2880</v>
      </c>
    </row>
    <row r="161" spans="1:29" ht="0.75" customHeight="1" thickBot="1">
      <c r="A161" s="2714"/>
      <c r="B161" s="371"/>
      <c r="C161" s="371"/>
      <c r="D161" s="371"/>
      <c r="E161" s="586"/>
      <c r="F161" s="586"/>
      <c r="G161" s="586" t="s">
        <v>2878</v>
      </c>
      <c r="H161" s="371" t="s">
        <v>2879</v>
      </c>
      <c r="I161" s="291"/>
      <c r="J161" s="291"/>
      <c r="K161" s="291"/>
      <c r="L161" s="291"/>
      <c r="M161" s="291"/>
      <c r="N161" s="291"/>
      <c r="O161" s="291"/>
      <c r="S161" s="364"/>
      <c r="Z161" s="609" t="s">
        <v>161</v>
      </c>
      <c r="AA161" s="609" t="s">
        <v>2880</v>
      </c>
    </row>
    <row r="162" spans="1:29" ht="18">
      <c r="A162" s="2714"/>
      <c r="B162" s="371"/>
      <c r="C162" s="371"/>
      <c r="D162" s="371"/>
      <c r="E162" s="586" t="s">
        <v>2749</v>
      </c>
      <c r="F162" s="363"/>
      <c r="G162" s="2533" t="s">
        <v>1412</v>
      </c>
      <c r="H162" s="2535" t="s">
        <v>5991</v>
      </c>
      <c r="I162" s="355" t="s">
        <v>5269</v>
      </c>
      <c r="J162" s="291"/>
      <c r="K162" s="291"/>
      <c r="L162" s="291"/>
      <c r="M162" s="291"/>
      <c r="N162" s="291"/>
      <c r="O162" s="291"/>
      <c r="S162" s="364"/>
      <c r="Z162" s="609" t="s">
        <v>161</v>
      </c>
      <c r="AA162" s="609" t="s">
        <v>2880</v>
      </c>
    </row>
    <row r="163" spans="1:29" ht="18">
      <c r="A163" s="2714"/>
      <c r="B163" s="371">
        <v>101</v>
      </c>
      <c r="C163" s="371"/>
      <c r="D163" s="2716">
        <f t="shared" ref="D163:D168" si="12">IF(OR(G163="*",G163="",G163=0),0,COUNTIF($G$163:$G$168,G163))</f>
        <v>1</v>
      </c>
      <c r="E163" s="2721">
        <v>1</v>
      </c>
      <c r="F163" s="294"/>
      <c r="G163" s="1474" t="s">
        <v>2865</v>
      </c>
      <c r="H163" s="346"/>
      <c r="I163" s="291"/>
      <c r="J163" s="291"/>
      <c r="K163" s="291"/>
      <c r="L163" s="291"/>
      <c r="M163" s="291"/>
      <c r="N163" s="291"/>
      <c r="O163" s="291"/>
      <c r="P163" s="291"/>
      <c r="Q163" s="367"/>
      <c r="R163" s="367"/>
      <c r="S163" s="364"/>
      <c r="Z163" s="609" t="s">
        <v>161</v>
      </c>
      <c r="AA163" s="609" t="s">
        <v>2880</v>
      </c>
    </row>
    <row r="164" spans="1:29" ht="18">
      <c r="A164" s="2714"/>
      <c r="B164" s="371">
        <v>102</v>
      </c>
      <c r="C164" s="371" t="s">
        <v>2791</v>
      </c>
      <c r="D164" s="2716">
        <f t="shared" si="12"/>
        <v>0</v>
      </c>
      <c r="E164" s="2721">
        <v>1</v>
      </c>
      <c r="F164" s="294"/>
      <c r="G164" s="2222" t="s">
        <v>2792</v>
      </c>
      <c r="H164" s="346"/>
      <c r="I164" s="291"/>
      <c r="J164" s="291"/>
      <c r="K164" s="291"/>
      <c r="L164" s="291"/>
      <c r="M164" s="291"/>
      <c r="N164" s="291"/>
      <c r="O164" s="291"/>
      <c r="P164" s="291"/>
      <c r="Q164" s="367"/>
      <c r="R164" s="367"/>
      <c r="S164" s="364"/>
      <c r="Z164" s="609" t="s">
        <v>161</v>
      </c>
      <c r="AA164" s="609" t="s">
        <v>2880</v>
      </c>
    </row>
    <row r="165" spans="1:29" ht="18">
      <c r="A165" s="2714"/>
      <c r="B165" s="371">
        <v>103</v>
      </c>
      <c r="C165" s="371" t="s">
        <v>2791</v>
      </c>
      <c r="D165" s="2716">
        <f t="shared" si="12"/>
        <v>0</v>
      </c>
      <c r="E165" s="2721">
        <v>1</v>
      </c>
      <c r="F165" s="294"/>
      <c r="G165" s="2222" t="s">
        <v>2792</v>
      </c>
      <c r="H165" s="346"/>
      <c r="I165" s="291"/>
      <c r="J165" s="291"/>
      <c r="K165" s="291"/>
      <c r="L165" s="291"/>
      <c r="M165" s="291"/>
      <c r="N165" s="291"/>
      <c r="O165" s="291"/>
      <c r="P165" s="291"/>
      <c r="Q165" s="367"/>
      <c r="R165" s="367"/>
      <c r="S165" s="364"/>
      <c r="Z165" s="609" t="s">
        <v>161</v>
      </c>
      <c r="AA165" s="609" t="s">
        <v>2880</v>
      </c>
    </row>
    <row r="166" spans="1:29" ht="18">
      <c r="A166" s="2714"/>
      <c r="B166" s="371">
        <v>104</v>
      </c>
      <c r="C166" s="371" t="s">
        <v>2791</v>
      </c>
      <c r="D166" s="2716">
        <f t="shared" si="12"/>
        <v>0</v>
      </c>
      <c r="E166" s="2721">
        <v>1</v>
      </c>
      <c r="F166" s="294"/>
      <c r="G166" s="2222" t="s">
        <v>2792</v>
      </c>
      <c r="H166" s="346"/>
      <c r="I166" s="291"/>
      <c r="J166" s="291"/>
      <c r="K166" s="291"/>
      <c r="L166" s="291"/>
      <c r="M166" s="291"/>
      <c r="N166" s="291"/>
      <c r="O166" s="291"/>
      <c r="P166" s="291"/>
      <c r="Q166" s="367"/>
      <c r="R166" s="367"/>
      <c r="S166" s="364"/>
      <c r="Z166" s="609" t="s">
        <v>161</v>
      </c>
      <c r="AA166" s="609" t="s">
        <v>2880</v>
      </c>
    </row>
    <row r="167" spans="1:29" ht="18">
      <c r="A167" s="2714"/>
      <c r="B167" s="371">
        <v>105</v>
      </c>
      <c r="C167" s="371" t="s">
        <v>2791</v>
      </c>
      <c r="D167" s="2716">
        <f t="shared" si="12"/>
        <v>0</v>
      </c>
      <c r="E167" s="2721">
        <v>1</v>
      </c>
      <c r="F167" s="294"/>
      <c r="G167" s="2222" t="s">
        <v>2792</v>
      </c>
      <c r="H167" s="346"/>
      <c r="I167" s="291"/>
      <c r="J167" s="291"/>
      <c r="K167" s="291"/>
      <c r="L167" s="291"/>
      <c r="M167" s="291"/>
      <c r="N167" s="291"/>
      <c r="O167" s="291"/>
      <c r="P167" s="291"/>
      <c r="Q167" s="367"/>
      <c r="R167" s="367"/>
      <c r="S167" s="364"/>
      <c r="Z167" s="609" t="s">
        <v>161</v>
      </c>
      <c r="AA167" s="609" t="s">
        <v>2880</v>
      </c>
    </row>
    <row r="168" spans="1:29" ht="18.75" thickBot="1">
      <c r="A168" s="2714"/>
      <c r="B168" s="371"/>
      <c r="C168" s="371"/>
      <c r="D168" s="2716">
        <f t="shared" si="12"/>
        <v>1</v>
      </c>
      <c r="E168" s="2721" t="s">
        <v>2751</v>
      </c>
      <c r="F168" s="294"/>
      <c r="G168" s="2234" t="s">
        <v>2752</v>
      </c>
      <c r="H168" s="2236">
        <f>SUMPRODUCT($E162:$E167,H162:H167)</f>
        <v>0</v>
      </c>
      <c r="I168" s="291"/>
      <c r="J168" s="291"/>
      <c r="K168" s="291"/>
      <c r="L168" s="291"/>
      <c r="M168" s="291"/>
      <c r="N168" s="291"/>
      <c r="O168" s="291"/>
      <c r="S168" s="364"/>
      <c r="Z168" s="609" t="s">
        <v>161</v>
      </c>
      <c r="AA168" s="609" t="s">
        <v>2880</v>
      </c>
    </row>
    <row r="169" spans="1:29" ht="18">
      <c r="A169" s="2714"/>
      <c r="B169" s="371"/>
      <c r="C169" s="371" t="s">
        <v>2755</v>
      </c>
      <c r="D169" s="2716"/>
      <c r="E169" s="2721"/>
      <c r="F169" s="294"/>
      <c r="G169" s="301"/>
      <c r="H169" s="315"/>
      <c r="I169" s="291"/>
      <c r="J169" s="291"/>
      <c r="K169" s="291"/>
      <c r="L169" s="291"/>
      <c r="M169" s="291"/>
      <c r="N169" s="291"/>
      <c r="O169" s="291"/>
      <c r="S169" s="364"/>
      <c r="Z169" s="609" t="s">
        <v>161</v>
      </c>
      <c r="AA169" s="609" t="s">
        <v>2880</v>
      </c>
    </row>
    <row r="170" spans="1:29" ht="24">
      <c r="A170" s="2714" t="s">
        <v>199</v>
      </c>
      <c r="B170" s="371">
        <v>5</v>
      </c>
      <c r="C170" s="371"/>
      <c r="D170" s="2716" t="str">
        <f>VLOOKUP($A170,Sheet_NoteList,2,0)</f>
        <v>应收票据按坏账计提方法分类披露</v>
      </c>
      <c r="E170" s="2716" t="s">
        <v>2742</v>
      </c>
      <c r="F170" s="371"/>
      <c r="G170" s="372" t="str">
        <f>"("&amp;B170&amp;")"&amp;D170</f>
        <v>(5)应收票据按坏账计提方法分类披露</v>
      </c>
      <c r="H170" s="1517" t="str">
        <f>$A170</f>
        <v>1121f</v>
      </c>
      <c r="I170" s="343" t="s">
        <v>2743</v>
      </c>
      <c r="J170" s="301" t="s">
        <v>2744</v>
      </c>
      <c r="K170" s="2210">
        <f>L183</f>
        <v>0</v>
      </c>
      <c r="L170" s="349" t="str">
        <f>IF($I170="适用",IF(ROUND(K$119-K170,2)=0,"F/S",ROUND(K$119-K170,2)),"#N/A")</f>
        <v>F/S</v>
      </c>
      <c r="M170" s="301"/>
      <c r="N170" s="391"/>
      <c r="O170" s="349"/>
      <c r="P170" s="301"/>
      <c r="S170" s="364"/>
      <c r="Z170" s="609" t="s">
        <v>161</v>
      </c>
      <c r="AA170" s="609" t="s">
        <v>2880</v>
      </c>
    </row>
    <row r="171" spans="1:29" ht="0.75" customHeight="1">
      <c r="A171" s="2714"/>
      <c r="B171" s="371"/>
      <c r="C171" s="371"/>
      <c r="D171" s="2716"/>
      <c r="E171" s="586"/>
      <c r="F171" s="586"/>
      <c r="G171" s="2224" t="s">
        <v>2881</v>
      </c>
      <c r="H171" s="371" t="s">
        <v>5370</v>
      </c>
      <c r="I171" s="371" t="s">
        <v>5371</v>
      </c>
      <c r="J171" s="371" t="s">
        <v>5372</v>
      </c>
      <c r="K171" s="371" t="s">
        <v>5373</v>
      </c>
      <c r="L171" s="371" t="s">
        <v>5374</v>
      </c>
      <c r="M171" s="425"/>
      <c r="N171" s="426"/>
      <c r="O171" s="427"/>
      <c r="P171" s="425"/>
      <c r="Q171" s="442"/>
      <c r="R171" s="443"/>
      <c r="S171" s="364"/>
      <c r="Z171" s="609" t="s">
        <v>161</v>
      </c>
      <c r="AA171" s="609" t="s">
        <v>2880</v>
      </c>
    </row>
    <row r="172" spans="1:29" ht="0.75" customHeight="1" thickBot="1">
      <c r="A172" s="2714"/>
      <c r="B172" s="371"/>
      <c r="C172" s="371"/>
      <c r="D172" s="2716"/>
      <c r="E172" s="586"/>
      <c r="F172" s="586"/>
      <c r="G172" s="2224"/>
      <c r="H172" s="371" t="s">
        <v>5375</v>
      </c>
      <c r="I172" s="547" t="s">
        <v>5376</v>
      </c>
      <c r="J172" s="371" t="s">
        <v>5377</v>
      </c>
      <c r="K172" s="547" t="s">
        <v>5378</v>
      </c>
      <c r="L172" s="371" t="s">
        <v>5379</v>
      </c>
      <c r="M172" s="428"/>
      <c r="N172" s="429"/>
      <c r="O172" s="429"/>
      <c r="P172" s="428"/>
      <c r="Q172" s="442"/>
      <c r="R172" s="443"/>
      <c r="S172" s="364"/>
      <c r="Z172" s="609" t="s">
        <v>161</v>
      </c>
      <c r="AA172" s="609" t="s">
        <v>2880</v>
      </c>
    </row>
    <row r="173" spans="1:29" ht="18" customHeight="1">
      <c r="A173" s="2714"/>
      <c r="B173" s="371"/>
      <c r="C173" s="371"/>
      <c r="D173" s="2716"/>
      <c r="E173" s="586" t="s">
        <v>2749</v>
      </c>
      <c r="F173" s="414"/>
      <c r="G173" s="3472" t="s">
        <v>47</v>
      </c>
      <c r="H173" s="3533" t="str">
        <f>$V$2</f>
        <v>2019年12月31日</v>
      </c>
      <c r="I173" s="3533"/>
      <c r="J173" s="3533"/>
      <c r="K173" s="3533"/>
      <c r="L173" s="3418"/>
      <c r="M173" s="355" t="s">
        <v>5269</v>
      </c>
      <c r="N173" s="426"/>
      <c r="O173" s="427"/>
      <c r="P173" s="425"/>
      <c r="Q173" s="442"/>
      <c r="R173" s="443"/>
      <c r="S173" s="364"/>
      <c r="Z173" s="609" t="s">
        <v>161</v>
      </c>
      <c r="AA173" s="609" t="s">
        <v>2880</v>
      </c>
    </row>
    <row r="174" spans="1:29" ht="18">
      <c r="A174" s="2714"/>
      <c r="B174" s="371"/>
      <c r="C174" s="371"/>
      <c r="D174" s="2716"/>
      <c r="E174" s="586" t="s">
        <v>2749</v>
      </c>
      <c r="F174" s="414"/>
      <c r="G174" s="3473"/>
      <c r="H174" s="2237" t="s">
        <v>5992</v>
      </c>
      <c r="I174" s="2237" t="s">
        <v>2888</v>
      </c>
      <c r="J174" s="2237" t="s">
        <v>5993</v>
      </c>
      <c r="K174" s="2239" t="s">
        <v>2889</v>
      </c>
      <c r="L174" s="2240" t="s">
        <v>5994</v>
      </c>
      <c r="M174" s="425"/>
      <c r="N174" s="426"/>
      <c r="O174" s="427"/>
      <c r="P174" s="425"/>
      <c r="Q174" s="442"/>
      <c r="R174" s="443"/>
      <c r="S174" s="364"/>
      <c r="Z174" s="609" t="s">
        <v>161</v>
      </c>
      <c r="AA174" s="609" t="s">
        <v>2880</v>
      </c>
    </row>
    <row r="175" spans="1:29" ht="18">
      <c r="A175" s="2714"/>
      <c r="B175" s="371">
        <v>101</v>
      </c>
      <c r="C175" s="371"/>
      <c r="D175" s="2716">
        <f t="shared" ref="D175:D183" si="13">IF(OR(G175="*",G175="",G175=0),0,COUNTIF($G$175:$G$183,G175))</f>
        <v>1</v>
      </c>
      <c r="E175" s="2721">
        <v>1</v>
      </c>
      <c r="F175" s="293"/>
      <c r="G175" s="1474" t="s">
        <v>2890</v>
      </c>
      <c r="H175" s="309">
        <f>SUM(H176:H178)</f>
        <v>0</v>
      </c>
      <c r="I175" s="430"/>
      <c r="J175" s="309">
        <f>SUM(J176:J178)</f>
        <v>0</v>
      </c>
      <c r="K175" s="431"/>
      <c r="L175" s="1477">
        <f>H175-J175</f>
        <v>0</v>
      </c>
      <c r="M175" s="2256" t="str">
        <f ca="1">HYPERLINK("#'"&amp;$G$1&amp;"'!"&amp;ADDRESS(ROW(Notes!H208),COLUMN(Notes!H208),4),"* 请勿删除此行！点击往勾稽单元格，F5+Enter返回")</f>
        <v>* 请勿删除此行！点击往勾稽单元格，F5+Enter返回</v>
      </c>
      <c r="N175" s="426"/>
      <c r="O175" s="427"/>
      <c r="P175" s="425"/>
      <c r="Q175" s="442"/>
      <c r="R175" s="443"/>
      <c r="S175" s="364"/>
      <c r="Z175" s="609" t="s">
        <v>161</v>
      </c>
      <c r="AA175" s="609" t="s">
        <v>2880</v>
      </c>
      <c r="AC175" s="369" t="s">
        <v>2794</v>
      </c>
    </row>
    <row r="176" spans="1:29" ht="18">
      <c r="A176" s="2714"/>
      <c r="B176" s="371">
        <v>102</v>
      </c>
      <c r="C176" s="371" t="s">
        <v>2791</v>
      </c>
      <c r="D176" s="2716">
        <f t="shared" si="13"/>
        <v>1</v>
      </c>
      <c r="E176" s="2721">
        <v>0</v>
      </c>
      <c r="F176" s="293"/>
      <c r="G176" s="2222" t="s">
        <v>2891</v>
      </c>
      <c r="H176" s="309"/>
      <c r="I176" s="430"/>
      <c r="J176" s="309"/>
      <c r="K176" s="431"/>
      <c r="L176" s="1477">
        <f t="shared" ref="L176:L182" si="14">H176-J176</f>
        <v>0</v>
      </c>
      <c r="M176" s="355" t="s">
        <v>6136</v>
      </c>
      <c r="N176" s="426"/>
      <c r="O176" s="427"/>
      <c r="P176" s="425"/>
      <c r="Q176" s="442"/>
      <c r="R176" s="443"/>
      <c r="S176" s="364"/>
      <c r="Z176" s="609" t="s">
        <v>161</v>
      </c>
      <c r="AA176" s="609" t="s">
        <v>2880</v>
      </c>
    </row>
    <row r="177" spans="1:29" ht="18">
      <c r="A177" s="2714"/>
      <c r="B177" s="371">
        <v>103</v>
      </c>
      <c r="C177" s="371" t="s">
        <v>2791</v>
      </c>
      <c r="D177" s="2716">
        <f t="shared" si="13"/>
        <v>0</v>
      </c>
      <c r="E177" s="2721">
        <v>0</v>
      </c>
      <c r="F177" s="293"/>
      <c r="G177" s="2222"/>
      <c r="H177" s="309"/>
      <c r="I177" s="430"/>
      <c r="J177" s="309"/>
      <c r="K177" s="431"/>
      <c r="L177" s="1477">
        <f t="shared" si="14"/>
        <v>0</v>
      </c>
      <c r="M177" s="425"/>
      <c r="N177" s="426"/>
      <c r="O177" s="427"/>
      <c r="P177" s="425"/>
      <c r="Q177" s="442"/>
      <c r="R177" s="443"/>
      <c r="S177" s="364"/>
      <c r="Z177" s="609" t="s">
        <v>161</v>
      </c>
      <c r="AA177" s="609" t="s">
        <v>2880</v>
      </c>
    </row>
    <row r="178" spans="1:29" ht="18">
      <c r="A178" s="2714"/>
      <c r="B178" s="371">
        <v>104</v>
      </c>
      <c r="C178" s="371" t="s">
        <v>2791</v>
      </c>
      <c r="D178" s="2716">
        <f t="shared" si="13"/>
        <v>0</v>
      </c>
      <c r="E178" s="2721">
        <v>0</v>
      </c>
      <c r="F178" s="293"/>
      <c r="G178" s="2222"/>
      <c r="H178" s="309"/>
      <c r="I178" s="430"/>
      <c r="J178" s="309"/>
      <c r="K178" s="431"/>
      <c r="L178" s="1477">
        <f t="shared" si="14"/>
        <v>0</v>
      </c>
      <c r="M178" s="425"/>
      <c r="N178" s="426"/>
      <c r="O178" s="427"/>
      <c r="P178" s="425"/>
      <c r="Q178" s="442"/>
      <c r="R178" s="443"/>
      <c r="S178" s="364"/>
      <c r="Z178" s="609" t="s">
        <v>161</v>
      </c>
      <c r="AA178" s="609" t="s">
        <v>2880</v>
      </c>
    </row>
    <row r="179" spans="1:29" ht="18">
      <c r="A179" s="2714"/>
      <c r="B179" s="371">
        <v>105</v>
      </c>
      <c r="C179" s="371"/>
      <c r="D179" s="2716">
        <f t="shared" si="13"/>
        <v>1</v>
      </c>
      <c r="E179" s="2721">
        <v>1</v>
      </c>
      <c r="F179" s="293"/>
      <c r="G179" s="1474" t="s">
        <v>2892</v>
      </c>
      <c r="H179" s="309">
        <f>SUM(H180:H182)</f>
        <v>0</v>
      </c>
      <c r="I179" s="430"/>
      <c r="J179" s="309">
        <f>SUM(J180:J182)</f>
        <v>0</v>
      </c>
      <c r="K179" s="431"/>
      <c r="L179" s="1477">
        <f t="shared" si="14"/>
        <v>0</v>
      </c>
      <c r="M179" s="425"/>
      <c r="N179" s="426"/>
      <c r="O179" s="427"/>
      <c r="P179" s="425"/>
      <c r="Q179" s="442"/>
      <c r="R179" s="443"/>
      <c r="S179" s="364"/>
      <c r="Z179" s="609" t="s">
        <v>161</v>
      </c>
      <c r="AA179" s="609" t="s">
        <v>2880</v>
      </c>
    </row>
    <row r="180" spans="1:29" ht="18">
      <c r="A180" s="2714"/>
      <c r="B180" s="371">
        <v>106</v>
      </c>
      <c r="C180" s="371" t="s">
        <v>2791</v>
      </c>
      <c r="D180" s="2716">
        <f t="shared" si="13"/>
        <v>1</v>
      </c>
      <c r="E180" s="2721">
        <v>0</v>
      </c>
      <c r="F180" s="293"/>
      <c r="G180" s="2222" t="s">
        <v>2893</v>
      </c>
      <c r="H180" s="309"/>
      <c r="I180" s="430"/>
      <c r="J180" s="309"/>
      <c r="K180" s="431"/>
      <c r="L180" s="1477">
        <f t="shared" si="14"/>
        <v>0</v>
      </c>
      <c r="M180" s="2256" t="str">
        <f ca="1">HYPERLINK("#'"&amp;$G$1&amp;"'!"&amp;ADDRESS(ROW(Notes!I230),COLUMN(Notes!I230),4),"* 请勿删除此行！点击往勾稽单元格，F5+Enter返回")</f>
        <v>* 请勿删除此行！点击往勾稽单元格，F5+Enter返回</v>
      </c>
      <c r="N180" s="426"/>
      <c r="O180" s="427"/>
      <c r="P180" s="425"/>
      <c r="Q180" s="442"/>
      <c r="R180" s="443"/>
      <c r="S180" s="364"/>
      <c r="Z180" s="609" t="s">
        <v>161</v>
      </c>
      <c r="AA180" s="609" t="s">
        <v>2880</v>
      </c>
      <c r="AC180" s="369" t="s">
        <v>2794</v>
      </c>
    </row>
    <row r="181" spans="1:29" ht="18">
      <c r="A181" s="2714"/>
      <c r="B181" s="371">
        <v>107</v>
      </c>
      <c r="C181" s="371" t="s">
        <v>2791</v>
      </c>
      <c r="D181" s="2716">
        <f t="shared" si="13"/>
        <v>1</v>
      </c>
      <c r="E181" s="2721">
        <v>0</v>
      </c>
      <c r="F181" s="293"/>
      <c r="G181" s="2222" t="s">
        <v>2894</v>
      </c>
      <c r="H181" s="309"/>
      <c r="I181" s="430"/>
      <c r="J181" s="309"/>
      <c r="K181" s="431"/>
      <c r="L181" s="1477">
        <f t="shared" si="14"/>
        <v>0</v>
      </c>
      <c r="M181" s="425"/>
      <c r="N181" s="426"/>
      <c r="O181" s="427"/>
      <c r="P181" s="425"/>
      <c r="Q181" s="442"/>
      <c r="R181" s="443"/>
      <c r="S181" s="364"/>
      <c r="Z181" s="609" t="s">
        <v>161</v>
      </c>
      <c r="AA181" s="609" t="s">
        <v>2880</v>
      </c>
    </row>
    <row r="182" spans="1:29" ht="18">
      <c r="A182" s="2714"/>
      <c r="B182" s="371">
        <v>108</v>
      </c>
      <c r="C182" s="371" t="s">
        <v>2791</v>
      </c>
      <c r="D182" s="2716">
        <f t="shared" si="13"/>
        <v>0</v>
      </c>
      <c r="E182" s="2721">
        <v>0</v>
      </c>
      <c r="F182" s="293"/>
      <c r="G182" s="2222" t="s">
        <v>2792</v>
      </c>
      <c r="H182" s="309"/>
      <c r="I182" s="430"/>
      <c r="J182" s="309"/>
      <c r="K182" s="431"/>
      <c r="L182" s="1477">
        <f t="shared" si="14"/>
        <v>0</v>
      </c>
      <c r="M182" s="425"/>
      <c r="N182" s="426"/>
      <c r="O182" s="427"/>
      <c r="P182" s="425"/>
      <c r="Q182" s="442"/>
      <c r="R182" s="443"/>
      <c r="S182" s="364"/>
      <c r="Z182" s="609" t="s">
        <v>161</v>
      </c>
      <c r="AA182" s="609" t="s">
        <v>2880</v>
      </c>
    </row>
    <row r="183" spans="1:29" ht="18.75" thickBot="1">
      <c r="A183" s="2714"/>
      <c r="B183" s="371"/>
      <c r="C183" s="371"/>
      <c r="D183" s="2716">
        <f t="shared" si="13"/>
        <v>1</v>
      </c>
      <c r="E183" s="2721" t="s">
        <v>2751</v>
      </c>
      <c r="F183" s="293"/>
      <c r="G183" s="2234" t="s">
        <v>2752</v>
      </c>
      <c r="H183" s="2235">
        <f>SUMPRODUCT($E174:$E182,H174:H182)</f>
        <v>0</v>
      </c>
      <c r="I183" s="2242">
        <f>SUMPRODUCT($E174:$E182,I174:I182)</f>
        <v>0</v>
      </c>
      <c r="J183" s="2235">
        <f>SUMPRODUCT($E174:$E182,J174:J182)</f>
        <v>0</v>
      </c>
      <c r="K183" s="2241"/>
      <c r="L183" s="2236">
        <f>SUMPRODUCT($E174:$E182,L174:L182)</f>
        <v>0</v>
      </c>
      <c r="M183" s="425"/>
      <c r="N183" s="426"/>
      <c r="O183" s="427"/>
      <c r="P183" s="425"/>
      <c r="Q183" s="442"/>
      <c r="R183" s="443"/>
      <c r="S183" s="364"/>
      <c r="Z183" s="609" t="s">
        <v>161</v>
      </c>
      <c r="AA183" s="609" t="s">
        <v>2880</v>
      </c>
    </row>
    <row r="184" spans="1:29" ht="18.75" thickBot="1">
      <c r="A184" s="2714"/>
      <c r="B184" s="371"/>
      <c r="C184" s="371" t="s">
        <v>2755</v>
      </c>
      <c r="D184" s="2716"/>
      <c r="F184" s="293"/>
      <c r="G184" s="376"/>
      <c r="H184" s="527" t="s">
        <v>3002</v>
      </c>
      <c r="I184" s="432"/>
      <c r="J184" s="527" t="s">
        <v>5996</v>
      </c>
      <c r="K184" s="392"/>
      <c r="L184" s="527" t="s">
        <v>3002</v>
      </c>
      <c r="M184" s="425"/>
      <c r="N184" s="426"/>
      <c r="O184" s="427"/>
      <c r="P184" s="425"/>
      <c r="Q184" s="442"/>
      <c r="R184" s="443"/>
      <c r="S184" s="364"/>
      <c r="Z184" s="609" t="s">
        <v>161</v>
      </c>
      <c r="AA184" s="609" t="s">
        <v>2880</v>
      </c>
    </row>
    <row r="185" spans="1:29" ht="18.75" thickTop="1">
      <c r="A185" s="2714"/>
      <c r="B185" s="371"/>
      <c r="C185" s="371" t="s">
        <v>2565</v>
      </c>
      <c r="D185" s="2716"/>
      <c r="F185" s="293"/>
      <c r="G185" s="1549" t="s">
        <v>5367</v>
      </c>
      <c r="H185" s="1551" t="str">
        <f>G120</f>
        <v>(1)应收票据分类列示</v>
      </c>
      <c r="I185" s="1551"/>
      <c r="J185" s="1552"/>
      <c r="K185" s="1551"/>
      <c r="L185" s="1552"/>
      <c r="M185" s="1553" t="s">
        <v>5368</v>
      </c>
      <c r="N185" s="426"/>
      <c r="O185" s="427"/>
      <c r="P185" s="425"/>
      <c r="Q185" s="442"/>
      <c r="R185" s="442"/>
      <c r="S185" s="364"/>
      <c r="Z185" s="609" t="s">
        <v>161</v>
      </c>
      <c r="AA185" s="609" t="s">
        <v>2880</v>
      </c>
    </row>
    <row r="186" spans="1:29" ht="18">
      <c r="A186" s="2714"/>
      <c r="B186" s="371"/>
      <c r="C186" s="371" t="s">
        <v>2565</v>
      </c>
      <c r="D186" s="2716"/>
      <c r="F186" s="293"/>
      <c r="G186" s="604" t="str">
        <f>"注释A:"&amp; G128</f>
        <v>注释A:合       计</v>
      </c>
      <c r="H186" s="2252">
        <f ca="1">HYPERLINK("#'"&amp;$G$1&amp;"'!"&amp;ADDRESS(ROW(Notes!H128),COLUMN(Notes!H128),4),H128)</f>
        <v>0</v>
      </c>
      <c r="I186" s="351"/>
      <c r="J186" s="2252">
        <f ca="1">HYPERLINK("#'"&amp;$G$1&amp;"'!"&amp;ADDRESS(ROW(Notes!I128),COLUMN(Notes!I128),4),I128)</f>
        <v>0</v>
      </c>
      <c r="K186" s="351"/>
      <c r="L186" s="2252">
        <f ca="1">HYPERLINK("#'"&amp;$G$1&amp;"'!"&amp;ADDRESS(ROW(Notes!J128),COLUMN(Notes!J128),4),J128)</f>
        <v>0</v>
      </c>
      <c r="M186" s="2251" t="str">
        <f>H120</f>
        <v>1121e</v>
      </c>
      <c r="N186" s="426"/>
      <c r="O186" s="427"/>
      <c r="P186" s="425"/>
      <c r="Q186" s="442"/>
      <c r="R186" s="442"/>
      <c r="S186" s="364"/>
      <c r="Z186" s="609" t="s">
        <v>161</v>
      </c>
      <c r="AA186" s="609" t="s">
        <v>2880</v>
      </c>
    </row>
    <row r="187" spans="1:29" ht="18">
      <c r="A187" s="2714"/>
      <c r="B187" s="371"/>
      <c r="C187" s="371" t="s">
        <v>2565</v>
      </c>
      <c r="D187" s="2716"/>
      <c r="F187" s="293"/>
      <c r="G187" s="604" t="str">
        <f>"本注释B:"&amp; G183</f>
        <v>本注释B:合       计</v>
      </c>
      <c r="H187" s="456">
        <f>H183</f>
        <v>0</v>
      </c>
      <c r="I187" s="351"/>
      <c r="J187" s="456">
        <f>J183</f>
        <v>0</v>
      </c>
      <c r="K187" s="351"/>
      <c r="L187" s="456">
        <f>L183</f>
        <v>0</v>
      </c>
      <c r="M187" s="1544" t="s">
        <v>199</v>
      </c>
      <c r="N187" s="426"/>
      <c r="O187" s="427"/>
      <c r="P187" s="425"/>
      <c r="Q187" s="442"/>
      <c r="R187" s="442"/>
      <c r="S187" s="364"/>
      <c r="Z187" s="609" t="s">
        <v>161</v>
      </c>
      <c r="AA187" s="609" t="s">
        <v>2880</v>
      </c>
    </row>
    <row r="188" spans="1:29" ht="18.75" thickBot="1">
      <c r="A188" s="2714"/>
      <c r="B188" s="371"/>
      <c r="C188" s="371" t="s">
        <v>2565</v>
      </c>
      <c r="D188" s="2716"/>
      <c r="F188" s="293"/>
      <c r="G188" s="1554" t="s">
        <v>2757</v>
      </c>
      <c r="H188" s="1531">
        <f ca="1">IF(AND(H186="",H187=""),"",ROUND(H186-H187,2))</f>
        <v>0</v>
      </c>
      <c r="I188" s="1555"/>
      <c r="J188" s="1531">
        <f ca="1">IF(AND(J186="",J187=""),"",ROUND(J186-J187,2))</f>
        <v>0</v>
      </c>
      <c r="K188" s="1555"/>
      <c r="L188" s="1531">
        <f ca="1">IF(AND(L186="",L187=""),"",ROUND(L186-L187,2))</f>
        <v>0</v>
      </c>
      <c r="M188" s="1556"/>
      <c r="N188" s="426"/>
      <c r="O188" s="427"/>
      <c r="P188" s="425"/>
      <c r="Q188" s="442"/>
      <c r="R188" s="442"/>
      <c r="S188" s="364"/>
      <c r="Z188" s="609" t="s">
        <v>161</v>
      </c>
      <c r="AA188" s="609" t="s">
        <v>2880</v>
      </c>
    </row>
    <row r="189" spans="1:29" ht="18.75" thickTop="1">
      <c r="A189" s="2714"/>
      <c r="B189" s="371"/>
      <c r="C189" s="371" t="s">
        <v>2565</v>
      </c>
      <c r="D189" s="2716"/>
      <c r="F189" s="293"/>
      <c r="G189" s="1545"/>
      <c r="H189" s="459" t="str">
        <f ca="1">IF(OR(H188=0,H188=""),"√","？")</f>
        <v>√</v>
      </c>
      <c r="I189" s="317"/>
      <c r="J189" s="459" t="str">
        <f ca="1">IF(OR(J188=0,J188=""),"√","？")</f>
        <v>√</v>
      </c>
      <c r="K189" s="317"/>
      <c r="L189" s="459" t="str">
        <f ca="1">IF(OR(L188=0,L188=""),"√","？")</f>
        <v>√</v>
      </c>
      <c r="M189" s="1547"/>
      <c r="N189" s="426"/>
      <c r="O189" s="427"/>
      <c r="P189" s="425"/>
      <c r="Q189" s="442"/>
      <c r="R189" s="442"/>
      <c r="S189" s="364"/>
      <c r="Z189" s="609" t="s">
        <v>161</v>
      </c>
      <c r="AA189" s="609" t="s">
        <v>2880</v>
      </c>
    </row>
    <row r="190" spans="1:29" ht="18">
      <c r="A190" s="2714"/>
      <c r="B190" s="371"/>
      <c r="C190" s="371" t="s">
        <v>2565</v>
      </c>
      <c r="D190" s="2716"/>
      <c r="F190" s="293"/>
      <c r="G190" s="1559" t="s">
        <v>2759</v>
      </c>
      <c r="H190" s="461"/>
      <c r="I190" s="317"/>
      <c r="J190" s="461"/>
      <c r="K190" s="352">
        <f ca="1">SUMIF($H$189:$M$189,"&lt;&gt;√",$H$188:$M$188)</f>
        <v>0</v>
      </c>
      <c r="L190" s="353" t="str">
        <f ca="1">IF(OR(K190=0,K190=""),"√","？")</f>
        <v>√</v>
      </c>
      <c r="M190" s="1547"/>
      <c r="N190" s="426"/>
      <c r="O190" s="427"/>
      <c r="P190" s="425"/>
      <c r="Q190" s="442"/>
      <c r="R190" s="442"/>
      <c r="S190" s="364"/>
      <c r="Z190" s="609" t="s">
        <v>161</v>
      </c>
      <c r="AA190" s="609" t="s">
        <v>2880</v>
      </c>
    </row>
    <row r="191" spans="1:29" ht="18">
      <c r="A191" s="2714"/>
      <c r="B191" s="371"/>
      <c r="C191" s="371" t="s">
        <v>2565</v>
      </c>
      <c r="D191" s="2716"/>
      <c r="F191" s="293"/>
      <c r="G191" s="1545"/>
      <c r="H191" s="461"/>
      <c r="I191" s="317"/>
      <c r="J191" s="461"/>
      <c r="K191" s="317"/>
      <c r="L191" s="461"/>
      <c r="M191" s="1547"/>
      <c r="N191" s="426"/>
      <c r="O191" s="427"/>
      <c r="P191" s="425"/>
      <c r="Q191" s="442"/>
      <c r="R191" s="442"/>
      <c r="S191" s="364"/>
      <c r="Z191" s="609" t="s">
        <v>161</v>
      </c>
      <c r="AA191" s="609" t="s">
        <v>2880</v>
      </c>
    </row>
    <row r="192" spans="1:29" ht="24">
      <c r="A192" s="2714" t="s">
        <v>209</v>
      </c>
      <c r="B192" s="371">
        <v>5.0999999999999996</v>
      </c>
      <c r="C192" s="371"/>
      <c r="D192" s="2716" t="str">
        <f>VLOOKUP($A192,Sheet_NoteList,2,0)</f>
        <v>期末按单项计提坏账准备的应收票据</v>
      </c>
      <c r="E192" s="2716" t="s">
        <v>2742</v>
      </c>
      <c r="F192" s="293"/>
      <c r="G192" s="372" t="str">
        <f>"("&amp;B192&amp;")"&amp;D192</f>
        <v>(5.1)期末按单项计提坏账准备的应收票据</v>
      </c>
      <c r="H192" s="1517" t="str">
        <f>$A192</f>
        <v>1121g</v>
      </c>
      <c r="I192" s="343" t="s">
        <v>2743</v>
      </c>
      <c r="J192" s="301" t="s">
        <v>2744</v>
      </c>
      <c r="K192" s="2210">
        <f>H205</f>
        <v>0</v>
      </c>
      <c r="L192" s="349"/>
      <c r="M192" s="301"/>
      <c r="N192" s="391"/>
      <c r="O192" s="349"/>
      <c r="P192" s="301"/>
      <c r="S192" s="364"/>
      <c r="Z192" s="609" t="s">
        <v>161</v>
      </c>
      <c r="AA192" s="609" t="s">
        <v>2880</v>
      </c>
    </row>
    <row r="193" spans="1:27" ht="0.75" customHeight="1">
      <c r="A193" s="2714"/>
      <c r="B193" s="371"/>
      <c r="C193" s="371"/>
      <c r="D193" s="2716"/>
      <c r="E193" s="586"/>
      <c r="F193" s="586"/>
      <c r="G193" s="2224" t="s">
        <v>2895</v>
      </c>
      <c r="H193" s="371" t="s">
        <v>5380</v>
      </c>
      <c r="I193" s="371" t="s">
        <v>5381</v>
      </c>
      <c r="J193" s="371" t="s">
        <v>5382</v>
      </c>
      <c r="K193" s="547" t="s">
        <v>5383</v>
      </c>
      <c r="L193" s="428"/>
      <c r="M193" s="433"/>
      <c r="N193" s="428"/>
      <c r="O193" s="428"/>
      <c r="P193" s="433"/>
      <c r="Q193" s="442"/>
      <c r="R193" s="443"/>
      <c r="S193" s="364"/>
      <c r="Z193" s="609" t="s">
        <v>161</v>
      </c>
      <c r="AA193" s="609" t="s">
        <v>2880</v>
      </c>
    </row>
    <row r="194" spans="1:27" ht="0.75" customHeight="1" thickBot="1">
      <c r="A194" s="2714"/>
      <c r="B194" s="371"/>
      <c r="C194" s="371"/>
      <c r="D194" s="2716"/>
      <c r="E194" s="586"/>
      <c r="F194" s="586"/>
      <c r="G194" s="2224"/>
      <c r="H194" s="371" t="s">
        <v>5384</v>
      </c>
      <c r="I194" s="371" t="s">
        <v>5385</v>
      </c>
      <c r="J194" s="371" t="s">
        <v>5386</v>
      </c>
      <c r="K194" s="547" t="s">
        <v>5387</v>
      </c>
      <c r="L194" s="428"/>
      <c r="M194" s="433"/>
      <c r="N194" s="428"/>
      <c r="O194" s="428"/>
      <c r="P194" s="433"/>
      <c r="Q194" s="442"/>
      <c r="R194" s="443"/>
      <c r="S194" s="364"/>
      <c r="Z194" s="609" t="s">
        <v>161</v>
      </c>
      <c r="AA194" s="609" t="s">
        <v>2880</v>
      </c>
    </row>
    <row r="195" spans="1:27" ht="18" customHeight="1">
      <c r="A195" s="2714"/>
      <c r="B195" s="371"/>
      <c r="C195" s="371"/>
      <c r="D195" s="2716"/>
      <c r="E195" s="586" t="s">
        <v>2749</v>
      </c>
      <c r="F195" s="414"/>
      <c r="G195" s="3472" t="s">
        <v>5136</v>
      </c>
      <c r="H195" s="3533" t="str">
        <f>$V$2</f>
        <v>2019年12月31日</v>
      </c>
      <c r="I195" s="3415"/>
      <c r="J195" s="3415"/>
      <c r="K195" s="3431"/>
      <c r="L195" s="355" t="s">
        <v>5269</v>
      </c>
      <c r="M195" s="433"/>
      <c r="N195" s="428"/>
      <c r="O195" s="428"/>
      <c r="P195" s="433"/>
      <c r="Q195" s="442"/>
      <c r="R195" s="443"/>
      <c r="S195" s="364"/>
      <c r="Z195" s="609" t="s">
        <v>161</v>
      </c>
      <c r="AA195" s="609" t="s">
        <v>2880</v>
      </c>
    </row>
    <row r="196" spans="1:27" ht="18">
      <c r="A196" s="2714"/>
      <c r="B196" s="371"/>
      <c r="C196" s="371"/>
      <c r="D196" s="2716"/>
      <c r="E196" s="586" t="s">
        <v>2749</v>
      </c>
      <c r="F196" s="414"/>
      <c r="G196" s="3473"/>
      <c r="H196" s="2237" t="s">
        <v>2861</v>
      </c>
      <c r="I196" s="2237" t="s">
        <v>2862</v>
      </c>
      <c r="J196" s="2237" t="s">
        <v>2889</v>
      </c>
      <c r="K196" s="2243" t="s">
        <v>2899</v>
      </c>
      <c r="L196" s="434"/>
      <c r="M196" s="435"/>
      <c r="N196" s="434"/>
      <c r="O196" s="434"/>
      <c r="P196" s="435"/>
      <c r="Q196" s="442"/>
      <c r="R196" s="443"/>
      <c r="S196" s="364"/>
      <c r="Z196" s="609" t="s">
        <v>161</v>
      </c>
      <c r="AA196" s="609" t="s">
        <v>2880</v>
      </c>
    </row>
    <row r="197" spans="1:27" ht="18">
      <c r="A197" s="2714"/>
      <c r="B197" s="371">
        <v>101</v>
      </c>
      <c r="C197" s="371" t="s">
        <v>2791</v>
      </c>
      <c r="D197" s="2716">
        <f t="shared" ref="D197:D205" si="15">IF(OR(G197="*",G197="",G197=0),0,COUNTIF($G$197:$G$205,G197))</f>
        <v>0</v>
      </c>
      <c r="E197" s="2721">
        <v>1</v>
      </c>
      <c r="F197" s="293"/>
      <c r="G197" s="2255" t="s">
        <v>2792</v>
      </c>
      <c r="H197" s="309"/>
      <c r="I197" s="309"/>
      <c r="J197" s="360"/>
      <c r="K197" s="388"/>
      <c r="L197" s="437"/>
      <c r="M197" s="438"/>
      <c r="N197" s="439"/>
      <c r="O197" s="437"/>
      <c r="P197" s="438"/>
      <c r="Q197" s="442"/>
      <c r="R197" s="443"/>
      <c r="S197" s="364"/>
      <c r="Z197" s="609" t="s">
        <v>161</v>
      </c>
      <c r="AA197" s="609" t="s">
        <v>2880</v>
      </c>
    </row>
    <row r="198" spans="1:27" ht="18">
      <c r="A198" s="2714"/>
      <c r="B198" s="371">
        <v>102</v>
      </c>
      <c r="C198" s="371" t="s">
        <v>2791</v>
      </c>
      <c r="D198" s="2716">
        <f t="shared" si="15"/>
        <v>0</v>
      </c>
      <c r="E198" s="2721">
        <v>1</v>
      </c>
      <c r="F198" s="293"/>
      <c r="G198" s="2255" t="s">
        <v>2792</v>
      </c>
      <c r="H198" s="309"/>
      <c r="I198" s="309"/>
      <c r="J198" s="360"/>
      <c r="K198" s="388"/>
      <c r="L198" s="437"/>
      <c r="M198" s="438"/>
      <c r="N198" s="439"/>
      <c r="O198" s="437"/>
      <c r="P198" s="438"/>
      <c r="Q198" s="442"/>
      <c r="R198" s="443"/>
      <c r="S198" s="364"/>
      <c r="Z198" s="609" t="s">
        <v>161</v>
      </c>
      <c r="AA198" s="609" t="s">
        <v>2880</v>
      </c>
    </row>
    <row r="199" spans="1:27" ht="18">
      <c r="A199" s="2714"/>
      <c r="B199" s="371">
        <v>103</v>
      </c>
      <c r="C199" s="371" t="s">
        <v>2791</v>
      </c>
      <c r="D199" s="2716">
        <f t="shared" si="15"/>
        <v>0</v>
      </c>
      <c r="E199" s="2721">
        <v>1</v>
      </c>
      <c r="F199" s="293"/>
      <c r="G199" s="2255" t="s">
        <v>2792</v>
      </c>
      <c r="H199" s="309"/>
      <c r="I199" s="309"/>
      <c r="J199" s="360"/>
      <c r="K199" s="388"/>
      <c r="L199" s="437"/>
      <c r="M199" s="438"/>
      <c r="N199" s="439"/>
      <c r="O199" s="437"/>
      <c r="P199" s="438"/>
      <c r="Q199" s="442"/>
      <c r="R199" s="443"/>
      <c r="S199" s="364"/>
      <c r="Z199" s="609" t="s">
        <v>161</v>
      </c>
      <c r="AA199" s="609" t="s">
        <v>2880</v>
      </c>
    </row>
    <row r="200" spans="1:27" ht="18">
      <c r="A200" s="2714"/>
      <c r="B200" s="371">
        <v>104</v>
      </c>
      <c r="C200" s="371" t="s">
        <v>2791</v>
      </c>
      <c r="D200" s="2716">
        <f t="shared" si="15"/>
        <v>0</v>
      </c>
      <c r="E200" s="2721">
        <v>1</v>
      </c>
      <c r="F200" s="293"/>
      <c r="G200" s="2255" t="s">
        <v>2792</v>
      </c>
      <c r="H200" s="309"/>
      <c r="I200" s="309"/>
      <c r="J200" s="360"/>
      <c r="K200" s="388"/>
      <c r="L200" s="437"/>
      <c r="M200" s="438"/>
      <c r="N200" s="439"/>
      <c r="O200" s="437"/>
      <c r="P200" s="438"/>
      <c r="Q200" s="442"/>
      <c r="R200" s="443"/>
      <c r="S200" s="364"/>
      <c r="Z200" s="609" t="s">
        <v>161</v>
      </c>
      <c r="AA200" s="609" t="s">
        <v>2880</v>
      </c>
    </row>
    <row r="201" spans="1:27" ht="18">
      <c r="A201" s="2714"/>
      <c r="B201" s="371">
        <v>105</v>
      </c>
      <c r="C201" s="371" t="s">
        <v>2791</v>
      </c>
      <c r="D201" s="2716">
        <f t="shared" si="15"/>
        <v>0</v>
      </c>
      <c r="E201" s="2721">
        <v>1</v>
      </c>
      <c r="F201" s="293"/>
      <c r="G201" s="2255" t="s">
        <v>2792</v>
      </c>
      <c r="H201" s="309"/>
      <c r="I201" s="309"/>
      <c r="J201" s="360"/>
      <c r="K201" s="388"/>
      <c r="L201" s="437"/>
      <c r="M201" s="438"/>
      <c r="N201" s="439"/>
      <c r="O201" s="437"/>
      <c r="P201" s="438"/>
      <c r="Q201" s="442"/>
      <c r="R201" s="443"/>
      <c r="S201" s="364"/>
      <c r="Z201" s="609" t="s">
        <v>161</v>
      </c>
      <c r="AA201" s="609" t="s">
        <v>2880</v>
      </c>
    </row>
    <row r="202" spans="1:27" ht="18">
      <c r="A202" s="2714"/>
      <c r="B202" s="371">
        <v>106</v>
      </c>
      <c r="C202" s="371" t="s">
        <v>2791</v>
      </c>
      <c r="D202" s="2716">
        <f t="shared" si="15"/>
        <v>0</v>
      </c>
      <c r="E202" s="2721">
        <v>1</v>
      </c>
      <c r="F202" s="293"/>
      <c r="G202" s="2255" t="s">
        <v>2792</v>
      </c>
      <c r="H202" s="309"/>
      <c r="I202" s="309"/>
      <c r="J202" s="360"/>
      <c r="K202" s="388"/>
      <c r="L202" s="437"/>
      <c r="M202" s="438"/>
      <c r="N202" s="439"/>
      <c r="O202" s="437"/>
      <c r="P202" s="438"/>
      <c r="Q202" s="442"/>
      <c r="R202" s="443"/>
      <c r="S202" s="364"/>
      <c r="Z202" s="609" t="s">
        <v>161</v>
      </c>
      <c r="AA202" s="609" t="s">
        <v>2880</v>
      </c>
    </row>
    <row r="203" spans="1:27" ht="18">
      <c r="A203" s="2714"/>
      <c r="B203" s="371">
        <v>107</v>
      </c>
      <c r="C203" s="371" t="s">
        <v>2791</v>
      </c>
      <c r="D203" s="2716">
        <f t="shared" si="15"/>
        <v>0</v>
      </c>
      <c r="E203" s="2721">
        <v>1</v>
      </c>
      <c r="F203" s="293"/>
      <c r="G203" s="2255" t="s">
        <v>2792</v>
      </c>
      <c r="H203" s="309"/>
      <c r="I203" s="309"/>
      <c r="J203" s="360"/>
      <c r="K203" s="388"/>
      <c r="L203" s="437"/>
      <c r="M203" s="438"/>
      <c r="N203" s="439"/>
      <c r="O203" s="437"/>
      <c r="P203" s="438"/>
      <c r="Q203" s="442"/>
      <c r="R203" s="443"/>
      <c r="S203" s="364"/>
      <c r="Z203" s="609" t="s">
        <v>161</v>
      </c>
      <c r="AA203" s="609" t="s">
        <v>2880</v>
      </c>
    </row>
    <row r="204" spans="1:27" ht="18">
      <c r="A204" s="2714"/>
      <c r="B204" s="371">
        <v>108</v>
      </c>
      <c r="C204" s="371" t="s">
        <v>2791</v>
      </c>
      <c r="D204" s="2716">
        <f t="shared" si="15"/>
        <v>0</v>
      </c>
      <c r="E204" s="2721">
        <v>1</v>
      </c>
      <c r="F204" s="293"/>
      <c r="G204" s="2255" t="s">
        <v>2792</v>
      </c>
      <c r="H204" s="309"/>
      <c r="I204" s="309"/>
      <c r="J204" s="360"/>
      <c r="K204" s="388"/>
      <c r="L204" s="437"/>
      <c r="M204" s="438"/>
      <c r="N204" s="439"/>
      <c r="O204" s="437"/>
      <c r="P204" s="438"/>
      <c r="Q204" s="442"/>
      <c r="R204" s="443"/>
      <c r="S204" s="364"/>
      <c r="Z204" s="609" t="s">
        <v>161</v>
      </c>
      <c r="AA204" s="609" t="s">
        <v>2880</v>
      </c>
    </row>
    <row r="205" spans="1:27" ht="18.75" thickBot="1">
      <c r="A205" s="2714"/>
      <c r="B205" s="371"/>
      <c r="C205" s="371"/>
      <c r="D205" s="2716">
        <f t="shared" si="15"/>
        <v>1</v>
      </c>
      <c r="E205" s="2721" t="s">
        <v>2751</v>
      </c>
      <c r="F205" s="293"/>
      <c r="G205" s="2234" t="s">
        <v>2752</v>
      </c>
      <c r="H205" s="2235">
        <f>SUMPRODUCT($E196:$E204,H196:H204)</f>
        <v>0</v>
      </c>
      <c r="I205" s="2235">
        <f>SUMPRODUCT($E196:$E204,I196:I204)</f>
        <v>0</v>
      </c>
      <c r="J205" s="2242"/>
      <c r="K205" s="2244"/>
      <c r="L205" s="437"/>
      <c r="M205" s="440"/>
      <c r="N205" s="439"/>
      <c r="O205" s="437"/>
      <c r="P205" s="440"/>
      <c r="Q205" s="442"/>
      <c r="R205" s="443"/>
      <c r="S205" s="364"/>
      <c r="Z205" s="609" t="s">
        <v>161</v>
      </c>
      <c r="AA205" s="609" t="s">
        <v>2880</v>
      </c>
    </row>
    <row r="206" spans="1:27" ht="18.75" thickBot="1">
      <c r="A206" s="2714"/>
      <c r="B206" s="371"/>
      <c r="C206" s="371" t="s">
        <v>2755</v>
      </c>
      <c r="D206" s="2716"/>
      <c r="F206" s="293"/>
      <c r="G206" s="376"/>
      <c r="H206" s="527" t="s">
        <v>3002</v>
      </c>
      <c r="I206" s="2253" t="s">
        <v>3002</v>
      </c>
      <c r="J206" s="393"/>
      <c r="K206" s="392"/>
      <c r="L206" s="427"/>
      <c r="M206" s="425"/>
      <c r="N206" s="426"/>
      <c r="O206" s="427"/>
      <c r="P206" s="425"/>
      <c r="Q206" s="442"/>
      <c r="R206" s="443"/>
      <c r="S206" s="364"/>
      <c r="Z206" s="609" t="s">
        <v>161</v>
      </c>
      <c r="AA206" s="609" t="s">
        <v>2880</v>
      </c>
    </row>
    <row r="207" spans="1:27" ht="18.75" thickTop="1">
      <c r="A207" s="2714"/>
      <c r="B207" s="371"/>
      <c r="C207" s="371" t="s">
        <v>2565</v>
      </c>
      <c r="D207" s="2716"/>
      <c r="F207" s="293"/>
      <c r="G207" s="1549" t="s">
        <v>5367</v>
      </c>
      <c r="H207" s="1550" t="str">
        <f>G170</f>
        <v>(5)应收票据按坏账计提方法分类披露</v>
      </c>
      <c r="I207" s="1552"/>
      <c r="J207" s="1551"/>
      <c r="K207" s="1551"/>
      <c r="L207" s="1553" t="s">
        <v>5368</v>
      </c>
      <c r="M207" s="425"/>
      <c r="N207" s="426"/>
      <c r="O207" s="427"/>
      <c r="P207" s="425"/>
      <c r="Q207" s="442"/>
      <c r="R207" s="442"/>
      <c r="S207" s="364"/>
      <c r="Z207" s="609" t="s">
        <v>161</v>
      </c>
      <c r="AA207" s="609" t="s">
        <v>2880</v>
      </c>
    </row>
    <row r="208" spans="1:27" ht="18">
      <c r="A208" s="2714"/>
      <c r="B208" s="371"/>
      <c r="C208" s="371" t="s">
        <v>2565</v>
      </c>
      <c r="D208" s="2716"/>
      <c r="F208" s="293"/>
      <c r="G208" s="604" t="str">
        <f>"注释A:"&amp; G175</f>
        <v>注释A:按单项计提坏账准备</v>
      </c>
      <c r="H208" s="2252">
        <f ca="1">HYPERLINK("#'"&amp;$G$1&amp;"'!"&amp;ADDRESS(ROW(Notes!H175),COLUMN(Notes!H175),4),HYPERLINK("#'"&amp;$G$1&amp;"'!"&amp;ADDRESS(ROW(Notes!H175),COLUMN(Notes!H175),4),H175))</f>
        <v>0</v>
      </c>
      <c r="I208" s="2252">
        <f ca="1">HYPERLINK("#'"&amp;$G$1&amp;"'!"&amp;ADDRESS(ROW(Notes!J175),COLUMN(Notes!J175),4),J175)</f>
        <v>0</v>
      </c>
      <c r="J208" s="351"/>
      <c r="K208" s="351"/>
      <c r="L208" s="2251" t="str">
        <f>H170</f>
        <v>1121f</v>
      </c>
      <c r="M208" s="425"/>
      <c r="N208" s="426"/>
      <c r="O208" s="427"/>
      <c r="P208" s="425"/>
      <c r="Q208" s="442"/>
      <c r="R208" s="442"/>
      <c r="S208" s="364"/>
      <c r="Z208" s="609" t="s">
        <v>161</v>
      </c>
      <c r="AA208" s="609" t="s">
        <v>2880</v>
      </c>
    </row>
    <row r="209" spans="1:27" ht="18">
      <c r="A209" s="2714"/>
      <c r="B209" s="371"/>
      <c r="C209" s="371" t="s">
        <v>2565</v>
      </c>
      <c r="D209" s="2716"/>
      <c r="F209" s="293"/>
      <c r="G209" s="604" t="str">
        <f>"本注释B:"&amp; G205</f>
        <v>本注释B:合       计</v>
      </c>
      <c r="H209" s="456">
        <f>H205</f>
        <v>0</v>
      </c>
      <c r="I209" s="456">
        <f>I205</f>
        <v>0</v>
      </c>
      <c r="J209" s="351"/>
      <c r="K209" s="351"/>
      <c r="L209" s="1544" t="s">
        <v>209</v>
      </c>
      <c r="M209" s="425"/>
      <c r="N209" s="426"/>
      <c r="O209" s="427"/>
      <c r="P209" s="425"/>
      <c r="Q209" s="442"/>
      <c r="R209" s="442"/>
      <c r="S209" s="364"/>
      <c r="Z209" s="609" t="s">
        <v>161</v>
      </c>
      <c r="AA209" s="609" t="s">
        <v>2880</v>
      </c>
    </row>
    <row r="210" spans="1:27" ht="18.75" thickBot="1">
      <c r="A210" s="2714"/>
      <c r="B210" s="371"/>
      <c r="C210" s="371" t="s">
        <v>2565</v>
      </c>
      <c r="D210" s="2716"/>
      <c r="F210" s="293"/>
      <c r="G210" s="1554" t="s">
        <v>2757</v>
      </c>
      <c r="H210" s="1531">
        <f ca="1">IF(AND(H208="",H209=""),"",ROUND(H208-H209,2))</f>
        <v>0</v>
      </c>
      <c r="I210" s="1531">
        <f ca="1">IF(AND(I208="",I209=""),"",ROUND(I208-I209,2))</f>
        <v>0</v>
      </c>
      <c r="J210" s="1555"/>
      <c r="K210" s="1555"/>
      <c r="L210" s="1556"/>
      <c r="M210" s="425"/>
      <c r="N210" s="426"/>
      <c r="O210" s="427"/>
      <c r="P210" s="425"/>
      <c r="Q210" s="442"/>
      <c r="R210" s="442"/>
      <c r="S210" s="364"/>
      <c r="Z210" s="609" t="s">
        <v>161</v>
      </c>
      <c r="AA210" s="609" t="s">
        <v>2880</v>
      </c>
    </row>
    <row r="211" spans="1:27" ht="18.75" thickTop="1">
      <c r="A211" s="2714"/>
      <c r="B211" s="371"/>
      <c r="C211" s="371" t="s">
        <v>2565</v>
      </c>
      <c r="D211" s="2716"/>
      <c r="F211" s="293"/>
      <c r="G211" s="1545"/>
      <c r="H211" s="459" t="str">
        <f ca="1">IF(OR(H210=0,H210=""),"√","？")</f>
        <v>√</v>
      </c>
      <c r="I211" s="459" t="str">
        <f ca="1">IF(OR(I210=0,I210=""),"√","？")</f>
        <v>√</v>
      </c>
      <c r="J211" s="317"/>
      <c r="K211" s="317"/>
      <c r="L211" s="1547"/>
      <c r="M211" s="425"/>
      <c r="N211" s="426"/>
      <c r="O211" s="427"/>
      <c r="P211" s="425"/>
      <c r="Q211" s="442"/>
      <c r="R211" s="442"/>
      <c r="S211" s="364"/>
      <c r="Z211" s="609" t="s">
        <v>161</v>
      </c>
      <c r="AA211" s="609" t="s">
        <v>2880</v>
      </c>
    </row>
    <row r="212" spans="1:27" ht="18">
      <c r="A212" s="2714"/>
      <c r="B212" s="371"/>
      <c r="C212" s="371" t="s">
        <v>2565</v>
      </c>
      <c r="D212" s="2716"/>
      <c r="F212" s="293"/>
      <c r="G212" s="1559" t="s">
        <v>2759</v>
      </c>
      <c r="H212" s="461"/>
      <c r="I212" s="461"/>
      <c r="J212" s="317"/>
      <c r="K212" s="352">
        <f ca="1">SUMIF($H$211:$L$211,"&lt;&gt;√",$H$210:$L$210)</f>
        <v>0</v>
      </c>
      <c r="L212" s="2254" t="str">
        <f ca="1">IF(OR(K212=0,K212=""),"√","？")</f>
        <v>√</v>
      </c>
      <c r="M212" s="425"/>
      <c r="N212" s="426"/>
      <c r="O212" s="427"/>
      <c r="P212" s="425"/>
      <c r="Q212" s="442"/>
      <c r="R212" s="442"/>
      <c r="S212" s="364"/>
      <c r="Z212" s="609" t="s">
        <v>161</v>
      </c>
      <c r="AA212" s="609" t="s">
        <v>2880</v>
      </c>
    </row>
    <row r="213" spans="1:27" ht="18">
      <c r="A213" s="2714"/>
      <c r="B213" s="371"/>
      <c r="C213" s="371" t="s">
        <v>2565</v>
      </c>
      <c r="D213" s="2716"/>
      <c r="F213" s="293"/>
      <c r="G213" s="1545"/>
      <c r="H213" s="461"/>
      <c r="I213" s="461"/>
      <c r="J213" s="317"/>
      <c r="K213" s="317"/>
      <c r="L213" s="1547"/>
      <c r="M213" s="425"/>
      <c r="N213" s="426"/>
      <c r="O213" s="427"/>
      <c r="P213" s="425"/>
      <c r="Q213" s="442"/>
      <c r="R213" s="442"/>
      <c r="S213" s="364"/>
      <c r="Z213" s="609" t="s">
        <v>161</v>
      </c>
      <c r="AA213" s="609" t="s">
        <v>2880</v>
      </c>
    </row>
    <row r="214" spans="1:27" ht="24">
      <c r="A214" s="2714" t="s">
        <v>219</v>
      </c>
      <c r="B214" s="371">
        <v>5.2</v>
      </c>
      <c r="C214" s="371"/>
      <c r="D214" s="2716" t="str">
        <f>VLOOKUP($A214,Sheet_NoteList,2,0)</f>
        <v>期末按按组合1计提坏账准备的应收票据</v>
      </c>
      <c r="E214" s="2716" t="s">
        <v>2742</v>
      </c>
      <c r="F214" s="293"/>
      <c r="G214" s="372" t="str">
        <f>"("&amp;B214&amp;")"&amp;D214</f>
        <v>(5.2)期末按按组合1计提坏账准备的应收票据</v>
      </c>
      <c r="H214" s="1517" t="str">
        <f>$A214</f>
        <v>1121h</v>
      </c>
      <c r="I214" s="343" t="s">
        <v>2743</v>
      </c>
      <c r="J214" s="301" t="s">
        <v>2744</v>
      </c>
      <c r="K214" s="2210">
        <f>H227</f>
        <v>0</v>
      </c>
      <c r="L214" s="349"/>
      <c r="M214" s="301"/>
      <c r="N214" s="391"/>
      <c r="O214" s="349"/>
      <c r="P214" s="301"/>
      <c r="S214" s="364"/>
      <c r="Z214" s="609" t="s">
        <v>161</v>
      </c>
      <c r="AA214" s="609" t="s">
        <v>2880</v>
      </c>
    </row>
    <row r="215" spans="1:27" ht="0.75" customHeight="1">
      <c r="A215" s="2714"/>
      <c r="B215" s="371"/>
      <c r="C215" s="371"/>
      <c r="D215" s="2716"/>
      <c r="E215" s="586"/>
      <c r="F215" s="586"/>
      <c r="G215" s="2224" t="s">
        <v>2900</v>
      </c>
      <c r="H215" s="371" t="s">
        <v>2882</v>
      </c>
      <c r="I215" s="371" t="s">
        <v>2896</v>
      </c>
      <c r="J215" s="371" t="s">
        <v>2897</v>
      </c>
      <c r="K215" s="428"/>
      <c r="L215" s="428"/>
      <c r="M215" s="433"/>
      <c r="N215" s="428"/>
      <c r="O215" s="428"/>
      <c r="P215" s="433"/>
      <c r="Q215" s="442"/>
      <c r="R215" s="443"/>
      <c r="S215" s="364"/>
      <c r="Z215" s="609" t="s">
        <v>161</v>
      </c>
      <c r="AA215" s="609" t="s">
        <v>2880</v>
      </c>
    </row>
    <row r="216" spans="1:27" ht="0.75" customHeight="1" thickBot="1">
      <c r="A216" s="2714"/>
      <c r="B216" s="371"/>
      <c r="C216" s="371"/>
      <c r="D216" s="2716"/>
      <c r="E216" s="586"/>
      <c r="F216" s="586"/>
      <c r="G216" s="2224"/>
      <c r="H216" s="371" t="s">
        <v>2901</v>
      </c>
      <c r="I216" s="371" t="s">
        <v>2856</v>
      </c>
      <c r="J216" s="371" t="s">
        <v>2902</v>
      </c>
      <c r="K216" s="428"/>
      <c r="L216" s="428"/>
      <c r="M216" s="433"/>
      <c r="N216" s="428"/>
      <c r="O216" s="428"/>
      <c r="P216" s="433"/>
      <c r="Q216" s="442"/>
      <c r="R216" s="443"/>
      <c r="S216" s="364"/>
      <c r="Z216" s="609" t="s">
        <v>161</v>
      </c>
      <c r="AA216" s="609" t="s">
        <v>2880</v>
      </c>
    </row>
    <row r="217" spans="1:27" ht="18" customHeight="1">
      <c r="A217" s="2714"/>
      <c r="B217" s="371"/>
      <c r="C217" s="371"/>
      <c r="D217" s="2716"/>
      <c r="E217" s="586" t="s">
        <v>2749</v>
      </c>
      <c r="F217" s="414"/>
      <c r="G217" s="3472" t="s">
        <v>5136</v>
      </c>
      <c r="H217" s="3533" t="str">
        <f>$V$2</f>
        <v>2019年12月31日</v>
      </c>
      <c r="I217" s="3415"/>
      <c r="J217" s="3431"/>
      <c r="K217" s="355" t="s">
        <v>5269</v>
      </c>
      <c r="L217" s="428"/>
      <c r="M217" s="433"/>
      <c r="N217" s="428"/>
      <c r="O217" s="428"/>
      <c r="P217" s="433"/>
      <c r="Q217" s="442"/>
      <c r="R217" s="443"/>
      <c r="S217" s="364"/>
      <c r="Z217" s="609" t="s">
        <v>161</v>
      </c>
      <c r="AA217" s="609" t="s">
        <v>2880</v>
      </c>
    </row>
    <row r="218" spans="1:27" ht="18">
      <c r="A218" s="2714"/>
      <c r="B218" s="371"/>
      <c r="C218" s="371"/>
      <c r="D218" s="2716"/>
      <c r="E218" s="586" t="s">
        <v>2749</v>
      </c>
      <c r="F218" s="414"/>
      <c r="G218" s="3473"/>
      <c r="H218" s="2245" t="s">
        <v>2861</v>
      </c>
      <c r="I218" s="2245" t="s">
        <v>2862</v>
      </c>
      <c r="J218" s="2240" t="s">
        <v>2889</v>
      </c>
      <c r="K218" s="434"/>
      <c r="L218" s="434"/>
      <c r="M218" s="435"/>
      <c r="N218" s="434"/>
      <c r="O218" s="434"/>
      <c r="P218" s="435"/>
      <c r="Q218" s="442"/>
      <c r="R218" s="443"/>
      <c r="S218" s="364"/>
      <c r="Z218" s="609" t="s">
        <v>161</v>
      </c>
      <c r="AA218" s="609" t="s">
        <v>2880</v>
      </c>
    </row>
    <row r="219" spans="1:27" ht="18">
      <c r="A219" s="2714"/>
      <c r="B219" s="371">
        <v>101</v>
      </c>
      <c r="C219" s="371" t="s">
        <v>2791</v>
      </c>
      <c r="D219" s="2716">
        <f t="shared" ref="D219:D227" si="16">IF(OR(G219="*",G219="",G219=0),0,COUNTIF($G$219:$G$227,G219))</f>
        <v>0</v>
      </c>
      <c r="E219" s="2721">
        <v>1</v>
      </c>
      <c r="F219" s="293"/>
      <c r="G219" s="2223" t="s">
        <v>2792</v>
      </c>
      <c r="H219" s="2275"/>
      <c r="I219" s="2275"/>
      <c r="J219" s="2276"/>
      <c r="K219" s="439"/>
      <c r="L219" s="437"/>
      <c r="M219" s="438"/>
      <c r="N219" s="439"/>
      <c r="O219" s="437"/>
      <c r="P219" s="438"/>
      <c r="Q219" s="442"/>
      <c r="R219" s="443"/>
      <c r="S219" s="364"/>
      <c r="Z219" s="609" t="s">
        <v>161</v>
      </c>
      <c r="AA219" s="609" t="s">
        <v>2880</v>
      </c>
    </row>
    <row r="220" spans="1:27" ht="18">
      <c r="A220" s="2714"/>
      <c r="B220" s="371">
        <v>102</v>
      </c>
      <c r="C220" s="371" t="s">
        <v>2791</v>
      </c>
      <c r="D220" s="2716">
        <f t="shared" si="16"/>
        <v>0</v>
      </c>
      <c r="E220" s="2721">
        <v>1</v>
      </c>
      <c r="F220" s="293"/>
      <c r="G220" s="2223" t="s">
        <v>2792</v>
      </c>
      <c r="H220" s="2275"/>
      <c r="I220" s="2275"/>
      <c r="J220" s="2276"/>
      <c r="K220" s="439"/>
      <c r="L220" s="437"/>
      <c r="M220" s="438"/>
      <c r="N220" s="439"/>
      <c r="O220" s="437"/>
      <c r="P220" s="438"/>
      <c r="Q220" s="442"/>
      <c r="R220" s="443"/>
      <c r="S220" s="364"/>
      <c r="Z220" s="609" t="s">
        <v>161</v>
      </c>
      <c r="AA220" s="609" t="s">
        <v>2880</v>
      </c>
    </row>
    <row r="221" spans="1:27" ht="18">
      <c r="A221" s="2714"/>
      <c r="B221" s="371">
        <v>103</v>
      </c>
      <c r="C221" s="371" t="s">
        <v>2791</v>
      </c>
      <c r="D221" s="2716">
        <f t="shared" si="16"/>
        <v>0</v>
      </c>
      <c r="E221" s="2721">
        <v>1</v>
      </c>
      <c r="F221" s="293"/>
      <c r="G221" s="2223" t="s">
        <v>2792</v>
      </c>
      <c r="H221" s="2275"/>
      <c r="I221" s="2275"/>
      <c r="J221" s="2276"/>
      <c r="K221" s="439"/>
      <c r="L221" s="437"/>
      <c r="M221" s="438"/>
      <c r="N221" s="439"/>
      <c r="O221" s="437"/>
      <c r="P221" s="438"/>
      <c r="Q221" s="442"/>
      <c r="R221" s="443"/>
      <c r="S221" s="364"/>
      <c r="Z221" s="609" t="s">
        <v>161</v>
      </c>
      <c r="AA221" s="609" t="s">
        <v>2880</v>
      </c>
    </row>
    <row r="222" spans="1:27" ht="18">
      <c r="A222" s="2714"/>
      <c r="B222" s="371">
        <v>104</v>
      </c>
      <c r="C222" s="371" t="s">
        <v>2791</v>
      </c>
      <c r="D222" s="2716">
        <f t="shared" si="16"/>
        <v>0</v>
      </c>
      <c r="E222" s="2721">
        <v>1</v>
      </c>
      <c r="F222" s="293"/>
      <c r="G222" s="2223" t="s">
        <v>2792</v>
      </c>
      <c r="H222" s="2275"/>
      <c r="I222" s="2275"/>
      <c r="J222" s="2276"/>
      <c r="K222" s="439"/>
      <c r="L222" s="437"/>
      <c r="M222" s="438"/>
      <c r="N222" s="439"/>
      <c r="O222" s="437"/>
      <c r="P222" s="438"/>
      <c r="Q222" s="442"/>
      <c r="R222" s="443"/>
      <c r="S222" s="364"/>
      <c r="Z222" s="609" t="s">
        <v>161</v>
      </c>
      <c r="AA222" s="609" t="s">
        <v>2880</v>
      </c>
    </row>
    <row r="223" spans="1:27" ht="18">
      <c r="A223" s="2714"/>
      <c r="B223" s="371">
        <v>105</v>
      </c>
      <c r="C223" s="371" t="s">
        <v>2791</v>
      </c>
      <c r="D223" s="2716">
        <f t="shared" si="16"/>
        <v>0</v>
      </c>
      <c r="E223" s="2721">
        <v>1</v>
      </c>
      <c r="F223" s="293"/>
      <c r="G223" s="2223" t="s">
        <v>2792</v>
      </c>
      <c r="H223" s="2275"/>
      <c r="I223" s="2275"/>
      <c r="J223" s="2276"/>
      <c r="K223" s="439"/>
      <c r="L223" s="437"/>
      <c r="M223" s="438"/>
      <c r="N223" s="439"/>
      <c r="O223" s="437"/>
      <c r="P223" s="438"/>
      <c r="Q223" s="442"/>
      <c r="R223" s="443"/>
      <c r="S223" s="364"/>
      <c r="Z223" s="609" t="s">
        <v>161</v>
      </c>
      <c r="AA223" s="609" t="s">
        <v>2880</v>
      </c>
    </row>
    <row r="224" spans="1:27" ht="18">
      <c r="A224" s="2714"/>
      <c r="B224" s="371">
        <v>106</v>
      </c>
      <c r="C224" s="371" t="s">
        <v>2791</v>
      </c>
      <c r="D224" s="2716">
        <f t="shared" si="16"/>
        <v>0</v>
      </c>
      <c r="E224" s="2721">
        <v>1</v>
      </c>
      <c r="F224" s="293"/>
      <c r="G224" s="2223" t="s">
        <v>2792</v>
      </c>
      <c r="H224" s="2275"/>
      <c r="I224" s="2275"/>
      <c r="J224" s="2276"/>
      <c r="K224" s="439"/>
      <c r="L224" s="437"/>
      <c r="M224" s="438"/>
      <c r="N224" s="439"/>
      <c r="O224" s="437"/>
      <c r="P224" s="438"/>
      <c r="Q224" s="442"/>
      <c r="R224" s="443"/>
      <c r="S224" s="364"/>
      <c r="Z224" s="609" t="s">
        <v>161</v>
      </c>
      <c r="AA224" s="609" t="s">
        <v>2880</v>
      </c>
    </row>
    <row r="225" spans="1:27" ht="18">
      <c r="A225" s="2714"/>
      <c r="B225" s="371">
        <v>107</v>
      </c>
      <c r="C225" s="371" t="s">
        <v>2791</v>
      </c>
      <c r="D225" s="2716">
        <f t="shared" si="16"/>
        <v>0</v>
      </c>
      <c r="E225" s="2721">
        <v>1</v>
      </c>
      <c r="F225" s="293"/>
      <c r="G225" s="2223" t="s">
        <v>2792</v>
      </c>
      <c r="H225" s="2275"/>
      <c r="I225" s="2275"/>
      <c r="J225" s="2276"/>
      <c r="K225" s="439"/>
      <c r="L225" s="437"/>
      <c r="M225" s="438"/>
      <c r="N225" s="439"/>
      <c r="O225" s="437"/>
      <c r="P225" s="438"/>
      <c r="Q225" s="442"/>
      <c r="R225" s="443"/>
      <c r="S225" s="364"/>
      <c r="Z225" s="609" t="s">
        <v>161</v>
      </c>
      <c r="AA225" s="609" t="s">
        <v>2880</v>
      </c>
    </row>
    <row r="226" spans="1:27" ht="18">
      <c r="A226" s="2714"/>
      <c r="B226" s="371">
        <v>108</v>
      </c>
      <c r="C226" s="371" t="s">
        <v>2791</v>
      </c>
      <c r="D226" s="2716">
        <f t="shared" si="16"/>
        <v>0</v>
      </c>
      <c r="E226" s="2721">
        <v>1</v>
      </c>
      <c r="F226" s="293"/>
      <c r="G226" s="2223" t="s">
        <v>2792</v>
      </c>
      <c r="H226" s="2275"/>
      <c r="I226" s="2275"/>
      <c r="J226" s="2276"/>
      <c r="K226" s="439"/>
      <c r="L226" s="437"/>
      <c r="M226" s="438"/>
      <c r="N226" s="439"/>
      <c r="O226" s="437"/>
      <c r="P226" s="438"/>
      <c r="Q226" s="442"/>
      <c r="R226" s="443"/>
      <c r="S226" s="364"/>
      <c r="Z226" s="609" t="s">
        <v>161</v>
      </c>
      <c r="AA226" s="609" t="s">
        <v>2880</v>
      </c>
    </row>
    <row r="227" spans="1:27" ht="18.75" thickBot="1">
      <c r="A227" s="2714"/>
      <c r="B227" s="371"/>
      <c r="C227" s="371"/>
      <c r="D227" s="2716">
        <f t="shared" si="16"/>
        <v>1</v>
      </c>
      <c r="E227" s="2721" t="s">
        <v>2751</v>
      </c>
      <c r="F227" s="293"/>
      <c r="G227" s="2234" t="s">
        <v>2752</v>
      </c>
      <c r="H227" s="2235">
        <f>SUMPRODUCT($E218:$E226,H218:H226)</f>
        <v>0</v>
      </c>
      <c r="I227" s="2235">
        <f>SUMPRODUCT($E218:$E226,I218:I226)</f>
        <v>0</v>
      </c>
      <c r="J227" s="2244"/>
      <c r="K227" s="439"/>
      <c r="L227" s="437"/>
      <c r="M227" s="440"/>
      <c r="N227" s="439"/>
      <c r="O227" s="437"/>
      <c r="P227" s="440"/>
      <c r="Q227" s="442"/>
      <c r="R227" s="443"/>
      <c r="S227" s="364"/>
      <c r="Z227" s="609" t="s">
        <v>161</v>
      </c>
      <c r="AA227" s="609" t="s">
        <v>2880</v>
      </c>
    </row>
    <row r="228" spans="1:27" ht="18.75" thickBot="1">
      <c r="A228" s="2714"/>
      <c r="B228" s="371"/>
      <c r="C228" s="371" t="s">
        <v>2755</v>
      </c>
      <c r="D228" s="2716"/>
      <c r="F228" s="293"/>
      <c r="G228" s="376"/>
      <c r="H228" s="315" t="s">
        <v>3002</v>
      </c>
      <c r="I228" s="396" t="s">
        <v>3002</v>
      </c>
      <c r="J228" s="393"/>
      <c r="K228" s="426"/>
      <c r="L228" s="427"/>
      <c r="M228" s="425"/>
      <c r="N228" s="426"/>
      <c r="O228" s="427"/>
      <c r="P228" s="425"/>
      <c r="Q228" s="442"/>
      <c r="R228" s="443"/>
      <c r="S228" s="364"/>
      <c r="Z228" s="609" t="s">
        <v>161</v>
      </c>
      <c r="AA228" s="609" t="s">
        <v>2880</v>
      </c>
    </row>
    <row r="229" spans="1:27" ht="18.75" thickTop="1">
      <c r="A229" s="2714"/>
      <c r="B229" s="371"/>
      <c r="C229" s="371" t="s">
        <v>2565</v>
      </c>
      <c r="D229" s="2716"/>
      <c r="F229" s="293"/>
      <c r="G229" s="1549" t="s">
        <v>5367</v>
      </c>
      <c r="H229" s="1550" t="str">
        <f>G170</f>
        <v>(5)应收票据按坏账计提方法分类披露</v>
      </c>
      <c r="I229" s="1552"/>
      <c r="J229" s="1551"/>
      <c r="K229" s="1553" t="s">
        <v>5368</v>
      </c>
      <c r="L229" s="427"/>
      <c r="M229" s="425"/>
      <c r="N229" s="426"/>
      <c r="O229" s="427"/>
      <c r="P229" s="425"/>
      <c r="Q229" s="442"/>
      <c r="R229" s="442"/>
      <c r="S229" s="364"/>
      <c r="Z229" s="609" t="s">
        <v>161</v>
      </c>
      <c r="AA229" s="609" t="s">
        <v>2880</v>
      </c>
    </row>
    <row r="230" spans="1:27" ht="18">
      <c r="A230" s="2714"/>
      <c r="B230" s="371"/>
      <c r="C230" s="371" t="s">
        <v>2565</v>
      </c>
      <c r="D230" s="2716"/>
      <c r="F230" s="293"/>
      <c r="G230" s="604" t="str">
        <f>"注释A:"&amp; G180</f>
        <v>注释A:其中：组合1</v>
      </c>
      <c r="H230" s="2252">
        <f ca="1">HYPERLINK("#'"&amp;$G$1&amp;"'!"&amp;ADDRESS(ROW(Notes!H180),COLUMN(Notes!H180),4),H180)</f>
        <v>0</v>
      </c>
      <c r="I230" s="2252">
        <f ca="1">HYPERLINK("#'"&amp;$G$1&amp;"'!"&amp;ADDRESS(ROW(Notes!J180),COLUMN(Notes!J180),4),J180)</f>
        <v>0</v>
      </c>
      <c r="J230" s="351"/>
      <c r="K230" s="2251" t="str">
        <f>H170</f>
        <v>1121f</v>
      </c>
      <c r="L230" s="427"/>
      <c r="M230" s="425"/>
      <c r="N230" s="426"/>
      <c r="O230" s="427"/>
      <c r="P230" s="425"/>
      <c r="Q230" s="442"/>
      <c r="R230" s="442"/>
      <c r="S230" s="364"/>
      <c r="Z230" s="609" t="s">
        <v>161</v>
      </c>
      <c r="AA230" s="609" t="s">
        <v>2880</v>
      </c>
    </row>
    <row r="231" spans="1:27" ht="18">
      <c r="A231" s="2714"/>
      <c r="B231" s="371"/>
      <c r="C231" s="371" t="s">
        <v>2565</v>
      </c>
      <c r="D231" s="2716"/>
      <c r="F231" s="293"/>
      <c r="G231" s="604" t="str">
        <f>"本注释B:"&amp; G227</f>
        <v>本注释B:合       计</v>
      </c>
      <c r="H231" s="456">
        <f>H227</f>
        <v>0</v>
      </c>
      <c r="I231" s="456">
        <f>I227</f>
        <v>0</v>
      </c>
      <c r="J231" s="351"/>
      <c r="K231" s="1544" t="s">
        <v>219</v>
      </c>
      <c r="L231" s="427"/>
      <c r="M231" s="425"/>
      <c r="N231" s="426"/>
      <c r="O231" s="427"/>
      <c r="P231" s="425"/>
      <c r="Q231" s="442"/>
      <c r="R231" s="442"/>
      <c r="S231" s="364"/>
      <c r="Z231" s="609" t="s">
        <v>161</v>
      </c>
      <c r="AA231" s="609" t="s">
        <v>2880</v>
      </c>
    </row>
    <row r="232" spans="1:27" ht="18.75" thickBot="1">
      <c r="A232" s="2714"/>
      <c r="B232" s="371"/>
      <c r="C232" s="371" t="s">
        <v>2565</v>
      </c>
      <c r="D232" s="2716"/>
      <c r="F232" s="293"/>
      <c r="G232" s="1554" t="s">
        <v>2757</v>
      </c>
      <c r="H232" s="1531">
        <f ca="1">IF(AND(H230="",H231=""),"",ROUND(H230-H231,2))</f>
        <v>0</v>
      </c>
      <c r="I232" s="1531">
        <f ca="1">IF(AND(I230="",I231=""),"",ROUND(I230-I231,2))</f>
        <v>0</v>
      </c>
      <c r="J232" s="1555"/>
      <c r="K232" s="1556"/>
      <c r="L232" s="427"/>
      <c r="M232" s="425"/>
      <c r="N232" s="426"/>
      <c r="O232" s="427"/>
      <c r="P232" s="425"/>
      <c r="Q232" s="442"/>
      <c r="R232" s="442"/>
      <c r="S232" s="364"/>
      <c r="Z232" s="609" t="s">
        <v>161</v>
      </c>
      <c r="AA232" s="609" t="s">
        <v>2880</v>
      </c>
    </row>
    <row r="233" spans="1:27" ht="18.75" thickTop="1">
      <c r="A233" s="2714"/>
      <c r="B233" s="371"/>
      <c r="C233" s="371" t="s">
        <v>2565</v>
      </c>
      <c r="D233" s="2716"/>
      <c r="F233" s="293"/>
      <c r="G233" s="1545"/>
      <c r="H233" s="459" t="str">
        <f ca="1">IF(OR(H232=0,H232=""),"√","？")</f>
        <v>√</v>
      </c>
      <c r="I233" s="459" t="str">
        <f ca="1">IF(OR(I232=0,I232=""),"√","？")</f>
        <v>√</v>
      </c>
      <c r="J233" s="317"/>
      <c r="K233" s="1547"/>
      <c r="L233" s="427"/>
      <c r="M233" s="425"/>
      <c r="N233" s="426"/>
      <c r="O233" s="427"/>
      <c r="P233" s="425"/>
      <c r="Q233" s="442"/>
      <c r="R233" s="442"/>
      <c r="S233" s="364"/>
      <c r="Z233" s="609" t="s">
        <v>161</v>
      </c>
      <c r="AA233" s="609" t="s">
        <v>2880</v>
      </c>
    </row>
    <row r="234" spans="1:27" ht="18">
      <c r="A234" s="2714"/>
      <c r="B234" s="371"/>
      <c r="C234" s="371" t="s">
        <v>2565</v>
      </c>
      <c r="D234" s="2716"/>
      <c r="F234" s="293"/>
      <c r="G234" s="1559" t="s">
        <v>2759</v>
      </c>
      <c r="H234" s="461"/>
      <c r="I234" s="461"/>
      <c r="J234" s="317"/>
      <c r="K234" s="2257">
        <f ca="1">SUMIF($H$233:$K$233,"&lt;&gt;√",$H$232:$K$232)</f>
        <v>0</v>
      </c>
      <c r="L234" s="2258" t="str">
        <f ca="1">IF(OR(K234=0,K234=""),"√","？")</f>
        <v>√</v>
      </c>
      <c r="M234" s="425"/>
      <c r="N234" s="426"/>
      <c r="O234" s="427"/>
      <c r="P234" s="425"/>
      <c r="Q234" s="442"/>
      <c r="R234" s="442"/>
      <c r="S234" s="364"/>
      <c r="Z234" s="609" t="s">
        <v>161</v>
      </c>
      <c r="AA234" s="609" t="s">
        <v>2880</v>
      </c>
    </row>
    <row r="235" spans="1:27" ht="18">
      <c r="A235" s="2714"/>
      <c r="B235" s="371"/>
      <c r="C235" s="371" t="s">
        <v>2565</v>
      </c>
      <c r="D235" s="2716"/>
      <c r="F235" s="293"/>
      <c r="G235" s="1545"/>
      <c r="H235" s="461"/>
      <c r="I235" s="461"/>
      <c r="J235" s="317"/>
      <c r="K235" s="1547"/>
      <c r="L235" s="427"/>
      <c r="M235" s="425"/>
      <c r="N235" s="426"/>
      <c r="O235" s="427"/>
      <c r="P235" s="425"/>
      <c r="Q235" s="442"/>
      <c r="R235" s="442"/>
      <c r="S235" s="364"/>
      <c r="Z235" s="609" t="s">
        <v>161</v>
      </c>
      <c r="AA235" s="609" t="s">
        <v>2880</v>
      </c>
    </row>
    <row r="236" spans="1:27" ht="24">
      <c r="A236" s="2714" t="s">
        <v>6117</v>
      </c>
      <c r="B236" s="371">
        <v>5.3</v>
      </c>
      <c r="C236" s="371"/>
      <c r="D236" s="2716" t="str">
        <f>VLOOKUP($A236,Sheet_NoteList,2,0)</f>
        <v>期末按按组合2计提坏账准备的应收票据</v>
      </c>
      <c r="E236" s="2716" t="s">
        <v>6533</v>
      </c>
      <c r="F236" s="293"/>
      <c r="G236" s="372" t="str">
        <f>"("&amp;B236&amp;")"&amp;D236</f>
        <v>(5.3)期末按按组合2计提坏账准备的应收票据</v>
      </c>
      <c r="H236" s="1517" t="str">
        <f>$A236</f>
        <v>1121n</v>
      </c>
      <c r="I236" s="343" t="s">
        <v>6119</v>
      </c>
      <c r="J236" s="301" t="s">
        <v>6120</v>
      </c>
      <c r="K236" s="2210">
        <f>H249</f>
        <v>0</v>
      </c>
      <c r="L236" s="349" t="str">
        <f>IF($I236="适用",IF(ROUND(K$119-K236,2)=0,"F/S",ROUND(K$119-K236,2)),"#N/A")</f>
        <v>F/S</v>
      </c>
      <c r="M236" s="301" t="s">
        <v>6121</v>
      </c>
      <c r="N236" s="2210">
        <f>I249</f>
        <v>0</v>
      </c>
      <c r="O236" s="349" t="str">
        <f>IF($I236="适用",IF(ROUND(N$119-N236,2)=0,"F/S",ROUND(N$119-N236,2)),"#N/A")</f>
        <v>F/S</v>
      </c>
      <c r="P236" s="301"/>
      <c r="S236" s="364"/>
      <c r="Z236" s="609" t="s">
        <v>161</v>
      </c>
      <c r="AA236" s="609" t="s">
        <v>2880</v>
      </c>
    </row>
    <row r="237" spans="1:27" ht="0.75" customHeight="1">
      <c r="A237" s="2714"/>
      <c r="B237" s="371"/>
      <c r="C237" s="371"/>
      <c r="D237" s="2716"/>
      <c r="E237" s="586"/>
      <c r="F237" s="586"/>
      <c r="G237" s="2224" t="s">
        <v>6122</v>
      </c>
      <c r="H237" s="371" t="s">
        <v>2882</v>
      </c>
      <c r="I237" s="371" t="s">
        <v>2896</v>
      </c>
      <c r="J237" s="371" t="s">
        <v>2897</v>
      </c>
      <c r="K237" s="391"/>
      <c r="L237" s="349"/>
      <c r="M237" s="301"/>
      <c r="N237" s="391"/>
      <c r="O237" s="349"/>
      <c r="P237" s="301"/>
      <c r="S237" s="364"/>
      <c r="Z237" s="609" t="s">
        <v>161</v>
      </c>
      <c r="AA237" s="609" t="s">
        <v>2880</v>
      </c>
    </row>
    <row r="238" spans="1:27" ht="0.75" customHeight="1" thickBot="1">
      <c r="A238" s="2714"/>
      <c r="B238" s="371"/>
      <c r="C238" s="371"/>
      <c r="D238" s="2716"/>
      <c r="E238" s="586"/>
      <c r="F238" s="586"/>
      <c r="G238" s="2224"/>
      <c r="H238" s="371" t="s">
        <v>2901</v>
      </c>
      <c r="I238" s="371" t="s">
        <v>2856</v>
      </c>
      <c r="J238" s="371" t="s">
        <v>2902</v>
      </c>
      <c r="K238" s="391"/>
      <c r="L238" s="349"/>
      <c r="M238" s="301"/>
      <c r="N238" s="391"/>
      <c r="O238" s="349"/>
      <c r="P238" s="301"/>
      <c r="S238" s="364"/>
      <c r="Z238" s="609" t="s">
        <v>161</v>
      </c>
      <c r="AA238" s="609" t="s">
        <v>2880</v>
      </c>
    </row>
    <row r="239" spans="1:27" ht="18" customHeight="1">
      <c r="A239" s="2714"/>
      <c r="B239" s="371"/>
      <c r="C239" s="371"/>
      <c r="D239" s="2716"/>
      <c r="E239" s="586" t="s">
        <v>2749</v>
      </c>
      <c r="F239" s="414"/>
      <c r="G239" s="3512" t="s">
        <v>5948</v>
      </c>
      <c r="H239" s="3535" t="str">
        <f>$V$2</f>
        <v>2019年12月31日</v>
      </c>
      <c r="I239" s="3536"/>
      <c r="J239" s="3537"/>
      <c r="K239" s="355" t="s">
        <v>5949</v>
      </c>
      <c r="L239" s="349"/>
      <c r="M239" s="301"/>
      <c r="N239" s="391"/>
      <c r="O239" s="349"/>
      <c r="P239" s="301"/>
      <c r="S239" s="364"/>
      <c r="Z239" s="609" t="s">
        <v>161</v>
      </c>
      <c r="AA239" s="609" t="s">
        <v>2880</v>
      </c>
    </row>
    <row r="240" spans="1:27" ht="18">
      <c r="A240" s="2714"/>
      <c r="B240" s="371"/>
      <c r="C240" s="371"/>
      <c r="D240" s="2716"/>
      <c r="E240" s="586" t="s">
        <v>2749</v>
      </c>
      <c r="F240" s="414"/>
      <c r="G240" s="3513"/>
      <c r="H240" s="2550" t="s">
        <v>2861</v>
      </c>
      <c r="I240" s="2550" t="s">
        <v>2862</v>
      </c>
      <c r="J240" s="2549" t="s">
        <v>2889</v>
      </c>
      <c r="K240" s="355" t="s">
        <v>6176</v>
      </c>
      <c r="L240" s="349"/>
      <c r="M240" s="301"/>
      <c r="N240" s="391"/>
      <c r="O240" s="349"/>
      <c r="P240" s="301"/>
      <c r="S240" s="364"/>
      <c r="Z240" s="609" t="s">
        <v>161</v>
      </c>
      <c r="AA240" s="609" t="s">
        <v>2880</v>
      </c>
    </row>
    <row r="241" spans="1:27" ht="18">
      <c r="A241" s="2714"/>
      <c r="B241" s="371">
        <v>101</v>
      </c>
      <c r="C241" s="371" t="s">
        <v>2791</v>
      </c>
      <c r="D241" s="2716">
        <f t="shared" ref="D241:D249" si="17">IF(OR(G241="*",G241="",G241=0),0,COUNTIF($G$241:$G$249,G241))</f>
        <v>0</v>
      </c>
      <c r="E241" s="2721">
        <v>1</v>
      </c>
      <c r="F241" s="293"/>
      <c r="G241" s="2548" t="s">
        <v>2792</v>
      </c>
      <c r="H241" s="2275"/>
      <c r="I241" s="2275"/>
      <c r="J241" s="2276"/>
      <c r="K241" s="391"/>
      <c r="L241" s="349"/>
      <c r="M241" s="301"/>
      <c r="N241" s="391"/>
      <c r="O241" s="349"/>
      <c r="P241" s="301"/>
      <c r="S241" s="364"/>
      <c r="Z241" s="609" t="s">
        <v>161</v>
      </c>
      <c r="AA241" s="609" t="s">
        <v>2880</v>
      </c>
    </row>
    <row r="242" spans="1:27" ht="18">
      <c r="A242" s="2714"/>
      <c r="B242" s="371">
        <v>102</v>
      </c>
      <c r="C242" s="371" t="s">
        <v>2791</v>
      </c>
      <c r="D242" s="2716">
        <f t="shared" si="17"/>
        <v>0</v>
      </c>
      <c r="E242" s="2721">
        <v>1</v>
      </c>
      <c r="F242" s="293"/>
      <c r="G242" s="2548" t="s">
        <v>2792</v>
      </c>
      <c r="H242" s="2275"/>
      <c r="I242" s="2275"/>
      <c r="J242" s="2276"/>
      <c r="K242" s="391"/>
      <c r="L242" s="349"/>
      <c r="M242" s="301"/>
      <c r="N242" s="391"/>
      <c r="O242" s="349"/>
      <c r="P242" s="301"/>
      <c r="S242" s="364"/>
      <c r="Z242" s="609" t="s">
        <v>161</v>
      </c>
      <c r="AA242" s="609" t="s">
        <v>2880</v>
      </c>
    </row>
    <row r="243" spans="1:27" ht="18">
      <c r="A243" s="2714"/>
      <c r="B243" s="371">
        <v>103</v>
      </c>
      <c r="C243" s="371" t="s">
        <v>2791</v>
      </c>
      <c r="D243" s="2716">
        <f t="shared" si="17"/>
        <v>0</v>
      </c>
      <c r="E243" s="2721">
        <v>1</v>
      </c>
      <c r="F243" s="293"/>
      <c r="G243" s="2548" t="s">
        <v>2792</v>
      </c>
      <c r="H243" s="2275"/>
      <c r="I243" s="2275"/>
      <c r="J243" s="2276"/>
      <c r="K243" s="391"/>
      <c r="L243" s="349"/>
      <c r="M243" s="301"/>
      <c r="N243" s="391"/>
      <c r="O243" s="349"/>
      <c r="P243" s="301"/>
      <c r="S243" s="364"/>
      <c r="Z243" s="609" t="s">
        <v>161</v>
      </c>
      <c r="AA243" s="609" t="s">
        <v>2880</v>
      </c>
    </row>
    <row r="244" spans="1:27" ht="18">
      <c r="A244" s="2714"/>
      <c r="B244" s="371">
        <v>104</v>
      </c>
      <c r="C244" s="371" t="s">
        <v>2791</v>
      </c>
      <c r="D244" s="2716">
        <f t="shared" si="17"/>
        <v>0</v>
      </c>
      <c r="E244" s="2721">
        <v>1</v>
      </c>
      <c r="F244" s="293"/>
      <c r="G244" s="2548" t="s">
        <v>2792</v>
      </c>
      <c r="H244" s="2275"/>
      <c r="I244" s="2275"/>
      <c r="J244" s="2276"/>
      <c r="K244" s="391"/>
      <c r="L244" s="349"/>
      <c r="M244" s="301"/>
      <c r="N244" s="391"/>
      <c r="O244" s="349"/>
      <c r="P244" s="301"/>
      <c r="S244" s="364"/>
      <c r="Z244" s="609" t="s">
        <v>161</v>
      </c>
      <c r="AA244" s="609" t="s">
        <v>2880</v>
      </c>
    </row>
    <row r="245" spans="1:27" ht="18">
      <c r="A245" s="2714"/>
      <c r="B245" s="371">
        <v>105</v>
      </c>
      <c r="C245" s="371" t="s">
        <v>2791</v>
      </c>
      <c r="D245" s="2716">
        <f t="shared" si="17"/>
        <v>0</v>
      </c>
      <c r="E245" s="2721">
        <v>1</v>
      </c>
      <c r="F245" s="293"/>
      <c r="G245" s="2548" t="s">
        <v>2792</v>
      </c>
      <c r="H245" s="2275"/>
      <c r="I245" s="2275"/>
      <c r="J245" s="2276"/>
      <c r="K245" s="391"/>
      <c r="L245" s="349"/>
      <c r="M245" s="301"/>
      <c r="N245" s="391"/>
      <c r="O245" s="349"/>
      <c r="P245" s="301"/>
      <c r="S245" s="364"/>
      <c r="Z245" s="609" t="s">
        <v>161</v>
      </c>
      <c r="AA245" s="609" t="s">
        <v>2880</v>
      </c>
    </row>
    <row r="246" spans="1:27" ht="18">
      <c r="A246" s="2714"/>
      <c r="B246" s="371">
        <v>106</v>
      </c>
      <c r="C246" s="371" t="s">
        <v>2791</v>
      </c>
      <c r="D246" s="2716">
        <f t="shared" si="17"/>
        <v>0</v>
      </c>
      <c r="E246" s="2721">
        <v>1</v>
      </c>
      <c r="F246" s="293"/>
      <c r="G246" s="2548" t="s">
        <v>2792</v>
      </c>
      <c r="H246" s="2275"/>
      <c r="I246" s="2275"/>
      <c r="J246" s="2276"/>
      <c r="K246" s="391"/>
      <c r="L246" s="349"/>
      <c r="M246" s="301"/>
      <c r="N246" s="391"/>
      <c r="O246" s="349"/>
      <c r="P246" s="301"/>
      <c r="S246" s="364"/>
      <c r="Z246" s="609" t="s">
        <v>161</v>
      </c>
      <c r="AA246" s="609" t="s">
        <v>2880</v>
      </c>
    </row>
    <row r="247" spans="1:27" ht="18">
      <c r="A247" s="2714"/>
      <c r="B247" s="371">
        <v>107</v>
      </c>
      <c r="C247" s="371" t="s">
        <v>2791</v>
      </c>
      <c r="D247" s="2716">
        <f t="shared" si="17"/>
        <v>0</v>
      </c>
      <c r="E247" s="2721">
        <v>1</v>
      </c>
      <c r="F247" s="293"/>
      <c r="G247" s="2548" t="s">
        <v>2792</v>
      </c>
      <c r="H247" s="2275"/>
      <c r="I247" s="2275"/>
      <c r="J247" s="2276"/>
      <c r="K247" s="391"/>
      <c r="L247" s="349"/>
      <c r="M247" s="301"/>
      <c r="N247" s="391"/>
      <c r="O247" s="349"/>
      <c r="P247" s="301"/>
      <c r="S247" s="364"/>
      <c r="Z247" s="609" t="s">
        <v>161</v>
      </c>
      <c r="AA247" s="609" t="s">
        <v>2880</v>
      </c>
    </row>
    <row r="248" spans="1:27" ht="18">
      <c r="A248" s="2714"/>
      <c r="B248" s="371">
        <v>108</v>
      </c>
      <c r="C248" s="371" t="s">
        <v>2791</v>
      </c>
      <c r="D248" s="2716">
        <f t="shared" si="17"/>
        <v>0</v>
      </c>
      <c r="E248" s="2721">
        <v>1</v>
      </c>
      <c r="F248" s="293"/>
      <c r="G248" s="2548" t="s">
        <v>2792</v>
      </c>
      <c r="H248" s="2275"/>
      <c r="I248" s="2275"/>
      <c r="J248" s="2276"/>
      <c r="K248" s="391"/>
      <c r="L248" s="349"/>
      <c r="M248" s="301"/>
      <c r="N248" s="391"/>
      <c r="O248" s="349"/>
      <c r="P248" s="301"/>
      <c r="S248" s="364"/>
      <c r="Z248" s="609" t="s">
        <v>161</v>
      </c>
      <c r="AA248" s="609" t="s">
        <v>2880</v>
      </c>
    </row>
    <row r="249" spans="1:27" ht="18.75" thickBot="1">
      <c r="A249" s="2714"/>
      <c r="B249" s="371"/>
      <c r="C249" s="371"/>
      <c r="D249" s="2716">
        <f t="shared" si="17"/>
        <v>1</v>
      </c>
      <c r="E249" s="2721" t="s">
        <v>2751</v>
      </c>
      <c r="F249" s="293"/>
      <c r="G249" s="1529" t="s">
        <v>2752</v>
      </c>
      <c r="H249" s="1527">
        <f>SUMPRODUCT($E240:$E248,H240:H248)</f>
        <v>0</v>
      </c>
      <c r="I249" s="1527">
        <f>SUMPRODUCT($E240:$E248,I240:I248)</f>
        <v>0</v>
      </c>
      <c r="J249" s="1568"/>
      <c r="K249" s="391"/>
      <c r="L249" s="349"/>
      <c r="M249" s="301"/>
      <c r="N249" s="391"/>
      <c r="O249" s="349"/>
      <c r="P249" s="301"/>
      <c r="S249" s="364"/>
      <c r="Z249" s="609" t="s">
        <v>161</v>
      </c>
      <c r="AA249" s="609" t="s">
        <v>2880</v>
      </c>
    </row>
    <row r="250" spans="1:27" ht="18">
      <c r="A250" s="2714"/>
      <c r="B250" s="371"/>
      <c r="C250" s="371" t="s">
        <v>2755</v>
      </c>
      <c r="D250" s="2716"/>
      <c r="F250" s="293"/>
      <c r="G250" s="376"/>
      <c r="H250" s="1576"/>
      <c r="I250" s="396"/>
      <c r="J250" s="393"/>
      <c r="K250" s="391"/>
      <c r="L250" s="349"/>
      <c r="M250" s="301"/>
      <c r="N250" s="391"/>
      <c r="O250" s="349"/>
      <c r="P250" s="301"/>
      <c r="S250" s="364"/>
      <c r="Z250" s="609" t="s">
        <v>161</v>
      </c>
      <c r="AA250" s="609" t="s">
        <v>2880</v>
      </c>
    </row>
    <row r="251" spans="1:27" ht="24">
      <c r="A251" s="2714" t="s">
        <v>227</v>
      </c>
      <c r="B251" s="371">
        <v>6</v>
      </c>
      <c r="C251" s="371"/>
      <c r="D251" s="2716" t="str">
        <f>VLOOKUP($A251,Sheet_NoteList,2,0)</f>
        <v>本期应收票据坏账准备变动情况</v>
      </c>
      <c r="E251" s="2716" t="s">
        <v>2742</v>
      </c>
      <c r="F251" s="293"/>
      <c r="G251" s="372" t="str">
        <f>"("&amp;B251&amp;")"&amp;D251</f>
        <v>(6)本期应收票据坏账准备变动情况</v>
      </c>
      <c r="H251" s="1517" t="str">
        <f>$A251</f>
        <v>1121i</v>
      </c>
      <c r="I251" s="343" t="s">
        <v>2743</v>
      </c>
      <c r="J251" s="301" t="s">
        <v>2744</v>
      </c>
      <c r="K251" s="2210">
        <f>L264</f>
        <v>0</v>
      </c>
      <c r="L251" s="349"/>
      <c r="M251" s="301" t="s">
        <v>2745</v>
      </c>
      <c r="N251" s="2210">
        <f>H264</f>
        <v>0</v>
      </c>
      <c r="O251" s="349"/>
      <c r="P251" s="301"/>
      <c r="S251" s="364"/>
      <c r="Z251" s="609" t="s">
        <v>161</v>
      </c>
      <c r="AA251" s="609" t="s">
        <v>2880</v>
      </c>
    </row>
    <row r="252" spans="1:27" ht="0.75" customHeight="1">
      <c r="A252" s="2714"/>
      <c r="B252" s="371"/>
      <c r="C252" s="371"/>
      <c r="D252" s="2716"/>
      <c r="E252" s="586"/>
      <c r="F252" s="586"/>
      <c r="G252" s="2224" t="s">
        <v>2903</v>
      </c>
      <c r="H252" s="371" t="s">
        <v>2904</v>
      </c>
      <c r="I252" s="371" t="s">
        <v>2905</v>
      </c>
      <c r="J252" s="371" t="s">
        <v>2906</v>
      </c>
      <c r="K252" s="547" t="s">
        <v>2907</v>
      </c>
      <c r="L252" s="547" t="s">
        <v>2908</v>
      </c>
      <c r="M252" s="371" t="s">
        <v>2909</v>
      </c>
      <c r="N252" s="547" t="s">
        <v>2910</v>
      </c>
      <c r="O252" s="428"/>
      <c r="P252" s="433"/>
      <c r="Q252" s="442"/>
      <c r="R252" s="443"/>
      <c r="S252" s="364"/>
      <c r="Z252" s="609" t="s">
        <v>161</v>
      </c>
      <c r="AA252" s="609" t="s">
        <v>2880</v>
      </c>
    </row>
    <row r="253" spans="1:27" ht="0.75" customHeight="1" thickBot="1">
      <c r="A253" s="2714"/>
      <c r="B253" s="371"/>
      <c r="C253" s="371"/>
      <c r="D253" s="2716"/>
      <c r="E253" s="586"/>
      <c r="F253" s="586"/>
      <c r="G253" s="2224"/>
      <c r="H253" s="371" t="s">
        <v>2911</v>
      </c>
      <c r="I253" s="371" t="s">
        <v>2912</v>
      </c>
      <c r="J253" s="371" t="s">
        <v>2913</v>
      </c>
      <c r="K253" s="547" t="s">
        <v>2914</v>
      </c>
      <c r="L253" s="547" t="s">
        <v>2915</v>
      </c>
      <c r="M253" s="371" t="s">
        <v>2916</v>
      </c>
      <c r="N253" s="547" t="s">
        <v>2917</v>
      </c>
      <c r="O253" s="428"/>
      <c r="P253" s="433"/>
      <c r="Q253" s="442"/>
      <c r="R253" s="443"/>
      <c r="S253" s="364"/>
      <c r="Z253" s="609" t="s">
        <v>161</v>
      </c>
      <c r="AA253" s="609" t="s">
        <v>2880</v>
      </c>
    </row>
    <row r="254" spans="1:27" ht="18" customHeight="1">
      <c r="A254" s="2714"/>
      <c r="B254" s="371"/>
      <c r="C254" s="371"/>
      <c r="D254" s="2716"/>
      <c r="E254" s="586" t="s">
        <v>2749</v>
      </c>
      <c r="F254" s="414"/>
      <c r="G254" s="3472" t="s">
        <v>5135</v>
      </c>
      <c r="H254" s="3533" t="str">
        <f>$V$3</f>
        <v>2018年12月31日</v>
      </c>
      <c r="I254" s="3415" t="s">
        <v>5209</v>
      </c>
      <c r="J254" s="3533" t="str">
        <f>$X$3</f>
        <v>2019年1月1日</v>
      </c>
      <c r="K254" s="3417" t="s">
        <v>2919</v>
      </c>
      <c r="L254" s="3417"/>
      <c r="M254" s="3417"/>
      <c r="N254" s="3421" t="str">
        <f>$V$2</f>
        <v>2019年12月31日</v>
      </c>
      <c r="O254" s="355" t="s">
        <v>5269</v>
      </c>
      <c r="P254" s="433"/>
      <c r="Q254" s="442"/>
      <c r="R254" s="443"/>
      <c r="S254" s="364"/>
      <c r="Z254" s="609" t="s">
        <v>161</v>
      </c>
      <c r="AA254" s="609" t="s">
        <v>2880</v>
      </c>
    </row>
    <row r="255" spans="1:27" ht="18">
      <c r="A255" s="2714"/>
      <c r="B255" s="371"/>
      <c r="C255" s="371"/>
      <c r="D255" s="2716"/>
      <c r="E255" s="586" t="s">
        <v>2749</v>
      </c>
      <c r="F255" s="414"/>
      <c r="G255" s="3473"/>
      <c r="H255" s="3416"/>
      <c r="I255" s="3416"/>
      <c r="J255" s="3416"/>
      <c r="K255" s="2239" t="s">
        <v>5210</v>
      </c>
      <c r="L255" s="2239" t="s">
        <v>5211</v>
      </c>
      <c r="M255" s="2237" t="s">
        <v>5212</v>
      </c>
      <c r="N255" s="3453"/>
      <c r="O255" s="434"/>
      <c r="P255" s="435"/>
      <c r="Q255" s="442"/>
      <c r="R255" s="443"/>
      <c r="S255" s="364"/>
      <c r="Z255" s="609" t="s">
        <v>161</v>
      </c>
      <c r="AA255" s="609" t="s">
        <v>2880</v>
      </c>
    </row>
    <row r="256" spans="1:27" ht="18">
      <c r="A256" s="2714"/>
      <c r="B256" s="371">
        <v>101</v>
      </c>
      <c r="C256" s="371" t="s">
        <v>2791</v>
      </c>
      <c r="D256" s="2716">
        <f t="shared" ref="D256:D264" si="18">IF(OR(G256="*",G256="",G256=0),0,COUNTIF($G$256:$G$264,G256))</f>
        <v>0</v>
      </c>
      <c r="E256" s="2721">
        <v>1</v>
      </c>
      <c r="F256" s="293"/>
      <c r="G256" s="2222" t="s">
        <v>2792</v>
      </c>
      <c r="H256" s="309"/>
      <c r="I256" s="422"/>
      <c r="J256" s="1476">
        <f>SUM(H256:I256)</f>
        <v>0</v>
      </c>
      <c r="K256" s="320"/>
      <c r="L256" s="309"/>
      <c r="M256" s="309"/>
      <c r="N256" s="1477">
        <f>SUM(J256:K256,-L256,-M256)</f>
        <v>0</v>
      </c>
      <c r="O256" s="437"/>
      <c r="P256" s="438"/>
      <c r="Q256" s="442"/>
      <c r="R256" s="443"/>
      <c r="S256" s="364"/>
      <c r="Z256" s="609" t="s">
        <v>161</v>
      </c>
      <c r="AA256" s="609" t="s">
        <v>2880</v>
      </c>
    </row>
    <row r="257" spans="1:27" ht="18">
      <c r="A257" s="2714"/>
      <c r="B257" s="371">
        <v>102</v>
      </c>
      <c r="C257" s="371" t="s">
        <v>2791</v>
      </c>
      <c r="D257" s="2716">
        <f t="shared" si="18"/>
        <v>0</v>
      </c>
      <c r="E257" s="2721">
        <v>1</v>
      </c>
      <c r="F257" s="293"/>
      <c r="G257" s="2222" t="s">
        <v>2792</v>
      </c>
      <c r="H257" s="309"/>
      <c r="I257" s="422"/>
      <c r="J257" s="1476">
        <f t="shared" ref="J257:J263" si="19">SUM(H257:I257)</f>
        <v>0</v>
      </c>
      <c r="K257" s="320"/>
      <c r="L257" s="309"/>
      <c r="M257" s="309"/>
      <c r="N257" s="1477">
        <f t="shared" ref="N257:N263" si="20">SUM(J257:K257,-L257,-M257)</f>
        <v>0</v>
      </c>
      <c r="O257" s="437"/>
      <c r="P257" s="438"/>
      <c r="Q257" s="442"/>
      <c r="R257" s="443"/>
      <c r="S257" s="364"/>
      <c r="Z257" s="609" t="s">
        <v>161</v>
      </c>
      <c r="AA257" s="609" t="s">
        <v>2880</v>
      </c>
    </row>
    <row r="258" spans="1:27" ht="18">
      <c r="A258" s="2714"/>
      <c r="B258" s="371">
        <v>103</v>
      </c>
      <c r="C258" s="371" t="s">
        <v>2791</v>
      </c>
      <c r="D258" s="2716">
        <f t="shared" si="18"/>
        <v>0</v>
      </c>
      <c r="E258" s="2721">
        <v>1</v>
      </c>
      <c r="F258" s="293"/>
      <c r="G258" s="2222" t="s">
        <v>2792</v>
      </c>
      <c r="H258" s="309"/>
      <c r="I258" s="422"/>
      <c r="J258" s="1476">
        <f t="shared" si="19"/>
        <v>0</v>
      </c>
      <c r="K258" s="320"/>
      <c r="L258" s="309"/>
      <c r="M258" s="309"/>
      <c r="N258" s="1477">
        <f t="shared" si="20"/>
        <v>0</v>
      </c>
      <c r="O258" s="437"/>
      <c r="P258" s="438"/>
      <c r="Q258" s="442"/>
      <c r="R258" s="443"/>
      <c r="S258" s="364"/>
      <c r="Z258" s="609" t="s">
        <v>161</v>
      </c>
      <c r="AA258" s="609" t="s">
        <v>2880</v>
      </c>
    </row>
    <row r="259" spans="1:27" ht="18">
      <c r="A259" s="2714"/>
      <c r="B259" s="371">
        <v>104</v>
      </c>
      <c r="C259" s="371" t="s">
        <v>2791</v>
      </c>
      <c r="D259" s="2716">
        <f t="shared" si="18"/>
        <v>0</v>
      </c>
      <c r="E259" s="2721">
        <v>1</v>
      </c>
      <c r="F259" s="293"/>
      <c r="G259" s="2222" t="s">
        <v>2792</v>
      </c>
      <c r="H259" s="309"/>
      <c r="I259" s="422"/>
      <c r="J259" s="1476">
        <f t="shared" si="19"/>
        <v>0</v>
      </c>
      <c r="K259" s="320"/>
      <c r="L259" s="309"/>
      <c r="M259" s="309"/>
      <c r="N259" s="1477">
        <f t="shared" si="20"/>
        <v>0</v>
      </c>
      <c r="O259" s="437"/>
      <c r="P259" s="438"/>
      <c r="Q259" s="442"/>
      <c r="R259" s="443"/>
      <c r="S259" s="364"/>
      <c r="Z259" s="609" t="s">
        <v>161</v>
      </c>
      <c r="AA259" s="609" t="s">
        <v>2880</v>
      </c>
    </row>
    <row r="260" spans="1:27" ht="18">
      <c r="A260" s="2714"/>
      <c r="B260" s="371">
        <v>105</v>
      </c>
      <c r="C260" s="371" t="s">
        <v>2791</v>
      </c>
      <c r="D260" s="2716">
        <f t="shared" si="18"/>
        <v>0</v>
      </c>
      <c r="E260" s="2721">
        <v>1</v>
      </c>
      <c r="F260" s="293"/>
      <c r="G260" s="2222" t="s">
        <v>2792</v>
      </c>
      <c r="H260" s="309"/>
      <c r="I260" s="422"/>
      <c r="J260" s="1476">
        <f t="shared" si="19"/>
        <v>0</v>
      </c>
      <c r="K260" s="320"/>
      <c r="L260" s="309"/>
      <c r="M260" s="309"/>
      <c r="N260" s="1477">
        <f t="shared" si="20"/>
        <v>0</v>
      </c>
      <c r="O260" s="437"/>
      <c r="P260" s="438"/>
      <c r="Q260" s="442"/>
      <c r="R260" s="443"/>
      <c r="S260" s="364"/>
      <c r="Z260" s="609" t="s">
        <v>161</v>
      </c>
      <c r="AA260" s="609" t="s">
        <v>2880</v>
      </c>
    </row>
    <row r="261" spans="1:27" ht="18">
      <c r="A261" s="2714"/>
      <c r="B261" s="371">
        <v>106</v>
      </c>
      <c r="C261" s="371" t="s">
        <v>2791</v>
      </c>
      <c r="D261" s="2716">
        <f t="shared" si="18"/>
        <v>0</v>
      </c>
      <c r="E261" s="2721">
        <v>1</v>
      </c>
      <c r="F261" s="293"/>
      <c r="G261" s="2222" t="s">
        <v>2792</v>
      </c>
      <c r="H261" s="309"/>
      <c r="I261" s="422"/>
      <c r="J261" s="1476">
        <f t="shared" si="19"/>
        <v>0</v>
      </c>
      <c r="K261" s="320"/>
      <c r="L261" s="309"/>
      <c r="M261" s="309"/>
      <c r="N261" s="1477">
        <f t="shared" si="20"/>
        <v>0</v>
      </c>
      <c r="O261" s="437"/>
      <c r="P261" s="438"/>
      <c r="Q261" s="442"/>
      <c r="R261" s="443"/>
      <c r="S261" s="364"/>
      <c r="Z261" s="609" t="s">
        <v>161</v>
      </c>
      <c r="AA261" s="609" t="s">
        <v>2880</v>
      </c>
    </row>
    <row r="262" spans="1:27" ht="18">
      <c r="A262" s="2714"/>
      <c r="B262" s="371">
        <v>107</v>
      </c>
      <c r="C262" s="371" t="s">
        <v>2791</v>
      </c>
      <c r="D262" s="2716">
        <f t="shared" si="18"/>
        <v>0</v>
      </c>
      <c r="E262" s="2721">
        <v>1</v>
      </c>
      <c r="F262" s="293"/>
      <c r="G262" s="2222" t="s">
        <v>2792</v>
      </c>
      <c r="H262" s="309"/>
      <c r="I262" s="422"/>
      <c r="J262" s="1476">
        <f t="shared" si="19"/>
        <v>0</v>
      </c>
      <c r="K262" s="320"/>
      <c r="L262" s="309"/>
      <c r="M262" s="309"/>
      <c r="N262" s="1477">
        <f t="shared" si="20"/>
        <v>0</v>
      </c>
      <c r="O262" s="437"/>
      <c r="P262" s="438"/>
      <c r="Q262" s="442"/>
      <c r="R262" s="443"/>
      <c r="S262" s="364"/>
      <c r="Z262" s="609" t="s">
        <v>161</v>
      </c>
      <c r="AA262" s="609" t="s">
        <v>2880</v>
      </c>
    </row>
    <row r="263" spans="1:27" ht="18">
      <c r="A263" s="2714"/>
      <c r="B263" s="371">
        <v>108</v>
      </c>
      <c r="C263" s="371" t="s">
        <v>2791</v>
      </c>
      <c r="D263" s="2716">
        <f t="shared" si="18"/>
        <v>0</v>
      </c>
      <c r="E263" s="2721">
        <v>1</v>
      </c>
      <c r="F263" s="293"/>
      <c r="G263" s="2222" t="s">
        <v>2792</v>
      </c>
      <c r="H263" s="309"/>
      <c r="I263" s="422"/>
      <c r="J263" s="1476">
        <f t="shared" si="19"/>
        <v>0</v>
      </c>
      <c r="K263" s="320"/>
      <c r="L263" s="309"/>
      <c r="M263" s="309"/>
      <c r="N263" s="1477">
        <f t="shared" si="20"/>
        <v>0</v>
      </c>
      <c r="O263" s="437"/>
      <c r="P263" s="438"/>
      <c r="Q263" s="442"/>
      <c r="R263" s="443"/>
      <c r="S263" s="364"/>
      <c r="Z263" s="609" t="s">
        <v>161</v>
      </c>
      <c r="AA263" s="609" t="s">
        <v>2880</v>
      </c>
    </row>
    <row r="264" spans="1:27" ht="18.75" thickBot="1">
      <c r="A264" s="2714"/>
      <c r="B264" s="371"/>
      <c r="C264" s="371"/>
      <c r="D264" s="2716">
        <f t="shared" si="18"/>
        <v>1</v>
      </c>
      <c r="E264" s="2721" t="s">
        <v>2751</v>
      </c>
      <c r="F264" s="293"/>
      <c r="G264" s="2234" t="s">
        <v>2752</v>
      </c>
      <c r="H264" s="2235">
        <f t="shared" ref="H264:N264" si="21">SUMPRODUCT($E255:$E263,H255:H263)</f>
        <v>0</v>
      </c>
      <c r="I264" s="2235">
        <f t="shared" si="21"/>
        <v>0</v>
      </c>
      <c r="J264" s="2235">
        <f t="shared" si="21"/>
        <v>0</v>
      </c>
      <c r="K264" s="2235">
        <f t="shared" si="21"/>
        <v>0</v>
      </c>
      <c r="L264" s="2235">
        <f t="shared" si="21"/>
        <v>0</v>
      </c>
      <c r="M264" s="2235">
        <f t="shared" si="21"/>
        <v>0</v>
      </c>
      <c r="N264" s="2236">
        <f t="shared" si="21"/>
        <v>0</v>
      </c>
      <c r="O264" s="437"/>
      <c r="P264" s="440"/>
      <c r="Q264" s="442"/>
      <c r="R264" s="443"/>
      <c r="S264" s="364"/>
      <c r="Z264" s="609" t="s">
        <v>161</v>
      </c>
      <c r="AA264" s="609" t="s">
        <v>2880</v>
      </c>
    </row>
    <row r="265" spans="1:27" ht="18.75" thickBot="1">
      <c r="A265" s="2714"/>
      <c r="B265" s="371"/>
      <c r="C265" s="371" t="s">
        <v>2755</v>
      </c>
      <c r="D265" s="2716"/>
      <c r="F265" s="293"/>
      <c r="G265" s="376"/>
      <c r="H265" s="527" t="s">
        <v>3002</v>
      </c>
      <c r="I265" s="396"/>
      <c r="J265" s="315"/>
      <c r="K265" s="423"/>
      <c r="L265" s="315"/>
      <c r="M265" s="315"/>
      <c r="N265" s="2259" t="s">
        <v>3002</v>
      </c>
      <c r="O265" s="427"/>
      <c r="P265" s="425"/>
      <c r="Q265" s="442"/>
      <c r="R265" s="443"/>
      <c r="S265" s="364"/>
      <c r="Z265" s="609" t="s">
        <v>161</v>
      </c>
      <c r="AA265" s="609" t="s">
        <v>2880</v>
      </c>
    </row>
    <row r="266" spans="1:27" ht="18.75" thickTop="1">
      <c r="A266" s="2714"/>
      <c r="B266" s="371"/>
      <c r="C266" s="371" t="s">
        <v>2565</v>
      </c>
      <c r="D266" s="2716"/>
      <c r="F266" s="293"/>
      <c r="G266" s="1549" t="s">
        <v>5367</v>
      </c>
      <c r="H266" s="1550" t="str">
        <f>G120</f>
        <v>(1)应收票据分类列示</v>
      </c>
      <c r="I266" s="1551"/>
      <c r="J266" s="1551"/>
      <c r="K266" s="1551"/>
      <c r="L266" s="1551"/>
      <c r="M266" s="1551"/>
      <c r="N266" s="1552"/>
      <c r="O266" s="1553" t="s">
        <v>5368</v>
      </c>
      <c r="P266" s="425"/>
      <c r="Q266" s="442"/>
      <c r="R266" s="442"/>
      <c r="S266" s="364"/>
      <c r="Z266" s="609" t="s">
        <v>161</v>
      </c>
      <c r="AA266" s="609" t="s">
        <v>2880</v>
      </c>
    </row>
    <row r="267" spans="1:27" ht="18">
      <c r="A267" s="2714"/>
      <c r="B267" s="371"/>
      <c r="C267" s="371" t="s">
        <v>2565</v>
      </c>
      <c r="D267" s="2716"/>
      <c r="F267" s="293"/>
      <c r="G267" s="604" t="str">
        <f>"注释A:"&amp; G128</f>
        <v>注释A:合       计</v>
      </c>
      <c r="H267" s="2252">
        <f ca="1">HYPERLINK("#'"&amp;$G$1&amp;"'!"&amp;ADDRESS(ROW(Notes!L128),COLUMN(Notes!L128),4),L128)</f>
        <v>0</v>
      </c>
      <c r="I267" s="351"/>
      <c r="J267" s="351"/>
      <c r="K267" s="351"/>
      <c r="L267" s="351"/>
      <c r="M267" s="351"/>
      <c r="N267" s="2252">
        <f ca="1">HYPERLINK("#'"&amp;$G$1&amp;"'!"&amp;ADDRESS(ROW(Notes!I128),COLUMN(Notes!I128),4),I128)</f>
        <v>0</v>
      </c>
      <c r="O267" s="2251" t="str">
        <f>H120</f>
        <v>1121e</v>
      </c>
      <c r="P267" s="425"/>
      <c r="Q267" s="442"/>
      <c r="R267" s="442"/>
      <c r="S267" s="364"/>
      <c r="Z267" s="609" t="s">
        <v>161</v>
      </c>
      <c r="AA267" s="609" t="s">
        <v>2880</v>
      </c>
    </row>
    <row r="268" spans="1:27" ht="18">
      <c r="A268" s="2714"/>
      <c r="B268" s="371"/>
      <c r="C268" s="371" t="s">
        <v>2565</v>
      </c>
      <c r="D268" s="2716"/>
      <c r="F268" s="293"/>
      <c r="G268" s="604" t="str">
        <f>"本注释B:"&amp; G264</f>
        <v>本注释B:合       计</v>
      </c>
      <c r="H268" s="456">
        <f>H264</f>
        <v>0</v>
      </c>
      <c r="I268" s="351"/>
      <c r="J268" s="351"/>
      <c r="K268" s="351"/>
      <c r="L268" s="351"/>
      <c r="M268" s="351"/>
      <c r="N268" s="456">
        <f>N264</f>
        <v>0</v>
      </c>
      <c r="O268" s="1544" t="s">
        <v>227</v>
      </c>
      <c r="P268" s="425"/>
      <c r="Q268" s="442"/>
      <c r="R268" s="442"/>
      <c r="S268" s="364"/>
      <c r="Z268" s="609" t="s">
        <v>161</v>
      </c>
      <c r="AA268" s="609" t="s">
        <v>2880</v>
      </c>
    </row>
    <row r="269" spans="1:27" ht="18.75" thickBot="1">
      <c r="A269" s="2714"/>
      <c r="B269" s="371"/>
      <c r="C269" s="371" t="s">
        <v>2565</v>
      </c>
      <c r="D269" s="2716"/>
      <c r="F269" s="293"/>
      <c r="G269" s="1554" t="s">
        <v>2757</v>
      </c>
      <c r="H269" s="1531">
        <f ca="1">IF(AND(H267="",H268=""),"",ROUND(H267-H268,2))</f>
        <v>0</v>
      </c>
      <c r="I269" s="1555"/>
      <c r="J269" s="1555"/>
      <c r="K269" s="1555"/>
      <c r="L269" s="1555"/>
      <c r="M269" s="1555"/>
      <c r="N269" s="1531">
        <f ca="1">IF(AND(N267="",N268=""),"",ROUND(N267-N268,2))</f>
        <v>0</v>
      </c>
      <c r="O269" s="1556"/>
      <c r="P269" s="425"/>
      <c r="Q269" s="442"/>
      <c r="R269" s="442"/>
      <c r="S269" s="364"/>
      <c r="Z269" s="609" t="s">
        <v>161</v>
      </c>
      <c r="AA269" s="609" t="s">
        <v>2880</v>
      </c>
    </row>
    <row r="270" spans="1:27" ht="18.75" thickTop="1">
      <c r="A270" s="2714"/>
      <c r="B270" s="371"/>
      <c r="C270" s="371" t="s">
        <v>2565</v>
      </c>
      <c r="D270" s="2716"/>
      <c r="F270" s="293"/>
      <c r="G270" s="1545"/>
      <c r="H270" s="459" t="str">
        <f ca="1">IF(OR(H269=0,H269=""),"√","？")</f>
        <v>√</v>
      </c>
      <c r="I270" s="317"/>
      <c r="J270" s="317"/>
      <c r="K270" s="317"/>
      <c r="L270" s="317"/>
      <c r="M270" s="317"/>
      <c r="N270" s="459" t="str">
        <f ca="1">IF(OR(N269=0,N269=""),"√","？")</f>
        <v>√</v>
      </c>
      <c r="O270" s="1547"/>
      <c r="P270" s="425"/>
      <c r="Q270" s="442"/>
      <c r="R270" s="442"/>
      <c r="S270" s="364"/>
      <c r="Z270" s="609" t="s">
        <v>161</v>
      </c>
      <c r="AA270" s="609" t="s">
        <v>2880</v>
      </c>
    </row>
    <row r="271" spans="1:27" ht="18">
      <c r="A271" s="2714"/>
      <c r="B271" s="371"/>
      <c r="C271" s="371" t="s">
        <v>2565</v>
      </c>
      <c r="D271" s="2716"/>
      <c r="F271" s="293"/>
      <c r="G271" s="1559" t="s">
        <v>2759</v>
      </c>
      <c r="H271" s="461"/>
      <c r="I271" s="317"/>
      <c r="J271" s="317"/>
      <c r="K271" s="352">
        <f ca="1">SUMIF($H$270:$O$270,"&lt;&gt;√",$H$269:$O$269)</f>
        <v>0</v>
      </c>
      <c r="L271" s="353" t="str">
        <f ca="1">IF(OR(K271=0,K271=""),"√","？")</f>
        <v>√</v>
      </c>
      <c r="M271" s="317"/>
      <c r="N271" s="461"/>
      <c r="O271" s="1547"/>
      <c r="P271" s="425"/>
      <c r="Q271" s="442"/>
      <c r="R271" s="442"/>
      <c r="S271" s="364"/>
      <c r="Z271" s="609" t="s">
        <v>161</v>
      </c>
      <c r="AA271" s="609" t="s">
        <v>2880</v>
      </c>
    </row>
    <row r="272" spans="1:27" ht="18">
      <c r="A272" s="2714"/>
      <c r="B272" s="371"/>
      <c r="C272" s="371" t="s">
        <v>2565</v>
      </c>
      <c r="D272" s="2716"/>
      <c r="F272" s="293"/>
      <c r="G272" s="1545"/>
      <c r="H272" s="461"/>
      <c r="I272" s="317"/>
      <c r="J272" s="317"/>
      <c r="K272" s="317"/>
      <c r="L272" s="317"/>
      <c r="M272" s="317"/>
      <c r="N272" s="461"/>
      <c r="O272" s="1547"/>
      <c r="P272" s="425"/>
      <c r="Q272" s="442"/>
      <c r="R272" s="442"/>
      <c r="S272" s="364"/>
      <c r="Z272" s="609" t="s">
        <v>161</v>
      </c>
      <c r="AA272" s="609" t="s">
        <v>2880</v>
      </c>
    </row>
    <row r="273" spans="1:27" ht="24">
      <c r="A273" s="2714" t="s">
        <v>235</v>
      </c>
      <c r="B273" s="371">
        <v>6.1</v>
      </c>
      <c r="C273" s="371"/>
      <c r="D273" s="2716" t="str">
        <f>VLOOKUP($A273,Sheet_NoteList,2,0)</f>
        <v>本期转回或收回金额重要的应收票据坏账准备</v>
      </c>
      <c r="E273" s="2716" t="s">
        <v>2742</v>
      </c>
      <c r="F273" s="293"/>
      <c r="G273" s="372" t="str">
        <f>"("&amp;B273&amp;")"&amp;D273</f>
        <v>(6.1)本期转回或收回金额重要的应收票据坏账准备</v>
      </c>
      <c r="H273" s="1517" t="str">
        <f>$A273</f>
        <v>1121j</v>
      </c>
      <c r="I273" s="343" t="s">
        <v>2743</v>
      </c>
      <c r="J273" s="301" t="s">
        <v>2744</v>
      </c>
      <c r="K273" s="2210">
        <f>H284</f>
        <v>0</v>
      </c>
      <c r="L273" s="349"/>
      <c r="M273" s="301"/>
      <c r="N273" s="391"/>
      <c r="O273" s="349"/>
      <c r="P273" s="301"/>
      <c r="S273" s="364"/>
      <c r="Z273" s="609" t="s">
        <v>161</v>
      </c>
      <c r="AA273" s="609" t="s">
        <v>2880</v>
      </c>
    </row>
    <row r="274" spans="1:27" ht="0.75" customHeight="1" thickBot="1">
      <c r="A274" s="2714"/>
      <c r="B274" s="371"/>
      <c r="C274" s="371"/>
      <c r="D274" s="2716"/>
      <c r="E274" s="586"/>
      <c r="F274" s="586"/>
      <c r="G274" s="2224" t="s">
        <v>2921</v>
      </c>
      <c r="H274" s="371" t="s">
        <v>2747</v>
      </c>
      <c r="I274" s="371" t="s">
        <v>2821</v>
      </c>
      <c r="J274" s="433"/>
      <c r="K274" s="428"/>
      <c r="L274" s="428"/>
      <c r="M274" s="433"/>
      <c r="N274" s="428"/>
      <c r="O274" s="428"/>
      <c r="P274" s="433"/>
      <c r="Q274" s="442"/>
      <c r="R274" s="443"/>
      <c r="S274" s="364"/>
      <c r="Z274" s="609" t="s">
        <v>161</v>
      </c>
      <c r="AA274" s="609" t="s">
        <v>2880</v>
      </c>
    </row>
    <row r="275" spans="1:27" ht="18">
      <c r="A275" s="2714"/>
      <c r="B275" s="371"/>
      <c r="C275" s="371"/>
      <c r="D275" s="2716"/>
      <c r="E275" s="586" t="s">
        <v>2749</v>
      </c>
      <c r="F275" s="414"/>
      <c r="G275" s="2231" t="s">
        <v>1465</v>
      </c>
      <c r="H275" s="2246" t="s">
        <v>2922</v>
      </c>
      <c r="I275" s="2247" t="s">
        <v>2923</v>
      </c>
      <c r="J275" s="355" t="s">
        <v>5269</v>
      </c>
      <c r="K275" s="434"/>
      <c r="L275" s="434"/>
      <c r="M275" s="435"/>
      <c r="N275" s="434"/>
      <c r="O275" s="434"/>
      <c r="P275" s="435"/>
      <c r="Q275" s="442"/>
      <c r="R275" s="443"/>
      <c r="S275" s="364"/>
      <c r="Z275" s="609" t="s">
        <v>161</v>
      </c>
      <c r="AA275" s="609" t="s">
        <v>2880</v>
      </c>
    </row>
    <row r="276" spans="1:27" ht="18">
      <c r="A276" s="2714"/>
      <c r="B276" s="371">
        <v>101</v>
      </c>
      <c r="C276" s="371" t="s">
        <v>2791</v>
      </c>
      <c r="D276" s="2716">
        <f t="shared" ref="D276:D284" si="22">IF(OR(G276="*",G276="",G276=0),0,COUNTIF($G$276:$G$284,G276))</f>
        <v>0</v>
      </c>
      <c r="E276" s="2721">
        <v>1</v>
      </c>
      <c r="F276" s="293"/>
      <c r="G276" s="2222" t="s">
        <v>2792</v>
      </c>
      <c r="H276" s="309"/>
      <c r="I276" s="444"/>
      <c r="J276" s="438"/>
      <c r="K276" s="439"/>
      <c r="L276" s="437"/>
      <c r="M276" s="438"/>
      <c r="N276" s="439"/>
      <c r="O276" s="437"/>
      <c r="P276" s="438"/>
      <c r="Q276" s="442"/>
      <c r="R276" s="443"/>
      <c r="S276" s="364"/>
      <c r="Z276" s="609" t="s">
        <v>161</v>
      </c>
      <c r="AA276" s="609" t="s">
        <v>2880</v>
      </c>
    </row>
    <row r="277" spans="1:27" ht="18">
      <c r="A277" s="2714"/>
      <c r="B277" s="371">
        <v>102</v>
      </c>
      <c r="C277" s="371" t="s">
        <v>2791</v>
      </c>
      <c r="D277" s="2716">
        <f t="shared" si="22"/>
        <v>0</v>
      </c>
      <c r="E277" s="2721">
        <v>1</v>
      </c>
      <c r="F277" s="293"/>
      <c r="G277" s="2222" t="s">
        <v>2792</v>
      </c>
      <c r="H277" s="309"/>
      <c r="I277" s="444"/>
      <c r="J277" s="438"/>
      <c r="K277" s="439"/>
      <c r="L277" s="437"/>
      <c r="M277" s="438"/>
      <c r="N277" s="439"/>
      <c r="O277" s="437"/>
      <c r="P277" s="438"/>
      <c r="Q277" s="442"/>
      <c r="R277" s="443"/>
      <c r="S277" s="364"/>
      <c r="Z277" s="609" t="s">
        <v>161</v>
      </c>
      <c r="AA277" s="609" t="s">
        <v>2880</v>
      </c>
    </row>
    <row r="278" spans="1:27" ht="18">
      <c r="A278" s="2714"/>
      <c r="B278" s="371">
        <v>103</v>
      </c>
      <c r="C278" s="371" t="s">
        <v>2791</v>
      </c>
      <c r="D278" s="2716">
        <f t="shared" si="22"/>
        <v>0</v>
      </c>
      <c r="E278" s="2721">
        <v>1</v>
      </c>
      <c r="F278" s="293"/>
      <c r="G278" s="2222" t="s">
        <v>2792</v>
      </c>
      <c r="H278" s="309"/>
      <c r="I278" s="444"/>
      <c r="J278" s="438"/>
      <c r="K278" s="439"/>
      <c r="L278" s="437"/>
      <c r="M278" s="438"/>
      <c r="N278" s="439"/>
      <c r="O278" s="437"/>
      <c r="P278" s="438"/>
      <c r="Q278" s="442"/>
      <c r="R278" s="443"/>
      <c r="S278" s="364"/>
      <c r="Z278" s="609" t="s">
        <v>161</v>
      </c>
      <c r="AA278" s="609" t="s">
        <v>2880</v>
      </c>
    </row>
    <row r="279" spans="1:27" ht="18">
      <c r="A279" s="2714"/>
      <c r="B279" s="371">
        <v>104</v>
      </c>
      <c r="C279" s="371" t="s">
        <v>2791</v>
      </c>
      <c r="D279" s="2716">
        <f t="shared" si="22"/>
        <v>0</v>
      </c>
      <c r="E279" s="2721">
        <v>1</v>
      </c>
      <c r="F279" s="293"/>
      <c r="G279" s="2222" t="s">
        <v>2792</v>
      </c>
      <c r="H279" s="309"/>
      <c r="I279" s="444"/>
      <c r="J279" s="438"/>
      <c r="K279" s="439"/>
      <c r="L279" s="437"/>
      <c r="M279" s="438"/>
      <c r="N279" s="439"/>
      <c r="O279" s="437"/>
      <c r="P279" s="438"/>
      <c r="Q279" s="442"/>
      <c r="R279" s="443"/>
      <c r="S279" s="364"/>
      <c r="Z279" s="609" t="s">
        <v>161</v>
      </c>
      <c r="AA279" s="609" t="s">
        <v>2880</v>
      </c>
    </row>
    <row r="280" spans="1:27" ht="18">
      <c r="A280" s="2714"/>
      <c r="B280" s="371">
        <v>105</v>
      </c>
      <c r="C280" s="371" t="s">
        <v>2791</v>
      </c>
      <c r="D280" s="2716">
        <f t="shared" si="22"/>
        <v>0</v>
      </c>
      <c r="E280" s="2721">
        <v>1</v>
      </c>
      <c r="F280" s="293"/>
      <c r="G280" s="2222" t="s">
        <v>2792</v>
      </c>
      <c r="H280" s="309"/>
      <c r="I280" s="444"/>
      <c r="J280" s="438"/>
      <c r="K280" s="439"/>
      <c r="L280" s="437"/>
      <c r="M280" s="438"/>
      <c r="N280" s="439"/>
      <c r="O280" s="437"/>
      <c r="P280" s="438"/>
      <c r="Q280" s="442"/>
      <c r="R280" s="443"/>
      <c r="S280" s="364"/>
      <c r="Z280" s="609" t="s">
        <v>161</v>
      </c>
      <c r="AA280" s="609" t="s">
        <v>2880</v>
      </c>
    </row>
    <row r="281" spans="1:27" ht="18">
      <c r="A281" s="2714"/>
      <c r="B281" s="371">
        <v>106</v>
      </c>
      <c r="C281" s="371" t="s">
        <v>2791</v>
      </c>
      <c r="D281" s="2716">
        <f t="shared" si="22"/>
        <v>0</v>
      </c>
      <c r="E281" s="2721">
        <v>1</v>
      </c>
      <c r="F281" s="293"/>
      <c r="G281" s="2222" t="s">
        <v>2792</v>
      </c>
      <c r="H281" s="309"/>
      <c r="I281" s="444"/>
      <c r="J281" s="438"/>
      <c r="K281" s="439"/>
      <c r="L281" s="437"/>
      <c r="M281" s="438"/>
      <c r="N281" s="439"/>
      <c r="O281" s="437"/>
      <c r="P281" s="438"/>
      <c r="Q281" s="442"/>
      <c r="R281" s="443"/>
      <c r="S281" s="364"/>
      <c r="Z281" s="609" t="s">
        <v>161</v>
      </c>
      <c r="AA281" s="609" t="s">
        <v>2880</v>
      </c>
    </row>
    <row r="282" spans="1:27" ht="18">
      <c r="A282" s="2714"/>
      <c r="B282" s="371">
        <v>107</v>
      </c>
      <c r="C282" s="371" t="s">
        <v>2791</v>
      </c>
      <c r="D282" s="2716">
        <f t="shared" si="22"/>
        <v>0</v>
      </c>
      <c r="E282" s="2721">
        <v>1</v>
      </c>
      <c r="F282" s="293"/>
      <c r="G282" s="2222" t="s">
        <v>2792</v>
      </c>
      <c r="H282" s="309"/>
      <c r="I282" s="444"/>
      <c r="J282" s="438"/>
      <c r="K282" s="439"/>
      <c r="L282" s="437"/>
      <c r="M282" s="438"/>
      <c r="N282" s="439"/>
      <c r="O282" s="437"/>
      <c r="P282" s="438"/>
      <c r="Q282" s="442"/>
      <c r="R282" s="443"/>
      <c r="S282" s="364"/>
      <c r="Z282" s="609" t="s">
        <v>161</v>
      </c>
      <c r="AA282" s="609" t="s">
        <v>2880</v>
      </c>
    </row>
    <row r="283" spans="1:27" ht="18">
      <c r="A283" s="2714"/>
      <c r="B283" s="371">
        <v>108</v>
      </c>
      <c r="C283" s="371" t="s">
        <v>2791</v>
      </c>
      <c r="D283" s="2716">
        <f t="shared" si="22"/>
        <v>0</v>
      </c>
      <c r="E283" s="2721">
        <v>1</v>
      </c>
      <c r="F283" s="293"/>
      <c r="G283" s="2222" t="s">
        <v>2792</v>
      </c>
      <c r="H283" s="309"/>
      <c r="I283" s="444"/>
      <c r="J283" s="438"/>
      <c r="K283" s="439"/>
      <c r="L283" s="437"/>
      <c r="M283" s="438"/>
      <c r="N283" s="439"/>
      <c r="O283" s="437"/>
      <c r="P283" s="438"/>
      <c r="Q283" s="442"/>
      <c r="R283" s="443"/>
      <c r="S283" s="364"/>
      <c r="Z283" s="609" t="s">
        <v>161</v>
      </c>
      <c r="AA283" s="609" t="s">
        <v>2880</v>
      </c>
    </row>
    <row r="284" spans="1:27" ht="18.75" thickBot="1">
      <c r="A284" s="2714"/>
      <c r="B284" s="371"/>
      <c r="C284" s="371"/>
      <c r="D284" s="2716">
        <f t="shared" si="22"/>
        <v>1</v>
      </c>
      <c r="E284" s="2721" t="s">
        <v>2751</v>
      </c>
      <c r="F284" s="293"/>
      <c r="G284" s="2234" t="s">
        <v>2752</v>
      </c>
      <c r="H284" s="2235">
        <f>SUMPRODUCT($E275:$E283,H275:H283)</f>
        <v>0</v>
      </c>
      <c r="I284" s="2244"/>
      <c r="J284" s="440"/>
      <c r="K284" s="439"/>
      <c r="L284" s="437"/>
      <c r="M284" s="440"/>
      <c r="N284" s="439"/>
      <c r="O284" s="437"/>
      <c r="P284" s="440"/>
      <c r="Q284" s="442"/>
      <c r="R284" s="443"/>
      <c r="S284" s="364"/>
      <c r="Z284" s="609" t="s">
        <v>161</v>
      </c>
      <c r="AA284" s="609" t="s">
        <v>2880</v>
      </c>
    </row>
    <row r="285" spans="1:27" ht="18">
      <c r="A285" s="2714"/>
      <c r="B285" s="371"/>
      <c r="C285" s="371" t="s">
        <v>2755</v>
      </c>
      <c r="D285" s="2716"/>
      <c r="F285" s="293"/>
      <c r="G285" s="376"/>
      <c r="H285" s="315"/>
      <c r="I285" s="432"/>
      <c r="J285" s="425"/>
      <c r="K285" s="426"/>
      <c r="L285" s="427"/>
      <c r="M285" s="425"/>
      <c r="N285" s="426"/>
      <c r="O285" s="427"/>
      <c r="P285" s="425"/>
      <c r="Q285" s="442"/>
      <c r="R285" s="443"/>
      <c r="S285" s="364"/>
      <c r="Z285" s="609" t="s">
        <v>161</v>
      </c>
      <c r="AA285" s="609" t="s">
        <v>2880</v>
      </c>
    </row>
    <row r="286" spans="1:27" ht="24">
      <c r="A286" s="2714" t="s">
        <v>245</v>
      </c>
      <c r="B286" s="371">
        <v>7</v>
      </c>
      <c r="C286" s="371"/>
      <c r="D286" s="2716" t="str">
        <f>VLOOKUP($A286,Sheet_NoteList,2,0)</f>
        <v>本期实际核销的应收票据情况</v>
      </c>
      <c r="E286" s="2716" t="s">
        <v>2742</v>
      </c>
      <c r="F286" s="293"/>
      <c r="G286" s="372" t="str">
        <f>"("&amp;B286&amp;")"&amp;D286</f>
        <v>(7)本期实际核销的应收票据情况</v>
      </c>
      <c r="H286" s="1517" t="str">
        <f>$A286</f>
        <v>1121k</v>
      </c>
      <c r="I286" s="343" t="s">
        <v>2743</v>
      </c>
      <c r="J286" s="301" t="s">
        <v>2744</v>
      </c>
      <c r="K286" s="2210">
        <f>H291</f>
        <v>0</v>
      </c>
      <c r="L286" s="349"/>
      <c r="M286" s="301"/>
      <c r="N286" s="391"/>
      <c r="O286" s="349"/>
      <c r="P286" s="301"/>
      <c r="S286" s="364"/>
      <c r="Z286" s="609" t="s">
        <v>161</v>
      </c>
      <c r="AA286" s="609" t="s">
        <v>2880</v>
      </c>
    </row>
    <row r="287" spans="1:27" ht="0.75" customHeight="1" thickBot="1">
      <c r="A287" s="2714"/>
      <c r="B287" s="371"/>
      <c r="C287" s="371"/>
      <c r="D287" s="2716"/>
      <c r="E287" s="586"/>
      <c r="F287" s="586"/>
      <c r="G287" s="2224" t="s">
        <v>2924</v>
      </c>
      <c r="H287" s="371" t="s">
        <v>2747</v>
      </c>
      <c r="I287" s="433"/>
      <c r="J287" s="433"/>
      <c r="K287" s="428"/>
      <c r="L287" s="428"/>
      <c r="M287" s="433"/>
      <c r="N287" s="428"/>
      <c r="O287" s="428"/>
      <c r="P287" s="433"/>
      <c r="Q287" s="442"/>
      <c r="R287" s="443"/>
      <c r="S287" s="364"/>
      <c r="Z287" s="609" t="s">
        <v>161</v>
      </c>
      <c r="AA287" s="609" t="s">
        <v>2880</v>
      </c>
    </row>
    <row r="288" spans="1:27" ht="18">
      <c r="A288" s="2714"/>
      <c r="B288" s="371"/>
      <c r="C288" s="371"/>
      <c r="D288" s="2716"/>
      <c r="E288" s="586" t="s">
        <v>2749</v>
      </c>
      <c r="F288" s="414"/>
      <c r="G288" s="2231" t="s">
        <v>47</v>
      </c>
      <c r="H288" s="2247" t="s">
        <v>2925</v>
      </c>
      <c r="I288" s="355" t="s">
        <v>5269</v>
      </c>
      <c r="J288" s="435"/>
      <c r="K288" s="434"/>
      <c r="L288" s="434"/>
      <c r="M288" s="435"/>
      <c r="N288" s="434"/>
      <c r="O288" s="434"/>
      <c r="P288" s="435"/>
      <c r="Q288" s="442"/>
      <c r="R288" s="443"/>
      <c r="S288" s="364"/>
      <c r="Z288" s="609" t="s">
        <v>161</v>
      </c>
      <c r="AA288" s="609" t="s">
        <v>2880</v>
      </c>
    </row>
    <row r="289" spans="1:27" ht="18">
      <c r="A289" s="2714"/>
      <c r="B289" s="371">
        <v>101</v>
      </c>
      <c r="C289" s="371"/>
      <c r="D289" s="2716">
        <f>IF(OR(G289="*",G289="",G289=0),0,COUNTIF($G$289:$G$291,G289))</f>
        <v>1</v>
      </c>
      <c r="E289" s="2721">
        <v>1</v>
      </c>
      <c r="F289" s="293"/>
      <c r="G289" s="1474" t="s">
        <v>5995</v>
      </c>
      <c r="H289" s="346"/>
      <c r="I289" s="445"/>
      <c r="J289" s="438"/>
      <c r="K289" s="439"/>
      <c r="L289" s="437"/>
      <c r="M289" s="438"/>
      <c r="N289" s="439"/>
      <c r="O289" s="437"/>
      <c r="P289" s="438"/>
      <c r="Q289" s="442"/>
      <c r="R289" s="443"/>
      <c r="S289" s="364"/>
      <c r="Z289" s="609" t="s">
        <v>161</v>
      </c>
      <c r="AA289" s="609" t="s">
        <v>2880</v>
      </c>
    </row>
    <row r="290" spans="1:27" ht="18">
      <c r="A290" s="2714"/>
      <c r="B290" s="371">
        <v>102</v>
      </c>
      <c r="C290" s="371" t="s">
        <v>2791</v>
      </c>
      <c r="D290" s="2716">
        <f>IF(OR(G290="*",G290="",G290=0),0,COUNTIF($G$289:$G$291,G290))</f>
        <v>0</v>
      </c>
      <c r="E290" s="2721">
        <v>1</v>
      </c>
      <c r="F290" s="293"/>
      <c r="G290" s="2222" t="s">
        <v>2792</v>
      </c>
      <c r="H290" s="346"/>
      <c r="I290" s="445"/>
      <c r="J290" s="438"/>
      <c r="K290" s="439"/>
      <c r="L290" s="437"/>
      <c r="M290" s="438"/>
      <c r="N290" s="439"/>
      <c r="O290" s="437"/>
      <c r="P290" s="438"/>
      <c r="Q290" s="442"/>
      <c r="R290" s="443"/>
      <c r="S290" s="364"/>
      <c r="Z290" s="609" t="s">
        <v>161</v>
      </c>
      <c r="AA290" s="609" t="s">
        <v>2880</v>
      </c>
    </row>
    <row r="291" spans="1:27" ht="18.75" thickBot="1">
      <c r="A291" s="2714"/>
      <c r="B291" s="371"/>
      <c r="C291" s="371"/>
      <c r="D291" s="2716">
        <f>IF(OR(G291="*",G291="",G291=0),0,COUNTIF($G$289:$G$291,G291))</f>
        <v>1</v>
      </c>
      <c r="E291" s="2721" t="s">
        <v>2751</v>
      </c>
      <c r="F291" s="293"/>
      <c r="G291" s="2234" t="s">
        <v>2752</v>
      </c>
      <c r="H291" s="2236">
        <f>SUMPRODUCT($E288:$E290,H288:H290)</f>
        <v>0</v>
      </c>
      <c r="I291" s="440"/>
      <c r="J291" s="440"/>
      <c r="K291" s="439"/>
      <c r="L291" s="437"/>
      <c r="M291" s="440"/>
      <c r="N291" s="439"/>
      <c r="O291" s="437"/>
      <c r="P291" s="440"/>
      <c r="Q291" s="442"/>
      <c r="R291" s="443"/>
      <c r="S291" s="364"/>
      <c r="Z291" s="609" t="s">
        <v>161</v>
      </c>
      <c r="AA291" s="609" t="s">
        <v>2880</v>
      </c>
    </row>
    <row r="292" spans="1:27" ht="18">
      <c r="A292" s="2714"/>
      <c r="B292" s="371"/>
      <c r="C292" s="371" t="s">
        <v>2755</v>
      </c>
      <c r="D292" s="2716"/>
      <c r="F292" s="293"/>
      <c r="G292" s="376"/>
      <c r="H292" s="315"/>
      <c r="I292" s="446"/>
      <c r="J292" s="425"/>
      <c r="K292" s="426"/>
      <c r="L292" s="427"/>
      <c r="M292" s="425"/>
      <c r="N292" s="426"/>
      <c r="O292" s="427"/>
      <c r="P292" s="425"/>
      <c r="Q292" s="442"/>
      <c r="R292" s="443"/>
      <c r="S292" s="364"/>
      <c r="Z292" s="609" t="s">
        <v>161</v>
      </c>
      <c r="AA292" s="609" t="s">
        <v>2880</v>
      </c>
    </row>
    <row r="293" spans="1:27" ht="24">
      <c r="A293" s="2714" t="s">
        <v>255</v>
      </c>
      <c r="B293" s="371">
        <v>7.1</v>
      </c>
      <c r="C293" s="371"/>
      <c r="D293" s="2716" t="str">
        <f>VLOOKUP($A293,Sheet_NoteList,2,0)</f>
        <v>本期重要的应收票据核销情况</v>
      </c>
      <c r="E293" s="2716" t="s">
        <v>2742</v>
      </c>
      <c r="F293" s="293"/>
      <c r="G293" s="372" t="str">
        <f>"("&amp;B293&amp;")"&amp;D293</f>
        <v>(7.1)本期重要的应收票据核销情况</v>
      </c>
      <c r="H293" s="1517" t="str">
        <f>$A293</f>
        <v>1121l</v>
      </c>
      <c r="I293" s="343" t="s">
        <v>2743</v>
      </c>
      <c r="J293" s="301" t="s">
        <v>2744</v>
      </c>
      <c r="K293" s="2210">
        <f>I304</f>
        <v>0</v>
      </c>
      <c r="L293" s="349"/>
      <c r="M293" s="301"/>
      <c r="N293" s="391"/>
      <c r="O293" s="349"/>
      <c r="P293" s="301"/>
      <c r="S293" s="364"/>
      <c r="Z293" s="609" t="s">
        <v>161</v>
      </c>
      <c r="AA293" s="609" t="s">
        <v>2880</v>
      </c>
    </row>
    <row r="294" spans="1:27" ht="0.75" customHeight="1" thickBot="1">
      <c r="A294" s="2714"/>
      <c r="B294" s="371"/>
      <c r="C294" s="371"/>
      <c r="D294" s="2716"/>
      <c r="E294" s="586"/>
      <c r="F294" s="586"/>
      <c r="G294" s="2224" t="s">
        <v>2926</v>
      </c>
      <c r="H294" s="371" t="s">
        <v>2927</v>
      </c>
      <c r="I294" s="371" t="s">
        <v>2928</v>
      </c>
      <c r="J294" s="371" t="s">
        <v>2929</v>
      </c>
      <c r="K294" s="547" t="s">
        <v>2898</v>
      </c>
      <c r="L294" s="547" t="s">
        <v>2930</v>
      </c>
      <c r="M294" s="433"/>
      <c r="N294" s="428"/>
      <c r="O294" s="428"/>
      <c r="P294" s="433"/>
      <c r="Q294" s="442"/>
      <c r="R294" s="443"/>
      <c r="S294" s="364"/>
      <c r="Z294" s="609" t="s">
        <v>161</v>
      </c>
      <c r="AA294" s="609" t="s">
        <v>2880</v>
      </c>
    </row>
    <row r="295" spans="1:27" ht="24">
      <c r="A295" s="2714"/>
      <c r="B295" s="371"/>
      <c r="C295" s="371"/>
      <c r="D295" s="2716"/>
      <c r="E295" s="586" t="s">
        <v>2749</v>
      </c>
      <c r="F295" s="414"/>
      <c r="G295" s="2231" t="s">
        <v>1465</v>
      </c>
      <c r="H295" s="2246" t="s">
        <v>2931</v>
      </c>
      <c r="I295" s="2246" t="s">
        <v>2925</v>
      </c>
      <c r="J295" s="2246" t="s">
        <v>2932</v>
      </c>
      <c r="K295" s="2248" t="s">
        <v>2933</v>
      </c>
      <c r="L295" s="2249" t="s">
        <v>2934</v>
      </c>
      <c r="M295" s="355" t="s">
        <v>5269</v>
      </c>
      <c r="N295" s="434"/>
      <c r="O295" s="434"/>
      <c r="P295" s="435"/>
      <c r="Q295" s="442"/>
      <c r="R295" s="443"/>
      <c r="S295" s="364"/>
      <c r="Z295" s="609" t="s">
        <v>161</v>
      </c>
      <c r="AA295" s="609" t="s">
        <v>2880</v>
      </c>
    </row>
    <row r="296" spans="1:27" ht="18">
      <c r="A296" s="2714"/>
      <c r="B296" s="371">
        <v>101</v>
      </c>
      <c r="C296" s="371" t="s">
        <v>2791</v>
      </c>
      <c r="D296" s="2716">
        <f t="shared" ref="D296:D304" si="23">IF(OR(G296="*",G296="",G296=0),0,COUNTIF($G$296:$G$304,G296))</f>
        <v>0</v>
      </c>
      <c r="E296" s="2721">
        <v>1</v>
      </c>
      <c r="F296" s="293"/>
      <c r="G296" s="2222" t="s">
        <v>2792</v>
      </c>
      <c r="H296" s="360"/>
      <c r="I296" s="422"/>
      <c r="J296" s="360"/>
      <c r="K296" s="431"/>
      <c r="L296" s="388"/>
      <c r="M296" s="438"/>
      <c r="N296" s="439"/>
      <c r="O296" s="437"/>
      <c r="P296" s="438"/>
      <c r="Q296" s="442"/>
      <c r="R296" s="443"/>
      <c r="S296" s="364"/>
      <c r="Z296" s="609" t="s">
        <v>161</v>
      </c>
      <c r="AA296" s="609" t="s">
        <v>2880</v>
      </c>
    </row>
    <row r="297" spans="1:27" ht="18">
      <c r="A297" s="2714"/>
      <c r="B297" s="371">
        <v>102</v>
      </c>
      <c r="C297" s="371" t="s">
        <v>2791</v>
      </c>
      <c r="D297" s="2716">
        <f t="shared" si="23"/>
        <v>0</v>
      </c>
      <c r="E297" s="2721">
        <v>1</v>
      </c>
      <c r="F297" s="293"/>
      <c r="G297" s="2222" t="s">
        <v>2792</v>
      </c>
      <c r="H297" s="360"/>
      <c r="I297" s="422"/>
      <c r="J297" s="360"/>
      <c r="K297" s="431"/>
      <c r="L297" s="388"/>
      <c r="M297" s="438"/>
      <c r="N297" s="439"/>
      <c r="O297" s="437"/>
      <c r="P297" s="438"/>
      <c r="Q297" s="442"/>
      <c r="R297" s="443"/>
      <c r="S297" s="364"/>
      <c r="Z297" s="609" t="s">
        <v>161</v>
      </c>
      <c r="AA297" s="609" t="s">
        <v>2880</v>
      </c>
    </row>
    <row r="298" spans="1:27" ht="18">
      <c r="A298" s="2714"/>
      <c r="B298" s="371">
        <v>103</v>
      </c>
      <c r="C298" s="371" t="s">
        <v>2791</v>
      </c>
      <c r="D298" s="2716">
        <f t="shared" si="23"/>
        <v>0</v>
      </c>
      <c r="E298" s="2721">
        <v>1</v>
      </c>
      <c r="F298" s="293"/>
      <c r="G298" s="2222" t="s">
        <v>2792</v>
      </c>
      <c r="H298" s="360"/>
      <c r="I298" s="422"/>
      <c r="J298" s="360"/>
      <c r="K298" s="431"/>
      <c r="L298" s="388"/>
      <c r="M298" s="438"/>
      <c r="N298" s="439"/>
      <c r="O298" s="437"/>
      <c r="P298" s="438"/>
      <c r="Q298" s="442"/>
      <c r="R298" s="443"/>
      <c r="S298" s="364"/>
      <c r="Z298" s="609" t="s">
        <v>161</v>
      </c>
      <c r="AA298" s="609" t="s">
        <v>2880</v>
      </c>
    </row>
    <row r="299" spans="1:27" ht="18">
      <c r="A299" s="2714"/>
      <c r="B299" s="371">
        <v>104</v>
      </c>
      <c r="C299" s="371" t="s">
        <v>2791</v>
      </c>
      <c r="D299" s="2716">
        <f t="shared" si="23"/>
        <v>0</v>
      </c>
      <c r="E299" s="2721">
        <v>1</v>
      </c>
      <c r="F299" s="293"/>
      <c r="G299" s="2222" t="s">
        <v>2792</v>
      </c>
      <c r="H299" s="360"/>
      <c r="I299" s="422"/>
      <c r="J299" s="360"/>
      <c r="K299" s="431"/>
      <c r="L299" s="388"/>
      <c r="M299" s="438"/>
      <c r="N299" s="439"/>
      <c r="O299" s="437"/>
      <c r="P299" s="438"/>
      <c r="Q299" s="442"/>
      <c r="R299" s="443"/>
      <c r="S299" s="364"/>
      <c r="Z299" s="609" t="s">
        <v>161</v>
      </c>
      <c r="AA299" s="609" t="s">
        <v>2880</v>
      </c>
    </row>
    <row r="300" spans="1:27" ht="18">
      <c r="A300" s="2714"/>
      <c r="B300" s="371">
        <v>105</v>
      </c>
      <c r="C300" s="371" t="s">
        <v>2791</v>
      </c>
      <c r="D300" s="2716">
        <f t="shared" si="23"/>
        <v>0</v>
      </c>
      <c r="E300" s="2721">
        <v>1</v>
      </c>
      <c r="F300" s="293"/>
      <c r="G300" s="2222" t="s">
        <v>2792</v>
      </c>
      <c r="H300" s="360"/>
      <c r="I300" s="422"/>
      <c r="J300" s="360"/>
      <c r="K300" s="431"/>
      <c r="L300" s="388"/>
      <c r="M300" s="438"/>
      <c r="N300" s="439"/>
      <c r="O300" s="437"/>
      <c r="P300" s="438"/>
      <c r="Q300" s="442"/>
      <c r="R300" s="443"/>
      <c r="S300" s="364"/>
      <c r="Z300" s="609" t="s">
        <v>161</v>
      </c>
      <c r="AA300" s="609" t="s">
        <v>2880</v>
      </c>
    </row>
    <row r="301" spans="1:27" ht="18">
      <c r="A301" s="2714"/>
      <c r="B301" s="371">
        <v>106</v>
      </c>
      <c r="C301" s="371" t="s">
        <v>2791</v>
      </c>
      <c r="D301" s="2716">
        <f t="shared" si="23"/>
        <v>0</v>
      </c>
      <c r="E301" s="2721">
        <v>1</v>
      </c>
      <c r="F301" s="293"/>
      <c r="G301" s="2222" t="s">
        <v>2792</v>
      </c>
      <c r="H301" s="360"/>
      <c r="I301" s="422"/>
      <c r="J301" s="360"/>
      <c r="K301" s="431"/>
      <c r="L301" s="388"/>
      <c r="M301" s="438"/>
      <c r="N301" s="439"/>
      <c r="O301" s="437"/>
      <c r="P301" s="438"/>
      <c r="Q301" s="442"/>
      <c r="R301" s="443"/>
      <c r="S301" s="364"/>
      <c r="Z301" s="609" t="s">
        <v>161</v>
      </c>
      <c r="AA301" s="609" t="s">
        <v>2880</v>
      </c>
    </row>
    <row r="302" spans="1:27" ht="18">
      <c r="A302" s="2714"/>
      <c r="B302" s="371">
        <v>107</v>
      </c>
      <c r="C302" s="371" t="s">
        <v>2791</v>
      </c>
      <c r="D302" s="2716">
        <f t="shared" si="23"/>
        <v>0</v>
      </c>
      <c r="E302" s="2721">
        <v>1</v>
      </c>
      <c r="F302" s="293"/>
      <c r="G302" s="2222" t="s">
        <v>2792</v>
      </c>
      <c r="H302" s="360"/>
      <c r="I302" s="422"/>
      <c r="J302" s="360"/>
      <c r="K302" s="431"/>
      <c r="L302" s="388"/>
      <c r="M302" s="438"/>
      <c r="N302" s="439"/>
      <c r="O302" s="437"/>
      <c r="P302" s="438"/>
      <c r="Q302" s="442"/>
      <c r="R302" s="443"/>
      <c r="S302" s="364"/>
      <c r="Z302" s="609" t="s">
        <v>161</v>
      </c>
      <c r="AA302" s="609" t="s">
        <v>2880</v>
      </c>
    </row>
    <row r="303" spans="1:27" ht="18">
      <c r="A303" s="2714"/>
      <c r="B303" s="371">
        <v>108</v>
      </c>
      <c r="C303" s="371" t="s">
        <v>2791</v>
      </c>
      <c r="D303" s="2716">
        <f t="shared" si="23"/>
        <v>0</v>
      </c>
      <c r="E303" s="2721">
        <v>1</v>
      </c>
      <c r="F303" s="293"/>
      <c r="G303" s="2222" t="s">
        <v>2792</v>
      </c>
      <c r="H303" s="360"/>
      <c r="I303" s="422"/>
      <c r="J303" s="360"/>
      <c r="K303" s="431"/>
      <c r="L303" s="388"/>
      <c r="M303" s="438"/>
      <c r="N303" s="439"/>
      <c r="O303" s="437"/>
      <c r="P303" s="438"/>
      <c r="Q303" s="442"/>
      <c r="R303" s="443"/>
      <c r="S303" s="364"/>
      <c r="Z303" s="609" t="s">
        <v>161</v>
      </c>
      <c r="AA303" s="609" t="s">
        <v>2880</v>
      </c>
    </row>
    <row r="304" spans="1:27" ht="18.75" thickBot="1">
      <c r="A304" s="2714"/>
      <c r="B304" s="371"/>
      <c r="C304" s="371"/>
      <c r="D304" s="2716">
        <f t="shared" si="23"/>
        <v>1</v>
      </c>
      <c r="E304" s="2721" t="s">
        <v>2751</v>
      </c>
      <c r="F304" s="293"/>
      <c r="G304" s="2234" t="s">
        <v>2752</v>
      </c>
      <c r="H304" s="2241"/>
      <c r="I304" s="2235">
        <f>SUMPRODUCT($E295:$E303,I295:I303)</f>
        <v>0</v>
      </c>
      <c r="J304" s="2241"/>
      <c r="K304" s="2241"/>
      <c r="L304" s="2244"/>
      <c r="M304" s="440"/>
      <c r="N304" s="439"/>
      <c r="O304" s="437"/>
      <c r="P304" s="440"/>
      <c r="Q304" s="442"/>
      <c r="R304" s="443"/>
      <c r="S304" s="364"/>
      <c r="Z304" s="609" t="s">
        <v>161</v>
      </c>
      <c r="AA304" s="609" t="s">
        <v>2880</v>
      </c>
    </row>
    <row r="305" spans="1:27" ht="18">
      <c r="A305" s="2714"/>
      <c r="B305" s="371"/>
      <c r="C305" s="371" t="s">
        <v>2755</v>
      </c>
      <c r="D305" s="2716"/>
      <c r="F305" s="293"/>
      <c r="G305" s="376"/>
      <c r="H305" s="393"/>
      <c r="I305" s="396"/>
      <c r="J305" s="393"/>
      <c r="K305" s="392"/>
      <c r="L305" s="393"/>
      <c r="M305" s="425"/>
      <c r="N305" s="426"/>
      <c r="O305" s="427"/>
      <c r="P305" s="425"/>
      <c r="Q305" s="442"/>
      <c r="R305" s="443"/>
      <c r="S305" s="364"/>
      <c r="Z305" s="609" t="s">
        <v>161</v>
      </c>
      <c r="AA305" s="609" t="s">
        <v>2880</v>
      </c>
    </row>
    <row r="306" spans="1:27" ht="18">
      <c r="A306" s="2714" t="s">
        <v>5585</v>
      </c>
      <c r="B306" s="371">
        <v>8</v>
      </c>
      <c r="C306" s="371"/>
      <c r="D306" s="2716" t="str">
        <f>VLOOKUP($A306,Sheet_NoteList,2,0)</f>
        <v>外币应收票据</v>
      </c>
      <c r="E306" s="2716" t="s">
        <v>6531</v>
      </c>
      <c r="F306" s="293"/>
      <c r="G306" s="372" t="str">
        <f>"("&amp;B306&amp;")"&amp;D306</f>
        <v>(8)外币应收票据</v>
      </c>
      <c r="H306" s="1517" t="str">
        <f>$A306</f>
        <v>1121m</v>
      </c>
      <c r="I306" s="343" t="s">
        <v>5591</v>
      </c>
      <c r="J306" s="301" t="s">
        <v>5592</v>
      </c>
      <c r="K306" s="2210">
        <f>H314</f>
        <v>0</v>
      </c>
      <c r="L306" s="349" t="str">
        <f>IF($I306="适用",IF(ROUND(K$119-K306,2)=0,"F/S",ROUND(K$119-K306,2)),"#N/A")</f>
        <v>F/S</v>
      </c>
      <c r="M306" s="301" t="s">
        <v>5593</v>
      </c>
      <c r="N306" s="2210">
        <f>I314</f>
        <v>0</v>
      </c>
      <c r="O306" s="349" t="str">
        <f>IF($I306="适用",IF(ROUND(N$119-N306,2)=0,"F/S",ROUND(N$119-N306,2)),"#N/A")</f>
        <v>F/S</v>
      </c>
      <c r="P306" s="301"/>
      <c r="S306" s="364"/>
      <c r="Z306" s="609" t="s">
        <v>161</v>
      </c>
      <c r="AA306" s="609" t="s">
        <v>2880</v>
      </c>
    </row>
    <row r="307" spans="1:27" ht="0.75" customHeight="1" thickBot="1">
      <c r="A307" s="2714"/>
      <c r="B307" s="371"/>
      <c r="C307" s="371"/>
      <c r="D307" s="2716"/>
      <c r="F307" s="371"/>
      <c r="G307" s="405" t="s">
        <v>5594</v>
      </c>
      <c r="H307" s="371" t="s">
        <v>3073</v>
      </c>
      <c r="I307" s="371" t="s">
        <v>3074</v>
      </c>
      <c r="J307" s="371" t="s">
        <v>3075</v>
      </c>
      <c r="K307" s="391"/>
      <c r="L307" s="349"/>
      <c r="M307" s="301"/>
      <c r="N307" s="391"/>
      <c r="O307" s="349"/>
      <c r="P307" s="301"/>
      <c r="S307" s="364"/>
      <c r="Z307" s="609" t="s">
        <v>161</v>
      </c>
      <c r="AA307" s="609" t="s">
        <v>2880</v>
      </c>
    </row>
    <row r="308" spans="1:27" ht="24">
      <c r="A308" s="2714"/>
      <c r="B308" s="371"/>
      <c r="C308" s="371"/>
      <c r="D308" s="2716"/>
      <c r="E308" s="2716" t="s">
        <v>2749</v>
      </c>
      <c r="F308" s="293"/>
      <c r="G308" s="1635" t="s">
        <v>47</v>
      </c>
      <c r="H308" s="1627" t="s">
        <v>3076</v>
      </c>
      <c r="I308" s="1627" t="s">
        <v>3077</v>
      </c>
      <c r="J308" s="1628" t="s">
        <v>3078</v>
      </c>
      <c r="K308" s="355" t="s">
        <v>5604</v>
      </c>
      <c r="L308" s="291"/>
      <c r="M308" s="301"/>
      <c r="N308" s="391"/>
      <c r="O308" s="349"/>
      <c r="P308" s="301"/>
      <c r="S308" s="364"/>
      <c r="Z308" s="609" t="s">
        <v>161</v>
      </c>
      <c r="AA308" s="609" t="s">
        <v>2880</v>
      </c>
    </row>
    <row r="309" spans="1:27" ht="18">
      <c r="A309" s="2714"/>
      <c r="B309" s="371">
        <v>101</v>
      </c>
      <c r="C309" s="371" t="s">
        <v>2791</v>
      </c>
      <c r="D309" s="2716">
        <f t="shared" ref="D309:D314" si="24">IF(OR(G309="*",G309="",G309=0),0,COUNTIF($G$309:$G$314,G309))</f>
        <v>1</v>
      </c>
      <c r="E309" s="2721">
        <v>1</v>
      </c>
      <c r="F309" s="293"/>
      <c r="G309" s="1626" t="s">
        <v>3079</v>
      </c>
      <c r="H309" s="1577"/>
      <c r="I309" s="430"/>
      <c r="J309" s="346"/>
      <c r="K309" s="355" t="s">
        <v>5364</v>
      </c>
      <c r="L309" s="1522" t="s">
        <v>5365</v>
      </c>
      <c r="M309" s="301"/>
      <c r="N309" s="391"/>
      <c r="O309" s="349"/>
      <c r="P309" s="301"/>
      <c r="S309" s="364"/>
      <c r="Z309" s="609" t="s">
        <v>161</v>
      </c>
      <c r="AA309" s="609" t="s">
        <v>2880</v>
      </c>
    </row>
    <row r="310" spans="1:27" ht="18">
      <c r="A310" s="2714"/>
      <c r="B310" s="371">
        <v>102</v>
      </c>
      <c r="C310" s="371" t="s">
        <v>2791</v>
      </c>
      <c r="D310" s="2716">
        <f t="shared" si="24"/>
        <v>1</v>
      </c>
      <c r="E310" s="2721">
        <v>1</v>
      </c>
      <c r="F310" s="293"/>
      <c r="G310" s="1626" t="s">
        <v>3080</v>
      </c>
      <c r="H310" s="1577"/>
      <c r="I310" s="430"/>
      <c r="J310" s="346"/>
      <c r="K310" s="355" t="s">
        <v>6176</v>
      </c>
      <c r="L310" s="349"/>
      <c r="M310" s="301"/>
      <c r="N310" s="391"/>
      <c r="O310" s="349"/>
      <c r="P310" s="301"/>
      <c r="S310" s="364"/>
      <c r="Z310" s="609" t="s">
        <v>161</v>
      </c>
      <c r="AA310" s="609" t="s">
        <v>2880</v>
      </c>
    </row>
    <row r="311" spans="1:27" ht="18">
      <c r="A311" s="2714"/>
      <c r="B311" s="371">
        <v>103</v>
      </c>
      <c r="C311" s="371" t="s">
        <v>2791</v>
      </c>
      <c r="D311" s="2716">
        <f t="shared" si="24"/>
        <v>1</v>
      </c>
      <c r="E311" s="2721">
        <v>1</v>
      </c>
      <c r="F311" s="293"/>
      <c r="G311" s="1626" t="s">
        <v>3081</v>
      </c>
      <c r="H311" s="1577"/>
      <c r="I311" s="430"/>
      <c r="J311" s="346"/>
      <c r="K311" s="391"/>
      <c r="L311" s="349"/>
      <c r="M311" s="301"/>
      <c r="N311" s="391"/>
      <c r="O311" s="349"/>
      <c r="P311" s="301"/>
      <c r="S311" s="364"/>
      <c r="Z311" s="609" t="s">
        <v>161</v>
      </c>
      <c r="AA311" s="609" t="s">
        <v>2880</v>
      </c>
    </row>
    <row r="312" spans="1:27" ht="18">
      <c r="A312" s="2714"/>
      <c r="B312" s="371">
        <v>104</v>
      </c>
      <c r="C312" s="371" t="s">
        <v>2791</v>
      </c>
      <c r="D312" s="2716">
        <f t="shared" si="24"/>
        <v>0</v>
      </c>
      <c r="E312" s="2721">
        <v>1</v>
      </c>
      <c r="F312" s="293"/>
      <c r="G312" s="1626" t="s">
        <v>2792</v>
      </c>
      <c r="H312" s="1577"/>
      <c r="I312" s="430"/>
      <c r="J312" s="346"/>
      <c r="K312" s="391"/>
      <c r="L312" s="349"/>
      <c r="M312" s="301"/>
      <c r="N312" s="391"/>
      <c r="O312" s="349"/>
      <c r="P312" s="301"/>
      <c r="S312" s="364"/>
      <c r="Z312" s="609" t="s">
        <v>161</v>
      </c>
      <c r="AA312" s="609" t="s">
        <v>2880</v>
      </c>
    </row>
    <row r="313" spans="1:27" ht="18">
      <c r="A313" s="2714"/>
      <c r="B313" s="371">
        <v>105</v>
      </c>
      <c r="C313" s="371" t="s">
        <v>2791</v>
      </c>
      <c r="D313" s="2716">
        <f t="shared" si="24"/>
        <v>0</v>
      </c>
      <c r="E313" s="2721">
        <v>1</v>
      </c>
      <c r="F313" s="293"/>
      <c r="G313" s="1626" t="s">
        <v>2792</v>
      </c>
      <c r="H313" s="1577"/>
      <c r="I313" s="430"/>
      <c r="J313" s="346"/>
      <c r="K313" s="391"/>
      <c r="L313" s="349"/>
      <c r="M313" s="301"/>
      <c r="N313" s="391"/>
      <c r="O313" s="349"/>
      <c r="P313" s="301"/>
      <c r="S313" s="364"/>
      <c r="Z313" s="609" t="s">
        <v>161</v>
      </c>
      <c r="AA313" s="609" t="s">
        <v>2880</v>
      </c>
    </row>
    <row r="314" spans="1:27" ht="18.75" thickBot="1">
      <c r="A314" s="2714"/>
      <c r="B314" s="371"/>
      <c r="C314" s="371"/>
      <c r="D314" s="2716">
        <f t="shared" si="24"/>
        <v>1</v>
      </c>
      <c r="E314" s="2721" t="s">
        <v>2751</v>
      </c>
      <c r="F314" s="293"/>
      <c r="G314" s="1529" t="s">
        <v>2752</v>
      </c>
      <c r="H314" s="1527"/>
      <c r="I314" s="1567"/>
      <c r="J314" s="1528">
        <f>SUMPRODUCT($E308:$E313,J308:J313)</f>
        <v>0</v>
      </c>
      <c r="K314" s="391"/>
      <c r="L314" s="349"/>
      <c r="M314" s="301"/>
      <c r="N314" s="391"/>
      <c r="O314" s="349"/>
      <c r="P314" s="301"/>
      <c r="S314" s="364"/>
      <c r="Z314" s="609" t="s">
        <v>161</v>
      </c>
      <c r="AA314" s="609" t="s">
        <v>2880</v>
      </c>
    </row>
    <row r="315" spans="1:27" ht="18">
      <c r="A315" s="2714"/>
      <c r="B315" s="371"/>
      <c r="C315" s="371" t="s">
        <v>2755</v>
      </c>
      <c r="D315" s="2716"/>
      <c r="F315" s="293"/>
      <c r="G315" s="376"/>
      <c r="H315" s="1576"/>
      <c r="I315" s="432"/>
      <c r="J315" s="315"/>
      <c r="K315" s="391"/>
      <c r="L315" s="349"/>
      <c r="M315" s="301"/>
      <c r="N315" s="391"/>
      <c r="O315" s="349"/>
      <c r="P315" s="301"/>
      <c r="S315" s="364"/>
      <c r="Z315" s="609" t="s">
        <v>161</v>
      </c>
      <c r="AA315" s="609" t="s">
        <v>2880</v>
      </c>
    </row>
    <row r="316" spans="1:27" ht="18">
      <c r="A316" s="2714">
        <v>1122</v>
      </c>
      <c r="B316" s="371">
        <v>6</v>
      </c>
      <c r="C316" s="2716" t="str">
        <f>VLOOKUP($A316,Sheet_Items,2,0)</f>
        <v>应收账款</v>
      </c>
      <c r="D316" s="371"/>
      <c r="E316" s="2716" t="s">
        <v>2739</v>
      </c>
      <c r="F316" s="294"/>
      <c r="G316" s="305" t="str">
        <f>B316&amp;" "&amp;C316</f>
        <v>6 应收账款</v>
      </c>
      <c r="H316" s="306"/>
      <c r="I316" s="306"/>
      <c r="J316" s="306" t="s">
        <v>2740</v>
      </c>
      <c r="K316" s="341">
        <f>VLOOKUP($A316,Sheet_Trialbal,6,0)</f>
        <v>15482120.279999999</v>
      </c>
      <c r="L316" s="342"/>
      <c r="M316" s="306" t="s">
        <v>2741</v>
      </c>
      <c r="N316" s="341">
        <f>VLOOKUP($A316,Sheet_Trialbal,10,0)</f>
        <v>15914214.57</v>
      </c>
      <c r="O316" s="306"/>
      <c r="P316" s="301"/>
      <c r="S316" s="364"/>
      <c r="Z316" s="609" t="s">
        <v>273</v>
      </c>
      <c r="AA316" s="609" t="s">
        <v>2935</v>
      </c>
    </row>
    <row r="317" spans="1:27" ht="18">
      <c r="A317" s="2714" t="s">
        <v>271</v>
      </c>
      <c r="B317" s="371">
        <v>1</v>
      </c>
      <c r="C317" s="371"/>
      <c r="D317" s="2716" t="str">
        <f>VLOOKUP($A317,Sheet_NoteList,2,0)</f>
        <v>应收账款按账龄披露</v>
      </c>
      <c r="E317" s="2716" t="s">
        <v>2742</v>
      </c>
      <c r="F317" s="293"/>
      <c r="G317" s="372" t="str">
        <f>"("&amp;B317&amp;")"&amp;D317</f>
        <v>(1)应收账款按账龄披露</v>
      </c>
      <c r="H317" s="1517" t="str">
        <f>$A317</f>
        <v>1122j</v>
      </c>
      <c r="I317" s="343" t="s">
        <v>2743</v>
      </c>
      <c r="J317" s="301" t="s">
        <v>2744</v>
      </c>
      <c r="K317" s="2210">
        <f>H332</f>
        <v>15482120.279999999</v>
      </c>
      <c r="L317" s="349" t="str">
        <f>IF($I317="适用",IF(ROUND(K$316-K317,2)=0,"F/S",ROUND(K$316-K317,2)),"#N/A")</f>
        <v>F/S</v>
      </c>
      <c r="M317" s="301" t="s">
        <v>2745</v>
      </c>
      <c r="N317" s="2210">
        <f>I332</f>
        <v>15914214.57</v>
      </c>
      <c r="O317" s="349" t="str">
        <f>IF($I317="适用",IF(ROUND(N$316-N317,2)=0,"F/S",ROUND(N$316-N317,2)),"#N/A")</f>
        <v>F/S</v>
      </c>
      <c r="P317" s="301"/>
      <c r="S317" s="364"/>
      <c r="Z317" s="609" t="s">
        <v>273</v>
      </c>
      <c r="AA317" s="609" t="s">
        <v>2935</v>
      </c>
    </row>
    <row r="318" spans="1:27" ht="0.75" customHeight="1" thickBot="1">
      <c r="A318" s="2714"/>
      <c r="B318" s="371"/>
      <c r="C318" s="371"/>
      <c r="D318" s="2716"/>
      <c r="E318" s="586"/>
      <c r="F318" s="586"/>
      <c r="G318" s="2224" t="s">
        <v>2936</v>
      </c>
      <c r="H318" s="371" t="s">
        <v>5388</v>
      </c>
      <c r="I318" s="371" t="s">
        <v>5389</v>
      </c>
      <c r="J318" s="433"/>
      <c r="K318" s="433"/>
      <c r="L318" s="433"/>
      <c r="M318" s="433"/>
      <c r="N318" s="428"/>
      <c r="O318" s="428"/>
      <c r="P318" s="433"/>
      <c r="Q318" s="442"/>
      <c r="R318" s="443"/>
      <c r="S318" s="364"/>
      <c r="Z318" s="609" t="s">
        <v>273</v>
      </c>
      <c r="AA318" s="609" t="s">
        <v>2935</v>
      </c>
    </row>
    <row r="319" spans="1:27" ht="18">
      <c r="A319" s="2714"/>
      <c r="B319" s="371"/>
      <c r="C319" s="371"/>
      <c r="D319" s="2716"/>
      <c r="E319" s="586" t="s">
        <v>2749</v>
      </c>
      <c r="F319" s="414"/>
      <c r="G319" s="2231" t="s">
        <v>5134</v>
      </c>
      <c r="H319" s="2232" t="str">
        <f>$V$2</f>
        <v>2019年12月31日</v>
      </c>
      <c r="I319" s="2233" t="str">
        <f>$V$3</f>
        <v>2018年12月31日</v>
      </c>
      <c r="J319" s="355" t="s">
        <v>5270</v>
      </c>
      <c r="K319" s="433"/>
      <c r="L319" s="433"/>
      <c r="M319" s="433"/>
      <c r="N319" s="434"/>
      <c r="O319" s="434"/>
      <c r="P319" s="435"/>
      <c r="Q319" s="442"/>
      <c r="R319" s="443"/>
      <c r="S319" s="364"/>
      <c r="Z319" s="609" t="s">
        <v>273</v>
      </c>
      <c r="AA319" s="609" t="s">
        <v>2935</v>
      </c>
    </row>
    <row r="320" spans="1:27" ht="18">
      <c r="A320" s="2714"/>
      <c r="B320" s="371">
        <v>101</v>
      </c>
      <c r="C320" s="371"/>
      <c r="D320" s="2716">
        <f t="shared" ref="D320:D332" si="25">IF(OR(G320="*",G320="",G320=0),0,COUNTIF($G$320:$G$332,G320))</f>
        <v>1</v>
      </c>
      <c r="E320" s="2721" t="s">
        <v>6534</v>
      </c>
      <c r="F320" s="293"/>
      <c r="G320" s="1474" t="s">
        <v>2938</v>
      </c>
      <c r="H320" s="309"/>
      <c r="I320" s="394"/>
      <c r="J320" s="433"/>
      <c r="K320" s="433"/>
      <c r="L320" s="433"/>
      <c r="M320" s="433"/>
      <c r="N320" s="439"/>
      <c r="O320" s="437"/>
      <c r="P320" s="438"/>
      <c r="Q320" s="442"/>
      <c r="R320" s="443"/>
      <c r="S320" s="364"/>
      <c r="Z320" s="609" t="s">
        <v>273</v>
      </c>
      <c r="AA320" s="609" t="s">
        <v>2935</v>
      </c>
    </row>
    <row r="321" spans="1:29" ht="18">
      <c r="A321" s="2714"/>
      <c r="B321" s="371">
        <v>101.001</v>
      </c>
      <c r="C321" s="371" t="s">
        <v>2791</v>
      </c>
      <c r="D321" s="2716">
        <f t="shared" si="25"/>
        <v>1</v>
      </c>
      <c r="E321" s="2721" t="s">
        <v>2937</v>
      </c>
      <c r="F321" s="293"/>
      <c r="G321" s="2222" t="s">
        <v>5132</v>
      </c>
      <c r="H321" s="309">
        <v>9031435.8599999994</v>
      </c>
      <c r="I321" s="394">
        <v>10498073.199999999</v>
      </c>
      <c r="J321" s="355" t="s">
        <v>5133</v>
      </c>
      <c r="K321" s="433"/>
      <c r="L321" s="433"/>
      <c r="M321" s="433"/>
      <c r="N321" s="439"/>
      <c r="O321" s="437"/>
      <c r="P321" s="438"/>
      <c r="Q321" s="442"/>
      <c r="R321" s="443"/>
      <c r="S321" s="364"/>
      <c r="Z321" s="609" t="s">
        <v>273</v>
      </c>
      <c r="AA321" s="609" t="s">
        <v>2935</v>
      </c>
    </row>
    <row r="322" spans="1:29" ht="18">
      <c r="A322" s="2714"/>
      <c r="B322" s="371">
        <v>101.002</v>
      </c>
      <c r="C322" s="371" t="s">
        <v>2791</v>
      </c>
      <c r="D322" s="2716">
        <f t="shared" si="25"/>
        <v>0</v>
      </c>
      <c r="E322" s="2721" t="s">
        <v>2937</v>
      </c>
      <c r="F322" s="293"/>
      <c r="G322" s="2222" t="s">
        <v>2792</v>
      </c>
      <c r="H322" s="309"/>
      <c r="I322" s="394"/>
      <c r="J322" s="355"/>
      <c r="K322" s="433"/>
      <c r="L322" s="433"/>
      <c r="M322" s="433"/>
      <c r="N322" s="439"/>
      <c r="O322" s="437"/>
      <c r="P322" s="438"/>
      <c r="Q322" s="442"/>
      <c r="R322" s="443"/>
      <c r="S322" s="364"/>
      <c r="Z322" s="609" t="s">
        <v>273</v>
      </c>
      <c r="AA322" s="609" t="s">
        <v>2935</v>
      </c>
    </row>
    <row r="323" spans="1:29" ht="18">
      <c r="A323" s="2714"/>
      <c r="B323" s="371">
        <v>101.999</v>
      </c>
      <c r="C323" s="371" t="s">
        <v>2793</v>
      </c>
      <c r="D323" s="2716">
        <f t="shared" si="25"/>
        <v>1</v>
      </c>
      <c r="E323" s="2721" t="s">
        <v>2939</v>
      </c>
      <c r="F323" s="293"/>
      <c r="G323" s="1474" t="s">
        <v>2937</v>
      </c>
      <c r="H323" s="1476">
        <f>SUMIF($E$319:$E$331,$G323,H$319:H$331)</f>
        <v>9031435.8599999994</v>
      </c>
      <c r="I323" s="1477">
        <f>SUMIF($E$319:$E$331,$G323,I$319:I$331)</f>
        <v>10498073.199999999</v>
      </c>
      <c r="J323" s="433"/>
      <c r="K323" s="433"/>
      <c r="L323" s="433"/>
      <c r="M323" s="433"/>
      <c r="N323" s="439"/>
      <c r="O323" s="437"/>
      <c r="P323" s="438"/>
      <c r="Q323" s="442"/>
      <c r="R323" s="443"/>
      <c r="S323" s="364"/>
      <c r="Z323" s="609" t="s">
        <v>273</v>
      </c>
      <c r="AA323" s="609" t="s">
        <v>2935</v>
      </c>
    </row>
    <row r="324" spans="1:29" ht="18">
      <c r="A324" s="2714"/>
      <c r="B324" s="371">
        <v>102</v>
      </c>
      <c r="C324" s="371"/>
      <c r="D324" s="2716">
        <f t="shared" si="25"/>
        <v>1</v>
      </c>
      <c r="E324" s="2721" t="s">
        <v>2939</v>
      </c>
      <c r="F324" s="293"/>
      <c r="G324" s="1474" t="s">
        <v>2940</v>
      </c>
      <c r="H324" s="309">
        <v>4139497.14</v>
      </c>
      <c r="I324" s="394">
        <v>4445091.54</v>
      </c>
      <c r="J324" s="433"/>
      <c r="K324" s="433"/>
      <c r="L324" s="433"/>
      <c r="M324" s="433"/>
      <c r="N324" s="439"/>
      <c r="O324" s="437"/>
      <c r="P324" s="438"/>
      <c r="Q324" s="442"/>
      <c r="R324" s="443"/>
      <c r="S324" s="364"/>
      <c r="Z324" s="609" t="s">
        <v>273</v>
      </c>
      <c r="AA324" s="609" t="s">
        <v>2935</v>
      </c>
    </row>
    <row r="325" spans="1:29" ht="18">
      <c r="A325" s="2714"/>
      <c r="B325" s="371">
        <v>102.001</v>
      </c>
      <c r="C325" s="371"/>
      <c r="D325" s="2716">
        <f t="shared" si="25"/>
        <v>1</v>
      </c>
      <c r="E325" s="2721" t="s">
        <v>2939</v>
      </c>
      <c r="F325" s="293"/>
      <c r="G325" s="1474" t="s">
        <v>2941</v>
      </c>
      <c r="H325" s="309">
        <v>3793930.06</v>
      </c>
      <c r="I325" s="394">
        <v>1354814.99</v>
      </c>
      <c r="J325" s="433"/>
      <c r="K325" s="433"/>
      <c r="L325" s="433"/>
      <c r="M325" s="433"/>
      <c r="N325" s="439"/>
      <c r="O325" s="437"/>
      <c r="P325" s="438"/>
      <c r="Q325" s="442"/>
      <c r="R325" s="443"/>
      <c r="S325" s="364"/>
      <c r="Z325" s="609" t="s">
        <v>273</v>
      </c>
      <c r="AA325" s="609" t="s">
        <v>2935</v>
      </c>
    </row>
    <row r="326" spans="1:29" ht="18">
      <c r="A326" s="2714"/>
      <c r="B326" s="371">
        <v>102.002</v>
      </c>
      <c r="C326" s="371" t="s">
        <v>2791</v>
      </c>
      <c r="D326" s="2716">
        <f t="shared" si="25"/>
        <v>1</v>
      </c>
      <c r="E326" s="2721" t="s">
        <v>2939</v>
      </c>
      <c r="F326" s="293"/>
      <c r="G326" s="2222" t="s">
        <v>2942</v>
      </c>
      <c r="H326" s="309">
        <v>1192481.52</v>
      </c>
      <c r="I326" s="394">
        <v>1881312.31</v>
      </c>
      <c r="J326" s="433"/>
      <c r="K326" s="433"/>
      <c r="L326" s="433"/>
      <c r="M326" s="433"/>
      <c r="N326" s="439"/>
      <c r="O326" s="437"/>
      <c r="P326" s="438"/>
      <c r="Q326" s="442"/>
      <c r="R326" s="443"/>
      <c r="S326" s="364"/>
      <c r="Z326" s="609" t="s">
        <v>273</v>
      </c>
      <c r="AA326" s="609" t="s">
        <v>2935</v>
      </c>
    </row>
    <row r="327" spans="1:29" ht="18">
      <c r="A327" s="2714"/>
      <c r="B327" s="371">
        <v>102.003</v>
      </c>
      <c r="C327" s="371" t="s">
        <v>2791</v>
      </c>
      <c r="D327" s="2716">
        <f t="shared" si="25"/>
        <v>1</v>
      </c>
      <c r="E327" s="2721" t="s">
        <v>2939</v>
      </c>
      <c r="F327" s="293"/>
      <c r="G327" s="2222" t="s">
        <v>2943</v>
      </c>
      <c r="H327" s="309">
        <v>1869717.8</v>
      </c>
      <c r="I327" s="394">
        <v>257180</v>
      </c>
      <c r="J327" s="433"/>
      <c r="K327" s="433"/>
      <c r="L327" s="433"/>
      <c r="M327" s="433"/>
      <c r="N327" s="439"/>
      <c r="O327" s="437"/>
      <c r="P327" s="438"/>
      <c r="Q327" s="442"/>
      <c r="R327" s="443"/>
      <c r="S327" s="364"/>
      <c r="Z327" s="609" t="s">
        <v>273</v>
      </c>
      <c r="AA327" s="609" t="s">
        <v>2935</v>
      </c>
    </row>
    <row r="328" spans="1:29" ht="18">
      <c r="A328" s="2714"/>
      <c r="B328" s="371">
        <v>102.004</v>
      </c>
      <c r="C328" s="371" t="s">
        <v>2791</v>
      </c>
      <c r="D328" s="2716">
        <f t="shared" si="25"/>
        <v>1</v>
      </c>
      <c r="E328" s="2721" t="s">
        <v>2939</v>
      </c>
      <c r="F328" s="293"/>
      <c r="G328" s="2222" t="s">
        <v>2944</v>
      </c>
      <c r="H328" s="309">
        <v>252880</v>
      </c>
      <c r="I328" s="394">
        <v>0</v>
      </c>
      <c r="J328" s="433"/>
      <c r="K328" s="433"/>
      <c r="L328" s="433"/>
      <c r="M328" s="433"/>
      <c r="N328" s="439"/>
      <c r="O328" s="437"/>
      <c r="P328" s="438"/>
      <c r="Q328" s="442"/>
      <c r="R328" s="443"/>
      <c r="S328" s="364"/>
      <c r="Z328" s="609" t="s">
        <v>273</v>
      </c>
      <c r="AA328" s="609" t="s">
        <v>2935</v>
      </c>
    </row>
    <row r="329" spans="1:29" ht="18">
      <c r="A329" s="2714"/>
      <c r="B329" s="371">
        <v>102.005</v>
      </c>
      <c r="C329" s="371" t="s">
        <v>2791</v>
      </c>
      <c r="D329" s="2716">
        <f t="shared" si="25"/>
        <v>0</v>
      </c>
      <c r="E329" s="2721" t="s">
        <v>2939</v>
      </c>
      <c r="F329" s="293"/>
      <c r="G329" s="2222" t="s">
        <v>2792</v>
      </c>
      <c r="H329" s="309"/>
      <c r="I329" s="394"/>
      <c r="J329" s="433"/>
      <c r="K329" s="433"/>
      <c r="L329" s="433"/>
      <c r="M329" s="433"/>
      <c r="N329" s="439"/>
      <c r="O329" s="437"/>
      <c r="P329" s="438"/>
      <c r="Q329" s="442"/>
      <c r="R329" s="443"/>
      <c r="S329" s="364"/>
      <c r="Z329" s="609" t="s">
        <v>273</v>
      </c>
      <c r="AA329" s="609" t="s">
        <v>2935</v>
      </c>
    </row>
    <row r="330" spans="1:29" ht="18">
      <c r="A330" s="2714"/>
      <c r="B330" s="371">
        <v>102.999</v>
      </c>
      <c r="C330" s="371" t="s">
        <v>2793</v>
      </c>
      <c r="D330" s="2716">
        <f t="shared" si="25"/>
        <v>1</v>
      </c>
      <c r="E330" s="2721">
        <v>1</v>
      </c>
      <c r="F330" s="293"/>
      <c r="G330" s="1474" t="s">
        <v>2939</v>
      </c>
      <c r="H330" s="1476">
        <f>SUMIF($E$319:$E$331,$G330,H$319:H$331)</f>
        <v>20279942.379999999</v>
      </c>
      <c r="I330" s="1477">
        <f>SUMIF($E$319:$E$331,$G330,I$319:I$331)</f>
        <v>18436472.039999999</v>
      </c>
      <c r="J330" s="2256" t="str">
        <f ca="1">HYPERLINK("#'"&amp;$G$1&amp;"'!"&amp;ADDRESS(ROW(Notes!H350),COLUMN(Notes!H350),4),"* 请勿删除此行！点击往勾稽单元格，F5+Enter返回")</f>
        <v>* 请勿删除此行！点击往勾稽单元格，F5+Enter返回</v>
      </c>
      <c r="K330" s="433"/>
      <c r="L330" s="433"/>
      <c r="M330" s="433"/>
      <c r="N330" s="439"/>
      <c r="O330" s="437"/>
      <c r="P330" s="438"/>
      <c r="Q330" s="442"/>
      <c r="R330" s="443"/>
      <c r="S330" s="364"/>
      <c r="Z330" s="609" t="s">
        <v>273</v>
      </c>
      <c r="AA330" s="609" t="s">
        <v>2935</v>
      </c>
      <c r="AC330" s="369" t="s">
        <v>2794</v>
      </c>
    </row>
    <row r="331" spans="1:29" ht="18">
      <c r="A331" s="2714"/>
      <c r="B331" s="371">
        <v>103</v>
      </c>
      <c r="C331" s="371"/>
      <c r="D331" s="2716">
        <f t="shared" si="25"/>
        <v>1</v>
      </c>
      <c r="E331" s="2721">
        <v>-1</v>
      </c>
      <c r="F331" s="293"/>
      <c r="G331" s="1474" t="s">
        <v>2945</v>
      </c>
      <c r="H331" s="309">
        <v>4797822.0999999996</v>
      </c>
      <c r="I331" s="346">
        <v>2522257.4700000002</v>
      </c>
      <c r="J331" s="2256" t="str">
        <f ca="1">HYPERLINK("#'"&amp;$G$1&amp;"'!"&amp;ADDRESS(ROW(Notes!J350),COLUMN(Notes!J350),4),"* 请勿删除此行！点击往勾稽单元格，F5+Enter返回")</f>
        <v>* 请勿删除此行！点击往勾稽单元格，F5+Enter返回</v>
      </c>
      <c r="K331" s="433"/>
      <c r="L331" s="433"/>
      <c r="M331" s="433"/>
      <c r="N331" s="3123"/>
      <c r="O331" s="437"/>
      <c r="P331" s="438"/>
      <c r="Q331" s="442"/>
      <c r="R331" s="443"/>
      <c r="S331" s="364"/>
      <c r="Z331" s="609" t="s">
        <v>273</v>
      </c>
      <c r="AA331" s="609" t="s">
        <v>2935</v>
      </c>
      <c r="AC331" s="369" t="s">
        <v>2794</v>
      </c>
    </row>
    <row r="332" spans="1:29" ht="18.75" thickBot="1">
      <c r="A332" s="2714"/>
      <c r="B332" s="371"/>
      <c r="C332" s="371"/>
      <c r="D332" s="2716">
        <f t="shared" si="25"/>
        <v>1</v>
      </c>
      <c r="E332" s="2721" t="s">
        <v>2751</v>
      </c>
      <c r="F332" s="293"/>
      <c r="G332" s="2234" t="s">
        <v>2752</v>
      </c>
      <c r="H332" s="2235">
        <f>SUMPRODUCT($E319:$E331,H319:H331)</f>
        <v>15482120.279999999</v>
      </c>
      <c r="I332" s="2236">
        <f>SUMPRODUCT($E319:$E331,I319:I331)</f>
        <v>15914214.57</v>
      </c>
      <c r="J332" s="2256" t="str">
        <f ca="1">HYPERLINK("#'"&amp;$G$1&amp;"'!"&amp;ADDRESS(ROW(Notes!L350),COLUMN(Notes!L350),4),"* 请勿删除此行！点击往勾稽单元格，F5+Enter返回")</f>
        <v>* 请勿删除此行！点击往勾稽单元格，F5+Enter返回</v>
      </c>
      <c r="K332" s="433"/>
      <c r="L332" s="433"/>
      <c r="M332" s="433"/>
      <c r="N332" s="439"/>
      <c r="O332" s="437"/>
      <c r="P332" s="440"/>
      <c r="Q332" s="442"/>
      <c r="R332" s="443"/>
      <c r="S332" s="364"/>
      <c r="Z332" s="609" t="s">
        <v>273</v>
      </c>
      <c r="AA332" s="609" t="s">
        <v>2935</v>
      </c>
      <c r="AC332" s="369" t="s">
        <v>2794</v>
      </c>
    </row>
    <row r="333" spans="1:29" ht="18">
      <c r="A333" s="2714"/>
      <c r="B333" s="371"/>
      <c r="C333" s="371" t="s">
        <v>2755</v>
      </c>
      <c r="D333" s="2716"/>
      <c r="F333" s="293"/>
      <c r="G333" s="376"/>
      <c r="H333" s="315"/>
      <c r="I333" s="396"/>
      <c r="J333" s="425"/>
      <c r="K333" s="426"/>
      <c r="L333" s="427"/>
      <c r="M333" s="425"/>
      <c r="N333" s="426"/>
      <c r="O333" s="427"/>
      <c r="P333" s="425"/>
      <c r="Q333" s="442"/>
      <c r="R333" s="443"/>
      <c r="S333" s="364"/>
      <c r="Z333" s="609" t="s">
        <v>273</v>
      </c>
      <c r="AA333" s="609" t="s">
        <v>2935</v>
      </c>
    </row>
    <row r="334" spans="1:29" ht="36">
      <c r="A334" s="2714" t="s">
        <v>281</v>
      </c>
      <c r="B334" s="371">
        <v>2.1</v>
      </c>
      <c r="C334" s="371"/>
      <c r="D334" s="2716" t="str">
        <f>VLOOKUP($A334,Sheet_NoteList,2,0)</f>
        <v>应收账款按坏账计提方法分类披露（按简化模型计提）</v>
      </c>
      <c r="E334" s="2716" t="s">
        <v>2742</v>
      </c>
      <c r="F334" s="293"/>
      <c r="G334" s="372" t="str">
        <f>"("&amp;B334&amp;")"&amp;D334</f>
        <v>(2.1)应收账款按坏账计提方法分类披露（按简化模型计提）</v>
      </c>
      <c r="H334" s="1517" t="str">
        <f>$A334</f>
        <v>1122p</v>
      </c>
      <c r="I334" s="343" t="s">
        <v>2743</v>
      </c>
      <c r="J334" s="301" t="s">
        <v>2744</v>
      </c>
      <c r="K334" s="2210">
        <f>L347</f>
        <v>15482120.279999999</v>
      </c>
      <c r="L334" s="349" t="str">
        <f>IF($I334="适用",IF(ROUND(K$316-K334,2)=0,"F/S",ROUND(K$316-K334,2)),"#N/A")</f>
        <v>F/S</v>
      </c>
      <c r="M334" s="301"/>
      <c r="N334" s="391"/>
      <c r="O334" s="349"/>
      <c r="P334" s="301"/>
      <c r="S334" s="364"/>
      <c r="Z334" s="609" t="s">
        <v>273</v>
      </c>
      <c r="AA334" s="609" t="s">
        <v>2935</v>
      </c>
    </row>
    <row r="335" spans="1:29" ht="0.75" customHeight="1">
      <c r="A335" s="2714"/>
      <c r="B335" s="371"/>
      <c r="C335" s="371"/>
      <c r="D335" s="2716"/>
      <c r="E335" s="586"/>
      <c r="F335" s="586"/>
      <c r="G335" s="2224" t="s">
        <v>2946</v>
      </c>
      <c r="H335" s="371" t="s">
        <v>5390</v>
      </c>
      <c r="I335" s="547" t="s">
        <v>5391</v>
      </c>
      <c r="J335" s="371" t="s">
        <v>5392</v>
      </c>
      <c r="K335" s="547" t="s">
        <v>5393</v>
      </c>
      <c r="L335" s="371" t="s">
        <v>5394</v>
      </c>
      <c r="M335" s="433"/>
      <c r="N335" s="428"/>
      <c r="O335" s="428"/>
      <c r="P335" s="433"/>
      <c r="Q335" s="442"/>
      <c r="R335" s="443"/>
      <c r="S335" s="364"/>
      <c r="Z335" s="609" t="s">
        <v>273</v>
      </c>
      <c r="AA335" s="609" t="s">
        <v>2935</v>
      </c>
    </row>
    <row r="336" spans="1:29" ht="0.75" customHeight="1" thickBot="1">
      <c r="A336" s="2714"/>
      <c r="B336" s="371"/>
      <c r="C336" s="371"/>
      <c r="D336" s="2716"/>
      <c r="E336" s="586"/>
      <c r="F336" s="586"/>
      <c r="G336" s="2224"/>
      <c r="H336" s="371" t="s">
        <v>5375</v>
      </c>
      <c r="I336" s="371" t="s">
        <v>5376</v>
      </c>
      <c r="J336" s="371" t="s">
        <v>5377</v>
      </c>
      <c r="K336" s="547" t="s">
        <v>5378</v>
      </c>
      <c r="L336" s="547" t="s">
        <v>5379</v>
      </c>
      <c r="M336" s="433"/>
      <c r="N336" s="428"/>
      <c r="O336" s="428"/>
      <c r="P336" s="433"/>
      <c r="Q336" s="442"/>
      <c r="R336" s="443"/>
      <c r="S336" s="364"/>
      <c r="Z336" s="609" t="s">
        <v>273</v>
      </c>
      <c r="AA336" s="609" t="s">
        <v>2935</v>
      </c>
    </row>
    <row r="337" spans="1:29" ht="18" customHeight="1">
      <c r="A337" s="2714"/>
      <c r="B337" s="371"/>
      <c r="C337" s="371"/>
      <c r="D337" s="2716"/>
      <c r="E337" s="586" t="s">
        <v>2749</v>
      </c>
      <c r="F337" s="414"/>
      <c r="G337" s="3472" t="s">
        <v>5135</v>
      </c>
      <c r="H337" s="3533" t="str">
        <f>$V$2</f>
        <v>2019年12月31日</v>
      </c>
      <c r="I337" s="3533"/>
      <c r="J337" s="3533"/>
      <c r="K337" s="3533"/>
      <c r="L337" s="3418"/>
      <c r="M337" s="355" t="s">
        <v>5270</v>
      </c>
      <c r="N337" s="428"/>
      <c r="O337" s="428"/>
      <c r="P337" s="433"/>
      <c r="Q337" s="442"/>
      <c r="R337" s="443"/>
      <c r="S337" s="364"/>
      <c r="Z337" s="609" t="s">
        <v>273</v>
      </c>
      <c r="AA337" s="609" t="s">
        <v>2935</v>
      </c>
    </row>
    <row r="338" spans="1:29" ht="18">
      <c r="A338" s="2714"/>
      <c r="B338" s="371"/>
      <c r="C338" s="371"/>
      <c r="D338" s="2716"/>
      <c r="E338" s="586" t="s">
        <v>2749</v>
      </c>
      <c r="F338" s="414"/>
      <c r="G338" s="3473"/>
      <c r="H338" s="2237" t="s">
        <v>5130</v>
      </c>
      <c r="I338" s="2237" t="s">
        <v>2888</v>
      </c>
      <c r="J338" s="2237" t="s">
        <v>5131</v>
      </c>
      <c r="K338" s="2239" t="s">
        <v>2889</v>
      </c>
      <c r="L338" s="2240" t="s">
        <v>5129</v>
      </c>
      <c r="M338" s="435"/>
      <c r="N338" s="434"/>
      <c r="O338" s="434"/>
      <c r="P338" s="435"/>
      <c r="Q338" s="442"/>
      <c r="R338" s="443"/>
      <c r="S338" s="364"/>
      <c r="Z338" s="609" t="s">
        <v>273</v>
      </c>
      <c r="AA338" s="609" t="s">
        <v>2935</v>
      </c>
    </row>
    <row r="339" spans="1:29" ht="18">
      <c r="A339" s="2714"/>
      <c r="B339" s="371">
        <v>101</v>
      </c>
      <c r="C339" s="371"/>
      <c r="D339" s="2716">
        <f t="shared" ref="D339:D347" si="26">IF(OR(G339="*",G339="",G339=0),0,COUNTIF($G$339:$G$347,G339))</f>
        <v>1</v>
      </c>
      <c r="E339" s="2721">
        <v>1</v>
      </c>
      <c r="F339" s="293"/>
      <c r="G339" s="1474" t="s">
        <v>2890</v>
      </c>
      <c r="H339" s="309">
        <f>SUM(H340:H342)</f>
        <v>0</v>
      </c>
      <c r="I339" s="430"/>
      <c r="J339" s="309">
        <f>SUM(J340:J342)</f>
        <v>0</v>
      </c>
      <c r="K339" s="431"/>
      <c r="L339" s="1477">
        <f>H339-J339</f>
        <v>0</v>
      </c>
      <c r="M339" s="1589" t="str">
        <f ca="1">HYPERLINK("#'"&amp;$G$1&amp;"'!"&amp;ADDRESS(ROW(Notes!H372),COLUMN(Notes!H372),4),"* 请勿删除此行！点击往勾稽单元格，F5+Enter返回")</f>
        <v>* 请勿删除此行！点击往勾稽单元格，F5+Enter返回</v>
      </c>
      <c r="N339" s="439"/>
      <c r="O339" s="437"/>
      <c r="P339" s="438"/>
      <c r="Q339" s="442"/>
      <c r="R339" s="443"/>
      <c r="S339" s="364"/>
      <c r="Z339" s="609" t="s">
        <v>273</v>
      </c>
      <c r="AA339" s="609" t="s">
        <v>2935</v>
      </c>
      <c r="AC339" s="369" t="s">
        <v>6573</v>
      </c>
    </row>
    <row r="340" spans="1:29" ht="18">
      <c r="A340" s="2714"/>
      <c r="B340" s="371">
        <v>102</v>
      </c>
      <c r="C340" s="371" t="s">
        <v>2791</v>
      </c>
      <c r="D340" s="2716">
        <f t="shared" si="26"/>
        <v>1</v>
      </c>
      <c r="E340" s="2721">
        <v>0</v>
      </c>
      <c r="F340" s="293"/>
      <c r="G340" s="2222" t="s">
        <v>2829</v>
      </c>
      <c r="H340" s="309"/>
      <c r="I340" s="430"/>
      <c r="J340" s="309"/>
      <c r="K340" s="431"/>
      <c r="L340" s="1477">
        <f t="shared" ref="L340:L346" si="27">H340-J340</f>
        <v>0</v>
      </c>
      <c r="M340" s="355" t="s">
        <v>6136</v>
      </c>
      <c r="N340" s="439"/>
      <c r="O340" s="437"/>
      <c r="P340" s="438"/>
      <c r="Q340" s="442"/>
      <c r="R340" s="443"/>
      <c r="S340" s="364"/>
      <c r="Z340" s="609" t="s">
        <v>273</v>
      </c>
      <c r="AA340" s="609" t="s">
        <v>2935</v>
      </c>
    </row>
    <row r="341" spans="1:29" ht="18">
      <c r="A341" s="2714"/>
      <c r="B341" s="371">
        <v>103</v>
      </c>
      <c r="C341" s="371" t="s">
        <v>2791</v>
      </c>
      <c r="D341" s="2716">
        <f t="shared" si="26"/>
        <v>0</v>
      </c>
      <c r="E341" s="2721">
        <v>0</v>
      </c>
      <c r="F341" s="293"/>
      <c r="G341" s="2222" t="s">
        <v>2792</v>
      </c>
      <c r="H341" s="309"/>
      <c r="I341" s="430"/>
      <c r="J341" s="309"/>
      <c r="K341" s="431"/>
      <c r="L341" s="1477">
        <f t="shared" si="27"/>
        <v>0</v>
      </c>
      <c r="M341" s="438"/>
      <c r="N341" s="439"/>
      <c r="O341" s="437"/>
      <c r="P341" s="438"/>
      <c r="Q341" s="442"/>
      <c r="R341" s="443"/>
      <c r="S341" s="364"/>
      <c r="Z341" s="609" t="s">
        <v>273</v>
      </c>
      <c r="AA341" s="609" t="s">
        <v>2935</v>
      </c>
    </row>
    <row r="342" spans="1:29" ht="18">
      <c r="A342" s="2714"/>
      <c r="B342" s="371">
        <v>104</v>
      </c>
      <c r="C342" s="371" t="s">
        <v>2791</v>
      </c>
      <c r="D342" s="2716">
        <f t="shared" si="26"/>
        <v>0</v>
      </c>
      <c r="E342" s="2721">
        <v>0</v>
      </c>
      <c r="F342" s="293"/>
      <c r="G342" s="2222" t="s">
        <v>2792</v>
      </c>
      <c r="H342" s="309"/>
      <c r="I342" s="430"/>
      <c r="J342" s="309"/>
      <c r="K342" s="431"/>
      <c r="L342" s="1477">
        <f t="shared" si="27"/>
        <v>0</v>
      </c>
      <c r="M342" s="438"/>
      <c r="N342" s="439"/>
      <c r="O342" s="437"/>
      <c r="P342" s="438"/>
      <c r="Q342" s="442"/>
      <c r="R342" s="443"/>
      <c r="S342" s="364"/>
      <c r="Z342" s="609" t="s">
        <v>273</v>
      </c>
      <c r="AA342" s="609" t="s">
        <v>2935</v>
      </c>
    </row>
    <row r="343" spans="1:29" ht="18">
      <c r="A343" s="2714"/>
      <c r="B343" s="371">
        <v>105</v>
      </c>
      <c r="C343" s="371"/>
      <c r="D343" s="2716">
        <f t="shared" si="26"/>
        <v>1</v>
      </c>
      <c r="E343" s="2721">
        <v>1</v>
      </c>
      <c r="F343" s="293"/>
      <c r="G343" s="1474" t="s">
        <v>2892</v>
      </c>
      <c r="H343" s="309">
        <f>SUM(H344:H346)</f>
        <v>20279942.379999999</v>
      </c>
      <c r="I343" s="430"/>
      <c r="J343" s="309">
        <f>SUM(J344:J346)</f>
        <v>4797822.0999999996</v>
      </c>
      <c r="K343" s="431"/>
      <c r="L343" s="1477">
        <f t="shared" si="27"/>
        <v>15482120.279999999</v>
      </c>
      <c r="M343" s="438"/>
      <c r="N343" s="439"/>
      <c r="O343" s="437"/>
      <c r="P343" s="438"/>
      <c r="Q343" s="442"/>
      <c r="R343" s="443"/>
      <c r="S343" s="364"/>
      <c r="Z343" s="609" t="s">
        <v>273</v>
      </c>
      <c r="AA343" s="609" t="s">
        <v>2935</v>
      </c>
    </row>
    <row r="344" spans="1:29" ht="18">
      <c r="A344" s="2714"/>
      <c r="B344" s="371">
        <v>106</v>
      </c>
      <c r="C344" s="371" t="s">
        <v>2791</v>
      </c>
      <c r="D344" s="2716">
        <f t="shared" si="26"/>
        <v>1</v>
      </c>
      <c r="E344" s="2721">
        <v>0</v>
      </c>
      <c r="F344" s="293"/>
      <c r="G344" s="2625" t="s">
        <v>7327</v>
      </c>
      <c r="H344" s="309">
        <f>H330</f>
        <v>20279942.379999999</v>
      </c>
      <c r="I344" s="430"/>
      <c r="J344" s="309">
        <f>H331</f>
        <v>4797822.0999999996</v>
      </c>
      <c r="K344" s="431"/>
      <c r="L344" s="1477">
        <f t="shared" si="27"/>
        <v>15482120.279999999</v>
      </c>
      <c r="M344" s="1589" t="str">
        <f ca="1">HYPERLINK("#'"&amp;$G$1&amp;"'!"&amp;ADDRESS(ROW(Notes!H394),COLUMN(Notes!H394),4),"* 请勿删除此行！点击往勾稽单元格，F5+Enter返回")</f>
        <v>* 请勿删除此行！点击往勾稽单元格，F5+Enter返回</v>
      </c>
      <c r="N344" s="439"/>
      <c r="O344" s="437"/>
      <c r="P344" s="438"/>
      <c r="Q344" s="442"/>
      <c r="R344" s="443"/>
      <c r="S344" s="364"/>
      <c r="Z344" s="609" t="s">
        <v>273</v>
      </c>
      <c r="AA344" s="609" t="s">
        <v>2935</v>
      </c>
      <c r="AC344" s="369" t="s">
        <v>6573</v>
      </c>
    </row>
    <row r="345" spans="1:29" ht="18">
      <c r="A345" s="2714"/>
      <c r="B345" s="371">
        <v>107</v>
      </c>
      <c r="C345" s="371" t="s">
        <v>2791</v>
      </c>
      <c r="D345" s="2716">
        <f t="shared" si="26"/>
        <v>0</v>
      </c>
      <c r="E345" s="2721">
        <v>0</v>
      </c>
      <c r="F345" s="293"/>
      <c r="G345" s="2222" t="s">
        <v>2792</v>
      </c>
      <c r="H345" s="309"/>
      <c r="I345" s="430"/>
      <c r="J345" s="309"/>
      <c r="K345" s="431"/>
      <c r="L345" s="1477">
        <f t="shared" si="27"/>
        <v>0</v>
      </c>
      <c r="M345" s="438"/>
      <c r="N345" s="439"/>
      <c r="O345" s="437"/>
      <c r="P345" s="438"/>
      <c r="Q345" s="442"/>
      <c r="R345" s="443"/>
      <c r="S345" s="364"/>
      <c r="Z345" s="609" t="s">
        <v>273</v>
      </c>
      <c r="AA345" s="609" t="s">
        <v>2935</v>
      </c>
    </row>
    <row r="346" spans="1:29" ht="18">
      <c r="A346" s="2714"/>
      <c r="B346" s="371">
        <v>108</v>
      </c>
      <c r="C346" s="371" t="s">
        <v>2791</v>
      </c>
      <c r="D346" s="2716">
        <f t="shared" si="26"/>
        <v>0</v>
      </c>
      <c r="E346" s="2721">
        <v>0</v>
      </c>
      <c r="F346" s="293"/>
      <c r="G346" s="2222" t="s">
        <v>2792</v>
      </c>
      <c r="H346" s="309"/>
      <c r="I346" s="430"/>
      <c r="J346" s="309"/>
      <c r="K346" s="431"/>
      <c r="L346" s="1477">
        <f t="shared" si="27"/>
        <v>0</v>
      </c>
      <c r="M346" s="438"/>
      <c r="N346" s="439"/>
      <c r="O346" s="437"/>
      <c r="P346" s="438"/>
      <c r="Q346" s="442"/>
      <c r="R346" s="443"/>
      <c r="S346" s="364"/>
      <c r="Z346" s="609" t="s">
        <v>273</v>
      </c>
      <c r="AA346" s="609" t="s">
        <v>2935</v>
      </c>
    </row>
    <row r="347" spans="1:29" ht="18.75" thickBot="1">
      <c r="A347" s="2714"/>
      <c r="B347" s="371"/>
      <c r="C347" s="371"/>
      <c r="D347" s="2716">
        <f t="shared" si="26"/>
        <v>1</v>
      </c>
      <c r="E347" s="2721" t="s">
        <v>2751</v>
      </c>
      <c r="F347" s="293"/>
      <c r="G347" s="2234" t="s">
        <v>2752</v>
      </c>
      <c r="H347" s="2235">
        <f>SUMPRODUCT($E338:$E346,H338:H346)</f>
        <v>20279942.379999999</v>
      </c>
      <c r="I347" s="2241"/>
      <c r="J347" s="2235">
        <f>SUMPRODUCT($E338:$E346,J338:J346)</f>
        <v>4797822.0999999996</v>
      </c>
      <c r="K347" s="2241"/>
      <c r="L347" s="2236">
        <f>SUMPRODUCT($E338:$E346,L338:L346)</f>
        <v>15482120.279999999</v>
      </c>
      <c r="M347" s="440"/>
      <c r="N347" s="439"/>
      <c r="O347" s="437"/>
      <c r="P347" s="440"/>
      <c r="Q347" s="442"/>
      <c r="R347" s="443"/>
      <c r="S347" s="364"/>
      <c r="Z347" s="609" t="s">
        <v>273</v>
      </c>
      <c r="AA347" s="609" t="s">
        <v>2935</v>
      </c>
    </row>
    <row r="348" spans="1:29" ht="18.75" thickBot="1">
      <c r="A348" s="2714"/>
      <c r="B348" s="371"/>
      <c r="C348" s="371" t="s">
        <v>2755</v>
      </c>
      <c r="D348" s="2716"/>
      <c r="F348" s="293"/>
      <c r="G348" s="376"/>
      <c r="H348" s="527" t="s">
        <v>3002</v>
      </c>
      <c r="I348" s="432"/>
      <c r="J348" s="527" t="s">
        <v>3002</v>
      </c>
      <c r="K348" s="392"/>
      <c r="L348" s="527" t="s">
        <v>3002</v>
      </c>
      <c r="M348" s="425"/>
      <c r="N348" s="426"/>
      <c r="O348" s="427"/>
      <c r="P348" s="425"/>
      <c r="Q348" s="442"/>
      <c r="R348" s="443"/>
      <c r="S348" s="364"/>
      <c r="Z348" s="609" t="s">
        <v>273</v>
      </c>
      <c r="AA348" s="609" t="s">
        <v>2935</v>
      </c>
    </row>
    <row r="349" spans="1:29" ht="18.75" thickTop="1">
      <c r="A349" s="2714"/>
      <c r="B349" s="371"/>
      <c r="C349" s="371" t="s">
        <v>2565</v>
      </c>
      <c r="D349" s="2716"/>
      <c r="F349" s="293"/>
      <c r="G349" s="1549" t="s">
        <v>5367</v>
      </c>
      <c r="H349" s="1550" t="str">
        <f>G317</f>
        <v>(1)应收账款按账龄披露</v>
      </c>
      <c r="I349" s="1551"/>
      <c r="J349" s="1552"/>
      <c r="K349" s="1551"/>
      <c r="L349" s="1552"/>
      <c r="M349" s="1553" t="s">
        <v>5368</v>
      </c>
      <c r="N349" s="426"/>
      <c r="O349" s="427"/>
      <c r="P349" s="425"/>
      <c r="Q349" s="442"/>
      <c r="R349" s="442"/>
      <c r="S349" s="364"/>
      <c r="Z349" s="609" t="s">
        <v>273</v>
      </c>
      <c r="AA349" s="609" t="s">
        <v>2935</v>
      </c>
    </row>
    <row r="350" spans="1:29" ht="18">
      <c r="A350" s="2714"/>
      <c r="B350" s="371"/>
      <c r="C350" s="371" t="s">
        <v>2565</v>
      </c>
      <c r="D350" s="2716"/>
      <c r="F350" s="293"/>
      <c r="G350" s="604" t="str">
        <f>"注释A:"&amp; ""</f>
        <v>注释A:</v>
      </c>
      <c r="H350" s="2252">
        <f ca="1">HYPERLINK("#'"&amp;$G$1&amp;"'!"&amp;ADDRESS(ROW(Notes!H330),COLUMN(Notes!H330),4),H330)</f>
        <v>20279942.379999999</v>
      </c>
      <c r="I350" s="351"/>
      <c r="J350" s="2252">
        <f ca="1">HYPERLINK("#'"&amp;$G$1&amp;"'!"&amp;ADDRESS(ROW(Notes!H331),COLUMN(Notes!H331),4),H331)</f>
        <v>4797822.0999999996</v>
      </c>
      <c r="K350" s="351"/>
      <c r="L350" s="2252">
        <f ca="1">HYPERLINK("#'"&amp;$G$1&amp;"'!"&amp;ADDRESS(ROW(Notes!H332),COLUMN(Notes!H332),4),H332)</f>
        <v>15482120.279999999</v>
      </c>
      <c r="M350" s="2251" t="str">
        <f>H317</f>
        <v>1122j</v>
      </c>
      <c r="N350" s="426"/>
      <c r="O350" s="427"/>
      <c r="P350" s="425"/>
      <c r="Q350" s="442"/>
      <c r="R350" s="442"/>
      <c r="S350" s="364"/>
      <c r="Z350" s="609" t="s">
        <v>273</v>
      </c>
      <c r="AA350" s="609" t="s">
        <v>2935</v>
      </c>
    </row>
    <row r="351" spans="1:29" ht="18">
      <c r="A351" s="2714"/>
      <c r="B351" s="371"/>
      <c r="C351" s="371" t="s">
        <v>2565</v>
      </c>
      <c r="D351" s="2716"/>
      <c r="F351" s="293"/>
      <c r="G351" s="604" t="str">
        <f>"本注释B:"&amp; G347</f>
        <v>本注释B:合       计</v>
      </c>
      <c r="H351" s="456">
        <f>H347</f>
        <v>20279942.379999999</v>
      </c>
      <c r="I351" s="351"/>
      <c r="J351" s="456">
        <f>J347</f>
        <v>4797822.0999999996</v>
      </c>
      <c r="K351" s="351"/>
      <c r="L351" s="456">
        <f>L347</f>
        <v>15482120.279999999</v>
      </c>
      <c r="M351" s="1544" t="s">
        <v>281</v>
      </c>
      <c r="N351" s="426"/>
      <c r="O351" s="427"/>
      <c r="P351" s="425"/>
      <c r="Q351" s="442"/>
      <c r="R351" s="442"/>
      <c r="S351" s="364"/>
      <c r="Z351" s="609" t="s">
        <v>273</v>
      </c>
      <c r="AA351" s="609" t="s">
        <v>2935</v>
      </c>
    </row>
    <row r="352" spans="1:29" ht="18.75" thickBot="1">
      <c r="A352" s="2714"/>
      <c r="B352" s="371"/>
      <c r="C352" s="371" t="s">
        <v>2565</v>
      </c>
      <c r="D352" s="2716"/>
      <c r="F352" s="293"/>
      <c r="G352" s="1554" t="s">
        <v>2757</v>
      </c>
      <c r="H352" s="1531">
        <f ca="1">IF(AND(H350="",H351=""),"",ROUND(H350-H351,2))</f>
        <v>0</v>
      </c>
      <c r="I352" s="1555"/>
      <c r="J352" s="1531">
        <f ca="1">IF(AND(J350="",J351=""),"",ROUND(J350-J351,2))</f>
        <v>0</v>
      </c>
      <c r="K352" s="1555"/>
      <c r="L352" s="1531">
        <f ca="1">IF(AND(L350="",L351=""),"",ROUND(L350-L351,2))</f>
        <v>0</v>
      </c>
      <c r="M352" s="1556"/>
      <c r="N352" s="426"/>
      <c r="O352" s="427"/>
      <c r="P352" s="425"/>
      <c r="Q352" s="442"/>
      <c r="R352" s="442"/>
      <c r="S352" s="364"/>
      <c r="Z352" s="609" t="s">
        <v>273</v>
      </c>
      <c r="AA352" s="609" t="s">
        <v>2935</v>
      </c>
    </row>
    <row r="353" spans="1:27" ht="18.75" thickTop="1">
      <c r="A353" s="2714"/>
      <c r="B353" s="371"/>
      <c r="C353" s="371" t="s">
        <v>2565</v>
      </c>
      <c r="D353" s="2716"/>
      <c r="F353" s="293"/>
      <c r="G353" s="1545"/>
      <c r="H353" s="459" t="str">
        <f ca="1">IF(OR(H352=0,H352=""),"√","？")</f>
        <v>√</v>
      </c>
      <c r="I353" s="317"/>
      <c r="J353" s="459" t="str">
        <f ca="1">IF(OR(J352=0,J352=""),"√","？")</f>
        <v>√</v>
      </c>
      <c r="K353" s="317"/>
      <c r="L353" s="459" t="str">
        <f ca="1">IF(OR(L352=0,L352=""),"√","？")</f>
        <v>√</v>
      </c>
      <c r="M353" s="1547"/>
      <c r="N353" s="426"/>
      <c r="O353" s="427"/>
      <c r="P353" s="425"/>
      <c r="Q353" s="442"/>
      <c r="R353" s="442"/>
      <c r="S353" s="364"/>
      <c r="Z353" s="609" t="s">
        <v>273</v>
      </c>
      <c r="AA353" s="609" t="s">
        <v>2935</v>
      </c>
    </row>
    <row r="354" spans="1:27" ht="18">
      <c r="A354" s="2714"/>
      <c r="B354" s="371"/>
      <c r="C354" s="371" t="s">
        <v>2565</v>
      </c>
      <c r="D354" s="2716"/>
      <c r="F354" s="293"/>
      <c r="G354" s="1559" t="s">
        <v>2759</v>
      </c>
      <c r="H354" s="461"/>
      <c r="I354" s="317"/>
      <c r="J354" s="461"/>
      <c r="K354" s="352">
        <f ca="1">SUMIF($H$353:$M$353,"&lt;&gt;√",$H$352:$M$352)</f>
        <v>0</v>
      </c>
      <c r="L354" s="353" t="str">
        <f ca="1">IF(OR(K354=0,K354=""),"√","？")</f>
        <v>√</v>
      </c>
      <c r="M354" s="1547"/>
      <c r="N354" s="426"/>
      <c r="O354" s="427"/>
      <c r="P354" s="425"/>
      <c r="Q354" s="442"/>
      <c r="R354" s="442"/>
      <c r="S354" s="364"/>
      <c r="Z354" s="609" t="s">
        <v>273</v>
      </c>
      <c r="AA354" s="609" t="s">
        <v>2935</v>
      </c>
    </row>
    <row r="355" spans="1:27" ht="18">
      <c r="A355" s="2714"/>
      <c r="B355" s="371"/>
      <c r="C355" s="371" t="s">
        <v>2565</v>
      </c>
      <c r="D355" s="2716"/>
      <c r="F355" s="293"/>
      <c r="G355" s="1545"/>
      <c r="H355" s="461"/>
      <c r="I355" s="317"/>
      <c r="J355" s="461"/>
      <c r="K355" s="317"/>
      <c r="L355" s="461"/>
      <c r="M355" s="1547"/>
      <c r="N355" s="426"/>
      <c r="O355" s="427"/>
      <c r="P355" s="425"/>
      <c r="Q355" s="442"/>
      <c r="R355" s="442"/>
      <c r="S355" s="364"/>
      <c r="Z355" s="609" t="s">
        <v>273</v>
      </c>
      <c r="AA355" s="609" t="s">
        <v>2935</v>
      </c>
    </row>
    <row r="356" spans="1:27" ht="36">
      <c r="A356" s="2714" t="s">
        <v>302</v>
      </c>
      <c r="B356" s="371">
        <v>2.21</v>
      </c>
      <c r="C356" s="371"/>
      <c r="D356" s="2716" t="str">
        <f>VLOOKUP($A356,Sheet_NoteList,2,0)</f>
        <v>期末按单项计提坏账准备的应收账款（简化模型）</v>
      </c>
      <c r="E356" s="2716" t="s">
        <v>2742</v>
      </c>
      <c r="F356" s="293"/>
      <c r="G356" s="372" t="str">
        <f>"("&amp;B356&amp;")"&amp;D356</f>
        <v>(2.21)期末按单项计提坏账准备的应收账款（简化模型）</v>
      </c>
      <c r="H356" s="1517" t="str">
        <f>$A356</f>
        <v>1122r</v>
      </c>
      <c r="I356" s="343" t="s">
        <v>2743</v>
      </c>
      <c r="J356" s="301" t="s">
        <v>2744</v>
      </c>
      <c r="K356" s="2210">
        <f>H369</f>
        <v>0</v>
      </c>
      <c r="L356" s="349"/>
      <c r="M356" s="301"/>
      <c r="N356" s="391"/>
      <c r="O356" s="349"/>
      <c r="P356" s="301"/>
      <c r="S356" s="364"/>
      <c r="Z356" s="609" t="s">
        <v>273</v>
      </c>
      <c r="AA356" s="609" t="s">
        <v>2935</v>
      </c>
    </row>
    <row r="357" spans="1:27" ht="0.75" customHeight="1">
      <c r="A357" s="2714"/>
      <c r="B357" s="371"/>
      <c r="C357" s="371"/>
      <c r="D357" s="2716"/>
      <c r="E357" s="586"/>
      <c r="F357" s="586"/>
      <c r="G357" s="2224" t="s">
        <v>2956</v>
      </c>
      <c r="H357" s="371" t="s">
        <v>2747</v>
      </c>
      <c r="I357" s="371" t="s">
        <v>2748</v>
      </c>
      <c r="J357" s="371" t="s">
        <v>2957</v>
      </c>
      <c r="K357" s="547" t="s">
        <v>2898</v>
      </c>
      <c r="L357" s="428"/>
      <c r="M357" s="433"/>
      <c r="N357" s="428"/>
      <c r="O357" s="428"/>
      <c r="P357" s="433"/>
      <c r="Q357" s="442"/>
      <c r="R357" s="443"/>
      <c r="S357" s="364"/>
      <c r="Z357" s="609" t="s">
        <v>273</v>
      </c>
      <c r="AA357" s="609" t="s">
        <v>2935</v>
      </c>
    </row>
    <row r="358" spans="1:27" ht="0.75" customHeight="1" thickBot="1">
      <c r="A358" s="2714"/>
      <c r="B358" s="371"/>
      <c r="C358" s="371"/>
      <c r="D358" s="2716"/>
      <c r="E358" s="586"/>
      <c r="F358" s="586"/>
      <c r="G358" s="2224"/>
      <c r="H358" s="371" t="s">
        <v>2958</v>
      </c>
      <c r="I358" s="371" t="s">
        <v>2856</v>
      </c>
      <c r="J358" s="371" t="s">
        <v>2902</v>
      </c>
      <c r="K358" s="547" t="s">
        <v>2959</v>
      </c>
      <c r="L358" s="428"/>
      <c r="M358" s="433"/>
      <c r="N358" s="428"/>
      <c r="O358" s="428"/>
      <c r="P358" s="433"/>
      <c r="Q358" s="442"/>
      <c r="R358" s="443"/>
      <c r="S358" s="364"/>
      <c r="Z358" s="609" t="s">
        <v>273</v>
      </c>
      <c r="AA358" s="609" t="s">
        <v>2935</v>
      </c>
    </row>
    <row r="359" spans="1:27" ht="18" customHeight="1">
      <c r="A359" s="2714"/>
      <c r="B359" s="371"/>
      <c r="C359" s="371"/>
      <c r="D359" s="2716"/>
      <c r="E359" s="586" t="s">
        <v>2749</v>
      </c>
      <c r="F359" s="414"/>
      <c r="G359" s="3472" t="s">
        <v>5997</v>
      </c>
      <c r="H359" s="3533" t="str">
        <f>$V$2</f>
        <v>2019年12月31日</v>
      </c>
      <c r="I359" s="3415"/>
      <c r="J359" s="3415"/>
      <c r="K359" s="3431"/>
      <c r="L359" s="355" t="s">
        <v>5270</v>
      </c>
      <c r="M359" s="433"/>
      <c r="N359" s="428"/>
      <c r="O359" s="428"/>
      <c r="P359" s="433"/>
      <c r="Q359" s="442"/>
      <c r="R359" s="443"/>
      <c r="S359" s="364"/>
      <c r="Z359" s="609" t="s">
        <v>273</v>
      </c>
      <c r="AA359" s="609" t="s">
        <v>2935</v>
      </c>
    </row>
    <row r="360" spans="1:27" ht="18">
      <c r="A360" s="2714"/>
      <c r="B360" s="371"/>
      <c r="C360" s="371"/>
      <c r="D360" s="2716"/>
      <c r="E360" s="586" t="s">
        <v>2749</v>
      </c>
      <c r="F360" s="414"/>
      <c r="G360" s="3473"/>
      <c r="H360" s="2237" t="s">
        <v>2861</v>
      </c>
      <c r="I360" s="2237" t="s">
        <v>2862</v>
      </c>
      <c r="J360" s="2237" t="s">
        <v>2889</v>
      </c>
      <c r="K360" s="2243" t="s">
        <v>2899</v>
      </c>
      <c r="L360" s="434"/>
      <c r="M360" s="435"/>
      <c r="N360" s="434"/>
      <c r="O360" s="434"/>
      <c r="P360" s="435"/>
      <c r="Q360" s="442"/>
      <c r="R360" s="443"/>
      <c r="S360" s="364"/>
      <c r="Z360" s="609" t="s">
        <v>273</v>
      </c>
      <c r="AA360" s="609" t="s">
        <v>2935</v>
      </c>
    </row>
    <row r="361" spans="1:27" ht="18">
      <c r="A361" s="2714"/>
      <c r="B361" s="371">
        <v>101</v>
      </c>
      <c r="C361" s="371" t="s">
        <v>2791</v>
      </c>
      <c r="D361" s="2716">
        <f t="shared" ref="D361:D369" si="28">IF(OR(G361="*",G361="",G361=0),0,COUNTIF($G$361:$G$369,G361))</f>
        <v>0</v>
      </c>
      <c r="E361" s="2721">
        <v>1</v>
      </c>
      <c r="F361" s="293"/>
      <c r="G361" s="2222" t="s">
        <v>2792</v>
      </c>
      <c r="H361" s="309"/>
      <c r="I361" s="422"/>
      <c r="J361" s="360"/>
      <c r="K361" s="436"/>
      <c r="L361" s="437"/>
      <c r="M361" s="438"/>
      <c r="N361" s="439"/>
      <c r="O361" s="437"/>
      <c r="P361" s="438"/>
      <c r="Q361" s="442"/>
      <c r="R361" s="443"/>
      <c r="S361" s="364"/>
      <c r="Z361" s="609" t="s">
        <v>273</v>
      </c>
      <c r="AA361" s="609" t="s">
        <v>2935</v>
      </c>
    </row>
    <row r="362" spans="1:27" ht="18">
      <c r="A362" s="2714"/>
      <c r="B362" s="371">
        <v>102</v>
      </c>
      <c r="C362" s="371" t="s">
        <v>2791</v>
      </c>
      <c r="D362" s="2716">
        <f t="shared" si="28"/>
        <v>0</v>
      </c>
      <c r="E362" s="2721">
        <v>1</v>
      </c>
      <c r="F362" s="293"/>
      <c r="G362" s="2222" t="s">
        <v>2792</v>
      </c>
      <c r="H362" s="309"/>
      <c r="I362" s="422"/>
      <c r="J362" s="360"/>
      <c r="K362" s="436"/>
      <c r="L362" s="437"/>
      <c r="M362" s="438"/>
      <c r="N362" s="439"/>
      <c r="O362" s="437"/>
      <c r="P362" s="438"/>
      <c r="Q362" s="442"/>
      <c r="R362" s="443"/>
      <c r="S362" s="364"/>
      <c r="Z362" s="609" t="s">
        <v>273</v>
      </c>
      <c r="AA362" s="609" t="s">
        <v>2935</v>
      </c>
    </row>
    <row r="363" spans="1:27" ht="18">
      <c r="A363" s="2714"/>
      <c r="B363" s="371">
        <v>103</v>
      </c>
      <c r="C363" s="371" t="s">
        <v>2791</v>
      </c>
      <c r="D363" s="2716">
        <f t="shared" si="28"/>
        <v>0</v>
      </c>
      <c r="E363" s="2721">
        <v>1</v>
      </c>
      <c r="F363" s="293"/>
      <c r="G363" s="2222" t="s">
        <v>2792</v>
      </c>
      <c r="H363" s="309"/>
      <c r="I363" s="422"/>
      <c r="J363" s="360"/>
      <c r="K363" s="436"/>
      <c r="L363" s="437"/>
      <c r="M363" s="438"/>
      <c r="N363" s="439"/>
      <c r="O363" s="437"/>
      <c r="P363" s="438"/>
      <c r="Q363" s="442"/>
      <c r="R363" s="443"/>
      <c r="S363" s="364"/>
      <c r="Z363" s="609" t="s">
        <v>273</v>
      </c>
      <c r="AA363" s="609" t="s">
        <v>2935</v>
      </c>
    </row>
    <row r="364" spans="1:27" ht="18">
      <c r="A364" s="2714"/>
      <c r="B364" s="371">
        <v>104</v>
      </c>
      <c r="C364" s="371" t="s">
        <v>2791</v>
      </c>
      <c r="D364" s="2716">
        <f t="shared" si="28"/>
        <v>0</v>
      </c>
      <c r="E364" s="2721">
        <v>1</v>
      </c>
      <c r="F364" s="293"/>
      <c r="G364" s="2222" t="s">
        <v>2792</v>
      </c>
      <c r="H364" s="309"/>
      <c r="I364" s="422"/>
      <c r="J364" s="360"/>
      <c r="K364" s="436"/>
      <c r="L364" s="437"/>
      <c r="M364" s="438"/>
      <c r="N364" s="439"/>
      <c r="O364" s="437"/>
      <c r="P364" s="438"/>
      <c r="Q364" s="442"/>
      <c r="R364" s="443"/>
      <c r="S364" s="364"/>
      <c r="Z364" s="609" t="s">
        <v>273</v>
      </c>
      <c r="AA364" s="609" t="s">
        <v>2935</v>
      </c>
    </row>
    <row r="365" spans="1:27" ht="18">
      <c r="A365" s="2714"/>
      <c r="B365" s="371">
        <v>105</v>
      </c>
      <c r="C365" s="371" t="s">
        <v>2791</v>
      </c>
      <c r="D365" s="2716">
        <f t="shared" si="28"/>
        <v>0</v>
      </c>
      <c r="E365" s="2721">
        <v>1</v>
      </c>
      <c r="F365" s="293"/>
      <c r="G365" s="2222" t="s">
        <v>2792</v>
      </c>
      <c r="H365" s="309"/>
      <c r="I365" s="422"/>
      <c r="J365" s="360"/>
      <c r="K365" s="436"/>
      <c r="L365" s="437"/>
      <c r="M365" s="438"/>
      <c r="N365" s="439"/>
      <c r="O365" s="437"/>
      <c r="P365" s="438"/>
      <c r="Q365" s="442"/>
      <c r="R365" s="443"/>
      <c r="S365" s="364"/>
      <c r="Z365" s="609" t="s">
        <v>273</v>
      </c>
      <c r="AA365" s="609" t="s">
        <v>2935</v>
      </c>
    </row>
    <row r="366" spans="1:27" ht="18">
      <c r="A366" s="2714"/>
      <c r="B366" s="371">
        <v>106</v>
      </c>
      <c r="C366" s="371" t="s">
        <v>2791</v>
      </c>
      <c r="D366" s="2716">
        <f t="shared" si="28"/>
        <v>0</v>
      </c>
      <c r="E366" s="2721">
        <v>1</v>
      </c>
      <c r="F366" s="293"/>
      <c r="G366" s="2222" t="s">
        <v>2792</v>
      </c>
      <c r="H366" s="309"/>
      <c r="I366" s="422"/>
      <c r="J366" s="360"/>
      <c r="K366" s="436"/>
      <c r="L366" s="437"/>
      <c r="M366" s="438"/>
      <c r="N366" s="439"/>
      <c r="O366" s="437"/>
      <c r="P366" s="438"/>
      <c r="Q366" s="442"/>
      <c r="R366" s="443"/>
      <c r="S366" s="364"/>
      <c r="Z366" s="609" t="s">
        <v>273</v>
      </c>
      <c r="AA366" s="609" t="s">
        <v>2935</v>
      </c>
    </row>
    <row r="367" spans="1:27" ht="18">
      <c r="A367" s="2714"/>
      <c r="B367" s="371">
        <v>107</v>
      </c>
      <c r="C367" s="371" t="s">
        <v>2791</v>
      </c>
      <c r="D367" s="2716">
        <f t="shared" si="28"/>
        <v>0</v>
      </c>
      <c r="E367" s="2721">
        <v>1</v>
      </c>
      <c r="F367" s="293"/>
      <c r="G367" s="2222" t="s">
        <v>2792</v>
      </c>
      <c r="H367" s="309"/>
      <c r="I367" s="422"/>
      <c r="J367" s="360"/>
      <c r="K367" s="436"/>
      <c r="L367" s="437"/>
      <c r="M367" s="438"/>
      <c r="N367" s="439"/>
      <c r="O367" s="437"/>
      <c r="P367" s="438"/>
      <c r="Q367" s="442"/>
      <c r="R367" s="443"/>
      <c r="S367" s="364"/>
      <c r="Z367" s="609" t="s">
        <v>273</v>
      </c>
      <c r="AA367" s="609" t="s">
        <v>2935</v>
      </c>
    </row>
    <row r="368" spans="1:27" ht="18">
      <c r="A368" s="2714"/>
      <c r="B368" s="371">
        <v>108</v>
      </c>
      <c r="C368" s="371" t="s">
        <v>2791</v>
      </c>
      <c r="D368" s="2716">
        <f t="shared" si="28"/>
        <v>0</v>
      </c>
      <c r="E368" s="2721">
        <v>1</v>
      </c>
      <c r="F368" s="293"/>
      <c r="G368" s="2222" t="s">
        <v>2792</v>
      </c>
      <c r="H368" s="309"/>
      <c r="I368" s="422"/>
      <c r="J368" s="360"/>
      <c r="K368" s="436"/>
      <c r="L368" s="437"/>
      <c r="M368" s="438"/>
      <c r="N368" s="439"/>
      <c r="O368" s="437"/>
      <c r="P368" s="438"/>
      <c r="Q368" s="442"/>
      <c r="R368" s="443"/>
      <c r="S368" s="364"/>
      <c r="Z368" s="609" t="s">
        <v>273</v>
      </c>
      <c r="AA368" s="609" t="s">
        <v>2935</v>
      </c>
    </row>
    <row r="369" spans="1:27" ht="18.75" thickBot="1">
      <c r="A369" s="2714"/>
      <c r="B369" s="371"/>
      <c r="C369" s="371"/>
      <c r="D369" s="2716">
        <f t="shared" si="28"/>
        <v>1</v>
      </c>
      <c r="E369" s="2721" t="s">
        <v>2751</v>
      </c>
      <c r="F369" s="293"/>
      <c r="G369" s="2234" t="s">
        <v>2752</v>
      </c>
      <c r="H369" s="2235">
        <f>SUMPRODUCT($E360:$E368,H360:H368)</f>
        <v>0</v>
      </c>
      <c r="I369" s="2235">
        <f>SUMPRODUCT($E360:$E368,I360:I368)</f>
        <v>0</v>
      </c>
      <c r="J369" s="2241"/>
      <c r="K369" s="2244"/>
      <c r="L369" s="437"/>
      <c r="M369" s="440"/>
      <c r="N369" s="439"/>
      <c r="O369" s="437"/>
      <c r="P369" s="440"/>
      <c r="Q369" s="442"/>
      <c r="R369" s="443"/>
      <c r="S369" s="364"/>
      <c r="Z369" s="609" t="s">
        <v>273</v>
      </c>
      <c r="AA369" s="609" t="s">
        <v>2935</v>
      </c>
    </row>
    <row r="370" spans="1:27" ht="18.75" thickBot="1">
      <c r="A370" s="2714"/>
      <c r="B370" s="371"/>
      <c r="C370" s="371" t="s">
        <v>2755</v>
      </c>
      <c r="D370" s="2716"/>
      <c r="F370" s="293"/>
      <c r="G370" s="376"/>
      <c r="H370" s="527" t="s">
        <v>3002</v>
      </c>
      <c r="I370" s="2253" t="s">
        <v>3002</v>
      </c>
      <c r="J370" s="393"/>
      <c r="K370" s="392"/>
      <c r="L370" s="427"/>
      <c r="M370" s="425"/>
      <c r="N370" s="426"/>
      <c r="O370" s="427"/>
      <c r="P370" s="425"/>
      <c r="Q370" s="442"/>
      <c r="R370" s="443"/>
      <c r="S370" s="364"/>
      <c r="Z370" s="609" t="s">
        <v>273</v>
      </c>
      <c r="AA370" s="609" t="s">
        <v>2935</v>
      </c>
    </row>
    <row r="371" spans="1:27" ht="18.75" thickTop="1">
      <c r="A371" s="2714"/>
      <c r="B371" s="371"/>
      <c r="C371" s="371" t="s">
        <v>2565</v>
      </c>
      <c r="D371" s="2716"/>
      <c r="F371" s="293"/>
      <c r="G371" s="1549" t="s">
        <v>5367</v>
      </c>
      <c r="H371" s="1550" t="str">
        <f>G334</f>
        <v>(2.1)应收账款按坏账计提方法分类披露（按简化模型计提）</v>
      </c>
      <c r="I371" s="1552"/>
      <c r="J371" s="1551"/>
      <c r="K371" s="1551"/>
      <c r="L371" s="1553" t="s">
        <v>5368</v>
      </c>
      <c r="M371" s="425"/>
      <c r="N371" s="426"/>
      <c r="O371" s="427"/>
      <c r="P371" s="425"/>
      <c r="Q371" s="442"/>
      <c r="R371" s="442"/>
      <c r="S371" s="364"/>
      <c r="Z371" s="609" t="s">
        <v>273</v>
      </c>
      <c r="AA371" s="609" t="s">
        <v>2935</v>
      </c>
    </row>
    <row r="372" spans="1:27" ht="18">
      <c r="A372" s="2714"/>
      <c r="B372" s="371"/>
      <c r="C372" s="371" t="s">
        <v>2565</v>
      </c>
      <c r="D372" s="2716"/>
      <c r="F372" s="293"/>
      <c r="G372" s="604" t="str">
        <f>"注释A:"&amp; G339</f>
        <v>注释A:按单项计提坏账准备</v>
      </c>
      <c r="H372" s="2252">
        <f ca="1">HYPERLINK("#'"&amp;$G$1&amp;"'!"&amp;ADDRESS(ROW(Notes!H339),COLUMN(Notes!H339),4),H339)</f>
        <v>0</v>
      </c>
      <c r="I372" s="2252">
        <f ca="1">HYPERLINK("#'"&amp;$G$1&amp;"'!"&amp;ADDRESS(ROW(Notes!J339),COLUMN(Notes!J339),4),J339)</f>
        <v>0</v>
      </c>
      <c r="J372" s="351"/>
      <c r="K372" s="351"/>
      <c r="L372" s="2251" t="str">
        <f>H334</f>
        <v>1122p</v>
      </c>
      <c r="M372" s="425"/>
      <c r="N372" s="426"/>
      <c r="O372" s="427"/>
      <c r="P372" s="425"/>
      <c r="Q372" s="442"/>
      <c r="R372" s="442"/>
      <c r="S372" s="364"/>
      <c r="Z372" s="609" t="s">
        <v>273</v>
      </c>
      <c r="AA372" s="609" t="s">
        <v>2935</v>
      </c>
    </row>
    <row r="373" spans="1:27" ht="18">
      <c r="A373" s="2714"/>
      <c r="B373" s="371"/>
      <c r="C373" s="371" t="s">
        <v>2565</v>
      </c>
      <c r="D373" s="2716"/>
      <c r="F373" s="293"/>
      <c r="G373" s="604" t="str">
        <f>"本注释B:"&amp; G369</f>
        <v>本注释B:合       计</v>
      </c>
      <c r="H373" s="456">
        <f>H369</f>
        <v>0</v>
      </c>
      <c r="I373" s="456">
        <f>I369</f>
        <v>0</v>
      </c>
      <c r="J373" s="351"/>
      <c r="K373" s="351"/>
      <c r="L373" s="1544" t="s">
        <v>302</v>
      </c>
      <c r="M373" s="425"/>
      <c r="N373" s="426"/>
      <c r="O373" s="427"/>
      <c r="P373" s="425"/>
      <c r="Q373" s="442"/>
      <c r="R373" s="442"/>
      <c r="S373" s="364"/>
      <c r="Z373" s="609" t="s">
        <v>273</v>
      </c>
      <c r="AA373" s="609" t="s">
        <v>2935</v>
      </c>
    </row>
    <row r="374" spans="1:27" ht="18.75" thickBot="1">
      <c r="A374" s="2714"/>
      <c r="B374" s="371"/>
      <c r="C374" s="371" t="s">
        <v>2565</v>
      </c>
      <c r="D374" s="2716"/>
      <c r="F374" s="293"/>
      <c r="G374" s="1554" t="s">
        <v>2757</v>
      </c>
      <c r="H374" s="1531">
        <f ca="1">IF(AND(H372="",H373=""),"",ROUND(H372-H373,2))</f>
        <v>0</v>
      </c>
      <c r="I374" s="1531">
        <f ca="1">IF(AND(I372="",I373=""),"",ROUND(I372-I373,2))</f>
        <v>0</v>
      </c>
      <c r="J374" s="1555"/>
      <c r="K374" s="1555"/>
      <c r="L374" s="1556"/>
      <c r="M374" s="425"/>
      <c r="N374" s="426"/>
      <c r="O374" s="427"/>
      <c r="P374" s="425"/>
      <c r="Q374" s="442"/>
      <c r="R374" s="442"/>
      <c r="S374" s="364"/>
      <c r="Z374" s="609" t="s">
        <v>273</v>
      </c>
      <c r="AA374" s="609" t="s">
        <v>2935</v>
      </c>
    </row>
    <row r="375" spans="1:27" ht="18.75" thickTop="1">
      <c r="A375" s="2714"/>
      <c r="B375" s="371"/>
      <c r="C375" s="371" t="s">
        <v>2565</v>
      </c>
      <c r="D375" s="2716"/>
      <c r="F375" s="293"/>
      <c r="G375" s="1545"/>
      <c r="H375" s="459" t="str">
        <f ca="1">IF(OR(H374=0,H374=""),"√","？")</f>
        <v>√</v>
      </c>
      <c r="I375" s="459" t="str">
        <f ca="1">IF(OR(I374=0,I374=""),"√","？")</f>
        <v>√</v>
      </c>
      <c r="J375" s="317"/>
      <c r="K375" s="317"/>
      <c r="L375" s="1547"/>
      <c r="M375" s="425"/>
      <c r="N375" s="426"/>
      <c r="O375" s="427"/>
      <c r="P375" s="425"/>
      <c r="Q375" s="442"/>
      <c r="R375" s="442"/>
      <c r="S375" s="364"/>
      <c r="Z375" s="609" t="s">
        <v>273</v>
      </c>
      <c r="AA375" s="609" t="s">
        <v>2935</v>
      </c>
    </row>
    <row r="376" spans="1:27" ht="18">
      <c r="A376" s="2714"/>
      <c r="B376" s="371"/>
      <c r="C376" s="371" t="s">
        <v>2565</v>
      </c>
      <c r="D376" s="2716"/>
      <c r="F376" s="293"/>
      <c r="G376" s="1559" t="s">
        <v>2759</v>
      </c>
      <c r="H376" s="461"/>
      <c r="I376" s="461"/>
      <c r="J376" s="317"/>
      <c r="K376" s="352">
        <f ca="1">SUMIF($H$375:$L$375,"&lt;&gt;√",$H$374:$L$374)</f>
        <v>0</v>
      </c>
      <c r="L376" s="2254" t="str">
        <f ca="1">IF(OR(K376=0,K376=""),"√","？")</f>
        <v>√</v>
      </c>
      <c r="M376" s="425"/>
      <c r="N376" s="426"/>
      <c r="O376" s="427"/>
      <c r="P376" s="425"/>
      <c r="Q376" s="442"/>
      <c r="R376" s="442"/>
      <c r="S376" s="364"/>
      <c r="Z376" s="609" t="s">
        <v>273</v>
      </c>
      <c r="AA376" s="609" t="s">
        <v>2935</v>
      </c>
    </row>
    <row r="377" spans="1:27" ht="18">
      <c r="A377" s="2714"/>
      <c r="B377" s="371"/>
      <c r="C377" s="371" t="s">
        <v>2565</v>
      </c>
      <c r="D377" s="2716"/>
      <c r="F377" s="293"/>
      <c r="G377" s="1545"/>
      <c r="H377" s="461"/>
      <c r="I377" s="461"/>
      <c r="J377" s="317"/>
      <c r="K377" s="317"/>
      <c r="L377" s="1547"/>
      <c r="M377" s="425"/>
      <c r="N377" s="426"/>
      <c r="O377" s="427"/>
      <c r="P377" s="425"/>
      <c r="Q377" s="442"/>
      <c r="R377" s="442"/>
      <c r="S377" s="364"/>
      <c r="Z377" s="609" t="s">
        <v>273</v>
      </c>
      <c r="AA377" s="609" t="s">
        <v>2935</v>
      </c>
    </row>
    <row r="378" spans="1:27" ht="36">
      <c r="A378" s="2714" t="s">
        <v>310</v>
      </c>
      <c r="B378" s="371">
        <v>2.2200000000000002</v>
      </c>
      <c r="C378" s="371"/>
      <c r="D378" s="2716" t="str">
        <f>VLOOKUP($A378,Sheet_NoteList,2,0)</f>
        <v>期末按组合1计提坏账准备的应收账款（简化模型）</v>
      </c>
      <c r="E378" s="2716" t="s">
        <v>2742</v>
      </c>
      <c r="F378" s="293"/>
      <c r="G378" s="372" t="str">
        <f>"("&amp;B378&amp;")"&amp;D378</f>
        <v>(2.22)期末按组合1计提坏账准备的应收账款（简化模型）</v>
      </c>
      <c r="H378" s="1517" t="str">
        <f>$A378</f>
        <v>1122s</v>
      </c>
      <c r="I378" s="343" t="s">
        <v>2743</v>
      </c>
      <c r="J378" s="301" t="s">
        <v>2744</v>
      </c>
      <c r="K378" s="2210">
        <f>H391</f>
        <v>20279942.379999999</v>
      </c>
      <c r="L378" s="349"/>
      <c r="M378" s="301"/>
      <c r="N378" s="391"/>
      <c r="O378" s="349"/>
      <c r="P378" s="301"/>
      <c r="S378" s="364"/>
      <c r="Z378" s="609" t="s">
        <v>273</v>
      </c>
      <c r="AA378" s="609" t="s">
        <v>2935</v>
      </c>
    </row>
    <row r="379" spans="1:27" ht="0.75" customHeight="1">
      <c r="A379" s="2714"/>
      <c r="B379" s="371"/>
      <c r="C379" s="371"/>
      <c r="D379" s="2716"/>
      <c r="E379" s="586"/>
      <c r="F379" s="586"/>
      <c r="G379" s="2224" t="s">
        <v>2960</v>
      </c>
      <c r="H379" s="371" t="s">
        <v>5400</v>
      </c>
      <c r="I379" s="371" t="s">
        <v>5401</v>
      </c>
      <c r="J379" s="371" t="s">
        <v>5402</v>
      </c>
      <c r="K379" s="428"/>
      <c r="L379" s="428"/>
      <c r="M379" s="433"/>
      <c r="N379" s="428"/>
      <c r="O379" s="428"/>
      <c r="P379" s="433"/>
      <c r="Q379" s="442"/>
      <c r="R379" s="443"/>
      <c r="S379" s="364"/>
      <c r="Z379" s="609" t="s">
        <v>273</v>
      </c>
      <c r="AA379" s="609" t="s">
        <v>2935</v>
      </c>
    </row>
    <row r="380" spans="1:27" ht="0.75" customHeight="1" thickBot="1">
      <c r="A380" s="2714"/>
      <c r="B380" s="371"/>
      <c r="C380" s="371"/>
      <c r="D380" s="2716"/>
      <c r="E380" s="586"/>
      <c r="F380" s="586"/>
      <c r="G380" s="2224"/>
      <c r="H380" s="371" t="s">
        <v>5403</v>
      </c>
      <c r="I380" s="371" t="s">
        <v>5404</v>
      </c>
      <c r="J380" s="371" t="s">
        <v>5405</v>
      </c>
      <c r="K380" s="428"/>
      <c r="L380" s="428"/>
      <c r="M380" s="433"/>
      <c r="N380" s="428"/>
      <c r="O380" s="428"/>
      <c r="P380" s="433"/>
      <c r="Q380" s="442"/>
      <c r="R380" s="443"/>
      <c r="S380" s="364"/>
      <c r="Z380" s="609" t="s">
        <v>273</v>
      </c>
      <c r="AA380" s="609" t="s">
        <v>2935</v>
      </c>
    </row>
    <row r="381" spans="1:27" ht="18" customHeight="1">
      <c r="A381" s="2714"/>
      <c r="B381" s="371"/>
      <c r="C381" s="371"/>
      <c r="D381" s="2716"/>
      <c r="E381" s="586" t="s">
        <v>2749</v>
      </c>
      <c r="F381" s="414"/>
      <c r="G381" s="3472" t="s">
        <v>5137</v>
      </c>
      <c r="H381" s="3533" t="str">
        <f>$V$2</f>
        <v>2019年12月31日</v>
      </c>
      <c r="I381" s="3415"/>
      <c r="J381" s="3431"/>
      <c r="K381" s="355" t="s">
        <v>5270</v>
      </c>
      <c r="L381" s="428"/>
      <c r="M381" s="433"/>
      <c r="N381" s="428"/>
      <c r="O381" s="428"/>
      <c r="P381" s="433"/>
      <c r="Q381" s="442"/>
      <c r="R381" s="443"/>
      <c r="S381" s="364"/>
      <c r="Z381" s="609" t="s">
        <v>273</v>
      </c>
      <c r="AA381" s="609" t="s">
        <v>2935</v>
      </c>
    </row>
    <row r="382" spans="1:27" ht="18">
      <c r="A382" s="2714"/>
      <c r="B382" s="371"/>
      <c r="C382" s="371"/>
      <c r="D382" s="2716"/>
      <c r="E382" s="586" t="s">
        <v>2749</v>
      </c>
      <c r="F382" s="414"/>
      <c r="G382" s="3473"/>
      <c r="H382" s="2237" t="s">
        <v>2861</v>
      </c>
      <c r="I382" s="2237" t="s">
        <v>2862</v>
      </c>
      <c r="J382" s="2240" t="s">
        <v>2889</v>
      </c>
      <c r="K382" s="434"/>
      <c r="L382" s="434"/>
      <c r="M382" s="435"/>
      <c r="N382" s="434"/>
      <c r="O382" s="434"/>
      <c r="P382" s="435"/>
      <c r="Q382" s="442"/>
      <c r="R382" s="443"/>
      <c r="S382" s="364"/>
      <c r="Z382" s="609" t="s">
        <v>273</v>
      </c>
      <c r="AA382" s="609" t="s">
        <v>2935</v>
      </c>
    </row>
    <row r="383" spans="1:27" ht="18">
      <c r="A383" s="2714"/>
      <c r="B383" s="371">
        <v>101</v>
      </c>
      <c r="C383" s="371"/>
      <c r="D383" s="2716">
        <f t="shared" ref="D383:D391" si="29">IF(OR(G383="*",G383="",G383=0),0,COUNTIF($G$383:$G$391,G383))</f>
        <v>1</v>
      </c>
      <c r="E383" s="2721">
        <v>1</v>
      </c>
      <c r="F383" s="293"/>
      <c r="G383" s="1474" t="s">
        <v>2938</v>
      </c>
      <c r="H383" s="309">
        <f>H321</f>
        <v>9031435.8599999994</v>
      </c>
      <c r="I383" s="422">
        <f>H383*J383</f>
        <v>180628.72</v>
      </c>
      <c r="J383" s="3124">
        <v>0.02</v>
      </c>
      <c r="K383" s="439"/>
      <c r="L383" s="437"/>
      <c r="M383" s="438"/>
      <c r="N383" s="439"/>
      <c r="O383" s="437"/>
      <c r="P383" s="438"/>
      <c r="Q383" s="442"/>
      <c r="R383" s="443"/>
      <c r="S383" s="364"/>
      <c r="Z383" s="609" t="s">
        <v>273</v>
      </c>
      <c r="AA383" s="609" t="s">
        <v>2935</v>
      </c>
    </row>
    <row r="384" spans="1:27" ht="18">
      <c r="A384" s="2714"/>
      <c r="B384" s="371">
        <v>102</v>
      </c>
      <c r="C384" s="371"/>
      <c r="D384" s="2716">
        <f t="shared" si="29"/>
        <v>1</v>
      </c>
      <c r="E384" s="2721">
        <v>1</v>
      </c>
      <c r="F384" s="293"/>
      <c r="G384" s="1474" t="s">
        <v>2962</v>
      </c>
      <c r="H384" s="309">
        <f>H324</f>
        <v>4139497.14</v>
      </c>
      <c r="I384" s="422">
        <f t="shared" ref="I384:I388" si="30">H384*J384</f>
        <v>827899.43</v>
      </c>
      <c r="J384" s="3124">
        <v>0.2</v>
      </c>
      <c r="K384" s="439"/>
      <c r="L384" s="437"/>
      <c r="M384" s="438"/>
      <c r="N384" s="439"/>
      <c r="O384" s="437"/>
      <c r="P384" s="438"/>
      <c r="Q384" s="442"/>
      <c r="R384" s="443"/>
      <c r="S384" s="364"/>
      <c r="Z384" s="609" t="s">
        <v>273</v>
      </c>
      <c r="AA384" s="609" t="s">
        <v>2935</v>
      </c>
    </row>
    <row r="385" spans="1:27" ht="18">
      <c r="A385" s="2714"/>
      <c r="B385" s="371">
        <v>103</v>
      </c>
      <c r="C385" s="371"/>
      <c r="D385" s="2716">
        <f t="shared" si="29"/>
        <v>1</v>
      </c>
      <c r="E385" s="2721">
        <v>1</v>
      </c>
      <c r="F385" s="293"/>
      <c r="G385" s="1474" t="s">
        <v>2963</v>
      </c>
      <c r="H385" s="309">
        <f t="shared" ref="H385:H388" si="31">H325</f>
        <v>3793930.06</v>
      </c>
      <c r="I385" s="422">
        <f t="shared" si="30"/>
        <v>1138179.02</v>
      </c>
      <c r="J385" s="3124">
        <v>0.3</v>
      </c>
      <c r="K385" s="439"/>
      <c r="L385" s="437"/>
      <c r="M385" s="438"/>
      <c r="N385" s="439"/>
      <c r="O385" s="437"/>
      <c r="P385" s="438"/>
      <c r="Q385" s="442"/>
      <c r="R385" s="443"/>
      <c r="S385" s="364"/>
      <c r="Z385" s="609" t="s">
        <v>273</v>
      </c>
      <c r="AA385" s="609" t="s">
        <v>2935</v>
      </c>
    </row>
    <row r="386" spans="1:27" ht="18">
      <c r="A386" s="2714"/>
      <c r="B386" s="371">
        <v>104</v>
      </c>
      <c r="C386" s="371" t="s">
        <v>2791</v>
      </c>
      <c r="D386" s="2716">
        <f t="shared" si="29"/>
        <v>1</v>
      </c>
      <c r="E386" s="2721">
        <v>1</v>
      </c>
      <c r="F386" s="293"/>
      <c r="G386" s="2222" t="s">
        <v>2964</v>
      </c>
      <c r="H386" s="309">
        <f t="shared" si="31"/>
        <v>1192481.52</v>
      </c>
      <c r="I386" s="422">
        <f t="shared" si="30"/>
        <v>715488.91</v>
      </c>
      <c r="J386" s="3124">
        <v>0.6</v>
      </c>
      <c r="K386" s="439"/>
      <c r="L386" s="437"/>
      <c r="M386" s="438"/>
      <c r="N386" s="439"/>
      <c r="O386" s="437"/>
      <c r="P386" s="438"/>
      <c r="Q386" s="442"/>
      <c r="R386" s="443"/>
      <c r="S386" s="364"/>
      <c r="Z386" s="609" t="s">
        <v>273</v>
      </c>
      <c r="AA386" s="609" t="s">
        <v>2935</v>
      </c>
    </row>
    <row r="387" spans="1:27" ht="18">
      <c r="A387" s="2714"/>
      <c r="B387" s="371">
        <v>105</v>
      </c>
      <c r="C387" s="371" t="s">
        <v>2791</v>
      </c>
      <c r="D387" s="2716">
        <f t="shared" si="29"/>
        <v>1</v>
      </c>
      <c r="E387" s="2721">
        <v>1</v>
      </c>
      <c r="F387" s="293"/>
      <c r="G387" s="2222" t="s">
        <v>2965</v>
      </c>
      <c r="H387" s="309">
        <f t="shared" si="31"/>
        <v>1869717.8</v>
      </c>
      <c r="I387" s="422">
        <f t="shared" si="30"/>
        <v>1682746.02</v>
      </c>
      <c r="J387" s="3124">
        <v>0.9</v>
      </c>
      <c r="K387" s="439"/>
      <c r="L387" s="437"/>
      <c r="M387" s="438"/>
      <c r="N387" s="439"/>
      <c r="O387" s="437"/>
      <c r="P387" s="438"/>
      <c r="Q387" s="442"/>
      <c r="R387" s="443"/>
      <c r="S387" s="364"/>
      <c r="Z387" s="609" t="s">
        <v>273</v>
      </c>
      <c r="AA387" s="609" t="s">
        <v>2935</v>
      </c>
    </row>
    <row r="388" spans="1:27" ht="18">
      <c r="A388" s="2714"/>
      <c r="B388" s="371">
        <v>106</v>
      </c>
      <c r="C388" s="371" t="s">
        <v>2791</v>
      </c>
      <c r="D388" s="2716">
        <f t="shared" si="29"/>
        <v>1</v>
      </c>
      <c r="E388" s="2721">
        <v>1</v>
      </c>
      <c r="F388" s="293"/>
      <c r="G388" s="2222" t="s">
        <v>2944</v>
      </c>
      <c r="H388" s="309">
        <f t="shared" si="31"/>
        <v>252880</v>
      </c>
      <c r="I388" s="422">
        <f t="shared" si="30"/>
        <v>252880</v>
      </c>
      <c r="J388" s="3124">
        <v>1</v>
      </c>
      <c r="K388" s="439"/>
      <c r="L388" s="437"/>
      <c r="M388" s="438"/>
      <c r="N388" s="439"/>
      <c r="O388" s="437"/>
      <c r="P388" s="438"/>
      <c r="Q388" s="442"/>
      <c r="R388" s="443"/>
      <c r="S388" s="364"/>
      <c r="Z388" s="609" t="s">
        <v>273</v>
      </c>
      <c r="AA388" s="609" t="s">
        <v>2935</v>
      </c>
    </row>
    <row r="389" spans="1:27" ht="18">
      <c r="A389" s="2714"/>
      <c r="B389" s="371">
        <v>107</v>
      </c>
      <c r="C389" s="371" t="s">
        <v>2791</v>
      </c>
      <c r="D389" s="2716">
        <f t="shared" si="29"/>
        <v>0</v>
      </c>
      <c r="E389" s="2721">
        <v>1</v>
      </c>
      <c r="F389" s="293"/>
      <c r="G389" s="2222" t="s">
        <v>2792</v>
      </c>
      <c r="H389" s="309"/>
      <c r="I389" s="422"/>
      <c r="J389" s="388"/>
      <c r="K389" s="439"/>
      <c r="L389" s="437"/>
      <c r="M389" s="438"/>
      <c r="N389" s="439"/>
      <c r="O389" s="437"/>
      <c r="P389" s="438"/>
      <c r="Q389" s="442"/>
      <c r="R389" s="443"/>
      <c r="S389" s="364"/>
      <c r="Z389" s="609" t="s">
        <v>273</v>
      </c>
      <c r="AA389" s="609" t="s">
        <v>2935</v>
      </c>
    </row>
    <row r="390" spans="1:27" ht="18">
      <c r="A390" s="2714"/>
      <c r="B390" s="371">
        <v>108</v>
      </c>
      <c r="C390" s="371" t="s">
        <v>2791</v>
      </c>
      <c r="D390" s="2716">
        <f t="shared" si="29"/>
        <v>0</v>
      </c>
      <c r="E390" s="2721">
        <v>1</v>
      </c>
      <c r="F390" s="293"/>
      <c r="G390" s="2222" t="s">
        <v>2792</v>
      </c>
      <c r="H390" s="309"/>
      <c r="I390" s="422"/>
      <c r="J390" s="388"/>
      <c r="K390" s="439"/>
      <c r="L390" s="437"/>
      <c r="M390" s="438"/>
      <c r="N390" s="439"/>
      <c r="O390" s="437"/>
      <c r="P390" s="438"/>
      <c r="Q390" s="442"/>
      <c r="R390" s="443"/>
      <c r="S390" s="364"/>
      <c r="Z390" s="609" t="s">
        <v>273</v>
      </c>
      <c r="AA390" s="609" t="s">
        <v>2935</v>
      </c>
    </row>
    <row r="391" spans="1:27" ht="18.75" thickBot="1">
      <c r="A391" s="2714"/>
      <c r="B391" s="371"/>
      <c r="C391" s="371"/>
      <c r="D391" s="2716">
        <f t="shared" si="29"/>
        <v>1</v>
      </c>
      <c r="E391" s="2721" t="s">
        <v>2751</v>
      </c>
      <c r="F391" s="293"/>
      <c r="G391" s="2234" t="s">
        <v>2752</v>
      </c>
      <c r="H391" s="2235">
        <f>SUMPRODUCT($E382:$E390,H382:H390)</f>
        <v>20279942.379999999</v>
      </c>
      <c r="I391" s="2235">
        <f>SUMPRODUCT($E382:$E390,I382:I390)</f>
        <v>4797822.0999999996</v>
      </c>
      <c r="J391" s="2244"/>
      <c r="K391" s="439"/>
      <c r="L391" s="437"/>
      <c r="M391" s="440"/>
      <c r="N391" s="439"/>
      <c r="O391" s="437"/>
      <c r="P391" s="440"/>
      <c r="Q391" s="442"/>
      <c r="R391" s="443"/>
      <c r="S391" s="364"/>
      <c r="Z391" s="609" t="s">
        <v>273</v>
      </c>
      <c r="AA391" s="609" t="s">
        <v>2935</v>
      </c>
    </row>
    <row r="392" spans="1:27" ht="18.75" thickBot="1">
      <c r="A392" s="2714"/>
      <c r="B392" s="371"/>
      <c r="C392" s="371" t="s">
        <v>2755</v>
      </c>
      <c r="D392" s="2716"/>
      <c r="F392" s="293"/>
      <c r="G392" s="376"/>
      <c r="H392" s="527" t="s">
        <v>3002</v>
      </c>
      <c r="I392" s="2253" t="s">
        <v>3002</v>
      </c>
      <c r="J392" s="393"/>
      <c r="K392" s="426"/>
      <c r="L392" s="427"/>
      <c r="M392" s="425"/>
      <c r="N392" s="426"/>
      <c r="O392" s="427"/>
      <c r="P392" s="425"/>
      <c r="Q392" s="442"/>
      <c r="R392" s="443"/>
      <c r="S392" s="364"/>
      <c r="Z392" s="609" t="s">
        <v>273</v>
      </c>
      <c r="AA392" s="609" t="s">
        <v>2935</v>
      </c>
    </row>
    <row r="393" spans="1:27" ht="18.75" thickTop="1">
      <c r="A393" s="2714"/>
      <c r="B393" s="371"/>
      <c r="C393" s="371" t="s">
        <v>2565</v>
      </c>
      <c r="D393" s="2716"/>
      <c r="F393" s="293"/>
      <c r="G393" s="1549" t="s">
        <v>5367</v>
      </c>
      <c r="H393" s="1550" t="str">
        <f>G334</f>
        <v>(2.1)应收账款按坏账计提方法分类披露（按简化模型计提）</v>
      </c>
      <c r="I393" s="1552"/>
      <c r="J393" s="1551"/>
      <c r="K393" s="1553" t="s">
        <v>5368</v>
      </c>
      <c r="L393" s="427"/>
      <c r="M393" s="425"/>
      <c r="N393" s="426"/>
      <c r="O393" s="427"/>
      <c r="P393" s="425"/>
      <c r="Q393" s="442"/>
      <c r="R393" s="442"/>
      <c r="S393" s="364"/>
      <c r="Z393" s="609" t="s">
        <v>273</v>
      </c>
      <c r="AA393" s="609" t="s">
        <v>2935</v>
      </c>
    </row>
    <row r="394" spans="1:27" ht="18">
      <c r="A394" s="2714"/>
      <c r="B394" s="371"/>
      <c r="C394" s="371" t="s">
        <v>2565</v>
      </c>
      <c r="D394" s="2716"/>
      <c r="F394" s="293"/>
      <c r="G394" s="604" t="str">
        <f>"注释A:"&amp; G344</f>
        <v>注释A:应收化工业务客户</v>
      </c>
      <c r="H394" s="2252">
        <f ca="1">HYPERLINK("#'"&amp;$G$1&amp;"'!"&amp;ADDRESS(ROW(Notes!H344),COLUMN(Notes!H344),4),H344)</f>
        <v>20279942.379999999</v>
      </c>
      <c r="I394" s="2252">
        <f ca="1">HYPERLINK("#'"&amp;$G$1&amp;"'!"&amp;ADDRESS(ROW(Notes!J344),COLUMN(Notes!J344),4),J344)</f>
        <v>4797822.0999999996</v>
      </c>
      <c r="J394" s="351"/>
      <c r="K394" s="2251" t="str">
        <f>H334</f>
        <v>1122p</v>
      </c>
      <c r="L394" s="427"/>
      <c r="M394" s="425"/>
      <c r="N394" s="426"/>
      <c r="O394" s="427"/>
      <c r="P394" s="425"/>
      <c r="Q394" s="442"/>
      <c r="R394" s="442"/>
      <c r="S394" s="364"/>
      <c r="Z394" s="609" t="s">
        <v>273</v>
      </c>
      <c r="AA394" s="609" t="s">
        <v>2935</v>
      </c>
    </row>
    <row r="395" spans="1:27" ht="18">
      <c r="A395" s="2714"/>
      <c r="B395" s="371"/>
      <c r="C395" s="371" t="s">
        <v>2565</v>
      </c>
      <c r="D395" s="2716"/>
      <c r="F395" s="293"/>
      <c r="G395" s="604" t="str">
        <f>"本注释B:"&amp; G391</f>
        <v>本注释B:合       计</v>
      </c>
      <c r="H395" s="456">
        <f>H391</f>
        <v>20279942.379999999</v>
      </c>
      <c r="I395" s="456">
        <f>I391</f>
        <v>4797822.0999999996</v>
      </c>
      <c r="J395" s="351"/>
      <c r="K395" s="1544" t="s">
        <v>310</v>
      </c>
      <c r="L395" s="427"/>
      <c r="M395" s="425"/>
      <c r="N395" s="426"/>
      <c r="O395" s="427"/>
      <c r="P395" s="425"/>
      <c r="Q395" s="442"/>
      <c r="R395" s="442"/>
      <c r="S395" s="364"/>
      <c r="Z395" s="609" t="s">
        <v>273</v>
      </c>
      <c r="AA395" s="609" t="s">
        <v>2935</v>
      </c>
    </row>
    <row r="396" spans="1:27" ht="18.75" thickBot="1">
      <c r="A396" s="2714"/>
      <c r="B396" s="371"/>
      <c r="C396" s="371" t="s">
        <v>2565</v>
      </c>
      <c r="D396" s="2716"/>
      <c r="F396" s="293"/>
      <c r="G396" s="1554" t="s">
        <v>2757</v>
      </c>
      <c r="H396" s="1531">
        <f ca="1">IF(AND(H394="",H395=""),"",ROUND(H394-H395,2))</f>
        <v>0</v>
      </c>
      <c r="I396" s="1531">
        <f ca="1">IF(AND(I394="",I395=""),"",ROUND(I394-I395,2))</f>
        <v>0</v>
      </c>
      <c r="J396" s="1555"/>
      <c r="K396" s="1556"/>
      <c r="L396" s="427"/>
      <c r="M396" s="425"/>
      <c r="N396" s="426"/>
      <c r="O396" s="427"/>
      <c r="P396" s="425"/>
      <c r="Q396" s="442"/>
      <c r="R396" s="442"/>
      <c r="S396" s="364"/>
      <c r="Z396" s="609" t="s">
        <v>273</v>
      </c>
      <c r="AA396" s="609" t="s">
        <v>2935</v>
      </c>
    </row>
    <row r="397" spans="1:27" ht="18.75" thickTop="1">
      <c r="A397" s="2714"/>
      <c r="B397" s="371"/>
      <c r="C397" s="371" t="s">
        <v>2565</v>
      </c>
      <c r="D397" s="2716"/>
      <c r="F397" s="293"/>
      <c r="G397" s="1545"/>
      <c r="H397" s="459" t="str">
        <f ca="1">IF(OR(H396=0,H396=""),"√","？")</f>
        <v>√</v>
      </c>
      <c r="I397" s="459" t="str">
        <f ca="1">IF(OR(I396=0,I396=""),"√","？")</f>
        <v>√</v>
      </c>
      <c r="J397" s="317"/>
      <c r="K397" s="1547"/>
      <c r="L397" s="427"/>
      <c r="M397" s="425"/>
      <c r="N397" s="426"/>
      <c r="O397" s="427"/>
      <c r="P397" s="425"/>
      <c r="Q397" s="442"/>
      <c r="R397" s="442"/>
      <c r="S397" s="364"/>
      <c r="Z397" s="609" t="s">
        <v>273</v>
      </c>
      <c r="AA397" s="609" t="s">
        <v>2935</v>
      </c>
    </row>
    <row r="398" spans="1:27" ht="18">
      <c r="A398" s="2714"/>
      <c r="B398" s="371"/>
      <c r="C398" s="371" t="s">
        <v>2565</v>
      </c>
      <c r="D398" s="2716"/>
      <c r="F398" s="293"/>
      <c r="G398" s="1559" t="s">
        <v>2759</v>
      </c>
      <c r="H398" s="461"/>
      <c r="I398" s="461"/>
      <c r="J398" s="317"/>
      <c r="K398" s="2257">
        <f ca="1">SUMIF($H$397:$K$397,"&lt;&gt;√",$H$396:$K$396)</f>
        <v>0</v>
      </c>
      <c r="L398" s="2258" t="str">
        <f ca="1">IF(OR(K398=0,K398=""),"√","？")</f>
        <v>√</v>
      </c>
      <c r="M398" s="425"/>
      <c r="N398" s="426"/>
      <c r="O398" s="427"/>
      <c r="P398" s="425"/>
      <c r="Q398" s="442"/>
      <c r="R398" s="442"/>
      <c r="S398" s="364"/>
      <c r="Z398" s="609" t="s">
        <v>273</v>
      </c>
      <c r="AA398" s="609" t="s">
        <v>2935</v>
      </c>
    </row>
    <row r="399" spans="1:27" ht="18">
      <c r="A399" s="2714"/>
      <c r="B399" s="371"/>
      <c r="C399" s="371" t="s">
        <v>2565</v>
      </c>
      <c r="D399" s="2716"/>
      <c r="F399" s="293"/>
      <c r="G399" s="1545"/>
      <c r="H399" s="461"/>
      <c r="I399" s="461"/>
      <c r="J399" s="317"/>
      <c r="K399" s="1547"/>
      <c r="L399" s="427"/>
      <c r="M399" s="425"/>
      <c r="N399" s="426"/>
      <c r="O399" s="427"/>
      <c r="P399" s="425"/>
      <c r="Q399" s="442"/>
      <c r="R399" s="442"/>
      <c r="S399" s="364"/>
      <c r="Z399" s="609" t="s">
        <v>273</v>
      </c>
      <c r="AA399" s="609" t="s">
        <v>2935</v>
      </c>
    </row>
    <row r="400" spans="1:27" ht="36">
      <c r="A400" s="2714" t="s">
        <v>316</v>
      </c>
      <c r="B400" s="371">
        <v>2.23</v>
      </c>
      <c r="C400" s="371"/>
      <c r="D400" s="2716" t="str">
        <f>VLOOKUP($A400,Sheet_NoteList,2,0)</f>
        <v>期末按组合2计提坏账准备的应收账款（简化模型）</v>
      </c>
      <c r="E400" s="2716" t="s">
        <v>2742</v>
      </c>
      <c r="F400" s="293"/>
      <c r="G400" s="372" t="str">
        <f>"("&amp;B400&amp;")"&amp;D400</f>
        <v>(2.23)期末按组合2计提坏账准备的应收账款（简化模型）</v>
      </c>
      <c r="H400" s="1517" t="str">
        <f>$A400</f>
        <v>1122t</v>
      </c>
      <c r="I400" s="343" t="s">
        <v>2743</v>
      </c>
      <c r="J400" s="301" t="s">
        <v>2744</v>
      </c>
      <c r="K400" s="2210">
        <f>H413</f>
        <v>0</v>
      </c>
      <c r="L400" s="349"/>
      <c r="M400" s="301"/>
      <c r="N400" s="391"/>
      <c r="O400" s="349"/>
      <c r="P400" s="301"/>
      <c r="S400" s="364"/>
      <c r="Z400" s="609" t="s">
        <v>273</v>
      </c>
      <c r="AA400" s="609" t="s">
        <v>2935</v>
      </c>
    </row>
    <row r="401" spans="1:27" ht="0.75" customHeight="1">
      <c r="A401" s="2714"/>
      <c r="B401" s="371"/>
      <c r="C401" s="371"/>
      <c r="D401" s="2716"/>
      <c r="F401" s="371"/>
      <c r="G401" s="405" t="s">
        <v>2966</v>
      </c>
      <c r="H401" s="371" t="s">
        <v>6178</v>
      </c>
      <c r="I401" s="371" t="s">
        <v>6179</v>
      </c>
      <c r="J401" s="371" t="s">
        <v>6180</v>
      </c>
      <c r="K401" s="428"/>
      <c r="L401" s="428"/>
      <c r="M401" s="433"/>
      <c r="N401" s="428"/>
      <c r="O401" s="428"/>
      <c r="P401" s="433"/>
      <c r="Q401" s="442"/>
      <c r="R401" s="443"/>
      <c r="S401" s="364"/>
      <c r="Z401" s="609" t="s">
        <v>273</v>
      </c>
      <c r="AA401" s="609" t="s">
        <v>2935</v>
      </c>
    </row>
    <row r="402" spans="1:27" ht="0.75" customHeight="1" thickBot="1">
      <c r="A402" s="2714"/>
      <c r="B402" s="371"/>
      <c r="C402" s="371"/>
      <c r="D402" s="2716"/>
      <c r="F402" s="371"/>
      <c r="G402" s="405"/>
      <c r="H402" s="371" t="s">
        <v>6181</v>
      </c>
      <c r="I402" s="371" t="s">
        <v>6182</v>
      </c>
      <c r="J402" s="371" t="s">
        <v>6183</v>
      </c>
      <c r="K402" s="428"/>
      <c r="L402" s="428"/>
      <c r="M402" s="433"/>
      <c r="N402" s="428"/>
      <c r="O402" s="428"/>
      <c r="P402" s="433"/>
      <c r="Q402" s="442"/>
      <c r="R402" s="443"/>
      <c r="S402" s="364"/>
      <c r="Z402" s="609" t="s">
        <v>273</v>
      </c>
      <c r="AA402" s="609" t="s">
        <v>2935</v>
      </c>
    </row>
    <row r="403" spans="1:27" ht="18" customHeight="1">
      <c r="A403" s="2714"/>
      <c r="B403" s="371"/>
      <c r="C403" s="371"/>
      <c r="D403" s="2716"/>
      <c r="E403" s="2716" t="s">
        <v>2749</v>
      </c>
      <c r="F403" s="293"/>
      <c r="G403" s="3518" t="s">
        <v>5962</v>
      </c>
      <c r="H403" s="3538" t="str">
        <f>$V$2</f>
        <v>2019年12月31日</v>
      </c>
      <c r="I403" s="3460"/>
      <c r="J403" s="3456"/>
      <c r="K403" s="355" t="s">
        <v>5949</v>
      </c>
      <c r="L403" s="428"/>
      <c r="M403" s="433"/>
      <c r="N403" s="428"/>
      <c r="O403" s="428"/>
      <c r="P403" s="433"/>
      <c r="Q403" s="442"/>
      <c r="R403" s="443"/>
      <c r="S403" s="364"/>
      <c r="Z403" s="609" t="s">
        <v>273</v>
      </c>
      <c r="AA403" s="609" t="s">
        <v>2935</v>
      </c>
    </row>
    <row r="404" spans="1:27" ht="18">
      <c r="A404" s="2714"/>
      <c r="B404" s="371"/>
      <c r="C404" s="371"/>
      <c r="D404" s="2716"/>
      <c r="E404" s="2716" t="s">
        <v>2749</v>
      </c>
      <c r="F404" s="293"/>
      <c r="G404" s="3519"/>
      <c r="H404" s="2207" t="s">
        <v>2861</v>
      </c>
      <c r="I404" s="2207" t="s">
        <v>2862</v>
      </c>
      <c r="J404" s="2208" t="s">
        <v>2889</v>
      </c>
      <c r="K404" s="355" t="s">
        <v>6176</v>
      </c>
      <c r="L404" s="434"/>
      <c r="M404" s="435"/>
      <c r="N404" s="434"/>
      <c r="O404" s="434"/>
      <c r="P404" s="435"/>
      <c r="Q404" s="442"/>
      <c r="R404" s="443"/>
      <c r="S404" s="364"/>
      <c r="Z404" s="609" t="s">
        <v>273</v>
      </c>
      <c r="AA404" s="609" t="s">
        <v>2935</v>
      </c>
    </row>
    <row r="405" spans="1:27" ht="18">
      <c r="A405" s="2714"/>
      <c r="B405" s="371">
        <v>101</v>
      </c>
      <c r="C405" s="371" t="s">
        <v>2791</v>
      </c>
      <c r="D405" s="2716">
        <f t="shared" ref="D405:D413" si="32">IF(OR(G405="*",G405="",G405=0),0,COUNTIF($G$405:$G$413,G405))</f>
        <v>0</v>
      </c>
      <c r="E405" s="2721">
        <v>1</v>
      </c>
      <c r="F405" s="293"/>
      <c r="G405" s="2216" t="s">
        <v>2792</v>
      </c>
      <c r="H405" s="309"/>
      <c r="I405" s="422"/>
      <c r="J405" s="388"/>
      <c r="K405" s="439"/>
      <c r="L405" s="437"/>
      <c r="M405" s="438"/>
      <c r="N405" s="439"/>
      <c r="O405" s="437"/>
      <c r="P405" s="438"/>
      <c r="Q405" s="442"/>
      <c r="R405" s="443"/>
      <c r="S405" s="364"/>
      <c r="Z405" s="609" t="s">
        <v>273</v>
      </c>
      <c r="AA405" s="609" t="s">
        <v>2935</v>
      </c>
    </row>
    <row r="406" spans="1:27" ht="18">
      <c r="A406" s="2714"/>
      <c r="B406" s="371">
        <v>102</v>
      </c>
      <c r="C406" s="371" t="s">
        <v>2791</v>
      </c>
      <c r="D406" s="2716">
        <f t="shared" si="32"/>
        <v>0</v>
      </c>
      <c r="E406" s="2721">
        <v>1</v>
      </c>
      <c r="F406" s="293"/>
      <c r="G406" s="2216" t="s">
        <v>2792</v>
      </c>
      <c r="H406" s="309"/>
      <c r="I406" s="422"/>
      <c r="J406" s="388"/>
      <c r="K406" s="439"/>
      <c r="L406" s="437"/>
      <c r="M406" s="438"/>
      <c r="N406" s="439"/>
      <c r="O406" s="437"/>
      <c r="P406" s="438"/>
      <c r="Q406" s="442"/>
      <c r="R406" s="443"/>
      <c r="S406" s="364"/>
      <c r="Z406" s="609" t="s">
        <v>273</v>
      </c>
      <c r="AA406" s="609" t="s">
        <v>2935</v>
      </c>
    </row>
    <row r="407" spans="1:27" ht="18">
      <c r="A407" s="2714"/>
      <c r="B407" s="371">
        <v>103</v>
      </c>
      <c r="C407" s="371" t="s">
        <v>2791</v>
      </c>
      <c r="D407" s="2716">
        <f t="shared" si="32"/>
        <v>0</v>
      </c>
      <c r="E407" s="2721">
        <v>1</v>
      </c>
      <c r="F407" s="293"/>
      <c r="G407" s="2216" t="s">
        <v>2792</v>
      </c>
      <c r="H407" s="309"/>
      <c r="I407" s="422"/>
      <c r="J407" s="388"/>
      <c r="K407" s="439"/>
      <c r="L407" s="437"/>
      <c r="M407" s="438"/>
      <c r="N407" s="439"/>
      <c r="O407" s="437"/>
      <c r="P407" s="438"/>
      <c r="Q407" s="442"/>
      <c r="R407" s="443"/>
      <c r="S407" s="364"/>
      <c r="Z407" s="609" t="s">
        <v>273</v>
      </c>
      <c r="AA407" s="609" t="s">
        <v>2935</v>
      </c>
    </row>
    <row r="408" spans="1:27" ht="18">
      <c r="A408" s="2714"/>
      <c r="B408" s="371">
        <v>104</v>
      </c>
      <c r="C408" s="371" t="s">
        <v>2791</v>
      </c>
      <c r="D408" s="2716">
        <f t="shared" si="32"/>
        <v>0</v>
      </c>
      <c r="E408" s="2721">
        <v>1</v>
      </c>
      <c r="F408" s="293"/>
      <c r="G408" s="2216" t="s">
        <v>2792</v>
      </c>
      <c r="H408" s="309"/>
      <c r="I408" s="422"/>
      <c r="J408" s="388"/>
      <c r="K408" s="439"/>
      <c r="L408" s="437"/>
      <c r="M408" s="438"/>
      <c r="N408" s="439"/>
      <c r="O408" s="437"/>
      <c r="P408" s="438"/>
      <c r="Q408" s="442"/>
      <c r="R408" s="443"/>
      <c r="S408" s="364"/>
      <c r="Z408" s="609" t="s">
        <v>273</v>
      </c>
      <c r="AA408" s="609" t="s">
        <v>2935</v>
      </c>
    </row>
    <row r="409" spans="1:27" ht="18">
      <c r="A409" s="2714"/>
      <c r="B409" s="371">
        <v>105</v>
      </c>
      <c r="C409" s="371" t="s">
        <v>2791</v>
      </c>
      <c r="D409" s="2716">
        <f t="shared" si="32"/>
        <v>0</v>
      </c>
      <c r="E409" s="2721">
        <v>1</v>
      </c>
      <c r="F409" s="293"/>
      <c r="G409" s="2216" t="s">
        <v>2792</v>
      </c>
      <c r="H409" s="309"/>
      <c r="I409" s="422"/>
      <c r="J409" s="388"/>
      <c r="K409" s="439"/>
      <c r="L409" s="437"/>
      <c r="M409" s="438"/>
      <c r="N409" s="439"/>
      <c r="O409" s="437"/>
      <c r="P409" s="438"/>
      <c r="Q409" s="442"/>
      <c r="R409" s="443"/>
      <c r="S409" s="364"/>
      <c r="Z409" s="609" t="s">
        <v>273</v>
      </c>
      <c r="AA409" s="609" t="s">
        <v>2935</v>
      </c>
    </row>
    <row r="410" spans="1:27" ht="18">
      <c r="A410" s="2714"/>
      <c r="B410" s="371">
        <v>106</v>
      </c>
      <c r="C410" s="371" t="s">
        <v>2791</v>
      </c>
      <c r="D410" s="2716">
        <f t="shared" si="32"/>
        <v>0</v>
      </c>
      <c r="E410" s="2721">
        <v>1</v>
      </c>
      <c r="F410" s="293"/>
      <c r="G410" s="2216" t="s">
        <v>2792</v>
      </c>
      <c r="H410" s="309"/>
      <c r="I410" s="422"/>
      <c r="J410" s="388"/>
      <c r="K410" s="439"/>
      <c r="L410" s="437"/>
      <c r="M410" s="438"/>
      <c r="N410" s="439"/>
      <c r="O410" s="437"/>
      <c r="P410" s="438"/>
      <c r="Q410" s="442"/>
      <c r="R410" s="443"/>
      <c r="S410" s="364"/>
      <c r="Z410" s="609" t="s">
        <v>273</v>
      </c>
      <c r="AA410" s="609" t="s">
        <v>2935</v>
      </c>
    </row>
    <row r="411" spans="1:27" ht="18">
      <c r="A411" s="2714"/>
      <c r="B411" s="371">
        <v>107</v>
      </c>
      <c r="C411" s="371" t="s">
        <v>2791</v>
      </c>
      <c r="D411" s="2716">
        <f t="shared" si="32"/>
        <v>0</v>
      </c>
      <c r="E411" s="2721">
        <v>1</v>
      </c>
      <c r="F411" s="293"/>
      <c r="G411" s="2216" t="s">
        <v>2792</v>
      </c>
      <c r="H411" s="309"/>
      <c r="I411" s="422"/>
      <c r="J411" s="388"/>
      <c r="K411" s="439"/>
      <c r="L411" s="437"/>
      <c r="M411" s="438"/>
      <c r="N411" s="439"/>
      <c r="O411" s="437"/>
      <c r="P411" s="438"/>
      <c r="Q411" s="442"/>
      <c r="R411" s="443"/>
      <c r="S411" s="364"/>
      <c r="Z411" s="609" t="s">
        <v>273</v>
      </c>
      <c r="AA411" s="609" t="s">
        <v>2935</v>
      </c>
    </row>
    <row r="412" spans="1:27" ht="18">
      <c r="A412" s="2714"/>
      <c r="B412" s="371">
        <v>108</v>
      </c>
      <c r="C412" s="371" t="s">
        <v>2791</v>
      </c>
      <c r="D412" s="2716">
        <f t="shared" si="32"/>
        <v>0</v>
      </c>
      <c r="E412" s="2721">
        <v>1</v>
      </c>
      <c r="F412" s="293"/>
      <c r="G412" s="2216" t="s">
        <v>2792</v>
      </c>
      <c r="H412" s="309"/>
      <c r="I412" s="422"/>
      <c r="J412" s="388"/>
      <c r="K412" s="439"/>
      <c r="L412" s="437"/>
      <c r="M412" s="438"/>
      <c r="N412" s="439"/>
      <c r="O412" s="437"/>
      <c r="P412" s="438"/>
      <c r="Q412" s="442"/>
      <c r="R412" s="443"/>
      <c r="S412" s="364"/>
      <c r="Z412" s="609" t="s">
        <v>273</v>
      </c>
      <c r="AA412" s="609" t="s">
        <v>2935</v>
      </c>
    </row>
    <row r="413" spans="1:27" ht="18.75" thickBot="1">
      <c r="A413" s="2714"/>
      <c r="B413" s="371"/>
      <c r="C413" s="371"/>
      <c r="D413" s="2716">
        <f t="shared" si="32"/>
        <v>1</v>
      </c>
      <c r="E413" s="2721" t="s">
        <v>2751</v>
      </c>
      <c r="F413" s="293"/>
      <c r="G413" s="1529" t="s">
        <v>2752</v>
      </c>
      <c r="H413" s="1527">
        <f>SUMPRODUCT($E404:$E412,H404:H412)</f>
        <v>0</v>
      </c>
      <c r="I413" s="1527">
        <f>SUMPRODUCT($E404:$E412,I404:I412)</f>
        <v>0</v>
      </c>
      <c r="J413" s="2214"/>
      <c r="K413" s="439"/>
      <c r="L413" s="437"/>
      <c r="M413" s="440"/>
      <c r="N413" s="439"/>
      <c r="O413" s="437"/>
      <c r="P413" s="440"/>
      <c r="Q413" s="442"/>
      <c r="R413" s="443"/>
      <c r="S413" s="364"/>
      <c r="Z413" s="609" t="s">
        <v>273</v>
      </c>
      <c r="AA413" s="609" t="s">
        <v>2935</v>
      </c>
    </row>
    <row r="414" spans="1:27" ht="18">
      <c r="A414" s="2714"/>
      <c r="B414" s="371"/>
      <c r="C414" s="371" t="s">
        <v>2755</v>
      </c>
      <c r="D414" s="2716"/>
      <c r="F414" s="293"/>
      <c r="G414" s="376"/>
      <c r="H414" s="315"/>
      <c r="I414" s="396"/>
      <c r="J414" s="393"/>
      <c r="K414" s="426"/>
      <c r="L414" s="427"/>
      <c r="M414" s="425"/>
      <c r="N414" s="426"/>
      <c r="O414" s="427"/>
      <c r="P414" s="425"/>
      <c r="Q414" s="442"/>
      <c r="R414" s="443"/>
      <c r="S414" s="364"/>
      <c r="Z414" s="609" t="s">
        <v>273</v>
      </c>
      <c r="AA414" s="609" t="s">
        <v>2935</v>
      </c>
    </row>
    <row r="415" spans="1:27" ht="36">
      <c r="A415" s="2714">
        <v>112202</v>
      </c>
      <c r="B415" s="371">
        <v>2.2400000000000002</v>
      </c>
      <c r="C415" s="371"/>
      <c r="D415" s="2716" t="str">
        <f>VLOOKUP($A415,Sheet_NoteList,2,0)</f>
        <v>期末按组合3计提坏账准备的应收账款（简化模型）</v>
      </c>
      <c r="E415" s="2716" t="s">
        <v>6531</v>
      </c>
      <c r="F415" s="293"/>
      <c r="G415" s="372" t="str">
        <f>"("&amp;B415&amp;")"&amp;D415</f>
        <v>(2.24)期末按组合3计提坏账准备的应收账款（简化模型）</v>
      </c>
      <c r="H415" s="2315">
        <f>$A415</f>
        <v>112202</v>
      </c>
      <c r="I415" s="343" t="s">
        <v>5547</v>
      </c>
      <c r="J415" s="301" t="s">
        <v>5548</v>
      </c>
      <c r="K415" s="2210">
        <f>H428</f>
        <v>0</v>
      </c>
      <c r="L415" s="349"/>
      <c r="M415" s="301"/>
      <c r="N415" s="391"/>
      <c r="O415" s="349"/>
      <c r="P415" s="301"/>
      <c r="S415" s="364"/>
      <c r="Z415" s="609" t="s">
        <v>273</v>
      </c>
      <c r="AA415" s="609" t="s">
        <v>2935</v>
      </c>
    </row>
    <row r="416" spans="1:27" ht="0.75" customHeight="1">
      <c r="A416" s="2714"/>
      <c r="B416" s="371"/>
      <c r="C416" s="371"/>
      <c r="D416" s="2716"/>
      <c r="F416" s="371"/>
      <c r="G416" s="405" t="s">
        <v>5901</v>
      </c>
      <c r="H416" s="371" t="s">
        <v>5902</v>
      </c>
      <c r="I416" s="371" t="s">
        <v>5903</v>
      </c>
      <c r="J416" s="371" t="s">
        <v>5904</v>
      </c>
      <c r="K416" s="2210"/>
      <c r="L416" s="2211"/>
      <c r="M416" s="2212"/>
      <c r="N416" s="2210"/>
      <c r="O416" s="2211"/>
      <c r="P416" s="2212"/>
      <c r="Q416" s="442"/>
      <c r="R416" s="442"/>
      <c r="S416" s="364"/>
      <c r="Z416" s="609" t="s">
        <v>273</v>
      </c>
      <c r="AA416" s="609" t="s">
        <v>2935</v>
      </c>
    </row>
    <row r="417" spans="1:27" ht="0.75" customHeight="1" thickBot="1">
      <c r="A417" s="2714"/>
      <c r="B417" s="371"/>
      <c r="C417" s="371"/>
      <c r="D417" s="2716"/>
      <c r="F417" s="371"/>
      <c r="G417" s="405"/>
      <c r="H417" s="1617" t="s">
        <v>5560</v>
      </c>
      <c r="I417" s="371" t="s">
        <v>5550</v>
      </c>
      <c r="J417" s="371" t="s">
        <v>5551</v>
      </c>
      <c r="K417" s="2210"/>
      <c r="L417" s="2211"/>
      <c r="M417" s="2212"/>
      <c r="N417" s="2210"/>
      <c r="O417" s="2211"/>
      <c r="P417" s="2212"/>
      <c r="Q417" s="442"/>
      <c r="R417" s="442"/>
      <c r="S417" s="364"/>
      <c r="Z417" s="609" t="s">
        <v>273</v>
      </c>
      <c r="AA417" s="609" t="s">
        <v>2935</v>
      </c>
    </row>
    <row r="418" spans="1:27" ht="18" customHeight="1">
      <c r="A418" s="2714"/>
      <c r="B418" s="371"/>
      <c r="C418" s="371"/>
      <c r="D418" s="2716"/>
      <c r="E418" s="2716" t="s">
        <v>2749</v>
      </c>
      <c r="F418" s="293"/>
      <c r="G418" s="3518" t="s">
        <v>5948</v>
      </c>
      <c r="H418" s="3538" t="str">
        <f>$V$2</f>
        <v>2019年12月31日</v>
      </c>
      <c r="I418" s="3460"/>
      <c r="J418" s="3456"/>
      <c r="K418" s="355" t="s">
        <v>5949</v>
      </c>
      <c r="L418" s="2211"/>
      <c r="M418" s="2212"/>
      <c r="N418" s="2210"/>
      <c r="O418" s="2211"/>
      <c r="P418" s="2212"/>
      <c r="Q418" s="442"/>
      <c r="R418" s="442"/>
      <c r="S418" s="364"/>
      <c r="Z418" s="609" t="s">
        <v>273</v>
      </c>
      <c r="AA418" s="609" t="s">
        <v>2935</v>
      </c>
    </row>
    <row r="419" spans="1:27" ht="18">
      <c r="A419" s="2714"/>
      <c r="B419" s="371"/>
      <c r="C419" s="371"/>
      <c r="D419" s="2716"/>
      <c r="E419" s="2716" t="s">
        <v>2749</v>
      </c>
      <c r="F419" s="293"/>
      <c r="G419" s="3519"/>
      <c r="H419" s="2207" t="s">
        <v>2861</v>
      </c>
      <c r="I419" s="2207" t="s">
        <v>2862</v>
      </c>
      <c r="J419" s="2208" t="s">
        <v>2889</v>
      </c>
      <c r="K419" s="355" t="s">
        <v>6176</v>
      </c>
      <c r="L419" s="2211"/>
      <c r="M419" s="2212"/>
      <c r="N419" s="2210"/>
      <c r="O419" s="2211"/>
      <c r="P419" s="2212"/>
      <c r="Q419" s="442"/>
      <c r="R419" s="442"/>
      <c r="S419" s="364"/>
      <c r="Z419" s="609" t="s">
        <v>273</v>
      </c>
      <c r="AA419" s="609" t="s">
        <v>2935</v>
      </c>
    </row>
    <row r="420" spans="1:27" ht="18">
      <c r="A420" s="2714"/>
      <c r="B420" s="371">
        <v>101</v>
      </c>
      <c r="C420" s="371" t="s">
        <v>2791</v>
      </c>
      <c r="D420" s="2716">
        <f t="shared" ref="D420:D428" si="33">IF(OR(G420="*",G420="",G420=0),0,COUNTIF($G$420:$G$428,G420))</f>
        <v>0</v>
      </c>
      <c r="E420" s="2721">
        <v>1</v>
      </c>
      <c r="F420" s="293"/>
      <c r="G420" s="2216" t="s">
        <v>2792</v>
      </c>
      <c r="H420" s="1577"/>
      <c r="I420" s="422"/>
      <c r="J420" s="388"/>
      <c r="K420" s="2210"/>
      <c r="L420" s="2211"/>
      <c r="M420" s="2212"/>
      <c r="N420" s="2210"/>
      <c r="O420" s="2211"/>
      <c r="P420" s="2212"/>
      <c r="Q420" s="442"/>
      <c r="R420" s="442"/>
      <c r="S420" s="364"/>
      <c r="Z420" s="609" t="s">
        <v>273</v>
      </c>
      <c r="AA420" s="609" t="s">
        <v>2935</v>
      </c>
    </row>
    <row r="421" spans="1:27" ht="18">
      <c r="A421" s="2714"/>
      <c r="B421" s="371">
        <v>102</v>
      </c>
      <c r="C421" s="371" t="s">
        <v>2791</v>
      </c>
      <c r="D421" s="2716">
        <f t="shared" si="33"/>
        <v>0</v>
      </c>
      <c r="E421" s="2721">
        <v>1</v>
      </c>
      <c r="F421" s="293"/>
      <c r="G421" s="2216" t="s">
        <v>2792</v>
      </c>
      <c r="H421" s="1577"/>
      <c r="I421" s="422"/>
      <c r="J421" s="388"/>
      <c r="K421" s="2210"/>
      <c r="L421" s="2211"/>
      <c r="M421" s="2212"/>
      <c r="N421" s="2210"/>
      <c r="O421" s="2211"/>
      <c r="P421" s="2212"/>
      <c r="Q421" s="442"/>
      <c r="R421" s="442"/>
      <c r="S421" s="364"/>
      <c r="Z421" s="609" t="s">
        <v>273</v>
      </c>
      <c r="AA421" s="609" t="s">
        <v>2935</v>
      </c>
    </row>
    <row r="422" spans="1:27" ht="18">
      <c r="A422" s="2714"/>
      <c r="B422" s="371">
        <v>103</v>
      </c>
      <c r="C422" s="371" t="s">
        <v>2791</v>
      </c>
      <c r="D422" s="2716">
        <f t="shared" si="33"/>
        <v>0</v>
      </c>
      <c r="E422" s="2721">
        <v>1</v>
      </c>
      <c r="F422" s="293"/>
      <c r="G422" s="2216" t="s">
        <v>2792</v>
      </c>
      <c r="H422" s="1577"/>
      <c r="I422" s="422"/>
      <c r="J422" s="388"/>
      <c r="K422" s="2210"/>
      <c r="L422" s="2211"/>
      <c r="M422" s="2212"/>
      <c r="N422" s="2210"/>
      <c r="O422" s="2211"/>
      <c r="P422" s="2212"/>
      <c r="Q422" s="442"/>
      <c r="R422" s="442"/>
      <c r="S422" s="364"/>
      <c r="Z422" s="609" t="s">
        <v>273</v>
      </c>
      <c r="AA422" s="609" t="s">
        <v>2935</v>
      </c>
    </row>
    <row r="423" spans="1:27" ht="18">
      <c r="A423" s="2714"/>
      <c r="B423" s="371">
        <v>104</v>
      </c>
      <c r="C423" s="371" t="s">
        <v>2791</v>
      </c>
      <c r="D423" s="2716">
        <f t="shared" si="33"/>
        <v>0</v>
      </c>
      <c r="E423" s="2721">
        <v>1</v>
      </c>
      <c r="F423" s="293"/>
      <c r="G423" s="2216" t="s">
        <v>2792</v>
      </c>
      <c r="H423" s="1577"/>
      <c r="I423" s="422"/>
      <c r="J423" s="388"/>
      <c r="K423" s="2210"/>
      <c r="L423" s="2211"/>
      <c r="M423" s="2212"/>
      <c r="N423" s="2210"/>
      <c r="O423" s="2211"/>
      <c r="P423" s="2212"/>
      <c r="Q423" s="442"/>
      <c r="R423" s="442"/>
      <c r="S423" s="364"/>
      <c r="Z423" s="609" t="s">
        <v>273</v>
      </c>
      <c r="AA423" s="609" t="s">
        <v>2935</v>
      </c>
    </row>
    <row r="424" spans="1:27" ht="18">
      <c r="A424" s="2714"/>
      <c r="B424" s="371">
        <v>105</v>
      </c>
      <c r="C424" s="371" t="s">
        <v>2791</v>
      </c>
      <c r="D424" s="2716">
        <f t="shared" si="33"/>
        <v>0</v>
      </c>
      <c r="E424" s="2721">
        <v>1</v>
      </c>
      <c r="F424" s="293"/>
      <c r="G424" s="2216" t="s">
        <v>2792</v>
      </c>
      <c r="H424" s="1577"/>
      <c r="I424" s="422"/>
      <c r="J424" s="388"/>
      <c r="K424" s="2210"/>
      <c r="L424" s="2211"/>
      <c r="M424" s="2212"/>
      <c r="N424" s="2210"/>
      <c r="O424" s="2211"/>
      <c r="P424" s="2212"/>
      <c r="Q424" s="442"/>
      <c r="R424" s="442"/>
      <c r="S424" s="364"/>
      <c r="Z424" s="609" t="s">
        <v>273</v>
      </c>
      <c r="AA424" s="609" t="s">
        <v>2935</v>
      </c>
    </row>
    <row r="425" spans="1:27" ht="18">
      <c r="A425" s="2714"/>
      <c r="B425" s="371">
        <v>106</v>
      </c>
      <c r="C425" s="371" t="s">
        <v>2791</v>
      </c>
      <c r="D425" s="2716">
        <f t="shared" si="33"/>
        <v>0</v>
      </c>
      <c r="E425" s="2721">
        <v>1</v>
      </c>
      <c r="F425" s="293"/>
      <c r="G425" s="2216" t="s">
        <v>2792</v>
      </c>
      <c r="H425" s="1577"/>
      <c r="I425" s="422"/>
      <c r="J425" s="388"/>
      <c r="K425" s="2210"/>
      <c r="L425" s="2211"/>
      <c r="M425" s="2212"/>
      <c r="N425" s="2210"/>
      <c r="O425" s="2211"/>
      <c r="P425" s="2212"/>
      <c r="Q425" s="442"/>
      <c r="R425" s="442"/>
      <c r="S425" s="364"/>
      <c r="Z425" s="609" t="s">
        <v>273</v>
      </c>
      <c r="AA425" s="609" t="s">
        <v>2935</v>
      </c>
    </row>
    <row r="426" spans="1:27" ht="18">
      <c r="A426" s="2714"/>
      <c r="B426" s="371">
        <v>107</v>
      </c>
      <c r="C426" s="371" t="s">
        <v>2791</v>
      </c>
      <c r="D426" s="2716">
        <f t="shared" si="33"/>
        <v>0</v>
      </c>
      <c r="E426" s="2721">
        <v>1</v>
      </c>
      <c r="F426" s="293"/>
      <c r="G426" s="2216" t="s">
        <v>2792</v>
      </c>
      <c r="H426" s="1577"/>
      <c r="I426" s="422"/>
      <c r="J426" s="388"/>
      <c r="K426" s="2210"/>
      <c r="L426" s="2211"/>
      <c r="M426" s="2212"/>
      <c r="N426" s="2210"/>
      <c r="O426" s="2211"/>
      <c r="P426" s="2212"/>
      <c r="Q426" s="442"/>
      <c r="R426" s="442"/>
      <c r="S426" s="364"/>
      <c r="Z426" s="609" t="s">
        <v>273</v>
      </c>
      <c r="AA426" s="609" t="s">
        <v>2935</v>
      </c>
    </row>
    <row r="427" spans="1:27" ht="18">
      <c r="A427" s="2714"/>
      <c r="B427" s="371">
        <v>108</v>
      </c>
      <c r="C427" s="371" t="s">
        <v>2791</v>
      </c>
      <c r="D427" s="2716">
        <f t="shared" si="33"/>
        <v>0</v>
      </c>
      <c r="E427" s="2721">
        <v>1</v>
      </c>
      <c r="F427" s="293"/>
      <c r="G427" s="2216" t="s">
        <v>2792</v>
      </c>
      <c r="H427" s="1577"/>
      <c r="I427" s="422"/>
      <c r="J427" s="388"/>
      <c r="K427" s="2210"/>
      <c r="L427" s="2211"/>
      <c r="M427" s="2212"/>
      <c r="N427" s="2210"/>
      <c r="O427" s="2211"/>
      <c r="P427" s="2212"/>
      <c r="Q427" s="442"/>
      <c r="R427" s="442"/>
      <c r="S427" s="364"/>
      <c r="Z427" s="609" t="s">
        <v>273</v>
      </c>
      <c r="AA427" s="609" t="s">
        <v>2935</v>
      </c>
    </row>
    <row r="428" spans="1:27" ht="18.75" thickBot="1">
      <c r="A428" s="2714"/>
      <c r="B428" s="371"/>
      <c r="C428" s="371"/>
      <c r="D428" s="2716">
        <f t="shared" si="33"/>
        <v>1</v>
      </c>
      <c r="E428" s="2721" t="s">
        <v>2751</v>
      </c>
      <c r="F428" s="293"/>
      <c r="G428" s="1529" t="s">
        <v>2752</v>
      </c>
      <c r="H428" s="1527">
        <f>SUMPRODUCT($E419:$E427,H419:H427)</f>
        <v>0</v>
      </c>
      <c r="I428" s="1527">
        <f>SUMPRODUCT($E419:$E427,I419:I427)</f>
        <v>0</v>
      </c>
      <c r="J428" s="2209"/>
      <c r="K428" s="2210"/>
      <c r="L428" s="2211"/>
      <c r="M428" s="2212"/>
      <c r="N428" s="2210"/>
      <c r="O428" s="2211"/>
      <c r="P428" s="2212"/>
      <c r="Q428" s="442"/>
      <c r="R428" s="442"/>
      <c r="S428" s="364"/>
      <c r="Z428" s="609" t="s">
        <v>273</v>
      </c>
      <c r="AA428" s="609" t="s">
        <v>2935</v>
      </c>
    </row>
    <row r="429" spans="1:27" ht="18">
      <c r="A429" s="2714"/>
      <c r="B429" s="371"/>
      <c r="C429" s="371" t="s">
        <v>2755</v>
      </c>
      <c r="D429" s="2716"/>
      <c r="F429" s="293"/>
      <c r="G429" s="376"/>
      <c r="H429" s="1576"/>
      <c r="I429" s="396"/>
      <c r="J429" s="393"/>
      <c r="K429" s="2210"/>
      <c r="L429" s="2211"/>
      <c r="M429" s="2212"/>
      <c r="N429" s="2210"/>
      <c r="O429" s="2211"/>
      <c r="P429" s="2212"/>
      <c r="Q429" s="442"/>
      <c r="R429" s="442"/>
      <c r="S429" s="364"/>
      <c r="Z429" s="609" t="s">
        <v>273</v>
      </c>
      <c r="AA429" s="609" t="s">
        <v>2935</v>
      </c>
    </row>
    <row r="430" spans="1:27" ht="36">
      <c r="A430" s="2714" t="s">
        <v>292</v>
      </c>
      <c r="B430" s="371">
        <v>2.2000000000000002</v>
      </c>
      <c r="C430" s="371"/>
      <c r="D430" s="2716" t="str">
        <f>VLOOKUP($A430,Sheet_NoteList,2,0)</f>
        <v>应收账款按坏账计提方法分类披露（按已发生损失模型计提）</v>
      </c>
      <c r="E430" s="2716" t="s">
        <v>2742</v>
      </c>
      <c r="F430" s="293"/>
      <c r="G430" s="372" t="str">
        <f>"("&amp;B430&amp;")"&amp;D430</f>
        <v>(2.2)应收账款按坏账计提方法分类披露（按已发生损失模型计提）</v>
      </c>
      <c r="H430" s="1517" t="str">
        <f>$A430</f>
        <v>1122q</v>
      </c>
      <c r="I430" s="343" t="s">
        <v>2743</v>
      </c>
      <c r="J430" s="301"/>
      <c r="K430" s="391"/>
      <c r="L430" s="349"/>
      <c r="M430" s="301" t="s">
        <v>2745</v>
      </c>
      <c r="N430" s="2210">
        <f>L439</f>
        <v>15914214.57</v>
      </c>
      <c r="O430" s="349" t="str">
        <f>IF($I430="适用",IF(ROUND(N$316-N430,2)=0,"F/S",ROUND(N$316-N430,2)),"#N/A")</f>
        <v>F/S</v>
      </c>
      <c r="P430" s="301"/>
      <c r="S430" s="364"/>
      <c r="Z430" s="609" t="s">
        <v>273</v>
      </c>
      <c r="AA430" s="609" t="s">
        <v>2935</v>
      </c>
    </row>
    <row r="431" spans="1:27" ht="0.75" customHeight="1">
      <c r="A431" s="2714"/>
      <c r="B431" s="371"/>
      <c r="C431" s="371"/>
      <c r="D431" s="2716"/>
      <c r="E431" s="586"/>
      <c r="F431" s="586"/>
      <c r="G431" s="2224" t="s">
        <v>2952</v>
      </c>
      <c r="H431" s="371" t="s">
        <v>5390</v>
      </c>
      <c r="I431" s="547" t="s">
        <v>5391</v>
      </c>
      <c r="J431" s="371" t="s">
        <v>5392</v>
      </c>
      <c r="K431" s="547" t="s">
        <v>5393</v>
      </c>
      <c r="L431" s="371" t="s">
        <v>5394</v>
      </c>
      <c r="M431" s="433"/>
      <c r="N431" s="428"/>
      <c r="O431" s="428"/>
      <c r="P431" s="433"/>
      <c r="Q431" s="442"/>
      <c r="R431" s="443"/>
      <c r="S431" s="364"/>
      <c r="Z431" s="609" t="s">
        <v>273</v>
      </c>
      <c r="AA431" s="609" t="s">
        <v>2935</v>
      </c>
    </row>
    <row r="432" spans="1:27" ht="0.75" customHeight="1" thickBot="1">
      <c r="A432" s="2714"/>
      <c r="B432" s="371"/>
      <c r="C432" s="371"/>
      <c r="D432" s="2716"/>
      <c r="E432" s="586"/>
      <c r="F432" s="586"/>
      <c r="G432" s="2224"/>
      <c r="H432" s="371" t="s">
        <v>5395</v>
      </c>
      <c r="I432" s="371" t="s">
        <v>5396</v>
      </c>
      <c r="J432" s="371" t="s">
        <v>5397</v>
      </c>
      <c r="K432" s="547" t="s">
        <v>5398</v>
      </c>
      <c r="L432" s="547" t="s">
        <v>5399</v>
      </c>
      <c r="M432" s="433"/>
      <c r="N432" s="428"/>
      <c r="O432" s="428"/>
      <c r="P432" s="433"/>
      <c r="Q432" s="442"/>
      <c r="R432" s="443"/>
      <c r="S432" s="364"/>
      <c r="Z432" s="609" t="s">
        <v>273</v>
      </c>
      <c r="AA432" s="609" t="s">
        <v>2935</v>
      </c>
    </row>
    <row r="433" spans="1:29" ht="18" customHeight="1">
      <c r="A433" s="2714"/>
      <c r="B433" s="371"/>
      <c r="C433" s="371"/>
      <c r="D433" s="2716"/>
      <c r="E433" s="586" t="s">
        <v>2749</v>
      </c>
      <c r="F433" s="414"/>
      <c r="G433" s="3472" t="s">
        <v>5135</v>
      </c>
      <c r="H433" s="3533" t="str">
        <f>$V$3</f>
        <v>2018年12月31日</v>
      </c>
      <c r="I433" s="3533"/>
      <c r="J433" s="3533"/>
      <c r="K433" s="3533"/>
      <c r="L433" s="3418"/>
      <c r="M433" s="355" t="s">
        <v>5270</v>
      </c>
      <c r="N433" s="428"/>
      <c r="O433" s="428"/>
      <c r="P433" s="433"/>
      <c r="Q433" s="442"/>
      <c r="R433" s="443"/>
      <c r="S433" s="364"/>
      <c r="Z433" s="609" t="s">
        <v>273</v>
      </c>
      <c r="AA433" s="609" t="s">
        <v>2935</v>
      </c>
    </row>
    <row r="434" spans="1:29" ht="18">
      <c r="A434" s="2714"/>
      <c r="B434" s="371"/>
      <c r="C434" s="371"/>
      <c r="D434" s="2716"/>
      <c r="E434" s="586" t="s">
        <v>2749</v>
      </c>
      <c r="F434" s="414"/>
      <c r="G434" s="3473"/>
      <c r="H434" s="2237" t="s">
        <v>5130</v>
      </c>
      <c r="I434" s="2237" t="s">
        <v>2888</v>
      </c>
      <c r="J434" s="2237" t="s">
        <v>5131</v>
      </c>
      <c r="K434" s="2239" t="s">
        <v>2889</v>
      </c>
      <c r="L434" s="2240" t="s">
        <v>5129</v>
      </c>
      <c r="M434" s="435"/>
      <c r="N434" s="434"/>
      <c r="O434" s="434"/>
      <c r="P434" s="435"/>
      <c r="Q434" s="442"/>
      <c r="R434" s="443"/>
      <c r="S434" s="364"/>
      <c r="Z434" s="609" t="s">
        <v>273</v>
      </c>
      <c r="AA434" s="609" t="s">
        <v>2935</v>
      </c>
    </row>
    <row r="435" spans="1:29" ht="24">
      <c r="A435" s="2714"/>
      <c r="B435" s="371">
        <v>101</v>
      </c>
      <c r="C435" s="371"/>
      <c r="D435" s="2716">
        <f>IF(OR(G435="*",G435="",G435=0),0,COUNTIF($G$435:$G$439,G435))</f>
        <v>1</v>
      </c>
      <c r="E435" s="2721">
        <v>1</v>
      </c>
      <c r="F435" s="293"/>
      <c r="G435" s="1474" t="s">
        <v>2953</v>
      </c>
      <c r="H435" s="309"/>
      <c r="I435" s="430"/>
      <c r="J435" s="309"/>
      <c r="K435" s="431"/>
      <c r="L435" s="1477">
        <f t="shared" ref="L435:L438" si="34">H435-J435</f>
        <v>0</v>
      </c>
      <c r="M435" s="1589" t="str">
        <f ca="1">HYPERLINK("#'"&amp;$G$1&amp;"'!"&amp;ADDRESS(ROW(Notes!H462),COLUMN(Notes!H462),4),"* 请勿删除此行！点击往勾稽单元格，F5+Enter返回")</f>
        <v>* 请勿删除此行！点击往勾稽单元格，F5+Enter返回</v>
      </c>
      <c r="N435" s="439"/>
      <c r="O435" s="437"/>
      <c r="P435" s="438"/>
      <c r="Q435" s="442"/>
      <c r="R435" s="443"/>
      <c r="S435" s="364"/>
      <c r="Z435" s="609" t="s">
        <v>273</v>
      </c>
      <c r="AA435" s="609" t="s">
        <v>2935</v>
      </c>
      <c r="AC435" s="369" t="s">
        <v>6573</v>
      </c>
    </row>
    <row r="436" spans="1:29" ht="24">
      <c r="A436" s="2714"/>
      <c r="B436" s="371">
        <v>102</v>
      </c>
      <c r="C436" s="371"/>
      <c r="D436" s="2716">
        <f>IF(OR(G436="*",G436="",G436=0),0,COUNTIF($G$435:$G$439,G436))</f>
        <v>1</v>
      </c>
      <c r="E436" s="2721">
        <v>1</v>
      </c>
      <c r="F436" s="293"/>
      <c r="G436" s="1474" t="s">
        <v>2954</v>
      </c>
      <c r="H436" s="309">
        <f>I330</f>
        <v>18436472.039999999</v>
      </c>
      <c r="I436" s="3375">
        <f>J436/H436</f>
        <v>0.1368</v>
      </c>
      <c r="J436" s="309">
        <f>I331</f>
        <v>2522257.4700000002</v>
      </c>
      <c r="K436" s="431"/>
      <c r="L436" s="1477">
        <f t="shared" si="34"/>
        <v>15914214.57</v>
      </c>
      <c r="M436" s="438"/>
      <c r="N436" s="439"/>
      <c r="O436" s="437"/>
      <c r="P436" s="438"/>
      <c r="Q436" s="442"/>
      <c r="R436" s="443"/>
      <c r="S436" s="364"/>
      <c r="Z436" s="609" t="s">
        <v>273</v>
      </c>
      <c r="AA436" s="609" t="s">
        <v>2935</v>
      </c>
    </row>
    <row r="437" spans="1:29" ht="24">
      <c r="A437" s="2714"/>
      <c r="B437" s="371">
        <v>103</v>
      </c>
      <c r="C437" s="371"/>
      <c r="D437" s="2716">
        <f>IF(OR(G437="*",G437="",G437=0),0,COUNTIF($G$435:$G$439,G437))</f>
        <v>1</v>
      </c>
      <c r="E437" s="2721">
        <v>1</v>
      </c>
      <c r="F437" s="293"/>
      <c r="G437" s="1474" t="s">
        <v>2955</v>
      </c>
      <c r="H437" s="309"/>
      <c r="I437" s="430"/>
      <c r="J437" s="309"/>
      <c r="K437" s="431"/>
      <c r="L437" s="1477">
        <f t="shared" si="34"/>
        <v>0</v>
      </c>
      <c r="M437" s="438"/>
      <c r="N437" s="439"/>
      <c r="O437" s="437"/>
      <c r="P437" s="438"/>
      <c r="Q437" s="442"/>
      <c r="R437" s="443"/>
      <c r="S437" s="364"/>
      <c r="Z437" s="609" t="s">
        <v>273</v>
      </c>
      <c r="AA437" s="609" t="s">
        <v>2935</v>
      </c>
    </row>
    <row r="438" spans="1:29" ht="18">
      <c r="A438" s="2714"/>
      <c r="B438" s="371">
        <v>104</v>
      </c>
      <c r="C438" s="371" t="s">
        <v>2791</v>
      </c>
      <c r="D438" s="2716">
        <f>IF(OR(G438="*",G438="",G438=0),0,COUNTIF($G$435:$G$439,G438))</f>
        <v>0</v>
      </c>
      <c r="E438" s="2721">
        <v>1</v>
      </c>
      <c r="F438" s="293"/>
      <c r="G438" s="2222" t="s">
        <v>2792</v>
      </c>
      <c r="H438" s="309"/>
      <c r="I438" s="430"/>
      <c r="J438" s="309"/>
      <c r="K438" s="431"/>
      <c r="L438" s="1477">
        <f t="shared" si="34"/>
        <v>0</v>
      </c>
      <c r="M438" s="438"/>
      <c r="N438" s="439"/>
      <c r="O438" s="437"/>
      <c r="P438" s="438"/>
      <c r="Q438" s="442"/>
      <c r="R438" s="443"/>
      <c r="S438" s="364"/>
      <c r="Z438" s="609" t="s">
        <v>273</v>
      </c>
      <c r="AA438" s="609" t="s">
        <v>2935</v>
      </c>
    </row>
    <row r="439" spans="1:29" ht="18.75" thickBot="1">
      <c r="A439" s="2714"/>
      <c r="B439" s="371"/>
      <c r="C439" s="371"/>
      <c r="D439" s="2716">
        <f>IF(OR(G439="*",G439="",G439=0),0,COUNTIF($G$435:$G$439,G439))</f>
        <v>1</v>
      </c>
      <c r="E439" s="2721" t="s">
        <v>2751</v>
      </c>
      <c r="F439" s="293"/>
      <c r="G439" s="2234" t="s">
        <v>2752</v>
      </c>
      <c r="H439" s="2235">
        <f>SUMPRODUCT($E434:$E438,H434:H438)</f>
        <v>18436472.039999999</v>
      </c>
      <c r="I439" s="2241"/>
      <c r="J439" s="2235">
        <f>SUMPRODUCT($E434:$E438,J434:J438)</f>
        <v>2522257.4700000002</v>
      </c>
      <c r="K439" s="2241"/>
      <c r="L439" s="2236">
        <f>SUMPRODUCT($E434:$E438,L434:L438)</f>
        <v>15914214.57</v>
      </c>
      <c r="M439" s="440"/>
      <c r="N439" s="439"/>
      <c r="O439" s="437"/>
      <c r="P439" s="440"/>
      <c r="Q439" s="442"/>
      <c r="R439" s="443"/>
      <c r="S439" s="364"/>
      <c r="Z439" s="609" t="s">
        <v>273</v>
      </c>
      <c r="AA439" s="609" t="s">
        <v>2935</v>
      </c>
    </row>
    <row r="440" spans="1:29" ht="18.75" thickBot="1">
      <c r="A440" s="2714"/>
      <c r="B440" s="371"/>
      <c r="C440" s="371" t="s">
        <v>2755</v>
      </c>
      <c r="D440" s="2716"/>
      <c r="F440" s="293"/>
      <c r="G440" s="376"/>
      <c r="H440" s="527" t="s">
        <v>3002</v>
      </c>
      <c r="I440" s="432"/>
      <c r="J440" s="527" t="s">
        <v>3002</v>
      </c>
      <c r="K440" s="392"/>
      <c r="L440" s="527" t="s">
        <v>3002</v>
      </c>
      <c r="M440" s="425"/>
      <c r="N440" s="426"/>
      <c r="O440" s="427"/>
      <c r="P440" s="425"/>
      <c r="Q440" s="442"/>
      <c r="R440" s="443"/>
      <c r="S440" s="364"/>
      <c r="Z440" s="609" t="s">
        <v>273</v>
      </c>
      <c r="AA440" s="609" t="s">
        <v>2935</v>
      </c>
    </row>
    <row r="441" spans="1:29" ht="18.75" thickTop="1">
      <c r="A441" s="2714"/>
      <c r="B441" s="371"/>
      <c r="C441" s="371" t="s">
        <v>2565</v>
      </c>
      <c r="D441" s="2716"/>
      <c r="F441" s="293"/>
      <c r="G441" s="1549" t="s">
        <v>5367</v>
      </c>
      <c r="H441" s="1550" t="str">
        <f>G317</f>
        <v>(1)应收账款按账龄披露</v>
      </c>
      <c r="I441" s="1551"/>
      <c r="J441" s="1552"/>
      <c r="K441" s="1551"/>
      <c r="L441" s="1552"/>
      <c r="M441" s="1553" t="s">
        <v>5368</v>
      </c>
      <c r="N441" s="426"/>
      <c r="O441" s="427"/>
      <c r="P441" s="425"/>
      <c r="Q441" s="442"/>
      <c r="R441" s="442"/>
      <c r="S441" s="364"/>
      <c r="Z441" s="609" t="s">
        <v>273</v>
      </c>
      <c r="AA441" s="609" t="s">
        <v>2935</v>
      </c>
    </row>
    <row r="442" spans="1:29" ht="18">
      <c r="A442" s="2714"/>
      <c r="B442" s="371"/>
      <c r="C442" s="371" t="s">
        <v>2565</v>
      </c>
      <c r="D442" s="2716"/>
      <c r="F442" s="293"/>
      <c r="G442" s="604" t="str">
        <f>"注释A:"&amp; ""</f>
        <v>注释A:</v>
      </c>
      <c r="H442" s="2252">
        <f ca="1">HYPERLINK("#'"&amp;$G$1&amp;"'!"&amp;ADDRESS(ROW(Notes!I330),COLUMN(Notes!I330),4),I330)</f>
        <v>18436472.039999999</v>
      </c>
      <c r="I442" s="351"/>
      <c r="J442" s="2252">
        <f ca="1">HYPERLINK("#'"&amp;$G$1&amp;"'!"&amp;ADDRESS(ROW(Notes!I331),COLUMN(Notes!I331),4),I331)</f>
        <v>2522257.4700000002</v>
      </c>
      <c r="K442" s="351"/>
      <c r="L442" s="2252">
        <f ca="1">HYPERLINK("#'"&amp;$G$1&amp;"'!"&amp;ADDRESS(ROW(Notes!I332),COLUMN(Notes!I332),4),I332)</f>
        <v>15914214.57</v>
      </c>
      <c r="M442" s="2251" t="str">
        <f>H317</f>
        <v>1122j</v>
      </c>
      <c r="N442" s="426"/>
      <c r="O442" s="427"/>
      <c r="P442" s="425"/>
      <c r="Q442" s="442"/>
      <c r="R442" s="442"/>
      <c r="S442" s="364"/>
      <c r="Z442" s="609" t="s">
        <v>273</v>
      </c>
      <c r="AA442" s="609" t="s">
        <v>2935</v>
      </c>
    </row>
    <row r="443" spans="1:29" ht="18">
      <c r="A443" s="2714"/>
      <c r="B443" s="371"/>
      <c r="C443" s="371" t="s">
        <v>2565</v>
      </c>
      <c r="D443" s="2716"/>
      <c r="F443" s="293"/>
      <c r="G443" s="604" t="str">
        <f>"本注释B:"&amp; G439</f>
        <v>本注释B:合       计</v>
      </c>
      <c r="H443" s="456">
        <f>H439</f>
        <v>18436472.039999999</v>
      </c>
      <c r="I443" s="351"/>
      <c r="J443" s="456">
        <f>J439</f>
        <v>2522257.4700000002</v>
      </c>
      <c r="K443" s="351"/>
      <c r="L443" s="456">
        <f>L439</f>
        <v>15914214.57</v>
      </c>
      <c r="M443" s="1544" t="s">
        <v>292</v>
      </c>
      <c r="N443" s="426"/>
      <c r="O443" s="427"/>
      <c r="P443" s="425"/>
      <c r="Q443" s="442"/>
      <c r="R443" s="442"/>
      <c r="S443" s="364"/>
      <c r="Z443" s="609" t="s">
        <v>273</v>
      </c>
      <c r="AA443" s="609" t="s">
        <v>2935</v>
      </c>
    </row>
    <row r="444" spans="1:29" ht="18.75" thickBot="1">
      <c r="A444" s="2714"/>
      <c r="B444" s="371"/>
      <c r="C444" s="371" t="s">
        <v>2565</v>
      </c>
      <c r="D444" s="2716"/>
      <c r="F444" s="293"/>
      <c r="G444" s="1554" t="s">
        <v>2757</v>
      </c>
      <c r="H444" s="1531">
        <f ca="1">IF(AND(H442="",H443=""),"",ROUND(H442-H443,2))</f>
        <v>0</v>
      </c>
      <c r="I444" s="1555"/>
      <c r="J444" s="1531">
        <f ca="1">IF(AND(J442="",J443=""),"",ROUND(J442-J443,2))</f>
        <v>0</v>
      </c>
      <c r="K444" s="1555"/>
      <c r="L444" s="1531">
        <f ca="1">IF(AND(L442="",L443=""),"",ROUND(L442-L443,2))</f>
        <v>0</v>
      </c>
      <c r="M444" s="1556"/>
      <c r="N444" s="426"/>
      <c r="O444" s="427"/>
      <c r="P444" s="425"/>
      <c r="Q444" s="442"/>
      <c r="R444" s="442"/>
      <c r="S444" s="364"/>
      <c r="Z444" s="609" t="s">
        <v>273</v>
      </c>
      <c r="AA444" s="609" t="s">
        <v>2935</v>
      </c>
    </row>
    <row r="445" spans="1:29" ht="18.75" thickTop="1">
      <c r="A445" s="2714"/>
      <c r="B445" s="371"/>
      <c r="C445" s="371" t="s">
        <v>2565</v>
      </c>
      <c r="D445" s="2716"/>
      <c r="F445" s="293"/>
      <c r="G445" s="1545"/>
      <c r="H445" s="459" t="str">
        <f ca="1">IF(OR(H444=0,H444=""),"√","？")</f>
        <v>√</v>
      </c>
      <c r="I445" s="317"/>
      <c r="J445" s="459" t="str">
        <f ca="1">IF(OR(J444=0,J444=""),"√","？")</f>
        <v>√</v>
      </c>
      <c r="K445" s="317"/>
      <c r="L445" s="459" t="str">
        <f ca="1">IF(OR(L444=0,L444=""),"√","？")</f>
        <v>√</v>
      </c>
      <c r="M445" s="1547"/>
      <c r="N445" s="426"/>
      <c r="O445" s="427"/>
      <c r="P445" s="425"/>
      <c r="Q445" s="442"/>
      <c r="R445" s="442"/>
      <c r="S445" s="364"/>
      <c r="Z445" s="609" t="s">
        <v>273</v>
      </c>
      <c r="AA445" s="609" t="s">
        <v>2935</v>
      </c>
    </row>
    <row r="446" spans="1:29" ht="18">
      <c r="A446" s="2714"/>
      <c r="B446" s="371"/>
      <c r="C446" s="371" t="s">
        <v>2565</v>
      </c>
      <c r="D446" s="2716"/>
      <c r="F446" s="293"/>
      <c r="G446" s="1559" t="s">
        <v>2759</v>
      </c>
      <c r="H446" s="461"/>
      <c r="I446" s="317"/>
      <c r="J446" s="461"/>
      <c r="K446" s="352">
        <f ca="1">SUMIF($H$445:$M$445,"&lt;&gt;√",$H$444:$M$444)</f>
        <v>0</v>
      </c>
      <c r="L446" s="353" t="str">
        <f ca="1">IF(OR(K446=0,K446=""),"√","？")</f>
        <v>√</v>
      </c>
      <c r="M446" s="1547"/>
      <c r="N446" s="426"/>
      <c r="O446" s="427"/>
      <c r="P446" s="425"/>
      <c r="Q446" s="442"/>
      <c r="R446" s="442"/>
      <c r="S446" s="364"/>
      <c r="Z446" s="609" t="s">
        <v>273</v>
      </c>
      <c r="AA446" s="609" t="s">
        <v>2935</v>
      </c>
    </row>
    <row r="447" spans="1:29" ht="18">
      <c r="A447" s="2714"/>
      <c r="B447" s="371"/>
      <c r="C447" s="371" t="s">
        <v>2565</v>
      </c>
      <c r="D447" s="2716"/>
      <c r="F447" s="293"/>
      <c r="G447" s="1545"/>
      <c r="H447" s="461"/>
      <c r="I447" s="317"/>
      <c r="J447" s="461"/>
      <c r="K447" s="317"/>
      <c r="L447" s="461"/>
      <c r="M447" s="1547"/>
      <c r="N447" s="426"/>
      <c r="O447" s="427"/>
      <c r="P447" s="425"/>
      <c r="Q447" s="442"/>
      <c r="R447" s="442"/>
      <c r="S447" s="364"/>
      <c r="Z447" s="609" t="s">
        <v>273</v>
      </c>
      <c r="AA447" s="609" t="s">
        <v>2935</v>
      </c>
    </row>
    <row r="448" spans="1:29" ht="36">
      <c r="A448" s="2714" t="s">
        <v>5109</v>
      </c>
      <c r="B448" s="371">
        <v>3.1</v>
      </c>
      <c r="C448" s="371"/>
      <c r="D448" s="2716" t="str">
        <f>VLOOKUP($A448,Sheet_NoteList,2,0)</f>
        <v>上期末单项金额重大并单项计提坏账准备的应收账款（已发生损失模型）</v>
      </c>
      <c r="E448" s="2716" t="s">
        <v>6533</v>
      </c>
      <c r="F448" s="293"/>
      <c r="G448" s="372" t="str">
        <f>"("&amp;B448&amp;")"&amp;D448</f>
        <v>(3.1)上期末单项金额重大并单项计提坏账准备的应收账款（已发生损失模型）</v>
      </c>
      <c r="H448" s="1517" t="str">
        <f>$A448</f>
        <v>1122y</v>
      </c>
      <c r="I448" s="343" t="s">
        <v>5124</v>
      </c>
      <c r="J448" s="301"/>
      <c r="K448" s="391"/>
      <c r="L448" s="349"/>
      <c r="M448" s="301" t="s">
        <v>5123</v>
      </c>
      <c r="N448" s="2210">
        <f>H459</f>
        <v>0</v>
      </c>
      <c r="O448" s="349"/>
      <c r="P448" s="301"/>
      <c r="S448" s="364"/>
      <c r="Z448" s="609" t="s">
        <v>273</v>
      </c>
      <c r="AA448" s="609" t="s">
        <v>2935</v>
      </c>
    </row>
    <row r="449" spans="1:27" ht="0.75" customHeight="1">
      <c r="A449" s="2714"/>
      <c r="B449" s="371"/>
      <c r="C449" s="371"/>
      <c r="D449" s="2716"/>
      <c r="E449" s="586"/>
      <c r="F449" s="586"/>
      <c r="G449" s="2224" t="s">
        <v>5463</v>
      </c>
      <c r="H449" s="371" t="s">
        <v>5552</v>
      </c>
      <c r="I449" s="371" t="s">
        <v>5553</v>
      </c>
      <c r="J449" s="371" t="s">
        <v>5554</v>
      </c>
      <c r="K449" s="371" t="s">
        <v>5555</v>
      </c>
      <c r="L449" s="428"/>
      <c r="M449" s="433"/>
      <c r="N449" s="428"/>
      <c r="O449" s="428"/>
      <c r="P449" s="433"/>
      <c r="Q449" s="442"/>
      <c r="R449" s="443"/>
      <c r="S449" s="364"/>
      <c r="Z449" s="609" t="s">
        <v>273</v>
      </c>
      <c r="AA449" s="609" t="s">
        <v>2935</v>
      </c>
    </row>
    <row r="450" spans="1:27" ht="0.75" customHeight="1" thickBot="1">
      <c r="A450" s="2714"/>
      <c r="B450" s="371"/>
      <c r="C450" s="371"/>
      <c r="D450" s="2716"/>
      <c r="E450" s="586"/>
      <c r="F450" s="586"/>
      <c r="G450" s="2224"/>
      <c r="H450" s="371" t="s">
        <v>5556</v>
      </c>
      <c r="I450" s="371" t="s">
        <v>5557</v>
      </c>
      <c r="J450" s="371" t="s">
        <v>5558</v>
      </c>
      <c r="K450" s="371" t="s">
        <v>5559</v>
      </c>
      <c r="L450" s="428"/>
      <c r="M450" s="433"/>
      <c r="N450" s="428"/>
      <c r="O450" s="428"/>
      <c r="P450" s="433"/>
      <c r="Q450" s="442"/>
      <c r="R450" s="443"/>
      <c r="S450" s="364"/>
      <c r="Z450" s="609" t="s">
        <v>273</v>
      </c>
      <c r="AA450" s="609" t="s">
        <v>2935</v>
      </c>
    </row>
    <row r="451" spans="1:27" ht="18" customHeight="1">
      <c r="A451" s="2714"/>
      <c r="B451" s="371"/>
      <c r="C451" s="371"/>
      <c r="D451" s="2716"/>
      <c r="E451" s="586" t="s">
        <v>2749</v>
      </c>
      <c r="F451" s="414"/>
      <c r="G451" s="3472" t="s">
        <v>3000</v>
      </c>
      <c r="H451" s="3533" t="str">
        <f>$V$3</f>
        <v>2018年12月31日</v>
      </c>
      <c r="I451" s="3415"/>
      <c r="J451" s="3415"/>
      <c r="K451" s="3431"/>
      <c r="L451" s="355" t="s">
        <v>5270</v>
      </c>
      <c r="M451" s="433"/>
      <c r="N451" s="428"/>
      <c r="O451" s="428"/>
      <c r="P451" s="433"/>
      <c r="Q451" s="442"/>
      <c r="R451" s="443"/>
      <c r="S451" s="364"/>
      <c r="Z451" s="609" t="s">
        <v>273</v>
      </c>
      <c r="AA451" s="609" t="s">
        <v>2935</v>
      </c>
    </row>
    <row r="452" spans="1:27" ht="18">
      <c r="A452" s="2714"/>
      <c r="B452" s="371"/>
      <c r="C452" s="371"/>
      <c r="D452" s="2716"/>
      <c r="E452" s="586" t="s">
        <v>2749</v>
      </c>
      <c r="F452" s="414"/>
      <c r="G452" s="3473"/>
      <c r="H452" s="2237" t="s">
        <v>2861</v>
      </c>
      <c r="I452" s="2237" t="s">
        <v>2862</v>
      </c>
      <c r="J452" s="2237" t="s">
        <v>3001</v>
      </c>
      <c r="K452" s="2240" t="s">
        <v>2899</v>
      </c>
      <c r="L452" s="434"/>
      <c r="M452" s="1511"/>
      <c r="N452" s="434"/>
      <c r="O452" s="434"/>
      <c r="P452" s="1511"/>
      <c r="Q452" s="442"/>
      <c r="R452" s="443"/>
      <c r="S452" s="364"/>
      <c r="Z452" s="609" t="s">
        <v>273</v>
      </c>
      <c r="AA452" s="609" t="s">
        <v>2935</v>
      </c>
    </row>
    <row r="453" spans="1:27" ht="18">
      <c r="A453" s="2714"/>
      <c r="B453" s="371">
        <v>101</v>
      </c>
      <c r="C453" s="371" t="s">
        <v>2791</v>
      </c>
      <c r="D453" s="2716">
        <f t="shared" ref="D453:D459" si="35">IF(OR(G453="*",G453="",G453=0),0,COUNTIF($G$453:$G$459,G453))</f>
        <v>0</v>
      </c>
      <c r="E453" s="2721">
        <v>1</v>
      </c>
      <c r="F453" s="293"/>
      <c r="G453" s="2222" t="s">
        <v>2792</v>
      </c>
      <c r="H453" s="1577"/>
      <c r="I453" s="422"/>
      <c r="J453" s="360"/>
      <c r="K453" s="436"/>
      <c r="L453" s="437"/>
      <c r="M453" s="438"/>
      <c r="N453" s="439"/>
      <c r="O453" s="437"/>
      <c r="P453" s="438"/>
      <c r="Q453" s="442"/>
      <c r="R453" s="443"/>
      <c r="S453" s="364"/>
      <c r="Z453" s="609" t="s">
        <v>273</v>
      </c>
      <c r="AA453" s="609" t="s">
        <v>2935</v>
      </c>
    </row>
    <row r="454" spans="1:27" ht="18">
      <c r="A454" s="2714"/>
      <c r="B454" s="371">
        <v>102</v>
      </c>
      <c r="C454" s="371" t="s">
        <v>2791</v>
      </c>
      <c r="D454" s="2716">
        <f t="shared" si="35"/>
        <v>0</v>
      </c>
      <c r="E454" s="2721">
        <v>1</v>
      </c>
      <c r="F454" s="293"/>
      <c r="G454" s="2222" t="s">
        <v>2792</v>
      </c>
      <c r="H454" s="1577"/>
      <c r="I454" s="422"/>
      <c r="J454" s="360"/>
      <c r="K454" s="436"/>
      <c r="L454" s="437"/>
      <c r="M454" s="438"/>
      <c r="N454" s="439"/>
      <c r="O454" s="437"/>
      <c r="P454" s="438"/>
      <c r="Q454" s="442"/>
      <c r="R454" s="443"/>
      <c r="S454" s="364"/>
      <c r="Z454" s="609" t="s">
        <v>273</v>
      </c>
      <c r="AA454" s="609" t="s">
        <v>2935</v>
      </c>
    </row>
    <row r="455" spans="1:27" ht="18">
      <c r="A455" s="2714"/>
      <c r="B455" s="371">
        <v>103</v>
      </c>
      <c r="C455" s="371" t="s">
        <v>2791</v>
      </c>
      <c r="D455" s="2716">
        <f t="shared" si="35"/>
        <v>0</v>
      </c>
      <c r="E455" s="2721">
        <v>1</v>
      </c>
      <c r="F455" s="293"/>
      <c r="G455" s="2222" t="s">
        <v>2792</v>
      </c>
      <c r="H455" s="1577"/>
      <c r="I455" s="422"/>
      <c r="J455" s="360"/>
      <c r="K455" s="436"/>
      <c r="L455" s="437"/>
      <c r="M455" s="438"/>
      <c r="N455" s="439"/>
      <c r="O455" s="437"/>
      <c r="P455" s="438"/>
      <c r="Q455" s="442"/>
      <c r="R455" s="443"/>
      <c r="S455" s="364"/>
      <c r="Z455" s="609" t="s">
        <v>273</v>
      </c>
      <c r="AA455" s="609" t="s">
        <v>2935</v>
      </c>
    </row>
    <row r="456" spans="1:27" ht="18">
      <c r="A456" s="2714"/>
      <c r="B456" s="371">
        <v>104</v>
      </c>
      <c r="C456" s="371" t="s">
        <v>2791</v>
      </c>
      <c r="D456" s="2716">
        <f t="shared" si="35"/>
        <v>0</v>
      </c>
      <c r="E456" s="2721">
        <v>1</v>
      </c>
      <c r="F456" s="293"/>
      <c r="G456" s="2222" t="s">
        <v>2792</v>
      </c>
      <c r="H456" s="1577"/>
      <c r="I456" s="422"/>
      <c r="J456" s="360"/>
      <c r="K456" s="436"/>
      <c r="L456" s="437"/>
      <c r="M456" s="438"/>
      <c r="N456" s="439"/>
      <c r="O456" s="437"/>
      <c r="P456" s="438"/>
      <c r="Q456" s="442"/>
      <c r="R456" s="443"/>
      <c r="S456" s="364"/>
      <c r="Z456" s="609" t="s">
        <v>273</v>
      </c>
      <c r="AA456" s="609" t="s">
        <v>2935</v>
      </c>
    </row>
    <row r="457" spans="1:27" ht="18">
      <c r="A457" s="2714"/>
      <c r="B457" s="371">
        <v>105</v>
      </c>
      <c r="C457" s="371" t="s">
        <v>2791</v>
      </c>
      <c r="D457" s="2716">
        <f t="shared" si="35"/>
        <v>0</v>
      </c>
      <c r="E457" s="2721">
        <v>1</v>
      </c>
      <c r="F457" s="293"/>
      <c r="G457" s="2222" t="s">
        <v>2792</v>
      </c>
      <c r="H457" s="1577"/>
      <c r="I457" s="422"/>
      <c r="J457" s="360"/>
      <c r="K457" s="436"/>
      <c r="L457" s="437"/>
      <c r="M457" s="438"/>
      <c r="N457" s="439"/>
      <c r="O457" s="437"/>
      <c r="P457" s="438"/>
      <c r="Q457" s="442"/>
      <c r="R457" s="443"/>
      <c r="S457" s="364"/>
      <c r="Z457" s="609" t="s">
        <v>273</v>
      </c>
      <c r="AA457" s="609" t="s">
        <v>2935</v>
      </c>
    </row>
    <row r="458" spans="1:27" ht="18">
      <c r="A458" s="2714"/>
      <c r="B458" s="371">
        <v>106</v>
      </c>
      <c r="C458" s="371" t="s">
        <v>2791</v>
      </c>
      <c r="D458" s="2716">
        <f t="shared" si="35"/>
        <v>0</v>
      </c>
      <c r="E458" s="2721">
        <v>1</v>
      </c>
      <c r="F458" s="293"/>
      <c r="G458" s="2222" t="s">
        <v>2792</v>
      </c>
      <c r="H458" s="1577"/>
      <c r="I458" s="422"/>
      <c r="J458" s="360"/>
      <c r="K458" s="436"/>
      <c r="L458" s="437"/>
      <c r="M458" s="438"/>
      <c r="N458" s="439"/>
      <c r="O458" s="437"/>
      <c r="P458" s="438"/>
      <c r="Q458" s="442"/>
      <c r="R458" s="443"/>
      <c r="S458" s="364"/>
      <c r="Z458" s="609" t="s">
        <v>273</v>
      </c>
      <c r="AA458" s="609" t="s">
        <v>2935</v>
      </c>
    </row>
    <row r="459" spans="1:27" ht="18.75" thickBot="1">
      <c r="A459" s="2714"/>
      <c r="B459" s="371"/>
      <c r="C459" s="371"/>
      <c r="D459" s="2716">
        <f t="shared" si="35"/>
        <v>1</v>
      </c>
      <c r="E459" s="2721" t="s">
        <v>2751</v>
      </c>
      <c r="F459" s="293"/>
      <c r="G459" s="2234" t="s">
        <v>2752</v>
      </c>
      <c r="H459" s="2235">
        <f>SUMPRODUCT($E452:$E458,H452:H458)</f>
        <v>0</v>
      </c>
      <c r="I459" s="2235">
        <f>SUMPRODUCT($E452:$E458,I452:I458)</f>
        <v>0</v>
      </c>
      <c r="J459" s="2242"/>
      <c r="K459" s="2244"/>
      <c r="L459" s="437"/>
      <c r="M459" s="1508"/>
      <c r="N459" s="439"/>
      <c r="O459" s="437"/>
      <c r="P459" s="1508"/>
      <c r="Q459" s="442"/>
      <c r="R459" s="443"/>
      <c r="S459" s="364"/>
      <c r="Z459" s="609" t="s">
        <v>273</v>
      </c>
      <c r="AA459" s="609" t="s">
        <v>2935</v>
      </c>
    </row>
    <row r="460" spans="1:27" ht="18.75" thickBot="1">
      <c r="A460" s="2714"/>
      <c r="B460" s="371"/>
      <c r="C460" s="371" t="s">
        <v>2755</v>
      </c>
      <c r="D460" s="2716"/>
      <c r="F460" s="293"/>
      <c r="G460" s="376"/>
      <c r="H460" s="2626" t="s">
        <v>3002</v>
      </c>
      <c r="I460" s="2253" t="s">
        <v>3002</v>
      </c>
      <c r="J460" s="393"/>
      <c r="K460" s="392"/>
      <c r="L460" s="427"/>
      <c r="M460" s="425"/>
      <c r="N460" s="426"/>
      <c r="O460" s="427"/>
      <c r="P460" s="425"/>
      <c r="Q460" s="442"/>
      <c r="R460" s="443"/>
      <c r="S460" s="364"/>
      <c r="Z460" s="609" t="s">
        <v>273</v>
      </c>
      <c r="AA460" s="609" t="s">
        <v>2935</v>
      </c>
    </row>
    <row r="461" spans="1:27" ht="18.75" thickTop="1">
      <c r="A461" s="2714"/>
      <c r="B461" s="371"/>
      <c r="C461" s="371" t="s">
        <v>2565</v>
      </c>
      <c r="D461" s="2716"/>
      <c r="F461" s="293"/>
      <c r="G461" s="1549" t="s">
        <v>5367</v>
      </c>
      <c r="H461" s="1550" t="str">
        <f>G430</f>
        <v>(2.2)应收账款按坏账计提方法分类披露（按已发生损失模型计提）</v>
      </c>
      <c r="I461" s="1552"/>
      <c r="J461" s="1551"/>
      <c r="K461" s="1551"/>
      <c r="L461" s="1553" t="s">
        <v>5368</v>
      </c>
      <c r="M461" s="425"/>
      <c r="N461" s="426"/>
      <c r="O461" s="427"/>
      <c r="P461" s="425"/>
      <c r="Q461" s="442"/>
      <c r="R461" s="442"/>
      <c r="S461" s="364"/>
      <c r="Z461" s="609" t="s">
        <v>273</v>
      </c>
      <c r="AA461" s="609" t="s">
        <v>2935</v>
      </c>
    </row>
    <row r="462" spans="1:27" ht="24">
      <c r="A462" s="2714"/>
      <c r="B462" s="371"/>
      <c r="C462" s="371" t="s">
        <v>2565</v>
      </c>
      <c r="D462" s="2716"/>
      <c r="F462" s="293"/>
      <c r="G462" s="604" t="str">
        <f>"注释A:"&amp; G435</f>
        <v>注释A:单项金额重大并单独计提坏账准备的应收账款</v>
      </c>
      <c r="H462" s="2252">
        <f ca="1">HYPERLINK("#'"&amp;$G$1&amp;"'!"&amp;ADDRESS(ROW(Notes!H435),COLUMN(Notes!H435),4),H435)</f>
        <v>0</v>
      </c>
      <c r="I462" s="2252">
        <f ca="1">HYPERLINK("#'"&amp;$G$1&amp;"'!"&amp;ADDRESS(ROW(Notes!J435),COLUMN(Notes!J435),4),J435)</f>
        <v>0</v>
      </c>
      <c r="J462" s="351"/>
      <c r="K462" s="351"/>
      <c r="L462" s="2251" t="str">
        <f>H430</f>
        <v>1122q</v>
      </c>
      <c r="M462" s="425"/>
      <c r="N462" s="426"/>
      <c r="O462" s="427"/>
      <c r="P462" s="425"/>
      <c r="Q462" s="442"/>
      <c r="R462" s="442"/>
      <c r="S462" s="364"/>
      <c r="Z462" s="609" t="s">
        <v>273</v>
      </c>
      <c r="AA462" s="609" t="s">
        <v>2935</v>
      </c>
    </row>
    <row r="463" spans="1:27" ht="18">
      <c r="A463" s="2714"/>
      <c r="B463" s="371"/>
      <c r="C463" s="371" t="s">
        <v>2565</v>
      </c>
      <c r="D463" s="2716"/>
      <c r="F463" s="293"/>
      <c r="G463" s="604" t="str">
        <f>"本注释B:"&amp; G459</f>
        <v>本注释B:合       计</v>
      </c>
      <c r="H463" s="456">
        <f>H459</f>
        <v>0</v>
      </c>
      <c r="I463" s="456">
        <f>I459</f>
        <v>0</v>
      </c>
      <c r="J463" s="351"/>
      <c r="K463" s="351"/>
      <c r="L463" s="1544" t="s">
        <v>5109</v>
      </c>
      <c r="M463" s="425"/>
      <c r="N463" s="426"/>
      <c r="O463" s="427"/>
      <c r="P463" s="425"/>
      <c r="Q463" s="442"/>
      <c r="R463" s="442"/>
      <c r="S463" s="364"/>
      <c r="Z463" s="609" t="s">
        <v>273</v>
      </c>
      <c r="AA463" s="609" t="s">
        <v>2935</v>
      </c>
    </row>
    <row r="464" spans="1:27" ht="18.75" thickBot="1">
      <c r="A464" s="2714"/>
      <c r="B464" s="371"/>
      <c r="C464" s="371" t="s">
        <v>2565</v>
      </c>
      <c r="D464" s="2716"/>
      <c r="F464" s="293"/>
      <c r="G464" s="1554" t="s">
        <v>2757</v>
      </c>
      <c r="H464" s="1531">
        <f ca="1">IF(AND(H462="",H463=""),"",ROUND(H462-H463,2))</f>
        <v>0</v>
      </c>
      <c r="I464" s="1531">
        <f ca="1">IF(AND(I462="",I463=""),"",ROUND(I462-I463,2))</f>
        <v>0</v>
      </c>
      <c r="J464" s="1555"/>
      <c r="K464" s="1555"/>
      <c r="L464" s="1556"/>
      <c r="M464" s="425"/>
      <c r="N464" s="426"/>
      <c r="O464" s="427"/>
      <c r="P464" s="425"/>
      <c r="Q464" s="442"/>
      <c r="R464" s="442"/>
      <c r="S464" s="364"/>
      <c r="Z464" s="609" t="s">
        <v>273</v>
      </c>
      <c r="AA464" s="609" t="s">
        <v>2935</v>
      </c>
    </row>
    <row r="465" spans="1:27" ht="18.75" thickTop="1">
      <c r="A465" s="2714"/>
      <c r="B465" s="371"/>
      <c r="C465" s="371" t="s">
        <v>2565</v>
      </c>
      <c r="D465" s="2716"/>
      <c r="F465" s="293"/>
      <c r="G465" s="1545"/>
      <c r="H465" s="459" t="str">
        <f ca="1">IF(OR(H464=0,H464=""),"√","？")</f>
        <v>√</v>
      </c>
      <c r="I465" s="459" t="str">
        <f ca="1">IF(OR(I464=0,I464=""),"√","？")</f>
        <v>√</v>
      </c>
      <c r="J465" s="317"/>
      <c r="K465" s="317"/>
      <c r="L465" s="1547"/>
      <c r="M465" s="425"/>
      <c r="N465" s="426"/>
      <c r="O465" s="427"/>
      <c r="P465" s="425"/>
      <c r="Q465" s="442"/>
      <c r="R465" s="442"/>
      <c r="S465" s="364"/>
      <c r="Z465" s="609" t="s">
        <v>273</v>
      </c>
      <c r="AA465" s="609" t="s">
        <v>2935</v>
      </c>
    </row>
    <row r="466" spans="1:27" ht="18">
      <c r="A466" s="2714"/>
      <c r="B466" s="371"/>
      <c r="C466" s="371" t="s">
        <v>2565</v>
      </c>
      <c r="D466" s="2716"/>
      <c r="F466" s="293"/>
      <c r="G466" s="1559" t="s">
        <v>2759</v>
      </c>
      <c r="H466" s="461"/>
      <c r="I466" s="461"/>
      <c r="J466" s="317"/>
      <c r="K466" s="352">
        <f ca="1">SUMIF($H$465:$L$465,"&lt;&gt;√",$H$464:$L$464)</f>
        <v>0</v>
      </c>
      <c r="L466" s="2254" t="str">
        <f ca="1">IF(OR(K466=0,K466=""),"√","？")</f>
        <v>√</v>
      </c>
      <c r="M466" s="425"/>
      <c r="N466" s="426"/>
      <c r="O466" s="427"/>
      <c r="P466" s="425"/>
      <c r="Q466" s="442"/>
      <c r="R466" s="442"/>
      <c r="S466" s="364"/>
      <c r="Z466" s="609" t="s">
        <v>273</v>
      </c>
      <c r="AA466" s="609" t="s">
        <v>2935</v>
      </c>
    </row>
    <row r="467" spans="1:27" ht="18">
      <c r="A467" s="2714"/>
      <c r="B467" s="371"/>
      <c r="C467" s="371" t="s">
        <v>2565</v>
      </c>
      <c r="D467" s="2716"/>
      <c r="F467" s="293"/>
      <c r="G467" s="1545"/>
      <c r="H467" s="461"/>
      <c r="I467" s="461"/>
      <c r="J467" s="317"/>
      <c r="K467" s="317"/>
      <c r="L467" s="1547"/>
      <c r="M467" s="425"/>
      <c r="N467" s="426"/>
      <c r="O467" s="427"/>
      <c r="P467" s="425"/>
      <c r="Q467" s="442"/>
      <c r="R467" s="442"/>
      <c r="S467" s="364"/>
      <c r="Z467" s="609" t="s">
        <v>273</v>
      </c>
      <c r="AA467" s="609" t="s">
        <v>2935</v>
      </c>
    </row>
    <row r="468" spans="1:27" ht="36">
      <c r="A468" s="2714" t="s">
        <v>5110</v>
      </c>
      <c r="B468" s="371">
        <v>3.2</v>
      </c>
      <c r="C468" s="371"/>
      <c r="D468" s="2716" t="str">
        <f>VLOOKUP($A468,Sheet_NoteList,2,0)</f>
        <v>上期末组合中按账龄分析法计提坏账准备的应收账款（已发生损失模型）</v>
      </c>
      <c r="E468" s="2716" t="s">
        <v>6533</v>
      </c>
      <c r="F468" s="293"/>
      <c r="G468" s="372" t="str">
        <f>"("&amp;B468&amp;")"&amp;D468</f>
        <v>(3.2)上期末组合中按账龄分析法计提坏账准备的应收账款（已发生损失模型）</v>
      </c>
      <c r="H468" s="1517" t="str">
        <f>$A468</f>
        <v>1122z</v>
      </c>
      <c r="I468" s="343" t="s">
        <v>5124</v>
      </c>
      <c r="J468" s="301"/>
      <c r="K468" s="391"/>
      <c r="L468" s="349"/>
      <c r="M468" s="301" t="s">
        <v>5123</v>
      </c>
      <c r="N468" s="2210">
        <f>H483</f>
        <v>18436472.039999999</v>
      </c>
      <c r="O468" s="349"/>
      <c r="P468" s="301"/>
      <c r="S468" s="364"/>
      <c r="Z468" s="609" t="s">
        <v>273</v>
      </c>
      <c r="AA468" s="609" t="s">
        <v>2935</v>
      </c>
    </row>
    <row r="469" spans="1:27" ht="0.75" customHeight="1">
      <c r="A469" s="2714"/>
      <c r="B469" s="371"/>
      <c r="C469" s="371"/>
      <c r="D469" s="2716"/>
      <c r="E469" s="586"/>
      <c r="F469" s="586"/>
      <c r="G469" s="2224" t="s">
        <v>5466</v>
      </c>
      <c r="H469" s="371" t="s">
        <v>6318</v>
      </c>
      <c r="I469" s="371" t="s">
        <v>6319</v>
      </c>
      <c r="J469" s="371" t="s">
        <v>6320</v>
      </c>
      <c r="K469" s="428"/>
      <c r="L469" s="428"/>
      <c r="M469" s="433"/>
      <c r="N469" s="428"/>
      <c r="O469" s="428"/>
      <c r="P469" s="433"/>
      <c r="Q469" s="442"/>
      <c r="R469" s="443"/>
      <c r="S469" s="364"/>
      <c r="Z469" s="609" t="s">
        <v>273</v>
      </c>
      <c r="AA469" s="609" t="s">
        <v>2935</v>
      </c>
    </row>
    <row r="470" spans="1:27" ht="0.75" customHeight="1" thickBot="1">
      <c r="A470" s="2714"/>
      <c r="B470" s="371"/>
      <c r="C470" s="371"/>
      <c r="D470" s="2716"/>
      <c r="E470" s="586"/>
      <c r="F470" s="586"/>
      <c r="G470" s="2224"/>
      <c r="H470" s="1617" t="s">
        <v>5464</v>
      </c>
      <c r="I470" s="371" t="s">
        <v>5465</v>
      </c>
      <c r="J470" s="371" t="s">
        <v>5467</v>
      </c>
      <c r="K470" s="428"/>
      <c r="L470" s="428"/>
      <c r="M470" s="433"/>
      <c r="N470" s="428"/>
      <c r="O470" s="428"/>
      <c r="P470" s="433"/>
      <c r="Q470" s="442"/>
      <c r="R470" s="443"/>
      <c r="S470" s="364"/>
      <c r="Z470" s="609" t="s">
        <v>273</v>
      </c>
      <c r="AA470" s="609" t="s">
        <v>2935</v>
      </c>
    </row>
    <row r="471" spans="1:27" ht="18" customHeight="1">
      <c r="A471" s="2714"/>
      <c r="B471" s="371"/>
      <c r="C471" s="371"/>
      <c r="D471" s="2716"/>
      <c r="E471" s="586" t="s">
        <v>2749</v>
      </c>
      <c r="F471" s="414"/>
      <c r="G471" s="3472" t="s">
        <v>5998</v>
      </c>
      <c r="H471" s="3533" t="str">
        <f>$V$3</f>
        <v>2018年12月31日</v>
      </c>
      <c r="I471" s="3415"/>
      <c r="J471" s="3431"/>
      <c r="K471" s="355" t="s">
        <v>5270</v>
      </c>
      <c r="L471" s="428"/>
      <c r="M471" s="433"/>
      <c r="N471" s="428"/>
      <c r="O471" s="428"/>
      <c r="P471" s="433"/>
      <c r="Q471" s="442"/>
      <c r="R471" s="443"/>
      <c r="S471" s="364"/>
      <c r="Z471" s="609" t="s">
        <v>273</v>
      </c>
      <c r="AA471" s="609" t="s">
        <v>2935</v>
      </c>
    </row>
    <row r="472" spans="1:27" ht="18">
      <c r="A472" s="2714"/>
      <c r="B472" s="371"/>
      <c r="C472" s="371"/>
      <c r="D472" s="2716"/>
      <c r="E472" s="586" t="s">
        <v>2749</v>
      </c>
      <c r="F472" s="414"/>
      <c r="G472" s="3473"/>
      <c r="H472" s="2237" t="s">
        <v>2861</v>
      </c>
      <c r="I472" s="2237" t="s">
        <v>2862</v>
      </c>
      <c r="J472" s="2240" t="s">
        <v>2889</v>
      </c>
      <c r="K472" s="434"/>
      <c r="L472" s="434"/>
      <c r="M472" s="1511"/>
      <c r="N472" s="434"/>
      <c r="O472" s="434"/>
      <c r="P472" s="1511"/>
      <c r="Q472" s="442"/>
      <c r="R472" s="443"/>
      <c r="S472" s="364"/>
      <c r="Z472" s="609" t="s">
        <v>273</v>
      </c>
      <c r="AA472" s="609" t="s">
        <v>2935</v>
      </c>
    </row>
    <row r="473" spans="1:27" ht="18">
      <c r="A473" s="2714"/>
      <c r="B473" s="371">
        <v>101</v>
      </c>
      <c r="C473" s="371"/>
      <c r="D473" s="2716">
        <f t="shared" ref="D473:D483" si="36">IF(OR(G473="*",G473="",G473=0),0,COUNTIF($G$473:$G$483,G473))</f>
        <v>1</v>
      </c>
      <c r="E473" s="2721" t="s">
        <v>6534</v>
      </c>
      <c r="F473" s="294"/>
      <c r="G473" s="1474" t="s">
        <v>2938</v>
      </c>
      <c r="H473" s="1577"/>
      <c r="I473" s="422"/>
      <c r="J473" s="388"/>
      <c r="K473" s="439"/>
      <c r="L473" s="437"/>
      <c r="M473" s="438"/>
      <c r="N473" s="439"/>
      <c r="O473" s="437"/>
      <c r="P473" s="438"/>
      <c r="Q473" s="442"/>
      <c r="R473" s="443"/>
      <c r="S473" s="364"/>
      <c r="Z473" s="609" t="s">
        <v>273</v>
      </c>
      <c r="AA473" s="609" t="s">
        <v>2935</v>
      </c>
    </row>
    <row r="474" spans="1:27" ht="18">
      <c r="A474" s="2714"/>
      <c r="B474" s="371">
        <v>101.001</v>
      </c>
      <c r="C474" s="371" t="s">
        <v>2791</v>
      </c>
      <c r="D474" s="2716">
        <f t="shared" si="36"/>
        <v>1</v>
      </c>
      <c r="E474" s="2721" t="s">
        <v>2937</v>
      </c>
      <c r="F474" s="294"/>
      <c r="G474" s="2222" t="s">
        <v>5132</v>
      </c>
      <c r="H474" s="1577">
        <f>I321</f>
        <v>10498073.199999999</v>
      </c>
      <c r="I474" s="422">
        <f>H474*J474</f>
        <v>524903.66</v>
      </c>
      <c r="J474" s="3376">
        <v>0.05</v>
      </c>
      <c r="K474" s="439"/>
      <c r="L474" s="437"/>
      <c r="M474" s="438"/>
      <c r="N474" s="439"/>
      <c r="O474" s="437"/>
      <c r="P474" s="438"/>
      <c r="Q474" s="442"/>
      <c r="R474" s="443"/>
      <c r="S474" s="364"/>
      <c r="Z474" s="609" t="s">
        <v>273</v>
      </c>
      <c r="AA474" s="609" t="s">
        <v>2935</v>
      </c>
    </row>
    <row r="475" spans="1:27" ht="18">
      <c r="A475" s="2714"/>
      <c r="B475" s="371">
        <v>101.002</v>
      </c>
      <c r="C475" s="371" t="s">
        <v>2791</v>
      </c>
      <c r="D475" s="2716">
        <f t="shared" si="36"/>
        <v>0</v>
      </c>
      <c r="E475" s="2721" t="s">
        <v>2937</v>
      </c>
      <c r="F475" s="294"/>
      <c r="G475" s="2222" t="s">
        <v>2792</v>
      </c>
      <c r="H475" s="1577"/>
      <c r="I475" s="422"/>
      <c r="J475" s="388"/>
      <c r="K475" s="439"/>
      <c r="L475" s="437"/>
      <c r="M475" s="438"/>
      <c r="N475" s="439"/>
      <c r="O475" s="437"/>
      <c r="P475" s="438"/>
      <c r="Q475" s="442"/>
      <c r="R475" s="443"/>
      <c r="S475" s="364"/>
      <c r="Z475" s="609" t="s">
        <v>273</v>
      </c>
      <c r="AA475" s="609" t="s">
        <v>2935</v>
      </c>
    </row>
    <row r="476" spans="1:27" ht="18">
      <c r="A476" s="2714"/>
      <c r="B476" s="371">
        <v>101.999</v>
      </c>
      <c r="C476" s="371" t="s">
        <v>2793</v>
      </c>
      <c r="D476" s="2716">
        <f t="shared" si="36"/>
        <v>1</v>
      </c>
      <c r="E476" s="2721">
        <v>1</v>
      </c>
      <c r="F476" s="294"/>
      <c r="G476" s="1474" t="s">
        <v>2937</v>
      </c>
      <c r="H476" s="1476">
        <f>SUMIF($E$472:$E$482,$G476,H$472:H$482)</f>
        <v>10498073.199999999</v>
      </c>
      <c r="I476" s="1476">
        <f>SUMIF($E$472:$E$482,$G476,I$472:I$482)</f>
        <v>524903.66</v>
      </c>
      <c r="J476" s="388"/>
      <c r="K476" s="439"/>
      <c r="L476" s="437"/>
      <c r="M476" s="438"/>
      <c r="N476" s="439"/>
      <c r="O476" s="437"/>
      <c r="P476" s="438"/>
      <c r="Q476" s="442"/>
      <c r="R476" s="443"/>
      <c r="S476" s="364"/>
      <c r="Z476" s="609" t="s">
        <v>273</v>
      </c>
      <c r="AA476" s="609" t="s">
        <v>2935</v>
      </c>
    </row>
    <row r="477" spans="1:27" ht="18">
      <c r="A477" s="2714"/>
      <c r="B477" s="371">
        <v>102</v>
      </c>
      <c r="C477" s="371"/>
      <c r="D477" s="2716">
        <f t="shared" si="36"/>
        <v>1</v>
      </c>
      <c r="E477" s="2721">
        <v>1</v>
      </c>
      <c r="F477" s="294"/>
      <c r="G477" s="1474" t="s">
        <v>2940</v>
      </c>
      <c r="H477" s="1577">
        <f>I324</f>
        <v>4445091.54</v>
      </c>
      <c r="I477" s="422">
        <f>H477*J477</f>
        <v>444509.15</v>
      </c>
      <c r="J477" s="3376">
        <v>0.1</v>
      </c>
      <c r="K477" s="439"/>
      <c r="L477" s="437"/>
      <c r="M477" s="438"/>
      <c r="N477" s="439"/>
      <c r="O477" s="437"/>
      <c r="P477" s="438"/>
      <c r="Q477" s="442"/>
      <c r="R477" s="443"/>
      <c r="S477" s="364"/>
      <c r="Z477" s="609" t="s">
        <v>273</v>
      </c>
      <c r="AA477" s="609" t="s">
        <v>2935</v>
      </c>
    </row>
    <row r="478" spans="1:27" ht="18">
      <c r="A478" s="2714"/>
      <c r="B478" s="371">
        <v>103</v>
      </c>
      <c r="C478" s="371"/>
      <c r="D478" s="2716">
        <f t="shared" si="36"/>
        <v>1</v>
      </c>
      <c r="E478" s="2721">
        <v>1</v>
      </c>
      <c r="F478" s="294"/>
      <c r="G478" s="1474" t="s">
        <v>2941</v>
      </c>
      <c r="H478" s="1577">
        <f t="shared" ref="H478:H481" si="37">I325</f>
        <v>1354814.99</v>
      </c>
      <c r="I478" s="422">
        <f>H478*J478</f>
        <v>406444.5</v>
      </c>
      <c r="J478" s="3376">
        <v>0.3</v>
      </c>
      <c r="K478" s="439"/>
      <c r="L478" s="437"/>
      <c r="M478" s="438"/>
      <c r="N478" s="439"/>
      <c r="O478" s="437"/>
      <c r="P478" s="438"/>
      <c r="Q478" s="442"/>
      <c r="R478" s="443"/>
      <c r="S478" s="364"/>
      <c r="Z478" s="609" t="s">
        <v>273</v>
      </c>
      <c r="AA478" s="609" t="s">
        <v>2935</v>
      </c>
    </row>
    <row r="479" spans="1:27" ht="18">
      <c r="A479" s="2714"/>
      <c r="B479" s="371">
        <v>104</v>
      </c>
      <c r="C479" s="371" t="s">
        <v>2791</v>
      </c>
      <c r="D479" s="2716">
        <f t="shared" si="36"/>
        <v>1</v>
      </c>
      <c r="E479" s="2721">
        <v>1</v>
      </c>
      <c r="F479" s="294"/>
      <c r="G479" s="2222" t="s">
        <v>2942</v>
      </c>
      <c r="H479" s="1577">
        <f t="shared" si="37"/>
        <v>1881312.31</v>
      </c>
      <c r="I479" s="422">
        <f>H479*J479</f>
        <v>940656.16</v>
      </c>
      <c r="J479" s="3376">
        <v>0.5</v>
      </c>
      <c r="K479" s="439"/>
      <c r="L479" s="437"/>
      <c r="M479" s="438"/>
      <c r="N479" s="439"/>
      <c r="O479" s="437"/>
      <c r="P479" s="438"/>
      <c r="Q479" s="442"/>
      <c r="R479" s="443"/>
      <c r="S479" s="364"/>
      <c r="Z479" s="609" t="s">
        <v>273</v>
      </c>
      <c r="AA479" s="609" t="s">
        <v>2935</v>
      </c>
    </row>
    <row r="480" spans="1:27" ht="18">
      <c r="A480" s="2714"/>
      <c r="B480" s="371">
        <v>105</v>
      </c>
      <c r="C480" s="371" t="s">
        <v>2791</v>
      </c>
      <c r="D480" s="2716">
        <f t="shared" si="36"/>
        <v>1</v>
      </c>
      <c r="E480" s="2721">
        <v>1</v>
      </c>
      <c r="F480" s="294"/>
      <c r="G480" s="2222" t="s">
        <v>2943</v>
      </c>
      <c r="H480" s="1577">
        <f t="shared" si="37"/>
        <v>257180</v>
      </c>
      <c r="I480" s="422">
        <f>H480*J480</f>
        <v>205744</v>
      </c>
      <c r="J480" s="3376">
        <v>0.8</v>
      </c>
      <c r="K480" s="439"/>
      <c r="L480" s="437"/>
      <c r="M480" s="438"/>
      <c r="N480" s="439"/>
      <c r="O480" s="437"/>
      <c r="P480" s="438"/>
      <c r="Q480" s="442"/>
      <c r="R480" s="443"/>
      <c r="S480" s="364"/>
      <c r="Z480" s="609" t="s">
        <v>273</v>
      </c>
      <c r="AA480" s="609" t="s">
        <v>2935</v>
      </c>
    </row>
    <row r="481" spans="1:31" ht="18">
      <c r="A481" s="2714"/>
      <c r="B481" s="371">
        <v>106</v>
      </c>
      <c r="C481" s="371" t="s">
        <v>2791</v>
      </c>
      <c r="D481" s="2716">
        <f t="shared" si="36"/>
        <v>1</v>
      </c>
      <c r="E481" s="2721">
        <v>1</v>
      </c>
      <c r="F481" s="294"/>
      <c r="G481" s="2222" t="s">
        <v>2944</v>
      </c>
      <c r="H481" s="1577">
        <f t="shared" si="37"/>
        <v>0</v>
      </c>
      <c r="I481" s="422">
        <f>H481*J481</f>
        <v>0</v>
      </c>
      <c r="J481" s="3376">
        <v>1</v>
      </c>
      <c r="K481" s="439"/>
      <c r="L481" s="437"/>
      <c r="M481" s="438"/>
      <c r="N481" s="439"/>
      <c r="O481" s="437"/>
      <c r="P481" s="438"/>
      <c r="Q481" s="442"/>
      <c r="R481" s="443"/>
      <c r="S481" s="364"/>
      <c r="Z481" s="609" t="s">
        <v>273</v>
      </c>
      <c r="AA481" s="609" t="s">
        <v>2935</v>
      </c>
    </row>
    <row r="482" spans="1:31" ht="18">
      <c r="A482" s="2714"/>
      <c r="B482" s="371">
        <v>107</v>
      </c>
      <c r="C482" s="371" t="s">
        <v>2791</v>
      </c>
      <c r="D482" s="2716">
        <f t="shared" si="36"/>
        <v>0</v>
      </c>
      <c r="E482" s="2721">
        <v>1</v>
      </c>
      <c r="F482" s="294"/>
      <c r="G482" s="2222" t="s">
        <v>2792</v>
      </c>
      <c r="H482" s="1577"/>
      <c r="I482" s="422"/>
      <c r="J482" s="388"/>
      <c r="K482" s="439"/>
      <c r="L482" s="437"/>
      <c r="M482" s="438"/>
      <c r="N482" s="439"/>
      <c r="O482" s="437"/>
      <c r="P482" s="438"/>
      <c r="Q482" s="442"/>
      <c r="R482" s="443"/>
      <c r="S482" s="364"/>
      <c r="Z482" s="609" t="s">
        <v>273</v>
      </c>
      <c r="AA482" s="609" t="s">
        <v>2935</v>
      </c>
    </row>
    <row r="483" spans="1:31" ht="18.75" thickBot="1">
      <c r="A483" s="2714"/>
      <c r="B483" s="371"/>
      <c r="C483" s="371"/>
      <c r="D483" s="2716">
        <f t="shared" si="36"/>
        <v>1</v>
      </c>
      <c r="E483" s="2721" t="s">
        <v>2751</v>
      </c>
      <c r="F483" s="293"/>
      <c r="G483" s="2234" t="s">
        <v>2752</v>
      </c>
      <c r="H483" s="2235">
        <f>SUMPRODUCT($E472:$E482,H472:H482)</f>
        <v>18436472.039999999</v>
      </c>
      <c r="I483" s="2235">
        <f>SUMPRODUCT($E472:$E482,I472:I482)</f>
        <v>2522257.4700000002</v>
      </c>
      <c r="J483" s="2244"/>
      <c r="K483" s="439"/>
      <c r="L483" s="437"/>
      <c r="M483" s="1508"/>
      <c r="N483" s="439"/>
      <c r="O483" s="437"/>
      <c r="P483" s="1508"/>
      <c r="Q483" s="442"/>
      <c r="R483" s="443"/>
      <c r="S483" s="364"/>
      <c r="Z483" s="609" t="s">
        <v>273</v>
      </c>
      <c r="AA483" s="609" t="s">
        <v>2935</v>
      </c>
    </row>
    <row r="484" spans="1:31" ht="18">
      <c r="A484" s="2714"/>
      <c r="B484" s="371"/>
      <c r="C484" s="371" t="s">
        <v>2755</v>
      </c>
      <c r="D484" s="2716"/>
      <c r="F484" s="293"/>
      <c r="G484" s="376"/>
      <c r="H484" s="1576"/>
      <c r="I484" s="396"/>
      <c r="J484" s="393"/>
      <c r="K484" s="426"/>
      <c r="L484" s="427"/>
      <c r="M484" s="425"/>
      <c r="N484" s="426"/>
      <c r="O484" s="427"/>
      <c r="P484" s="425"/>
      <c r="Q484" s="442"/>
      <c r="R484" s="443"/>
      <c r="S484" s="364"/>
      <c r="Z484" s="609" t="s">
        <v>273</v>
      </c>
      <c r="AA484" s="609" t="s">
        <v>2935</v>
      </c>
    </row>
    <row r="485" spans="1:31" ht="18" hidden="1">
      <c r="A485" s="2714" t="s">
        <v>386</v>
      </c>
      <c r="B485" s="371">
        <v>1</v>
      </c>
      <c r="C485" s="371"/>
      <c r="D485" s="2716" t="str">
        <f>VLOOKUP($A485,Sheet_NoteList,2,0)</f>
        <v>应收账款按种类列示</v>
      </c>
      <c r="E485" s="2716" t="s">
        <v>6613</v>
      </c>
      <c r="F485" s="294"/>
      <c r="G485" s="307" t="str">
        <f>"("&amp;B485&amp;")"&amp;D485</f>
        <v>(1)应收账款按种类列示</v>
      </c>
      <c r="H485" s="1517" t="str">
        <f>$A485</f>
        <v>1122a</v>
      </c>
      <c r="I485" s="343" t="s">
        <v>6616</v>
      </c>
      <c r="J485" s="301" t="s">
        <v>6614</v>
      </c>
      <c r="K485" s="344">
        <f>L498</f>
        <v>0</v>
      </c>
      <c r="L485" s="345" t="str">
        <f>IF($I485="适用",IF(ROUND($K$316-K485,2)=0,"F/S",ROUND($K$316-K485,2)),"#N/A")</f>
        <v>#N/A</v>
      </c>
      <c r="M485" s="301" t="s">
        <v>6615</v>
      </c>
      <c r="N485" s="344">
        <f>N500</f>
        <v>0</v>
      </c>
      <c r="O485" s="315"/>
      <c r="P485" s="301"/>
      <c r="Q485" s="290" t="str">
        <f>IF($I485="不适用","",IF(ROUND(SUM($H$490:$L$498),2)=0,"请输入",""))</f>
        <v/>
      </c>
      <c r="S485" s="364"/>
      <c r="Z485" s="609" t="s">
        <v>273</v>
      </c>
      <c r="AA485" s="609" t="s">
        <v>2935</v>
      </c>
      <c r="AE485" s="369" t="s">
        <v>2761</v>
      </c>
    </row>
    <row r="486" spans="1:31" ht="0.75" hidden="1" customHeight="1">
      <c r="A486" s="2714"/>
      <c r="B486" s="371"/>
      <c r="C486" s="371"/>
      <c r="D486" s="371"/>
      <c r="F486" s="293"/>
      <c r="G486" s="293" t="s">
        <v>2967</v>
      </c>
      <c r="H486" s="293" t="s">
        <v>2882</v>
      </c>
      <c r="I486" s="293" t="s">
        <v>2883</v>
      </c>
      <c r="J486" s="293" t="s">
        <v>2884</v>
      </c>
      <c r="K486" s="293" t="s">
        <v>2885</v>
      </c>
      <c r="L486" s="293" t="s">
        <v>2886</v>
      </c>
      <c r="M486" s="291"/>
      <c r="N486" s="291"/>
      <c r="O486" s="291"/>
      <c r="P486" s="291"/>
      <c r="S486" s="364"/>
      <c r="Z486" s="609" t="s">
        <v>273</v>
      </c>
      <c r="AA486" s="609" t="s">
        <v>2935</v>
      </c>
      <c r="AE486" s="369" t="s">
        <v>2761</v>
      </c>
    </row>
    <row r="487" spans="1:31" ht="0.75" hidden="1" customHeight="1" thickBot="1">
      <c r="A487" s="2714"/>
      <c r="B487" s="371"/>
      <c r="C487" s="371"/>
      <c r="D487" s="371"/>
      <c r="F487" s="293"/>
      <c r="G487" s="293"/>
      <c r="H487" s="293" t="s">
        <v>2968</v>
      </c>
      <c r="I487" s="293" t="s">
        <v>2969</v>
      </c>
      <c r="J487" s="293" t="s">
        <v>2970</v>
      </c>
      <c r="K487" s="293" t="s">
        <v>2971</v>
      </c>
      <c r="L487" s="293" t="s">
        <v>2972</v>
      </c>
      <c r="M487" s="291"/>
      <c r="N487" s="291"/>
      <c r="O487" s="291"/>
      <c r="P487" s="291"/>
      <c r="S487" s="364"/>
      <c r="Z487" s="609" t="s">
        <v>273</v>
      </c>
      <c r="AA487" s="609" t="s">
        <v>2935</v>
      </c>
      <c r="AE487" s="369" t="s">
        <v>2761</v>
      </c>
    </row>
    <row r="488" spans="1:31" ht="18" hidden="1">
      <c r="A488" s="2714"/>
      <c r="B488" s="371"/>
      <c r="C488" s="371"/>
      <c r="D488" s="371"/>
      <c r="E488" s="2716" t="s">
        <v>2749</v>
      </c>
      <c r="F488" s="294"/>
      <c r="G488" s="3520" t="s">
        <v>2973</v>
      </c>
      <c r="H488" s="3539" t="str">
        <f>$V$2</f>
        <v>2019年12月31日</v>
      </c>
      <c r="I488" s="3462"/>
      <c r="J488" s="3462"/>
      <c r="K488" s="3462"/>
      <c r="L488" s="3463"/>
      <c r="M488" s="424" t="s">
        <v>5990</v>
      </c>
      <c r="N488" s="291"/>
      <c r="O488" s="291"/>
      <c r="P488" s="291"/>
      <c r="S488" s="364"/>
      <c r="Z488" s="609" t="s">
        <v>273</v>
      </c>
      <c r="AA488" s="609" t="s">
        <v>2935</v>
      </c>
      <c r="AE488" s="369" t="s">
        <v>2761</v>
      </c>
    </row>
    <row r="489" spans="1:31" ht="24.75" hidden="1">
      <c r="A489" s="2714"/>
      <c r="B489" s="371"/>
      <c r="C489" s="371"/>
      <c r="D489" s="371"/>
      <c r="E489" s="2716" t="s">
        <v>2749</v>
      </c>
      <c r="F489" s="294"/>
      <c r="G489" s="3515"/>
      <c r="H489" s="448" t="s">
        <v>2861</v>
      </c>
      <c r="I489" s="2573" t="s">
        <v>6125</v>
      </c>
      <c r="J489" s="448" t="s">
        <v>2974</v>
      </c>
      <c r="K489" s="462" t="s">
        <v>2975</v>
      </c>
      <c r="L489" s="463" t="s">
        <v>2994</v>
      </c>
      <c r="M489" s="291"/>
      <c r="N489" s="291"/>
      <c r="O489" s="291"/>
      <c r="P489" s="291"/>
      <c r="S489" s="364"/>
      <c r="Z489" s="609" t="s">
        <v>273</v>
      </c>
      <c r="AA489" s="609" t="s">
        <v>2935</v>
      </c>
      <c r="AE489" s="369" t="s">
        <v>2761</v>
      </c>
    </row>
    <row r="490" spans="1:31" ht="24" hidden="1">
      <c r="A490" s="2714"/>
      <c r="B490" s="371">
        <v>101</v>
      </c>
      <c r="C490" s="371"/>
      <c r="D490" s="2716">
        <f t="shared" ref="D490:D498" si="38">IF(OR(G490="*",G490="",G490=0),0,COUNTIF($G$490:$G$498,G490))</f>
        <v>1</v>
      </c>
      <c r="E490" s="2721">
        <v>1</v>
      </c>
      <c r="F490" s="294"/>
      <c r="G490" s="308" t="s">
        <v>2976</v>
      </c>
      <c r="H490" s="309"/>
      <c r="I490" s="360" t="str">
        <f>IF(H$498*H490=0,"",ROUND(H490*100/H$498,2))</f>
        <v/>
      </c>
      <c r="J490" s="309"/>
      <c r="K490" s="360" t="str">
        <f>IF(H490*J490=0,"",ROUND(J490*100/H490,2))</f>
        <v/>
      </c>
      <c r="L490" s="346">
        <f>H490-J490</f>
        <v>0</v>
      </c>
      <c r="M490" s="1533" t="str">
        <f ca="1">HYPERLINK("#'"&amp;$G$1&amp;"'!"&amp;ADDRESS(ROW(Notes!H529),COLUMN(Notes!H529),4),"* 请勿删除此行！点击往勾稽单元格，F5+Enter返回")</f>
        <v>* 请勿删除此行！点击往勾稽单元格，F5+Enter返回</v>
      </c>
      <c r="N490" s="291"/>
      <c r="O490" s="291"/>
      <c r="P490" s="291"/>
      <c r="S490" s="364"/>
      <c r="Z490" s="609" t="s">
        <v>273</v>
      </c>
      <c r="AA490" s="609" t="s">
        <v>2935</v>
      </c>
      <c r="AC490" s="369" t="s">
        <v>6573</v>
      </c>
      <c r="AE490" s="369" t="s">
        <v>2761</v>
      </c>
    </row>
    <row r="491" spans="1:31" ht="24" hidden="1">
      <c r="A491" s="2714"/>
      <c r="B491" s="371">
        <v>102</v>
      </c>
      <c r="C491" s="371"/>
      <c r="D491" s="2716">
        <f t="shared" si="38"/>
        <v>1</v>
      </c>
      <c r="E491" s="2721" t="s">
        <v>41</v>
      </c>
      <c r="F491" s="294"/>
      <c r="G491" s="308" t="s">
        <v>2977</v>
      </c>
      <c r="H491" s="309"/>
      <c r="I491" s="360"/>
      <c r="J491" s="309"/>
      <c r="K491" s="360"/>
      <c r="L491" s="346"/>
      <c r="M491" s="291"/>
      <c r="N491" s="291"/>
      <c r="O491" s="291"/>
      <c r="P491" s="291"/>
      <c r="S491" s="364"/>
      <c r="Z491" s="609" t="s">
        <v>273</v>
      </c>
      <c r="AA491" s="609" t="s">
        <v>2935</v>
      </c>
      <c r="AE491" s="369" t="s">
        <v>2761</v>
      </c>
    </row>
    <row r="492" spans="1:31" ht="18" hidden="1">
      <c r="A492" s="2714"/>
      <c r="B492" s="371">
        <v>102.001</v>
      </c>
      <c r="C492" s="371" t="s">
        <v>2791</v>
      </c>
      <c r="D492" s="2716">
        <f t="shared" si="38"/>
        <v>1</v>
      </c>
      <c r="E492" s="2721" t="s">
        <v>2978</v>
      </c>
      <c r="F492" s="294"/>
      <c r="G492" s="2625" t="s">
        <v>2979</v>
      </c>
      <c r="H492" s="309"/>
      <c r="I492" s="360" t="str">
        <f>IF(H$498*H492=0,"",ROUND(H492*100/H$498,2))</f>
        <v/>
      </c>
      <c r="J492" s="309"/>
      <c r="K492" s="464"/>
      <c r="L492" s="346">
        <f>H492-J492</f>
        <v>0</v>
      </c>
      <c r="M492" s="1533" t="str">
        <f ca="1">HYPERLINK("#'"&amp;$G$1&amp;"'!"&amp;ADDRESS(ROW(Notes!H553),COLUMN(Notes!H553),4),"* 请勿删除此行！点击往勾稽单元格，F5+Enter返回")</f>
        <v>* 请勿删除此行！点击往勾稽单元格，F5+Enter返回</v>
      </c>
      <c r="N492" s="291"/>
      <c r="O492" s="291"/>
      <c r="P492" s="291"/>
      <c r="S492" s="364"/>
      <c r="Z492" s="609" t="s">
        <v>273</v>
      </c>
      <c r="AA492" s="609" t="s">
        <v>2935</v>
      </c>
      <c r="AC492" s="369" t="s">
        <v>6573</v>
      </c>
      <c r="AE492" s="369" t="s">
        <v>2761</v>
      </c>
    </row>
    <row r="493" spans="1:31" ht="18" hidden="1">
      <c r="A493" s="2714"/>
      <c r="B493" s="371">
        <v>102.002</v>
      </c>
      <c r="C493" s="371" t="s">
        <v>2791</v>
      </c>
      <c r="D493" s="2716">
        <f t="shared" si="38"/>
        <v>1</v>
      </c>
      <c r="E493" s="2721" t="s">
        <v>2978</v>
      </c>
      <c r="F493" s="294"/>
      <c r="G493" s="319" t="s">
        <v>2980</v>
      </c>
      <c r="H493" s="309"/>
      <c r="I493" s="360" t="str">
        <f>IF(H$498*H493=0,"",ROUND(H493*100/H$498,2))</f>
        <v/>
      </c>
      <c r="J493" s="309"/>
      <c r="K493" s="360" t="str">
        <f t="shared" ref="K493:K498" si="39">IF(H493*J493=0,"",ROUND(J493*100/H493,2))</f>
        <v/>
      </c>
      <c r="L493" s="346">
        <f>H493-J493</f>
        <v>0</v>
      </c>
      <c r="M493" s="291"/>
      <c r="N493" s="291"/>
      <c r="O493" s="291"/>
      <c r="P493" s="291"/>
      <c r="S493" s="364"/>
      <c r="Z493" s="609" t="s">
        <v>273</v>
      </c>
      <c r="AA493" s="609" t="s">
        <v>2935</v>
      </c>
      <c r="AE493" s="369" t="s">
        <v>2761</v>
      </c>
    </row>
    <row r="494" spans="1:31" ht="18" hidden="1">
      <c r="A494" s="2714"/>
      <c r="B494" s="371">
        <v>102.003</v>
      </c>
      <c r="C494" s="371" t="s">
        <v>2791</v>
      </c>
      <c r="D494" s="2716">
        <f t="shared" si="38"/>
        <v>0</v>
      </c>
      <c r="E494" s="2721" t="s">
        <v>2978</v>
      </c>
      <c r="F494" s="294"/>
      <c r="G494" s="319" t="s">
        <v>2792</v>
      </c>
      <c r="H494" s="309"/>
      <c r="I494" s="360" t="str">
        <f>IF(H$498*H494=0,"",ROUND(H494*100/H$498,2))</f>
        <v/>
      </c>
      <c r="J494" s="309"/>
      <c r="K494" s="360" t="str">
        <f t="shared" si="39"/>
        <v/>
      </c>
      <c r="L494" s="346">
        <f>H494-J494</f>
        <v>0</v>
      </c>
      <c r="M494" s="355" t="s">
        <v>2981</v>
      </c>
      <c r="N494" s="291"/>
      <c r="O494" s="291"/>
      <c r="P494" s="291"/>
      <c r="S494" s="364"/>
      <c r="Z494" s="609" t="s">
        <v>273</v>
      </c>
      <c r="AA494" s="609" t="s">
        <v>2935</v>
      </c>
      <c r="AE494" s="369" t="s">
        <v>2761</v>
      </c>
    </row>
    <row r="495" spans="1:31" ht="18" hidden="1">
      <c r="A495" s="2714"/>
      <c r="B495" s="371">
        <v>102.999</v>
      </c>
      <c r="C495" s="371" t="s">
        <v>2793</v>
      </c>
      <c r="D495" s="2716">
        <f t="shared" si="38"/>
        <v>1</v>
      </c>
      <c r="E495" s="2721">
        <v>1</v>
      </c>
      <c r="F495" s="294"/>
      <c r="G495" s="308" t="s">
        <v>2978</v>
      </c>
      <c r="H495" s="320">
        <f>SUMIF($E$490:$E$498,$G495,H$490:H$498)</f>
        <v>0</v>
      </c>
      <c r="I495" s="320"/>
      <c r="J495" s="320">
        <f>SUMIF($E$490:$E$498,$G495,J$490:J$498)</f>
        <v>0</v>
      </c>
      <c r="K495" s="360"/>
      <c r="L495" s="361">
        <f>SUMIF($E$490:$E$498,$G495,L$490:L$498)</f>
        <v>0</v>
      </c>
      <c r="M495" s="291"/>
      <c r="N495" s="291"/>
      <c r="O495" s="291"/>
      <c r="P495" s="291"/>
      <c r="S495" s="364"/>
      <c r="Z495" s="609" t="s">
        <v>273</v>
      </c>
      <c r="AA495" s="609" t="s">
        <v>2935</v>
      </c>
      <c r="AE495" s="369" t="s">
        <v>2761</v>
      </c>
    </row>
    <row r="496" spans="1:31" ht="24" hidden="1">
      <c r="A496" s="2714"/>
      <c r="B496" s="371">
        <v>103</v>
      </c>
      <c r="C496" s="371"/>
      <c r="D496" s="2716">
        <f t="shared" si="38"/>
        <v>1</v>
      </c>
      <c r="E496" s="2721">
        <v>1</v>
      </c>
      <c r="F496" s="294"/>
      <c r="G496" s="308" t="s">
        <v>2982</v>
      </c>
      <c r="H496" s="309"/>
      <c r="I496" s="360" t="str">
        <f>IF(H$498*H496=0,"",ROUND(H496*100/H$498,2))</f>
        <v/>
      </c>
      <c r="J496" s="309"/>
      <c r="K496" s="360" t="str">
        <f t="shared" si="39"/>
        <v/>
      </c>
      <c r="L496" s="346">
        <f>H496-J496</f>
        <v>0</v>
      </c>
      <c r="M496" s="291"/>
      <c r="N496" s="291"/>
      <c r="O496" s="291"/>
      <c r="P496" s="291"/>
      <c r="S496" s="364"/>
      <c r="Z496" s="609" t="s">
        <v>273</v>
      </c>
      <c r="AA496" s="609" t="s">
        <v>2935</v>
      </c>
      <c r="AE496" s="369" t="s">
        <v>2761</v>
      </c>
    </row>
    <row r="497" spans="1:31" ht="18" hidden="1">
      <c r="A497" s="2714"/>
      <c r="B497" s="371">
        <v>104</v>
      </c>
      <c r="C497" s="371" t="s">
        <v>2791</v>
      </c>
      <c r="D497" s="2716">
        <f t="shared" si="38"/>
        <v>0</v>
      </c>
      <c r="E497" s="2721">
        <v>1</v>
      </c>
      <c r="F497" s="294"/>
      <c r="G497" s="319" t="s">
        <v>2792</v>
      </c>
      <c r="H497" s="309"/>
      <c r="I497" s="360" t="str">
        <f>IF(H$498*H497=0,"",ROUND(H497*100/H$498,2))</f>
        <v/>
      </c>
      <c r="J497" s="309"/>
      <c r="K497" s="360" t="str">
        <f t="shared" si="39"/>
        <v/>
      </c>
      <c r="L497" s="346">
        <f>H497-J497</f>
        <v>0</v>
      </c>
      <c r="M497" s="291"/>
      <c r="N497" s="291"/>
      <c r="O497" s="291"/>
      <c r="P497" s="291"/>
      <c r="S497" s="364"/>
      <c r="Z497" s="609" t="s">
        <v>273</v>
      </c>
      <c r="AA497" s="609" t="s">
        <v>2935</v>
      </c>
      <c r="AE497" s="369" t="s">
        <v>2761</v>
      </c>
    </row>
    <row r="498" spans="1:31" ht="18.75" hidden="1" thickBot="1">
      <c r="A498" s="2714"/>
      <c r="B498" s="371"/>
      <c r="C498" s="371"/>
      <c r="D498" s="2716">
        <f t="shared" si="38"/>
        <v>1</v>
      </c>
      <c r="E498" s="2721" t="s">
        <v>2751</v>
      </c>
      <c r="F498" s="294"/>
      <c r="G498" s="310" t="s">
        <v>2752</v>
      </c>
      <c r="H498" s="311">
        <f>SUMPRODUCT($E489:$E497,H489:H497)</f>
        <v>0</v>
      </c>
      <c r="I498" s="465"/>
      <c r="J498" s="311">
        <f>SUMPRODUCT($E489:$E497,J489:J497)</f>
        <v>0</v>
      </c>
      <c r="K498" s="466" t="str">
        <f t="shared" si="39"/>
        <v/>
      </c>
      <c r="L498" s="347">
        <f>SUMPRODUCT($E489:$E497,L489:L497)</f>
        <v>0</v>
      </c>
      <c r="M498" s="357"/>
      <c r="N498" s="291"/>
      <c r="O498" s="291"/>
      <c r="P498" s="291"/>
      <c r="S498" s="364"/>
      <c r="Z498" s="609" t="s">
        <v>273</v>
      </c>
      <c r="AA498" s="609" t="s">
        <v>2935</v>
      </c>
      <c r="AC498" s="369" t="s">
        <v>2794</v>
      </c>
      <c r="AE498" s="369" t="s">
        <v>2761</v>
      </c>
    </row>
    <row r="499" spans="1:31" ht="18" hidden="1">
      <c r="A499" s="2714"/>
      <c r="B499" s="371"/>
      <c r="C499" s="371" t="s">
        <v>2755</v>
      </c>
      <c r="D499" s="2716"/>
      <c r="E499" s="2721"/>
      <c r="F499" s="294"/>
      <c r="G499" s="449"/>
      <c r="H499" s="349"/>
      <c r="I499" s="291"/>
      <c r="J499" s="291"/>
      <c r="K499" s="291"/>
      <c r="L499" s="291"/>
      <c r="M499" s="357"/>
      <c r="N499" s="291"/>
      <c r="O499" s="291"/>
      <c r="P499" s="291"/>
      <c r="S499" s="364"/>
      <c r="Z499" s="609" t="s">
        <v>273</v>
      </c>
      <c r="AA499" s="609" t="s">
        <v>2935</v>
      </c>
      <c r="AE499" s="369" t="s">
        <v>2761</v>
      </c>
    </row>
    <row r="500" spans="1:31" ht="24" hidden="1">
      <c r="A500" s="2714" t="s">
        <v>392</v>
      </c>
      <c r="B500" s="371">
        <v>1</v>
      </c>
      <c r="C500" s="371"/>
      <c r="D500" s="2716" t="str">
        <f>VLOOKUP($A500,Sheet_NoteList,2,0)</f>
        <v>应收账款按种类列示（续）</v>
      </c>
      <c r="E500" s="2716" t="s">
        <v>6608</v>
      </c>
      <c r="F500" s="294"/>
      <c r="G500" s="372" t="str">
        <f>"("&amp;B500&amp;")"&amp;D500</f>
        <v>(1)应收账款按种类列示（续）</v>
      </c>
      <c r="H500" s="1517" t="str">
        <f>$A500</f>
        <v>1122b</v>
      </c>
      <c r="I500" s="343" t="s">
        <v>6616</v>
      </c>
      <c r="J500" s="301" t="s">
        <v>6615</v>
      </c>
      <c r="K500" s="423"/>
      <c r="L500" s="315"/>
      <c r="M500" s="301" t="s">
        <v>6618</v>
      </c>
      <c r="N500" s="344">
        <f>L513</f>
        <v>0</v>
      </c>
      <c r="O500" s="345" t="str">
        <f>IF($I500="适用",IF(ROUND($N$316-N500,2)=0,"F/S",ROUND($N$316-N500,2)),"#N/A")</f>
        <v>#N/A</v>
      </c>
      <c r="P500" s="301"/>
      <c r="Q500" s="290" t="str">
        <f>IF($I500="不适用","",IF(ROUND(SUM($H$505:$L$513),2)=0,"请输入",""))</f>
        <v/>
      </c>
      <c r="S500" s="364"/>
      <c r="Z500" s="609" t="s">
        <v>273</v>
      </c>
      <c r="AA500" s="609" t="s">
        <v>2935</v>
      </c>
      <c r="AE500" s="369" t="s">
        <v>2761</v>
      </c>
    </row>
    <row r="501" spans="1:31" ht="0.75" hidden="1" customHeight="1">
      <c r="A501" s="2714"/>
      <c r="B501" s="371"/>
      <c r="C501" s="371"/>
      <c r="D501" s="371"/>
      <c r="F501" s="304"/>
      <c r="G501" s="304" t="s">
        <v>2983</v>
      </c>
      <c r="H501" s="304" t="s">
        <v>2984</v>
      </c>
      <c r="I501" s="304" t="s">
        <v>2985</v>
      </c>
      <c r="J501" s="304" t="s">
        <v>2986</v>
      </c>
      <c r="K501" s="304" t="s">
        <v>2987</v>
      </c>
      <c r="L501" s="304" t="s">
        <v>2988</v>
      </c>
      <c r="M501" s="291"/>
      <c r="N501" s="291"/>
      <c r="O501" s="291"/>
      <c r="P501" s="291"/>
      <c r="S501" s="364"/>
      <c r="Z501" s="609" t="s">
        <v>273</v>
      </c>
      <c r="AA501" s="609" t="s">
        <v>2935</v>
      </c>
      <c r="AE501" s="369" t="s">
        <v>2761</v>
      </c>
    </row>
    <row r="502" spans="1:31" ht="0.75" hidden="1" customHeight="1" thickBot="1">
      <c r="A502" s="2714"/>
      <c r="B502" s="371"/>
      <c r="C502" s="371"/>
      <c r="D502" s="371"/>
      <c r="F502" s="304"/>
      <c r="G502" s="304"/>
      <c r="H502" s="304" t="s">
        <v>2989</v>
      </c>
      <c r="I502" s="304" t="s">
        <v>2990</v>
      </c>
      <c r="J502" s="304" t="s">
        <v>2991</v>
      </c>
      <c r="K502" s="304" t="s">
        <v>2992</v>
      </c>
      <c r="L502" s="304" t="s">
        <v>2993</v>
      </c>
      <c r="M502" s="291"/>
      <c r="N502" s="291"/>
      <c r="O502" s="291"/>
      <c r="P502" s="291"/>
      <c r="S502" s="364"/>
      <c r="Z502" s="609" t="s">
        <v>273</v>
      </c>
      <c r="AA502" s="609" t="s">
        <v>2935</v>
      </c>
      <c r="AE502" s="369" t="s">
        <v>2761</v>
      </c>
    </row>
    <row r="503" spans="1:31" ht="18" hidden="1">
      <c r="A503" s="2714"/>
      <c r="B503" s="371"/>
      <c r="C503" s="371"/>
      <c r="D503" s="371"/>
      <c r="E503" s="2716" t="s">
        <v>2749</v>
      </c>
      <c r="F503" s="294"/>
      <c r="G503" s="3514" t="s">
        <v>2973</v>
      </c>
      <c r="H503" s="3539" t="str">
        <f>$V$3</f>
        <v>2018年12月31日</v>
      </c>
      <c r="I503" s="3462"/>
      <c r="J503" s="3462"/>
      <c r="K503" s="3462"/>
      <c r="L503" s="3463"/>
      <c r="M503" s="424" t="s">
        <v>5990</v>
      </c>
      <c r="N503" s="291"/>
      <c r="O503" s="291"/>
      <c r="P503" s="291"/>
      <c r="S503" s="364"/>
      <c r="Z503" s="609" t="s">
        <v>273</v>
      </c>
      <c r="AA503" s="609" t="s">
        <v>2935</v>
      </c>
      <c r="AE503" s="369" t="s">
        <v>2761</v>
      </c>
    </row>
    <row r="504" spans="1:31" ht="24.75" hidden="1">
      <c r="A504" s="2714"/>
      <c r="B504" s="371"/>
      <c r="C504" s="371"/>
      <c r="D504" s="371"/>
      <c r="E504" s="2716" t="s">
        <v>2749</v>
      </c>
      <c r="F504" s="294"/>
      <c r="G504" s="3515"/>
      <c r="H504" s="451" t="s">
        <v>2861</v>
      </c>
      <c r="I504" s="467" t="s">
        <v>6126</v>
      </c>
      <c r="J504" s="451" t="s">
        <v>2974</v>
      </c>
      <c r="K504" s="467" t="s">
        <v>2975</v>
      </c>
      <c r="L504" s="468" t="s">
        <v>2994</v>
      </c>
      <c r="M504" s="291"/>
      <c r="N504" s="291"/>
      <c r="O504" s="291"/>
      <c r="P504" s="291"/>
      <c r="S504" s="364"/>
      <c r="Z504" s="609" t="s">
        <v>273</v>
      </c>
      <c r="AA504" s="609" t="s">
        <v>2935</v>
      </c>
      <c r="AE504" s="369" t="s">
        <v>2761</v>
      </c>
    </row>
    <row r="505" spans="1:31" ht="24" hidden="1">
      <c r="A505" s="2714"/>
      <c r="B505" s="371">
        <v>101</v>
      </c>
      <c r="C505" s="371"/>
      <c r="D505" s="2716">
        <f t="shared" ref="D505:D513" si="40">IF(OR(G505="*",G505="",G505=0),0,COUNTIF($G$505:$G$513,G505))</f>
        <v>1</v>
      </c>
      <c r="E505" s="2721">
        <v>1</v>
      </c>
      <c r="F505" s="294"/>
      <c r="G505" s="380" t="s">
        <v>2976</v>
      </c>
      <c r="H505" s="383"/>
      <c r="I505" s="469" t="str">
        <f>IF(H$513*H505=0,"",ROUND(H505*100/H$513,2))</f>
        <v/>
      </c>
      <c r="J505" s="383"/>
      <c r="K505" s="469" t="str">
        <f>IF(H505*J505=0,"",ROUND(J505*100/H505,2))</f>
        <v/>
      </c>
      <c r="L505" s="401">
        <f>H505-J505</f>
        <v>0</v>
      </c>
      <c r="M505" s="291"/>
      <c r="N505" s="291"/>
      <c r="O505" s="291"/>
      <c r="P505" s="291"/>
      <c r="S505" s="364"/>
      <c r="Z505" s="609" t="s">
        <v>273</v>
      </c>
      <c r="AA505" s="609" t="s">
        <v>2935</v>
      </c>
      <c r="AE505" s="369" t="s">
        <v>2761</v>
      </c>
    </row>
    <row r="506" spans="1:31" ht="24" hidden="1">
      <c r="A506" s="2714"/>
      <c r="B506" s="371">
        <v>102</v>
      </c>
      <c r="C506" s="371"/>
      <c r="D506" s="2716">
        <f t="shared" si="40"/>
        <v>1</v>
      </c>
      <c r="E506" s="2721" t="s">
        <v>41</v>
      </c>
      <c r="F506" s="294"/>
      <c r="G506" s="380" t="s">
        <v>2977</v>
      </c>
      <c r="H506" s="383"/>
      <c r="I506" s="469"/>
      <c r="J506" s="383"/>
      <c r="K506" s="469"/>
      <c r="L506" s="401"/>
      <c r="M506" s="291"/>
      <c r="N506" s="291"/>
      <c r="O506" s="291"/>
      <c r="P506" s="291"/>
      <c r="S506" s="364"/>
      <c r="Z506" s="609" t="s">
        <v>273</v>
      </c>
      <c r="AA506" s="609" t="s">
        <v>2935</v>
      </c>
      <c r="AE506" s="369" t="s">
        <v>2761</v>
      </c>
    </row>
    <row r="507" spans="1:31" ht="18" hidden="1">
      <c r="A507" s="2714"/>
      <c r="B507" s="371">
        <v>102.001</v>
      </c>
      <c r="C507" s="371" t="s">
        <v>2791</v>
      </c>
      <c r="D507" s="2716">
        <f t="shared" si="40"/>
        <v>1</v>
      </c>
      <c r="E507" s="2721" t="s">
        <v>2978</v>
      </c>
      <c r="F507" s="294"/>
      <c r="G507" s="409" t="s">
        <v>2979</v>
      </c>
      <c r="H507" s="383"/>
      <c r="I507" s="469" t="str">
        <f>IF(H$513*H507=0,"",ROUND(H507*100/H$513,2))</f>
        <v/>
      </c>
      <c r="J507" s="383"/>
      <c r="K507" s="469" t="str">
        <f t="shared" ref="K507:K513" si="41">IF(H507*J507=0,"",ROUND(J507*100/H507,2))</f>
        <v/>
      </c>
      <c r="L507" s="401">
        <f>H507-J507</f>
        <v>0</v>
      </c>
      <c r="M507" s="357"/>
      <c r="N507" s="291"/>
      <c r="O507" s="291"/>
      <c r="P507" s="291"/>
      <c r="S507" s="364"/>
      <c r="Z507" s="609" t="s">
        <v>273</v>
      </c>
      <c r="AA507" s="609" t="s">
        <v>2935</v>
      </c>
      <c r="AC507" s="369" t="s">
        <v>2794</v>
      </c>
      <c r="AE507" s="369" t="s">
        <v>2761</v>
      </c>
    </row>
    <row r="508" spans="1:31" ht="18" hidden="1">
      <c r="A508" s="2714"/>
      <c r="B508" s="371">
        <v>102.002</v>
      </c>
      <c r="C508" s="371" t="s">
        <v>2791</v>
      </c>
      <c r="D508" s="2716">
        <f t="shared" si="40"/>
        <v>1</v>
      </c>
      <c r="E508" s="2721" t="s">
        <v>2978</v>
      </c>
      <c r="F508" s="294"/>
      <c r="G508" s="409" t="s">
        <v>2980</v>
      </c>
      <c r="H508" s="383"/>
      <c r="I508" s="469" t="str">
        <f>IF(H$513*H508=0,"",ROUND(H508*100/H$513,2))</f>
        <v/>
      </c>
      <c r="J508" s="383"/>
      <c r="K508" s="469" t="str">
        <f t="shared" si="41"/>
        <v/>
      </c>
      <c r="L508" s="401">
        <f>H508-J508</f>
        <v>0</v>
      </c>
      <c r="M508" s="291"/>
      <c r="N508" s="291"/>
      <c r="O508" s="291"/>
      <c r="P508" s="291"/>
      <c r="S508" s="364"/>
      <c r="Z508" s="609" t="s">
        <v>273</v>
      </c>
      <c r="AA508" s="609" t="s">
        <v>2935</v>
      </c>
      <c r="AE508" s="369" t="s">
        <v>2761</v>
      </c>
    </row>
    <row r="509" spans="1:31" ht="18" hidden="1">
      <c r="A509" s="2714"/>
      <c r="B509" s="371">
        <v>102.003</v>
      </c>
      <c r="C509" s="371" t="s">
        <v>2791</v>
      </c>
      <c r="D509" s="2716">
        <f t="shared" si="40"/>
        <v>0</v>
      </c>
      <c r="E509" s="2721" t="s">
        <v>2978</v>
      </c>
      <c r="F509" s="294"/>
      <c r="G509" s="409" t="s">
        <v>2792</v>
      </c>
      <c r="H509" s="383"/>
      <c r="I509" s="469" t="str">
        <f>IF(H$513*H509=0,"",ROUND(H509*100/H$513,2))</f>
        <v/>
      </c>
      <c r="J509" s="383"/>
      <c r="K509" s="469" t="str">
        <f t="shared" si="41"/>
        <v/>
      </c>
      <c r="L509" s="401">
        <f>H509-J509</f>
        <v>0</v>
      </c>
      <c r="M509" s="355" t="s">
        <v>2981</v>
      </c>
      <c r="N509" s="291"/>
      <c r="O509" s="291"/>
      <c r="P509" s="291"/>
      <c r="S509" s="364"/>
      <c r="Z509" s="609" t="s">
        <v>273</v>
      </c>
      <c r="AA509" s="609" t="s">
        <v>2935</v>
      </c>
      <c r="AE509" s="369" t="s">
        <v>2761</v>
      </c>
    </row>
    <row r="510" spans="1:31" ht="18" hidden="1">
      <c r="A510" s="2714"/>
      <c r="B510" s="371">
        <v>102.999</v>
      </c>
      <c r="C510" s="371" t="s">
        <v>2793</v>
      </c>
      <c r="D510" s="2716">
        <f t="shared" si="40"/>
        <v>1</v>
      </c>
      <c r="E510" s="2721">
        <v>1</v>
      </c>
      <c r="F510" s="294"/>
      <c r="G510" s="380" t="s">
        <v>2978</v>
      </c>
      <c r="H510" s="381">
        <f>SUMIF($E$505:$E$513,$G510,H$505:H$513)</f>
        <v>0</v>
      </c>
      <c r="I510" s="381"/>
      <c r="J510" s="381">
        <f>SUMIF($E$505:$E$513,$G510,J$505:J$513)</f>
        <v>0</v>
      </c>
      <c r="K510" s="469" t="str">
        <f t="shared" si="41"/>
        <v/>
      </c>
      <c r="L510" s="400">
        <f>SUMIF($E$505:$E$513,$G510,L$505:L$513)</f>
        <v>0</v>
      </c>
      <c r="M510" s="291"/>
      <c r="N510" s="291"/>
      <c r="O510" s="291"/>
      <c r="P510" s="291"/>
      <c r="S510" s="364"/>
      <c r="Z510" s="609" t="s">
        <v>273</v>
      </c>
      <c r="AA510" s="609" t="s">
        <v>2935</v>
      </c>
      <c r="AE510" s="369" t="s">
        <v>2761</v>
      </c>
    </row>
    <row r="511" spans="1:31" ht="24" hidden="1">
      <c r="A511" s="2714"/>
      <c r="B511" s="371">
        <v>103</v>
      </c>
      <c r="C511" s="371"/>
      <c r="D511" s="2716">
        <f t="shared" si="40"/>
        <v>1</v>
      </c>
      <c r="E511" s="2721">
        <v>1</v>
      </c>
      <c r="F511" s="294"/>
      <c r="G511" s="380" t="s">
        <v>2982</v>
      </c>
      <c r="H511" s="383"/>
      <c r="I511" s="469" t="str">
        <f>IF(H$513*H511=0,"",ROUND(H511*100/H$513,2))</f>
        <v/>
      </c>
      <c r="J511" s="383"/>
      <c r="K511" s="469" t="str">
        <f t="shared" si="41"/>
        <v/>
      </c>
      <c r="L511" s="401">
        <f>H511-J511</f>
        <v>0</v>
      </c>
      <c r="M511" s="291"/>
      <c r="N511" s="291"/>
      <c r="O511" s="291"/>
      <c r="P511" s="291"/>
      <c r="S511" s="364"/>
      <c r="Z511" s="609" t="s">
        <v>273</v>
      </c>
      <c r="AA511" s="609" t="s">
        <v>2935</v>
      </c>
      <c r="AE511" s="369" t="s">
        <v>2761</v>
      </c>
    </row>
    <row r="512" spans="1:31" ht="18" hidden="1">
      <c r="A512" s="2714"/>
      <c r="B512" s="371">
        <v>104</v>
      </c>
      <c r="C512" s="371" t="s">
        <v>2791</v>
      </c>
      <c r="D512" s="2716">
        <f t="shared" si="40"/>
        <v>0</v>
      </c>
      <c r="E512" s="2721">
        <v>1</v>
      </c>
      <c r="F512" s="294"/>
      <c r="G512" s="409" t="s">
        <v>2792</v>
      </c>
      <c r="H512" s="383"/>
      <c r="I512" s="469" t="str">
        <f>IF(H$513*H512=0,"",ROUND(H512*100/H$513,2))</f>
        <v/>
      </c>
      <c r="J512" s="383"/>
      <c r="K512" s="469" t="str">
        <f t="shared" si="41"/>
        <v/>
      </c>
      <c r="L512" s="401">
        <f>H512-J512</f>
        <v>0</v>
      </c>
      <c r="M512" s="291"/>
      <c r="N512" s="291"/>
      <c r="O512" s="291"/>
      <c r="P512" s="291"/>
      <c r="S512" s="364"/>
      <c r="Z512" s="609" t="s">
        <v>273</v>
      </c>
      <c r="AA512" s="609" t="s">
        <v>2935</v>
      </c>
      <c r="AE512" s="369" t="s">
        <v>2761</v>
      </c>
    </row>
    <row r="513" spans="1:31" ht="18.75" hidden="1" thickBot="1">
      <c r="A513" s="2714"/>
      <c r="B513" s="371"/>
      <c r="C513" s="371"/>
      <c r="D513" s="2716">
        <f t="shared" si="40"/>
        <v>1</v>
      </c>
      <c r="E513" s="2721" t="s">
        <v>2751</v>
      </c>
      <c r="F513" s="294"/>
      <c r="G513" s="452" t="s">
        <v>2752</v>
      </c>
      <c r="H513" s="453">
        <f>SUMPRODUCT($E504:$E512,H504:H512)</f>
        <v>0</v>
      </c>
      <c r="I513" s="453">
        <f>SUMPRODUCT($E504:$E512,I504:I512)</f>
        <v>0</v>
      </c>
      <c r="J513" s="453">
        <f>SUMPRODUCT($E504:$E512,J504:J512)</f>
        <v>0</v>
      </c>
      <c r="K513" s="470" t="str">
        <f t="shared" si="41"/>
        <v/>
      </c>
      <c r="L513" s="471">
        <f>SUMPRODUCT($E504:$E512,L504:L512)</f>
        <v>0</v>
      </c>
      <c r="M513" s="357"/>
      <c r="N513" s="291"/>
      <c r="O513" s="291"/>
      <c r="P513" s="291"/>
      <c r="S513" s="364"/>
      <c r="Z513" s="609" t="s">
        <v>273</v>
      </c>
      <c r="AA513" s="609" t="s">
        <v>2935</v>
      </c>
      <c r="AC513" s="369" t="s">
        <v>2794</v>
      </c>
      <c r="AE513" s="369" t="s">
        <v>2761</v>
      </c>
    </row>
    <row r="514" spans="1:31" ht="18" hidden="1">
      <c r="A514" s="2714"/>
      <c r="B514" s="371"/>
      <c r="C514" s="371" t="s">
        <v>2755</v>
      </c>
      <c r="D514" s="2716"/>
      <c r="E514" s="2721"/>
      <c r="F514" s="294"/>
      <c r="G514" s="291"/>
      <c r="H514" s="291"/>
      <c r="I514" s="291"/>
      <c r="J514" s="291"/>
      <c r="K514" s="291"/>
      <c r="L514" s="291"/>
      <c r="M514" s="357"/>
      <c r="N514" s="291"/>
      <c r="O514" s="291"/>
      <c r="P514" s="291"/>
      <c r="S514" s="364"/>
      <c r="Z514" s="609" t="s">
        <v>273</v>
      </c>
      <c r="AA514" s="609" t="s">
        <v>2935</v>
      </c>
      <c r="AE514" s="369" t="s">
        <v>2761</v>
      </c>
    </row>
    <row r="515" spans="1:31" ht="24" hidden="1">
      <c r="A515" s="2714" t="s">
        <v>322</v>
      </c>
      <c r="B515" s="371">
        <v>2</v>
      </c>
      <c r="C515" s="371"/>
      <c r="D515" s="2716" t="str">
        <f>VLOOKUP($A515,Sheet_NoteList,2,0)</f>
        <v>期末单项金额重大并单项计提坏账准备的应收账款</v>
      </c>
      <c r="E515" s="2716" t="s">
        <v>6608</v>
      </c>
      <c r="F515" s="294"/>
      <c r="G515" s="372" t="str">
        <f>"("&amp;B515&amp;")"&amp;D515</f>
        <v>(2)期末单项金额重大并单项计提坏账准备的应收账款</v>
      </c>
      <c r="H515" s="1517" t="str">
        <f>$A515</f>
        <v>1122g</v>
      </c>
      <c r="I515" s="343" t="s">
        <v>6616</v>
      </c>
      <c r="J515" s="301" t="s">
        <v>6614</v>
      </c>
      <c r="K515" s="344">
        <f>H526</f>
        <v>0</v>
      </c>
      <c r="L515" s="345"/>
      <c r="M515" s="301" t="s">
        <v>6615</v>
      </c>
      <c r="N515" s="423"/>
      <c r="O515" s="345"/>
      <c r="P515" s="301"/>
      <c r="Q515" s="290" t="str">
        <f>IF($I515="不适用","",IF(ROUND(SUM($H$520:$K$526),2)=0,"请输入",""))</f>
        <v/>
      </c>
      <c r="S515" s="364"/>
      <c r="Z515" s="609" t="s">
        <v>273</v>
      </c>
      <c r="AA515" s="609" t="s">
        <v>2935</v>
      </c>
      <c r="AE515" s="369" t="s">
        <v>2761</v>
      </c>
    </row>
    <row r="516" spans="1:31" ht="0.75" hidden="1" customHeight="1">
      <c r="A516" s="2714"/>
      <c r="B516" s="371"/>
      <c r="C516" s="371"/>
      <c r="D516" s="371"/>
      <c r="F516" s="371"/>
      <c r="G516" s="371" t="s">
        <v>2995</v>
      </c>
      <c r="H516" s="371" t="s">
        <v>2849</v>
      </c>
      <c r="I516" s="371" t="s">
        <v>2996</v>
      </c>
      <c r="J516" s="371" t="s">
        <v>2997</v>
      </c>
      <c r="K516" s="371" t="s">
        <v>2998</v>
      </c>
      <c r="L516" s="472"/>
      <c r="M516" s="472"/>
      <c r="N516" s="472"/>
      <c r="O516" s="472"/>
      <c r="P516" s="442"/>
      <c r="Q516" s="442"/>
      <c r="R516" s="443"/>
      <c r="S516" s="364"/>
      <c r="Z516" s="609" t="s">
        <v>273</v>
      </c>
      <c r="AA516" s="609" t="s">
        <v>2935</v>
      </c>
      <c r="AE516" s="369" t="s">
        <v>2761</v>
      </c>
    </row>
    <row r="517" spans="1:31" ht="0.75" hidden="1" customHeight="1" thickBot="1">
      <c r="A517" s="2714"/>
      <c r="B517" s="371"/>
      <c r="C517" s="371"/>
      <c r="D517" s="371"/>
      <c r="F517" s="371"/>
      <c r="G517" s="371"/>
      <c r="H517" s="371" t="s">
        <v>6184</v>
      </c>
      <c r="I517" s="371" t="s">
        <v>6185</v>
      </c>
      <c r="J517" s="371" t="s">
        <v>6186</v>
      </c>
      <c r="K517" s="371" t="s">
        <v>6187</v>
      </c>
      <c r="L517" s="472"/>
      <c r="M517" s="472"/>
      <c r="N517" s="472"/>
      <c r="O517" s="472"/>
      <c r="P517" s="442"/>
      <c r="Q517" s="442"/>
      <c r="R517" s="443"/>
      <c r="S517" s="364"/>
      <c r="Z517" s="609" t="s">
        <v>273</v>
      </c>
      <c r="AA517" s="609" t="s">
        <v>2935</v>
      </c>
      <c r="AE517" s="369" t="s">
        <v>2761</v>
      </c>
    </row>
    <row r="518" spans="1:31" ht="17.25" hidden="1" customHeight="1">
      <c r="A518" s="2714"/>
      <c r="B518" s="371"/>
      <c r="C518" s="371"/>
      <c r="D518" s="371"/>
      <c r="E518" s="2716" t="s">
        <v>2749</v>
      </c>
      <c r="F518" s="304"/>
      <c r="G518" s="3520" t="s">
        <v>3000</v>
      </c>
      <c r="H518" s="3540" t="str">
        <f>$V$2</f>
        <v>2019年12月31日</v>
      </c>
      <c r="I518" s="3540"/>
      <c r="J518" s="3540"/>
      <c r="K518" s="3541"/>
      <c r="L518" s="424" t="s">
        <v>5990</v>
      </c>
      <c r="M518" s="472"/>
      <c r="N518" s="472"/>
      <c r="O518" s="472"/>
      <c r="P518" s="442"/>
      <c r="Q518" s="442"/>
      <c r="R518" s="443"/>
      <c r="S518" s="364"/>
      <c r="Z518" s="609" t="s">
        <v>273</v>
      </c>
      <c r="AA518" s="609" t="s">
        <v>2935</v>
      </c>
      <c r="AE518" s="369" t="s">
        <v>2761</v>
      </c>
    </row>
    <row r="519" spans="1:31" ht="18" hidden="1">
      <c r="A519" s="2714"/>
      <c r="B519" s="371"/>
      <c r="C519" s="371"/>
      <c r="D519" s="371"/>
      <c r="E519" s="2716" t="s">
        <v>2749</v>
      </c>
      <c r="F519" s="294"/>
      <c r="G519" s="3511"/>
      <c r="H519" s="358" t="s">
        <v>2861</v>
      </c>
      <c r="I519" s="318" t="s">
        <v>2862</v>
      </c>
      <c r="J519" s="318" t="s">
        <v>3001</v>
      </c>
      <c r="K519" s="359" t="s">
        <v>2899</v>
      </c>
      <c r="L519" s="472"/>
      <c r="M519" s="472"/>
      <c r="N519" s="472"/>
      <c r="O519" s="472"/>
      <c r="P519" s="442"/>
      <c r="Q519" s="442"/>
      <c r="R519" s="443"/>
      <c r="S519" s="364"/>
      <c r="Z519" s="609" t="s">
        <v>273</v>
      </c>
      <c r="AA519" s="609" t="s">
        <v>2935</v>
      </c>
      <c r="AE519" s="369" t="s">
        <v>2761</v>
      </c>
    </row>
    <row r="520" spans="1:31" ht="18" hidden="1">
      <c r="A520" s="2714"/>
      <c r="B520" s="371">
        <v>101</v>
      </c>
      <c r="C520" s="371" t="s">
        <v>2791</v>
      </c>
      <c r="D520" s="2716">
        <f t="shared" ref="D520:D526" si="42">IF(OR(G520="*",G520="",G520=0),0,COUNTIF($G$520:$G$526,G520))</f>
        <v>0</v>
      </c>
      <c r="E520" s="2721">
        <v>1</v>
      </c>
      <c r="F520" s="294"/>
      <c r="G520" s="319" t="s">
        <v>2792</v>
      </c>
      <c r="H520" s="309"/>
      <c r="I520" s="309"/>
      <c r="J520" s="360" t="str">
        <f t="shared" ref="J520:J526" si="43">IF(H520*I520=0,"",ROUND(I520*100/H520,2))</f>
        <v/>
      </c>
      <c r="K520" s="388"/>
      <c r="L520" s="473"/>
      <c r="M520" s="472"/>
      <c r="N520" s="472"/>
      <c r="O520" s="472"/>
      <c r="P520" s="442"/>
      <c r="Q520" s="442"/>
      <c r="R520" s="443"/>
      <c r="S520" s="364"/>
      <c r="Z520" s="609" t="s">
        <v>273</v>
      </c>
      <c r="AA520" s="609" t="s">
        <v>2935</v>
      </c>
      <c r="AE520" s="369" t="s">
        <v>2761</v>
      </c>
    </row>
    <row r="521" spans="1:31" ht="18" hidden="1">
      <c r="A521" s="2714"/>
      <c r="B521" s="371">
        <v>102</v>
      </c>
      <c r="C521" s="371" t="s">
        <v>2791</v>
      </c>
      <c r="D521" s="2716">
        <f t="shared" si="42"/>
        <v>0</v>
      </c>
      <c r="E521" s="2721">
        <v>1</v>
      </c>
      <c r="F521" s="294"/>
      <c r="G521" s="319" t="s">
        <v>2792</v>
      </c>
      <c r="H521" s="309"/>
      <c r="I521" s="309"/>
      <c r="J521" s="360" t="str">
        <f t="shared" si="43"/>
        <v/>
      </c>
      <c r="K521" s="388"/>
      <c r="L521" s="472"/>
      <c r="M521" s="472"/>
      <c r="N521" s="472"/>
      <c r="O521" s="472"/>
      <c r="P521" s="442"/>
      <c r="Q521" s="442"/>
      <c r="R521" s="443"/>
      <c r="S521" s="364"/>
      <c r="Z521" s="609" t="s">
        <v>273</v>
      </c>
      <c r="AA521" s="609" t="s">
        <v>2935</v>
      </c>
      <c r="AE521" s="369" t="s">
        <v>2761</v>
      </c>
    </row>
    <row r="522" spans="1:31" ht="18" hidden="1">
      <c r="A522" s="2714"/>
      <c r="B522" s="371">
        <v>103</v>
      </c>
      <c r="C522" s="371" t="s">
        <v>2791</v>
      </c>
      <c r="D522" s="2716">
        <f t="shared" si="42"/>
        <v>0</v>
      </c>
      <c r="E522" s="2721">
        <v>1</v>
      </c>
      <c r="F522" s="294"/>
      <c r="G522" s="319" t="s">
        <v>2792</v>
      </c>
      <c r="H522" s="309"/>
      <c r="I522" s="309"/>
      <c r="J522" s="360" t="str">
        <f t="shared" si="43"/>
        <v/>
      </c>
      <c r="K522" s="388"/>
      <c r="L522" s="472"/>
      <c r="M522" s="472"/>
      <c r="N522" s="472"/>
      <c r="O522" s="472"/>
      <c r="P522" s="442"/>
      <c r="Q522" s="442"/>
      <c r="R522" s="443"/>
      <c r="S522" s="364"/>
      <c r="Z522" s="609" t="s">
        <v>273</v>
      </c>
      <c r="AA522" s="609" t="s">
        <v>2935</v>
      </c>
      <c r="AE522" s="369" t="s">
        <v>2761</v>
      </c>
    </row>
    <row r="523" spans="1:31" ht="18" hidden="1">
      <c r="A523" s="2714"/>
      <c r="B523" s="371">
        <v>104</v>
      </c>
      <c r="C523" s="371" t="s">
        <v>2791</v>
      </c>
      <c r="D523" s="2716">
        <f t="shared" si="42"/>
        <v>0</v>
      </c>
      <c r="E523" s="2721">
        <v>1</v>
      </c>
      <c r="F523" s="294"/>
      <c r="G523" s="319" t="s">
        <v>2792</v>
      </c>
      <c r="H523" s="309"/>
      <c r="I523" s="309"/>
      <c r="J523" s="360" t="str">
        <f t="shared" si="43"/>
        <v/>
      </c>
      <c r="K523" s="388"/>
      <c r="L523" s="472"/>
      <c r="M523" s="472"/>
      <c r="N523" s="472"/>
      <c r="O523" s="472"/>
      <c r="P523" s="442"/>
      <c r="Q523" s="442"/>
      <c r="R523" s="443"/>
      <c r="S523" s="364"/>
      <c r="Z523" s="609" t="s">
        <v>273</v>
      </c>
      <c r="AA523" s="609" t="s">
        <v>2935</v>
      </c>
      <c r="AE523" s="369" t="s">
        <v>2761</v>
      </c>
    </row>
    <row r="524" spans="1:31" ht="18" hidden="1">
      <c r="A524" s="2714"/>
      <c r="B524" s="371">
        <v>105</v>
      </c>
      <c r="C524" s="371" t="s">
        <v>2791</v>
      </c>
      <c r="D524" s="2716">
        <f t="shared" si="42"/>
        <v>0</v>
      </c>
      <c r="E524" s="2721">
        <v>1</v>
      </c>
      <c r="F524" s="294"/>
      <c r="G524" s="319" t="s">
        <v>2792</v>
      </c>
      <c r="H524" s="309"/>
      <c r="I524" s="309"/>
      <c r="J524" s="360" t="str">
        <f t="shared" si="43"/>
        <v/>
      </c>
      <c r="K524" s="388"/>
      <c r="L524" s="472"/>
      <c r="M524" s="472"/>
      <c r="N524" s="472"/>
      <c r="O524" s="472"/>
      <c r="P524" s="442"/>
      <c r="Q524" s="442"/>
      <c r="R524" s="443"/>
      <c r="S524" s="364"/>
      <c r="Z524" s="609" t="s">
        <v>273</v>
      </c>
      <c r="AA524" s="609" t="s">
        <v>2935</v>
      </c>
      <c r="AE524" s="369" t="s">
        <v>2761</v>
      </c>
    </row>
    <row r="525" spans="1:31" ht="18" hidden="1">
      <c r="A525" s="2714"/>
      <c r="B525" s="371">
        <v>106</v>
      </c>
      <c r="C525" s="371" t="s">
        <v>2791</v>
      </c>
      <c r="D525" s="2716">
        <f t="shared" si="42"/>
        <v>0</v>
      </c>
      <c r="E525" s="2721">
        <v>1</v>
      </c>
      <c r="F525" s="294"/>
      <c r="G525" s="319" t="s">
        <v>2792</v>
      </c>
      <c r="H525" s="309"/>
      <c r="I525" s="309"/>
      <c r="J525" s="360" t="str">
        <f t="shared" ref="J525" si="44">IF(H525*I525=0,"",ROUND(I525*100/H525,2))</f>
        <v/>
      </c>
      <c r="K525" s="388"/>
      <c r="L525" s="472"/>
      <c r="M525" s="472"/>
      <c r="N525" s="472"/>
      <c r="O525" s="472"/>
      <c r="P525" s="442"/>
      <c r="Q525" s="442"/>
      <c r="R525" s="443"/>
      <c r="S525" s="364"/>
      <c r="Z525" s="609" t="s">
        <v>273</v>
      </c>
      <c r="AA525" s="609" t="s">
        <v>2935</v>
      </c>
      <c r="AE525" s="369" t="s">
        <v>2761</v>
      </c>
    </row>
    <row r="526" spans="1:31" ht="18.75" hidden="1" thickBot="1">
      <c r="A526" s="2714"/>
      <c r="B526" s="371"/>
      <c r="C526" s="371"/>
      <c r="D526" s="2716">
        <f t="shared" si="42"/>
        <v>1</v>
      </c>
      <c r="E526" s="2721" t="s">
        <v>2751</v>
      </c>
      <c r="F526" s="294"/>
      <c r="G526" s="310" t="s">
        <v>2752</v>
      </c>
      <c r="H526" s="311">
        <f>SUMPRODUCT($E519:$E525,H519:H525)</f>
        <v>0</v>
      </c>
      <c r="I526" s="311">
        <f>SUMPRODUCT($E519:$E525,I519:I525)</f>
        <v>0</v>
      </c>
      <c r="J526" s="466" t="str">
        <f t="shared" si="43"/>
        <v/>
      </c>
      <c r="K526" s="447"/>
      <c r="L526" s="472"/>
      <c r="M526" s="472"/>
      <c r="N526" s="472"/>
      <c r="O526" s="472"/>
      <c r="P526" s="442"/>
      <c r="Q526" s="442"/>
      <c r="R526" s="443"/>
      <c r="S526" s="364"/>
      <c r="Z526" s="609" t="s">
        <v>273</v>
      </c>
      <c r="AA526" s="609" t="s">
        <v>2935</v>
      </c>
      <c r="AE526" s="369" t="s">
        <v>2761</v>
      </c>
    </row>
    <row r="527" spans="1:31" ht="18" hidden="1">
      <c r="A527" s="2714"/>
      <c r="B527" s="371"/>
      <c r="C527" s="371" t="s">
        <v>2755</v>
      </c>
      <c r="D527" s="371"/>
      <c r="F527" s="294"/>
      <c r="G527" s="301"/>
      <c r="H527" s="527" t="s">
        <v>3002</v>
      </c>
      <c r="I527" s="527" t="s">
        <v>3002</v>
      </c>
      <c r="J527" s="393"/>
      <c r="K527" s="393"/>
      <c r="L527" s="472"/>
      <c r="M527" s="472"/>
      <c r="N527" s="472"/>
      <c r="O527" s="472"/>
      <c r="P527" s="442"/>
      <c r="Q527" s="442"/>
      <c r="R527" s="443"/>
      <c r="S527" s="364"/>
      <c r="Z527" s="609" t="s">
        <v>273</v>
      </c>
      <c r="AA527" s="609" t="s">
        <v>2935</v>
      </c>
      <c r="AE527" s="369" t="s">
        <v>2761</v>
      </c>
    </row>
    <row r="528" spans="1:31" ht="18.75" hidden="1" thickTop="1">
      <c r="A528" s="2714"/>
      <c r="B528" s="371"/>
      <c r="C528" s="371" t="s">
        <v>2565</v>
      </c>
      <c r="D528" s="371"/>
      <c r="F528" s="294"/>
      <c r="G528" s="1561" t="s">
        <v>5367</v>
      </c>
      <c r="H528" s="1550" t="str">
        <f>G485</f>
        <v>(1)应收账款按种类列示</v>
      </c>
      <c r="I528" s="1552"/>
      <c r="J528" s="1551"/>
      <c r="K528" s="1551"/>
      <c r="L528" s="1553" t="s">
        <v>5368</v>
      </c>
      <c r="M528" s="472"/>
      <c r="N528" s="472"/>
      <c r="O528" s="472"/>
      <c r="P528" s="442"/>
      <c r="Q528" s="442"/>
      <c r="R528" s="442"/>
      <c r="S528" s="364"/>
      <c r="Z528" s="609" t="s">
        <v>273</v>
      </c>
      <c r="AA528" s="609" t="s">
        <v>2935</v>
      </c>
    </row>
    <row r="529" spans="1:31" ht="24" hidden="1">
      <c r="A529" s="2714"/>
      <c r="B529" s="371"/>
      <c r="C529" s="371" t="s">
        <v>2565</v>
      </c>
      <c r="D529" s="371"/>
      <c r="F529" s="294"/>
      <c r="G529" s="316" t="str">
        <f>"注释A:"&amp; G490</f>
        <v>注释A:单项金额重大并单项计提坏账准备的应收账款</v>
      </c>
      <c r="H529" s="2252">
        <f ca="1">HYPERLINK("#'"&amp;$G$1&amp;"'!"&amp;ADDRESS(ROW(Notes!H490),COLUMN(Notes!H490),4),H490)</f>
        <v>0</v>
      </c>
      <c r="I529" s="2252">
        <f ca="1">HYPERLINK("#'"&amp;$G$1&amp;"'!"&amp;ADDRESS(ROW(Notes!J490),COLUMN(Notes!J490),4),J490)</f>
        <v>0</v>
      </c>
      <c r="J529" s="351"/>
      <c r="K529" s="351"/>
      <c r="L529" s="2251" t="str">
        <f>H485</f>
        <v>1122a</v>
      </c>
      <c r="M529" s="472"/>
      <c r="N529" s="472"/>
      <c r="O529" s="472"/>
      <c r="P529" s="442"/>
      <c r="Q529" s="442"/>
      <c r="R529" s="442"/>
      <c r="S529" s="364"/>
      <c r="Z529" s="609" t="s">
        <v>273</v>
      </c>
      <c r="AA529" s="609" t="s">
        <v>2935</v>
      </c>
    </row>
    <row r="530" spans="1:31" ht="18" hidden="1">
      <c r="A530" s="2714"/>
      <c r="B530" s="371"/>
      <c r="C530" s="371" t="s">
        <v>2565</v>
      </c>
      <c r="D530" s="371"/>
      <c r="F530" s="294"/>
      <c r="G530" s="316" t="str">
        <f>"本注释B:"&amp; G526</f>
        <v>本注释B:合       计</v>
      </c>
      <c r="H530" s="456">
        <f>H526</f>
        <v>0</v>
      </c>
      <c r="I530" s="456">
        <f>I526</f>
        <v>0</v>
      </c>
      <c r="J530" s="351"/>
      <c r="K530" s="351"/>
      <c r="L530" s="1544" t="s">
        <v>322</v>
      </c>
      <c r="M530" s="472"/>
      <c r="N530" s="472"/>
      <c r="O530" s="472"/>
      <c r="P530" s="442"/>
      <c r="Q530" s="442"/>
      <c r="R530" s="442"/>
      <c r="S530" s="364"/>
      <c r="Z530" s="609" t="s">
        <v>273</v>
      </c>
      <c r="AA530" s="609" t="s">
        <v>2935</v>
      </c>
    </row>
    <row r="531" spans="1:31" ht="18.75" hidden="1" thickBot="1">
      <c r="A531" s="2714"/>
      <c r="B531" s="371"/>
      <c r="C531" s="371" t="s">
        <v>2565</v>
      </c>
      <c r="D531" s="371"/>
      <c r="F531" s="294"/>
      <c r="G531" s="1562" t="s">
        <v>2757</v>
      </c>
      <c r="H531" s="1531">
        <f ca="1">IF(AND(H529="",H530=""),"",ROUND(H529-H530,2))</f>
        <v>0</v>
      </c>
      <c r="I531" s="1531">
        <f ca="1">IF(AND(I529="",I530=""),"",ROUND(I529-I530,2))</f>
        <v>0</v>
      </c>
      <c r="J531" s="1555"/>
      <c r="K531" s="1555"/>
      <c r="L531" s="1556"/>
      <c r="M531" s="472"/>
      <c r="N531" s="472"/>
      <c r="O531" s="472"/>
      <c r="P531" s="442"/>
      <c r="Q531" s="442"/>
      <c r="R531" s="442"/>
      <c r="S531" s="364"/>
      <c r="Z531" s="609" t="s">
        <v>273</v>
      </c>
      <c r="AA531" s="609" t="s">
        <v>2935</v>
      </c>
    </row>
    <row r="532" spans="1:31" ht="18" hidden="1">
      <c r="A532" s="2714"/>
      <c r="B532" s="371"/>
      <c r="C532" s="371" t="s">
        <v>2565</v>
      </c>
      <c r="D532" s="371"/>
      <c r="F532" s="294"/>
      <c r="G532" s="354"/>
      <c r="H532" s="459" t="str">
        <f ca="1">IF(OR(H531=0,H531=""),"√","？")</f>
        <v>√</v>
      </c>
      <c r="I532" s="459" t="str">
        <f ca="1">IF(OR(I531=0,I531=""),"√","？")</f>
        <v>√</v>
      </c>
      <c r="J532" s="317"/>
      <c r="K532" s="317"/>
      <c r="L532" s="1546"/>
      <c r="M532" s="472"/>
      <c r="N532" s="472"/>
      <c r="O532" s="472"/>
      <c r="P532" s="442"/>
      <c r="Q532" s="442"/>
      <c r="R532" s="442"/>
      <c r="S532" s="364"/>
      <c r="Z532" s="609" t="s">
        <v>273</v>
      </c>
      <c r="AA532" s="609" t="s">
        <v>2935</v>
      </c>
    </row>
    <row r="533" spans="1:31" ht="18" hidden="1">
      <c r="A533" s="2714"/>
      <c r="B533" s="371"/>
      <c r="C533" s="371" t="s">
        <v>2565</v>
      </c>
      <c r="D533" s="371"/>
      <c r="F533" s="294"/>
      <c r="G533" s="460" t="s">
        <v>2759</v>
      </c>
      <c r="H533" s="461"/>
      <c r="I533" s="461"/>
      <c r="J533" s="317"/>
      <c r="K533" s="352">
        <f ca="1">SUMIF($H$532:$L$532,"&lt;&gt;√",$H$531:$L$531)</f>
        <v>0</v>
      </c>
      <c r="L533" s="2254" t="str">
        <f ca="1">IF(OR(K533=0,K533=""),"√","？")</f>
        <v>√</v>
      </c>
      <c r="M533" s="472"/>
      <c r="N533" s="472"/>
      <c r="O533" s="472"/>
      <c r="P533" s="442"/>
      <c r="Q533" s="442"/>
      <c r="R533" s="442"/>
      <c r="S533" s="364"/>
      <c r="Z533" s="609" t="s">
        <v>273</v>
      </c>
      <c r="AA533" s="609" t="s">
        <v>2935</v>
      </c>
    </row>
    <row r="534" spans="1:31" ht="18" hidden="1">
      <c r="A534" s="2714"/>
      <c r="B534" s="371"/>
      <c r="C534" s="371" t="s">
        <v>2565</v>
      </c>
      <c r="D534" s="371"/>
      <c r="F534" s="294"/>
      <c r="G534" s="354"/>
      <c r="H534" s="461"/>
      <c r="I534" s="461"/>
      <c r="J534" s="317"/>
      <c r="K534" s="317"/>
      <c r="L534" s="1546"/>
      <c r="M534" s="472"/>
      <c r="N534" s="472"/>
      <c r="O534" s="472"/>
      <c r="P534" s="442"/>
      <c r="Q534" s="442"/>
      <c r="R534" s="442"/>
      <c r="S534" s="364"/>
      <c r="Z534" s="609" t="s">
        <v>273</v>
      </c>
      <c r="AA534" s="609" t="s">
        <v>2935</v>
      </c>
    </row>
    <row r="535" spans="1:31" ht="24" hidden="1">
      <c r="A535" s="2714" t="s">
        <v>328</v>
      </c>
      <c r="B535" s="371">
        <v>3</v>
      </c>
      <c r="C535" s="371"/>
      <c r="D535" s="2716" t="str">
        <f>VLOOKUP($A535,Sheet_NoteList,2,0)</f>
        <v>组合中按账龄分析法计提坏账准备的应收账款</v>
      </c>
      <c r="E535" s="2716" t="s">
        <v>6608</v>
      </c>
      <c r="F535" s="294"/>
      <c r="G535" s="372" t="str">
        <f>"("&amp;B535&amp;")"&amp;D535</f>
        <v>(3)组合中按账龄分析法计提坏账准备的应收账款</v>
      </c>
      <c r="H535" s="1517" t="str">
        <f>$A535</f>
        <v>1122d</v>
      </c>
      <c r="I535" s="343" t="s">
        <v>6616</v>
      </c>
      <c r="J535" s="301" t="s">
        <v>6615</v>
      </c>
      <c r="K535" s="344"/>
      <c r="L535" s="345"/>
      <c r="M535" s="301" t="s">
        <v>6618</v>
      </c>
      <c r="N535" s="344">
        <f>Q550</f>
        <v>0</v>
      </c>
      <c r="O535" s="345"/>
      <c r="P535" s="301"/>
      <c r="Q535" s="290" t="str">
        <f>IF($I535="不适用","",IF(ROUND(SUM($H$540:$Q$550),2)=0,"请输入",""))</f>
        <v/>
      </c>
      <c r="S535" s="364"/>
      <c r="Z535" s="609" t="s">
        <v>273</v>
      </c>
      <c r="AA535" s="609" t="s">
        <v>2935</v>
      </c>
      <c r="AE535" s="369" t="s">
        <v>2761</v>
      </c>
    </row>
    <row r="536" spans="1:31" ht="0.75" hidden="1" customHeight="1">
      <c r="A536" s="2714"/>
      <c r="B536" s="371"/>
      <c r="C536" s="371"/>
      <c r="D536" s="371"/>
      <c r="F536" s="371"/>
      <c r="G536" s="371" t="s">
        <v>3004</v>
      </c>
      <c r="H536" s="371" t="s">
        <v>2882</v>
      </c>
      <c r="I536" s="371" t="s">
        <v>2884</v>
      </c>
      <c r="J536" s="371" t="s">
        <v>2885</v>
      </c>
      <c r="K536" s="476"/>
      <c r="L536" s="476"/>
      <c r="M536" s="476"/>
      <c r="N536" s="476"/>
      <c r="O536" s="476"/>
      <c r="P536" s="476"/>
      <c r="Q536" s="476"/>
      <c r="R536" s="443"/>
      <c r="S536" s="364"/>
      <c r="Z536" s="609" t="s">
        <v>273</v>
      </c>
      <c r="AA536" s="609" t="s">
        <v>2935</v>
      </c>
      <c r="AE536" s="369" t="s">
        <v>2761</v>
      </c>
    </row>
    <row r="537" spans="1:31" ht="0.75" hidden="1" customHeight="1" thickBot="1">
      <c r="A537" s="2714"/>
      <c r="B537" s="371"/>
      <c r="C537" s="371"/>
      <c r="D537" s="371"/>
      <c r="F537" s="371"/>
      <c r="G537" s="371"/>
      <c r="H537" s="371" t="s">
        <v>3103</v>
      </c>
      <c r="I537" s="371" t="s">
        <v>2856</v>
      </c>
      <c r="J537" s="371" t="s">
        <v>3099</v>
      </c>
      <c r="K537" s="476"/>
      <c r="L537" s="476"/>
      <c r="M537" s="476"/>
      <c r="N537" s="476"/>
      <c r="O537" s="476"/>
      <c r="P537" s="476"/>
      <c r="Q537" s="476"/>
      <c r="R537" s="443"/>
      <c r="S537" s="364"/>
      <c r="Z537" s="609" t="s">
        <v>273</v>
      </c>
      <c r="AA537" s="609" t="s">
        <v>2935</v>
      </c>
      <c r="AE537" s="369" t="s">
        <v>2761</v>
      </c>
    </row>
    <row r="538" spans="1:31" ht="18" hidden="1">
      <c r="A538" s="2714"/>
      <c r="B538" s="371"/>
      <c r="C538" s="371"/>
      <c r="D538" s="371"/>
      <c r="E538" s="2716" t="s">
        <v>2749</v>
      </c>
      <c r="F538" s="294"/>
      <c r="G538" s="3520" t="s">
        <v>3005</v>
      </c>
      <c r="H538" s="3543" t="str">
        <f>$V$2</f>
        <v>2019年12月31日</v>
      </c>
      <c r="I538" s="3539"/>
      <c r="J538" s="3544"/>
      <c r="K538" s="424" t="s">
        <v>5990</v>
      </c>
      <c r="L538" s="477"/>
      <c r="M538" s="1575"/>
      <c r="N538" s="1575"/>
      <c r="O538" s="1575"/>
      <c r="P538" s="1575"/>
      <c r="Q538" s="1575"/>
      <c r="R538" s="443"/>
      <c r="S538" s="364"/>
      <c r="Z538" s="609" t="s">
        <v>273</v>
      </c>
      <c r="AA538" s="609" t="s">
        <v>2935</v>
      </c>
      <c r="AE538" s="369" t="s">
        <v>2761</v>
      </c>
    </row>
    <row r="539" spans="1:31" ht="18" hidden="1">
      <c r="A539" s="2714"/>
      <c r="B539" s="371"/>
      <c r="C539" s="371"/>
      <c r="D539" s="371"/>
      <c r="E539" s="2716" t="s">
        <v>2749</v>
      </c>
      <c r="F539" s="294"/>
      <c r="G539" s="3515"/>
      <c r="H539" s="358" t="s">
        <v>2861</v>
      </c>
      <c r="I539" s="358" t="s">
        <v>2862</v>
      </c>
      <c r="J539" s="359" t="s">
        <v>2889</v>
      </c>
      <c r="K539" s="479"/>
      <c r="L539" s="479"/>
      <c r="M539" s="479"/>
      <c r="N539" s="479"/>
      <c r="O539" s="479"/>
      <c r="P539" s="479"/>
      <c r="Q539" s="479"/>
      <c r="R539" s="443"/>
      <c r="S539" s="364"/>
      <c r="Z539" s="609" t="s">
        <v>273</v>
      </c>
      <c r="AA539" s="609" t="s">
        <v>2935</v>
      </c>
      <c r="AE539" s="369" t="s">
        <v>2761</v>
      </c>
    </row>
    <row r="540" spans="1:31" ht="18" hidden="1">
      <c r="A540" s="2714"/>
      <c r="B540" s="371">
        <v>101</v>
      </c>
      <c r="C540" s="371"/>
      <c r="D540" s="2716">
        <f t="shared" ref="D540:D550" si="45">IF(OR(G540="*",G540="",G540=0),0,COUNTIF($G$540:$G$550,G540))</f>
        <v>1</v>
      </c>
      <c r="E540" s="2721" t="s">
        <v>6534</v>
      </c>
      <c r="F540" s="294"/>
      <c r="G540" s="319" t="s">
        <v>2938</v>
      </c>
      <c r="H540" s="309"/>
      <c r="I540" s="309"/>
      <c r="J540" s="388"/>
      <c r="K540" s="437"/>
      <c r="L540" s="438"/>
      <c r="M540" s="438"/>
      <c r="N540" s="437"/>
      <c r="O540" s="438"/>
      <c r="P540" s="437"/>
      <c r="Q540" s="438"/>
      <c r="R540" s="443"/>
      <c r="S540" s="364"/>
      <c r="Z540" s="609" t="s">
        <v>273</v>
      </c>
      <c r="AA540" s="609" t="s">
        <v>2935</v>
      </c>
      <c r="AE540" s="369" t="s">
        <v>2761</v>
      </c>
    </row>
    <row r="541" spans="1:31" ht="18" hidden="1">
      <c r="A541" s="2714"/>
      <c r="B541" s="371">
        <v>101.001</v>
      </c>
      <c r="C541" s="371" t="s">
        <v>2791</v>
      </c>
      <c r="D541" s="2716">
        <f t="shared" si="45"/>
        <v>1</v>
      </c>
      <c r="E541" s="2721" t="s">
        <v>2937</v>
      </c>
      <c r="F541" s="294"/>
      <c r="G541" s="1460" t="s">
        <v>5139</v>
      </c>
      <c r="H541" s="309"/>
      <c r="I541" s="309"/>
      <c r="J541" s="388"/>
      <c r="K541" s="355" t="s">
        <v>5133</v>
      </c>
      <c r="L541" s="438"/>
      <c r="M541" s="438"/>
      <c r="N541" s="437"/>
      <c r="O541" s="438"/>
      <c r="P541" s="437"/>
      <c r="Q541" s="438"/>
      <c r="R541" s="443"/>
      <c r="S541" s="364"/>
      <c r="Z541" s="609" t="s">
        <v>273</v>
      </c>
      <c r="AA541" s="609" t="s">
        <v>2935</v>
      </c>
      <c r="AE541" s="369" t="s">
        <v>2761</v>
      </c>
    </row>
    <row r="542" spans="1:31" ht="18" hidden="1">
      <c r="A542" s="2714"/>
      <c r="B542" s="371">
        <v>101.002</v>
      </c>
      <c r="C542" s="371" t="s">
        <v>2791</v>
      </c>
      <c r="D542" s="2716">
        <f t="shared" si="45"/>
        <v>0</v>
      </c>
      <c r="E542" s="2721" t="s">
        <v>2937</v>
      </c>
      <c r="F542" s="294"/>
      <c r="G542" s="319" t="s">
        <v>2792</v>
      </c>
      <c r="H542" s="309"/>
      <c r="I542" s="309"/>
      <c r="J542" s="388"/>
      <c r="K542" s="437"/>
      <c r="L542" s="438"/>
      <c r="M542" s="438"/>
      <c r="N542" s="437"/>
      <c r="O542" s="438"/>
      <c r="P542" s="437"/>
      <c r="Q542" s="438"/>
      <c r="R542" s="443"/>
      <c r="S542" s="364"/>
      <c r="Z542" s="609" t="s">
        <v>273</v>
      </c>
      <c r="AA542" s="609" t="s">
        <v>2935</v>
      </c>
      <c r="AE542" s="369" t="s">
        <v>2761</v>
      </c>
    </row>
    <row r="543" spans="1:31" ht="18" hidden="1">
      <c r="A543" s="2714"/>
      <c r="B543" s="371">
        <v>101.999</v>
      </c>
      <c r="C543" s="371" t="s">
        <v>2793</v>
      </c>
      <c r="D543" s="2716">
        <f t="shared" si="45"/>
        <v>1</v>
      </c>
      <c r="E543" s="2721">
        <v>1</v>
      </c>
      <c r="F543" s="294"/>
      <c r="G543" s="308" t="s">
        <v>2937</v>
      </c>
      <c r="H543" s="377">
        <f>SUMIF($E$539:$E$548,$G543,H$539:H$548)</f>
        <v>0</v>
      </c>
      <c r="I543" s="377">
        <f>SUMIF($E$539:$E$548,$G543,I$539:I$548)</f>
        <v>0</v>
      </c>
      <c r="J543" s="480"/>
      <c r="K543" s="437"/>
      <c r="L543" s="438"/>
      <c r="M543" s="438"/>
      <c r="N543" s="437"/>
      <c r="O543" s="438"/>
      <c r="P543" s="437"/>
      <c r="Q543" s="438"/>
      <c r="R543" s="443"/>
      <c r="S543" s="364"/>
      <c r="Z543" s="609" t="s">
        <v>273</v>
      </c>
      <c r="AA543" s="609" t="s">
        <v>2935</v>
      </c>
      <c r="AE543" s="369" t="s">
        <v>2761</v>
      </c>
    </row>
    <row r="544" spans="1:31" ht="18" hidden="1">
      <c r="A544" s="2714"/>
      <c r="B544" s="371">
        <v>102</v>
      </c>
      <c r="C544" s="371"/>
      <c r="D544" s="2716">
        <f t="shared" si="45"/>
        <v>1</v>
      </c>
      <c r="E544" s="2721">
        <v>1</v>
      </c>
      <c r="F544" s="294"/>
      <c r="G544" s="319" t="s">
        <v>2940</v>
      </c>
      <c r="H544" s="309"/>
      <c r="I544" s="309"/>
      <c r="J544" s="388"/>
      <c r="K544" s="437"/>
      <c r="L544" s="438"/>
      <c r="M544" s="438"/>
      <c r="N544" s="437"/>
      <c r="O544" s="438"/>
      <c r="P544" s="437"/>
      <c r="Q544" s="438"/>
      <c r="R544" s="443"/>
      <c r="S544" s="364"/>
      <c r="Z544" s="609" t="s">
        <v>273</v>
      </c>
      <c r="AA544" s="609" t="s">
        <v>2935</v>
      </c>
      <c r="AE544" s="369" t="s">
        <v>2761</v>
      </c>
    </row>
    <row r="545" spans="1:31" ht="18" hidden="1">
      <c r="A545" s="2714"/>
      <c r="B545" s="371">
        <v>103</v>
      </c>
      <c r="C545" s="371"/>
      <c r="D545" s="2716">
        <f t="shared" si="45"/>
        <v>1</v>
      </c>
      <c r="E545" s="2721">
        <v>1</v>
      </c>
      <c r="F545" s="294"/>
      <c r="G545" s="319" t="s">
        <v>2941</v>
      </c>
      <c r="H545" s="309"/>
      <c r="I545" s="309"/>
      <c r="J545" s="388"/>
      <c r="K545" s="437"/>
      <c r="L545" s="438"/>
      <c r="M545" s="438"/>
      <c r="N545" s="437"/>
      <c r="O545" s="438"/>
      <c r="P545" s="437"/>
      <c r="Q545" s="438"/>
      <c r="R545" s="443"/>
      <c r="S545" s="364"/>
      <c r="Z545" s="609" t="s">
        <v>273</v>
      </c>
      <c r="AA545" s="609" t="s">
        <v>2935</v>
      </c>
      <c r="AE545" s="369" t="s">
        <v>2761</v>
      </c>
    </row>
    <row r="546" spans="1:31" ht="18" hidden="1">
      <c r="A546" s="2714"/>
      <c r="B546" s="371">
        <v>104</v>
      </c>
      <c r="C546" s="371" t="s">
        <v>2791</v>
      </c>
      <c r="D546" s="2716">
        <f t="shared" si="45"/>
        <v>1</v>
      </c>
      <c r="E546" s="2721">
        <v>1</v>
      </c>
      <c r="F546" s="294"/>
      <c r="G546" s="1506" t="s">
        <v>2942</v>
      </c>
      <c r="H546" s="309"/>
      <c r="I546" s="309"/>
      <c r="J546" s="388"/>
      <c r="K546" s="437"/>
      <c r="L546" s="438"/>
      <c r="M546" s="438"/>
      <c r="N546" s="437"/>
      <c r="O546" s="438"/>
      <c r="P546" s="437"/>
      <c r="Q546" s="438"/>
      <c r="R546" s="443"/>
      <c r="S546" s="364"/>
      <c r="Z546" s="609" t="s">
        <v>273</v>
      </c>
      <c r="AA546" s="609" t="s">
        <v>2935</v>
      </c>
      <c r="AE546" s="369" t="s">
        <v>2761</v>
      </c>
    </row>
    <row r="547" spans="1:31" ht="18" hidden="1">
      <c r="A547" s="2714"/>
      <c r="B547" s="371">
        <v>105</v>
      </c>
      <c r="C547" s="371" t="s">
        <v>2791</v>
      </c>
      <c r="D547" s="2716">
        <f t="shared" si="45"/>
        <v>1</v>
      </c>
      <c r="E547" s="2721">
        <v>1</v>
      </c>
      <c r="F547" s="294"/>
      <c r="G547" s="1506" t="s">
        <v>2943</v>
      </c>
      <c r="H547" s="309"/>
      <c r="I547" s="309"/>
      <c r="J547" s="388"/>
      <c r="K547" s="437"/>
      <c r="L547" s="438"/>
      <c r="M547" s="438"/>
      <c r="N547" s="437"/>
      <c r="O547" s="438"/>
      <c r="P547" s="437"/>
      <c r="Q547" s="438"/>
      <c r="R547" s="443"/>
      <c r="S547" s="364"/>
      <c r="Z547" s="609" t="s">
        <v>273</v>
      </c>
      <c r="AA547" s="609" t="s">
        <v>2935</v>
      </c>
      <c r="AE547" s="369" t="s">
        <v>2761</v>
      </c>
    </row>
    <row r="548" spans="1:31" ht="18" hidden="1">
      <c r="A548" s="2714"/>
      <c r="B548" s="371">
        <v>106</v>
      </c>
      <c r="C548" s="371" t="s">
        <v>2791</v>
      </c>
      <c r="D548" s="2716">
        <f t="shared" si="45"/>
        <v>1</v>
      </c>
      <c r="E548" s="2721">
        <v>1</v>
      </c>
      <c r="F548" s="294"/>
      <c r="G548" s="1506" t="s">
        <v>2944</v>
      </c>
      <c r="H548" s="309"/>
      <c r="I548" s="309"/>
      <c r="J548" s="388"/>
      <c r="K548" s="437"/>
      <c r="L548" s="438"/>
      <c r="M548" s="438"/>
      <c r="N548" s="437"/>
      <c r="O548" s="438"/>
      <c r="P548" s="437"/>
      <c r="Q548" s="438"/>
      <c r="R548" s="443"/>
      <c r="S548" s="364"/>
      <c r="Z548" s="609" t="s">
        <v>273</v>
      </c>
      <c r="AA548" s="609" t="s">
        <v>2935</v>
      </c>
      <c r="AE548" s="369" t="s">
        <v>2761</v>
      </c>
    </row>
    <row r="549" spans="1:31" ht="18" hidden="1">
      <c r="A549" s="2714"/>
      <c r="B549" s="371">
        <v>107</v>
      </c>
      <c r="C549" s="371" t="s">
        <v>2791</v>
      </c>
      <c r="D549" s="2716">
        <f t="shared" si="45"/>
        <v>0</v>
      </c>
      <c r="E549" s="2721">
        <v>1</v>
      </c>
      <c r="F549" s="294"/>
      <c r="G549" s="1460" t="s">
        <v>2792</v>
      </c>
      <c r="H549" s="309"/>
      <c r="I549" s="309"/>
      <c r="J549" s="388"/>
      <c r="K549" s="437"/>
      <c r="L549" s="438"/>
      <c r="M549" s="438"/>
      <c r="N549" s="437"/>
      <c r="O549" s="438"/>
      <c r="P549" s="437"/>
      <c r="Q549" s="438"/>
      <c r="R549" s="443"/>
      <c r="S549" s="364"/>
      <c r="Z549" s="609" t="s">
        <v>273</v>
      </c>
      <c r="AA549" s="609" t="s">
        <v>2935</v>
      </c>
      <c r="AE549" s="369" t="s">
        <v>2761</v>
      </c>
    </row>
    <row r="550" spans="1:31" ht="18.75" hidden="1" thickBot="1">
      <c r="A550" s="2714"/>
      <c r="B550" s="371"/>
      <c r="C550" s="371"/>
      <c r="D550" s="2716">
        <f t="shared" si="45"/>
        <v>1</v>
      </c>
      <c r="E550" s="2721" t="s">
        <v>2751</v>
      </c>
      <c r="F550" s="294"/>
      <c r="G550" s="310" t="s">
        <v>2752</v>
      </c>
      <c r="H550" s="311">
        <f>SUMPRODUCT($E539:$E549,H539:H549)</f>
        <v>0</v>
      </c>
      <c r="I550" s="311">
        <f>SUMPRODUCT($E539:$E549,I539:I549)</f>
        <v>0</v>
      </c>
      <c r="J550" s="441"/>
      <c r="K550" s="437"/>
      <c r="L550" s="440"/>
      <c r="M550" s="440"/>
      <c r="N550" s="485"/>
      <c r="O550" s="440"/>
      <c r="P550" s="437"/>
      <c r="Q550" s="440"/>
      <c r="R550" s="494"/>
      <c r="S550" s="364"/>
      <c r="Z550" s="609" t="s">
        <v>273</v>
      </c>
      <c r="AA550" s="609" t="s">
        <v>2935</v>
      </c>
      <c r="AC550" s="369" t="s">
        <v>2794</v>
      </c>
      <c r="AE550" s="369" t="s">
        <v>2761</v>
      </c>
    </row>
    <row r="551" spans="1:31" ht="18" hidden="1">
      <c r="A551" s="2714"/>
      <c r="B551" s="371"/>
      <c r="C551" s="371" t="s">
        <v>2755</v>
      </c>
      <c r="D551" s="371"/>
      <c r="F551" s="294"/>
      <c r="G551" s="301"/>
      <c r="H551" s="527" t="s">
        <v>3002</v>
      </c>
      <c r="I551" s="527" t="s">
        <v>3002</v>
      </c>
      <c r="J551" s="393"/>
      <c r="K551" s="427"/>
      <c r="L551" s="486"/>
      <c r="M551" s="486"/>
      <c r="N551" s="427"/>
      <c r="O551" s="486"/>
      <c r="P551" s="427"/>
      <c r="Q551" s="486"/>
      <c r="R551" s="443"/>
      <c r="S551" s="364"/>
      <c r="Z551" s="609" t="s">
        <v>273</v>
      </c>
      <c r="AA551" s="609" t="s">
        <v>2935</v>
      </c>
      <c r="AE551" s="369" t="s">
        <v>2761</v>
      </c>
    </row>
    <row r="552" spans="1:31" ht="18.75" hidden="1" thickTop="1">
      <c r="A552" s="2714"/>
      <c r="B552" s="371"/>
      <c r="C552" s="371" t="s">
        <v>2565</v>
      </c>
      <c r="D552" s="371"/>
      <c r="F552" s="294"/>
      <c r="G552" s="1561" t="s">
        <v>5367</v>
      </c>
      <c r="H552" s="1550" t="str">
        <f>G485</f>
        <v>(1)应收账款按种类列示</v>
      </c>
      <c r="I552" s="1552"/>
      <c r="J552" s="1551"/>
      <c r="K552" s="1553" t="s">
        <v>5368</v>
      </c>
      <c r="L552" s="486"/>
      <c r="M552" s="486"/>
      <c r="N552" s="427"/>
      <c r="O552" s="486"/>
      <c r="P552" s="427"/>
      <c r="Q552" s="486"/>
      <c r="R552" s="442"/>
      <c r="S552" s="364"/>
      <c r="Z552" s="609" t="s">
        <v>273</v>
      </c>
      <c r="AA552" s="609" t="s">
        <v>2935</v>
      </c>
    </row>
    <row r="553" spans="1:31" ht="18" hidden="1">
      <c r="A553" s="2714"/>
      <c r="B553" s="371"/>
      <c r="C553" s="371" t="s">
        <v>2565</v>
      </c>
      <c r="D553" s="371"/>
      <c r="F553" s="294"/>
      <c r="G553" s="316" t="str">
        <f>"注释A:"&amp; G492</f>
        <v>注释A:账龄组合</v>
      </c>
      <c r="H553" s="2252">
        <f ca="1">HYPERLINK("#'"&amp;$G$1&amp;"'!"&amp;ADDRESS(ROW(Notes!H492),COLUMN(Notes!H492),4),H492)</f>
        <v>0</v>
      </c>
      <c r="I553" s="2252">
        <f ca="1">HYPERLINK("#'"&amp;$G$1&amp;"'!"&amp;ADDRESS(ROW(Notes!J492),COLUMN(Notes!J492),4),J492)</f>
        <v>0</v>
      </c>
      <c r="J553" s="351"/>
      <c r="K553" s="2251" t="str">
        <f>H485</f>
        <v>1122a</v>
      </c>
      <c r="L553" s="486"/>
      <c r="M553" s="486"/>
      <c r="N553" s="427"/>
      <c r="O553" s="486"/>
      <c r="P553" s="427"/>
      <c r="Q553" s="486"/>
      <c r="R553" s="442"/>
      <c r="S553" s="364"/>
      <c r="Z553" s="609" t="s">
        <v>273</v>
      </c>
      <c r="AA553" s="609" t="s">
        <v>2935</v>
      </c>
    </row>
    <row r="554" spans="1:31" ht="18" hidden="1">
      <c r="A554" s="2714"/>
      <c r="B554" s="371"/>
      <c r="C554" s="371" t="s">
        <v>2565</v>
      </c>
      <c r="D554" s="371"/>
      <c r="F554" s="294"/>
      <c r="G554" s="316" t="str">
        <f>"本注释B:"&amp; G550</f>
        <v>本注释B:合       计</v>
      </c>
      <c r="H554" s="456">
        <f>H550</f>
        <v>0</v>
      </c>
      <c r="I554" s="456">
        <f>I550</f>
        <v>0</v>
      </c>
      <c r="J554" s="351"/>
      <c r="K554" s="1544" t="s">
        <v>328</v>
      </c>
      <c r="L554" s="486"/>
      <c r="M554" s="486"/>
      <c r="N554" s="427"/>
      <c r="O554" s="486"/>
      <c r="P554" s="427"/>
      <c r="Q554" s="486"/>
      <c r="R554" s="442"/>
      <c r="S554" s="364"/>
      <c r="Z554" s="609" t="s">
        <v>273</v>
      </c>
      <c r="AA554" s="609" t="s">
        <v>2935</v>
      </c>
    </row>
    <row r="555" spans="1:31" ht="18.75" hidden="1" thickBot="1">
      <c r="A555" s="2714"/>
      <c r="B555" s="371"/>
      <c r="C555" s="371" t="s">
        <v>2565</v>
      </c>
      <c r="D555" s="371"/>
      <c r="F555" s="294"/>
      <c r="G555" s="1562" t="s">
        <v>2757</v>
      </c>
      <c r="H555" s="1531">
        <f ca="1">IF(AND(H553="",H554=""),"",ROUND(H553-H554,2))</f>
        <v>0</v>
      </c>
      <c r="I555" s="1531">
        <f ca="1">IF(AND(I553="",I554=""),"",ROUND(I553-I554,2))</f>
        <v>0</v>
      </c>
      <c r="J555" s="1555"/>
      <c r="K555" s="1556"/>
      <c r="L555" s="486"/>
      <c r="M555" s="486"/>
      <c r="N555" s="427"/>
      <c r="O555" s="486"/>
      <c r="P555" s="427"/>
      <c r="Q555" s="486"/>
      <c r="R555" s="442"/>
      <c r="S555" s="364"/>
      <c r="Z555" s="609" t="s">
        <v>273</v>
      </c>
      <c r="AA555" s="609" t="s">
        <v>2935</v>
      </c>
    </row>
    <row r="556" spans="1:31" ht="18" hidden="1">
      <c r="A556" s="2714"/>
      <c r="B556" s="371"/>
      <c r="C556" s="371" t="s">
        <v>2565</v>
      </c>
      <c r="D556" s="371"/>
      <c r="F556" s="294"/>
      <c r="G556" s="354"/>
      <c r="H556" s="459" t="str">
        <f ca="1">IF(OR(H555=0,H555=""),"√","？")</f>
        <v>√</v>
      </c>
      <c r="I556" s="459" t="str">
        <f ca="1">IF(OR(I555=0,I555=""),"√","？")</f>
        <v>√</v>
      </c>
      <c r="J556" s="317"/>
      <c r="K556" s="1547"/>
      <c r="L556" s="486"/>
      <c r="M556" s="486"/>
      <c r="N556" s="427"/>
      <c r="O556" s="486"/>
      <c r="P556" s="427"/>
      <c r="Q556" s="486"/>
      <c r="R556" s="442"/>
      <c r="S556" s="364"/>
      <c r="Z556" s="609" t="s">
        <v>273</v>
      </c>
      <c r="AA556" s="609" t="s">
        <v>2935</v>
      </c>
    </row>
    <row r="557" spans="1:31" ht="18" hidden="1">
      <c r="A557" s="2714"/>
      <c r="B557" s="371"/>
      <c r="C557" s="371" t="s">
        <v>2565</v>
      </c>
      <c r="D557" s="371"/>
      <c r="F557" s="294"/>
      <c r="G557" s="460" t="s">
        <v>2759</v>
      </c>
      <c r="H557" s="461"/>
      <c r="I557" s="461"/>
      <c r="J557" s="317"/>
      <c r="K557" s="2257">
        <f ca="1">SUMIF($H$556:$K$556,"&lt;&gt;√",$H$555:$K$555)</f>
        <v>0</v>
      </c>
      <c r="L557" s="2627" t="str">
        <f ca="1">IF(OR(K557=0,K557=""),"√","？")</f>
        <v>√</v>
      </c>
      <c r="M557" s="486"/>
      <c r="N557" s="427"/>
      <c r="O557" s="486"/>
      <c r="P557" s="427"/>
      <c r="Q557" s="486"/>
      <c r="R557" s="442"/>
      <c r="S557" s="364"/>
      <c r="Z557" s="609" t="s">
        <v>273</v>
      </c>
      <c r="AA557" s="609" t="s">
        <v>2935</v>
      </c>
    </row>
    <row r="558" spans="1:31" ht="18" hidden="1">
      <c r="A558" s="2714"/>
      <c r="B558" s="371"/>
      <c r="C558" s="371" t="s">
        <v>2565</v>
      </c>
      <c r="D558" s="371"/>
      <c r="F558" s="294"/>
      <c r="G558" s="354"/>
      <c r="H558" s="461"/>
      <c r="I558" s="461"/>
      <c r="J558" s="317"/>
      <c r="K558" s="1547"/>
      <c r="L558" s="486"/>
      <c r="M558" s="486"/>
      <c r="N558" s="427"/>
      <c r="O558" s="486"/>
      <c r="P558" s="427"/>
      <c r="Q558" s="486"/>
      <c r="R558" s="442"/>
      <c r="S558" s="364"/>
      <c r="Z558" s="609" t="s">
        <v>273</v>
      </c>
      <c r="AA558" s="609" t="s">
        <v>2935</v>
      </c>
    </row>
    <row r="559" spans="1:31" ht="24" hidden="1">
      <c r="A559" s="2714" t="s">
        <v>399</v>
      </c>
      <c r="B559" s="371">
        <v>4</v>
      </c>
      <c r="C559" s="371"/>
      <c r="D559" s="2716" t="str">
        <f>VLOOKUP($A559,Sheet_NoteList,2,0)</f>
        <v>组合中采用余额百分比法计提坏账准备的应收账款</v>
      </c>
      <c r="E559" s="2716" t="s">
        <v>6622</v>
      </c>
      <c r="F559" s="294"/>
      <c r="G559" s="372" t="str">
        <f>"("&amp;B559&amp;")"&amp;D559</f>
        <v>(4)组合中采用余额百分比法计提坏账准备的应收账款</v>
      </c>
      <c r="H559" s="1517" t="str">
        <f>$A559</f>
        <v>1122e</v>
      </c>
      <c r="I559" s="343" t="s">
        <v>6616</v>
      </c>
      <c r="J559" s="301" t="s">
        <v>6614</v>
      </c>
      <c r="K559" s="344">
        <f>H567-I567</f>
        <v>0</v>
      </c>
      <c r="L559" s="345" t="str">
        <f>IF($I559="适用",IF(ROUND(K316-K559,2)&gt;=0,"","#Logical!"),"#N/A")</f>
        <v>#N/A</v>
      </c>
      <c r="M559" s="301" t="s">
        <v>6615</v>
      </c>
      <c r="N559" s="423"/>
      <c r="O559" s="345" t="str">
        <f>IF(ROUND(N498-N559,2)&gt;=0,"","#Logical!")</f>
        <v/>
      </c>
      <c r="P559" s="301"/>
      <c r="Q559" s="497"/>
      <c r="S559" s="364"/>
      <c r="Z559" s="609" t="s">
        <v>273</v>
      </c>
      <c r="AA559" s="609" t="s">
        <v>2935</v>
      </c>
      <c r="AE559" s="369" t="s">
        <v>2761</v>
      </c>
    </row>
    <row r="560" spans="1:31" ht="0.75" hidden="1" customHeight="1" thickBot="1">
      <c r="A560" s="2714"/>
      <c r="B560" s="371"/>
      <c r="C560" s="371"/>
      <c r="D560" s="371"/>
      <c r="E560" s="586"/>
      <c r="F560" s="518"/>
      <c r="G560" s="518" t="s">
        <v>3006</v>
      </c>
      <c r="H560" s="304" t="s">
        <v>2849</v>
      </c>
      <c r="I560" s="304" t="s">
        <v>2996</v>
      </c>
      <c r="J560" s="304" t="s">
        <v>2997</v>
      </c>
      <c r="K560" s="304" t="s">
        <v>3007</v>
      </c>
      <c r="M560" s="291"/>
      <c r="N560" s="291"/>
      <c r="O560" s="291"/>
      <c r="Q560" s="497"/>
      <c r="S560" s="364"/>
      <c r="Z560" s="609" t="s">
        <v>273</v>
      </c>
      <c r="AA560" s="609" t="s">
        <v>2935</v>
      </c>
      <c r="AE560" s="369" t="s">
        <v>2761</v>
      </c>
    </row>
    <row r="561" spans="1:31" ht="18" hidden="1">
      <c r="A561" s="2714"/>
      <c r="B561" s="371"/>
      <c r="C561" s="371"/>
      <c r="D561" s="371"/>
      <c r="E561" s="586" t="s">
        <v>2749</v>
      </c>
      <c r="F561" s="363"/>
      <c r="G561" s="2221" t="s">
        <v>3008</v>
      </c>
      <c r="H561" s="2219" t="s">
        <v>2861</v>
      </c>
      <c r="I561" s="2219" t="s">
        <v>2862</v>
      </c>
      <c r="J561" s="2219" t="s">
        <v>3001</v>
      </c>
      <c r="K561" s="2220" t="s">
        <v>2994</v>
      </c>
      <c r="L561" s="424" t="s">
        <v>5990</v>
      </c>
      <c r="M561" s="291"/>
      <c r="N561" s="291"/>
      <c r="O561" s="291"/>
      <c r="Q561" s="497"/>
      <c r="S561" s="364"/>
      <c r="Z561" s="609" t="s">
        <v>273</v>
      </c>
      <c r="AA561" s="609" t="s">
        <v>2935</v>
      </c>
      <c r="AE561" s="369" t="s">
        <v>2761</v>
      </c>
    </row>
    <row r="562" spans="1:31" ht="18" hidden="1">
      <c r="A562" s="2714"/>
      <c r="B562" s="371">
        <v>101</v>
      </c>
      <c r="C562" s="371" t="s">
        <v>2791</v>
      </c>
      <c r="D562" s="2716">
        <f t="shared" ref="D562:D567" si="46">IF(OR(G562="*",G562="",G562=0),0,COUNTIF($G$562:$G$567,G562))</f>
        <v>1</v>
      </c>
      <c r="E562" s="2721">
        <v>1</v>
      </c>
      <c r="F562" s="294"/>
      <c r="G562" s="2222" t="s">
        <v>3009</v>
      </c>
      <c r="H562" s="309"/>
      <c r="I562" s="309"/>
      <c r="J562" s="2265" t="str">
        <f t="shared" ref="J562:J567" si="47">IF(H562*I562=0,"",ROUND(I562*100/H562,2))</f>
        <v/>
      </c>
      <c r="K562" s="1477">
        <f>H562-I562</f>
        <v>0</v>
      </c>
      <c r="L562" s="355" t="s">
        <v>6176</v>
      </c>
      <c r="M562" s="291"/>
      <c r="N562" s="291"/>
      <c r="O562" s="291"/>
      <c r="Q562" s="497"/>
      <c r="S562" s="364"/>
      <c r="Z562" s="609" t="s">
        <v>273</v>
      </c>
      <c r="AA562" s="609" t="s">
        <v>2935</v>
      </c>
      <c r="AE562" s="369" t="s">
        <v>2761</v>
      </c>
    </row>
    <row r="563" spans="1:31" ht="18" hidden="1">
      <c r="A563" s="2714"/>
      <c r="B563" s="371">
        <v>102</v>
      </c>
      <c r="C563" s="371" t="s">
        <v>2791</v>
      </c>
      <c r="D563" s="2716">
        <f t="shared" si="46"/>
        <v>1</v>
      </c>
      <c r="E563" s="2721">
        <v>1</v>
      </c>
      <c r="F563" s="294"/>
      <c r="G563" s="2222" t="s">
        <v>3010</v>
      </c>
      <c r="H563" s="309"/>
      <c r="I563" s="309"/>
      <c r="J563" s="2265" t="str">
        <f t="shared" si="47"/>
        <v/>
      </c>
      <c r="K563" s="1477">
        <f>H563-I563</f>
        <v>0</v>
      </c>
      <c r="M563" s="291"/>
      <c r="N563" s="291"/>
      <c r="O563" s="291"/>
      <c r="Q563" s="497"/>
      <c r="S563" s="364"/>
      <c r="Z563" s="609" t="s">
        <v>273</v>
      </c>
      <c r="AA563" s="609" t="s">
        <v>2935</v>
      </c>
      <c r="AE563" s="369" t="s">
        <v>2761</v>
      </c>
    </row>
    <row r="564" spans="1:31" ht="18" hidden="1">
      <c r="A564" s="2714"/>
      <c r="B564" s="371">
        <v>103</v>
      </c>
      <c r="C564" s="371" t="s">
        <v>2791</v>
      </c>
      <c r="D564" s="2716">
        <f t="shared" si="46"/>
        <v>1</v>
      </c>
      <c r="E564" s="2721">
        <v>1</v>
      </c>
      <c r="F564" s="294"/>
      <c r="G564" s="2222" t="s">
        <v>3011</v>
      </c>
      <c r="H564" s="309"/>
      <c r="I564" s="309"/>
      <c r="J564" s="2265" t="str">
        <f t="shared" si="47"/>
        <v/>
      </c>
      <c r="K564" s="1477">
        <f>H564-I564</f>
        <v>0</v>
      </c>
      <c r="M564" s="291"/>
      <c r="N564" s="291"/>
      <c r="O564" s="291"/>
      <c r="Q564" s="497"/>
      <c r="S564" s="364"/>
      <c r="Z564" s="609" t="s">
        <v>273</v>
      </c>
      <c r="AA564" s="609" t="s">
        <v>2935</v>
      </c>
      <c r="AE564" s="369" t="s">
        <v>2761</v>
      </c>
    </row>
    <row r="565" spans="1:31" ht="18" hidden="1">
      <c r="A565" s="2714"/>
      <c r="B565" s="371">
        <v>104</v>
      </c>
      <c r="C565" s="371" t="s">
        <v>2791</v>
      </c>
      <c r="D565" s="2716">
        <f t="shared" si="46"/>
        <v>1</v>
      </c>
      <c r="E565" s="2721">
        <v>1</v>
      </c>
      <c r="F565" s="294"/>
      <c r="G565" s="2222" t="s">
        <v>3012</v>
      </c>
      <c r="H565" s="309"/>
      <c r="I565" s="309"/>
      <c r="J565" s="2265" t="str">
        <f t="shared" si="47"/>
        <v/>
      </c>
      <c r="K565" s="1477">
        <f>H565-I565</f>
        <v>0</v>
      </c>
      <c r="M565" s="291"/>
      <c r="N565" s="291"/>
      <c r="O565" s="291"/>
      <c r="Q565" s="497"/>
      <c r="S565" s="364"/>
      <c r="Z565" s="609" t="s">
        <v>273</v>
      </c>
      <c r="AA565" s="609" t="s">
        <v>2935</v>
      </c>
      <c r="AE565" s="369" t="s">
        <v>2761</v>
      </c>
    </row>
    <row r="566" spans="1:31" ht="18" hidden="1">
      <c r="A566" s="2714"/>
      <c r="B566" s="371">
        <v>105</v>
      </c>
      <c r="C566" s="371" t="s">
        <v>2791</v>
      </c>
      <c r="D566" s="2716">
        <f t="shared" si="46"/>
        <v>1</v>
      </c>
      <c r="E566" s="2721">
        <v>1</v>
      </c>
      <c r="F566" s="294"/>
      <c r="G566" s="2222" t="s">
        <v>3013</v>
      </c>
      <c r="H566" s="309"/>
      <c r="I566" s="309"/>
      <c r="J566" s="2265" t="str">
        <f t="shared" si="47"/>
        <v/>
      </c>
      <c r="K566" s="1477">
        <f>H566-I566</f>
        <v>0</v>
      </c>
      <c r="M566" s="291"/>
      <c r="N566" s="291"/>
      <c r="O566" s="291"/>
      <c r="Q566" s="497"/>
      <c r="S566" s="364"/>
      <c r="Z566" s="609" t="s">
        <v>273</v>
      </c>
      <c r="AA566" s="609" t="s">
        <v>2935</v>
      </c>
      <c r="AE566" s="369" t="s">
        <v>2761</v>
      </c>
    </row>
    <row r="567" spans="1:31" ht="18.75" hidden="1" thickBot="1">
      <c r="A567" s="2714"/>
      <c r="B567" s="371"/>
      <c r="C567" s="371"/>
      <c r="D567" s="2716">
        <f t="shared" si="46"/>
        <v>1</v>
      </c>
      <c r="E567" s="2721" t="s">
        <v>2751</v>
      </c>
      <c r="F567" s="294"/>
      <c r="G567" s="1529" t="s">
        <v>2752</v>
      </c>
      <c r="H567" s="1527">
        <f>SUMPRODUCT($E561:$E566,H561:H566)</f>
        <v>0</v>
      </c>
      <c r="I567" s="1527">
        <f>SUMPRODUCT($E561:$E566,I561:I566)</f>
        <v>0</v>
      </c>
      <c r="J567" s="1567" t="str">
        <f t="shared" si="47"/>
        <v/>
      </c>
      <c r="K567" s="1528">
        <f>SUMPRODUCT($E561:$E566,K561:K566)</f>
        <v>0</v>
      </c>
      <c r="M567" s="291"/>
      <c r="N567" s="291"/>
      <c r="O567" s="291"/>
      <c r="Q567" s="497"/>
      <c r="S567" s="364"/>
      <c r="Z567" s="609" t="s">
        <v>273</v>
      </c>
      <c r="AA567" s="609" t="s">
        <v>2935</v>
      </c>
      <c r="AE567" s="369" t="s">
        <v>2761</v>
      </c>
    </row>
    <row r="568" spans="1:31" ht="18" hidden="1">
      <c r="A568" s="2714"/>
      <c r="B568" s="371"/>
      <c r="C568" s="371" t="s">
        <v>2755</v>
      </c>
      <c r="D568" s="371"/>
      <c r="F568" s="294"/>
      <c r="G568" s="301"/>
      <c r="H568" s="315"/>
      <c r="I568" s="315"/>
      <c r="J568" s="393"/>
      <c r="K568" s="315"/>
      <c r="L568" s="291"/>
      <c r="M568" s="291"/>
      <c r="N568" s="291"/>
      <c r="O568" s="291"/>
      <c r="Q568" s="497"/>
      <c r="S568" s="364"/>
      <c r="Z568" s="609" t="s">
        <v>273</v>
      </c>
      <c r="AA568" s="609" t="s">
        <v>2935</v>
      </c>
      <c r="AE568" s="369" t="s">
        <v>2761</v>
      </c>
    </row>
    <row r="569" spans="1:31" ht="24" hidden="1">
      <c r="A569" s="2714" t="s">
        <v>405</v>
      </c>
      <c r="B569" s="371">
        <v>5</v>
      </c>
      <c r="C569" s="371"/>
      <c r="D569" s="2716" t="str">
        <f>VLOOKUP($A569,Sheet_NoteList,2,0)</f>
        <v>组合中采用其他方法计提坏账准备的应收账款</v>
      </c>
      <c r="E569" s="2716" t="s">
        <v>6613</v>
      </c>
      <c r="F569" s="294"/>
      <c r="G569" s="372" t="str">
        <f>"("&amp;B569&amp;")"&amp;D569</f>
        <v>(5)组合中采用其他方法计提坏账准备的应收账款</v>
      </c>
      <c r="H569" s="1517" t="str">
        <f>$A569</f>
        <v>1122f</v>
      </c>
      <c r="I569" s="343" t="s">
        <v>6616</v>
      </c>
      <c r="J569" s="301" t="s">
        <v>6614</v>
      </c>
      <c r="K569" s="344">
        <f>H577-I577</f>
        <v>0</v>
      </c>
      <c r="L569" s="345" t="str">
        <f>IF($I569="适用",IF(ROUND(K$316-K569,2)&gt;=0,"","#Logical!"),"#N/A")</f>
        <v>#N/A</v>
      </c>
      <c r="M569" s="301" t="s">
        <v>6615</v>
      </c>
      <c r="N569" s="423"/>
      <c r="O569" s="345"/>
      <c r="P569" s="301"/>
      <c r="Q569" s="497"/>
      <c r="S569" s="364"/>
      <c r="Z569" s="609" t="s">
        <v>273</v>
      </c>
      <c r="AA569" s="609" t="s">
        <v>2935</v>
      </c>
      <c r="AE569" s="369" t="s">
        <v>2761</v>
      </c>
    </row>
    <row r="570" spans="1:31" ht="0.75" hidden="1" customHeight="1" thickBot="1">
      <c r="A570" s="2714"/>
      <c r="B570" s="371"/>
      <c r="C570" s="371"/>
      <c r="D570" s="371"/>
      <c r="E570" s="586"/>
      <c r="F570" s="518"/>
      <c r="G570" s="518" t="s">
        <v>3014</v>
      </c>
      <c r="H570" s="304" t="s">
        <v>2849</v>
      </c>
      <c r="I570" s="304" t="s">
        <v>2996</v>
      </c>
      <c r="J570" s="304" t="s">
        <v>3015</v>
      </c>
      <c r="K570" s="304" t="s">
        <v>3016</v>
      </c>
      <c r="L570" s="304" t="s">
        <v>3017</v>
      </c>
      <c r="M570" s="291"/>
      <c r="N570" s="291"/>
      <c r="Q570" s="497"/>
      <c r="S570" s="364"/>
      <c r="Z570" s="609" t="s">
        <v>273</v>
      </c>
      <c r="AA570" s="609" t="s">
        <v>2935</v>
      </c>
      <c r="AE570" s="369" t="s">
        <v>2761</v>
      </c>
    </row>
    <row r="571" spans="1:31" ht="18" hidden="1">
      <c r="A571" s="2714"/>
      <c r="B571" s="371"/>
      <c r="C571" s="371"/>
      <c r="D571" s="371"/>
      <c r="E571" s="586" t="s">
        <v>2749</v>
      </c>
      <c r="F571" s="363"/>
      <c r="G571" s="2221" t="s">
        <v>3008</v>
      </c>
      <c r="H571" s="2219" t="s">
        <v>2861</v>
      </c>
      <c r="I571" s="2219" t="s">
        <v>2862</v>
      </c>
      <c r="J571" s="2219" t="s">
        <v>2994</v>
      </c>
      <c r="K571" s="2219" t="s">
        <v>3001</v>
      </c>
      <c r="L571" s="2220" t="s">
        <v>2899</v>
      </c>
      <c r="M571" s="424" t="s">
        <v>5990</v>
      </c>
      <c r="N571" s="291"/>
      <c r="Q571" s="497"/>
      <c r="S571" s="364"/>
      <c r="Z571" s="609" t="s">
        <v>273</v>
      </c>
      <c r="AA571" s="609" t="s">
        <v>2935</v>
      </c>
      <c r="AE571" s="369" t="s">
        <v>2761</v>
      </c>
    </row>
    <row r="572" spans="1:31" ht="18" hidden="1">
      <c r="A572" s="2714"/>
      <c r="B572" s="371">
        <v>101</v>
      </c>
      <c r="C572" s="371" t="s">
        <v>2791</v>
      </c>
      <c r="D572" s="2716">
        <f t="shared" ref="D572:D577" si="48">IF(OR(G572="*",G572="",G572=0),0,COUNTIF($G$572:$G$577,G572))</f>
        <v>1</v>
      </c>
      <c r="E572" s="2721">
        <v>1</v>
      </c>
      <c r="F572" s="294"/>
      <c r="G572" s="2222" t="s">
        <v>3009</v>
      </c>
      <c r="H572" s="309"/>
      <c r="I572" s="309"/>
      <c r="J572" s="1476">
        <f>H572-I572</f>
        <v>0</v>
      </c>
      <c r="K572" s="2265" t="str">
        <f t="shared" ref="K572:K577" si="49">IF(H572*I572=0,"",ROUND(I572*100/H572,2))</f>
        <v/>
      </c>
      <c r="L572" s="388"/>
      <c r="M572" s="355" t="s">
        <v>6176</v>
      </c>
      <c r="N572" s="291"/>
      <c r="S572" s="364"/>
      <c r="Z572" s="609" t="s">
        <v>273</v>
      </c>
      <c r="AA572" s="609" t="s">
        <v>2935</v>
      </c>
      <c r="AE572" s="369" t="s">
        <v>2761</v>
      </c>
    </row>
    <row r="573" spans="1:31" ht="18" hidden="1">
      <c r="A573" s="2714"/>
      <c r="B573" s="371">
        <v>102</v>
      </c>
      <c r="C573" s="371" t="s">
        <v>2791</v>
      </c>
      <c r="D573" s="2716">
        <f t="shared" si="48"/>
        <v>1</v>
      </c>
      <c r="E573" s="2721">
        <v>1</v>
      </c>
      <c r="F573" s="294"/>
      <c r="G573" s="2222" t="s">
        <v>3010</v>
      </c>
      <c r="H573" s="309"/>
      <c r="I573" s="309"/>
      <c r="J573" s="1476">
        <f>H573-I573</f>
        <v>0</v>
      </c>
      <c r="K573" s="2265" t="str">
        <f t="shared" si="49"/>
        <v/>
      </c>
      <c r="L573" s="388"/>
      <c r="M573" s="355" t="s">
        <v>3018</v>
      </c>
      <c r="N573" s="291"/>
      <c r="S573" s="364"/>
      <c r="Z573" s="609" t="s">
        <v>273</v>
      </c>
      <c r="AA573" s="609" t="s">
        <v>2935</v>
      </c>
      <c r="AE573" s="369" t="s">
        <v>2761</v>
      </c>
    </row>
    <row r="574" spans="1:31" ht="18" hidden="1">
      <c r="A574" s="2714"/>
      <c r="B574" s="371">
        <v>103</v>
      </c>
      <c r="C574" s="371" t="s">
        <v>2791</v>
      </c>
      <c r="D574" s="2716">
        <f t="shared" si="48"/>
        <v>1</v>
      </c>
      <c r="E574" s="2721">
        <v>1</v>
      </c>
      <c r="F574" s="294"/>
      <c r="G574" s="2222" t="s">
        <v>3011</v>
      </c>
      <c r="H574" s="309"/>
      <c r="I574" s="309"/>
      <c r="J574" s="1476">
        <f>H574-I574</f>
        <v>0</v>
      </c>
      <c r="K574" s="2265" t="str">
        <f t="shared" si="49"/>
        <v/>
      </c>
      <c r="L574" s="388"/>
      <c r="M574" s="291"/>
      <c r="N574" s="291"/>
      <c r="S574" s="364"/>
      <c r="Z574" s="609" t="s">
        <v>273</v>
      </c>
      <c r="AA574" s="609" t="s">
        <v>2935</v>
      </c>
      <c r="AE574" s="369" t="s">
        <v>2761</v>
      </c>
    </row>
    <row r="575" spans="1:31" ht="18" hidden="1">
      <c r="A575" s="2714"/>
      <c r="B575" s="371">
        <v>104</v>
      </c>
      <c r="C575" s="371" t="s">
        <v>2791</v>
      </c>
      <c r="D575" s="2716">
        <f t="shared" si="48"/>
        <v>1</v>
      </c>
      <c r="E575" s="2721">
        <v>1</v>
      </c>
      <c r="F575" s="294"/>
      <c r="G575" s="2222" t="s">
        <v>3012</v>
      </c>
      <c r="H575" s="309"/>
      <c r="I575" s="309"/>
      <c r="J575" s="1476">
        <f>H575-I575</f>
        <v>0</v>
      </c>
      <c r="K575" s="2265" t="str">
        <f t="shared" si="49"/>
        <v/>
      </c>
      <c r="L575" s="388"/>
      <c r="M575" s="291"/>
      <c r="N575" s="291"/>
      <c r="S575" s="364"/>
      <c r="Z575" s="609" t="s">
        <v>273</v>
      </c>
      <c r="AA575" s="609" t="s">
        <v>2935</v>
      </c>
      <c r="AE575" s="369" t="s">
        <v>2761</v>
      </c>
    </row>
    <row r="576" spans="1:31" ht="18" hidden="1">
      <c r="A576" s="2714"/>
      <c r="B576" s="371">
        <v>105</v>
      </c>
      <c r="C576" s="371" t="s">
        <v>2791</v>
      </c>
      <c r="D576" s="2716">
        <f t="shared" si="48"/>
        <v>1</v>
      </c>
      <c r="E576" s="2721">
        <v>1</v>
      </c>
      <c r="F576" s="294"/>
      <c r="G576" s="2222" t="s">
        <v>3013</v>
      </c>
      <c r="H576" s="309"/>
      <c r="I576" s="309"/>
      <c r="J576" s="1476">
        <f>H576-I576</f>
        <v>0</v>
      </c>
      <c r="K576" s="2265" t="str">
        <f t="shared" si="49"/>
        <v/>
      </c>
      <c r="L576" s="388"/>
      <c r="M576" s="291"/>
      <c r="N576" s="291"/>
      <c r="S576" s="364"/>
      <c r="Z576" s="609" t="s">
        <v>273</v>
      </c>
      <c r="AA576" s="609" t="s">
        <v>2935</v>
      </c>
      <c r="AE576" s="369" t="s">
        <v>2761</v>
      </c>
    </row>
    <row r="577" spans="1:31" ht="18.75" hidden="1" thickBot="1">
      <c r="A577" s="2714"/>
      <c r="B577" s="371"/>
      <c r="C577" s="371"/>
      <c r="D577" s="2716">
        <f t="shared" si="48"/>
        <v>1</v>
      </c>
      <c r="E577" s="2721" t="s">
        <v>2751</v>
      </c>
      <c r="F577" s="294"/>
      <c r="G577" s="1529" t="s">
        <v>2752</v>
      </c>
      <c r="H577" s="1527">
        <f>SUMPRODUCT($E571:$E576,H571:H576)</f>
        <v>0</v>
      </c>
      <c r="I577" s="1527">
        <f>SUMPRODUCT($E571:$E576,I571:I576)</f>
        <v>0</v>
      </c>
      <c r="J577" s="1527">
        <f>SUMPRODUCT($E571:$E576,J571:J576)</f>
        <v>0</v>
      </c>
      <c r="K577" s="1567" t="str">
        <f t="shared" si="49"/>
        <v/>
      </c>
      <c r="L577" s="2266"/>
      <c r="M577" s="291"/>
      <c r="N577" s="291"/>
      <c r="S577" s="364"/>
      <c r="Z577" s="609" t="s">
        <v>273</v>
      </c>
      <c r="AA577" s="609" t="s">
        <v>2935</v>
      </c>
      <c r="AE577" s="369" t="s">
        <v>2761</v>
      </c>
    </row>
    <row r="578" spans="1:31" ht="18" hidden="1">
      <c r="A578" s="2714"/>
      <c r="B578" s="371"/>
      <c r="C578" s="371" t="s">
        <v>2755</v>
      </c>
      <c r="D578" s="371"/>
      <c r="F578" s="294"/>
      <c r="G578" s="301"/>
      <c r="H578" s="315"/>
      <c r="I578" s="315"/>
      <c r="J578" s="315"/>
      <c r="K578" s="393"/>
      <c r="L578" s="393"/>
      <c r="M578" s="291"/>
      <c r="N578" s="291"/>
      <c r="S578" s="364"/>
      <c r="Z578" s="609" t="s">
        <v>273</v>
      </c>
      <c r="AA578" s="609" t="s">
        <v>2935</v>
      </c>
      <c r="AE578" s="369" t="s">
        <v>2761</v>
      </c>
    </row>
    <row r="579" spans="1:31" ht="24">
      <c r="A579" s="2714" t="s">
        <v>335</v>
      </c>
      <c r="B579" s="371">
        <v>3</v>
      </c>
      <c r="C579" s="371"/>
      <c r="D579" s="2716" t="str">
        <f>VLOOKUP($A579,Sheet_NoteList,2,0)</f>
        <v>本期应收账款坏账准备的变动情况</v>
      </c>
      <c r="E579" s="2716" t="s">
        <v>2742</v>
      </c>
      <c r="F579" s="293"/>
      <c r="G579" s="372" t="str">
        <f>"("&amp;B579&amp;")"&amp;D579</f>
        <v>(3)本期应收账款坏账准备的变动情况</v>
      </c>
      <c r="H579" s="1517" t="str">
        <f>$A579</f>
        <v>1122u</v>
      </c>
      <c r="I579" s="343" t="s">
        <v>2743</v>
      </c>
      <c r="J579" s="301" t="s">
        <v>2744</v>
      </c>
      <c r="K579" s="2210">
        <f>N592</f>
        <v>4797822.0999999996</v>
      </c>
      <c r="L579" s="349"/>
      <c r="M579" s="301" t="s">
        <v>2745</v>
      </c>
      <c r="N579" s="2210">
        <f>H592</f>
        <v>2522257.4700000002</v>
      </c>
      <c r="O579" s="349"/>
      <c r="P579" s="301"/>
      <c r="S579" s="364"/>
      <c r="Z579" s="609" t="s">
        <v>273</v>
      </c>
      <c r="AA579" s="609" t="s">
        <v>2935</v>
      </c>
    </row>
    <row r="580" spans="1:31" ht="0.75" customHeight="1">
      <c r="A580" s="2714"/>
      <c r="B580" s="371"/>
      <c r="C580" s="371"/>
      <c r="D580" s="2716"/>
      <c r="E580" s="586"/>
      <c r="F580" s="586"/>
      <c r="G580" s="2224" t="s">
        <v>3033</v>
      </c>
      <c r="H580" s="371" t="s">
        <v>2747</v>
      </c>
      <c r="I580" s="371" t="s">
        <v>2748</v>
      </c>
      <c r="J580" s="371" t="s">
        <v>2948</v>
      </c>
      <c r="K580" s="547" t="s">
        <v>3034</v>
      </c>
      <c r="L580" s="547" t="s">
        <v>3035</v>
      </c>
      <c r="M580" s="371" t="s">
        <v>3036</v>
      </c>
      <c r="N580" s="547" t="s">
        <v>3037</v>
      </c>
      <c r="O580" s="428"/>
      <c r="P580" s="433"/>
      <c r="Q580" s="442"/>
      <c r="R580" s="443"/>
      <c r="S580" s="364"/>
      <c r="Z580" s="609" t="s">
        <v>273</v>
      </c>
      <c r="AA580" s="609" t="s">
        <v>2935</v>
      </c>
    </row>
    <row r="581" spans="1:31" ht="0.75" customHeight="1" thickBot="1">
      <c r="A581" s="2714"/>
      <c r="B581" s="371"/>
      <c r="C581" s="371"/>
      <c r="D581" s="2716"/>
      <c r="E581" s="586"/>
      <c r="F581" s="586"/>
      <c r="G581" s="2224"/>
      <c r="H581" s="371" t="s">
        <v>2911</v>
      </c>
      <c r="I581" s="371" t="s">
        <v>2912</v>
      </c>
      <c r="J581" s="371" t="s">
        <v>3038</v>
      </c>
      <c r="K581" s="547" t="s">
        <v>2914</v>
      </c>
      <c r="L581" s="547" t="s">
        <v>2915</v>
      </c>
      <c r="M581" s="371" t="s">
        <v>2916</v>
      </c>
      <c r="N581" s="547" t="s">
        <v>2917</v>
      </c>
      <c r="O581" s="428"/>
      <c r="P581" s="433"/>
      <c r="Q581" s="442"/>
      <c r="R581" s="443"/>
      <c r="S581" s="364"/>
      <c r="Z581" s="609" t="s">
        <v>273</v>
      </c>
      <c r="AA581" s="609" t="s">
        <v>2935</v>
      </c>
    </row>
    <row r="582" spans="1:31" ht="18" customHeight="1">
      <c r="A582" s="2714"/>
      <c r="B582" s="371"/>
      <c r="C582" s="371"/>
      <c r="D582" s="2716"/>
      <c r="E582" s="586" t="s">
        <v>2749</v>
      </c>
      <c r="F582" s="414"/>
      <c r="G582" s="3472" t="s">
        <v>5135</v>
      </c>
      <c r="H582" s="3533" t="str">
        <f>$V$3</f>
        <v>2018年12月31日</v>
      </c>
      <c r="I582" s="3415" t="s">
        <v>5209</v>
      </c>
      <c r="J582" s="3533" t="str">
        <f>$X$3</f>
        <v>2019年1月1日</v>
      </c>
      <c r="K582" s="3417" t="s">
        <v>2919</v>
      </c>
      <c r="L582" s="3417"/>
      <c r="M582" s="3417"/>
      <c r="N582" s="3421" t="str">
        <f>$V$2</f>
        <v>2019年12月31日</v>
      </c>
      <c r="O582" s="355" t="s">
        <v>5270</v>
      </c>
      <c r="P582" s="433"/>
      <c r="Q582" s="442"/>
      <c r="R582" s="443"/>
      <c r="S582" s="364"/>
      <c r="Z582" s="609" t="s">
        <v>273</v>
      </c>
      <c r="AA582" s="609" t="s">
        <v>2935</v>
      </c>
    </row>
    <row r="583" spans="1:31" ht="18">
      <c r="A583" s="2714"/>
      <c r="B583" s="371"/>
      <c r="C583" s="371"/>
      <c r="D583" s="2716"/>
      <c r="E583" s="586" t="s">
        <v>2749</v>
      </c>
      <c r="F583" s="414"/>
      <c r="G583" s="3473"/>
      <c r="H583" s="3416"/>
      <c r="I583" s="3416"/>
      <c r="J583" s="3416"/>
      <c r="K583" s="2239" t="s">
        <v>5210</v>
      </c>
      <c r="L583" s="2239" t="s">
        <v>5211</v>
      </c>
      <c r="M583" s="2237" t="s">
        <v>5212</v>
      </c>
      <c r="N583" s="3453"/>
      <c r="O583" s="434"/>
      <c r="P583" s="435"/>
      <c r="Q583" s="442"/>
      <c r="R583" s="443"/>
      <c r="S583" s="364"/>
      <c r="Z583" s="609" t="s">
        <v>273</v>
      </c>
      <c r="AA583" s="609" t="s">
        <v>2935</v>
      </c>
    </row>
    <row r="584" spans="1:31" ht="18">
      <c r="A584" s="2714"/>
      <c r="B584" s="371">
        <v>101</v>
      </c>
      <c r="C584" s="371" t="s">
        <v>2791</v>
      </c>
      <c r="D584" s="2716">
        <f t="shared" ref="D584:D592" si="50">IF(OR(G584="*",G584="",G584=0),0,COUNTIF($G$584:$G$592,G584))</f>
        <v>1</v>
      </c>
      <c r="E584" s="2721">
        <v>1</v>
      </c>
      <c r="F584" s="293"/>
      <c r="G584" s="2222" t="s">
        <v>2892</v>
      </c>
      <c r="H584" s="309">
        <f>I331</f>
        <v>2522257.4700000002</v>
      </c>
      <c r="I584" s="422">
        <f>AJE!P20</f>
        <v>343416.19</v>
      </c>
      <c r="J584" s="1476">
        <f>SUM(H584:I584)</f>
        <v>2865673.66</v>
      </c>
      <c r="K584" s="320">
        <v>1932148.44</v>
      </c>
      <c r="L584" s="309"/>
      <c r="M584" s="309"/>
      <c r="N584" s="1477">
        <f>SUM(J584:K584,-L584,-M584)</f>
        <v>4797822.0999999996</v>
      </c>
      <c r="O584" s="437"/>
      <c r="P584" s="438"/>
      <c r="Q584" s="442"/>
      <c r="R584" s="443"/>
      <c r="S584" s="364"/>
      <c r="Z584" s="609" t="s">
        <v>273</v>
      </c>
      <c r="AA584" s="609" t="s">
        <v>2935</v>
      </c>
    </row>
    <row r="585" spans="1:31" ht="18">
      <c r="A585" s="2714"/>
      <c r="B585" s="371">
        <v>102</v>
      </c>
      <c r="C585" s="371" t="s">
        <v>2791</v>
      </c>
      <c r="D585" s="2716">
        <f t="shared" si="50"/>
        <v>0</v>
      </c>
      <c r="E585" s="2721">
        <v>1</v>
      </c>
      <c r="F585" s="293"/>
      <c r="G585" s="2222" t="s">
        <v>2792</v>
      </c>
      <c r="H585" s="309"/>
      <c r="I585" s="422"/>
      <c r="J585" s="1476">
        <f t="shared" ref="J585:J591" si="51">SUM(H585:I585)</f>
        <v>0</v>
      </c>
      <c r="K585" s="320"/>
      <c r="L585" s="309"/>
      <c r="M585" s="309"/>
      <c r="N585" s="1477">
        <f t="shared" ref="N585:N591" si="52">SUM(J585:K585,-L585,-M585)</f>
        <v>0</v>
      </c>
      <c r="O585" s="437"/>
      <c r="P585" s="438"/>
      <c r="Q585" s="442"/>
      <c r="R585" s="443"/>
      <c r="S585" s="364"/>
      <c r="Z585" s="609" t="s">
        <v>273</v>
      </c>
      <c r="AA585" s="609" t="s">
        <v>2935</v>
      </c>
    </row>
    <row r="586" spans="1:31" ht="18">
      <c r="A586" s="2714"/>
      <c r="B586" s="371">
        <v>103</v>
      </c>
      <c r="C586" s="371" t="s">
        <v>2791</v>
      </c>
      <c r="D586" s="2716">
        <f t="shared" si="50"/>
        <v>0</v>
      </c>
      <c r="E586" s="2721">
        <v>1</v>
      </c>
      <c r="F586" s="293"/>
      <c r="G586" s="2222" t="s">
        <v>2792</v>
      </c>
      <c r="H586" s="309"/>
      <c r="I586" s="422"/>
      <c r="J586" s="1476">
        <f t="shared" si="51"/>
        <v>0</v>
      </c>
      <c r="K586" s="320"/>
      <c r="L586" s="309"/>
      <c r="M586" s="309"/>
      <c r="N586" s="1477">
        <f t="shared" si="52"/>
        <v>0</v>
      </c>
      <c r="O586" s="437"/>
      <c r="P586" s="438"/>
      <c r="Q586" s="442"/>
      <c r="R586" s="443"/>
      <c r="S586" s="364"/>
      <c r="Z586" s="609" t="s">
        <v>273</v>
      </c>
      <c r="AA586" s="609" t="s">
        <v>2935</v>
      </c>
    </row>
    <row r="587" spans="1:31" ht="18">
      <c r="A587" s="2714"/>
      <c r="B587" s="371">
        <v>104</v>
      </c>
      <c r="C587" s="371" t="s">
        <v>2791</v>
      </c>
      <c r="D587" s="2716">
        <f t="shared" si="50"/>
        <v>0</v>
      </c>
      <c r="E587" s="2721">
        <v>1</v>
      </c>
      <c r="F587" s="293"/>
      <c r="G587" s="2222" t="s">
        <v>2792</v>
      </c>
      <c r="H587" s="309"/>
      <c r="I587" s="422"/>
      <c r="J587" s="1476">
        <f t="shared" si="51"/>
        <v>0</v>
      </c>
      <c r="K587" s="320"/>
      <c r="L587" s="309"/>
      <c r="M587" s="309"/>
      <c r="N587" s="1477">
        <f t="shared" si="52"/>
        <v>0</v>
      </c>
      <c r="O587" s="437"/>
      <c r="P587" s="438"/>
      <c r="Q587" s="442"/>
      <c r="R587" s="443"/>
      <c r="S587" s="364"/>
      <c r="Z587" s="609" t="s">
        <v>273</v>
      </c>
      <c r="AA587" s="609" t="s">
        <v>2935</v>
      </c>
    </row>
    <row r="588" spans="1:31" ht="18">
      <c r="A588" s="2714"/>
      <c r="B588" s="371">
        <v>105</v>
      </c>
      <c r="C588" s="371" t="s">
        <v>2791</v>
      </c>
      <c r="D588" s="2716">
        <f t="shared" si="50"/>
        <v>0</v>
      </c>
      <c r="E588" s="2721">
        <v>1</v>
      </c>
      <c r="F588" s="293"/>
      <c r="G588" s="2222" t="s">
        <v>2792</v>
      </c>
      <c r="H588" s="309"/>
      <c r="I588" s="422"/>
      <c r="J588" s="1476">
        <f t="shared" si="51"/>
        <v>0</v>
      </c>
      <c r="K588" s="320"/>
      <c r="L588" s="309"/>
      <c r="M588" s="309"/>
      <c r="N588" s="1477">
        <f t="shared" si="52"/>
        <v>0</v>
      </c>
      <c r="O588" s="437"/>
      <c r="P588" s="438"/>
      <c r="Q588" s="442"/>
      <c r="R588" s="443"/>
      <c r="S588" s="364"/>
      <c r="Z588" s="609" t="s">
        <v>273</v>
      </c>
      <c r="AA588" s="609" t="s">
        <v>2935</v>
      </c>
    </row>
    <row r="589" spans="1:31" ht="18">
      <c r="A589" s="2714"/>
      <c r="B589" s="371">
        <v>106</v>
      </c>
      <c r="C589" s="371" t="s">
        <v>2791</v>
      </c>
      <c r="D589" s="2716">
        <f t="shared" si="50"/>
        <v>0</v>
      </c>
      <c r="E589" s="2721">
        <v>1</v>
      </c>
      <c r="F589" s="293"/>
      <c r="G589" s="2222" t="s">
        <v>2792</v>
      </c>
      <c r="H589" s="309"/>
      <c r="I589" s="422"/>
      <c r="J589" s="1476">
        <f t="shared" si="51"/>
        <v>0</v>
      </c>
      <c r="K589" s="320"/>
      <c r="L589" s="309"/>
      <c r="M589" s="309"/>
      <c r="N589" s="1477">
        <f t="shared" si="52"/>
        <v>0</v>
      </c>
      <c r="O589" s="437"/>
      <c r="P589" s="438"/>
      <c r="Q589" s="442"/>
      <c r="R589" s="443"/>
      <c r="S589" s="364"/>
      <c r="Z589" s="609" t="s">
        <v>273</v>
      </c>
      <c r="AA589" s="609" t="s">
        <v>2935</v>
      </c>
    </row>
    <row r="590" spans="1:31" ht="18">
      <c r="A590" s="2714"/>
      <c r="B590" s="371">
        <v>107</v>
      </c>
      <c r="C590" s="371" t="s">
        <v>2791</v>
      </c>
      <c r="D590" s="2716">
        <f t="shared" si="50"/>
        <v>0</v>
      </c>
      <c r="E590" s="2721">
        <v>1</v>
      </c>
      <c r="F590" s="293"/>
      <c r="G590" s="2222" t="s">
        <v>2792</v>
      </c>
      <c r="H590" s="309"/>
      <c r="I590" s="422"/>
      <c r="J590" s="1476">
        <f t="shared" si="51"/>
        <v>0</v>
      </c>
      <c r="K590" s="320"/>
      <c r="L590" s="309"/>
      <c r="M590" s="309"/>
      <c r="N590" s="1477">
        <f t="shared" si="52"/>
        <v>0</v>
      </c>
      <c r="O590" s="437"/>
      <c r="P590" s="438"/>
      <c r="Q590" s="442"/>
      <c r="R590" s="443"/>
      <c r="S590" s="364"/>
      <c r="Z590" s="609" t="s">
        <v>273</v>
      </c>
      <c r="AA590" s="609" t="s">
        <v>2935</v>
      </c>
    </row>
    <row r="591" spans="1:31" ht="18">
      <c r="A591" s="2714"/>
      <c r="B591" s="371">
        <v>108</v>
      </c>
      <c r="C591" s="371" t="s">
        <v>2791</v>
      </c>
      <c r="D591" s="2716">
        <f t="shared" si="50"/>
        <v>0</v>
      </c>
      <c r="E591" s="2721">
        <v>1</v>
      </c>
      <c r="F591" s="293"/>
      <c r="G591" s="2222" t="s">
        <v>2792</v>
      </c>
      <c r="H591" s="309"/>
      <c r="I591" s="422"/>
      <c r="J591" s="1476">
        <f t="shared" si="51"/>
        <v>0</v>
      </c>
      <c r="K591" s="320"/>
      <c r="L591" s="309"/>
      <c r="M591" s="309"/>
      <c r="N591" s="1477">
        <f t="shared" si="52"/>
        <v>0</v>
      </c>
      <c r="O591" s="437"/>
      <c r="P591" s="438"/>
      <c r="Q591" s="442"/>
      <c r="R591" s="443"/>
      <c r="S591" s="364"/>
      <c r="Z591" s="609" t="s">
        <v>273</v>
      </c>
      <c r="AA591" s="609" t="s">
        <v>2935</v>
      </c>
    </row>
    <row r="592" spans="1:31" ht="18.75" thickBot="1">
      <c r="A592" s="2714"/>
      <c r="B592" s="371"/>
      <c r="C592" s="371"/>
      <c r="D592" s="2716">
        <f t="shared" si="50"/>
        <v>1</v>
      </c>
      <c r="E592" s="2721" t="s">
        <v>2751</v>
      </c>
      <c r="F592" s="293"/>
      <c r="G592" s="2234" t="s">
        <v>5141</v>
      </c>
      <c r="H592" s="2235">
        <f t="shared" ref="H592:N592" si="53">SUMPRODUCT($E583:$E591,H583:H591)</f>
        <v>2522257.4700000002</v>
      </c>
      <c r="I592" s="2235">
        <f t="shared" si="53"/>
        <v>343416.19</v>
      </c>
      <c r="J592" s="2235">
        <f t="shared" si="53"/>
        <v>2865673.66</v>
      </c>
      <c r="K592" s="2235">
        <f t="shared" si="53"/>
        <v>1932148.44</v>
      </c>
      <c r="L592" s="2235">
        <f t="shared" si="53"/>
        <v>0</v>
      </c>
      <c r="M592" s="2235">
        <f t="shared" si="53"/>
        <v>0</v>
      </c>
      <c r="N592" s="2236">
        <f t="shared" si="53"/>
        <v>4797822.0999999996</v>
      </c>
      <c r="O592" s="437"/>
      <c r="P592" s="440"/>
      <c r="Q592" s="442"/>
      <c r="R592" s="443"/>
      <c r="S592" s="364"/>
      <c r="Z592" s="609" t="s">
        <v>273</v>
      </c>
      <c r="AA592" s="609" t="s">
        <v>2935</v>
      </c>
    </row>
    <row r="593" spans="1:27" ht="18.75" thickBot="1">
      <c r="A593" s="2714"/>
      <c r="B593" s="371"/>
      <c r="C593" s="371" t="s">
        <v>2755</v>
      </c>
      <c r="D593" s="2716"/>
      <c r="F593" s="293"/>
      <c r="G593" s="376"/>
      <c r="H593" s="527" t="s">
        <v>3002</v>
      </c>
      <c r="I593" s="396"/>
      <c r="J593" s="315"/>
      <c r="K593" s="423"/>
      <c r="L593" s="315"/>
      <c r="M593" s="315"/>
      <c r="N593" s="2259" t="s">
        <v>3002</v>
      </c>
      <c r="O593" s="427"/>
      <c r="P593" s="425"/>
      <c r="Q593" s="442"/>
      <c r="R593" s="443"/>
      <c r="S593" s="364"/>
      <c r="Z593" s="609" t="s">
        <v>273</v>
      </c>
      <c r="AA593" s="609" t="s">
        <v>2935</v>
      </c>
    </row>
    <row r="594" spans="1:27" ht="18.75" thickTop="1">
      <c r="A594" s="2714"/>
      <c r="B594" s="371"/>
      <c r="C594" s="371" t="s">
        <v>2565</v>
      </c>
      <c r="D594" s="2716"/>
      <c r="F594" s="293"/>
      <c r="G594" s="1549" t="s">
        <v>5367</v>
      </c>
      <c r="H594" s="1550" t="str">
        <f>G317</f>
        <v>(1)应收账款按账龄披露</v>
      </c>
      <c r="I594" s="1551"/>
      <c r="J594" s="1551"/>
      <c r="K594" s="1551"/>
      <c r="L594" s="1551"/>
      <c r="M594" s="1551"/>
      <c r="N594" s="1552"/>
      <c r="O594" s="1553" t="s">
        <v>5368</v>
      </c>
      <c r="P594" s="425"/>
      <c r="Q594" s="442"/>
      <c r="R594" s="442"/>
      <c r="S594" s="364"/>
      <c r="Z594" s="609" t="s">
        <v>273</v>
      </c>
      <c r="AA594" s="609" t="s">
        <v>2935</v>
      </c>
    </row>
    <row r="595" spans="1:27" ht="18">
      <c r="A595" s="2714"/>
      <c r="B595" s="371"/>
      <c r="C595" s="371" t="s">
        <v>2565</v>
      </c>
      <c r="D595" s="2716"/>
      <c r="F595" s="293"/>
      <c r="G595" s="604" t="str">
        <f>"注释A:"&amp; G331</f>
        <v>注释A:减：坏账准备</v>
      </c>
      <c r="H595" s="2252">
        <f ca="1">HYPERLINK("#'"&amp;$G$1&amp;"'!"&amp;ADDRESS(ROW(Notes!I331),COLUMN(Notes!I331),4),I331)</f>
        <v>2522257.4700000002</v>
      </c>
      <c r="I595" s="351"/>
      <c r="J595" s="351"/>
      <c r="K595" s="351"/>
      <c r="L595" s="351"/>
      <c r="M595" s="351"/>
      <c r="N595" s="2252">
        <f ca="1">HYPERLINK("#'"&amp;$G$1&amp;"'!"&amp;ADDRESS(ROW(Notes!H331),COLUMN(Notes!H331),4),H331)</f>
        <v>4797822.0999999996</v>
      </c>
      <c r="O595" s="2251" t="str">
        <f>H317</f>
        <v>1122j</v>
      </c>
      <c r="P595" s="425"/>
      <c r="Q595" s="442"/>
      <c r="R595" s="442"/>
      <c r="S595" s="364"/>
      <c r="Z595" s="609" t="s">
        <v>273</v>
      </c>
      <c r="AA595" s="609" t="s">
        <v>2935</v>
      </c>
    </row>
    <row r="596" spans="1:27" ht="18">
      <c r="A596" s="2714"/>
      <c r="B596" s="371"/>
      <c r="C596" s="371" t="s">
        <v>2565</v>
      </c>
      <c r="D596" s="2716"/>
      <c r="F596" s="293"/>
      <c r="G596" s="604" t="str">
        <f>"本注释B:"&amp; G592</f>
        <v>本注释B:合       计</v>
      </c>
      <c r="H596" s="456">
        <f>H592</f>
        <v>2522257.4700000002</v>
      </c>
      <c r="I596" s="351"/>
      <c r="J596" s="351"/>
      <c r="K596" s="351"/>
      <c r="L596" s="351"/>
      <c r="M596" s="351"/>
      <c r="N596" s="456">
        <f>N592</f>
        <v>4797822.0999999996</v>
      </c>
      <c r="O596" s="1544" t="s">
        <v>335</v>
      </c>
      <c r="P596" s="425"/>
      <c r="Q596" s="442"/>
      <c r="R596" s="442"/>
      <c r="S596" s="364"/>
      <c r="Z596" s="609" t="s">
        <v>273</v>
      </c>
      <c r="AA596" s="609" t="s">
        <v>2935</v>
      </c>
    </row>
    <row r="597" spans="1:27" ht="18.75" thickBot="1">
      <c r="A597" s="2714"/>
      <c r="B597" s="371"/>
      <c r="C597" s="371" t="s">
        <v>2565</v>
      </c>
      <c r="D597" s="2716"/>
      <c r="F597" s="293"/>
      <c r="G597" s="1554" t="s">
        <v>2757</v>
      </c>
      <c r="H597" s="1531">
        <f ca="1">IF(AND(H595="",H596=""),"",ROUND(H595-H596,2))</f>
        <v>0</v>
      </c>
      <c r="I597" s="1555"/>
      <c r="J597" s="1555"/>
      <c r="K597" s="1555"/>
      <c r="L597" s="1555"/>
      <c r="M597" s="1555"/>
      <c r="N597" s="1531">
        <f ca="1">IF(AND(N595="",N596=""),"",ROUND(N595-N596,2))</f>
        <v>0</v>
      </c>
      <c r="O597" s="1556"/>
      <c r="P597" s="425"/>
      <c r="Q597" s="442"/>
      <c r="R597" s="442"/>
      <c r="S597" s="364"/>
      <c r="Z597" s="609" t="s">
        <v>273</v>
      </c>
      <c r="AA597" s="609" t="s">
        <v>2935</v>
      </c>
    </row>
    <row r="598" spans="1:27" ht="18.75" thickTop="1">
      <c r="A598" s="2714"/>
      <c r="B598" s="371"/>
      <c r="C598" s="371" t="s">
        <v>2565</v>
      </c>
      <c r="D598" s="2716"/>
      <c r="F598" s="293"/>
      <c r="G598" s="1545"/>
      <c r="H598" s="459" t="str">
        <f ca="1">IF(OR(H597=0,H597=""),"√","？")</f>
        <v>√</v>
      </c>
      <c r="I598" s="317"/>
      <c r="J598" s="317"/>
      <c r="K598" s="317"/>
      <c r="L598" s="317"/>
      <c r="M598" s="317"/>
      <c r="N598" s="459" t="str">
        <f ca="1">IF(OR(N597=0,N597=""),"√","？")</f>
        <v>√</v>
      </c>
      <c r="O598" s="1547"/>
      <c r="P598" s="425"/>
      <c r="Q598" s="442"/>
      <c r="R598" s="442"/>
      <c r="S598" s="364"/>
      <c r="Z598" s="609" t="s">
        <v>273</v>
      </c>
      <c r="AA598" s="609" t="s">
        <v>2935</v>
      </c>
    </row>
    <row r="599" spans="1:27" ht="18">
      <c r="A599" s="2714"/>
      <c r="B599" s="371"/>
      <c r="C599" s="371" t="s">
        <v>2565</v>
      </c>
      <c r="D599" s="2716"/>
      <c r="F599" s="293"/>
      <c r="G599" s="1559" t="s">
        <v>2759</v>
      </c>
      <c r="H599" s="461"/>
      <c r="I599" s="317"/>
      <c r="J599" s="317"/>
      <c r="K599" s="352">
        <f ca="1">SUMIF($H$598:$O$598,"&lt;&gt;√",$H$597:$O$597)</f>
        <v>0</v>
      </c>
      <c r="L599" s="353" t="str">
        <f ca="1">IF(OR(K599=0,K599=""),"√","？")</f>
        <v>√</v>
      </c>
      <c r="M599" s="317"/>
      <c r="N599" s="461"/>
      <c r="O599" s="1547"/>
      <c r="P599" s="425"/>
      <c r="Q599" s="442"/>
      <c r="R599" s="442"/>
      <c r="S599" s="364"/>
      <c r="Z599" s="609" t="s">
        <v>273</v>
      </c>
      <c r="AA599" s="609" t="s">
        <v>2935</v>
      </c>
    </row>
    <row r="600" spans="1:27" ht="18">
      <c r="A600" s="2714"/>
      <c r="B600" s="371"/>
      <c r="C600" s="371" t="s">
        <v>2565</v>
      </c>
      <c r="D600" s="2716"/>
      <c r="F600" s="293"/>
      <c r="G600" s="1545"/>
      <c r="H600" s="461"/>
      <c r="I600" s="317"/>
      <c r="J600" s="317"/>
      <c r="K600" s="317"/>
      <c r="L600" s="317"/>
      <c r="M600" s="317"/>
      <c r="N600" s="461"/>
      <c r="O600" s="1547"/>
      <c r="P600" s="425"/>
      <c r="Q600" s="442"/>
      <c r="R600" s="442"/>
      <c r="S600" s="364"/>
      <c r="Z600" s="609" t="s">
        <v>273</v>
      </c>
      <c r="AA600" s="609" t="s">
        <v>2935</v>
      </c>
    </row>
    <row r="601" spans="1:27" ht="24">
      <c r="A601" s="2714" t="s">
        <v>342</v>
      </c>
      <c r="B601" s="371">
        <v>3.1</v>
      </c>
      <c r="C601" s="371"/>
      <c r="D601" s="2716" t="str">
        <f>VLOOKUP($A601,Sheet_NoteList,2,0)</f>
        <v>本期应收账款坏账准备转回或收回金额重要的</v>
      </c>
      <c r="E601" s="2716" t="s">
        <v>2742</v>
      </c>
      <c r="F601" s="294"/>
      <c r="G601" s="372" t="str">
        <f>"("&amp;B601&amp;")"&amp;D601</f>
        <v>(3.1)本期应收账款坏账准备转回或收回金额重要的</v>
      </c>
      <c r="H601" s="1517" t="str">
        <f>$A601</f>
        <v>1122h</v>
      </c>
      <c r="I601" s="343" t="s">
        <v>2743</v>
      </c>
      <c r="J601" s="301" t="s">
        <v>2744</v>
      </c>
      <c r="K601" s="2210">
        <f>H609</f>
        <v>0</v>
      </c>
      <c r="L601" s="493" t="s">
        <v>19</v>
      </c>
      <c r="M601" s="301"/>
      <c r="N601" s="3083"/>
      <c r="O601" s="315"/>
      <c r="P601" s="301"/>
      <c r="Q601" s="290" t="str">
        <f>IF($I601="不适用","",IF(ROUND(SUM($H$604:$K$609),2)=0,"请输入",""))</f>
        <v>请输入</v>
      </c>
      <c r="S601" s="364"/>
      <c r="Z601" s="609" t="s">
        <v>273</v>
      </c>
      <c r="AA601" s="609" t="s">
        <v>2935</v>
      </c>
    </row>
    <row r="602" spans="1:27" ht="0.75" customHeight="1" thickBot="1">
      <c r="A602" s="2714"/>
      <c r="B602" s="371"/>
      <c r="C602" s="371"/>
      <c r="D602" s="371"/>
      <c r="E602" s="586"/>
      <c r="F602" s="586"/>
      <c r="G602" s="586" t="s">
        <v>3039</v>
      </c>
      <c r="H602" s="371" t="s">
        <v>6188</v>
      </c>
      <c r="I602" s="371" t="s">
        <v>6189</v>
      </c>
      <c r="J602" s="433"/>
      <c r="K602" s="433"/>
      <c r="L602" s="472"/>
      <c r="M602" s="472"/>
      <c r="N602" s="472"/>
      <c r="O602" s="472"/>
      <c r="P602" s="442"/>
      <c r="Q602" s="442"/>
      <c r="R602" s="443"/>
      <c r="S602" s="364"/>
      <c r="Z602" s="609" t="s">
        <v>273</v>
      </c>
      <c r="AA602" s="609" t="s">
        <v>2935</v>
      </c>
    </row>
    <row r="603" spans="1:27" ht="24">
      <c r="A603" s="2714"/>
      <c r="B603" s="371"/>
      <c r="C603" s="371"/>
      <c r="D603" s="371"/>
      <c r="E603" s="586" t="s">
        <v>2749</v>
      </c>
      <c r="F603" s="363"/>
      <c r="G603" s="2533" t="s">
        <v>1465</v>
      </c>
      <c r="H603" s="2534" t="s">
        <v>2922</v>
      </c>
      <c r="I603" s="2535" t="s">
        <v>5999</v>
      </c>
      <c r="J603" s="355" t="s">
        <v>5270</v>
      </c>
      <c r="K603" s="479"/>
      <c r="L603" s="472"/>
      <c r="M603" s="472"/>
      <c r="N603" s="472"/>
      <c r="O603" s="472"/>
      <c r="P603" s="442"/>
      <c r="Q603" s="442"/>
      <c r="R603" s="443"/>
      <c r="S603" s="364"/>
      <c r="Z603" s="609" t="s">
        <v>273</v>
      </c>
      <c r="AA603" s="609" t="s">
        <v>2935</v>
      </c>
    </row>
    <row r="604" spans="1:27" ht="18">
      <c r="A604" s="2714"/>
      <c r="B604" s="371">
        <v>101</v>
      </c>
      <c r="C604" s="371" t="s">
        <v>2791</v>
      </c>
      <c r="D604" s="2716">
        <f t="shared" ref="D604:D609" si="54">IF(OR(G604="*",G604="",G604=0),0,COUNTIF($G$604:$G$609,G604))</f>
        <v>0</v>
      </c>
      <c r="E604" s="2721">
        <v>1</v>
      </c>
      <c r="F604" s="294"/>
      <c r="G604" s="2538" t="s">
        <v>2792</v>
      </c>
      <c r="H604" s="2275"/>
      <c r="I604" s="2276"/>
      <c r="J604" s="437"/>
      <c r="K604" s="438"/>
      <c r="L604" s="472"/>
      <c r="M604" s="472"/>
      <c r="N604" s="472"/>
      <c r="O604" s="472"/>
      <c r="P604" s="442"/>
      <c r="Q604" s="442"/>
      <c r="R604" s="443"/>
      <c r="S604" s="364"/>
      <c r="Z604" s="609" t="s">
        <v>273</v>
      </c>
      <c r="AA604" s="609" t="s">
        <v>2935</v>
      </c>
    </row>
    <row r="605" spans="1:27" ht="18">
      <c r="A605" s="2714"/>
      <c r="B605" s="371">
        <v>102</v>
      </c>
      <c r="C605" s="371" t="s">
        <v>2791</v>
      </c>
      <c r="D605" s="2716">
        <f t="shared" si="54"/>
        <v>0</v>
      </c>
      <c r="E605" s="2721">
        <v>1</v>
      </c>
      <c r="F605" s="294"/>
      <c r="G605" s="2538" t="s">
        <v>2792</v>
      </c>
      <c r="H605" s="2275"/>
      <c r="I605" s="2276"/>
      <c r="J605" s="437"/>
      <c r="K605" s="438"/>
      <c r="L605" s="472"/>
      <c r="M605" s="472"/>
      <c r="N605" s="472"/>
      <c r="O605" s="472"/>
      <c r="P605" s="442"/>
      <c r="Q605" s="442"/>
      <c r="R605" s="443"/>
      <c r="S605" s="364"/>
      <c r="Z605" s="609" t="s">
        <v>273</v>
      </c>
      <c r="AA605" s="609" t="s">
        <v>2935</v>
      </c>
    </row>
    <row r="606" spans="1:27" ht="18">
      <c r="A606" s="2714"/>
      <c r="B606" s="371">
        <v>103</v>
      </c>
      <c r="C606" s="371" t="s">
        <v>2791</v>
      </c>
      <c r="D606" s="2716">
        <f t="shared" si="54"/>
        <v>0</v>
      </c>
      <c r="E606" s="2721">
        <v>1</v>
      </c>
      <c r="F606" s="294"/>
      <c r="G606" s="2538" t="s">
        <v>2792</v>
      </c>
      <c r="H606" s="2275"/>
      <c r="I606" s="2276"/>
      <c r="J606" s="437"/>
      <c r="K606" s="438"/>
      <c r="L606" s="472"/>
      <c r="M606" s="472"/>
      <c r="N606" s="472"/>
      <c r="O606" s="472"/>
      <c r="P606" s="442"/>
      <c r="Q606" s="442"/>
      <c r="R606" s="443"/>
      <c r="S606" s="364"/>
      <c r="Z606" s="609" t="s">
        <v>273</v>
      </c>
      <c r="AA606" s="609" t="s">
        <v>2935</v>
      </c>
    </row>
    <row r="607" spans="1:27" ht="18">
      <c r="A607" s="2714"/>
      <c r="B607" s="371">
        <v>104</v>
      </c>
      <c r="C607" s="371" t="s">
        <v>2791</v>
      </c>
      <c r="D607" s="2716">
        <f t="shared" si="54"/>
        <v>0</v>
      </c>
      <c r="E607" s="2721">
        <v>1</v>
      </c>
      <c r="F607" s="294"/>
      <c r="G607" s="2538" t="s">
        <v>2792</v>
      </c>
      <c r="H607" s="2275"/>
      <c r="I607" s="2276" t="s">
        <v>19</v>
      </c>
      <c r="J607" s="437"/>
      <c r="K607" s="438"/>
      <c r="L607" s="472"/>
      <c r="M607" s="472"/>
      <c r="N607" s="472"/>
      <c r="O607" s="472"/>
      <c r="P607" s="442"/>
      <c r="Q607" s="442"/>
      <c r="R607" s="443"/>
      <c r="S607" s="364"/>
      <c r="Z607" s="609" t="s">
        <v>273</v>
      </c>
      <c r="AA607" s="609" t="s">
        <v>2935</v>
      </c>
    </row>
    <row r="608" spans="1:27" ht="18">
      <c r="A608" s="2714"/>
      <c r="B608" s="371">
        <v>105</v>
      </c>
      <c r="C608" s="371" t="s">
        <v>2791</v>
      </c>
      <c r="D608" s="2716">
        <f t="shared" si="54"/>
        <v>0</v>
      </c>
      <c r="E608" s="2721">
        <v>1</v>
      </c>
      <c r="F608" s="294"/>
      <c r="G608" s="2538" t="s">
        <v>2792</v>
      </c>
      <c r="H608" s="2275"/>
      <c r="I608" s="2276" t="s">
        <v>19</v>
      </c>
      <c r="J608" s="437"/>
      <c r="K608" s="438"/>
      <c r="L608" s="472"/>
      <c r="M608" s="472"/>
      <c r="N608" s="472"/>
      <c r="O608" s="472"/>
      <c r="P608" s="442"/>
      <c r="Q608" s="442"/>
      <c r="R608" s="443"/>
      <c r="S608" s="364"/>
      <c r="Z608" s="609" t="s">
        <v>273</v>
      </c>
      <c r="AA608" s="609" t="s">
        <v>2935</v>
      </c>
    </row>
    <row r="609" spans="1:27" ht="18.75" thickBot="1">
      <c r="A609" s="2714"/>
      <c r="B609" s="371"/>
      <c r="C609" s="371"/>
      <c r="D609" s="2716">
        <f t="shared" si="54"/>
        <v>1</v>
      </c>
      <c r="E609" s="2721" t="s">
        <v>3032</v>
      </c>
      <c r="F609" s="294"/>
      <c r="G609" s="2234" t="s">
        <v>2752</v>
      </c>
      <c r="H609" s="2235">
        <f>SUMPRODUCT($E603:$E608,H603:H608)</f>
        <v>0</v>
      </c>
      <c r="I609" s="2244" t="s">
        <v>19</v>
      </c>
      <c r="J609" s="439"/>
      <c r="K609" s="498"/>
      <c r="L609" s="472"/>
      <c r="M609" s="472"/>
      <c r="N609" s="472"/>
      <c r="O609" s="472"/>
      <c r="P609" s="442"/>
      <c r="Q609" s="442"/>
      <c r="R609" s="443"/>
      <c r="S609" s="364"/>
      <c r="Z609" s="609" t="s">
        <v>273</v>
      </c>
      <c r="AA609" s="609" t="s">
        <v>2935</v>
      </c>
    </row>
    <row r="610" spans="1:27" ht="18">
      <c r="A610" s="2714"/>
      <c r="B610" s="371"/>
      <c r="C610" s="371" t="s">
        <v>2755</v>
      </c>
      <c r="D610" s="371"/>
      <c r="F610" s="294"/>
      <c r="G610" s="376"/>
      <c r="H610" s="315"/>
      <c r="I610" s="393"/>
      <c r="J610" s="437"/>
      <c r="K610" s="438"/>
      <c r="L610" s="472"/>
      <c r="M610" s="472"/>
      <c r="N610" s="472"/>
      <c r="O610" s="472"/>
      <c r="P610" s="442"/>
      <c r="Q610" s="442"/>
      <c r="R610" s="443"/>
      <c r="S610" s="364"/>
      <c r="Z610" s="609" t="s">
        <v>273</v>
      </c>
      <c r="AA610" s="609" t="s">
        <v>2935</v>
      </c>
    </row>
    <row r="611" spans="1:27" ht="24">
      <c r="A611" s="2714" t="s">
        <v>349</v>
      </c>
      <c r="B611" s="371">
        <v>4</v>
      </c>
      <c r="C611" s="371"/>
      <c r="D611" s="2716" t="str">
        <f>VLOOKUP($A611,Sheet_NoteList,2,0)</f>
        <v>本期实际核销的应收账款情况</v>
      </c>
      <c r="E611" s="2716" t="s">
        <v>2742</v>
      </c>
      <c r="F611" s="293"/>
      <c r="G611" s="372" t="str">
        <f>"("&amp;B611&amp;")"&amp;D611</f>
        <v>(4)本期实际核销的应收账款情况</v>
      </c>
      <c r="H611" s="1517" t="str">
        <f>$A611</f>
        <v>1122v</v>
      </c>
      <c r="I611" s="343" t="s">
        <v>2743</v>
      </c>
      <c r="J611" s="301" t="s">
        <v>2744</v>
      </c>
      <c r="K611" s="2210">
        <f>H616</f>
        <v>0</v>
      </c>
      <c r="L611" s="349"/>
      <c r="M611" s="301"/>
      <c r="N611" s="391"/>
      <c r="O611" s="349"/>
      <c r="P611" s="301"/>
      <c r="S611" s="364"/>
      <c r="Z611" s="609" t="s">
        <v>273</v>
      </c>
      <c r="AA611" s="609" t="s">
        <v>2935</v>
      </c>
    </row>
    <row r="612" spans="1:27" ht="0.75" customHeight="1" thickBot="1">
      <c r="A612" s="2714"/>
      <c r="B612" s="371"/>
      <c r="C612" s="371"/>
      <c r="D612" s="2716"/>
      <c r="E612" s="586"/>
      <c r="F612" s="586"/>
      <c r="G612" s="2224" t="s">
        <v>3040</v>
      </c>
      <c r="H612" s="371" t="s">
        <v>2747</v>
      </c>
      <c r="I612" s="433"/>
      <c r="J612" s="433"/>
      <c r="K612" s="428"/>
      <c r="L612" s="428"/>
      <c r="M612" s="433"/>
      <c r="N612" s="428"/>
      <c r="O612" s="428"/>
      <c r="P612" s="433"/>
      <c r="Q612" s="442"/>
      <c r="R612" s="443"/>
      <c r="S612" s="364"/>
      <c r="Z612" s="609" t="s">
        <v>273</v>
      </c>
      <c r="AA612" s="609" t="s">
        <v>2935</v>
      </c>
    </row>
    <row r="613" spans="1:27" ht="18">
      <c r="A613" s="2714"/>
      <c r="B613" s="371"/>
      <c r="C613" s="371"/>
      <c r="D613" s="2716"/>
      <c r="E613" s="586" t="s">
        <v>2749</v>
      </c>
      <c r="F613" s="414"/>
      <c r="G613" s="2712" t="s">
        <v>6415</v>
      </c>
      <c r="H613" s="2535" t="s">
        <v>2925</v>
      </c>
      <c r="I613" s="355" t="s">
        <v>5270</v>
      </c>
      <c r="J613" s="435"/>
      <c r="K613" s="434"/>
      <c r="L613" s="434"/>
      <c r="M613" s="435"/>
      <c r="N613" s="434"/>
      <c r="O613" s="434"/>
      <c r="P613" s="435"/>
      <c r="Q613" s="442"/>
      <c r="R613" s="443"/>
      <c r="S613" s="364"/>
      <c r="Z613" s="609" t="s">
        <v>273</v>
      </c>
      <c r="AA613" s="609" t="s">
        <v>2935</v>
      </c>
    </row>
    <row r="614" spans="1:27" ht="18">
      <c r="A614" s="2714"/>
      <c r="B614" s="371">
        <v>101</v>
      </c>
      <c r="C614" s="371"/>
      <c r="D614" s="2716">
        <f t="shared" ref="D614:D616" si="55">IF(OR(G614="*",G614="",G614=0),0,COUNTIF($G$614:$G$616,G614))</f>
        <v>1</v>
      </c>
      <c r="E614" s="2721">
        <v>1</v>
      </c>
      <c r="F614" s="293"/>
      <c r="G614" s="1474" t="s">
        <v>3041</v>
      </c>
      <c r="H614" s="2296"/>
      <c r="I614" s="445"/>
      <c r="J614" s="438"/>
      <c r="K614" s="439"/>
      <c r="L614" s="437"/>
      <c r="M614" s="438"/>
      <c r="N614" s="439"/>
      <c r="O614" s="437"/>
      <c r="P614" s="438"/>
      <c r="Q614" s="442"/>
      <c r="R614" s="443"/>
      <c r="S614" s="364"/>
      <c r="Z614" s="609" t="s">
        <v>273</v>
      </c>
      <c r="AA614" s="609" t="s">
        <v>2935</v>
      </c>
    </row>
    <row r="615" spans="1:27" ht="18">
      <c r="A615" s="2714"/>
      <c r="B615" s="371">
        <v>102</v>
      </c>
      <c r="C615" s="371" t="s">
        <v>6535</v>
      </c>
      <c r="D615" s="2716">
        <f t="shared" si="55"/>
        <v>0</v>
      </c>
      <c r="E615" s="2721">
        <v>1</v>
      </c>
      <c r="F615" s="293"/>
      <c r="G615" s="2538" t="s">
        <v>2792</v>
      </c>
      <c r="H615" s="2296"/>
      <c r="I615" s="445"/>
      <c r="J615" s="438"/>
      <c r="K615" s="439"/>
      <c r="L615" s="437"/>
      <c r="M615" s="438"/>
      <c r="N615" s="439"/>
      <c r="O615" s="437"/>
      <c r="P615" s="438"/>
      <c r="Q615" s="442"/>
      <c r="R615" s="443"/>
      <c r="S615" s="364"/>
      <c r="Z615" s="609" t="s">
        <v>273</v>
      </c>
      <c r="AA615" s="609" t="s">
        <v>2935</v>
      </c>
    </row>
    <row r="616" spans="1:27" ht="18.75" thickBot="1">
      <c r="A616" s="2714"/>
      <c r="B616" s="371"/>
      <c r="C616" s="371"/>
      <c r="D616" s="2716">
        <f t="shared" si="55"/>
        <v>1</v>
      </c>
      <c r="E616" s="2721" t="s">
        <v>2751</v>
      </c>
      <c r="F616" s="293"/>
      <c r="G616" s="2234" t="s">
        <v>2752</v>
      </c>
      <c r="H616" s="2236">
        <f>SUMPRODUCT($E613:$E615,H613:H615)</f>
        <v>0</v>
      </c>
      <c r="I616" s="440"/>
      <c r="J616" s="440"/>
      <c r="K616" s="439"/>
      <c r="L616" s="437"/>
      <c r="M616" s="440"/>
      <c r="N616" s="439"/>
      <c r="O616" s="437"/>
      <c r="P616" s="440"/>
      <c r="Q616" s="442"/>
      <c r="R616" s="443"/>
      <c r="S616" s="364"/>
      <c r="Z616" s="609" t="s">
        <v>273</v>
      </c>
      <c r="AA616" s="609" t="s">
        <v>2935</v>
      </c>
    </row>
    <row r="617" spans="1:27" ht="18">
      <c r="A617" s="2714"/>
      <c r="B617" s="371"/>
      <c r="C617" s="371" t="s">
        <v>2755</v>
      </c>
      <c r="D617" s="2716"/>
      <c r="F617" s="293"/>
      <c r="G617" s="376"/>
      <c r="H617" s="315"/>
      <c r="I617" s="446"/>
      <c r="J617" s="425"/>
      <c r="K617" s="426"/>
      <c r="L617" s="427"/>
      <c r="M617" s="425"/>
      <c r="N617" s="426"/>
      <c r="O617" s="427"/>
      <c r="P617" s="425"/>
      <c r="Q617" s="442"/>
      <c r="R617" s="443"/>
      <c r="S617" s="364"/>
      <c r="Z617" s="609" t="s">
        <v>273</v>
      </c>
      <c r="AA617" s="609" t="s">
        <v>2935</v>
      </c>
    </row>
    <row r="618" spans="1:27" ht="24">
      <c r="A618" s="2714" t="s">
        <v>357</v>
      </c>
      <c r="B618" s="371">
        <v>4.0999999999999996</v>
      </c>
      <c r="C618" s="371"/>
      <c r="D618" s="2716" t="str">
        <f>VLOOKUP($A618,Sheet_NoteList,2,0)</f>
        <v>本期重要的应收账款核销情况</v>
      </c>
      <c r="E618" s="2716" t="s">
        <v>2742</v>
      </c>
      <c r="F618" s="294"/>
      <c r="G618" s="372" t="str">
        <f>"("&amp;B618&amp;")"&amp;D618</f>
        <v>(4.1)本期重要的应收账款核销情况</v>
      </c>
      <c r="H618" s="1517" t="str">
        <f>$A618</f>
        <v>1122i</v>
      </c>
      <c r="I618" s="343" t="s">
        <v>2743</v>
      </c>
      <c r="J618" s="301" t="s">
        <v>2744</v>
      </c>
      <c r="K618" s="2210">
        <f>I626</f>
        <v>0</v>
      </c>
      <c r="L618" s="315"/>
      <c r="M618" s="301"/>
      <c r="N618" s="3083"/>
      <c r="O618" s="345" t="str">
        <f>IF(ROUND(N551-N618,2)&gt;=0,"","#Logical!")</f>
        <v/>
      </c>
      <c r="P618" s="301"/>
      <c r="Q618" s="290" t="str">
        <f>IF($I618="不适用","",IF(ROUND(SUM($H$621:$L$626),2)=0,"请输入",""))</f>
        <v>请输入</v>
      </c>
      <c r="S618" s="364"/>
      <c r="Z618" s="609" t="s">
        <v>273</v>
      </c>
      <c r="AA618" s="609" t="s">
        <v>2935</v>
      </c>
    </row>
    <row r="619" spans="1:27" ht="0.75" customHeight="1" thickBot="1">
      <c r="A619" s="2714"/>
      <c r="B619" s="371"/>
      <c r="C619" s="371"/>
      <c r="D619" s="371"/>
      <c r="E619" s="586"/>
      <c r="F619" s="586"/>
      <c r="G619" s="586" t="s">
        <v>3042</v>
      </c>
      <c r="H619" s="371" t="s">
        <v>3043</v>
      </c>
      <c r="I619" s="371" t="s">
        <v>3044</v>
      </c>
      <c r="J619" s="371" t="s">
        <v>3045</v>
      </c>
      <c r="K619" s="371" t="s">
        <v>3046</v>
      </c>
      <c r="L619" s="371" t="s">
        <v>3047</v>
      </c>
      <c r="M619" s="291"/>
      <c r="N619" s="291"/>
      <c r="O619" s="291"/>
      <c r="S619" s="364"/>
      <c r="Z619" s="609" t="s">
        <v>273</v>
      </c>
      <c r="AA619" s="609" t="s">
        <v>2935</v>
      </c>
    </row>
    <row r="620" spans="1:27" ht="24">
      <c r="A620" s="2714"/>
      <c r="B620" s="371"/>
      <c r="C620" s="371"/>
      <c r="D620" s="371"/>
      <c r="E620" s="586" t="s">
        <v>2749</v>
      </c>
      <c r="F620" s="363"/>
      <c r="G620" s="2533" t="s">
        <v>1465</v>
      </c>
      <c r="H620" s="2534" t="s">
        <v>3048</v>
      </c>
      <c r="I620" s="2534" t="s">
        <v>2925</v>
      </c>
      <c r="J620" s="2534" t="s">
        <v>2932</v>
      </c>
      <c r="K620" s="2534" t="s">
        <v>2933</v>
      </c>
      <c r="L620" s="2535" t="s">
        <v>2934</v>
      </c>
      <c r="M620" s="355" t="s">
        <v>5270</v>
      </c>
      <c r="N620" s="291"/>
      <c r="O620" s="291"/>
      <c r="S620" s="364"/>
      <c r="Z620" s="609" t="s">
        <v>273</v>
      </c>
      <c r="AA620" s="609" t="s">
        <v>2935</v>
      </c>
    </row>
    <row r="621" spans="1:27" ht="18">
      <c r="A621" s="2714"/>
      <c r="B621" s="371">
        <v>101</v>
      </c>
      <c r="C621" s="371" t="s">
        <v>2791</v>
      </c>
      <c r="D621" s="2716">
        <f t="shared" ref="D621:D626" si="56">IF(OR(G621="*",G621="",G621=0),0,COUNTIF($G$621:$G$626,G621))</f>
        <v>0</v>
      </c>
      <c r="E621" s="2721">
        <v>1</v>
      </c>
      <c r="F621" s="294"/>
      <c r="G621" s="2538" t="s">
        <v>2792</v>
      </c>
      <c r="H621" s="2298"/>
      <c r="I621" s="2275"/>
      <c r="J621" s="2298"/>
      <c r="K621" s="2298"/>
      <c r="L621" s="2276"/>
      <c r="M621" s="291"/>
      <c r="N621" s="291"/>
      <c r="O621" s="291"/>
      <c r="S621" s="364"/>
      <c r="Z621" s="609" t="s">
        <v>273</v>
      </c>
      <c r="AA621" s="609" t="s">
        <v>2935</v>
      </c>
    </row>
    <row r="622" spans="1:27" ht="18">
      <c r="A622" s="2714"/>
      <c r="B622" s="371">
        <v>102</v>
      </c>
      <c r="C622" s="371" t="s">
        <v>2791</v>
      </c>
      <c r="D622" s="2716">
        <f t="shared" si="56"/>
        <v>0</v>
      </c>
      <c r="E622" s="2721">
        <v>1</v>
      </c>
      <c r="F622" s="294"/>
      <c r="G622" s="2538" t="s">
        <v>2792</v>
      </c>
      <c r="H622" s="2298"/>
      <c r="I622" s="2275"/>
      <c r="J622" s="2298"/>
      <c r="K622" s="2298"/>
      <c r="L622" s="2276"/>
      <c r="M622" s="291"/>
      <c r="N622" s="291"/>
      <c r="O622" s="291"/>
      <c r="S622" s="364"/>
      <c r="Z622" s="609" t="s">
        <v>273</v>
      </c>
      <c r="AA622" s="609" t="s">
        <v>2935</v>
      </c>
    </row>
    <row r="623" spans="1:27" ht="18">
      <c r="A623" s="2714"/>
      <c r="B623" s="371">
        <v>103</v>
      </c>
      <c r="C623" s="371" t="s">
        <v>2791</v>
      </c>
      <c r="D623" s="2716">
        <f t="shared" si="56"/>
        <v>0</v>
      </c>
      <c r="E623" s="2721">
        <v>1</v>
      </c>
      <c r="F623" s="294"/>
      <c r="G623" s="2538" t="s">
        <v>2792</v>
      </c>
      <c r="H623" s="2298"/>
      <c r="I623" s="2275"/>
      <c r="J623" s="2298"/>
      <c r="K623" s="2298"/>
      <c r="L623" s="2276"/>
      <c r="M623" s="291"/>
      <c r="N623" s="291"/>
      <c r="O623" s="291"/>
      <c r="S623" s="364"/>
      <c r="Z623" s="609" t="s">
        <v>273</v>
      </c>
      <c r="AA623" s="609" t="s">
        <v>2935</v>
      </c>
    </row>
    <row r="624" spans="1:27" ht="18">
      <c r="A624" s="2714"/>
      <c r="B624" s="371">
        <v>104</v>
      </c>
      <c r="C624" s="371" t="s">
        <v>2791</v>
      </c>
      <c r="D624" s="2716">
        <f t="shared" si="56"/>
        <v>0</v>
      </c>
      <c r="E624" s="2721">
        <v>1</v>
      </c>
      <c r="F624" s="294"/>
      <c r="G624" s="2538" t="s">
        <v>2792</v>
      </c>
      <c r="H624" s="2298"/>
      <c r="I624" s="2275"/>
      <c r="J624" s="2298"/>
      <c r="K624" s="2298"/>
      <c r="L624" s="2276"/>
      <c r="M624" s="291"/>
      <c r="N624" s="291"/>
      <c r="O624" s="291"/>
      <c r="S624" s="364"/>
      <c r="Z624" s="609" t="s">
        <v>273</v>
      </c>
      <c r="AA624" s="609" t="s">
        <v>2935</v>
      </c>
    </row>
    <row r="625" spans="1:27" ht="18">
      <c r="A625" s="2714"/>
      <c r="B625" s="371">
        <v>105</v>
      </c>
      <c r="C625" s="371" t="s">
        <v>2791</v>
      </c>
      <c r="D625" s="2716">
        <f t="shared" si="56"/>
        <v>0</v>
      </c>
      <c r="E625" s="2721">
        <v>1</v>
      </c>
      <c r="F625" s="294"/>
      <c r="G625" s="2538" t="s">
        <v>2792</v>
      </c>
      <c r="H625" s="2298"/>
      <c r="I625" s="2275"/>
      <c r="J625" s="2298"/>
      <c r="K625" s="2298"/>
      <c r="L625" s="2276"/>
      <c r="M625" s="291"/>
      <c r="N625" s="291"/>
      <c r="O625" s="291"/>
      <c r="S625" s="364"/>
      <c r="Z625" s="609" t="s">
        <v>273</v>
      </c>
      <c r="AA625" s="609" t="s">
        <v>2935</v>
      </c>
    </row>
    <row r="626" spans="1:27" ht="18.75" thickBot="1">
      <c r="A626" s="2714"/>
      <c r="B626" s="371"/>
      <c r="C626" s="371"/>
      <c r="D626" s="2716">
        <f t="shared" si="56"/>
        <v>1</v>
      </c>
      <c r="E626" s="2721" t="s">
        <v>3032</v>
      </c>
      <c r="F626" s="294"/>
      <c r="G626" s="2234" t="s">
        <v>2752</v>
      </c>
      <c r="H626" s="2241"/>
      <c r="I626" s="2235">
        <f>SUMPRODUCT($E620:$E625,I620:I625)</f>
        <v>0</v>
      </c>
      <c r="J626" s="2241"/>
      <c r="K626" s="2241"/>
      <c r="L626" s="2244"/>
      <c r="M626" s="291"/>
      <c r="N626" s="291"/>
      <c r="O626" s="291"/>
      <c r="S626" s="364"/>
      <c r="Z626" s="609" t="s">
        <v>273</v>
      </c>
      <c r="AA626" s="609" t="s">
        <v>2935</v>
      </c>
    </row>
    <row r="627" spans="1:27" ht="18.75" thickBot="1">
      <c r="A627" s="2714"/>
      <c r="B627" s="371">
        <v>901</v>
      </c>
      <c r="C627" s="371"/>
      <c r="D627" s="371"/>
      <c r="E627" s="2716" t="s">
        <v>2753</v>
      </c>
      <c r="F627" s="294"/>
      <c r="G627" s="2262" t="s">
        <v>3049</v>
      </c>
      <c r="H627" s="350"/>
      <c r="I627" s="348"/>
      <c r="J627" s="530"/>
      <c r="K627" s="350"/>
      <c r="L627" s="350"/>
      <c r="M627" s="291"/>
      <c r="N627" s="291"/>
      <c r="O627" s="291"/>
      <c r="P627" s="291"/>
      <c r="S627" s="364"/>
      <c r="Z627" s="609" t="s">
        <v>273</v>
      </c>
      <c r="AA627" s="609" t="s">
        <v>2935</v>
      </c>
    </row>
    <row r="628" spans="1:27" ht="18">
      <c r="A628" s="2714"/>
      <c r="B628" s="371"/>
      <c r="C628" s="371" t="s">
        <v>2755</v>
      </c>
      <c r="D628" s="371"/>
      <c r="F628" s="294"/>
      <c r="G628" s="2263"/>
      <c r="H628" s="393"/>
      <c r="I628" s="315"/>
      <c r="J628" s="393"/>
      <c r="K628" s="393"/>
      <c r="L628" s="393"/>
      <c r="M628" s="291"/>
      <c r="N628" s="291"/>
      <c r="O628" s="291"/>
      <c r="P628" s="291"/>
      <c r="S628" s="364"/>
      <c r="Z628" s="609" t="s">
        <v>273</v>
      </c>
      <c r="AA628" s="609" t="s">
        <v>2935</v>
      </c>
    </row>
    <row r="629" spans="1:27" ht="24">
      <c r="A629" s="2714" t="s">
        <v>365</v>
      </c>
      <c r="B629" s="371">
        <v>5</v>
      </c>
      <c r="C629" s="371"/>
      <c r="D629" s="2716" t="str">
        <f>VLOOKUP($A629,Sheet_NoteList,2,0)</f>
        <v>按欠款方归集的期末余额前五名的应收账款情况</v>
      </c>
      <c r="E629" s="2716" t="s">
        <v>2742</v>
      </c>
      <c r="F629" s="294"/>
      <c r="G629" s="372" t="str">
        <f>"("&amp;B629&amp;")"&amp;D629</f>
        <v>(5)按欠款方归集的期末余额前五名的应收账款情况</v>
      </c>
      <c r="H629" s="1517" t="str">
        <f>$A629</f>
        <v>1122k</v>
      </c>
      <c r="I629" s="343" t="s">
        <v>2743</v>
      </c>
      <c r="J629" s="301" t="s">
        <v>2744</v>
      </c>
      <c r="K629" s="2210">
        <f>H646-J646</f>
        <v>0</v>
      </c>
      <c r="L629" s="345"/>
      <c r="M629" s="301"/>
      <c r="N629" s="3083"/>
      <c r="O629" s="345" t="str">
        <f>IF(ROUND(N516-N629,2)&gt;=0,"","#Logical!")</f>
        <v/>
      </c>
      <c r="P629" s="301"/>
      <c r="Q629" s="290" t="str">
        <f>IF($I629="不适用","",IF(ROUND(SUM($H$632:$J$646),2)=0,"请输入",""))</f>
        <v>请输入</v>
      </c>
      <c r="S629" s="364"/>
      <c r="Z629" s="609" t="s">
        <v>273</v>
      </c>
      <c r="AA629" s="609" t="s">
        <v>2935</v>
      </c>
    </row>
    <row r="630" spans="1:27" ht="0.75" customHeight="1" thickBot="1">
      <c r="A630" s="2714"/>
      <c r="B630" s="371"/>
      <c r="C630" s="371"/>
      <c r="D630" s="371"/>
      <c r="E630" s="586"/>
      <c r="F630" s="586"/>
      <c r="G630" s="586" t="s">
        <v>3050</v>
      </c>
      <c r="H630" s="371" t="s">
        <v>2849</v>
      </c>
      <c r="I630" s="371" t="s">
        <v>3051</v>
      </c>
      <c r="J630" s="371" t="s">
        <v>3052</v>
      </c>
      <c r="L630" s="291"/>
      <c r="M630" s="291"/>
      <c r="N630" s="291"/>
      <c r="O630" s="291"/>
      <c r="S630" s="364"/>
      <c r="Z630" s="609" t="s">
        <v>273</v>
      </c>
      <c r="AA630" s="609" t="s">
        <v>2935</v>
      </c>
    </row>
    <row r="631" spans="1:27" ht="36">
      <c r="A631" s="2714"/>
      <c r="B631" s="371"/>
      <c r="C631" s="371"/>
      <c r="D631" s="371"/>
      <c r="E631" s="586" t="s">
        <v>2749</v>
      </c>
      <c r="F631" s="363"/>
      <c r="G631" s="2533" t="s">
        <v>1465</v>
      </c>
      <c r="H631" s="2534" t="s">
        <v>3053</v>
      </c>
      <c r="I631" s="2534" t="s">
        <v>3054</v>
      </c>
      <c r="J631" s="2535" t="s">
        <v>3055</v>
      </c>
      <c r="K631" s="355" t="s">
        <v>5270</v>
      </c>
      <c r="L631" s="291"/>
      <c r="M631" s="291"/>
      <c r="N631" s="291"/>
      <c r="O631" s="291"/>
      <c r="S631" s="364"/>
      <c r="Z631" s="609" t="s">
        <v>273</v>
      </c>
      <c r="AA631" s="609" t="s">
        <v>2935</v>
      </c>
    </row>
    <row r="632" spans="1:27" ht="24">
      <c r="A632" s="2714"/>
      <c r="B632" s="371">
        <v>101</v>
      </c>
      <c r="C632" s="371"/>
      <c r="D632" s="2716">
        <f t="shared" ref="D632:D646" si="57">IF(OR(G632="*",G632="",G632=0),0,COUNTIF($G$632:$G$646,G632))</f>
        <v>1</v>
      </c>
      <c r="E632" s="2721" t="s">
        <v>41</v>
      </c>
      <c r="F632" s="294"/>
      <c r="G632" s="1474" t="s">
        <v>3056</v>
      </c>
      <c r="H632" s="309"/>
      <c r="I632" s="360" t="s">
        <v>19</v>
      </c>
      <c r="J632" s="346"/>
      <c r="L632" s="291"/>
      <c r="M632" s="291"/>
      <c r="N632" s="291"/>
      <c r="O632" s="291"/>
      <c r="S632" s="364"/>
      <c r="Z632" s="609" t="s">
        <v>273</v>
      </c>
      <c r="AA632" s="609" t="s">
        <v>2935</v>
      </c>
    </row>
    <row r="633" spans="1:27" ht="18">
      <c r="A633" s="2714"/>
      <c r="B633" s="371">
        <v>101.001</v>
      </c>
      <c r="C633" s="371" t="s">
        <v>2791</v>
      </c>
      <c r="D633" s="2716">
        <f t="shared" si="57"/>
        <v>0</v>
      </c>
      <c r="E633" s="2721" t="s">
        <v>3057</v>
      </c>
      <c r="F633" s="294"/>
      <c r="G633" s="2222" t="s">
        <v>2792</v>
      </c>
      <c r="H633" s="309"/>
      <c r="I633" s="360" t="s">
        <v>19</v>
      </c>
      <c r="J633" s="346"/>
      <c r="L633" s="291"/>
      <c r="M633" s="291"/>
      <c r="N633" s="291"/>
      <c r="O633" s="291"/>
      <c r="S633" s="364"/>
      <c r="Z633" s="609" t="s">
        <v>273</v>
      </c>
      <c r="AA633" s="609" t="s">
        <v>2935</v>
      </c>
    </row>
    <row r="634" spans="1:27" ht="18">
      <c r="A634" s="2714"/>
      <c r="B634" s="371">
        <v>101.002</v>
      </c>
      <c r="C634" s="371" t="s">
        <v>2791</v>
      </c>
      <c r="D634" s="2716">
        <f t="shared" si="57"/>
        <v>0</v>
      </c>
      <c r="E634" s="2721" t="s">
        <v>3057</v>
      </c>
      <c r="F634" s="294"/>
      <c r="G634" s="2222" t="s">
        <v>2792</v>
      </c>
      <c r="H634" s="309"/>
      <c r="I634" s="360"/>
      <c r="J634" s="346"/>
      <c r="L634" s="291"/>
      <c r="M634" s="291"/>
      <c r="N634" s="291"/>
      <c r="O634" s="291"/>
      <c r="S634" s="364"/>
      <c r="Z634" s="609" t="s">
        <v>273</v>
      </c>
      <c r="AA634" s="609" t="s">
        <v>2935</v>
      </c>
    </row>
    <row r="635" spans="1:27" ht="18">
      <c r="A635" s="2714"/>
      <c r="B635" s="371">
        <v>101.003</v>
      </c>
      <c r="C635" s="371" t="s">
        <v>2791</v>
      </c>
      <c r="D635" s="2716">
        <f t="shared" si="57"/>
        <v>0</v>
      </c>
      <c r="E635" s="2721" t="s">
        <v>3057</v>
      </c>
      <c r="F635" s="294"/>
      <c r="G635" s="2222" t="s">
        <v>2792</v>
      </c>
      <c r="H635" s="309"/>
      <c r="I635" s="360"/>
      <c r="J635" s="346"/>
      <c r="L635" s="291"/>
      <c r="M635" s="291"/>
      <c r="N635" s="291"/>
      <c r="O635" s="291"/>
      <c r="S635" s="364"/>
      <c r="Z635" s="609" t="s">
        <v>273</v>
      </c>
      <c r="AA635" s="609" t="s">
        <v>2935</v>
      </c>
    </row>
    <row r="636" spans="1:27" ht="18">
      <c r="A636" s="2714"/>
      <c r="B636" s="371">
        <v>101.004</v>
      </c>
      <c r="C636" s="371" t="s">
        <v>2791</v>
      </c>
      <c r="D636" s="2716">
        <f t="shared" si="57"/>
        <v>0</v>
      </c>
      <c r="E636" s="2721" t="s">
        <v>3057</v>
      </c>
      <c r="F636" s="294"/>
      <c r="G636" s="2222" t="s">
        <v>2792</v>
      </c>
      <c r="H636" s="309"/>
      <c r="I636" s="360"/>
      <c r="J636" s="346"/>
      <c r="L636" s="291"/>
      <c r="M636" s="291"/>
      <c r="N636" s="291"/>
      <c r="O636" s="291"/>
      <c r="S636" s="364"/>
      <c r="Z636" s="609" t="s">
        <v>273</v>
      </c>
      <c r="AA636" s="609" t="s">
        <v>2935</v>
      </c>
    </row>
    <row r="637" spans="1:27" ht="18">
      <c r="A637" s="2714"/>
      <c r="B637" s="371">
        <v>101.005</v>
      </c>
      <c r="C637" s="371" t="s">
        <v>2791</v>
      </c>
      <c r="D637" s="2716">
        <f t="shared" si="57"/>
        <v>0</v>
      </c>
      <c r="E637" s="2721" t="s">
        <v>3057</v>
      </c>
      <c r="F637" s="294"/>
      <c r="G637" s="2222" t="s">
        <v>2792</v>
      </c>
      <c r="H637" s="309"/>
      <c r="I637" s="360"/>
      <c r="J637" s="346"/>
      <c r="K637" s="355" t="s">
        <v>2867</v>
      </c>
      <c r="L637" s="291"/>
      <c r="M637" s="291"/>
      <c r="N637" s="291"/>
      <c r="O637" s="291"/>
      <c r="S637" s="364"/>
      <c r="Z637" s="609" t="s">
        <v>273</v>
      </c>
      <c r="AA637" s="609" t="s">
        <v>2935</v>
      </c>
    </row>
    <row r="638" spans="1:27" ht="24">
      <c r="A638" s="2714"/>
      <c r="B638" s="371">
        <v>101.999</v>
      </c>
      <c r="C638" s="371" t="s">
        <v>2793</v>
      </c>
      <c r="D638" s="2716">
        <f t="shared" si="57"/>
        <v>1</v>
      </c>
      <c r="E638" s="2721">
        <v>1</v>
      </c>
      <c r="F638" s="294"/>
      <c r="G638" s="1474" t="s">
        <v>3057</v>
      </c>
      <c r="H638" s="1476">
        <f>SUMIF($E$631:$E$645,$G638,H$631:H$645)</f>
        <v>0</v>
      </c>
      <c r="I638" s="360"/>
      <c r="J638" s="1477">
        <f>SUMIF($E$631:$E$645,$G638,J$631:J$645)</f>
        <v>0</v>
      </c>
      <c r="L638" s="291"/>
      <c r="M638" s="291"/>
      <c r="N638" s="291"/>
      <c r="O638" s="291"/>
      <c r="S638" s="364"/>
      <c r="Z638" s="609" t="s">
        <v>273</v>
      </c>
      <c r="AA638" s="609" t="s">
        <v>2935</v>
      </c>
    </row>
    <row r="639" spans="1:27" ht="36">
      <c r="A639" s="2714"/>
      <c r="B639" s="371">
        <v>102</v>
      </c>
      <c r="C639" s="371"/>
      <c r="D639" s="2716">
        <f t="shared" si="57"/>
        <v>1</v>
      </c>
      <c r="E639" s="2721" t="s">
        <v>41</v>
      </c>
      <c r="F639" s="294"/>
      <c r="G639" s="1459" t="s">
        <v>3058</v>
      </c>
      <c r="H639" s="309"/>
      <c r="I639" s="360"/>
      <c r="J639" s="346"/>
      <c r="K639" s="355" t="s">
        <v>5142</v>
      </c>
      <c r="L639" s="291"/>
      <c r="M639" s="291"/>
      <c r="N639" s="291"/>
      <c r="O639" s="291"/>
      <c r="S639" s="364"/>
      <c r="Z639" s="609" t="s">
        <v>273</v>
      </c>
      <c r="AA639" s="609" t="s">
        <v>2935</v>
      </c>
    </row>
    <row r="640" spans="1:27" ht="18">
      <c r="A640" s="2714"/>
      <c r="B640" s="371">
        <v>102.001</v>
      </c>
      <c r="C640" s="371" t="s">
        <v>2791</v>
      </c>
      <c r="D640" s="2716">
        <f t="shared" si="57"/>
        <v>0</v>
      </c>
      <c r="E640" s="2721" t="s">
        <v>2875</v>
      </c>
      <c r="F640" s="294"/>
      <c r="G640" s="2222" t="s">
        <v>2792</v>
      </c>
      <c r="H640" s="309"/>
      <c r="I640" s="360"/>
      <c r="J640" s="346"/>
      <c r="L640" s="291"/>
      <c r="M640" s="291"/>
      <c r="N640" s="291"/>
      <c r="O640" s="291"/>
      <c r="S640" s="364"/>
      <c r="Z640" s="609" t="s">
        <v>273</v>
      </c>
      <c r="AA640" s="609" t="s">
        <v>2935</v>
      </c>
    </row>
    <row r="641" spans="1:27" ht="18">
      <c r="A641" s="2714"/>
      <c r="B641" s="371">
        <v>102.002</v>
      </c>
      <c r="C641" s="371" t="s">
        <v>2791</v>
      </c>
      <c r="D641" s="2716">
        <f t="shared" si="57"/>
        <v>0</v>
      </c>
      <c r="E641" s="2721" t="s">
        <v>2875</v>
      </c>
      <c r="F641" s="294"/>
      <c r="G641" s="2222" t="s">
        <v>2792</v>
      </c>
      <c r="H641" s="309"/>
      <c r="I641" s="360"/>
      <c r="J641" s="346"/>
      <c r="L641" s="291"/>
      <c r="M641" s="291"/>
      <c r="N641" s="291"/>
      <c r="O641" s="291"/>
      <c r="S641" s="364"/>
      <c r="Z641" s="609" t="s">
        <v>273</v>
      </c>
      <c r="AA641" s="609" t="s">
        <v>2935</v>
      </c>
    </row>
    <row r="642" spans="1:27" ht="18">
      <c r="A642" s="2714"/>
      <c r="B642" s="371">
        <v>102.003</v>
      </c>
      <c r="C642" s="371" t="s">
        <v>2791</v>
      </c>
      <c r="D642" s="2716">
        <f t="shared" si="57"/>
        <v>0</v>
      </c>
      <c r="E642" s="2721" t="s">
        <v>2875</v>
      </c>
      <c r="F642" s="294"/>
      <c r="G642" s="2222" t="s">
        <v>2792</v>
      </c>
      <c r="H642" s="309"/>
      <c r="I642" s="360"/>
      <c r="J642" s="346"/>
      <c r="L642" s="291"/>
      <c r="M642" s="291"/>
      <c r="N642" s="291"/>
      <c r="O642" s="291"/>
      <c r="S642" s="364"/>
      <c r="Z642" s="609" t="s">
        <v>273</v>
      </c>
      <c r="AA642" s="609" t="s">
        <v>2935</v>
      </c>
    </row>
    <row r="643" spans="1:27" ht="18">
      <c r="A643" s="2714"/>
      <c r="B643" s="371">
        <v>102.004</v>
      </c>
      <c r="C643" s="371" t="s">
        <v>2791</v>
      </c>
      <c r="D643" s="2716">
        <f t="shared" si="57"/>
        <v>0</v>
      </c>
      <c r="E643" s="2721" t="s">
        <v>2875</v>
      </c>
      <c r="F643" s="294"/>
      <c r="G643" s="2222" t="s">
        <v>2792</v>
      </c>
      <c r="H643" s="309"/>
      <c r="I643" s="360" t="s">
        <v>19</v>
      </c>
      <c r="J643" s="346"/>
      <c r="L643" s="291"/>
      <c r="M643" s="291"/>
      <c r="N643" s="291"/>
      <c r="O643" s="291"/>
      <c r="S643" s="364"/>
      <c r="Z643" s="609" t="s">
        <v>273</v>
      </c>
      <c r="AA643" s="609" t="s">
        <v>2935</v>
      </c>
    </row>
    <row r="644" spans="1:27" ht="18">
      <c r="A644" s="2714"/>
      <c r="B644" s="371">
        <v>102.005</v>
      </c>
      <c r="C644" s="371" t="s">
        <v>2791</v>
      </c>
      <c r="D644" s="2716">
        <f t="shared" si="57"/>
        <v>0</v>
      </c>
      <c r="E644" s="2721" t="s">
        <v>2875</v>
      </c>
      <c r="F644" s="294"/>
      <c r="G644" s="2222" t="s">
        <v>2792</v>
      </c>
      <c r="H644" s="309"/>
      <c r="I644" s="360" t="s">
        <v>19</v>
      </c>
      <c r="J644" s="346"/>
      <c r="L644" s="291"/>
      <c r="M644" s="291"/>
      <c r="N644" s="291"/>
      <c r="O644" s="291"/>
      <c r="S644" s="364"/>
      <c r="Z644" s="609" t="s">
        <v>273</v>
      </c>
      <c r="AA644" s="609" t="s">
        <v>2935</v>
      </c>
    </row>
    <row r="645" spans="1:27" ht="18">
      <c r="A645" s="2714"/>
      <c r="B645" s="371">
        <v>102.999</v>
      </c>
      <c r="C645" s="371" t="s">
        <v>2793</v>
      </c>
      <c r="D645" s="2716">
        <f t="shared" si="57"/>
        <v>1</v>
      </c>
      <c r="E645" s="2721">
        <v>0</v>
      </c>
      <c r="F645" s="294"/>
      <c r="G645" s="1459" t="s">
        <v>2875</v>
      </c>
      <c r="H645" s="1476">
        <f>SUMIF($E$631:$E$645,$G645,H$631:H$645)</f>
        <v>0</v>
      </c>
      <c r="I645" s="360" t="s">
        <v>19</v>
      </c>
      <c r="J645" s="1477">
        <f>SUMIF($E$631:$E$645,$G645,J$631:J$645)</f>
        <v>0</v>
      </c>
      <c r="K645" s="2264" t="s">
        <v>6000</v>
      </c>
      <c r="L645" s="291"/>
      <c r="M645" s="291"/>
      <c r="N645" s="291"/>
      <c r="O645" s="291"/>
      <c r="S645" s="364"/>
      <c r="Z645" s="609" t="s">
        <v>273</v>
      </c>
      <c r="AA645" s="609" t="s">
        <v>2935</v>
      </c>
    </row>
    <row r="646" spans="1:27" ht="18.75" thickBot="1">
      <c r="A646" s="2714"/>
      <c r="B646" s="371"/>
      <c r="C646" s="371"/>
      <c r="D646" s="2716">
        <f t="shared" si="57"/>
        <v>1</v>
      </c>
      <c r="E646" s="2721" t="s">
        <v>3032</v>
      </c>
      <c r="F646" s="294"/>
      <c r="G646" s="2234" t="s">
        <v>2752</v>
      </c>
      <c r="H646" s="2235">
        <f>SUMPRODUCT($E631:$E645,H631:H645)</f>
        <v>0</v>
      </c>
      <c r="I646" s="2241"/>
      <c r="J646" s="2236">
        <f>SUMPRODUCT($E631:$E645,J631:J645)</f>
        <v>0</v>
      </c>
      <c r="L646" s="291"/>
      <c r="M646" s="291"/>
      <c r="N646" s="291"/>
      <c r="O646" s="291"/>
      <c r="S646" s="364"/>
      <c r="Z646" s="609" t="s">
        <v>273</v>
      </c>
      <c r="AA646" s="609" t="s">
        <v>2935</v>
      </c>
    </row>
    <row r="647" spans="1:27" ht="18">
      <c r="A647" s="2714"/>
      <c r="B647" s="371"/>
      <c r="C647" s="371" t="s">
        <v>2755</v>
      </c>
      <c r="D647" s="371"/>
      <c r="F647" s="294"/>
      <c r="G647" s="301"/>
      <c r="H647" s="315"/>
      <c r="I647" s="393"/>
      <c r="J647" s="315"/>
      <c r="K647" s="350"/>
      <c r="L647" s="291"/>
      <c r="M647" s="291"/>
      <c r="N647" s="291"/>
      <c r="O647" s="291"/>
      <c r="S647" s="364"/>
      <c r="Z647" s="609" t="s">
        <v>273</v>
      </c>
      <c r="AA647" s="609" t="s">
        <v>2935</v>
      </c>
    </row>
    <row r="648" spans="1:27" ht="24">
      <c r="A648" s="2714" t="s">
        <v>372</v>
      </c>
      <c r="B648" s="371">
        <v>6</v>
      </c>
      <c r="C648" s="371"/>
      <c r="D648" s="2716" t="str">
        <f>VLOOKUP($A648,Sheet_NoteList,2,0)</f>
        <v>因金融资产转移而终止确认的应收账款</v>
      </c>
      <c r="E648" s="2716" t="s">
        <v>2742</v>
      </c>
      <c r="F648" s="294"/>
      <c r="G648" s="372" t="str">
        <f>"("&amp;B648&amp;")"&amp;D648</f>
        <v>(6)因金融资产转移而终止确认的应收账款</v>
      </c>
      <c r="H648" s="1517" t="str">
        <f>$A648</f>
        <v>1122m</v>
      </c>
      <c r="I648" s="343" t="s">
        <v>2743</v>
      </c>
      <c r="J648" s="301" t="s">
        <v>2744</v>
      </c>
      <c r="K648" s="2210">
        <f>I656</f>
        <v>0</v>
      </c>
      <c r="L648" s="315"/>
      <c r="M648" s="301"/>
      <c r="N648" s="3083"/>
      <c r="O648" s="345" t="str">
        <f>IF(ROUND(N619-N648,2)&gt;=0,"","#Logical!")</f>
        <v/>
      </c>
      <c r="P648" s="301"/>
      <c r="Q648" s="290" t="str">
        <f>IF($I648="不适用","",IF(ROUND(SUM($H$651:$J$656),2)=0,"请输入",""))</f>
        <v>请输入</v>
      </c>
      <c r="S648" s="364"/>
      <c r="Z648" s="609" t="s">
        <v>273</v>
      </c>
      <c r="AA648" s="609" t="s">
        <v>2935</v>
      </c>
    </row>
    <row r="649" spans="1:27" ht="0.75" customHeight="1" thickBot="1">
      <c r="A649" s="2714"/>
      <c r="B649" s="371"/>
      <c r="C649" s="371"/>
      <c r="D649" s="371"/>
      <c r="E649" s="586"/>
      <c r="F649" s="518"/>
      <c r="G649" s="518" t="s">
        <v>3059</v>
      </c>
      <c r="H649" s="304" t="s">
        <v>3060</v>
      </c>
      <c r="I649" s="304" t="s">
        <v>3061</v>
      </c>
      <c r="J649" s="304" t="s">
        <v>3062</v>
      </c>
      <c r="K649" s="291"/>
      <c r="L649" s="291"/>
      <c r="M649" s="291"/>
      <c r="S649" s="364"/>
      <c r="Z649" s="609" t="s">
        <v>273</v>
      </c>
      <c r="AA649" s="609" t="s">
        <v>2935</v>
      </c>
    </row>
    <row r="650" spans="1:27" ht="24">
      <c r="A650" s="2714"/>
      <c r="B650" s="371"/>
      <c r="C650" s="371"/>
      <c r="D650" s="371"/>
      <c r="E650" s="586" t="s">
        <v>2749</v>
      </c>
      <c r="F650" s="363"/>
      <c r="G650" s="2533" t="s">
        <v>47</v>
      </c>
      <c r="H650" s="2534" t="s">
        <v>3063</v>
      </c>
      <c r="I650" s="2534" t="s">
        <v>3064</v>
      </c>
      <c r="J650" s="2535" t="s">
        <v>3065</v>
      </c>
      <c r="K650" s="355" t="s">
        <v>5270</v>
      </c>
      <c r="L650" s="291"/>
      <c r="M650" s="291"/>
      <c r="S650" s="364"/>
      <c r="Z650" s="609" t="s">
        <v>273</v>
      </c>
      <c r="AA650" s="609" t="s">
        <v>2935</v>
      </c>
    </row>
    <row r="651" spans="1:27" ht="18">
      <c r="A651" s="2714"/>
      <c r="B651" s="371">
        <v>101</v>
      </c>
      <c r="C651" s="371" t="s">
        <v>2791</v>
      </c>
      <c r="D651" s="2716">
        <f t="shared" ref="D651:D656" si="58">IF(OR(G651="*",G651="",G651=0),0,COUNTIF($G$651:$G$656,G651))</f>
        <v>0</v>
      </c>
      <c r="E651" s="2721">
        <v>1</v>
      </c>
      <c r="F651" s="294"/>
      <c r="G651" s="2538" t="s">
        <v>2792</v>
      </c>
      <c r="H651" s="2298"/>
      <c r="I651" s="2275"/>
      <c r="J651" s="2296"/>
      <c r="K651" s="291"/>
      <c r="L651" s="291"/>
      <c r="M651" s="291"/>
      <c r="S651" s="364"/>
      <c r="Z651" s="609" t="s">
        <v>273</v>
      </c>
      <c r="AA651" s="609" t="s">
        <v>2935</v>
      </c>
    </row>
    <row r="652" spans="1:27" ht="18">
      <c r="A652" s="2714"/>
      <c r="B652" s="371">
        <v>102</v>
      </c>
      <c r="C652" s="371" t="s">
        <v>2791</v>
      </c>
      <c r="D652" s="2716">
        <f t="shared" si="58"/>
        <v>0</v>
      </c>
      <c r="E652" s="2721">
        <v>1</v>
      </c>
      <c r="F652" s="294"/>
      <c r="G652" s="2538" t="s">
        <v>2792</v>
      </c>
      <c r="H652" s="2298"/>
      <c r="I652" s="2275"/>
      <c r="J652" s="2296"/>
      <c r="K652" s="291"/>
      <c r="L652" s="291"/>
      <c r="M652" s="291"/>
      <c r="S652" s="364"/>
      <c r="Z652" s="609" t="s">
        <v>273</v>
      </c>
      <c r="AA652" s="609" t="s">
        <v>2935</v>
      </c>
    </row>
    <row r="653" spans="1:27" ht="18">
      <c r="A653" s="2714"/>
      <c r="B653" s="371">
        <v>103</v>
      </c>
      <c r="C653" s="371" t="s">
        <v>2791</v>
      </c>
      <c r="D653" s="2716">
        <f t="shared" si="58"/>
        <v>0</v>
      </c>
      <c r="E653" s="2721">
        <v>1</v>
      </c>
      <c r="F653" s="294"/>
      <c r="G653" s="2538" t="s">
        <v>2792</v>
      </c>
      <c r="H653" s="2298"/>
      <c r="I653" s="2275"/>
      <c r="J653" s="2296"/>
      <c r="K653" s="291"/>
      <c r="L653" s="291"/>
      <c r="M653" s="291"/>
      <c r="S653" s="364"/>
      <c r="Z653" s="609" t="s">
        <v>273</v>
      </c>
      <c r="AA653" s="609" t="s">
        <v>2935</v>
      </c>
    </row>
    <row r="654" spans="1:27" ht="18">
      <c r="A654" s="2714"/>
      <c r="B654" s="371">
        <v>104</v>
      </c>
      <c r="C654" s="371" t="s">
        <v>2791</v>
      </c>
      <c r="D654" s="2716">
        <f t="shared" si="58"/>
        <v>0</v>
      </c>
      <c r="E654" s="2721">
        <v>1</v>
      </c>
      <c r="F654" s="294"/>
      <c r="G654" s="2538" t="s">
        <v>2792</v>
      </c>
      <c r="H654" s="2298"/>
      <c r="I654" s="2275"/>
      <c r="J654" s="2296"/>
      <c r="K654" s="291"/>
      <c r="L654" s="291"/>
      <c r="M654" s="291"/>
      <c r="S654" s="364"/>
      <c r="Z654" s="609" t="s">
        <v>273</v>
      </c>
      <c r="AA654" s="609" t="s">
        <v>2935</v>
      </c>
    </row>
    <row r="655" spans="1:27" ht="18">
      <c r="A655" s="2714"/>
      <c r="B655" s="371">
        <v>105</v>
      </c>
      <c r="C655" s="371" t="s">
        <v>2791</v>
      </c>
      <c r="D655" s="2716">
        <f t="shared" si="58"/>
        <v>0</v>
      </c>
      <c r="E655" s="2721">
        <v>1</v>
      </c>
      <c r="F655" s="294"/>
      <c r="G655" s="2538" t="s">
        <v>2792</v>
      </c>
      <c r="H655" s="2298"/>
      <c r="I655" s="2275"/>
      <c r="J655" s="2296"/>
      <c r="K655" s="291"/>
      <c r="L655" s="291"/>
      <c r="M655" s="291"/>
      <c r="S655" s="364"/>
      <c r="Z655" s="609" t="s">
        <v>273</v>
      </c>
      <c r="AA655" s="609" t="s">
        <v>2935</v>
      </c>
    </row>
    <row r="656" spans="1:27" ht="18.75" thickBot="1">
      <c r="A656" s="2714"/>
      <c r="B656" s="371"/>
      <c r="C656" s="371"/>
      <c r="D656" s="2716">
        <f t="shared" si="58"/>
        <v>1</v>
      </c>
      <c r="E656" s="2721" t="s">
        <v>3032</v>
      </c>
      <c r="F656" s="294"/>
      <c r="G656" s="2234" t="s">
        <v>2752</v>
      </c>
      <c r="H656" s="2241"/>
      <c r="I656" s="2235">
        <f>SUMPRODUCT($E650:$E655,I650:I655)</f>
        <v>0</v>
      </c>
      <c r="J656" s="2236">
        <f>SUMPRODUCT($E650:$E655,J650:J655)</f>
        <v>0</v>
      </c>
      <c r="K656" s="291"/>
      <c r="L656" s="291"/>
      <c r="M656" s="291"/>
      <c r="S656" s="364"/>
      <c r="Z656" s="609" t="s">
        <v>273</v>
      </c>
      <c r="AA656" s="609" t="s">
        <v>2935</v>
      </c>
    </row>
    <row r="657" spans="1:27" ht="18">
      <c r="A657" s="2714"/>
      <c r="B657" s="371"/>
      <c r="C657" s="371" t="s">
        <v>2755</v>
      </c>
      <c r="D657" s="371"/>
      <c r="F657" s="294"/>
      <c r="G657" s="301"/>
      <c r="H657" s="393"/>
      <c r="I657" s="315"/>
      <c r="J657" s="315"/>
      <c r="K657" s="291"/>
      <c r="L657" s="291"/>
      <c r="M657" s="291"/>
      <c r="S657" s="364"/>
      <c r="Z657" s="609" t="s">
        <v>273</v>
      </c>
      <c r="AA657" s="609" t="s">
        <v>2935</v>
      </c>
    </row>
    <row r="658" spans="1:27" ht="24">
      <c r="A658" s="2714" t="s">
        <v>379</v>
      </c>
      <c r="B658" s="371">
        <v>7</v>
      </c>
      <c r="C658" s="371"/>
      <c r="D658" s="2716" t="str">
        <f>VLOOKUP($A658,Sheet_NoteList,2,0)</f>
        <v>转移应收账款且继续涉入形成的资产、负债金额</v>
      </c>
      <c r="E658" s="2716" t="s">
        <v>2742</v>
      </c>
      <c r="F658" s="294"/>
      <c r="G658" s="372" t="str">
        <f>"("&amp;B658&amp;")"&amp;D658</f>
        <v>(7)转移应收账款且继续涉入形成的资产、负债金额</v>
      </c>
      <c r="H658" s="1517" t="str">
        <f>$A658</f>
        <v>1122n</v>
      </c>
      <c r="I658" s="343" t="s">
        <v>2743</v>
      </c>
      <c r="J658" s="301" t="s">
        <v>2744</v>
      </c>
      <c r="K658" s="2210">
        <f>H666</f>
        <v>0</v>
      </c>
      <c r="L658" s="315"/>
      <c r="M658" s="301"/>
      <c r="N658" s="3083"/>
      <c r="O658" s="345"/>
      <c r="P658" s="301"/>
      <c r="Q658" s="290" t="str">
        <f>IF($I658="不适用","",IF(ROUND(SUM($H$661:$I$666),2)=0,"请输入",""))</f>
        <v>请输入</v>
      </c>
      <c r="S658" s="364"/>
      <c r="Z658" s="609" t="s">
        <v>273</v>
      </c>
      <c r="AA658" s="609" t="s">
        <v>2935</v>
      </c>
    </row>
    <row r="659" spans="1:27" ht="0.75" customHeight="1" thickBot="1">
      <c r="A659" s="2714"/>
      <c r="B659" s="371"/>
      <c r="C659" s="371"/>
      <c r="D659" s="371"/>
      <c r="E659" s="586"/>
      <c r="F659" s="586"/>
      <c r="G659" s="586" t="s">
        <v>3066</v>
      </c>
      <c r="H659" s="371" t="s">
        <v>6190</v>
      </c>
      <c r="I659" s="371" t="s">
        <v>6191</v>
      </c>
      <c r="J659" s="371" t="s">
        <v>3052</v>
      </c>
      <c r="K659" s="472"/>
      <c r="L659" s="472"/>
      <c r="M659" s="472"/>
      <c r="N659" s="442"/>
      <c r="O659" s="442"/>
      <c r="P659" s="442"/>
      <c r="Q659" s="442"/>
      <c r="R659" s="443"/>
      <c r="S659" s="364"/>
      <c r="Z659" s="609" t="s">
        <v>273</v>
      </c>
      <c r="AA659" s="609" t="s">
        <v>2935</v>
      </c>
    </row>
    <row r="660" spans="1:27" ht="24">
      <c r="A660" s="2714"/>
      <c r="B660" s="371"/>
      <c r="C660" s="371"/>
      <c r="D660" s="371"/>
      <c r="E660" s="586" t="s">
        <v>2749</v>
      </c>
      <c r="F660" s="363"/>
      <c r="G660" s="2533" t="s">
        <v>47</v>
      </c>
      <c r="H660" s="2534" t="s">
        <v>3068</v>
      </c>
      <c r="I660" s="2534" t="s">
        <v>3069</v>
      </c>
      <c r="J660" s="2535" t="s">
        <v>3070</v>
      </c>
      <c r="K660" s="355" t="s">
        <v>5270</v>
      </c>
      <c r="L660" s="472"/>
      <c r="M660" s="472"/>
      <c r="N660" s="442"/>
      <c r="O660" s="442"/>
      <c r="P660" s="442"/>
      <c r="Q660" s="442"/>
      <c r="R660" s="443"/>
      <c r="S660" s="364"/>
      <c r="Z660" s="609" t="s">
        <v>273</v>
      </c>
      <c r="AA660" s="609" t="s">
        <v>2935</v>
      </c>
    </row>
    <row r="661" spans="1:27" ht="18">
      <c r="A661" s="2714"/>
      <c r="B661" s="371">
        <v>101</v>
      </c>
      <c r="C661" s="371" t="s">
        <v>2791</v>
      </c>
      <c r="D661" s="2716">
        <f t="shared" ref="D661:D666" si="59">IF(OR(G661="*",G661="",G661=0),0,COUNTIF($G$661:$G$666,G661))</f>
        <v>0</v>
      </c>
      <c r="E661" s="2721">
        <v>1</v>
      </c>
      <c r="F661" s="294"/>
      <c r="G661" s="2538" t="s">
        <v>2792</v>
      </c>
      <c r="H661" s="2298"/>
      <c r="I661" s="2275"/>
      <c r="J661" s="2296"/>
      <c r="K661" s="472"/>
      <c r="L661" s="472"/>
      <c r="M661" s="472"/>
      <c r="N661" s="442"/>
      <c r="O661" s="442"/>
      <c r="P661" s="442"/>
      <c r="Q661" s="442"/>
      <c r="R661" s="443"/>
      <c r="S661" s="364"/>
      <c r="Z661" s="609" t="s">
        <v>273</v>
      </c>
      <c r="AA661" s="609" t="s">
        <v>2935</v>
      </c>
    </row>
    <row r="662" spans="1:27" ht="18">
      <c r="A662" s="2714"/>
      <c r="B662" s="371">
        <v>102</v>
      </c>
      <c r="C662" s="371" t="s">
        <v>2791</v>
      </c>
      <c r="D662" s="2716">
        <f t="shared" si="59"/>
        <v>0</v>
      </c>
      <c r="E662" s="2721">
        <v>1</v>
      </c>
      <c r="F662" s="294"/>
      <c r="G662" s="2538" t="s">
        <v>2792</v>
      </c>
      <c r="H662" s="2298"/>
      <c r="I662" s="2275"/>
      <c r="J662" s="2296"/>
      <c r="K662" s="472"/>
      <c r="L662" s="472"/>
      <c r="M662" s="472"/>
      <c r="N662" s="442"/>
      <c r="O662" s="442"/>
      <c r="P662" s="442"/>
      <c r="Q662" s="442"/>
      <c r="R662" s="443"/>
      <c r="S662" s="364"/>
      <c r="Z662" s="609" t="s">
        <v>273</v>
      </c>
      <c r="AA662" s="609" t="s">
        <v>2935</v>
      </c>
    </row>
    <row r="663" spans="1:27" ht="18">
      <c r="A663" s="2714"/>
      <c r="B663" s="371">
        <v>103</v>
      </c>
      <c r="C663" s="371" t="s">
        <v>2791</v>
      </c>
      <c r="D663" s="2716">
        <f t="shared" si="59"/>
        <v>0</v>
      </c>
      <c r="E663" s="2721">
        <v>1</v>
      </c>
      <c r="F663" s="294"/>
      <c r="G663" s="2538" t="s">
        <v>2792</v>
      </c>
      <c r="H663" s="2298"/>
      <c r="I663" s="2275"/>
      <c r="J663" s="2296"/>
      <c r="K663" s="472"/>
      <c r="L663" s="472"/>
      <c r="M663" s="472"/>
      <c r="N663" s="442"/>
      <c r="O663" s="442"/>
      <c r="P663" s="442"/>
      <c r="Q663" s="442"/>
      <c r="R663" s="443"/>
      <c r="S663" s="364"/>
      <c r="Z663" s="609" t="s">
        <v>273</v>
      </c>
      <c r="AA663" s="609" t="s">
        <v>2935</v>
      </c>
    </row>
    <row r="664" spans="1:27" ht="18">
      <c r="A664" s="2714"/>
      <c r="B664" s="371">
        <v>104</v>
      </c>
      <c r="C664" s="371" t="s">
        <v>2791</v>
      </c>
      <c r="D664" s="2716">
        <f t="shared" si="59"/>
        <v>0</v>
      </c>
      <c r="E664" s="2721">
        <v>1</v>
      </c>
      <c r="F664" s="294"/>
      <c r="G664" s="2538" t="s">
        <v>2792</v>
      </c>
      <c r="H664" s="2298"/>
      <c r="I664" s="2275"/>
      <c r="J664" s="2296"/>
      <c r="K664" s="472"/>
      <c r="L664" s="472"/>
      <c r="M664" s="472"/>
      <c r="N664" s="442"/>
      <c r="O664" s="442"/>
      <c r="P664" s="442"/>
      <c r="Q664" s="442"/>
      <c r="R664" s="443"/>
      <c r="S664" s="364"/>
      <c r="Z664" s="609" t="s">
        <v>273</v>
      </c>
      <c r="AA664" s="609" t="s">
        <v>2935</v>
      </c>
    </row>
    <row r="665" spans="1:27" ht="18">
      <c r="A665" s="2714"/>
      <c r="B665" s="371">
        <v>105</v>
      </c>
      <c r="C665" s="371" t="s">
        <v>2791</v>
      </c>
      <c r="D665" s="2716">
        <f t="shared" si="59"/>
        <v>0</v>
      </c>
      <c r="E665" s="2721">
        <v>1</v>
      </c>
      <c r="F665" s="294"/>
      <c r="G665" s="2538" t="s">
        <v>2792</v>
      </c>
      <c r="H665" s="2298"/>
      <c r="I665" s="2275"/>
      <c r="J665" s="2296"/>
      <c r="K665" s="472"/>
      <c r="L665" s="472"/>
      <c r="M665" s="472"/>
      <c r="N665" s="442"/>
      <c r="O665" s="442"/>
      <c r="P665" s="442"/>
      <c r="Q665" s="442"/>
      <c r="R665" s="443"/>
      <c r="S665" s="364"/>
      <c r="Z665" s="609" t="s">
        <v>273</v>
      </c>
      <c r="AA665" s="609" t="s">
        <v>2935</v>
      </c>
    </row>
    <row r="666" spans="1:27" ht="18.75" thickBot="1">
      <c r="A666" s="2714"/>
      <c r="B666" s="371"/>
      <c r="C666" s="371"/>
      <c r="D666" s="2716">
        <f t="shared" si="59"/>
        <v>1</v>
      </c>
      <c r="E666" s="2721" t="s">
        <v>3032</v>
      </c>
      <c r="F666" s="294"/>
      <c r="G666" s="2234" t="s">
        <v>3071</v>
      </c>
      <c r="H666" s="2241"/>
      <c r="I666" s="2235">
        <f>SUMPRODUCT($E660:$E665,I660:I665)</f>
        <v>0</v>
      </c>
      <c r="J666" s="2236">
        <f>SUMPRODUCT($E660:$E665,J660:J665)</f>
        <v>0</v>
      </c>
      <c r="K666" s="472"/>
      <c r="L666" s="472"/>
      <c r="M666" s="472"/>
      <c r="N666" s="442"/>
      <c r="O666" s="442"/>
      <c r="P666" s="442"/>
      <c r="Q666" s="442"/>
      <c r="R666" s="443"/>
      <c r="S666" s="364"/>
      <c r="Z666" s="609" t="s">
        <v>273</v>
      </c>
      <c r="AA666" s="609" t="s">
        <v>2935</v>
      </c>
    </row>
    <row r="667" spans="1:27" ht="18">
      <c r="A667" s="2714"/>
      <c r="B667" s="371"/>
      <c r="C667" s="371" t="s">
        <v>2755</v>
      </c>
      <c r="D667" s="371"/>
      <c r="F667" s="294"/>
      <c r="G667" s="301"/>
      <c r="H667" s="393"/>
      <c r="I667" s="315"/>
      <c r="J667" s="315"/>
      <c r="K667" s="472"/>
      <c r="L667" s="472"/>
      <c r="M667" s="472"/>
      <c r="N667" s="442"/>
      <c r="O667" s="442"/>
      <c r="P667" s="442"/>
      <c r="Q667" s="442"/>
      <c r="R667" s="443"/>
      <c r="S667" s="364"/>
      <c r="Z667" s="609" t="s">
        <v>273</v>
      </c>
      <c r="AA667" s="609" t="s">
        <v>2935</v>
      </c>
    </row>
    <row r="668" spans="1:27" ht="18">
      <c r="A668" s="2714" t="s">
        <v>419</v>
      </c>
      <c r="B668" s="371">
        <v>8</v>
      </c>
      <c r="C668" s="371"/>
      <c r="D668" s="2716" t="str">
        <f>VLOOKUP($A668,Sheet_NoteList,2,0)</f>
        <v>外币应收账款</v>
      </c>
      <c r="E668" s="2716" t="s">
        <v>6531</v>
      </c>
      <c r="F668" s="294"/>
      <c r="G668" s="372" t="str">
        <f>"("&amp;B668&amp;")"&amp;D668</f>
        <v>(8)外币应收账款</v>
      </c>
      <c r="H668" s="1517" t="str">
        <f>$A668</f>
        <v>1122c</v>
      </c>
      <c r="I668" s="343" t="s">
        <v>5573</v>
      </c>
      <c r="J668" s="301" t="s">
        <v>5572</v>
      </c>
      <c r="K668" s="2210">
        <f>J676</f>
        <v>0</v>
      </c>
      <c r="L668" s="345" t="str">
        <f>IF($I668="适用",IF(ROUND(K$316-K668,2)&gt;=0,"","#Logical!"),"#N/A")</f>
        <v/>
      </c>
      <c r="M668" s="301"/>
      <c r="N668" s="391"/>
      <c r="O668" s="345"/>
      <c r="P668" s="301"/>
      <c r="Q668" s="290" t="str">
        <f>IF($I668="不适用","",IF(ROUND(SUM($H$671:$J$676),2)=0,"请输入",""))</f>
        <v>请输入</v>
      </c>
      <c r="S668" s="364"/>
      <c r="Z668" s="609" t="s">
        <v>273</v>
      </c>
      <c r="AA668" s="609" t="s">
        <v>2935</v>
      </c>
    </row>
    <row r="669" spans="1:27" ht="0.75" customHeight="1" thickBot="1">
      <c r="A669" s="2714"/>
      <c r="B669" s="371"/>
      <c r="C669" s="371"/>
      <c r="D669" s="371"/>
      <c r="F669" s="371"/>
      <c r="G669" s="371" t="s">
        <v>3072</v>
      </c>
      <c r="H669" s="371" t="s">
        <v>3073</v>
      </c>
      <c r="I669" s="371" t="s">
        <v>3074</v>
      </c>
      <c r="J669" s="371" t="s">
        <v>3075</v>
      </c>
      <c r="K669" s="387"/>
      <c r="L669" s="387"/>
      <c r="M669" s="387"/>
      <c r="N669" s="291"/>
      <c r="O669" s="291"/>
      <c r="P669" s="291"/>
      <c r="Q669" s="367"/>
      <c r="R669" s="367"/>
      <c r="S669" s="364"/>
      <c r="Z669" s="609" t="s">
        <v>273</v>
      </c>
      <c r="AA669" s="609" t="s">
        <v>2935</v>
      </c>
    </row>
    <row r="670" spans="1:27" ht="24">
      <c r="A670" s="2714"/>
      <c r="B670" s="371"/>
      <c r="C670" s="371"/>
      <c r="D670" s="371"/>
      <c r="E670" s="2716" t="s">
        <v>2749</v>
      </c>
      <c r="F670" s="294"/>
      <c r="G670" s="1621" t="s">
        <v>1371</v>
      </c>
      <c r="H670" s="1619" t="s">
        <v>3076</v>
      </c>
      <c r="I670" s="1619" t="s">
        <v>3077</v>
      </c>
      <c r="J670" s="1620" t="s">
        <v>3078</v>
      </c>
      <c r="K670" s="355" t="s">
        <v>5604</v>
      </c>
      <c r="L670" s="291"/>
      <c r="M670" s="291"/>
      <c r="N670" s="291"/>
      <c r="O670" s="291"/>
      <c r="P670" s="291"/>
      <c r="Q670" s="367"/>
      <c r="R670" s="367"/>
      <c r="S670" s="364"/>
      <c r="Z670" s="609" t="s">
        <v>273</v>
      </c>
      <c r="AA670" s="609" t="s">
        <v>2935</v>
      </c>
    </row>
    <row r="671" spans="1:27" ht="18">
      <c r="A671" s="2714"/>
      <c r="B671" s="371">
        <v>101</v>
      </c>
      <c r="C671" s="371" t="s">
        <v>2791</v>
      </c>
      <c r="D671" s="2716">
        <f t="shared" ref="D671:D676" si="60">IF(OR(G671="*",G671="",G671=0),0,COUNTIF($G$671:$G$676,G671))</f>
        <v>1</v>
      </c>
      <c r="E671" s="2721">
        <v>1</v>
      </c>
      <c r="F671" s="294"/>
      <c r="G671" s="1618" t="s">
        <v>3079</v>
      </c>
      <c r="H671" s="309"/>
      <c r="I671" s="360"/>
      <c r="J671" s="346"/>
      <c r="K671" s="355" t="s">
        <v>5364</v>
      </c>
      <c r="L671" s="1522" t="s">
        <v>5365</v>
      </c>
      <c r="M671" s="291"/>
      <c r="N671" s="291"/>
      <c r="O671" s="291"/>
      <c r="P671" s="291"/>
      <c r="Q671" s="367"/>
      <c r="R671" s="367"/>
      <c r="S671" s="364"/>
      <c r="Z671" s="609" t="s">
        <v>273</v>
      </c>
      <c r="AA671" s="609" t="s">
        <v>2935</v>
      </c>
    </row>
    <row r="672" spans="1:27" ht="18">
      <c r="A672" s="2714"/>
      <c r="B672" s="371">
        <v>102</v>
      </c>
      <c r="C672" s="371" t="s">
        <v>2791</v>
      </c>
      <c r="D672" s="2716">
        <f t="shared" si="60"/>
        <v>1</v>
      </c>
      <c r="E672" s="2721">
        <v>1</v>
      </c>
      <c r="F672" s="294"/>
      <c r="G672" s="1618" t="s">
        <v>3080</v>
      </c>
      <c r="H672" s="309"/>
      <c r="I672" s="360"/>
      <c r="J672" s="346"/>
      <c r="K672" s="355" t="s">
        <v>6176</v>
      </c>
      <c r="L672" s="291"/>
      <c r="M672" s="291"/>
      <c r="N672" s="291"/>
      <c r="O672" s="291"/>
      <c r="P672" s="291"/>
      <c r="Q672" s="367"/>
      <c r="R672" s="367"/>
      <c r="S672" s="364"/>
      <c r="Z672" s="609" t="s">
        <v>273</v>
      </c>
      <c r="AA672" s="609" t="s">
        <v>2935</v>
      </c>
    </row>
    <row r="673" spans="1:27" ht="18">
      <c r="A673" s="2714"/>
      <c r="B673" s="371">
        <v>103</v>
      </c>
      <c r="C673" s="371" t="s">
        <v>2791</v>
      </c>
      <c r="D673" s="2716">
        <f t="shared" si="60"/>
        <v>1</v>
      </c>
      <c r="E673" s="2721">
        <v>1</v>
      </c>
      <c r="F673" s="294"/>
      <c r="G673" s="1618" t="s">
        <v>3081</v>
      </c>
      <c r="H673" s="309"/>
      <c r="I673" s="360"/>
      <c r="J673" s="346"/>
      <c r="K673" s="291"/>
      <c r="L673" s="291"/>
      <c r="M673" s="291"/>
      <c r="N673" s="291"/>
      <c r="O673" s="291"/>
      <c r="P673" s="291"/>
      <c r="Q673" s="367"/>
      <c r="R673" s="367"/>
      <c r="S673" s="364"/>
      <c r="Z673" s="609" t="s">
        <v>273</v>
      </c>
      <c r="AA673" s="609" t="s">
        <v>2935</v>
      </c>
    </row>
    <row r="674" spans="1:27" ht="18">
      <c r="A674" s="2714"/>
      <c r="B674" s="371">
        <v>104</v>
      </c>
      <c r="C674" s="371" t="s">
        <v>2791</v>
      </c>
      <c r="D674" s="2716">
        <f t="shared" si="60"/>
        <v>0</v>
      </c>
      <c r="E674" s="2721">
        <v>1</v>
      </c>
      <c r="F674" s="294"/>
      <c r="G674" s="1618" t="s">
        <v>2792</v>
      </c>
      <c r="H674" s="309"/>
      <c r="I674" s="360"/>
      <c r="J674" s="346"/>
      <c r="K674" s="291"/>
      <c r="L674" s="291"/>
      <c r="M674" s="291"/>
      <c r="N674" s="291"/>
      <c r="O674" s="291"/>
      <c r="P674" s="291"/>
      <c r="Q674" s="367"/>
      <c r="R674" s="367"/>
      <c r="S674" s="364"/>
      <c r="Z674" s="609" t="s">
        <v>273</v>
      </c>
      <c r="AA674" s="609" t="s">
        <v>2935</v>
      </c>
    </row>
    <row r="675" spans="1:27" ht="18">
      <c r="A675" s="2714"/>
      <c r="B675" s="371">
        <v>105</v>
      </c>
      <c r="C675" s="371" t="s">
        <v>2791</v>
      </c>
      <c r="D675" s="2716">
        <f t="shared" si="60"/>
        <v>0</v>
      </c>
      <c r="E675" s="2721">
        <v>1</v>
      </c>
      <c r="F675" s="294"/>
      <c r="G675" s="1618" t="s">
        <v>2792</v>
      </c>
      <c r="H675" s="309"/>
      <c r="I675" s="360"/>
      <c r="J675" s="346"/>
      <c r="K675" s="291"/>
      <c r="L675" s="291"/>
      <c r="M675" s="291"/>
      <c r="N675" s="291"/>
      <c r="O675" s="291"/>
      <c r="P675" s="291"/>
      <c r="Q675" s="367"/>
      <c r="R675" s="367"/>
      <c r="S675" s="364"/>
      <c r="Z675" s="609" t="s">
        <v>273</v>
      </c>
      <c r="AA675" s="609" t="s">
        <v>2935</v>
      </c>
    </row>
    <row r="676" spans="1:27" ht="18.75" thickBot="1">
      <c r="A676" s="2714"/>
      <c r="B676" s="371"/>
      <c r="C676" s="371"/>
      <c r="D676" s="2716">
        <f t="shared" si="60"/>
        <v>1</v>
      </c>
      <c r="E676" s="2721" t="s">
        <v>2751</v>
      </c>
      <c r="F676" s="294"/>
      <c r="G676" s="1529" t="s">
        <v>2752</v>
      </c>
      <c r="H676" s="1525"/>
      <c r="I676" s="1526"/>
      <c r="J676" s="1528">
        <f>SUMPRODUCT($E670:$E675,J670:J675)</f>
        <v>0</v>
      </c>
      <c r="K676" s="291"/>
      <c r="L676" s="291"/>
      <c r="M676" s="291"/>
      <c r="N676" s="291"/>
      <c r="O676" s="291"/>
      <c r="P676" s="291"/>
      <c r="Q676" s="367"/>
      <c r="R676" s="367"/>
      <c r="S676" s="364"/>
      <c r="Z676" s="609" t="s">
        <v>273</v>
      </c>
      <c r="AA676" s="609" t="s">
        <v>2935</v>
      </c>
    </row>
    <row r="677" spans="1:27" ht="18">
      <c r="A677" s="2714"/>
      <c r="B677" s="371"/>
      <c r="C677" s="371" t="s">
        <v>2755</v>
      </c>
      <c r="D677" s="371"/>
      <c r="F677" s="294"/>
      <c r="G677" s="301"/>
      <c r="H677" s="315"/>
      <c r="I677" s="393"/>
      <c r="J677" s="315"/>
      <c r="K677" s="291"/>
      <c r="L677" s="291"/>
      <c r="M677" s="291"/>
      <c r="N677" s="291"/>
      <c r="O677" s="291"/>
      <c r="P677" s="291"/>
      <c r="Q677" s="367"/>
      <c r="R677" s="367"/>
      <c r="S677" s="364"/>
      <c r="Z677" s="609" t="s">
        <v>273</v>
      </c>
      <c r="AA677" s="609" t="s">
        <v>2935</v>
      </c>
    </row>
    <row r="678" spans="1:27" ht="24">
      <c r="A678" s="2714" t="s">
        <v>425</v>
      </c>
      <c r="B678" s="371">
        <v>9</v>
      </c>
      <c r="C678" s="371"/>
      <c r="D678" s="2716" t="str">
        <f>VLOOKUP($A678,Sheet_NoteList,2,0)</f>
        <v>关联方应收应付款项——应收账款</v>
      </c>
      <c r="E678" s="2716" t="s">
        <v>6531</v>
      </c>
      <c r="F678" s="294"/>
      <c r="G678" s="372" t="str">
        <f>"("&amp;B678&amp;")"&amp;D678</f>
        <v>(9)关联方应收应付款项——应收账款</v>
      </c>
      <c r="H678" s="1517" t="str">
        <f>$A678</f>
        <v>1122l</v>
      </c>
      <c r="I678" s="343" t="s">
        <v>5602</v>
      </c>
      <c r="J678" s="301" t="s">
        <v>5600</v>
      </c>
      <c r="K678" s="2210">
        <f>H686-I686</f>
        <v>0</v>
      </c>
      <c r="L678" s="345"/>
      <c r="M678" s="301" t="s">
        <v>5601</v>
      </c>
      <c r="N678" s="2210">
        <f>J686-K686</f>
        <v>0</v>
      </c>
      <c r="O678" s="345"/>
      <c r="P678" s="301"/>
      <c r="Q678" s="290" t="str">
        <f>IF($I678="不适用","",IF(ROUND(SUM($H$681:$K$686),2)=0,"请输入",""))</f>
        <v>请输入</v>
      </c>
      <c r="S678" s="364"/>
      <c r="Z678" s="609" t="s">
        <v>273</v>
      </c>
      <c r="AA678" s="609" t="s">
        <v>2935</v>
      </c>
    </row>
    <row r="679" spans="1:27" ht="0.75" customHeight="1" thickBot="1">
      <c r="A679" s="2714"/>
      <c r="B679" s="371"/>
      <c r="C679" s="371"/>
      <c r="D679" s="371"/>
      <c r="F679" s="304"/>
      <c r="G679" s="304" t="s">
        <v>3082</v>
      </c>
      <c r="H679" s="304" t="s">
        <v>2849</v>
      </c>
      <c r="I679" s="304" t="s">
        <v>3083</v>
      </c>
      <c r="J679" s="304" t="s">
        <v>3084</v>
      </c>
      <c r="K679" s="304" t="s">
        <v>3085</v>
      </c>
      <c r="L679" s="291"/>
      <c r="M679" s="291"/>
      <c r="N679" s="291"/>
      <c r="S679" s="364"/>
      <c r="Z679" s="609" t="s">
        <v>273</v>
      </c>
      <c r="AA679" s="609" t="s">
        <v>2935</v>
      </c>
    </row>
    <row r="680" spans="1:27" ht="24">
      <c r="A680" s="2714"/>
      <c r="B680" s="371"/>
      <c r="C680" s="371"/>
      <c r="D680" s="371"/>
      <c r="E680" s="2716" t="s">
        <v>2749</v>
      </c>
      <c r="F680" s="294"/>
      <c r="G680" s="1633" t="s">
        <v>1423</v>
      </c>
      <c r="H680" s="1631" t="s">
        <v>3086</v>
      </c>
      <c r="I680" s="1631" t="s">
        <v>3055</v>
      </c>
      <c r="J680" s="1631" t="s">
        <v>3087</v>
      </c>
      <c r="K680" s="1632" t="s">
        <v>3088</v>
      </c>
      <c r="L680" s="343" t="s">
        <v>5603</v>
      </c>
      <c r="M680" s="291"/>
      <c r="N680" s="291"/>
      <c r="S680" s="364"/>
      <c r="Z680" s="609" t="s">
        <v>273</v>
      </c>
      <c r="AA680" s="609" t="s">
        <v>2935</v>
      </c>
    </row>
    <row r="681" spans="1:27" ht="18">
      <c r="A681" s="2714"/>
      <c r="B681" s="371">
        <v>101</v>
      </c>
      <c r="C681" s="371" t="s">
        <v>2791</v>
      </c>
      <c r="D681" s="2716">
        <f t="shared" ref="D681:D686" si="61">IF(OR(G681="*",G681="",G681=0),0,COUNTIF($G$681:$G$686,G681))</f>
        <v>0</v>
      </c>
      <c r="E681" s="2721">
        <v>1</v>
      </c>
      <c r="F681" s="294"/>
      <c r="G681" s="1634" t="s">
        <v>2792</v>
      </c>
      <c r="H681" s="309"/>
      <c r="I681" s="309"/>
      <c r="J681" s="309"/>
      <c r="K681" s="346"/>
      <c r="L681" s="355" t="s">
        <v>5364</v>
      </c>
      <c r="M681" s="1522" t="s">
        <v>5605</v>
      </c>
      <c r="N681" s="291"/>
      <c r="S681" s="364"/>
      <c r="Z681" s="609" t="s">
        <v>273</v>
      </c>
      <c r="AA681" s="609" t="s">
        <v>2935</v>
      </c>
    </row>
    <row r="682" spans="1:27" ht="18">
      <c r="A682" s="2714"/>
      <c r="B682" s="371">
        <v>102</v>
      </c>
      <c r="C682" s="371" t="s">
        <v>2791</v>
      </c>
      <c r="D682" s="2716">
        <f t="shared" si="61"/>
        <v>0</v>
      </c>
      <c r="E682" s="2721">
        <v>1</v>
      </c>
      <c r="F682" s="294"/>
      <c r="G682" s="1634" t="s">
        <v>2792</v>
      </c>
      <c r="H682" s="309"/>
      <c r="I682" s="309"/>
      <c r="J682" s="309"/>
      <c r="K682" s="346"/>
      <c r="L682" s="355" t="s">
        <v>6176</v>
      </c>
      <c r="M682" s="291"/>
      <c r="N682" s="291"/>
      <c r="S682" s="364"/>
      <c r="Z682" s="609" t="s">
        <v>273</v>
      </c>
      <c r="AA682" s="609" t="s">
        <v>2935</v>
      </c>
    </row>
    <row r="683" spans="1:27" ht="18">
      <c r="A683" s="2714"/>
      <c r="B683" s="371">
        <v>103</v>
      </c>
      <c r="C683" s="371" t="s">
        <v>2791</v>
      </c>
      <c r="D683" s="2716">
        <f t="shared" si="61"/>
        <v>0</v>
      </c>
      <c r="E683" s="2721">
        <v>1</v>
      </c>
      <c r="F683" s="294"/>
      <c r="G683" s="1634" t="s">
        <v>2792</v>
      </c>
      <c r="H683" s="309"/>
      <c r="I683" s="309"/>
      <c r="J683" s="309"/>
      <c r="K683" s="346"/>
      <c r="L683" s="291"/>
      <c r="M683" s="291"/>
      <c r="N683" s="291"/>
      <c r="S683" s="364"/>
      <c r="Z683" s="609" t="s">
        <v>273</v>
      </c>
      <c r="AA683" s="609" t="s">
        <v>2935</v>
      </c>
    </row>
    <row r="684" spans="1:27" ht="18">
      <c r="A684" s="2714"/>
      <c r="B684" s="371">
        <v>104</v>
      </c>
      <c r="C684" s="371" t="s">
        <v>2791</v>
      </c>
      <c r="D684" s="2716">
        <f t="shared" si="61"/>
        <v>0</v>
      </c>
      <c r="E684" s="2721">
        <v>1</v>
      </c>
      <c r="F684" s="294"/>
      <c r="G684" s="1634" t="s">
        <v>2792</v>
      </c>
      <c r="H684" s="309"/>
      <c r="I684" s="309"/>
      <c r="J684" s="309"/>
      <c r="K684" s="346"/>
      <c r="L684" s="291"/>
      <c r="M684" s="291"/>
      <c r="N684" s="291"/>
      <c r="S684" s="364"/>
      <c r="Z684" s="609" t="s">
        <v>273</v>
      </c>
      <c r="AA684" s="609" t="s">
        <v>2935</v>
      </c>
    </row>
    <row r="685" spans="1:27" ht="18">
      <c r="A685" s="2714"/>
      <c r="B685" s="371">
        <v>105</v>
      </c>
      <c r="C685" s="371" t="s">
        <v>2791</v>
      </c>
      <c r="D685" s="2716">
        <f t="shared" si="61"/>
        <v>0</v>
      </c>
      <c r="E685" s="2721">
        <v>1</v>
      </c>
      <c r="F685" s="294"/>
      <c r="G685" s="1634" t="s">
        <v>2792</v>
      </c>
      <c r="H685" s="309"/>
      <c r="I685" s="309"/>
      <c r="J685" s="309"/>
      <c r="K685" s="346"/>
      <c r="L685" s="291"/>
      <c r="M685" s="291"/>
      <c r="N685" s="291"/>
      <c r="S685" s="364"/>
      <c r="Z685" s="609" t="s">
        <v>273</v>
      </c>
      <c r="AA685" s="609" t="s">
        <v>2935</v>
      </c>
    </row>
    <row r="686" spans="1:27" ht="18.75" thickBot="1">
      <c r="A686" s="2714"/>
      <c r="B686" s="371"/>
      <c r="C686" s="371"/>
      <c r="D686" s="2716">
        <f t="shared" si="61"/>
        <v>1</v>
      </c>
      <c r="E686" s="2721" t="s">
        <v>3032</v>
      </c>
      <c r="F686" s="294"/>
      <c r="G686" s="1529" t="s">
        <v>2752</v>
      </c>
      <c r="H686" s="1527">
        <f>SUMPRODUCT($E680:$E685,H680:H685)</f>
        <v>0</v>
      </c>
      <c r="I686" s="1527">
        <f>SUMPRODUCT($E680:$E685,I680:I685)</f>
        <v>0</v>
      </c>
      <c r="J686" s="1527">
        <f>SUMPRODUCT($E680:$E685,J680:J685)</f>
        <v>0</v>
      </c>
      <c r="K686" s="1528">
        <f>SUMPRODUCT($E680:$E685,K680:K685)</f>
        <v>0</v>
      </c>
      <c r="L686" s="291"/>
      <c r="M686" s="291"/>
      <c r="N686" s="291"/>
      <c r="S686" s="364"/>
      <c r="Z686" s="609" t="s">
        <v>273</v>
      </c>
      <c r="AA686" s="609" t="s">
        <v>2935</v>
      </c>
    </row>
    <row r="687" spans="1:27" ht="18">
      <c r="A687" s="2714"/>
      <c r="B687" s="371"/>
      <c r="C687" s="371" t="s">
        <v>2755</v>
      </c>
      <c r="D687" s="371"/>
      <c r="F687" s="294"/>
      <c r="G687" s="301"/>
      <c r="H687" s="315"/>
      <c r="I687" s="315"/>
      <c r="J687" s="315"/>
      <c r="K687" s="315"/>
      <c r="L687" s="291"/>
      <c r="M687" s="291"/>
      <c r="N687" s="291"/>
      <c r="S687" s="364"/>
      <c r="Z687" s="609" t="s">
        <v>273</v>
      </c>
      <c r="AA687" s="609" t="s">
        <v>2935</v>
      </c>
    </row>
    <row r="688" spans="1:27" ht="18">
      <c r="A688" s="2714" t="s">
        <v>432</v>
      </c>
      <c r="B688" s="371">
        <v>10</v>
      </c>
      <c r="C688" s="371"/>
      <c r="D688" s="2716" t="str">
        <f>VLOOKUP($A688,Sheet_NoteList,2,0)</f>
        <v>应收账款补充资料</v>
      </c>
      <c r="E688" s="2716" t="s">
        <v>6531</v>
      </c>
      <c r="F688" s="294"/>
      <c r="G688" s="483" t="str">
        <f>"("&amp;B688&amp;")"&amp;D688</f>
        <v>(10)应收账款补充资料</v>
      </c>
      <c r="H688" s="1517" t="str">
        <f>$A688</f>
        <v>1122x</v>
      </c>
      <c r="I688" s="343" t="s">
        <v>5965</v>
      </c>
      <c r="J688" s="301" t="s">
        <v>5963</v>
      </c>
      <c r="K688" s="2210">
        <f>N695</f>
        <v>4797822.0999999996</v>
      </c>
      <c r="L688" s="345"/>
      <c r="M688" s="301" t="s">
        <v>5964</v>
      </c>
      <c r="N688" s="2210">
        <f>H695</f>
        <v>2522257.4700000002</v>
      </c>
      <c r="O688" s="345"/>
      <c r="P688" s="301"/>
      <c r="Q688" s="290" t="str">
        <f>IF($I688="不适用","",IF(ROUND(SUM($H$693:$N$695),2)=0,"请输入",""))</f>
        <v/>
      </c>
      <c r="S688" s="364"/>
      <c r="Z688" s="609" t="s">
        <v>273</v>
      </c>
      <c r="AA688" s="609" t="s">
        <v>2935</v>
      </c>
    </row>
    <row r="689" spans="1:27" ht="0.75" customHeight="1">
      <c r="A689" s="2714"/>
      <c r="B689" s="371"/>
      <c r="C689" s="371"/>
      <c r="D689" s="371"/>
      <c r="E689" s="586"/>
      <c r="F689" s="414"/>
      <c r="G689" s="414" t="s">
        <v>3019</v>
      </c>
      <c r="H689" s="293" t="s">
        <v>2904</v>
      </c>
      <c r="I689" s="293" t="s">
        <v>2905</v>
      </c>
      <c r="J689" s="293" t="s">
        <v>2906</v>
      </c>
      <c r="K689" s="293" t="s">
        <v>2907</v>
      </c>
      <c r="L689" s="293" t="s">
        <v>2908</v>
      </c>
      <c r="M689" s="293" t="s">
        <v>2909</v>
      </c>
      <c r="N689" s="293" t="s">
        <v>2910</v>
      </c>
      <c r="O689" s="291"/>
      <c r="P689" s="291"/>
      <c r="S689" s="364"/>
      <c r="Z689" s="609" t="s">
        <v>273</v>
      </c>
      <c r="AA689" s="609" t="s">
        <v>2935</v>
      </c>
    </row>
    <row r="690" spans="1:27" ht="0.75" customHeight="1" thickBot="1">
      <c r="A690" s="2714"/>
      <c r="B690" s="371"/>
      <c r="C690" s="371"/>
      <c r="D690" s="371"/>
      <c r="E690" s="586"/>
      <c r="F690" s="414"/>
      <c r="G690" s="414"/>
      <c r="H690" s="293" t="s">
        <v>3020</v>
      </c>
      <c r="I690" s="293" t="s">
        <v>3021</v>
      </c>
      <c r="J690" s="293" t="s">
        <v>3022</v>
      </c>
      <c r="K690" s="293" t="s">
        <v>3023</v>
      </c>
      <c r="L690" s="293" t="s">
        <v>3024</v>
      </c>
      <c r="M690" s="293" t="s">
        <v>3025</v>
      </c>
      <c r="N690" s="293" t="s">
        <v>3026</v>
      </c>
      <c r="O690" s="291"/>
      <c r="P690" s="291"/>
      <c r="S690" s="364"/>
      <c r="Z690" s="609" t="s">
        <v>273</v>
      </c>
      <c r="AA690" s="609" t="s">
        <v>2935</v>
      </c>
    </row>
    <row r="691" spans="1:27" ht="18">
      <c r="A691" s="2714"/>
      <c r="B691" s="371"/>
      <c r="C691" s="371"/>
      <c r="D691" s="371"/>
      <c r="E691" s="586" t="s">
        <v>2749</v>
      </c>
      <c r="F691" s="363"/>
      <c r="G691" s="3512" t="s">
        <v>47</v>
      </c>
      <c r="H691" s="3545" t="str">
        <f>$V$3</f>
        <v>2018年12月31日</v>
      </c>
      <c r="I691" s="3460" t="s">
        <v>3027</v>
      </c>
      <c r="J691" s="3460"/>
      <c r="K691" s="3460" t="s">
        <v>3028</v>
      </c>
      <c r="L691" s="3460"/>
      <c r="M691" s="3460"/>
      <c r="N691" s="3454" t="str">
        <f>$V$2</f>
        <v>2019年12月31日</v>
      </c>
      <c r="O691" s="355" t="s">
        <v>6176</v>
      </c>
      <c r="P691" s="291"/>
      <c r="S691" s="364"/>
      <c r="Z691" s="609" t="s">
        <v>273</v>
      </c>
      <c r="AA691" s="609" t="s">
        <v>2935</v>
      </c>
    </row>
    <row r="692" spans="1:27" ht="18">
      <c r="A692" s="2714"/>
      <c r="B692" s="371"/>
      <c r="C692" s="371"/>
      <c r="D692" s="371"/>
      <c r="E692" s="586" t="s">
        <v>2749</v>
      </c>
      <c r="F692" s="363"/>
      <c r="G692" s="3513"/>
      <c r="H692" s="3546"/>
      <c r="I692" s="2207" t="s">
        <v>2920</v>
      </c>
      <c r="J692" s="2207" t="s">
        <v>932</v>
      </c>
      <c r="K692" s="2207" t="s">
        <v>3029</v>
      </c>
      <c r="L692" s="2207" t="s">
        <v>3030</v>
      </c>
      <c r="M692" s="2207" t="s">
        <v>932</v>
      </c>
      <c r="N692" s="3455"/>
      <c r="P692" s="291"/>
      <c r="S692" s="364"/>
      <c r="Z692" s="609" t="s">
        <v>273</v>
      </c>
      <c r="AA692" s="609" t="s">
        <v>2935</v>
      </c>
    </row>
    <row r="693" spans="1:27" ht="18">
      <c r="A693" s="2714"/>
      <c r="B693" s="371">
        <v>101</v>
      </c>
      <c r="C693" s="371"/>
      <c r="D693" s="2716">
        <f>IF(OR(G693="*",G693="",G693=0),0,COUNTIF($G$693:$G$695,G693))</f>
        <v>1</v>
      </c>
      <c r="E693" s="2721">
        <v>1</v>
      </c>
      <c r="F693" s="294"/>
      <c r="G693" s="1474" t="s">
        <v>3031</v>
      </c>
      <c r="H693" s="309">
        <f>I331</f>
        <v>2522257.4700000002</v>
      </c>
      <c r="I693" s="309">
        <f>H331-I331</f>
        <v>2275564.63</v>
      </c>
      <c r="J693" s="309"/>
      <c r="K693" s="309"/>
      <c r="L693" s="309"/>
      <c r="M693" s="309"/>
      <c r="N693" s="1477">
        <f>SUM(H693:J693)-SUM(K693:M693)</f>
        <v>4797822.0999999996</v>
      </c>
      <c r="O693" s="291"/>
      <c r="P693" s="291"/>
      <c r="S693" s="364"/>
      <c r="Z693" s="609" t="s">
        <v>273</v>
      </c>
      <c r="AA693" s="609" t="s">
        <v>2935</v>
      </c>
    </row>
    <row r="694" spans="1:27" ht="18">
      <c r="A694" s="2714"/>
      <c r="B694" s="371">
        <v>102</v>
      </c>
      <c r="C694" s="371" t="s">
        <v>2791</v>
      </c>
      <c r="D694" s="2716">
        <f>IF(OR(G694="*",G694="",G694=0),0,COUNTIF($G$693:$G$695,G694))</f>
        <v>0</v>
      </c>
      <c r="E694" s="2721">
        <v>1</v>
      </c>
      <c r="F694" s="294"/>
      <c r="G694" s="2222" t="s">
        <v>2792</v>
      </c>
      <c r="H694" s="309"/>
      <c r="I694" s="309"/>
      <c r="J694" s="309"/>
      <c r="K694" s="309"/>
      <c r="L694" s="309"/>
      <c r="M694" s="309"/>
      <c r="N694" s="1477">
        <f>SUM(H694:J694)-SUM(K694:M694)</f>
        <v>0</v>
      </c>
      <c r="O694" s="291"/>
      <c r="P694" s="291"/>
      <c r="S694" s="364"/>
      <c r="Z694" s="609" t="s">
        <v>273</v>
      </c>
      <c r="AA694" s="609" t="s">
        <v>2935</v>
      </c>
    </row>
    <row r="695" spans="1:27" ht="18.75" thickBot="1">
      <c r="A695" s="2714"/>
      <c r="B695" s="371"/>
      <c r="C695" s="371"/>
      <c r="D695" s="2716">
        <f>IF(OR(G695="*",G695="",G695=0),0,COUNTIF($G$693:$G$695,G695))</f>
        <v>1</v>
      </c>
      <c r="E695" s="2721" t="s">
        <v>3032</v>
      </c>
      <c r="F695" s="294"/>
      <c r="G695" s="1529" t="s">
        <v>2752</v>
      </c>
      <c r="H695" s="1527">
        <f t="shared" ref="H695:N695" si="62">SUMPRODUCT($E692:$E694,H692:H694)</f>
        <v>2522257.4700000002</v>
      </c>
      <c r="I695" s="1527">
        <f t="shared" si="62"/>
        <v>2275564.63</v>
      </c>
      <c r="J695" s="1527">
        <f t="shared" si="62"/>
        <v>0</v>
      </c>
      <c r="K695" s="1527">
        <f t="shared" si="62"/>
        <v>0</v>
      </c>
      <c r="L695" s="1527">
        <f t="shared" si="62"/>
        <v>0</v>
      </c>
      <c r="M695" s="1527">
        <f t="shared" si="62"/>
        <v>0</v>
      </c>
      <c r="N695" s="1528">
        <f t="shared" si="62"/>
        <v>4797822.0999999996</v>
      </c>
      <c r="O695" s="291"/>
      <c r="P695" s="291"/>
      <c r="S695" s="364"/>
      <c r="Z695" s="609" t="s">
        <v>273</v>
      </c>
      <c r="AA695" s="609" t="s">
        <v>2935</v>
      </c>
    </row>
    <row r="696" spans="1:27" ht="18">
      <c r="A696" s="2714"/>
      <c r="B696" s="371"/>
      <c r="C696" s="371" t="s">
        <v>2755</v>
      </c>
      <c r="D696" s="371"/>
      <c r="F696" s="294"/>
      <c r="G696" s="301"/>
      <c r="H696" s="315" t="s">
        <v>3002</v>
      </c>
      <c r="I696" s="315"/>
      <c r="J696" s="315"/>
      <c r="K696" s="315"/>
      <c r="L696" s="315"/>
      <c r="M696" s="315"/>
      <c r="N696" s="315" t="s">
        <v>3002</v>
      </c>
      <c r="O696" s="291"/>
      <c r="P696" s="291"/>
      <c r="S696" s="364"/>
      <c r="Z696" s="609" t="s">
        <v>273</v>
      </c>
      <c r="AA696" s="609" t="s">
        <v>2935</v>
      </c>
    </row>
    <row r="697" spans="1:27" ht="17.25">
      <c r="A697" s="2715">
        <v>1124</v>
      </c>
      <c r="B697" s="371">
        <v>7</v>
      </c>
      <c r="C697" s="2716" t="str">
        <f>VLOOKUP($A697,Sheet_Items,2,0)</f>
        <v>应收款项融资</v>
      </c>
      <c r="D697" s="371"/>
      <c r="E697" s="2716" t="s">
        <v>2739</v>
      </c>
      <c r="F697" s="293"/>
      <c r="G697" s="305" t="str">
        <f>B697&amp;" "&amp;C697</f>
        <v>7 应收款项融资</v>
      </c>
      <c r="H697" s="306"/>
      <c r="I697" s="306"/>
      <c r="J697" s="306" t="s">
        <v>2740</v>
      </c>
      <c r="K697" s="341">
        <f>VLOOKUP($A697,Sheet_Trialbal,6,0)</f>
        <v>279569.36</v>
      </c>
      <c r="L697" s="342"/>
      <c r="M697" s="306" t="s">
        <v>2741</v>
      </c>
      <c r="N697" s="341">
        <f>VLOOKUP($A697,Sheet_Trialbal,10,0)</f>
        <v>0</v>
      </c>
      <c r="O697" s="342"/>
      <c r="P697" s="301"/>
      <c r="S697" s="364"/>
      <c r="Z697" s="609" t="s">
        <v>448</v>
      </c>
      <c r="AA697" s="609" t="s">
        <v>3090</v>
      </c>
    </row>
    <row r="698" spans="1:27" ht="18">
      <c r="A698" s="2714" t="s">
        <v>446</v>
      </c>
      <c r="B698" s="371">
        <v>1</v>
      </c>
      <c r="C698" s="371"/>
      <c r="D698" s="2716" t="str">
        <f>VLOOKUP($A698,Sheet_NoteList,2,0)</f>
        <v>应收款项融资分类列示</v>
      </c>
      <c r="E698" s="2716" t="s">
        <v>2742</v>
      </c>
      <c r="F698" s="293"/>
      <c r="G698" s="372" t="str">
        <f>"("&amp;B698&amp;")"&amp;D698</f>
        <v>(1)应收款项融资分类列示</v>
      </c>
      <c r="H698" s="1517" t="str">
        <f>$A698</f>
        <v>1124a</v>
      </c>
      <c r="I698" s="343" t="s">
        <v>2743</v>
      </c>
      <c r="J698" s="301" t="s">
        <v>2744</v>
      </c>
      <c r="K698" s="2210">
        <f>H704</f>
        <v>279569.36</v>
      </c>
      <c r="L698" s="349" t="str">
        <f>IF($I698="适用",IF(ROUND(K$697-K698,2)=0,"F/S",ROUND(K$697-K698,2)),"#N/A")</f>
        <v>F/S</v>
      </c>
      <c r="M698" s="301" t="s">
        <v>2745</v>
      </c>
      <c r="N698" s="2210">
        <f>I704</f>
        <v>0</v>
      </c>
      <c r="O698" s="349" t="str">
        <f>IF($I698="适用",IF(ROUND(N$697-N698,2)=0,"F/S",ROUND(N$697-N698,2)),"#N/A")</f>
        <v>F/S</v>
      </c>
      <c r="P698" s="301"/>
      <c r="S698" s="364"/>
      <c r="Z698" s="609" t="s">
        <v>448</v>
      </c>
      <c r="AA698" s="609" t="s">
        <v>3090</v>
      </c>
    </row>
    <row r="699" spans="1:27" ht="0.75" customHeight="1" thickBot="1">
      <c r="A699" s="2714"/>
      <c r="B699" s="371"/>
      <c r="C699" s="371"/>
      <c r="D699" s="2716"/>
      <c r="E699" s="586"/>
      <c r="F699" s="586"/>
      <c r="G699" s="2224" t="s">
        <v>3091</v>
      </c>
      <c r="H699" s="371" t="s">
        <v>2747</v>
      </c>
      <c r="I699" s="371" t="s">
        <v>2748</v>
      </c>
      <c r="J699" s="433"/>
      <c r="K699" s="428"/>
      <c r="L699" s="428"/>
      <c r="M699" s="433"/>
      <c r="N699" s="428"/>
      <c r="O699" s="428"/>
      <c r="P699" s="433"/>
      <c r="Q699" s="442"/>
      <c r="R699" s="443"/>
      <c r="S699" s="364"/>
      <c r="Z699" s="609" t="s">
        <v>448</v>
      </c>
      <c r="AA699" s="609" t="s">
        <v>3090</v>
      </c>
    </row>
    <row r="700" spans="1:27" ht="24">
      <c r="A700" s="2714"/>
      <c r="B700" s="371"/>
      <c r="C700" s="371"/>
      <c r="D700" s="2716"/>
      <c r="E700" s="586" t="s">
        <v>2749</v>
      </c>
      <c r="F700" s="414"/>
      <c r="G700" s="2269" t="s">
        <v>47</v>
      </c>
      <c r="H700" s="2267" t="str">
        <f>$W$2&amp;"公允价值"</f>
        <v>2019年12月31日公允价值</v>
      </c>
      <c r="I700" s="2268" t="str">
        <f>$W$3&amp;"公允价值"</f>
        <v>2018年12月31日公允价值</v>
      </c>
      <c r="J700" s="355" t="s">
        <v>5271</v>
      </c>
      <c r="K700" s="434"/>
      <c r="L700" s="434"/>
      <c r="M700" s="435"/>
      <c r="N700" s="434"/>
      <c r="O700" s="434"/>
      <c r="P700" s="435"/>
      <c r="Q700" s="442"/>
      <c r="R700" s="443"/>
      <c r="S700" s="364"/>
      <c r="Z700" s="609" t="s">
        <v>448</v>
      </c>
      <c r="AA700" s="609" t="s">
        <v>3090</v>
      </c>
    </row>
    <row r="701" spans="1:27" ht="18">
      <c r="A701" s="2714"/>
      <c r="B701" s="371">
        <v>101</v>
      </c>
      <c r="C701" s="371"/>
      <c r="D701" s="2716">
        <f>IF(OR(G701="*",G701="",G701=0),0,COUNTIF($G$701:$G$704,G701))</f>
        <v>1</v>
      </c>
      <c r="E701" s="2721">
        <v>1</v>
      </c>
      <c r="F701" s="293"/>
      <c r="G701" s="1474" t="s">
        <v>109</v>
      </c>
      <c r="H701" s="2275">
        <v>279569.36</v>
      </c>
      <c r="I701" s="2297">
        <v>0</v>
      </c>
      <c r="J701" s="438"/>
      <c r="K701" s="439"/>
      <c r="L701" s="437"/>
      <c r="M701" s="438"/>
      <c r="N701" s="439"/>
      <c r="O701" s="437"/>
      <c r="P701" s="438"/>
      <c r="Q701" s="442"/>
      <c r="R701" s="443"/>
      <c r="S701" s="364"/>
      <c r="Z701" s="609" t="s">
        <v>448</v>
      </c>
      <c r="AA701" s="609" t="s">
        <v>3090</v>
      </c>
    </row>
    <row r="702" spans="1:27" ht="18">
      <c r="A702" s="2714"/>
      <c r="B702" s="371">
        <v>102</v>
      </c>
      <c r="C702" s="371"/>
      <c r="D702" s="2716">
        <f>IF(OR(G702="*",G702="",G702=0),0,COUNTIF($G$701:$G$704,G702))</f>
        <v>1</v>
      </c>
      <c r="E702" s="2721">
        <v>1</v>
      </c>
      <c r="F702" s="293"/>
      <c r="G702" s="1474" t="s">
        <v>124</v>
      </c>
      <c r="H702" s="2275"/>
      <c r="I702" s="2297">
        <v>0</v>
      </c>
      <c r="J702" s="438"/>
      <c r="K702" s="439"/>
      <c r="L702" s="437"/>
      <c r="M702" s="438"/>
      <c r="N702" s="439"/>
      <c r="O702" s="437"/>
      <c r="P702" s="438"/>
      <c r="Q702" s="442"/>
      <c r="R702" s="443"/>
      <c r="S702" s="364"/>
      <c r="Z702" s="609" t="s">
        <v>448</v>
      </c>
      <c r="AA702" s="609" t="s">
        <v>3090</v>
      </c>
    </row>
    <row r="703" spans="1:27" ht="18">
      <c r="A703" s="2714"/>
      <c r="B703" s="371">
        <v>103</v>
      </c>
      <c r="C703" s="371" t="s">
        <v>2791</v>
      </c>
      <c r="D703" s="2716">
        <f>IF(OR(G703="*",G703="",G703=0),0,COUNTIF($G$701:$G$704,G703))</f>
        <v>0</v>
      </c>
      <c r="E703" s="2721">
        <v>1</v>
      </c>
      <c r="F703" s="293"/>
      <c r="G703" s="2274" t="s">
        <v>2792</v>
      </c>
      <c r="H703" s="2275"/>
      <c r="I703" s="2297">
        <v>0</v>
      </c>
      <c r="J703" s="438"/>
      <c r="K703" s="439"/>
      <c r="L703" s="437"/>
      <c r="M703" s="438"/>
      <c r="N703" s="439"/>
      <c r="O703" s="437"/>
      <c r="P703" s="438"/>
      <c r="Q703" s="442"/>
      <c r="R703" s="443"/>
      <c r="S703" s="364"/>
      <c r="Z703" s="609" t="s">
        <v>448</v>
      </c>
      <c r="AA703" s="609" t="s">
        <v>3090</v>
      </c>
    </row>
    <row r="704" spans="1:27" ht="18.75" thickBot="1">
      <c r="A704" s="2714"/>
      <c r="B704" s="371"/>
      <c r="C704" s="371"/>
      <c r="D704" s="2716">
        <f>IF(OR(G704="*",G704="",G704=0),0,COUNTIF($G$701:$G$704,G704))</f>
        <v>1</v>
      </c>
      <c r="E704" s="2721" t="s">
        <v>2751</v>
      </c>
      <c r="F704" s="293"/>
      <c r="G704" s="2234" t="s">
        <v>2752</v>
      </c>
      <c r="H704" s="2235">
        <f>SUMPRODUCT($E700:$E703,H700:H703)</f>
        <v>279569.36</v>
      </c>
      <c r="I704" s="2236">
        <f>SUMPRODUCT($E700:$E703,I700:I703)</f>
        <v>0</v>
      </c>
      <c r="J704" s="440"/>
      <c r="K704" s="439"/>
      <c r="L704" s="437"/>
      <c r="M704" s="440"/>
      <c r="N704" s="439"/>
      <c r="O704" s="437"/>
      <c r="P704" s="440"/>
      <c r="Q704" s="442"/>
      <c r="R704" s="443"/>
      <c r="S704" s="364"/>
      <c r="Z704" s="609" t="s">
        <v>448</v>
      </c>
      <c r="AA704" s="609" t="s">
        <v>3090</v>
      </c>
    </row>
    <row r="705" spans="1:29" ht="18">
      <c r="A705" s="2714"/>
      <c r="B705" s="371"/>
      <c r="C705" s="371" t="s">
        <v>2755</v>
      </c>
      <c r="D705" s="2716"/>
      <c r="F705" s="293"/>
      <c r="G705" s="376"/>
      <c r="H705" s="315"/>
      <c r="I705" s="396"/>
      <c r="J705" s="425"/>
      <c r="K705" s="426"/>
      <c r="L705" s="427"/>
      <c r="M705" s="425"/>
      <c r="N705" s="426"/>
      <c r="O705" s="427"/>
      <c r="P705" s="425"/>
      <c r="Q705" s="442"/>
      <c r="R705" s="443"/>
      <c r="S705" s="364"/>
      <c r="Z705" s="609" t="s">
        <v>448</v>
      </c>
      <c r="AA705" s="609" t="s">
        <v>3090</v>
      </c>
    </row>
    <row r="706" spans="1:29" ht="24">
      <c r="A706" s="2714" t="s">
        <v>453</v>
      </c>
      <c r="B706" s="371">
        <v>2</v>
      </c>
      <c r="C706" s="371"/>
      <c r="D706" s="2716" t="str">
        <f>VLOOKUP($A706,Sheet_NoteList,2,0)</f>
        <v>应收款项融资——应收票据按减值计提方法分类</v>
      </c>
      <c r="E706" s="2716" t="s">
        <v>2742</v>
      </c>
      <c r="F706" s="293"/>
      <c r="G706" s="372" t="str">
        <f>"("&amp;B706&amp;")"&amp;D706</f>
        <v>(2)应收款项融资——应收票据按减值计提方法分类</v>
      </c>
      <c r="H706" s="1517" t="str">
        <f>$A706</f>
        <v>1124b</v>
      </c>
      <c r="I706" s="343" t="s">
        <v>2743</v>
      </c>
      <c r="J706" s="301" t="s">
        <v>2744</v>
      </c>
      <c r="K706" s="2210">
        <f>J719</f>
        <v>0</v>
      </c>
      <c r="L706" s="349"/>
      <c r="M706" s="301"/>
      <c r="N706" s="391"/>
      <c r="O706" s="349"/>
      <c r="P706" s="301"/>
      <c r="S706" s="364"/>
      <c r="Z706" s="609" t="s">
        <v>448</v>
      </c>
      <c r="AA706" s="609" t="s">
        <v>3090</v>
      </c>
    </row>
    <row r="707" spans="1:29" ht="0.75" customHeight="1">
      <c r="A707" s="2714"/>
      <c r="B707" s="371"/>
      <c r="C707" s="371"/>
      <c r="D707" s="2716"/>
      <c r="E707" s="586"/>
      <c r="F707" s="586"/>
      <c r="G707" s="2224" t="s">
        <v>3092</v>
      </c>
      <c r="H707" s="371" t="s">
        <v>6459</v>
      </c>
      <c r="I707" s="371" t="s">
        <v>6460</v>
      </c>
      <c r="J707" s="371" t="s">
        <v>6461</v>
      </c>
      <c r="K707" s="547" t="s">
        <v>6462</v>
      </c>
      <c r="L707" s="1604"/>
      <c r="M707" s="1604"/>
      <c r="N707" s="1604"/>
      <c r="O707" s="1604"/>
      <c r="P707" s="1604"/>
      <c r="Q707" s="1604"/>
      <c r="R707" s="1604"/>
      <c r="S707" s="364"/>
      <c r="Z707" s="609" t="s">
        <v>448</v>
      </c>
      <c r="AA707" s="609" t="s">
        <v>3090</v>
      </c>
    </row>
    <row r="708" spans="1:29" ht="0.75" customHeight="1" thickBot="1">
      <c r="A708" s="2714"/>
      <c r="B708" s="371"/>
      <c r="C708" s="371"/>
      <c r="D708" s="2716"/>
      <c r="E708" s="586"/>
      <c r="F708" s="586"/>
      <c r="G708" s="2224"/>
      <c r="H708" s="371" t="s">
        <v>6463</v>
      </c>
      <c r="I708" s="371" t="s">
        <v>6464</v>
      </c>
      <c r="J708" s="371" t="s">
        <v>6465</v>
      </c>
      <c r="K708" s="547" t="s">
        <v>6466</v>
      </c>
      <c r="L708" s="1604"/>
      <c r="M708" s="1604"/>
      <c r="N708" s="1604"/>
      <c r="O708" s="1604"/>
      <c r="P708" s="1604"/>
      <c r="Q708" s="1604"/>
      <c r="R708" s="1604"/>
      <c r="S708" s="364"/>
      <c r="Z708" s="609" t="s">
        <v>448</v>
      </c>
      <c r="AA708" s="609" t="s">
        <v>3090</v>
      </c>
    </row>
    <row r="709" spans="1:29" ht="18" customHeight="1">
      <c r="A709" s="2714"/>
      <c r="B709" s="371"/>
      <c r="C709" s="371"/>
      <c r="D709" s="2716"/>
      <c r="E709" s="586" t="s">
        <v>2749</v>
      </c>
      <c r="F709" s="414"/>
      <c r="G709" s="3472" t="s">
        <v>5135</v>
      </c>
      <c r="H709" s="3542" t="str">
        <f>$V$2</f>
        <v>2019年12月31日</v>
      </c>
      <c r="I709" s="3542"/>
      <c r="J709" s="3542"/>
      <c r="K709" s="3523"/>
      <c r="L709" s="355" t="s">
        <v>5271</v>
      </c>
      <c r="M709" s="1604"/>
      <c r="N709" s="1604"/>
      <c r="O709" s="1604"/>
      <c r="P709" s="1604"/>
      <c r="Q709" s="1604"/>
      <c r="R709" s="1604"/>
      <c r="S709" s="364"/>
      <c r="Z709" s="609" t="s">
        <v>448</v>
      </c>
      <c r="AA709" s="609" t="s">
        <v>3090</v>
      </c>
    </row>
    <row r="710" spans="1:29" ht="36">
      <c r="A710" s="2714"/>
      <c r="B710" s="371"/>
      <c r="C710" s="371"/>
      <c r="D710" s="2716"/>
      <c r="E710" s="586" t="s">
        <v>2749</v>
      </c>
      <c r="F710" s="414"/>
      <c r="G710" s="3473"/>
      <c r="H710" s="2688" t="s">
        <v>6395</v>
      </c>
      <c r="I710" s="2688" t="s">
        <v>6393</v>
      </c>
      <c r="J710" s="2688" t="s">
        <v>5145</v>
      </c>
      <c r="K710" s="2690" t="s">
        <v>6394</v>
      </c>
      <c r="L710" s="1604"/>
      <c r="M710" s="1604"/>
      <c r="N710" s="1604"/>
      <c r="O710" s="1604"/>
      <c r="P710" s="1604"/>
      <c r="Q710" s="1604"/>
      <c r="R710" s="1604"/>
      <c r="S710" s="364"/>
      <c r="Z710" s="609" t="s">
        <v>448</v>
      </c>
      <c r="AA710" s="609" t="s">
        <v>3090</v>
      </c>
    </row>
    <row r="711" spans="1:29" ht="18">
      <c r="A711" s="2714"/>
      <c r="B711" s="371">
        <v>101</v>
      </c>
      <c r="C711" s="371"/>
      <c r="D711" s="2716">
        <f t="shared" ref="D711:D719" si="63">IF(OR(G711="*",G711="",G711=0),0,COUNTIF($G$711:$G$719,G711))</f>
        <v>1</v>
      </c>
      <c r="E711" s="2721">
        <v>1</v>
      </c>
      <c r="F711" s="293"/>
      <c r="G711" s="1474" t="s">
        <v>3093</v>
      </c>
      <c r="H711" s="2298"/>
      <c r="I711" s="2298"/>
      <c r="J711" s="1476">
        <f>SUM(J712:J714)</f>
        <v>0</v>
      </c>
      <c r="K711" s="2276"/>
      <c r="L711" s="2676" t="str">
        <f ca="1">HYPERLINK("#'"&amp;$G$1&amp;"'!"&amp;ADDRESS(ROW(Notes!J734),COLUMN(Notes!J734),4),"* 请勿删除此行！点击往勾稽单元格，F5+Enter返回")</f>
        <v>* 请勿删除此行！点击往勾稽单元格，F5+Enter返回</v>
      </c>
      <c r="M711" s="1604"/>
      <c r="N711" s="1604"/>
      <c r="O711" s="1604"/>
      <c r="P711" s="1604"/>
      <c r="Q711" s="1604"/>
      <c r="R711" s="1604"/>
      <c r="S711" s="364"/>
      <c r="Z711" s="609" t="s">
        <v>448</v>
      </c>
      <c r="AA711" s="609" t="s">
        <v>3090</v>
      </c>
      <c r="AC711" s="369" t="s">
        <v>6573</v>
      </c>
    </row>
    <row r="712" spans="1:29" ht="18">
      <c r="A712" s="2714"/>
      <c r="B712" s="371">
        <v>102</v>
      </c>
      <c r="C712" s="371" t="s">
        <v>2791</v>
      </c>
      <c r="D712" s="2716">
        <f t="shared" si="63"/>
        <v>1</v>
      </c>
      <c r="E712" s="2721">
        <v>0</v>
      </c>
      <c r="F712" s="293"/>
      <c r="G712" s="2692" t="s">
        <v>2891</v>
      </c>
      <c r="H712" s="2298"/>
      <c r="I712" s="2298"/>
      <c r="J712" s="2275"/>
      <c r="K712" s="2276"/>
      <c r="L712" s="1604"/>
      <c r="M712" s="1604"/>
      <c r="N712" s="1604"/>
      <c r="O712" s="1604"/>
      <c r="P712" s="1604"/>
      <c r="Q712" s="1604"/>
      <c r="R712" s="1604"/>
      <c r="S712" s="364"/>
      <c r="Z712" s="609" t="s">
        <v>448</v>
      </c>
      <c r="AA712" s="609" t="s">
        <v>3090</v>
      </c>
    </row>
    <row r="713" spans="1:29" ht="18">
      <c r="A713" s="2714"/>
      <c r="B713" s="371">
        <v>103</v>
      </c>
      <c r="C713" s="371" t="s">
        <v>2791</v>
      </c>
      <c r="D713" s="2716">
        <f t="shared" si="63"/>
        <v>0</v>
      </c>
      <c r="E713" s="2721">
        <v>0</v>
      </c>
      <c r="F713" s="293"/>
      <c r="G713" s="2692" t="s">
        <v>2792</v>
      </c>
      <c r="H713" s="2298"/>
      <c r="I713" s="2298"/>
      <c r="J713" s="2275"/>
      <c r="K713" s="2276"/>
      <c r="L713" s="1604"/>
      <c r="M713" s="1604"/>
      <c r="N713" s="1604"/>
      <c r="O713" s="1604"/>
      <c r="P713" s="1604"/>
      <c r="Q713" s="1604"/>
      <c r="R713" s="1604"/>
      <c r="S713" s="364"/>
      <c r="Z713" s="609" t="s">
        <v>448</v>
      </c>
      <c r="AA713" s="609" t="s">
        <v>3090</v>
      </c>
    </row>
    <row r="714" spans="1:29" ht="18">
      <c r="A714" s="2714"/>
      <c r="B714" s="371">
        <v>104</v>
      </c>
      <c r="C714" s="371" t="s">
        <v>2791</v>
      </c>
      <c r="D714" s="2716">
        <f t="shared" si="63"/>
        <v>0</v>
      </c>
      <c r="E714" s="2721">
        <v>0</v>
      </c>
      <c r="F714" s="293"/>
      <c r="G714" s="2692" t="s">
        <v>2792</v>
      </c>
      <c r="H714" s="2298"/>
      <c r="I714" s="2298"/>
      <c r="J714" s="2275"/>
      <c r="K714" s="2276"/>
      <c r="L714" s="1604"/>
      <c r="M714" s="1604"/>
      <c r="N714" s="1604"/>
      <c r="O714" s="1604"/>
      <c r="P714" s="1604"/>
      <c r="Q714" s="1604"/>
      <c r="R714" s="1604"/>
      <c r="S714" s="364"/>
      <c r="Z714" s="609" t="s">
        <v>448</v>
      </c>
      <c r="AA714" s="609" t="s">
        <v>3090</v>
      </c>
    </row>
    <row r="715" spans="1:29" ht="18">
      <c r="A715" s="2714"/>
      <c r="B715" s="371">
        <v>105</v>
      </c>
      <c r="C715" s="371"/>
      <c r="D715" s="2716">
        <f t="shared" si="63"/>
        <v>1</v>
      </c>
      <c r="E715" s="2721">
        <v>1</v>
      </c>
      <c r="F715" s="293"/>
      <c r="G715" s="1474" t="s">
        <v>3094</v>
      </c>
      <c r="H715" s="2298"/>
      <c r="I715" s="2298"/>
      <c r="J715" s="1476">
        <f>SUM(J716:J718)</f>
        <v>0</v>
      </c>
      <c r="K715" s="2276"/>
      <c r="L715" s="1604"/>
      <c r="M715" s="1604"/>
      <c r="N715" s="1604"/>
      <c r="O715" s="1604"/>
      <c r="P715" s="1604"/>
      <c r="Q715" s="1604"/>
      <c r="R715" s="1604"/>
      <c r="S715" s="364"/>
      <c r="Z715" s="609" t="s">
        <v>448</v>
      </c>
      <c r="AA715" s="609" t="s">
        <v>3090</v>
      </c>
    </row>
    <row r="716" spans="1:29" ht="18">
      <c r="A716" s="2714"/>
      <c r="B716" s="371">
        <v>106</v>
      </c>
      <c r="C716" s="371" t="s">
        <v>2791</v>
      </c>
      <c r="D716" s="2716">
        <f t="shared" si="63"/>
        <v>1</v>
      </c>
      <c r="E716" s="2721">
        <v>0</v>
      </c>
      <c r="F716" s="293"/>
      <c r="G716" s="2692" t="s">
        <v>2893</v>
      </c>
      <c r="H716" s="2298"/>
      <c r="I716" s="2298"/>
      <c r="J716" s="2275"/>
      <c r="K716" s="2276"/>
      <c r="L716" s="2676" t="str">
        <f ca="1">HYPERLINK("#'"&amp;$G$1&amp;"'!"&amp;ADDRESS(ROW(Notes!J756),COLUMN(Notes!J756),4),"* 请勿删除此行！点击往勾稽单元格，F5+Enter返回")</f>
        <v>* 请勿删除此行！点击往勾稽单元格，F5+Enter返回</v>
      </c>
      <c r="M716" s="1604"/>
      <c r="N716" s="1604"/>
      <c r="O716" s="1604"/>
      <c r="P716" s="1604"/>
      <c r="Q716" s="1604"/>
      <c r="R716" s="1604"/>
      <c r="S716" s="364"/>
      <c r="Z716" s="609" t="s">
        <v>448</v>
      </c>
      <c r="AA716" s="609" t="s">
        <v>3090</v>
      </c>
      <c r="AC716" s="369" t="s">
        <v>6573</v>
      </c>
    </row>
    <row r="717" spans="1:29" ht="18">
      <c r="A717" s="2714"/>
      <c r="B717" s="371">
        <v>107</v>
      </c>
      <c r="C717" s="371" t="s">
        <v>2791</v>
      </c>
      <c r="D717" s="2716">
        <f t="shared" si="63"/>
        <v>1</v>
      </c>
      <c r="E717" s="2721">
        <v>0</v>
      </c>
      <c r="F717" s="293"/>
      <c r="G717" s="2692" t="s">
        <v>2894</v>
      </c>
      <c r="H717" s="2298"/>
      <c r="I717" s="2298"/>
      <c r="J717" s="2275"/>
      <c r="K717" s="2276"/>
      <c r="L717" s="1604"/>
      <c r="M717" s="1604"/>
      <c r="N717" s="1604"/>
      <c r="O717" s="1604"/>
      <c r="P717" s="1604"/>
      <c r="Q717" s="1604"/>
      <c r="R717" s="1604"/>
      <c r="S717" s="364"/>
      <c r="Z717" s="609" t="s">
        <v>448</v>
      </c>
      <c r="AA717" s="609" t="s">
        <v>3090</v>
      </c>
    </row>
    <row r="718" spans="1:29" ht="18">
      <c r="A718" s="2714"/>
      <c r="B718" s="371">
        <v>108</v>
      </c>
      <c r="C718" s="371" t="s">
        <v>2791</v>
      </c>
      <c r="D718" s="2716">
        <f t="shared" si="63"/>
        <v>0</v>
      </c>
      <c r="E718" s="2721">
        <v>0</v>
      </c>
      <c r="F718" s="293"/>
      <c r="G718" s="2692" t="s">
        <v>2792</v>
      </c>
      <c r="H718" s="2298"/>
      <c r="I718" s="2298"/>
      <c r="J718" s="2275"/>
      <c r="K718" s="2276"/>
      <c r="L718" s="1604"/>
      <c r="M718" s="1604"/>
      <c r="N718" s="1604"/>
      <c r="O718" s="1604"/>
      <c r="P718" s="1604"/>
      <c r="Q718" s="1604"/>
      <c r="R718" s="1604"/>
      <c r="S718" s="364"/>
      <c r="Z718" s="609" t="s">
        <v>448</v>
      </c>
      <c r="AA718" s="609" t="s">
        <v>3090</v>
      </c>
    </row>
    <row r="719" spans="1:29" ht="18.75" thickBot="1">
      <c r="A719" s="2714"/>
      <c r="B719" s="371"/>
      <c r="C719" s="371"/>
      <c r="D719" s="2716">
        <f t="shared" si="63"/>
        <v>1</v>
      </c>
      <c r="E719" s="2721" t="s">
        <v>2751</v>
      </c>
      <c r="F719" s="293"/>
      <c r="G719" s="2234" t="s">
        <v>5141</v>
      </c>
      <c r="H719" s="2241"/>
      <c r="I719" s="2241"/>
      <c r="J719" s="2235">
        <f>SUMPRODUCT($E710:$E718,J710:J718)</f>
        <v>0</v>
      </c>
      <c r="K719" s="2244"/>
      <c r="L719" s="2676" t="str">
        <f ca="1">HYPERLINK("#'"&amp;$G$1&amp;"'!"&amp;ADDRESS(ROW(Notes!P853),COLUMN(Notes!P853),4),"* 请勿删除此行！点击往勾稽单元格，F5+Enter返回")</f>
        <v>* 请勿删除此行！点击往勾稽单元格，F5+Enter返回</v>
      </c>
      <c r="M719" s="1604"/>
      <c r="N719" s="1604"/>
      <c r="O719" s="1604"/>
      <c r="P719" s="1604"/>
      <c r="Q719" s="1604"/>
      <c r="R719" s="1604"/>
      <c r="S719" s="364"/>
      <c r="Z719" s="609" t="s">
        <v>448</v>
      </c>
      <c r="AA719" s="609" t="s">
        <v>3090</v>
      </c>
      <c r="AC719" s="369" t="s">
        <v>6573</v>
      </c>
    </row>
    <row r="720" spans="1:29" ht="18">
      <c r="A720" s="2714"/>
      <c r="B720" s="371"/>
      <c r="C720" s="371" t="s">
        <v>2755</v>
      </c>
      <c r="D720" s="2716"/>
      <c r="F720" s="293"/>
      <c r="G720" s="376"/>
      <c r="H720" s="393"/>
      <c r="I720" s="432"/>
      <c r="J720" s="315"/>
      <c r="K720" s="392"/>
      <c r="L720" s="1604"/>
      <c r="M720" s="1604"/>
      <c r="N720" s="1604"/>
      <c r="O720" s="1604"/>
      <c r="P720" s="1604"/>
      <c r="Q720" s="1604"/>
      <c r="R720" s="1604"/>
      <c r="S720" s="364"/>
      <c r="Z720" s="609" t="s">
        <v>448</v>
      </c>
      <c r="AA720" s="609" t="s">
        <v>3090</v>
      </c>
    </row>
    <row r="721" spans="1:27" ht="36">
      <c r="A721" s="2714" t="s">
        <v>456</v>
      </c>
      <c r="B721" s="371">
        <v>2.1</v>
      </c>
      <c r="C721" s="371"/>
      <c r="D721" s="2716" t="str">
        <f>VLOOKUP($A721,Sheet_NoteList,2,0)</f>
        <v>期末按单项计提减值准备的应收款项融资——应收票据</v>
      </c>
      <c r="E721" s="2716" t="s">
        <v>2742</v>
      </c>
      <c r="F721" s="293"/>
      <c r="G721" s="372" t="str">
        <f>"("&amp;B721&amp;")"&amp;D721</f>
        <v>(2.1)期末按单项计提减值准备的应收款项融资——应收票据</v>
      </c>
      <c r="H721" s="1517" t="str">
        <f>$A721</f>
        <v>1124c</v>
      </c>
      <c r="I721" s="343" t="s">
        <v>2743</v>
      </c>
      <c r="J721" s="301" t="s">
        <v>2744</v>
      </c>
      <c r="K721" s="2210">
        <f>J731</f>
        <v>0</v>
      </c>
      <c r="L721" s="349"/>
      <c r="M721" s="301"/>
      <c r="N721" s="391"/>
      <c r="O721" s="349"/>
      <c r="P721" s="301"/>
      <c r="S721" s="364"/>
      <c r="Z721" s="609" t="s">
        <v>448</v>
      </c>
      <c r="AA721" s="609" t="s">
        <v>3090</v>
      </c>
    </row>
    <row r="722" spans="1:27" ht="0.75" customHeight="1">
      <c r="A722" s="2714"/>
      <c r="B722" s="371"/>
      <c r="C722" s="371"/>
      <c r="D722" s="2716"/>
      <c r="E722" s="586"/>
      <c r="F722" s="586"/>
      <c r="G722" s="2224" t="s">
        <v>3095</v>
      </c>
      <c r="H722" s="371" t="s">
        <v>6467</v>
      </c>
      <c r="I722" s="371" t="s">
        <v>6468</v>
      </c>
      <c r="J722" s="371" t="s">
        <v>6469</v>
      </c>
      <c r="K722" s="547" t="s">
        <v>6470</v>
      </c>
      <c r="L722" s="428"/>
      <c r="M722" s="433"/>
      <c r="N722" s="428"/>
      <c r="O722" s="428"/>
      <c r="P722" s="433"/>
      <c r="Q722" s="442"/>
      <c r="R722" s="443"/>
      <c r="S722" s="364"/>
      <c r="Z722" s="609" t="s">
        <v>448</v>
      </c>
      <c r="AA722" s="609" t="s">
        <v>3090</v>
      </c>
    </row>
    <row r="723" spans="1:27" ht="0.75" customHeight="1" thickBot="1">
      <c r="A723" s="2714"/>
      <c r="B723" s="371"/>
      <c r="C723" s="371"/>
      <c r="D723" s="2716"/>
      <c r="E723" s="586"/>
      <c r="F723" s="586"/>
      <c r="G723" s="2224"/>
      <c r="H723" s="371" t="s">
        <v>6471</v>
      </c>
      <c r="I723" s="371" t="s">
        <v>6472</v>
      </c>
      <c r="J723" s="371" t="s">
        <v>6473</v>
      </c>
      <c r="K723" s="547" t="s">
        <v>6474</v>
      </c>
      <c r="L723" s="428"/>
      <c r="M723" s="433"/>
      <c r="N723" s="428"/>
      <c r="O723" s="428"/>
      <c r="P723" s="433"/>
      <c r="Q723" s="442"/>
      <c r="R723" s="443"/>
      <c r="S723" s="364"/>
      <c r="Z723" s="609" t="s">
        <v>448</v>
      </c>
      <c r="AA723" s="609" t="s">
        <v>3090</v>
      </c>
    </row>
    <row r="724" spans="1:27" ht="18" customHeight="1">
      <c r="A724" s="2714"/>
      <c r="B724" s="371"/>
      <c r="C724" s="371"/>
      <c r="D724" s="2716"/>
      <c r="E724" s="586" t="s">
        <v>2749</v>
      </c>
      <c r="F724" s="414"/>
      <c r="G724" s="3472" t="s">
        <v>6396</v>
      </c>
      <c r="H724" s="3542" t="str">
        <f>$V$2</f>
        <v>2019年12月31日</v>
      </c>
      <c r="I724" s="3542"/>
      <c r="J724" s="3542"/>
      <c r="K724" s="3523"/>
      <c r="L724" s="355" t="s">
        <v>5271</v>
      </c>
      <c r="M724" s="433"/>
      <c r="N724" s="428"/>
      <c r="O724" s="428"/>
      <c r="P724" s="433"/>
      <c r="Q724" s="442"/>
      <c r="R724" s="443"/>
      <c r="S724" s="364"/>
      <c r="Z724" s="609" t="s">
        <v>448</v>
      </c>
      <c r="AA724" s="609" t="s">
        <v>3090</v>
      </c>
    </row>
    <row r="725" spans="1:27" ht="36">
      <c r="A725" s="2714"/>
      <c r="B725" s="371"/>
      <c r="C725" s="371"/>
      <c r="D725" s="2716"/>
      <c r="E725" s="586" t="s">
        <v>2749</v>
      </c>
      <c r="F725" s="414"/>
      <c r="G725" s="3473"/>
      <c r="H725" s="2688" t="s">
        <v>6397</v>
      </c>
      <c r="I725" s="2688" t="s">
        <v>6398</v>
      </c>
      <c r="J725" s="2688" t="s">
        <v>6399</v>
      </c>
      <c r="K725" s="2690" t="s">
        <v>6400</v>
      </c>
      <c r="L725" s="434"/>
      <c r="M725" s="435"/>
      <c r="N725" s="434"/>
      <c r="O725" s="434"/>
      <c r="P725" s="435"/>
      <c r="Q725" s="442"/>
      <c r="R725" s="443"/>
      <c r="S725" s="364"/>
      <c r="Z725" s="609" t="s">
        <v>448</v>
      </c>
      <c r="AA725" s="609" t="s">
        <v>3090</v>
      </c>
    </row>
    <row r="726" spans="1:27" ht="18">
      <c r="A726" s="2714"/>
      <c r="B726" s="371">
        <v>101</v>
      </c>
      <c r="C726" s="371" t="s">
        <v>2791</v>
      </c>
      <c r="D726" s="2716">
        <f t="shared" ref="D726:D731" si="64">IF(OR(G726="*",G726="",G726=0),0,COUNTIF($G$726:$G$731,G726))</f>
        <v>0</v>
      </c>
      <c r="E726" s="2721">
        <v>1</v>
      </c>
      <c r="F726" s="293"/>
      <c r="G726" s="2692" t="s">
        <v>2792</v>
      </c>
      <c r="H726" s="2298"/>
      <c r="I726" s="2298"/>
      <c r="J726" s="2275"/>
      <c r="K726" s="2276"/>
      <c r="L726" s="437"/>
      <c r="M726" s="438"/>
      <c r="N726" s="439"/>
      <c r="O726" s="437"/>
      <c r="P726" s="438"/>
      <c r="Q726" s="442"/>
      <c r="R726" s="443"/>
      <c r="S726" s="364"/>
      <c r="Z726" s="609" t="s">
        <v>448</v>
      </c>
      <c r="AA726" s="609" t="s">
        <v>3090</v>
      </c>
    </row>
    <row r="727" spans="1:27" ht="18">
      <c r="A727" s="2714"/>
      <c r="B727" s="371">
        <v>102</v>
      </c>
      <c r="C727" s="371" t="s">
        <v>2791</v>
      </c>
      <c r="D727" s="2716">
        <f t="shared" si="64"/>
        <v>0</v>
      </c>
      <c r="E727" s="2721">
        <v>1</v>
      </c>
      <c r="F727" s="293"/>
      <c r="G727" s="2692" t="s">
        <v>2792</v>
      </c>
      <c r="H727" s="2298"/>
      <c r="I727" s="2298"/>
      <c r="J727" s="2275"/>
      <c r="K727" s="2276"/>
      <c r="L727" s="437"/>
      <c r="M727" s="438"/>
      <c r="N727" s="439"/>
      <c r="O727" s="437"/>
      <c r="P727" s="438"/>
      <c r="Q727" s="442"/>
      <c r="R727" s="443"/>
      <c r="S727" s="364"/>
      <c r="Z727" s="609" t="s">
        <v>448</v>
      </c>
      <c r="AA727" s="609" t="s">
        <v>3090</v>
      </c>
    </row>
    <row r="728" spans="1:27" ht="18">
      <c r="A728" s="2714"/>
      <c r="B728" s="371">
        <v>103</v>
      </c>
      <c r="C728" s="371" t="s">
        <v>2791</v>
      </c>
      <c r="D728" s="2716">
        <f t="shared" si="64"/>
        <v>0</v>
      </c>
      <c r="E728" s="2721">
        <v>1</v>
      </c>
      <c r="F728" s="293"/>
      <c r="G728" s="2692" t="s">
        <v>2792</v>
      </c>
      <c r="H728" s="2298"/>
      <c r="I728" s="2298"/>
      <c r="J728" s="2275"/>
      <c r="K728" s="2276"/>
      <c r="L728" s="437"/>
      <c r="M728" s="438"/>
      <c r="N728" s="439"/>
      <c r="O728" s="437"/>
      <c r="P728" s="438"/>
      <c r="Q728" s="442"/>
      <c r="R728" s="443"/>
      <c r="S728" s="364"/>
      <c r="Z728" s="609" t="s">
        <v>448</v>
      </c>
      <c r="AA728" s="609" t="s">
        <v>3090</v>
      </c>
    </row>
    <row r="729" spans="1:27" ht="18">
      <c r="A729" s="2714"/>
      <c r="B729" s="371">
        <v>104</v>
      </c>
      <c r="C729" s="371" t="s">
        <v>2791</v>
      </c>
      <c r="D729" s="2716">
        <f t="shared" si="64"/>
        <v>0</v>
      </c>
      <c r="E729" s="2721">
        <v>1</v>
      </c>
      <c r="F729" s="293"/>
      <c r="G729" s="2692" t="s">
        <v>2792</v>
      </c>
      <c r="H729" s="2298"/>
      <c r="I729" s="2298"/>
      <c r="J729" s="2275"/>
      <c r="K729" s="2276"/>
      <c r="L729" s="437"/>
      <c r="M729" s="438"/>
      <c r="N729" s="439"/>
      <c r="O729" s="437"/>
      <c r="P729" s="438"/>
      <c r="Q729" s="442"/>
      <c r="R729" s="443"/>
      <c r="S729" s="364"/>
      <c r="Z729" s="609" t="s">
        <v>448</v>
      </c>
      <c r="AA729" s="609" t="s">
        <v>3090</v>
      </c>
    </row>
    <row r="730" spans="1:27" ht="18">
      <c r="A730" s="2714"/>
      <c r="B730" s="371">
        <v>105</v>
      </c>
      <c r="C730" s="371" t="s">
        <v>2791</v>
      </c>
      <c r="D730" s="2716">
        <f t="shared" si="64"/>
        <v>0</v>
      </c>
      <c r="E730" s="2721">
        <v>1</v>
      </c>
      <c r="F730" s="293"/>
      <c r="G730" s="2692" t="s">
        <v>2792</v>
      </c>
      <c r="H730" s="2298"/>
      <c r="I730" s="2298"/>
      <c r="J730" s="2275"/>
      <c r="K730" s="2276"/>
      <c r="L730" s="437"/>
      <c r="M730" s="438"/>
      <c r="N730" s="439"/>
      <c r="O730" s="437"/>
      <c r="P730" s="438"/>
      <c r="Q730" s="442"/>
      <c r="R730" s="443"/>
      <c r="S730" s="364"/>
      <c r="Z730" s="609" t="s">
        <v>448</v>
      </c>
      <c r="AA730" s="609" t="s">
        <v>3090</v>
      </c>
    </row>
    <row r="731" spans="1:27" ht="18.75" thickBot="1">
      <c r="A731" s="2714"/>
      <c r="B731" s="371"/>
      <c r="C731" s="371"/>
      <c r="D731" s="2716">
        <f t="shared" si="64"/>
        <v>1</v>
      </c>
      <c r="E731" s="2721" t="s">
        <v>2751</v>
      </c>
      <c r="F731" s="293"/>
      <c r="G731" s="2234" t="s">
        <v>2752</v>
      </c>
      <c r="H731" s="2241"/>
      <c r="I731" s="2241"/>
      <c r="J731" s="2235">
        <f>SUMPRODUCT($E725:$E730,J725:J730)</f>
        <v>0</v>
      </c>
      <c r="K731" s="2244"/>
      <c r="L731" s="437"/>
      <c r="M731" s="440"/>
      <c r="N731" s="439"/>
      <c r="O731" s="437"/>
      <c r="P731" s="440"/>
      <c r="Q731" s="442"/>
      <c r="R731" s="443"/>
      <c r="S731" s="364"/>
      <c r="Z731" s="609" t="s">
        <v>448</v>
      </c>
      <c r="AA731" s="609" t="s">
        <v>3090</v>
      </c>
    </row>
    <row r="732" spans="1:27" ht="18.75" thickBot="1">
      <c r="A732" s="2714"/>
      <c r="B732" s="371"/>
      <c r="C732" s="371" t="s">
        <v>2755</v>
      </c>
      <c r="D732" s="2716"/>
      <c r="F732" s="293"/>
      <c r="G732" s="376"/>
      <c r="H732" s="393"/>
      <c r="I732" s="432"/>
      <c r="J732" s="527" t="s">
        <v>3002</v>
      </c>
      <c r="K732" s="392"/>
      <c r="L732" s="427"/>
      <c r="M732" s="425"/>
      <c r="N732" s="426"/>
      <c r="O732" s="427"/>
      <c r="P732" s="425"/>
      <c r="Q732" s="442"/>
      <c r="R732" s="443"/>
      <c r="S732" s="364"/>
      <c r="Z732" s="609" t="s">
        <v>448</v>
      </c>
      <c r="AA732" s="609" t="s">
        <v>3090</v>
      </c>
    </row>
    <row r="733" spans="1:27" ht="18.75" thickTop="1">
      <c r="A733" s="2714"/>
      <c r="B733" s="371"/>
      <c r="C733" s="371" t="s">
        <v>2565</v>
      </c>
      <c r="D733" s="2716"/>
      <c r="F733" s="293"/>
      <c r="G733" s="1549" t="s">
        <v>5367</v>
      </c>
      <c r="H733" s="1550" t="str">
        <f>G706</f>
        <v>(2)应收款项融资——应收票据按减值计提方法分类</v>
      </c>
      <c r="I733" s="1551"/>
      <c r="J733" s="1552"/>
      <c r="K733" s="1551"/>
      <c r="L733" s="1553" t="s">
        <v>5368</v>
      </c>
      <c r="M733" s="425"/>
      <c r="N733" s="426"/>
      <c r="O733" s="427"/>
      <c r="P733" s="425"/>
      <c r="Q733" s="442"/>
      <c r="R733" s="442"/>
      <c r="S733" s="364"/>
      <c r="Z733" s="609" t="s">
        <v>448</v>
      </c>
      <c r="AA733" s="609" t="s">
        <v>3090</v>
      </c>
    </row>
    <row r="734" spans="1:27" ht="18">
      <c r="A734" s="2714"/>
      <c r="B734" s="371"/>
      <c r="C734" s="371" t="s">
        <v>2565</v>
      </c>
      <c r="D734" s="2716"/>
      <c r="F734" s="293"/>
      <c r="G734" s="604" t="str">
        <f>"注释A:"&amp; G711</f>
        <v>注释A:按单项计提减值准备</v>
      </c>
      <c r="H734" s="351"/>
      <c r="I734" s="351"/>
      <c r="J734" s="2252">
        <f ca="1">HYPERLINK("#'"&amp;$G$1&amp;"'!"&amp;ADDRESS(ROW(Notes!J711),COLUMN(Notes!J711),4),J711)</f>
        <v>0</v>
      </c>
      <c r="K734" s="351"/>
      <c r="L734" s="2636" t="str">
        <f>H706</f>
        <v>1124b</v>
      </c>
      <c r="M734" s="425"/>
      <c r="N734" s="426"/>
      <c r="O734" s="427"/>
      <c r="P734" s="425"/>
      <c r="Q734" s="442"/>
      <c r="R734" s="442"/>
      <c r="S734" s="364"/>
      <c r="Z734" s="609" t="s">
        <v>448</v>
      </c>
      <c r="AA734" s="609" t="s">
        <v>3090</v>
      </c>
    </row>
    <row r="735" spans="1:27" ht="18">
      <c r="A735" s="2714"/>
      <c r="B735" s="371"/>
      <c r="C735" s="371" t="s">
        <v>2565</v>
      </c>
      <c r="D735" s="2716"/>
      <c r="F735" s="293"/>
      <c r="G735" s="604" t="str">
        <f>"本注释B:"&amp; G731</f>
        <v>本注释B:合       计</v>
      </c>
      <c r="H735" s="351"/>
      <c r="I735" s="351"/>
      <c r="J735" s="456">
        <f>J731</f>
        <v>0</v>
      </c>
      <c r="K735" s="351"/>
      <c r="L735" s="2639" t="s">
        <v>456</v>
      </c>
      <c r="M735" s="425"/>
      <c r="N735" s="426"/>
      <c r="O735" s="427"/>
      <c r="P735" s="425"/>
      <c r="Q735" s="442"/>
      <c r="R735" s="442"/>
      <c r="S735" s="364"/>
      <c r="Z735" s="609" t="s">
        <v>448</v>
      </c>
      <c r="AA735" s="609" t="s">
        <v>3090</v>
      </c>
    </row>
    <row r="736" spans="1:27" ht="18.75" thickBot="1">
      <c r="A736" s="2714"/>
      <c r="B736" s="371"/>
      <c r="C736" s="371" t="s">
        <v>2565</v>
      </c>
      <c r="D736" s="2716"/>
      <c r="F736" s="293"/>
      <c r="G736" s="1554" t="s">
        <v>2757</v>
      </c>
      <c r="H736" s="1555"/>
      <c r="I736" s="1555"/>
      <c r="J736" s="1531">
        <f ca="1">IF(AND(J734="",J735=""),"",ROUND(J734-J735,2))</f>
        <v>0</v>
      </c>
      <c r="K736" s="1555"/>
      <c r="L736" s="1556"/>
      <c r="M736" s="425"/>
      <c r="N736" s="426"/>
      <c r="O736" s="427"/>
      <c r="P736" s="425"/>
      <c r="Q736" s="442"/>
      <c r="R736" s="442"/>
      <c r="S736" s="364"/>
      <c r="Z736" s="609" t="s">
        <v>448</v>
      </c>
      <c r="AA736" s="609" t="s">
        <v>3090</v>
      </c>
    </row>
    <row r="737" spans="1:27" ht="18.75" thickTop="1">
      <c r="A737" s="2714"/>
      <c r="B737" s="371"/>
      <c r="C737" s="371" t="s">
        <v>2565</v>
      </c>
      <c r="D737" s="2716"/>
      <c r="F737" s="293"/>
      <c r="G737" s="1545"/>
      <c r="H737" s="317"/>
      <c r="I737" s="317"/>
      <c r="J737" s="459" t="str">
        <f ca="1">IF(OR(J736=0,J736=""),"√","？")</f>
        <v>√</v>
      </c>
      <c r="K737" s="317"/>
      <c r="L737" s="1547"/>
      <c r="M737" s="425"/>
      <c r="N737" s="426"/>
      <c r="O737" s="427"/>
      <c r="P737" s="425"/>
      <c r="Q737" s="442"/>
      <c r="R737" s="442"/>
      <c r="S737" s="364"/>
      <c r="Z737" s="609" t="s">
        <v>448</v>
      </c>
      <c r="AA737" s="609" t="s">
        <v>3090</v>
      </c>
    </row>
    <row r="738" spans="1:27" ht="18">
      <c r="A738" s="2714"/>
      <c r="B738" s="371"/>
      <c r="C738" s="371" t="s">
        <v>2565</v>
      </c>
      <c r="D738" s="2716"/>
      <c r="F738" s="293"/>
      <c r="G738" s="1559" t="s">
        <v>2759</v>
      </c>
      <c r="H738" s="317"/>
      <c r="I738" s="317"/>
      <c r="J738" s="461"/>
      <c r="K738" s="352">
        <f ca="1">SUMIF($H$737:$L$737,"&lt;&gt;√",$H$736:$L$736)</f>
        <v>0</v>
      </c>
      <c r="L738" s="2254" t="str">
        <f ca="1">IF(OR(K738=0,K738=""),"√","？")</f>
        <v>√</v>
      </c>
      <c r="M738" s="425"/>
      <c r="N738" s="426"/>
      <c r="O738" s="427"/>
      <c r="P738" s="425"/>
      <c r="Q738" s="442"/>
      <c r="R738" s="442"/>
      <c r="S738" s="364"/>
      <c r="Z738" s="609" t="s">
        <v>448</v>
      </c>
      <c r="AA738" s="609" t="s">
        <v>3090</v>
      </c>
    </row>
    <row r="739" spans="1:27" ht="18">
      <c r="A739" s="2714"/>
      <c r="B739" s="371"/>
      <c r="C739" s="371" t="s">
        <v>2565</v>
      </c>
      <c r="D739" s="2716"/>
      <c r="F739" s="293"/>
      <c r="G739" s="1545"/>
      <c r="H739" s="317"/>
      <c r="I739" s="317"/>
      <c r="J739" s="461"/>
      <c r="K739" s="317"/>
      <c r="L739" s="1547"/>
      <c r="M739" s="425"/>
      <c r="N739" s="426"/>
      <c r="O739" s="427"/>
      <c r="P739" s="425"/>
      <c r="Q739" s="442"/>
      <c r="R739" s="442"/>
      <c r="S739" s="364"/>
      <c r="Z739" s="609" t="s">
        <v>448</v>
      </c>
      <c r="AA739" s="609" t="s">
        <v>3090</v>
      </c>
    </row>
    <row r="740" spans="1:27" ht="36">
      <c r="A740" s="2714" t="s">
        <v>461</v>
      </c>
      <c r="B740" s="371">
        <v>2.2000000000000002</v>
      </c>
      <c r="C740" s="371"/>
      <c r="D740" s="2716" t="str">
        <f>VLOOKUP($A740,Sheet_NoteList,2,0)</f>
        <v>期末按按组合1计提减值准备的应收款项融资——应收票据</v>
      </c>
      <c r="E740" s="2716" t="s">
        <v>2742</v>
      </c>
      <c r="F740" s="293"/>
      <c r="G740" s="372" t="str">
        <f>"("&amp;B740&amp;")"&amp;D740</f>
        <v>(2.2)期末按按组合1计提减值准备的应收款项融资——应收票据</v>
      </c>
      <c r="H740" s="1517" t="str">
        <f>$A740</f>
        <v>1124d</v>
      </c>
      <c r="I740" s="343" t="s">
        <v>2743</v>
      </c>
      <c r="J740" s="301" t="s">
        <v>2744</v>
      </c>
      <c r="K740" s="2210">
        <f>J753</f>
        <v>0</v>
      </c>
      <c r="L740" s="349"/>
      <c r="M740" s="301"/>
      <c r="N740" s="391"/>
      <c r="O740" s="349"/>
      <c r="P740" s="301"/>
      <c r="S740" s="364"/>
      <c r="Z740" s="609" t="s">
        <v>448</v>
      </c>
      <c r="AA740" s="609" t="s">
        <v>3090</v>
      </c>
    </row>
    <row r="741" spans="1:27" ht="0.75" customHeight="1">
      <c r="A741" s="2714"/>
      <c r="B741" s="371"/>
      <c r="C741" s="371"/>
      <c r="D741" s="2716"/>
      <c r="E741" s="586"/>
      <c r="F741" s="586"/>
      <c r="G741" s="2224" t="s">
        <v>3098</v>
      </c>
      <c r="H741" s="371" t="s">
        <v>6475</v>
      </c>
      <c r="I741" s="371" t="s">
        <v>6476</v>
      </c>
      <c r="J741" s="371" t="s">
        <v>6477</v>
      </c>
      <c r="K741" s="547" t="s">
        <v>6478</v>
      </c>
      <c r="L741" s="428"/>
      <c r="M741" s="433"/>
      <c r="N741" s="428"/>
      <c r="O741" s="428"/>
      <c r="P741" s="433"/>
      <c r="Q741" s="442"/>
      <c r="R741" s="443"/>
      <c r="S741" s="364"/>
      <c r="Z741" s="609" t="s">
        <v>448</v>
      </c>
      <c r="AA741" s="609" t="s">
        <v>3090</v>
      </c>
    </row>
    <row r="742" spans="1:27" ht="0.75" customHeight="1" thickBot="1">
      <c r="A742" s="2714"/>
      <c r="B742" s="371"/>
      <c r="C742" s="371"/>
      <c r="D742" s="2716"/>
      <c r="E742" s="586"/>
      <c r="F742" s="586"/>
      <c r="G742" s="2224"/>
      <c r="H742" s="371" t="s">
        <v>6479</v>
      </c>
      <c r="I742" s="371" t="s">
        <v>6480</v>
      </c>
      <c r="J742" s="371" t="s">
        <v>6481</v>
      </c>
      <c r="K742" s="547" t="s">
        <v>6482</v>
      </c>
      <c r="L742" s="428"/>
      <c r="M742" s="433"/>
      <c r="N742" s="428"/>
      <c r="O742" s="428"/>
      <c r="P742" s="433"/>
      <c r="Q742" s="442"/>
      <c r="R742" s="443"/>
      <c r="S742" s="364"/>
      <c r="Z742" s="609" t="s">
        <v>448</v>
      </c>
      <c r="AA742" s="609" t="s">
        <v>3090</v>
      </c>
    </row>
    <row r="743" spans="1:27" ht="18" customHeight="1">
      <c r="A743" s="2714"/>
      <c r="B743" s="371"/>
      <c r="C743" s="371"/>
      <c r="D743" s="2716"/>
      <c r="E743" s="586" t="s">
        <v>2749</v>
      </c>
      <c r="F743" s="414"/>
      <c r="G743" s="3472" t="s">
        <v>5136</v>
      </c>
      <c r="H743" s="3542" t="str">
        <f>$V$2</f>
        <v>2019年12月31日</v>
      </c>
      <c r="I743" s="3542"/>
      <c r="J743" s="3542"/>
      <c r="K743" s="3523"/>
      <c r="L743" s="355" t="s">
        <v>5271</v>
      </c>
      <c r="M743" s="433"/>
      <c r="N743" s="428"/>
      <c r="O743" s="428"/>
      <c r="P743" s="433"/>
      <c r="Q743" s="442"/>
      <c r="R743" s="443"/>
      <c r="S743" s="364"/>
      <c r="Z743" s="609" t="s">
        <v>448</v>
      </c>
      <c r="AA743" s="609" t="s">
        <v>3090</v>
      </c>
    </row>
    <row r="744" spans="1:27" ht="36">
      <c r="A744" s="2714"/>
      <c r="B744" s="371"/>
      <c r="C744" s="371"/>
      <c r="D744" s="2716"/>
      <c r="E744" s="586" t="s">
        <v>2749</v>
      </c>
      <c r="F744" s="414"/>
      <c r="G744" s="3473"/>
      <c r="H744" s="2688" t="s">
        <v>6395</v>
      </c>
      <c r="I744" s="2688" t="s">
        <v>6393</v>
      </c>
      <c r="J744" s="2688" t="s">
        <v>5145</v>
      </c>
      <c r="K744" s="2690" t="s">
        <v>6394</v>
      </c>
      <c r="L744" s="355" t="s">
        <v>6391</v>
      </c>
      <c r="M744" s="435"/>
      <c r="N744" s="434"/>
      <c r="O744" s="434"/>
      <c r="P744" s="435"/>
      <c r="Q744" s="442"/>
      <c r="R744" s="443"/>
      <c r="S744" s="364"/>
      <c r="Z744" s="609" t="s">
        <v>448</v>
      </c>
      <c r="AA744" s="609" t="s">
        <v>3090</v>
      </c>
    </row>
    <row r="745" spans="1:27" ht="18">
      <c r="A745" s="2714"/>
      <c r="B745" s="371">
        <v>101</v>
      </c>
      <c r="C745" s="371" t="s">
        <v>2791</v>
      </c>
      <c r="D745" s="2716">
        <f t="shared" ref="D745:D753" si="65">IF(OR(G745="*",G745="",G745=0),0,COUNTIF($G$745:$G$753,G745))</f>
        <v>0</v>
      </c>
      <c r="E745" s="2721">
        <v>1</v>
      </c>
      <c r="F745" s="293"/>
      <c r="G745" s="2692" t="s">
        <v>2792</v>
      </c>
      <c r="H745" s="2298"/>
      <c r="I745" s="2298"/>
      <c r="J745" s="2275"/>
      <c r="K745" s="2276"/>
      <c r="L745" s="437"/>
      <c r="M745" s="438"/>
      <c r="N745" s="439"/>
      <c r="O745" s="437"/>
      <c r="P745" s="438"/>
      <c r="Q745" s="442"/>
      <c r="R745" s="443"/>
      <c r="S745" s="364"/>
      <c r="Z745" s="609" t="s">
        <v>448</v>
      </c>
      <c r="AA745" s="609" t="s">
        <v>3090</v>
      </c>
    </row>
    <row r="746" spans="1:27" ht="18">
      <c r="A746" s="2714"/>
      <c r="B746" s="371">
        <v>102</v>
      </c>
      <c r="C746" s="371" t="s">
        <v>2791</v>
      </c>
      <c r="D746" s="2716">
        <f t="shared" si="65"/>
        <v>0</v>
      </c>
      <c r="E746" s="2721">
        <v>1</v>
      </c>
      <c r="F746" s="293"/>
      <c r="G746" s="2692" t="s">
        <v>2792</v>
      </c>
      <c r="H746" s="2298"/>
      <c r="I746" s="2298"/>
      <c r="J746" s="2275"/>
      <c r="K746" s="2276"/>
      <c r="L746" s="437"/>
      <c r="M746" s="438"/>
      <c r="N746" s="439"/>
      <c r="O746" s="437"/>
      <c r="P746" s="438"/>
      <c r="Q746" s="442"/>
      <c r="R746" s="443"/>
      <c r="S746" s="364"/>
      <c r="Z746" s="609" t="s">
        <v>448</v>
      </c>
      <c r="AA746" s="609" t="s">
        <v>3090</v>
      </c>
    </row>
    <row r="747" spans="1:27" ht="18">
      <c r="A747" s="2714"/>
      <c r="B747" s="371">
        <v>103</v>
      </c>
      <c r="C747" s="371" t="s">
        <v>2791</v>
      </c>
      <c r="D747" s="2716">
        <f t="shared" si="65"/>
        <v>0</v>
      </c>
      <c r="E747" s="2721">
        <v>1</v>
      </c>
      <c r="F747" s="293"/>
      <c r="G747" s="2692" t="s">
        <v>2792</v>
      </c>
      <c r="H747" s="2298"/>
      <c r="I747" s="2298"/>
      <c r="J747" s="2275"/>
      <c r="K747" s="2276"/>
      <c r="L747" s="437"/>
      <c r="M747" s="438"/>
      <c r="N747" s="439"/>
      <c r="O747" s="437"/>
      <c r="P747" s="438"/>
      <c r="Q747" s="442"/>
      <c r="R747" s="443"/>
      <c r="S747" s="364"/>
      <c r="Z747" s="609" t="s">
        <v>448</v>
      </c>
      <c r="AA747" s="609" t="s">
        <v>3090</v>
      </c>
    </row>
    <row r="748" spans="1:27" ht="18">
      <c r="A748" s="2714"/>
      <c r="B748" s="371">
        <v>104</v>
      </c>
      <c r="C748" s="371" t="s">
        <v>2791</v>
      </c>
      <c r="D748" s="2716">
        <f t="shared" si="65"/>
        <v>0</v>
      </c>
      <c r="E748" s="2721">
        <v>1</v>
      </c>
      <c r="F748" s="293"/>
      <c r="G748" s="2692" t="s">
        <v>2792</v>
      </c>
      <c r="H748" s="2298"/>
      <c r="I748" s="2298"/>
      <c r="J748" s="2275"/>
      <c r="K748" s="2276"/>
      <c r="L748" s="437"/>
      <c r="M748" s="438"/>
      <c r="N748" s="439"/>
      <c r="O748" s="437"/>
      <c r="P748" s="438"/>
      <c r="Q748" s="442"/>
      <c r="R748" s="443"/>
      <c r="S748" s="364"/>
      <c r="Z748" s="609" t="s">
        <v>448</v>
      </c>
      <c r="AA748" s="609" t="s">
        <v>3090</v>
      </c>
    </row>
    <row r="749" spans="1:27" ht="18">
      <c r="A749" s="2714"/>
      <c r="B749" s="371">
        <v>105</v>
      </c>
      <c r="C749" s="371" t="s">
        <v>2791</v>
      </c>
      <c r="D749" s="2716">
        <f t="shared" si="65"/>
        <v>0</v>
      </c>
      <c r="E749" s="2721">
        <v>1</v>
      </c>
      <c r="F749" s="293"/>
      <c r="G749" s="2692" t="s">
        <v>2792</v>
      </c>
      <c r="H749" s="2298"/>
      <c r="I749" s="2298"/>
      <c r="J749" s="2275"/>
      <c r="K749" s="2276"/>
      <c r="L749" s="437"/>
      <c r="M749" s="438"/>
      <c r="N749" s="439"/>
      <c r="O749" s="437"/>
      <c r="P749" s="438"/>
      <c r="Q749" s="442"/>
      <c r="R749" s="443"/>
      <c r="S749" s="364"/>
      <c r="Z749" s="609" t="s">
        <v>448</v>
      </c>
      <c r="AA749" s="609" t="s">
        <v>3090</v>
      </c>
    </row>
    <row r="750" spans="1:27" ht="18">
      <c r="A750" s="2714"/>
      <c r="B750" s="371">
        <v>106</v>
      </c>
      <c r="C750" s="371" t="s">
        <v>2791</v>
      </c>
      <c r="D750" s="2716">
        <f t="shared" si="65"/>
        <v>0</v>
      </c>
      <c r="E750" s="2721">
        <v>1</v>
      </c>
      <c r="F750" s="293"/>
      <c r="G750" s="2692" t="s">
        <v>2792</v>
      </c>
      <c r="H750" s="2298"/>
      <c r="I750" s="2298"/>
      <c r="J750" s="2275"/>
      <c r="K750" s="2276"/>
      <c r="L750" s="437"/>
      <c r="M750" s="438"/>
      <c r="N750" s="439"/>
      <c r="O750" s="437"/>
      <c r="P750" s="438"/>
      <c r="Q750" s="442"/>
      <c r="R750" s="443"/>
      <c r="S750" s="364"/>
      <c r="Z750" s="609" t="s">
        <v>448</v>
      </c>
      <c r="AA750" s="609" t="s">
        <v>3090</v>
      </c>
    </row>
    <row r="751" spans="1:27" ht="18">
      <c r="A751" s="2714"/>
      <c r="B751" s="371">
        <v>107</v>
      </c>
      <c r="C751" s="371" t="s">
        <v>2791</v>
      </c>
      <c r="D751" s="2716">
        <f t="shared" si="65"/>
        <v>0</v>
      </c>
      <c r="E751" s="2721">
        <v>1</v>
      </c>
      <c r="F751" s="293"/>
      <c r="G751" s="2692" t="s">
        <v>2792</v>
      </c>
      <c r="H751" s="2298"/>
      <c r="I751" s="2298"/>
      <c r="J751" s="2275"/>
      <c r="K751" s="2276"/>
      <c r="L751" s="437"/>
      <c r="M751" s="438"/>
      <c r="N751" s="439"/>
      <c r="O751" s="437"/>
      <c r="P751" s="438"/>
      <c r="Q751" s="442"/>
      <c r="R751" s="443"/>
      <c r="S751" s="364"/>
      <c r="Z751" s="609" t="s">
        <v>448</v>
      </c>
      <c r="AA751" s="609" t="s">
        <v>3090</v>
      </c>
    </row>
    <row r="752" spans="1:27" ht="18">
      <c r="A752" s="2714"/>
      <c r="B752" s="371">
        <v>108</v>
      </c>
      <c r="C752" s="371" t="s">
        <v>2791</v>
      </c>
      <c r="D752" s="2716">
        <f t="shared" si="65"/>
        <v>0</v>
      </c>
      <c r="E752" s="2721">
        <v>1</v>
      </c>
      <c r="F752" s="293"/>
      <c r="G752" s="2692" t="s">
        <v>2792</v>
      </c>
      <c r="H752" s="2298"/>
      <c r="I752" s="2298"/>
      <c r="J752" s="2275"/>
      <c r="K752" s="2276"/>
      <c r="L752" s="437"/>
      <c r="M752" s="438"/>
      <c r="N752" s="439"/>
      <c r="O752" s="437"/>
      <c r="P752" s="438"/>
      <c r="Q752" s="442"/>
      <c r="R752" s="443"/>
      <c r="S752" s="364"/>
      <c r="Z752" s="609" t="s">
        <v>448</v>
      </c>
      <c r="AA752" s="609" t="s">
        <v>3090</v>
      </c>
    </row>
    <row r="753" spans="1:27" ht="18.75" thickBot="1">
      <c r="A753" s="2714"/>
      <c r="B753" s="371"/>
      <c r="C753" s="371"/>
      <c r="D753" s="2716">
        <f t="shared" si="65"/>
        <v>1</v>
      </c>
      <c r="E753" s="2721" t="s">
        <v>2751</v>
      </c>
      <c r="F753" s="293"/>
      <c r="G753" s="2234" t="s">
        <v>2752</v>
      </c>
      <c r="H753" s="2241"/>
      <c r="I753" s="2241"/>
      <c r="J753" s="2235">
        <f>SUMPRODUCT($E744:$E752,J744:J752)</f>
        <v>0</v>
      </c>
      <c r="K753" s="2244"/>
      <c r="L753" s="437"/>
      <c r="M753" s="440"/>
      <c r="N753" s="439"/>
      <c r="O753" s="437"/>
      <c r="P753" s="440"/>
      <c r="Q753" s="442"/>
      <c r="R753" s="443"/>
      <c r="S753" s="364"/>
      <c r="Z753" s="609" t="s">
        <v>448</v>
      </c>
      <c r="AA753" s="609" t="s">
        <v>3090</v>
      </c>
    </row>
    <row r="754" spans="1:27" ht="18.75" thickBot="1">
      <c r="A754" s="2714"/>
      <c r="B754" s="371"/>
      <c r="C754" s="371" t="s">
        <v>2755</v>
      </c>
      <c r="D754" s="2716"/>
      <c r="F754" s="293"/>
      <c r="G754" s="376"/>
      <c r="H754" s="393"/>
      <c r="I754" s="432"/>
      <c r="J754" s="527" t="s">
        <v>3002</v>
      </c>
      <c r="K754" s="426"/>
      <c r="L754" s="427"/>
      <c r="M754" s="425"/>
      <c r="N754" s="426"/>
      <c r="O754" s="427"/>
      <c r="P754" s="425"/>
      <c r="Q754" s="442"/>
      <c r="R754" s="443"/>
      <c r="S754" s="364"/>
      <c r="Z754" s="609" t="s">
        <v>448</v>
      </c>
      <c r="AA754" s="609" t="s">
        <v>3090</v>
      </c>
    </row>
    <row r="755" spans="1:27" ht="18.75" thickTop="1">
      <c r="A755" s="2714"/>
      <c r="B755" s="371"/>
      <c r="C755" s="371" t="s">
        <v>2565</v>
      </c>
      <c r="D755" s="2716"/>
      <c r="F755" s="293"/>
      <c r="G755" s="1549" t="s">
        <v>5367</v>
      </c>
      <c r="H755" s="1550" t="str">
        <f>G706</f>
        <v>(2)应收款项融资——应收票据按减值计提方法分类</v>
      </c>
      <c r="I755" s="1551"/>
      <c r="J755" s="1552"/>
      <c r="K755" s="1551"/>
      <c r="L755" s="1553" t="s">
        <v>5368</v>
      </c>
      <c r="M755" s="425"/>
      <c r="N755" s="426"/>
      <c r="O755" s="427"/>
      <c r="P755" s="425"/>
      <c r="Q755" s="442"/>
      <c r="R755" s="442"/>
      <c r="S755" s="364"/>
      <c r="Z755" s="609" t="s">
        <v>448</v>
      </c>
      <c r="AA755" s="609" t="s">
        <v>3090</v>
      </c>
    </row>
    <row r="756" spans="1:27" ht="18">
      <c r="A756" s="2714"/>
      <c r="B756" s="371"/>
      <c r="C756" s="371" t="s">
        <v>2565</v>
      </c>
      <c r="D756" s="2716"/>
      <c r="F756" s="293"/>
      <c r="G756" s="604" t="str">
        <f>"注释A:"&amp; G716</f>
        <v>注释A:其中：组合1</v>
      </c>
      <c r="H756" s="351"/>
      <c r="I756" s="351"/>
      <c r="J756" s="2252">
        <f ca="1">HYPERLINK("#'"&amp;$G$1&amp;"'!"&amp;ADDRESS(ROW(Notes!J716),COLUMN(Notes!J716),4),J716)</f>
        <v>0</v>
      </c>
      <c r="K756" s="1543"/>
      <c r="L756" s="2636" t="str">
        <f>H706</f>
        <v>1124b</v>
      </c>
      <c r="M756" s="425"/>
      <c r="N756" s="426"/>
      <c r="O756" s="427"/>
      <c r="P756" s="425"/>
      <c r="Q756" s="442"/>
      <c r="R756" s="442"/>
      <c r="S756" s="364"/>
      <c r="Z756" s="609" t="s">
        <v>448</v>
      </c>
      <c r="AA756" s="609" t="s">
        <v>3090</v>
      </c>
    </row>
    <row r="757" spans="1:27" ht="18">
      <c r="A757" s="2714"/>
      <c r="B757" s="371"/>
      <c r="C757" s="371" t="s">
        <v>2565</v>
      </c>
      <c r="D757" s="2716"/>
      <c r="F757" s="293"/>
      <c r="G757" s="604" t="str">
        <f>"本注释B:"&amp; G753</f>
        <v>本注释B:合       计</v>
      </c>
      <c r="H757" s="351"/>
      <c r="I757" s="351"/>
      <c r="J757" s="456">
        <f>J753</f>
        <v>0</v>
      </c>
      <c r="K757" s="1543"/>
      <c r="L757" s="2639" t="s">
        <v>461</v>
      </c>
      <c r="M757" s="425"/>
      <c r="N757" s="426"/>
      <c r="O757" s="427"/>
      <c r="P757" s="425"/>
      <c r="Q757" s="442"/>
      <c r="R757" s="442"/>
      <c r="S757" s="364"/>
      <c r="Z757" s="609" t="s">
        <v>448</v>
      </c>
      <c r="AA757" s="609" t="s">
        <v>3090</v>
      </c>
    </row>
    <row r="758" spans="1:27" ht="18.75" thickBot="1">
      <c r="A758" s="2714"/>
      <c r="B758" s="371"/>
      <c r="C758" s="371" t="s">
        <v>2565</v>
      </c>
      <c r="D758" s="2716"/>
      <c r="F758" s="293"/>
      <c r="G758" s="1554" t="s">
        <v>2757</v>
      </c>
      <c r="H758" s="1555"/>
      <c r="I758" s="1555"/>
      <c r="J758" s="1531">
        <f ca="1">IF(AND(J756="",J757=""),"",ROUND(J756-J757,2))</f>
        <v>0</v>
      </c>
      <c r="K758" s="1556"/>
      <c r="L758" s="1556"/>
      <c r="M758" s="425"/>
      <c r="N758" s="426"/>
      <c r="O758" s="427"/>
      <c r="P758" s="425"/>
      <c r="Q758" s="442"/>
      <c r="R758" s="442"/>
      <c r="S758" s="364"/>
      <c r="Z758" s="609" t="s">
        <v>448</v>
      </c>
      <c r="AA758" s="609" t="s">
        <v>3090</v>
      </c>
    </row>
    <row r="759" spans="1:27" ht="18.75" thickTop="1">
      <c r="A759" s="2714"/>
      <c r="B759" s="371"/>
      <c r="C759" s="371" t="s">
        <v>2565</v>
      </c>
      <c r="D759" s="2716"/>
      <c r="F759" s="293"/>
      <c r="G759" s="1545"/>
      <c r="H759" s="317"/>
      <c r="I759" s="317"/>
      <c r="J759" s="459" t="str">
        <f ca="1">IF(OR(J758=0,J758=""),"√","？")</f>
        <v>√</v>
      </c>
      <c r="K759" s="1547"/>
      <c r="L759" s="1547"/>
      <c r="M759" s="425"/>
      <c r="N759" s="426"/>
      <c r="O759" s="427"/>
      <c r="P759" s="425"/>
      <c r="Q759" s="442"/>
      <c r="R759" s="442"/>
      <c r="S759" s="364"/>
      <c r="Z759" s="609" t="s">
        <v>448</v>
      </c>
      <c r="AA759" s="609" t="s">
        <v>3090</v>
      </c>
    </row>
    <row r="760" spans="1:27" ht="18">
      <c r="A760" s="2714"/>
      <c r="B760" s="371"/>
      <c r="C760" s="371" t="s">
        <v>2565</v>
      </c>
      <c r="D760" s="2716"/>
      <c r="F760" s="293"/>
      <c r="G760" s="1559" t="s">
        <v>2759</v>
      </c>
      <c r="H760" s="317"/>
      <c r="I760" s="317"/>
      <c r="J760" s="461"/>
      <c r="K760" s="2257">
        <f ca="1">SUMIF($H$759:$L$759,"&lt;&gt;√",$H$758:$L$758)</f>
        <v>0</v>
      </c>
      <c r="L760" s="2254" t="str">
        <f ca="1">IF(OR(K760=0,K760=""),"√","？")</f>
        <v>√</v>
      </c>
      <c r="M760" s="425"/>
      <c r="N760" s="426"/>
      <c r="O760" s="427"/>
      <c r="P760" s="425"/>
      <c r="Q760" s="442"/>
      <c r="R760" s="442"/>
      <c r="S760" s="364"/>
      <c r="Z760" s="609" t="s">
        <v>448</v>
      </c>
      <c r="AA760" s="609" t="s">
        <v>3090</v>
      </c>
    </row>
    <row r="761" spans="1:27" ht="18">
      <c r="A761" s="2714"/>
      <c r="B761" s="371"/>
      <c r="C761" s="371" t="s">
        <v>2565</v>
      </c>
      <c r="D761" s="2716"/>
      <c r="F761" s="293"/>
      <c r="G761" s="1545"/>
      <c r="H761" s="317"/>
      <c r="I761" s="317"/>
      <c r="J761" s="461"/>
      <c r="K761" s="1547"/>
      <c r="L761" s="1547"/>
      <c r="M761" s="425"/>
      <c r="N761" s="426"/>
      <c r="O761" s="427"/>
      <c r="P761" s="425"/>
      <c r="Q761" s="442"/>
      <c r="R761" s="442"/>
      <c r="S761" s="364"/>
      <c r="Z761" s="609" t="s">
        <v>448</v>
      </c>
      <c r="AA761" s="609" t="s">
        <v>3090</v>
      </c>
    </row>
    <row r="762" spans="1:27" ht="36">
      <c r="A762" s="2714" t="s">
        <v>466</v>
      </c>
      <c r="B762" s="371">
        <v>2.2999999999999998</v>
      </c>
      <c r="C762" s="371"/>
      <c r="D762" s="2716" t="str">
        <f>VLOOKUP($A762,Sheet_NoteList,2,0)</f>
        <v>期末按按组合2计提减值准备的应收款项融资——应收票据</v>
      </c>
      <c r="E762" s="2716" t="s">
        <v>6533</v>
      </c>
      <c r="F762" s="293"/>
      <c r="G762" s="372" t="str">
        <f>"("&amp;B762&amp;")"&amp;D762</f>
        <v>(2.3)期末按按组合2计提减值准备的应收款项融资——应收票据</v>
      </c>
      <c r="H762" s="1517" t="str">
        <f>$A762</f>
        <v>1124e</v>
      </c>
      <c r="I762" s="343" t="s">
        <v>5124</v>
      </c>
      <c r="J762" s="301" t="s">
        <v>5122</v>
      </c>
      <c r="K762" s="2210">
        <f>J775</f>
        <v>0</v>
      </c>
      <c r="L762" s="349"/>
      <c r="M762" s="301" t="s">
        <v>5123</v>
      </c>
      <c r="N762" s="2210">
        <f>I775</f>
        <v>0</v>
      </c>
      <c r="O762" s="349"/>
      <c r="P762" s="301"/>
      <c r="S762" s="364"/>
      <c r="Z762" s="609" t="s">
        <v>448</v>
      </c>
      <c r="AA762" s="609" t="s">
        <v>3090</v>
      </c>
    </row>
    <row r="763" spans="1:27" ht="0.75" customHeight="1">
      <c r="A763" s="2714"/>
      <c r="B763" s="371"/>
      <c r="C763" s="371"/>
      <c r="D763" s="2716"/>
      <c r="E763" s="586"/>
      <c r="F763" s="586"/>
      <c r="G763" s="2224" t="s">
        <v>5468</v>
      </c>
      <c r="H763" s="371" t="s">
        <v>6483</v>
      </c>
      <c r="I763" s="371" t="s">
        <v>6484</v>
      </c>
      <c r="J763" s="371" t="s">
        <v>6485</v>
      </c>
      <c r="K763" s="547" t="s">
        <v>6486</v>
      </c>
      <c r="L763" s="428"/>
      <c r="M763" s="433"/>
      <c r="N763" s="428"/>
      <c r="O763" s="428"/>
      <c r="P763" s="433"/>
      <c r="Q763" s="442"/>
      <c r="R763" s="443"/>
      <c r="S763" s="364"/>
      <c r="Z763" s="609" t="s">
        <v>448</v>
      </c>
      <c r="AA763" s="609" t="s">
        <v>3090</v>
      </c>
    </row>
    <row r="764" spans="1:27" ht="0.75" customHeight="1" thickBot="1">
      <c r="A764" s="2714"/>
      <c r="B764" s="371"/>
      <c r="C764" s="371"/>
      <c r="D764" s="2716"/>
      <c r="E764" s="586"/>
      <c r="F764" s="586"/>
      <c r="G764" s="2224"/>
      <c r="H764" s="371" t="s">
        <v>6487</v>
      </c>
      <c r="I764" s="371" t="s">
        <v>6488</v>
      </c>
      <c r="J764" s="371" t="s">
        <v>6489</v>
      </c>
      <c r="K764" s="547" t="s">
        <v>6490</v>
      </c>
      <c r="L764" s="428"/>
      <c r="M764" s="433"/>
      <c r="N764" s="428"/>
      <c r="O764" s="428"/>
      <c r="P764" s="433"/>
      <c r="Q764" s="442"/>
      <c r="R764" s="443"/>
      <c r="S764" s="364"/>
      <c r="Z764" s="609" t="s">
        <v>448</v>
      </c>
      <c r="AA764" s="609" t="s">
        <v>3090</v>
      </c>
    </row>
    <row r="765" spans="1:27" ht="18" customHeight="1">
      <c r="A765" s="2714"/>
      <c r="B765" s="371"/>
      <c r="C765" s="371"/>
      <c r="D765" s="2716"/>
      <c r="E765" s="586" t="s">
        <v>2749</v>
      </c>
      <c r="F765" s="414"/>
      <c r="G765" s="3512" t="s">
        <v>5948</v>
      </c>
      <c r="H765" s="3535" t="str">
        <f>$V$2</f>
        <v>2019年12月31日</v>
      </c>
      <c r="I765" s="3535"/>
      <c r="J765" s="3535"/>
      <c r="K765" s="3556"/>
      <c r="L765" s="355" t="s">
        <v>5949</v>
      </c>
      <c r="M765" s="433"/>
      <c r="N765" s="428"/>
      <c r="O765" s="428"/>
      <c r="P765" s="433"/>
      <c r="Q765" s="442"/>
      <c r="R765" s="443"/>
      <c r="S765" s="364"/>
      <c r="Z765" s="609" t="s">
        <v>448</v>
      </c>
      <c r="AA765" s="609" t="s">
        <v>3090</v>
      </c>
    </row>
    <row r="766" spans="1:27" ht="36">
      <c r="A766" s="2714"/>
      <c r="B766" s="371"/>
      <c r="C766" s="371"/>
      <c r="D766" s="2716"/>
      <c r="E766" s="586" t="s">
        <v>2749</v>
      </c>
      <c r="F766" s="414"/>
      <c r="G766" s="3513"/>
      <c r="H766" s="2693" t="s">
        <v>6395</v>
      </c>
      <c r="I766" s="2693" t="s">
        <v>6393</v>
      </c>
      <c r="J766" s="2693" t="s">
        <v>5145</v>
      </c>
      <c r="K766" s="2697" t="s">
        <v>6394</v>
      </c>
      <c r="L766" s="355" t="s">
        <v>6176</v>
      </c>
      <c r="M766" s="1511"/>
      <c r="N766" s="434"/>
      <c r="O766" s="434"/>
      <c r="P766" s="1511"/>
      <c r="Q766" s="442"/>
      <c r="R766" s="443"/>
      <c r="S766" s="364"/>
      <c r="Z766" s="609" t="s">
        <v>448</v>
      </c>
      <c r="AA766" s="609" t="s">
        <v>3090</v>
      </c>
    </row>
    <row r="767" spans="1:27" ht="18">
      <c r="A767" s="2714"/>
      <c r="B767" s="371">
        <v>101</v>
      </c>
      <c r="C767" s="371" t="s">
        <v>2791</v>
      </c>
      <c r="D767" s="2716">
        <f t="shared" ref="D767:D775" si="66">IF(OR(G767="*",G767="",G767=0),0,COUNTIF($G$767:$G$775,G767))</f>
        <v>0</v>
      </c>
      <c r="E767" s="2721">
        <v>1</v>
      </c>
      <c r="F767" s="293"/>
      <c r="G767" s="2692" t="s">
        <v>2792</v>
      </c>
      <c r="H767" s="2298"/>
      <c r="I767" s="2298"/>
      <c r="J767" s="2275"/>
      <c r="K767" s="2276"/>
      <c r="L767" s="437"/>
      <c r="M767" s="438"/>
      <c r="N767" s="439"/>
      <c r="O767" s="437"/>
      <c r="P767" s="438"/>
      <c r="Q767" s="442"/>
      <c r="R767" s="443"/>
      <c r="S767" s="364"/>
      <c r="Z767" s="609" t="s">
        <v>448</v>
      </c>
      <c r="AA767" s="609" t="s">
        <v>3090</v>
      </c>
    </row>
    <row r="768" spans="1:27" ht="18">
      <c r="A768" s="2714"/>
      <c r="B768" s="371">
        <v>102</v>
      </c>
      <c r="C768" s="371" t="s">
        <v>2791</v>
      </c>
      <c r="D768" s="2716">
        <f t="shared" si="66"/>
        <v>0</v>
      </c>
      <c r="E768" s="2721">
        <v>1</v>
      </c>
      <c r="F768" s="293"/>
      <c r="G768" s="2692" t="s">
        <v>2792</v>
      </c>
      <c r="H768" s="2298"/>
      <c r="I768" s="2298"/>
      <c r="J768" s="2275"/>
      <c r="K768" s="2276"/>
      <c r="L768" s="437"/>
      <c r="M768" s="438"/>
      <c r="N768" s="439"/>
      <c r="O768" s="437"/>
      <c r="P768" s="438"/>
      <c r="Q768" s="442"/>
      <c r="R768" s="443"/>
      <c r="S768" s="364"/>
      <c r="Z768" s="609" t="s">
        <v>448</v>
      </c>
      <c r="AA768" s="609" t="s">
        <v>3090</v>
      </c>
    </row>
    <row r="769" spans="1:29" ht="18">
      <c r="A769" s="2714"/>
      <c r="B769" s="371">
        <v>103</v>
      </c>
      <c r="C769" s="371" t="s">
        <v>2791</v>
      </c>
      <c r="D769" s="2716">
        <f t="shared" si="66"/>
        <v>0</v>
      </c>
      <c r="E769" s="2721">
        <v>1</v>
      </c>
      <c r="F769" s="293"/>
      <c r="G769" s="2692" t="s">
        <v>2792</v>
      </c>
      <c r="H769" s="2298"/>
      <c r="I769" s="2298"/>
      <c r="J769" s="2275"/>
      <c r="K769" s="2276"/>
      <c r="L769" s="437"/>
      <c r="M769" s="438"/>
      <c r="N769" s="439"/>
      <c r="O769" s="437"/>
      <c r="P769" s="438"/>
      <c r="Q769" s="442"/>
      <c r="R769" s="443"/>
      <c r="S769" s="364"/>
      <c r="Z769" s="609" t="s">
        <v>448</v>
      </c>
      <c r="AA769" s="609" t="s">
        <v>3090</v>
      </c>
    </row>
    <row r="770" spans="1:29" ht="18">
      <c r="A770" s="2714"/>
      <c r="B770" s="371">
        <v>104</v>
      </c>
      <c r="C770" s="371" t="s">
        <v>2791</v>
      </c>
      <c r="D770" s="2716">
        <f t="shared" si="66"/>
        <v>0</v>
      </c>
      <c r="E770" s="2721">
        <v>1</v>
      </c>
      <c r="F770" s="293"/>
      <c r="G770" s="2692" t="s">
        <v>2792</v>
      </c>
      <c r="H770" s="2298"/>
      <c r="I770" s="2298"/>
      <c r="J770" s="2275"/>
      <c r="K770" s="2276"/>
      <c r="L770" s="437"/>
      <c r="M770" s="438"/>
      <c r="N770" s="439"/>
      <c r="O770" s="437"/>
      <c r="P770" s="438"/>
      <c r="Q770" s="442"/>
      <c r="R770" s="443"/>
      <c r="S770" s="364"/>
      <c r="Z770" s="609" t="s">
        <v>448</v>
      </c>
      <c r="AA770" s="609" t="s">
        <v>3090</v>
      </c>
    </row>
    <row r="771" spans="1:29" ht="18">
      <c r="A771" s="2714"/>
      <c r="B771" s="371">
        <v>105</v>
      </c>
      <c r="C771" s="371" t="s">
        <v>2791</v>
      </c>
      <c r="D771" s="2716">
        <f t="shared" si="66"/>
        <v>0</v>
      </c>
      <c r="E771" s="2721">
        <v>1</v>
      </c>
      <c r="F771" s="293"/>
      <c r="G771" s="2692" t="s">
        <v>2792</v>
      </c>
      <c r="H771" s="2298"/>
      <c r="I771" s="2298"/>
      <c r="J771" s="2275"/>
      <c r="K771" s="2276"/>
      <c r="L771" s="437"/>
      <c r="M771" s="438"/>
      <c r="N771" s="439"/>
      <c r="O771" s="437"/>
      <c r="P771" s="438"/>
      <c r="Q771" s="442"/>
      <c r="R771" s="443"/>
      <c r="S771" s="364"/>
      <c r="Z771" s="609" t="s">
        <v>448</v>
      </c>
      <c r="AA771" s="609" t="s">
        <v>3090</v>
      </c>
    </row>
    <row r="772" spans="1:29" ht="18">
      <c r="A772" s="2714"/>
      <c r="B772" s="371">
        <v>106</v>
      </c>
      <c r="C772" s="371" t="s">
        <v>2791</v>
      </c>
      <c r="D772" s="2716">
        <f t="shared" si="66"/>
        <v>0</v>
      </c>
      <c r="E772" s="2721">
        <v>1</v>
      </c>
      <c r="F772" s="293"/>
      <c r="G772" s="2692" t="s">
        <v>2792</v>
      </c>
      <c r="H772" s="2298"/>
      <c r="I772" s="2298"/>
      <c r="J772" s="2275"/>
      <c r="K772" s="2276"/>
      <c r="L772" s="437"/>
      <c r="M772" s="438"/>
      <c r="N772" s="439"/>
      <c r="O772" s="437"/>
      <c r="P772" s="438"/>
      <c r="Q772" s="442"/>
      <c r="R772" s="443"/>
      <c r="S772" s="364"/>
      <c r="Z772" s="609" t="s">
        <v>448</v>
      </c>
      <c r="AA772" s="609" t="s">
        <v>3090</v>
      </c>
    </row>
    <row r="773" spans="1:29" ht="18">
      <c r="A773" s="2714"/>
      <c r="B773" s="371">
        <v>107</v>
      </c>
      <c r="C773" s="371" t="s">
        <v>2791</v>
      </c>
      <c r="D773" s="2716">
        <f t="shared" si="66"/>
        <v>0</v>
      </c>
      <c r="E773" s="2721">
        <v>1</v>
      </c>
      <c r="F773" s="293"/>
      <c r="G773" s="2692" t="s">
        <v>2792</v>
      </c>
      <c r="H773" s="2298"/>
      <c r="I773" s="2298"/>
      <c r="J773" s="2275"/>
      <c r="K773" s="2276"/>
      <c r="L773" s="437"/>
      <c r="M773" s="438"/>
      <c r="N773" s="439"/>
      <c r="O773" s="437"/>
      <c r="P773" s="438"/>
      <c r="Q773" s="442"/>
      <c r="R773" s="443"/>
      <c r="S773" s="364"/>
      <c r="Z773" s="609" t="s">
        <v>448</v>
      </c>
      <c r="AA773" s="609" t="s">
        <v>3090</v>
      </c>
    </row>
    <row r="774" spans="1:29" ht="18">
      <c r="A774" s="2714"/>
      <c r="B774" s="371">
        <v>108</v>
      </c>
      <c r="C774" s="371" t="s">
        <v>2791</v>
      </c>
      <c r="D774" s="2716">
        <f t="shared" si="66"/>
        <v>0</v>
      </c>
      <c r="E774" s="2721">
        <v>1</v>
      </c>
      <c r="F774" s="293"/>
      <c r="G774" s="2692" t="s">
        <v>2792</v>
      </c>
      <c r="H774" s="2298"/>
      <c r="I774" s="2298"/>
      <c r="J774" s="2275"/>
      <c r="K774" s="2276"/>
      <c r="L774" s="437"/>
      <c r="M774" s="438"/>
      <c r="N774" s="439"/>
      <c r="O774" s="437"/>
      <c r="P774" s="438"/>
      <c r="Q774" s="442"/>
      <c r="R774" s="443"/>
      <c r="S774" s="364"/>
      <c r="Z774" s="609" t="s">
        <v>448</v>
      </c>
      <c r="AA774" s="609" t="s">
        <v>3090</v>
      </c>
    </row>
    <row r="775" spans="1:29" ht="18.75" thickBot="1">
      <c r="A775" s="2714"/>
      <c r="B775" s="371"/>
      <c r="C775" s="371"/>
      <c r="D775" s="2716">
        <f t="shared" si="66"/>
        <v>1</v>
      </c>
      <c r="E775" s="2721" t="s">
        <v>2751</v>
      </c>
      <c r="F775" s="293"/>
      <c r="G775" s="1529" t="s">
        <v>2752</v>
      </c>
      <c r="H775" s="2316"/>
      <c r="I775" s="2316"/>
      <c r="J775" s="1527">
        <f>SUMPRODUCT($E766:$E774,J766:J774)</f>
        <v>0</v>
      </c>
      <c r="K775" s="2266"/>
      <c r="L775" s="437"/>
      <c r="M775" s="1508"/>
      <c r="N775" s="439"/>
      <c r="O775" s="437"/>
      <c r="P775" s="1508"/>
      <c r="Q775" s="442"/>
      <c r="R775" s="443"/>
      <c r="S775" s="364"/>
      <c r="Z775" s="609" t="s">
        <v>448</v>
      </c>
      <c r="AA775" s="609" t="s">
        <v>3090</v>
      </c>
    </row>
    <row r="776" spans="1:29" ht="18">
      <c r="A776" s="2714"/>
      <c r="B776" s="371"/>
      <c r="C776" s="371" t="s">
        <v>2755</v>
      </c>
      <c r="D776" s="2716"/>
      <c r="F776" s="293"/>
      <c r="G776" s="376"/>
      <c r="H776" s="2698"/>
      <c r="I776" s="432"/>
      <c r="J776" s="315"/>
      <c r="K776" s="426"/>
      <c r="L776" s="427"/>
      <c r="M776" s="425"/>
      <c r="N776" s="426"/>
      <c r="O776" s="427"/>
      <c r="P776" s="425"/>
      <c r="Q776" s="442"/>
      <c r="R776" s="443"/>
      <c r="S776" s="364"/>
      <c r="Z776" s="609" t="s">
        <v>448</v>
      </c>
      <c r="AA776" s="609" t="s">
        <v>3090</v>
      </c>
    </row>
    <row r="777" spans="1:29" ht="24">
      <c r="A777" s="2714" t="s">
        <v>6370</v>
      </c>
      <c r="B777" s="371">
        <v>3</v>
      </c>
      <c r="C777" s="371"/>
      <c r="D777" s="2716" t="str">
        <f>VLOOKUP($A777,Sheet_NoteList,2,0)</f>
        <v>应收款项融资——应收账款按减值计提方法分类</v>
      </c>
      <c r="E777" s="2716" t="s">
        <v>6531</v>
      </c>
      <c r="F777" s="293"/>
      <c r="G777" s="372" t="str">
        <f>"("&amp;B777&amp;")"&amp;D777</f>
        <v>(3)应收款项融资——应收账款按减值计提方法分类</v>
      </c>
      <c r="H777" s="1517" t="str">
        <f>$A777</f>
        <v>1124g</v>
      </c>
      <c r="I777" s="343" t="s">
        <v>6383</v>
      </c>
      <c r="J777" s="301" t="s">
        <v>6384</v>
      </c>
      <c r="K777" s="2210">
        <f>J790</f>
        <v>0</v>
      </c>
      <c r="L777" s="349"/>
      <c r="M777" s="301"/>
      <c r="N777" s="391"/>
      <c r="O777" s="349"/>
      <c r="P777" s="301"/>
      <c r="S777" s="364"/>
      <c r="Z777" s="609" t="s">
        <v>448</v>
      </c>
      <c r="AA777" s="609" t="s">
        <v>3090</v>
      </c>
    </row>
    <row r="778" spans="1:29" ht="0.75" customHeight="1">
      <c r="A778" s="2714"/>
      <c r="B778" s="371"/>
      <c r="C778" s="371"/>
      <c r="D778" s="2716"/>
      <c r="E778" s="586"/>
      <c r="F778" s="586"/>
      <c r="G778" s="2224" t="s">
        <v>6385</v>
      </c>
      <c r="H778" s="371" t="s">
        <v>6491</v>
      </c>
      <c r="I778" s="371" t="s">
        <v>6492</v>
      </c>
      <c r="J778" s="371" t="s">
        <v>6493</v>
      </c>
      <c r="K778" s="547" t="s">
        <v>6494</v>
      </c>
      <c r="L778" s="1604"/>
      <c r="M778" s="1604"/>
      <c r="N778" s="1604"/>
      <c r="O778" s="1604"/>
      <c r="P778" s="1604"/>
      <c r="Q778" s="1604"/>
      <c r="R778" s="1604"/>
      <c r="S778" s="364"/>
      <c r="Z778" s="609" t="s">
        <v>448</v>
      </c>
      <c r="AA778" s="609" t="s">
        <v>3090</v>
      </c>
    </row>
    <row r="779" spans="1:29" ht="0.75" customHeight="1" thickBot="1">
      <c r="A779" s="2714"/>
      <c r="B779" s="371"/>
      <c r="C779" s="371"/>
      <c r="D779" s="2716"/>
      <c r="E779" s="586"/>
      <c r="F779" s="586"/>
      <c r="G779" s="2224"/>
      <c r="H779" s="371" t="s">
        <v>6495</v>
      </c>
      <c r="I779" s="371" t="s">
        <v>6496</v>
      </c>
      <c r="J779" s="371" t="s">
        <v>6497</v>
      </c>
      <c r="K779" s="547" t="s">
        <v>6498</v>
      </c>
      <c r="L779" s="1604"/>
      <c r="M779" s="1604"/>
      <c r="N779" s="1604"/>
      <c r="O779" s="1604"/>
      <c r="P779" s="1604"/>
      <c r="Q779" s="1604"/>
      <c r="R779" s="1604"/>
      <c r="S779" s="364"/>
      <c r="Z779" s="609" t="s">
        <v>448</v>
      </c>
      <c r="AA779" s="609" t="s">
        <v>3090</v>
      </c>
    </row>
    <row r="780" spans="1:29" ht="18" customHeight="1">
      <c r="A780" s="2714"/>
      <c r="B780" s="371"/>
      <c r="C780" s="371"/>
      <c r="D780" s="2716"/>
      <c r="E780" s="586" t="s">
        <v>2749</v>
      </c>
      <c r="F780" s="414"/>
      <c r="G780" s="3472" t="s">
        <v>5135</v>
      </c>
      <c r="H780" s="3542" t="str">
        <f>$V$2</f>
        <v>2019年12月31日</v>
      </c>
      <c r="I780" s="3542"/>
      <c r="J780" s="3542"/>
      <c r="K780" s="3523"/>
      <c r="L780" s="355" t="s">
        <v>5271</v>
      </c>
      <c r="M780" s="1604"/>
      <c r="N780" s="1604"/>
      <c r="O780" s="1604"/>
      <c r="P780" s="1604"/>
      <c r="Q780" s="1604"/>
      <c r="R780" s="1604"/>
      <c r="S780" s="364"/>
      <c r="Z780" s="609" t="s">
        <v>448</v>
      </c>
      <c r="AA780" s="609" t="s">
        <v>3090</v>
      </c>
    </row>
    <row r="781" spans="1:29" ht="36">
      <c r="A781" s="2714"/>
      <c r="B781" s="371"/>
      <c r="C781" s="371"/>
      <c r="D781" s="2716"/>
      <c r="E781" s="586" t="s">
        <v>2749</v>
      </c>
      <c r="F781" s="414"/>
      <c r="G781" s="3473"/>
      <c r="H781" s="2688" t="s">
        <v>6395</v>
      </c>
      <c r="I781" s="2688" t="s">
        <v>6393</v>
      </c>
      <c r="J781" s="2688" t="s">
        <v>5145</v>
      </c>
      <c r="K781" s="2690" t="s">
        <v>6394</v>
      </c>
      <c r="L781" s="1604"/>
      <c r="M781" s="1604"/>
      <c r="N781" s="1604"/>
      <c r="O781" s="1604"/>
      <c r="P781" s="1604"/>
      <c r="Q781" s="1604"/>
      <c r="R781" s="1604"/>
      <c r="S781" s="364"/>
      <c r="Z781" s="609" t="s">
        <v>448</v>
      </c>
      <c r="AA781" s="609" t="s">
        <v>3090</v>
      </c>
    </row>
    <row r="782" spans="1:29" ht="18">
      <c r="A782" s="2714"/>
      <c r="B782" s="371">
        <v>101</v>
      </c>
      <c r="C782" s="371"/>
      <c r="D782" s="2716">
        <f t="shared" ref="D782:D790" si="67">IF(OR(G782="*",G782="",G782=0),0,COUNTIF($G$782:$G$790,G782))</f>
        <v>1</v>
      </c>
      <c r="E782" s="2721">
        <v>1</v>
      </c>
      <c r="F782" s="293"/>
      <c r="G782" s="1474" t="s">
        <v>3093</v>
      </c>
      <c r="H782" s="2298"/>
      <c r="I782" s="2298"/>
      <c r="J782" s="1476">
        <f>SUM(J783:J785)</f>
        <v>0</v>
      </c>
      <c r="K782" s="2276"/>
      <c r="L782" s="2676" t="str">
        <f ca="1">HYPERLINK("#'"&amp;$G$1&amp;"'!"&amp;ADDRESS(ROW(Notes!J805),COLUMN(Notes!J805),4),"* 请勿删除此行！点击往勾稽单元格，F5+Enter返回")</f>
        <v>* 请勿删除此行！点击往勾稽单元格，F5+Enter返回</v>
      </c>
      <c r="M782" s="1604"/>
      <c r="N782" s="1604"/>
      <c r="O782" s="1604"/>
      <c r="P782" s="1604"/>
      <c r="Q782" s="1604"/>
      <c r="R782" s="1604"/>
      <c r="S782" s="364"/>
      <c r="Z782" s="609" t="s">
        <v>448</v>
      </c>
      <c r="AA782" s="609" t="s">
        <v>3090</v>
      </c>
      <c r="AC782" s="369" t="s">
        <v>6573</v>
      </c>
    </row>
    <row r="783" spans="1:29" ht="18">
      <c r="A783" s="2714"/>
      <c r="B783" s="371">
        <v>102</v>
      </c>
      <c r="C783" s="371" t="s">
        <v>2791</v>
      </c>
      <c r="D783" s="2716">
        <f t="shared" si="67"/>
        <v>1</v>
      </c>
      <c r="E783" s="2721">
        <v>0</v>
      </c>
      <c r="F783" s="293"/>
      <c r="G783" s="2692" t="s">
        <v>2891</v>
      </c>
      <c r="H783" s="2298"/>
      <c r="I783" s="2298"/>
      <c r="J783" s="2275"/>
      <c r="K783" s="2276"/>
      <c r="L783" s="1604"/>
      <c r="M783" s="1604"/>
      <c r="N783" s="1604"/>
      <c r="O783" s="1604"/>
      <c r="P783" s="1604"/>
      <c r="Q783" s="1604"/>
      <c r="R783" s="1604"/>
      <c r="S783" s="364"/>
      <c r="Z783" s="609" t="s">
        <v>448</v>
      </c>
      <c r="AA783" s="609" t="s">
        <v>3090</v>
      </c>
    </row>
    <row r="784" spans="1:29" ht="18">
      <c r="A784" s="2714"/>
      <c r="B784" s="371">
        <v>103</v>
      </c>
      <c r="C784" s="371" t="s">
        <v>2791</v>
      </c>
      <c r="D784" s="2716">
        <f t="shared" si="67"/>
        <v>0</v>
      </c>
      <c r="E784" s="2721">
        <v>0</v>
      </c>
      <c r="F784" s="293"/>
      <c r="G784" s="2692" t="s">
        <v>2792</v>
      </c>
      <c r="H784" s="2298"/>
      <c r="I784" s="2298"/>
      <c r="J784" s="2275"/>
      <c r="K784" s="2276"/>
      <c r="L784" s="1604"/>
      <c r="M784" s="1604"/>
      <c r="N784" s="1604"/>
      <c r="O784" s="1604"/>
      <c r="P784" s="1604"/>
      <c r="Q784" s="1604"/>
      <c r="R784" s="1604"/>
      <c r="S784" s="364"/>
      <c r="Z784" s="609" t="s">
        <v>448</v>
      </c>
      <c r="AA784" s="609" t="s">
        <v>3090</v>
      </c>
    </row>
    <row r="785" spans="1:29" ht="18">
      <c r="A785" s="2714"/>
      <c r="B785" s="371">
        <v>104</v>
      </c>
      <c r="C785" s="371" t="s">
        <v>2791</v>
      </c>
      <c r="D785" s="2716">
        <f t="shared" si="67"/>
        <v>0</v>
      </c>
      <c r="E785" s="2721">
        <v>0</v>
      </c>
      <c r="F785" s="293"/>
      <c r="G785" s="2692" t="s">
        <v>2792</v>
      </c>
      <c r="H785" s="2298"/>
      <c r="I785" s="2298"/>
      <c r="J785" s="2275"/>
      <c r="K785" s="2276"/>
      <c r="L785" s="1604"/>
      <c r="M785" s="1604"/>
      <c r="N785" s="1604"/>
      <c r="O785" s="1604"/>
      <c r="P785" s="1604"/>
      <c r="Q785" s="1604"/>
      <c r="R785" s="1604"/>
      <c r="S785" s="364"/>
      <c r="Z785" s="609" t="s">
        <v>448</v>
      </c>
      <c r="AA785" s="609" t="s">
        <v>3090</v>
      </c>
    </row>
    <row r="786" spans="1:29" ht="18">
      <c r="A786" s="2714"/>
      <c r="B786" s="371">
        <v>105</v>
      </c>
      <c r="C786" s="371"/>
      <c r="D786" s="2716">
        <f t="shared" si="67"/>
        <v>1</v>
      </c>
      <c r="E786" s="2721">
        <v>1</v>
      </c>
      <c r="F786" s="293"/>
      <c r="G786" s="1474" t="s">
        <v>3094</v>
      </c>
      <c r="H786" s="2298"/>
      <c r="I786" s="2298"/>
      <c r="J786" s="1476">
        <f>SUM(J787:J789)</f>
        <v>0</v>
      </c>
      <c r="K786" s="2276"/>
      <c r="L786" s="1604"/>
      <c r="M786" s="1604"/>
      <c r="N786" s="1604"/>
      <c r="O786" s="1604"/>
      <c r="P786" s="1604"/>
      <c r="Q786" s="1604"/>
      <c r="R786" s="1604"/>
      <c r="S786" s="364"/>
      <c r="Z786" s="609" t="s">
        <v>448</v>
      </c>
      <c r="AA786" s="609" t="s">
        <v>3090</v>
      </c>
    </row>
    <row r="787" spans="1:29" ht="18">
      <c r="A787" s="2714"/>
      <c r="B787" s="371">
        <v>106</v>
      </c>
      <c r="C787" s="371" t="s">
        <v>2791</v>
      </c>
      <c r="D787" s="2716">
        <f t="shared" si="67"/>
        <v>1</v>
      </c>
      <c r="E787" s="2721">
        <v>0</v>
      </c>
      <c r="F787" s="293"/>
      <c r="G787" s="2692" t="s">
        <v>2893</v>
      </c>
      <c r="H787" s="2298"/>
      <c r="I787" s="2298"/>
      <c r="J787" s="2275"/>
      <c r="K787" s="2276"/>
      <c r="L787" s="2676" t="str">
        <f ca="1">HYPERLINK("#'"&amp;$G$1&amp;"'!"&amp;ADDRESS(ROW(Notes!J827),COLUMN(Notes!J827),4),"* 请勿删除此行！点击往勾稽单元格，F5+Enter返回")</f>
        <v>* 请勿删除此行！点击往勾稽单元格，F5+Enter返回</v>
      </c>
      <c r="M787" s="1604"/>
      <c r="N787" s="1604"/>
      <c r="O787" s="1604"/>
      <c r="P787" s="1604"/>
      <c r="Q787" s="1604"/>
      <c r="R787" s="1604"/>
      <c r="S787" s="364"/>
      <c r="Z787" s="609" t="s">
        <v>448</v>
      </c>
      <c r="AA787" s="609" t="s">
        <v>3090</v>
      </c>
      <c r="AC787" s="369" t="s">
        <v>6573</v>
      </c>
    </row>
    <row r="788" spans="1:29" ht="18">
      <c r="A788" s="2714"/>
      <c r="B788" s="371">
        <v>107</v>
      </c>
      <c r="C788" s="371" t="s">
        <v>2791</v>
      </c>
      <c r="D788" s="2716">
        <f t="shared" si="67"/>
        <v>1</v>
      </c>
      <c r="E788" s="2721">
        <v>0</v>
      </c>
      <c r="F788" s="293"/>
      <c r="G788" s="2692" t="s">
        <v>2894</v>
      </c>
      <c r="H788" s="2298"/>
      <c r="I788" s="2298"/>
      <c r="J788" s="2275"/>
      <c r="K788" s="2276"/>
      <c r="L788" s="1604"/>
      <c r="M788" s="1604"/>
      <c r="N788" s="1604"/>
      <c r="O788" s="1604"/>
      <c r="P788" s="1604"/>
      <c r="Q788" s="1604"/>
      <c r="R788" s="1604"/>
      <c r="S788" s="364"/>
      <c r="Z788" s="609" t="s">
        <v>448</v>
      </c>
      <c r="AA788" s="609" t="s">
        <v>3090</v>
      </c>
    </row>
    <row r="789" spans="1:29" ht="18">
      <c r="A789" s="2714"/>
      <c r="B789" s="371">
        <v>108</v>
      </c>
      <c r="C789" s="371" t="s">
        <v>2791</v>
      </c>
      <c r="D789" s="2716">
        <f t="shared" si="67"/>
        <v>0</v>
      </c>
      <c r="E789" s="2721">
        <v>0</v>
      </c>
      <c r="F789" s="293"/>
      <c r="G789" s="2692" t="s">
        <v>2792</v>
      </c>
      <c r="H789" s="2298"/>
      <c r="I789" s="2298"/>
      <c r="J789" s="2275"/>
      <c r="K789" s="2276"/>
      <c r="L789" s="1604"/>
      <c r="M789" s="1604"/>
      <c r="N789" s="1604"/>
      <c r="O789" s="1604"/>
      <c r="P789" s="1604"/>
      <c r="Q789" s="1604"/>
      <c r="R789" s="1604"/>
      <c r="S789" s="364"/>
      <c r="Z789" s="609" t="s">
        <v>448</v>
      </c>
      <c r="AA789" s="609" t="s">
        <v>3090</v>
      </c>
    </row>
    <row r="790" spans="1:29" ht="18.75" thickBot="1">
      <c r="A790" s="2714"/>
      <c r="B790" s="371"/>
      <c r="C790" s="371"/>
      <c r="D790" s="2716">
        <f t="shared" si="67"/>
        <v>1</v>
      </c>
      <c r="E790" s="2721" t="s">
        <v>2751</v>
      </c>
      <c r="F790" s="293"/>
      <c r="G790" s="2234" t="s">
        <v>2752</v>
      </c>
      <c r="H790" s="2241"/>
      <c r="I790" s="2241"/>
      <c r="J790" s="2235">
        <f>SUMPRODUCT($E781:$E789,J781:J789)</f>
        <v>0</v>
      </c>
      <c r="K790" s="2244"/>
      <c r="L790" s="2676" t="str">
        <f ca="1">HYPERLINK("#'"&amp;$G$1&amp;"'!"&amp;ADDRESS(ROW(Notes!P854),COLUMN(Notes!P854),4),"* 请勿删除此行！点击往勾稽单元格，F5+Enter返回")</f>
        <v>* 请勿删除此行！点击往勾稽单元格，F5+Enter返回</v>
      </c>
      <c r="M790" s="1604"/>
      <c r="N790" s="1604"/>
      <c r="O790" s="1604"/>
      <c r="P790" s="1604"/>
      <c r="Q790" s="1604"/>
      <c r="R790" s="1604"/>
      <c r="S790" s="364"/>
      <c r="Z790" s="609" t="s">
        <v>448</v>
      </c>
      <c r="AA790" s="609" t="s">
        <v>3090</v>
      </c>
      <c r="AC790" s="369" t="s">
        <v>2794</v>
      </c>
    </row>
    <row r="791" spans="1:29" ht="18">
      <c r="A791" s="2714"/>
      <c r="B791" s="371"/>
      <c r="C791" s="371" t="s">
        <v>2755</v>
      </c>
      <c r="D791" s="2716"/>
      <c r="F791" s="293"/>
      <c r="G791" s="376"/>
      <c r="H791" s="2699"/>
      <c r="I791" s="432"/>
      <c r="J791" s="315"/>
      <c r="K791" s="392"/>
      <c r="L791" s="1604"/>
      <c r="M791" s="1604"/>
      <c r="N791" s="1604"/>
      <c r="O791" s="1604"/>
      <c r="P791" s="1604"/>
      <c r="Q791" s="1604"/>
      <c r="R791" s="1604"/>
      <c r="S791" s="364"/>
      <c r="Z791" s="609" t="s">
        <v>448</v>
      </c>
      <c r="AA791" s="609" t="s">
        <v>3090</v>
      </c>
    </row>
    <row r="792" spans="1:29" ht="36">
      <c r="A792" s="2714" t="s">
        <v>6371</v>
      </c>
      <c r="B792" s="371">
        <v>3.1</v>
      </c>
      <c r="C792" s="371"/>
      <c r="D792" s="2716" t="str">
        <f>VLOOKUP($A792,Sheet_NoteList,2,0)</f>
        <v>期末按单项计提减值准备的应收款项融资——应收账款</v>
      </c>
      <c r="E792" s="2716" t="s">
        <v>6531</v>
      </c>
      <c r="F792" s="293"/>
      <c r="G792" s="372" t="str">
        <f>"("&amp;B792&amp;")"&amp;D792</f>
        <v>(3.1)期末按单项计提减值准备的应收款项融资——应收账款</v>
      </c>
      <c r="H792" s="1517" t="str">
        <f>$A792</f>
        <v>1124h</v>
      </c>
      <c r="I792" s="343" t="s">
        <v>6383</v>
      </c>
      <c r="J792" s="301" t="s">
        <v>6384</v>
      </c>
      <c r="K792" s="2210">
        <f>H802</f>
        <v>0</v>
      </c>
      <c r="L792" s="349"/>
      <c r="M792" s="301"/>
      <c r="N792" s="391"/>
      <c r="O792" s="349"/>
      <c r="P792" s="301"/>
      <c r="S792" s="364"/>
      <c r="Z792" s="609" t="s">
        <v>448</v>
      </c>
      <c r="AA792" s="609" t="s">
        <v>3090</v>
      </c>
    </row>
    <row r="793" spans="1:29" ht="0.75" customHeight="1">
      <c r="A793" s="2714"/>
      <c r="B793" s="371"/>
      <c r="C793" s="371"/>
      <c r="D793" s="2716"/>
      <c r="E793" s="586"/>
      <c r="F793" s="586"/>
      <c r="G793" s="2224" t="s">
        <v>6386</v>
      </c>
      <c r="H793" s="371" t="s">
        <v>6499</v>
      </c>
      <c r="I793" s="371" t="s">
        <v>6500</v>
      </c>
      <c r="J793" s="371" t="s">
        <v>6501</v>
      </c>
      <c r="K793" s="547" t="s">
        <v>6502</v>
      </c>
      <c r="L793" s="349"/>
      <c r="M793" s="301"/>
      <c r="N793" s="391"/>
      <c r="O793" s="349"/>
      <c r="P793" s="301"/>
      <c r="S793" s="364"/>
      <c r="Z793" s="609" t="s">
        <v>448</v>
      </c>
      <c r="AA793" s="609" t="s">
        <v>3090</v>
      </c>
    </row>
    <row r="794" spans="1:29" ht="0.75" customHeight="1" thickBot="1">
      <c r="A794" s="2714"/>
      <c r="B794" s="371"/>
      <c r="C794" s="371"/>
      <c r="D794" s="2716"/>
      <c r="E794" s="586"/>
      <c r="F794" s="586"/>
      <c r="G794" s="2224"/>
      <c r="H794" s="371" t="s">
        <v>6503</v>
      </c>
      <c r="I794" s="371" t="s">
        <v>6504</v>
      </c>
      <c r="J794" s="371" t="s">
        <v>6505</v>
      </c>
      <c r="K794" s="547" t="s">
        <v>6506</v>
      </c>
      <c r="L794" s="349"/>
      <c r="M794" s="301"/>
      <c r="N794" s="391"/>
      <c r="O794" s="349"/>
      <c r="P794" s="301"/>
      <c r="S794" s="364"/>
      <c r="Z794" s="609" t="s">
        <v>448</v>
      </c>
      <c r="AA794" s="609" t="s">
        <v>3090</v>
      </c>
    </row>
    <row r="795" spans="1:29" ht="18" customHeight="1">
      <c r="A795" s="2714"/>
      <c r="B795" s="371"/>
      <c r="C795" s="371"/>
      <c r="D795" s="2716"/>
      <c r="E795" s="586" t="s">
        <v>2749</v>
      </c>
      <c r="F795" s="414"/>
      <c r="G795" s="3472" t="s">
        <v>5136</v>
      </c>
      <c r="H795" s="3542" t="str">
        <f>$V$2</f>
        <v>2019年12月31日</v>
      </c>
      <c r="I795" s="3542"/>
      <c r="J795" s="3542"/>
      <c r="K795" s="3523"/>
      <c r="L795" s="355" t="s">
        <v>5271</v>
      </c>
      <c r="M795" s="301"/>
      <c r="N795" s="391"/>
      <c r="O795" s="349"/>
      <c r="P795" s="301"/>
      <c r="S795" s="364"/>
      <c r="Z795" s="609" t="s">
        <v>448</v>
      </c>
      <c r="AA795" s="609" t="s">
        <v>3090</v>
      </c>
    </row>
    <row r="796" spans="1:29" ht="36">
      <c r="A796" s="2714"/>
      <c r="B796" s="371"/>
      <c r="C796" s="371"/>
      <c r="D796" s="2716"/>
      <c r="E796" s="586" t="s">
        <v>2749</v>
      </c>
      <c r="F796" s="414"/>
      <c r="G796" s="3473"/>
      <c r="H796" s="2688" t="s">
        <v>6395</v>
      </c>
      <c r="I796" s="2688" t="s">
        <v>6393</v>
      </c>
      <c r="J796" s="2688" t="s">
        <v>5145</v>
      </c>
      <c r="K796" s="2690" t="s">
        <v>6394</v>
      </c>
      <c r="L796" s="349"/>
      <c r="M796" s="301"/>
      <c r="N796" s="391"/>
      <c r="O796" s="349"/>
      <c r="P796" s="301"/>
      <c r="S796" s="364"/>
      <c r="Z796" s="609" t="s">
        <v>448</v>
      </c>
      <c r="AA796" s="609" t="s">
        <v>3090</v>
      </c>
    </row>
    <row r="797" spans="1:29" ht="18">
      <c r="A797" s="2714"/>
      <c r="B797" s="371">
        <v>101</v>
      </c>
      <c r="C797" s="371" t="s">
        <v>2791</v>
      </c>
      <c r="D797" s="2716">
        <f t="shared" ref="D797:D802" si="68">IF(OR(G797="*",G797="",G797=0),0,COUNTIF($G$797:$G$802,G797))</f>
        <v>0</v>
      </c>
      <c r="E797" s="2721">
        <v>1</v>
      </c>
      <c r="F797" s="293"/>
      <c r="G797" s="2692" t="s">
        <v>2792</v>
      </c>
      <c r="H797" s="2298"/>
      <c r="I797" s="2298"/>
      <c r="J797" s="2275"/>
      <c r="K797" s="2276"/>
      <c r="L797" s="349"/>
      <c r="M797" s="301"/>
      <c r="N797" s="391"/>
      <c r="O797" s="349"/>
      <c r="P797" s="301"/>
      <c r="S797" s="364"/>
      <c r="Z797" s="609" t="s">
        <v>448</v>
      </c>
      <c r="AA797" s="609" t="s">
        <v>3090</v>
      </c>
    </row>
    <row r="798" spans="1:29" ht="18">
      <c r="A798" s="2714"/>
      <c r="B798" s="371">
        <v>102</v>
      </c>
      <c r="C798" s="371" t="s">
        <v>2791</v>
      </c>
      <c r="D798" s="2716">
        <f t="shared" si="68"/>
        <v>0</v>
      </c>
      <c r="E798" s="2721">
        <v>1</v>
      </c>
      <c r="F798" s="293"/>
      <c r="G798" s="2692" t="s">
        <v>2792</v>
      </c>
      <c r="H798" s="2298"/>
      <c r="I798" s="2298"/>
      <c r="J798" s="2275"/>
      <c r="K798" s="2276"/>
      <c r="L798" s="349"/>
      <c r="M798" s="301"/>
      <c r="N798" s="391"/>
      <c r="O798" s="349"/>
      <c r="P798" s="301"/>
      <c r="S798" s="364"/>
      <c r="Z798" s="609" t="s">
        <v>448</v>
      </c>
      <c r="AA798" s="609" t="s">
        <v>3090</v>
      </c>
    </row>
    <row r="799" spans="1:29" ht="18">
      <c r="A799" s="2714"/>
      <c r="B799" s="371">
        <v>103</v>
      </c>
      <c r="C799" s="371" t="s">
        <v>2791</v>
      </c>
      <c r="D799" s="2716">
        <f t="shared" si="68"/>
        <v>0</v>
      </c>
      <c r="E799" s="2721">
        <v>1</v>
      </c>
      <c r="F799" s="293"/>
      <c r="G799" s="2692" t="s">
        <v>2792</v>
      </c>
      <c r="H799" s="2298"/>
      <c r="I799" s="2298"/>
      <c r="J799" s="2275"/>
      <c r="K799" s="2276"/>
      <c r="L799" s="349"/>
      <c r="M799" s="301"/>
      <c r="N799" s="391"/>
      <c r="O799" s="349"/>
      <c r="P799" s="301"/>
      <c r="S799" s="364"/>
      <c r="Z799" s="609" t="s">
        <v>448</v>
      </c>
      <c r="AA799" s="609" t="s">
        <v>3090</v>
      </c>
    </row>
    <row r="800" spans="1:29" ht="18">
      <c r="A800" s="2714"/>
      <c r="B800" s="371">
        <v>104</v>
      </c>
      <c r="C800" s="371" t="s">
        <v>2791</v>
      </c>
      <c r="D800" s="2716">
        <f t="shared" si="68"/>
        <v>0</v>
      </c>
      <c r="E800" s="2721">
        <v>1</v>
      </c>
      <c r="F800" s="293"/>
      <c r="G800" s="2692" t="s">
        <v>2792</v>
      </c>
      <c r="H800" s="2298"/>
      <c r="I800" s="2298"/>
      <c r="J800" s="2275"/>
      <c r="K800" s="2276"/>
      <c r="L800" s="349"/>
      <c r="M800" s="301"/>
      <c r="N800" s="391"/>
      <c r="O800" s="349"/>
      <c r="P800" s="301"/>
      <c r="S800" s="364"/>
      <c r="Z800" s="609" t="s">
        <v>448</v>
      </c>
      <c r="AA800" s="609" t="s">
        <v>3090</v>
      </c>
    </row>
    <row r="801" spans="1:27" ht="18">
      <c r="A801" s="2714"/>
      <c r="B801" s="371">
        <v>105</v>
      </c>
      <c r="C801" s="371" t="s">
        <v>2791</v>
      </c>
      <c r="D801" s="2716">
        <f t="shared" si="68"/>
        <v>0</v>
      </c>
      <c r="E801" s="2721">
        <v>1</v>
      </c>
      <c r="F801" s="293"/>
      <c r="G801" s="2692" t="s">
        <v>2792</v>
      </c>
      <c r="H801" s="2298"/>
      <c r="I801" s="2298"/>
      <c r="J801" s="2275"/>
      <c r="K801" s="2276"/>
      <c r="L801" s="349"/>
      <c r="M801" s="301"/>
      <c r="N801" s="391"/>
      <c r="O801" s="349"/>
      <c r="P801" s="301"/>
      <c r="S801" s="364"/>
      <c r="Z801" s="609" t="s">
        <v>448</v>
      </c>
      <c r="AA801" s="609" t="s">
        <v>3090</v>
      </c>
    </row>
    <row r="802" spans="1:27" ht="18.75" thickBot="1">
      <c r="A802" s="2714"/>
      <c r="B802" s="371"/>
      <c r="C802" s="371"/>
      <c r="D802" s="2716">
        <f t="shared" si="68"/>
        <v>1</v>
      </c>
      <c r="E802" s="2721" t="s">
        <v>2751</v>
      </c>
      <c r="F802" s="293"/>
      <c r="G802" s="2234" t="s">
        <v>2752</v>
      </c>
      <c r="H802" s="2241"/>
      <c r="I802" s="2241"/>
      <c r="J802" s="2235">
        <f>SUMPRODUCT($E796:$E801,J796:J801)</f>
        <v>0</v>
      </c>
      <c r="K802" s="2244"/>
      <c r="L802" s="349"/>
      <c r="M802" s="301"/>
      <c r="N802" s="391"/>
      <c r="O802" s="349"/>
      <c r="P802" s="301"/>
      <c r="S802" s="364"/>
      <c r="Z802" s="609" t="s">
        <v>448</v>
      </c>
      <c r="AA802" s="609" t="s">
        <v>3090</v>
      </c>
    </row>
    <row r="803" spans="1:27" ht="18.75" thickBot="1">
      <c r="A803" s="2714"/>
      <c r="B803" s="371"/>
      <c r="C803" s="371" t="s">
        <v>2755</v>
      </c>
      <c r="D803" s="2716"/>
      <c r="F803" s="293"/>
      <c r="G803" s="376"/>
      <c r="H803" s="2699"/>
      <c r="I803" s="432"/>
      <c r="J803" s="527" t="s">
        <v>3002</v>
      </c>
      <c r="K803" s="392"/>
      <c r="L803" s="349"/>
      <c r="M803" s="301"/>
      <c r="N803" s="391"/>
      <c r="O803" s="349"/>
      <c r="P803" s="301"/>
      <c r="S803" s="364"/>
      <c r="Z803" s="609" t="s">
        <v>448</v>
      </c>
      <c r="AA803" s="609" t="s">
        <v>3090</v>
      </c>
    </row>
    <row r="804" spans="1:27" ht="18.75" thickTop="1">
      <c r="A804" s="2714"/>
      <c r="B804" s="371"/>
      <c r="C804" s="371" t="s">
        <v>2565</v>
      </c>
      <c r="D804" s="2716"/>
      <c r="F804" s="293"/>
      <c r="G804" s="1549" t="s">
        <v>5367</v>
      </c>
      <c r="H804" s="1550" t="str">
        <f>G777</f>
        <v>(3)应收款项融资——应收账款按减值计提方法分类</v>
      </c>
      <c r="I804" s="1551"/>
      <c r="J804" s="1552"/>
      <c r="K804" s="1551"/>
      <c r="L804" s="1553" t="s">
        <v>5368</v>
      </c>
      <c r="M804" s="301"/>
      <c r="N804" s="391"/>
      <c r="O804" s="349"/>
      <c r="P804" s="301"/>
      <c r="S804" s="364"/>
      <c r="Z804" s="609" t="s">
        <v>448</v>
      </c>
      <c r="AA804" s="609" t="s">
        <v>3090</v>
      </c>
    </row>
    <row r="805" spans="1:27" ht="18">
      <c r="A805" s="2714"/>
      <c r="B805" s="371"/>
      <c r="C805" s="371" t="s">
        <v>2565</v>
      </c>
      <c r="D805" s="2716"/>
      <c r="F805" s="293"/>
      <c r="G805" s="604" t="str">
        <f>"注释A:"&amp; G782</f>
        <v>注释A:按单项计提减值准备</v>
      </c>
      <c r="H805" s="351"/>
      <c r="I805" s="351"/>
      <c r="J805" s="2252">
        <f ca="1">HYPERLINK("#'"&amp;$G$1&amp;"'!"&amp;ADDRESS(ROW(Notes!J782),COLUMN(Notes!J782),4),J782)</f>
        <v>0</v>
      </c>
      <c r="K805" s="351"/>
      <c r="L805" s="2632" t="str">
        <f>H777</f>
        <v>1124g</v>
      </c>
      <c r="M805" s="301"/>
      <c r="N805" s="391"/>
      <c r="O805" s="349"/>
      <c r="P805" s="301"/>
      <c r="S805" s="364"/>
      <c r="Z805" s="609" t="s">
        <v>448</v>
      </c>
      <c r="AA805" s="609" t="s">
        <v>3090</v>
      </c>
    </row>
    <row r="806" spans="1:27" ht="18">
      <c r="A806" s="2714"/>
      <c r="B806" s="371"/>
      <c r="C806" s="371" t="s">
        <v>2565</v>
      </c>
      <c r="D806" s="2716"/>
      <c r="F806" s="293"/>
      <c r="G806" s="604" t="str">
        <f>"本注释B:"&amp; G802</f>
        <v>本注释B:合       计</v>
      </c>
      <c r="H806" s="351"/>
      <c r="I806" s="351"/>
      <c r="J806" s="456">
        <f>J802</f>
        <v>0</v>
      </c>
      <c r="K806" s="351"/>
      <c r="L806" s="2638" t="s">
        <v>6371</v>
      </c>
      <c r="M806" s="301"/>
      <c r="N806" s="391"/>
      <c r="O806" s="349"/>
      <c r="P806" s="301"/>
      <c r="S806" s="364"/>
      <c r="Z806" s="609" t="s">
        <v>448</v>
      </c>
      <c r="AA806" s="609" t="s">
        <v>3090</v>
      </c>
    </row>
    <row r="807" spans="1:27" ht="18.75" thickBot="1">
      <c r="A807" s="2714"/>
      <c r="B807" s="371"/>
      <c r="C807" s="371" t="s">
        <v>2565</v>
      </c>
      <c r="D807" s="2716"/>
      <c r="F807" s="293"/>
      <c r="G807" s="1554" t="s">
        <v>2757</v>
      </c>
      <c r="H807" s="1555"/>
      <c r="I807" s="1555"/>
      <c r="J807" s="1531">
        <f ca="1">IF(AND(J805="",J806=""),"",ROUND(J805-J806,2))</f>
        <v>0</v>
      </c>
      <c r="K807" s="1555"/>
      <c r="L807" s="1555"/>
      <c r="M807" s="301"/>
      <c r="N807" s="391"/>
      <c r="O807" s="349"/>
      <c r="P807" s="301"/>
      <c r="S807" s="364"/>
      <c r="Z807" s="609" t="s">
        <v>448</v>
      </c>
      <c r="AA807" s="609" t="s">
        <v>3090</v>
      </c>
    </row>
    <row r="808" spans="1:27" ht="18.75" thickTop="1">
      <c r="A808" s="2714"/>
      <c r="B808" s="371"/>
      <c r="C808" s="371" t="s">
        <v>2565</v>
      </c>
      <c r="D808" s="2716"/>
      <c r="F808" s="293"/>
      <c r="G808" s="1545"/>
      <c r="H808" s="317"/>
      <c r="I808" s="317"/>
      <c r="J808" s="459" t="str">
        <f ca="1">IF(OR(J807=0,J807=""),"√","？")</f>
        <v>√</v>
      </c>
      <c r="K808" s="317"/>
      <c r="L808" s="317"/>
      <c r="M808" s="301"/>
      <c r="N808" s="391"/>
      <c r="O808" s="349"/>
      <c r="P808" s="301"/>
      <c r="S808" s="364"/>
      <c r="Z808" s="609" t="s">
        <v>448</v>
      </c>
      <c r="AA808" s="609" t="s">
        <v>3090</v>
      </c>
    </row>
    <row r="809" spans="1:27" ht="18">
      <c r="A809" s="2714"/>
      <c r="B809" s="371"/>
      <c r="C809" s="371" t="s">
        <v>2565</v>
      </c>
      <c r="D809" s="2716"/>
      <c r="F809" s="293"/>
      <c r="G809" s="1559" t="s">
        <v>2759</v>
      </c>
      <c r="H809" s="317"/>
      <c r="I809" s="317"/>
      <c r="J809" s="461"/>
      <c r="K809" s="352">
        <f ca="1">SUMIF($H$808:$L$808,"&lt;&gt;√",$H$807:$L$807)</f>
        <v>0</v>
      </c>
      <c r="L809" s="353" t="str">
        <f ca="1">IF(OR(K809=0,K809=""),"√","？")</f>
        <v>√</v>
      </c>
      <c r="M809" s="301"/>
      <c r="N809" s="391"/>
      <c r="O809" s="349"/>
      <c r="P809" s="301"/>
      <c r="S809" s="364"/>
      <c r="Z809" s="609" t="s">
        <v>448</v>
      </c>
      <c r="AA809" s="609" t="s">
        <v>3090</v>
      </c>
    </row>
    <row r="810" spans="1:27" ht="18">
      <c r="A810" s="2714"/>
      <c r="B810" s="371"/>
      <c r="C810" s="371" t="s">
        <v>2565</v>
      </c>
      <c r="D810" s="2716"/>
      <c r="F810" s="293"/>
      <c r="G810" s="1545"/>
      <c r="H810" s="317"/>
      <c r="I810" s="317"/>
      <c r="J810" s="461"/>
      <c r="K810" s="317"/>
      <c r="L810" s="317"/>
      <c r="M810" s="301"/>
      <c r="N810" s="391"/>
      <c r="O810" s="349"/>
      <c r="P810" s="301"/>
      <c r="S810" s="364"/>
      <c r="Z810" s="609" t="s">
        <v>448</v>
      </c>
      <c r="AA810" s="609" t="s">
        <v>3090</v>
      </c>
    </row>
    <row r="811" spans="1:27" ht="36">
      <c r="A811" s="2714" t="s">
        <v>6372</v>
      </c>
      <c r="B811" s="371">
        <v>3.2</v>
      </c>
      <c r="C811" s="371"/>
      <c r="D811" s="2716" t="str">
        <f>VLOOKUP($A811,Sheet_NoteList,2,0)</f>
        <v>期末按按组合1计提减值准备的应收款项融资——应收账款</v>
      </c>
      <c r="E811" s="2716" t="s">
        <v>6533</v>
      </c>
      <c r="F811" s="293"/>
      <c r="G811" s="372" t="str">
        <f>"("&amp;B811&amp;")"&amp;D811</f>
        <v>(3.2)期末按按组合1计提减值准备的应收款项融资——应收账款</v>
      </c>
      <c r="H811" s="1517" t="str">
        <f>$A811</f>
        <v>1124i</v>
      </c>
      <c r="I811" s="343" t="s">
        <v>6387</v>
      </c>
      <c r="J811" s="301" t="s">
        <v>6388</v>
      </c>
      <c r="K811" s="2210">
        <f>H824</f>
        <v>0</v>
      </c>
      <c r="L811" s="349"/>
      <c r="M811" s="301"/>
      <c r="N811" s="391"/>
      <c r="O811" s="349"/>
      <c r="P811" s="301"/>
      <c r="S811" s="364"/>
      <c r="Z811" s="609" t="s">
        <v>448</v>
      </c>
      <c r="AA811" s="609" t="s">
        <v>3090</v>
      </c>
    </row>
    <row r="812" spans="1:27" ht="0.75" customHeight="1">
      <c r="A812" s="2714"/>
      <c r="B812" s="371"/>
      <c r="C812" s="371"/>
      <c r="D812" s="2716"/>
      <c r="E812" s="586"/>
      <c r="F812" s="586"/>
      <c r="G812" s="2224" t="s">
        <v>6389</v>
      </c>
      <c r="H812" s="371" t="s">
        <v>6507</v>
      </c>
      <c r="I812" s="371" t="s">
        <v>6508</v>
      </c>
      <c r="J812" s="371" t="s">
        <v>6509</v>
      </c>
      <c r="K812" s="547" t="s">
        <v>6510</v>
      </c>
      <c r="L812" s="349"/>
      <c r="M812" s="301"/>
      <c r="N812" s="391"/>
      <c r="O812" s="349"/>
      <c r="P812" s="301"/>
      <c r="S812" s="364"/>
      <c r="Z812" s="609" t="s">
        <v>448</v>
      </c>
      <c r="AA812" s="609" t="s">
        <v>3090</v>
      </c>
    </row>
    <row r="813" spans="1:27" ht="0.75" customHeight="1" thickBot="1">
      <c r="A813" s="2714"/>
      <c r="B813" s="371"/>
      <c r="C813" s="371"/>
      <c r="D813" s="2716"/>
      <c r="E813" s="586"/>
      <c r="F813" s="586"/>
      <c r="G813" s="2224"/>
      <c r="H813" s="371" t="s">
        <v>6511</v>
      </c>
      <c r="I813" s="371" t="s">
        <v>6512</v>
      </c>
      <c r="J813" s="371" t="s">
        <v>6513</v>
      </c>
      <c r="K813" s="547" t="s">
        <v>6514</v>
      </c>
      <c r="L813" s="349"/>
      <c r="M813" s="301"/>
      <c r="N813" s="391"/>
      <c r="O813" s="349"/>
      <c r="P813" s="301"/>
      <c r="S813" s="364"/>
      <c r="Z813" s="609" t="s">
        <v>448</v>
      </c>
      <c r="AA813" s="609" t="s">
        <v>3090</v>
      </c>
    </row>
    <row r="814" spans="1:27" ht="18" customHeight="1">
      <c r="A814" s="2714"/>
      <c r="B814" s="371"/>
      <c r="C814" s="371"/>
      <c r="D814" s="2716"/>
      <c r="E814" s="586" t="s">
        <v>2749</v>
      </c>
      <c r="F814" s="414"/>
      <c r="G814" s="3472" t="s">
        <v>5136</v>
      </c>
      <c r="H814" s="3542" t="str">
        <f>$V$2</f>
        <v>2019年12月31日</v>
      </c>
      <c r="I814" s="3542"/>
      <c r="J814" s="3542"/>
      <c r="K814" s="3523"/>
      <c r="L814" s="355" t="s">
        <v>5271</v>
      </c>
      <c r="M814" s="301"/>
      <c r="N814" s="391"/>
      <c r="O814" s="349"/>
      <c r="P814" s="301"/>
      <c r="S814" s="364"/>
      <c r="Z814" s="609" t="s">
        <v>448</v>
      </c>
      <c r="AA814" s="609" t="s">
        <v>3090</v>
      </c>
    </row>
    <row r="815" spans="1:27" ht="36">
      <c r="A815" s="2714"/>
      <c r="B815" s="371"/>
      <c r="C815" s="371"/>
      <c r="D815" s="2716"/>
      <c r="E815" s="586" t="s">
        <v>2749</v>
      </c>
      <c r="F815" s="414"/>
      <c r="G815" s="3473"/>
      <c r="H815" s="2688" t="s">
        <v>6395</v>
      </c>
      <c r="I815" s="2688" t="s">
        <v>6393</v>
      </c>
      <c r="J815" s="2688" t="s">
        <v>5145</v>
      </c>
      <c r="K815" s="2690" t="s">
        <v>6394</v>
      </c>
      <c r="L815" s="355" t="s">
        <v>6391</v>
      </c>
      <c r="M815" s="301"/>
      <c r="N815" s="391"/>
      <c r="O815" s="349"/>
      <c r="P815" s="301"/>
      <c r="S815" s="364"/>
      <c r="Z815" s="609" t="s">
        <v>448</v>
      </c>
      <c r="AA815" s="609" t="s">
        <v>3090</v>
      </c>
    </row>
    <row r="816" spans="1:27" ht="18">
      <c r="A816" s="2714"/>
      <c r="B816" s="371">
        <v>101</v>
      </c>
      <c r="C816" s="371" t="s">
        <v>2791</v>
      </c>
      <c r="D816" s="2716">
        <f t="shared" ref="D816:D824" si="69">IF(OR(G816="*",G816="",G816=0),0,COUNTIF($G$816:$G$824,G816))</f>
        <v>0</v>
      </c>
      <c r="E816" s="2721">
        <v>1</v>
      </c>
      <c r="F816" s="293"/>
      <c r="G816" s="2692" t="s">
        <v>2792</v>
      </c>
      <c r="H816" s="2298"/>
      <c r="I816" s="2298"/>
      <c r="J816" s="2275"/>
      <c r="K816" s="2276"/>
      <c r="L816" s="349"/>
      <c r="M816" s="301"/>
      <c r="N816" s="391"/>
      <c r="O816" s="349"/>
      <c r="P816" s="301"/>
      <c r="S816" s="364"/>
      <c r="Z816" s="609" t="s">
        <v>448</v>
      </c>
      <c r="AA816" s="609" t="s">
        <v>3090</v>
      </c>
    </row>
    <row r="817" spans="1:27" ht="18">
      <c r="A817" s="2714"/>
      <c r="B817" s="371">
        <v>102</v>
      </c>
      <c r="C817" s="371" t="s">
        <v>2791</v>
      </c>
      <c r="D817" s="2716">
        <f t="shared" si="69"/>
        <v>0</v>
      </c>
      <c r="E817" s="2721">
        <v>1</v>
      </c>
      <c r="F817" s="293"/>
      <c r="G817" s="2692" t="s">
        <v>2792</v>
      </c>
      <c r="H817" s="2298"/>
      <c r="I817" s="2298"/>
      <c r="J817" s="2275"/>
      <c r="K817" s="2276"/>
      <c r="L817" s="349"/>
      <c r="M817" s="301"/>
      <c r="N817" s="391"/>
      <c r="O817" s="349"/>
      <c r="P817" s="301"/>
      <c r="S817" s="364"/>
      <c r="Z817" s="609" t="s">
        <v>448</v>
      </c>
      <c r="AA817" s="609" t="s">
        <v>3090</v>
      </c>
    </row>
    <row r="818" spans="1:27" ht="18">
      <c r="A818" s="2714"/>
      <c r="B818" s="371">
        <v>103</v>
      </c>
      <c r="C818" s="371" t="s">
        <v>2791</v>
      </c>
      <c r="D818" s="2716">
        <f t="shared" si="69"/>
        <v>0</v>
      </c>
      <c r="E818" s="2721">
        <v>1</v>
      </c>
      <c r="F818" s="293"/>
      <c r="G818" s="2692" t="s">
        <v>2792</v>
      </c>
      <c r="H818" s="2298"/>
      <c r="I818" s="2298"/>
      <c r="J818" s="2275"/>
      <c r="K818" s="2276"/>
      <c r="L818" s="349"/>
      <c r="M818" s="301"/>
      <c r="N818" s="391"/>
      <c r="O818" s="349"/>
      <c r="P818" s="301"/>
      <c r="S818" s="364"/>
      <c r="Z818" s="609" t="s">
        <v>448</v>
      </c>
      <c r="AA818" s="609" t="s">
        <v>3090</v>
      </c>
    </row>
    <row r="819" spans="1:27" ht="18">
      <c r="A819" s="2714"/>
      <c r="B819" s="371">
        <v>104</v>
      </c>
      <c r="C819" s="371" t="s">
        <v>2791</v>
      </c>
      <c r="D819" s="2716">
        <f t="shared" si="69"/>
        <v>0</v>
      </c>
      <c r="E819" s="2721">
        <v>1</v>
      </c>
      <c r="F819" s="293"/>
      <c r="G819" s="2692" t="s">
        <v>2792</v>
      </c>
      <c r="H819" s="2298"/>
      <c r="I819" s="2298"/>
      <c r="J819" s="2275"/>
      <c r="K819" s="2276"/>
      <c r="L819" s="349"/>
      <c r="M819" s="301"/>
      <c r="N819" s="391"/>
      <c r="O819" s="349"/>
      <c r="P819" s="301"/>
      <c r="S819" s="364"/>
      <c r="Z819" s="609" t="s">
        <v>448</v>
      </c>
      <c r="AA819" s="609" t="s">
        <v>3090</v>
      </c>
    </row>
    <row r="820" spans="1:27" ht="18">
      <c r="A820" s="2714"/>
      <c r="B820" s="371">
        <v>105</v>
      </c>
      <c r="C820" s="371" t="s">
        <v>2791</v>
      </c>
      <c r="D820" s="2716">
        <f t="shared" si="69"/>
        <v>0</v>
      </c>
      <c r="E820" s="2721">
        <v>1</v>
      </c>
      <c r="F820" s="293"/>
      <c r="G820" s="2692" t="s">
        <v>2792</v>
      </c>
      <c r="H820" s="2298"/>
      <c r="I820" s="2298"/>
      <c r="J820" s="2275"/>
      <c r="K820" s="2276"/>
      <c r="L820" s="349"/>
      <c r="M820" s="301"/>
      <c r="N820" s="391"/>
      <c r="O820" s="349"/>
      <c r="P820" s="301"/>
      <c r="S820" s="364"/>
      <c r="Z820" s="609" t="s">
        <v>448</v>
      </c>
      <c r="AA820" s="609" t="s">
        <v>3090</v>
      </c>
    </row>
    <row r="821" spans="1:27" ht="18">
      <c r="A821" s="2714"/>
      <c r="B821" s="371">
        <v>106</v>
      </c>
      <c r="C821" s="371" t="s">
        <v>2791</v>
      </c>
      <c r="D821" s="2716">
        <f t="shared" si="69"/>
        <v>0</v>
      </c>
      <c r="E821" s="2721">
        <v>1</v>
      </c>
      <c r="F821" s="293"/>
      <c r="G821" s="2692" t="s">
        <v>2792</v>
      </c>
      <c r="H821" s="2298"/>
      <c r="I821" s="2298"/>
      <c r="J821" s="2275"/>
      <c r="K821" s="2276"/>
      <c r="L821" s="349"/>
      <c r="M821" s="301"/>
      <c r="N821" s="391"/>
      <c r="O821" s="349"/>
      <c r="P821" s="301"/>
      <c r="S821" s="364"/>
      <c r="Z821" s="609" t="s">
        <v>448</v>
      </c>
      <c r="AA821" s="609" t="s">
        <v>3090</v>
      </c>
    </row>
    <row r="822" spans="1:27" ht="18">
      <c r="A822" s="2714"/>
      <c r="B822" s="371">
        <v>107</v>
      </c>
      <c r="C822" s="371" t="s">
        <v>2791</v>
      </c>
      <c r="D822" s="2716">
        <f t="shared" si="69"/>
        <v>0</v>
      </c>
      <c r="E822" s="2721">
        <v>1</v>
      </c>
      <c r="F822" s="293"/>
      <c r="G822" s="2692" t="s">
        <v>2792</v>
      </c>
      <c r="H822" s="2298"/>
      <c r="I822" s="2298"/>
      <c r="J822" s="2275"/>
      <c r="K822" s="2276"/>
      <c r="L822" s="349"/>
      <c r="M822" s="301"/>
      <c r="N822" s="391"/>
      <c r="O822" s="349"/>
      <c r="P822" s="301"/>
      <c r="S822" s="364"/>
      <c r="Z822" s="609" t="s">
        <v>448</v>
      </c>
      <c r="AA822" s="609" t="s">
        <v>3090</v>
      </c>
    </row>
    <row r="823" spans="1:27" ht="18">
      <c r="A823" s="2714"/>
      <c r="B823" s="371">
        <v>108</v>
      </c>
      <c r="C823" s="371" t="s">
        <v>2791</v>
      </c>
      <c r="D823" s="2716">
        <f t="shared" si="69"/>
        <v>0</v>
      </c>
      <c r="E823" s="2721">
        <v>1</v>
      </c>
      <c r="F823" s="293"/>
      <c r="G823" s="2692" t="s">
        <v>2792</v>
      </c>
      <c r="H823" s="2298"/>
      <c r="I823" s="2298"/>
      <c r="J823" s="2275"/>
      <c r="K823" s="2276"/>
      <c r="L823" s="349"/>
      <c r="M823" s="301"/>
      <c r="N823" s="391"/>
      <c r="O823" s="349"/>
      <c r="P823" s="301"/>
      <c r="S823" s="364"/>
      <c r="Z823" s="609" t="s">
        <v>448</v>
      </c>
      <c r="AA823" s="609" t="s">
        <v>3090</v>
      </c>
    </row>
    <row r="824" spans="1:27" ht="18.75" thickBot="1">
      <c r="A824" s="2714"/>
      <c r="B824" s="371"/>
      <c r="C824" s="371"/>
      <c r="D824" s="2716">
        <f t="shared" si="69"/>
        <v>1</v>
      </c>
      <c r="E824" s="2721" t="s">
        <v>2751</v>
      </c>
      <c r="F824" s="293"/>
      <c r="G824" s="2234" t="s">
        <v>2752</v>
      </c>
      <c r="H824" s="2241"/>
      <c r="I824" s="2241"/>
      <c r="J824" s="2235">
        <f>SUMPRODUCT($E815:$E823,J815:J823)</f>
        <v>0</v>
      </c>
      <c r="K824" s="2244"/>
      <c r="L824" s="349"/>
      <c r="M824" s="301"/>
      <c r="N824" s="391"/>
      <c r="O824" s="349"/>
      <c r="P824" s="301"/>
      <c r="S824" s="364"/>
      <c r="Z824" s="609" t="s">
        <v>448</v>
      </c>
      <c r="AA824" s="609" t="s">
        <v>3090</v>
      </c>
    </row>
    <row r="825" spans="1:27" ht="18.75" thickBot="1">
      <c r="A825" s="2714"/>
      <c r="B825" s="371"/>
      <c r="C825" s="371" t="s">
        <v>2755</v>
      </c>
      <c r="D825" s="2716"/>
      <c r="F825" s="293"/>
      <c r="G825" s="376"/>
      <c r="H825" s="2699"/>
      <c r="I825" s="432"/>
      <c r="J825" s="527" t="s">
        <v>3002</v>
      </c>
      <c r="K825" s="392"/>
      <c r="L825" s="349"/>
      <c r="M825" s="301"/>
      <c r="N825" s="391"/>
      <c r="O825" s="349"/>
      <c r="P825" s="301"/>
      <c r="S825" s="364"/>
      <c r="Z825" s="609" t="s">
        <v>448</v>
      </c>
      <c r="AA825" s="609" t="s">
        <v>3090</v>
      </c>
    </row>
    <row r="826" spans="1:27" ht="18.75" thickTop="1">
      <c r="A826" s="2714"/>
      <c r="B826" s="371"/>
      <c r="C826" s="371" t="s">
        <v>2565</v>
      </c>
      <c r="D826" s="2716"/>
      <c r="F826" s="293"/>
      <c r="G826" s="1549" t="s">
        <v>5367</v>
      </c>
      <c r="H826" s="1550" t="str">
        <f>G777</f>
        <v>(3)应收款项融资——应收账款按减值计提方法分类</v>
      </c>
      <c r="I826" s="1551"/>
      <c r="J826" s="1552"/>
      <c r="K826" s="1551"/>
      <c r="L826" s="1553" t="s">
        <v>5368</v>
      </c>
      <c r="M826" s="301"/>
      <c r="N826" s="391"/>
      <c r="O826" s="349"/>
      <c r="P826" s="301"/>
      <c r="S826" s="364"/>
      <c r="Z826" s="609" t="s">
        <v>448</v>
      </c>
      <c r="AA826" s="609" t="s">
        <v>3090</v>
      </c>
    </row>
    <row r="827" spans="1:27" ht="18">
      <c r="A827" s="2714"/>
      <c r="B827" s="371"/>
      <c r="C827" s="371" t="s">
        <v>2565</v>
      </c>
      <c r="D827" s="2716"/>
      <c r="F827" s="293"/>
      <c r="G827" s="604" t="str">
        <f>"注释A:"&amp; G787</f>
        <v>注释A:其中：组合1</v>
      </c>
      <c r="H827" s="351"/>
      <c r="I827" s="351"/>
      <c r="J827" s="2252">
        <f ca="1">HYPERLINK("#'"&amp;$G$1&amp;"'!"&amp;ADDRESS(ROW(Notes!J787),COLUMN(Notes!J787),4),J787)</f>
        <v>0</v>
      </c>
      <c r="K827" s="351"/>
      <c r="L827" s="2632" t="str">
        <f>H777</f>
        <v>1124g</v>
      </c>
      <c r="M827" s="301"/>
      <c r="N827" s="391"/>
      <c r="O827" s="349"/>
      <c r="P827" s="301"/>
      <c r="S827" s="364"/>
      <c r="Z827" s="609" t="s">
        <v>448</v>
      </c>
      <c r="AA827" s="609" t="s">
        <v>3090</v>
      </c>
    </row>
    <row r="828" spans="1:27" ht="18">
      <c r="A828" s="2714"/>
      <c r="B828" s="371"/>
      <c r="C828" s="371" t="s">
        <v>2565</v>
      </c>
      <c r="D828" s="2716"/>
      <c r="F828" s="293"/>
      <c r="G828" s="604" t="str">
        <f>"本注释B:"&amp; G824</f>
        <v>本注释B:合       计</v>
      </c>
      <c r="H828" s="351"/>
      <c r="I828" s="351"/>
      <c r="J828" s="456">
        <f>J824</f>
        <v>0</v>
      </c>
      <c r="K828" s="351"/>
      <c r="L828" s="2638" t="s">
        <v>6372</v>
      </c>
      <c r="M828" s="301"/>
      <c r="N828" s="391"/>
      <c r="O828" s="349"/>
      <c r="P828" s="301"/>
      <c r="S828" s="364"/>
      <c r="Z828" s="609" t="s">
        <v>448</v>
      </c>
      <c r="AA828" s="609" t="s">
        <v>3090</v>
      </c>
    </row>
    <row r="829" spans="1:27" ht="18.75" thickBot="1">
      <c r="A829" s="2714"/>
      <c r="B829" s="371"/>
      <c r="C829" s="371" t="s">
        <v>2565</v>
      </c>
      <c r="D829" s="2716"/>
      <c r="F829" s="293"/>
      <c r="G829" s="1554" t="s">
        <v>2757</v>
      </c>
      <c r="H829" s="1555"/>
      <c r="I829" s="1555"/>
      <c r="J829" s="1531">
        <f ca="1">IF(AND(J827="",J828=""),"",ROUND(J827-J828,2))</f>
        <v>0</v>
      </c>
      <c r="K829" s="1555"/>
      <c r="L829" s="1555"/>
      <c r="M829" s="301"/>
      <c r="N829" s="391"/>
      <c r="O829" s="349"/>
      <c r="P829" s="301"/>
      <c r="S829" s="364"/>
      <c r="Z829" s="609" t="s">
        <v>448</v>
      </c>
      <c r="AA829" s="609" t="s">
        <v>3090</v>
      </c>
    </row>
    <row r="830" spans="1:27" ht="18.75" thickTop="1">
      <c r="A830" s="2714"/>
      <c r="B830" s="371"/>
      <c r="C830" s="371" t="s">
        <v>2565</v>
      </c>
      <c r="D830" s="2716"/>
      <c r="F830" s="293"/>
      <c r="G830" s="1545"/>
      <c r="H830" s="317"/>
      <c r="I830" s="317"/>
      <c r="J830" s="459" t="str">
        <f ca="1">IF(OR(J829=0,J829=""),"√","？")</f>
        <v>√</v>
      </c>
      <c r="K830" s="317"/>
      <c r="L830" s="317"/>
      <c r="M830" s="301"/>
      <c r="N830" s="391"/>
      <c r="O830" s="349"/>
      <c r="P830" s="301"/>
      <c r="S830" s="364"/>
      <c r="Z830" s="609" t="s">
        <v>448</v>
      </c>
      <c r="AA830" s="609" t="s">
        <v>3090</v>
      </c>
    </row>
    <row r="831" spans="1:27" ht="18">
      <c r="A831" s="2714"/>
      <c r="B831" s="371"/>
      <c r="C831" s="371" t="s">
        <v>2565</v>
      </c>
      <c r="D831" s="2716"/>
      <c r="F831" s="293"/>
      <c r="G831" s="1559" t="s">
        <v>2759</v>
      </c>
      <c r="H831" s="317"/>
      <c r="I831" s="317"/>
      <c r="J831" s="461"/>
      <c r="K831" s="352">
        <f ca="1">SUMIF($H$830:$L$830,"&lt;&gt;√",$H$829:$L$829)</f>
        <v>0</v>
      </c>
      <c r="L831" s="353" t="str">
        <f ca="1">IF(OR(K831=0,K831=""),"√","？")</f>
        <v>√</v>
      </c>
      <c r="M831" s="301"/>
      <c r="N831" s="391"/>
      <c r="O831" s="349"/>
      <c r="P831" s="301"/>
      <c r="S831" s="364"/>
      <c r="Z831" s="609" t="s">
        <v>448</v>
      </c>
      <c r="AA831" s="609" t="s">
        <v>3090</v>
      </c>
    </row>
    <row r="832" spans="1:27" ht="18">
      <c r="A832" s="2714"/>
      <c r="B832" s="371"/>
      <c r="C832" s="371" t="s">
        <v>2565</v>
      </c>
      <c r="D832" s="2716"/>
      <c r="F832" s="293"/>
      <c r="G832" s="1545"/>
      <c r="H832" s="317"/>
      <c r="I832" s="317"/>
      <c r="J832" s="461"/>
      <c r="K832" s="317"/>
      <c r="L832" s="317"/>
      <c r="M832" s="301"/>
      <c r="N832" s="391"/>
      <c r="O832" s="349"/>
      <c r="P832" s="301"/>
      <c r="S832" s="364"/>
      <c r="Z832" s="609" t="s">
        <v>448</v>
      </c>
      <c r="AA832" s="609" t="s">
        <v>3090</v>
      </c>
    </row>
    <row r="833" spans="1:27" ht="36">
      <c r="A833" s="2714" t="s">
        <v>6373</v>
      </c>
      <c r="B833" s="371">
        <v>3.3</v>
      </c>
      <c r="C833" s="371"/>
      <c r="D833" s="2716" t="str">
        <f>VLOOKUP($A833,Sheet_NoteList,2,0)</f>
        <v>期末按按组合2计提减值准备的应收款项融资——应收账款</v>
      </c>
      <c r="E833" s="2716" t="s">
        <v>6533</v>
      </c>
      <c r="F833" s="293"/>
      <c r="G833" s="372" t="str">
        <f>"("&amp;B833&amp;")"&amp;D833</f>
        <v>(3.3)期末按按组合2计提减值准备的应收款项融资——应收账款</v>
      </c>
      <c r="H833" s="1517" t="str">
        <f>$A833</f>
        <v>1124j</v>
      </c>
      <c r="I833" s="343" t="s">
        <v>6383</v>
      </c>
      <c r="J833" s="301" t="s">
        <v>6384</v>
      </c>
      <c r="K833" s="2210">
        <f>H846</f>
        <v>0</v>
      </c>
      <c r="L833" s="349"/>
      <c r="M833" s="301"/>
      <c r="N833" s="391"/>
      <c r="O833" s="349"/>
      <c r="P833" s="301"/>
      <c r="S833" s="364"/>
      <c r="Z833" s="609" t="s">
        <v>448</v>
      </c>
      <c r="AA833" s="609" t="s">
        <v>3090</v>
      </c>
    </row>
    <row r="834" spans="1:27" ht="0.75" customHeight="1">
      <c r="A834" s="2714"/>
      <c r="B834" s="371"/>
      <c r="C834" s="371"/>
      <c r="D834" s="2716"/>
      <c r="E834" s="586"/>
      <c r="F834" s="586"/>
      <c r="G834" s="2224" t="s">
        <v>6390</v>
      </c>
      <c r="H834" s="371" t="s">
        <v>6515</v>
      </c>
      <c r="I834" s="371" t="s">
        <v>6516</v>
      </c>
      <c r="J834" s="371" t="s">
        <v>6517</v>
      </c>
      <c r="K834" s="547" t="s">
        <v>6518</v>
      </c>
      <c r="L834" s="349"/>
      <c r="M834" s="301"/>
      <c r="N834" s="391"/>
      <c r="O834" s="349"/>
      <c r="P834" s="301"/>
      <c r="S834" s="364"/>
      <c r="Z834" s="609" t="s">
        <v>448</v>
      </c>
      <c r="AA834" s="609" t="s">
        <v>3090</v>
      </c>
    </row>
    <row r="835" spans="1:27" ht="0.75" customHeight="1" thickBot="1">
      <c r="A835" s="2714"/>
      <c r="B835" s="371"/>
      <c r="C835" s="371"/>
      <c r="D835" s="2716"/>
      <c r="E835" s="586"/>
      <c r="F835" s="586"/>
      <c r="G835" s="2224"/>
      <c r="H835" s="371" t="s">
        <v>6519</v>
      </c>
      <c r="I835" s="371" t="s">
        <v>6520</v>
      </c>
      <c r="J835" s="371" t="s">
        <v>6521</v>
      </c>
      <c r="K835" s="547" t="s">
        <v>6522</v>
      </c>
      <c r="L835" s="349"/>
      <c r="M835" s="301"/>
      <c r="N835" s="391"/>
      <c r="O835" s="349"/>
      <c r="P835" s="301"/>
      <c r="S835" s="364"/>
      <c r="Z835" s="609" t="s">
        <v>448</v>
      </c>
      <c r="AA835" s="609" t="s">
        <v>3090</v>
      </c>
    </row>
    <row r="836" spans="1:27" ht="18" customHeight="1">
      <c r="A836" s="2714"/>
      <c r="B836" s="371"/>
      <c r="C836" s="371"/>
      <c r="D836" s="2716"/>
      <c r="E836" s="586" t="s">
        <v>2749</v>
      </c>
      <c r="F836" s="414"/>
      <c r="G836" s="3512" t="s">
        <v>5948</v>
      </c>
      <c r="H836" s="3535" t="str">
        <f>$V$2</f>
        <v>2019年12月31日</v>
      </c>
      <c r="I836" s="3535"/>
      <c r="J836" s="3535"/>
      <c r="K836" s="3556"/>
      <c r="L836" s="355" t="s">
        <v>5949</v>
      </c>
      <c r="M836" s="301"/>
      <c r="N836" s="391"/>
      <c r="O836" s="349"/>
      <c r="P836" s="301"/>
      <c r="S836" s="364"/>
      <c r="Z836" s="609" t="s">
        <v>448</v>
      </c>
      <c r="AA836" s="609" t="s">
        <v>3090</v>
      </c>
    </row>
    <row r="837" spans="1:27" ht="36">
      <c r="A837" s="2714"/>
      <c r="B837" s="371"/>
      <c r="C837" s="371"/>
      <c r="D837" s="2716"/>
      <c r="E837" s="586" t="s">
        <v>2749</v>
      </c>
      <c r="F837" s="414"/>
      <c r="G837" s="3513"/>
      <c r="H837" s="2693" t="s">
        <v>6395</v>
      </c>
      <c r="I837" s="2693" t="s">
        <v>6393</v>
      </c>
      <c r="J837" s="2693" t="s">
        <v>5145</v>
      </c>
      <c r="K837" s="2697" t="s">
        <v>6394</v>
      </c>
      <c r="L837" s="355" t="s">
        <v>6176</v>
      </c>
      <c r="M837" s="301"/>
      <c r="N837" s="391"/>
      <c r="O837" s="349"/>
      <c r="P837" s="301"/>
      <c r="S837" s="364"/>
      <c r="Z837" s="609" t="s">
        <v>448</v>
      </c>
      <c r="AA837" s="609" t="s">
        <v>3090</v>
      </c>
    </row>
    <row r="838" spans="1:27" ht="18">
      <c r="A838" s="2714"/>
      <c r="B838" s="371">
        <v>101</v>
      </c>
      <c r="C838" s="371" t="s">
        <v>2791</v>
      </c>
      <c r="D838" s="2716">
        <f t="shared" ref="D838:D846" si="70">IF(OR(G838="*",G838="",G838=0),0,COUNTIF($G$838:$G$846,G838))</f>
        <v>0</v>
      </c>
      <c r="E838" s="2721">
        <v>1</v>
      </c>
      <c r="F838" s="293"/>
      <c r="G838" s="2692" t="s">
        <v>2792</v>
      </c>
      <c r="H838" s="2298"/>
      <c r="I838" s="2298"/>
      <c r="J838" s="2275"/>
      <c r="K838" s="2276"/>
      <c r="L838" s="349"/>
      <c r="M838" s="301"/>
      <c r="N838" s="391"/>
      <c r="O838" s="349"/>
      <c r="P838" s="301"/>
      <c r="S838" s="364"/>
      <c r="Z838" s="609" t="s">
        <v>448</v>
      </c>
      <c r="AA838" s="609" t="s">
        <v>3090</v>
      </c>
    </row>
    <row r="839" spans="1:27" ht="18">
      <c r="A839" s="2714"/>
      <c r="B839" s="371">
        <v>102</v>
      </c>
      <c r="C839" s="371" t="s">
        <v>2791</v>
      </c>
      <c r="D839" s="2716">
        <f t="shared" si="70"/>
        <v>0</v>
      </c>
      <c r="E839" s="2721">
        <v>1</v>
      </c>
      <c r="F839" s="293"/>
      <c r="G839" s="2692" t="s">
        <v>2792</v>
      </c>
      <c r="H839" s="2298"/>
      <c r="I839" s="2298"/>
      <c r="J839" s="2275"/>
      <c r="K839" s="2276"/>
      <c r="L839" s="349"/>
      <c r="M839" s="301"/>
      <c r="N839" s="391"/>
      <c r="O839" s="349"/>
      <c r="P839" s="301"/>
      <c r="S839" s="364"/>
      <c r="Z839" s="609" t="s">
        <v>448</v>
      </c>
      <c r="AA839" s="609" t="s">
        <v>3090</v>
      </c>
    </row>
    <row r="840" spans="1:27" ht="18">
      <c r="A840" s="2714"/>
      <c r="B840" s="371">
        <v>103</v>
      </c>
      <c r="C840" s="371" t="s">
        <v>2791</v>
      </c>
      <c r="D840" s="2716">
        <f t="shared" si="70"/>
        <v>0</v>
      </c>
      <c r="E840" s="2721">
        <v>1</v>
      </c>
      <c r="F840" s="293"/>
      <c r="G840" s="2692" t="s">
        <v>2792</v>
      </c>
      <c r="H840" s="2298"/>
      <c r="I840" s="2298"/>
      <c r="J840" s="2275"/>
      <c r="K840" s="2276"/>
      <c r="L840" s="349"/>
      <c r="M840" s="301"/>
      <c r="N840" s="391"/>
      <c r="O840" s="349"/>
      <c r="P840" s="301"/>
      <c r="S840" s="364"/>
      <c r="Z840" s="609" t="s">
        <v>448</v>
      </c>
      <c r="AA840" s="609" t="s">
        <v>3090</v>
      </c>
    </row>
    <row r="841" spans="1:27" ht="18">
      <c r="A841" s="2714"/>
      <c r="B841" s="371">
        <v>104</v>
      </c>
      <c r="C841" s="371" t="s">
        <v>2791</v>
      </c>
      <c r="D841" s="2716">
        <f t="shared" si="70"/>
        <v>0</v>
      </c>
      <c r="E841" s="2721">
        <v>1</v>
      </c>
      <c r="F841" s="293"/>
      <c r="G841" s="2692" t="s">
        <v>2792</v>
      </c>
      <c r="H841" s="2298"/>
      <c r="I841" s="2298"/>
      <c r="J841" s="2275"/>
      <c r="K841" s="2276"/>
      <c r="L841" s="349"/>
      <c r="M841" s="301"/>
      <c r="N841" s="391"/>
      <c r="O841" s="349"/>
      <c r="P841" s="301"/>
      <c r="S841" s="364"/>
      <c r="Z841" s="609" t="s">
        <v>448</v>
      </c>
      <c r="AA841" s="609" t="s">
        <v>3090</v>
      </c>
    </row>
    <row r="842" spans="1:27" ht="18">
      <c r="A842" s="2714"/>
      <c r="B842" s="371">
        <v>105</v>
      </c>
      <c r="C842" s="371" t="s">
        <v>2791</v>
      </c>
      <c r="D842" s="2716">
        <f t="shared" si="70"/>
        <v>0</v>
      </c>
      <c r="E842" s="2721">
        <v>1</v>
      </c>
      <c r="F842" s="293"/>
      <c r="G842" s="2692" t="s">
        <v>2792</v>
      </c>
      <c r="H842" s="2298"/>
      <c r="I842" s="2298"/>
      <c r="J842" s="2275"/>
      <c r="K842" s="2276"/>
      <c r="L842" s="349"/>
      <c r="M842" s="301"/>
      <c r="N842" s="391"/>
      <c r="O842" s="349"/>
      <c r="P842" s="301"/>
      <c r="S842" s="364"/>
      <c r="Z842" s="609" t="s">
        <v>448</v>
      </c>
      <c r="AA842" s="609" t="s">
        <v>3090</v>
      </c>
    </row>
    <row r="843" spans="1:27" ht="18">
      <c r="A843" s="2714"/>
      <c r="B843" s="371">
        <v>106</v>
      </c>
      <c r="C843" s="371" t="s">
        <v>2791</v>
      </c>
      <c r="D843" s="2716">
        <f t="shared" si="70"/>
        <v>0</v>
      </c>
      <c r="E843" s="2721">
        <v>1</v>
      </c>
      <c r="F843" s="293"/>
      <c r="G843" s="2692" t="s">
        <v>2792</v>
      </c>
      <c r="H843" s="2298"/>
      <c r="I843" s="2298"/>
      <c r="J843" s="2275"/>
      <c r="K843" s="2276"/>
      <c r="L843" s="349"/>
      <c r="M843" s="301"/>
      <c r="N843" s="391"/>
      <c r="O843" s="349"/>
      <c r="P843" s="301"/>
      <c r="S843" s="364"/>
      <c r="Z843" s="609" t="s">
        <v>448</v>
      </c>
      <c r="AA843" s="609" t="s">
        <v>3090</v>
      </c>
    </row>
    <row r="844" spans="1:27" ht="18">
      <c r="A844" s="2714"/>
      <c r="B844" s="371">
        <v>107</v>
      </c>
      <c r="C844" s="371" t="s">
        <v>2791</v>
      </c>
      <c r="D844" s="2716">
        <f t="shared" si="70"/>
        <v>0</v>
      </c>
      <c r="E844" s="2721">
        <v>1</v>
      </c>
      <c r="F844" s="293"/>
      <c r="G844" s="2692" t="s">
        <v>2792</v>
      </c>
      <c r="H844" s="2298"/>
      <c r="I844" s="2298"/>
      <c r="J844" s="2275"/>
      <c r="K844" s="2276"/>
      <c r="L844" s="349"/>
      <c r="M844" s="301"/>
      <c r="N844" s="391"/>
      <c r="O844" s="349"/>
      <c r="P844" s="301"/>
      <c r="S844" s="364"/>
      <c r="Z844" s="609" t="s">
        <v>448</v>
      </c>
      <c r="AA844" s="609" t="s">
        <v>3090</v>
      </c>
    </row>
    <row r="845" spans="1:27" ht="18">
      <c r="A845" s="2714"/>
      <c r="B845" s="371">
        <v>108</v>
      </c>
      <c r="C845" s="371" t="s">
        <v>2791</v>
      </c>
      <c r="D845" s="2716">
        <f t="shared" si="70"/>
        <v>0</v>
      </c>
      <c r="E845" s="2721">
        <v>1</v>
      </c>
      <c r="F845" s="293"/>
      <c r="G845" s="2692" t="s">
        <v>2792</v>
      </c>
      <c r="H845" s="2298"/>
      <c r="I845" s="2298"/>
      <c r="J845" s="2275"/>
      <c r="K845" s="2276"/>
      <c r="L845" s="349"/>
      <c r="M845" s="301"/>
      <c r="N845" s="391"/>
      <c r="O845" s="349"/>
      <c r="P845" s="301"/>
      <c r="S845" s="364"/>
      <c r="Z845" s="609" t="s">
        <v>448</v>
      </c>
      <c r="AA845" s="609" t="s">
        <v>3090</v>
      </c>
    </row>
    <row r="846" spans="1:27" ht="18.75" thickBot="1">
      <c r="A846" s="2714"/>
      <c r="B846" s="371"/>
      <c r="C846" s="371"/>
      <c r="D846" s="2716">
        <f t="shared" si="70"/>
        <v>1</v>
      </c>
      <c r="E846" s="2721" t="s">
        <v>2751</v>
      </c>
      <c r="F846" s="293"/>
      <c r="G846" s="1529" t="s">
        <v>2752</v>
      </c>
      <c r="H846" s="2316"/>
      <c r="I846" s="2316"/>
      <c r="J846" s="1527">
        <f>SUMPRODUCT($E837:$E845,J837:J845)</f>
        <v>0</v>
      </c>
      <c r="K846" s="2266"/>
      <c r="L846" s="349"/>
      <c r="M846" s="301"/>
      <c r="N846" s="391"/>
      <c r="O846" s="349"/>
      <c r="P846" s="301"/>
      <c r="S846" s="364"/>
      <c r="Z846" s="609" t="s">
        <v>448</v>
      </c>
      <c r="AA846" s="609" t="s">
        <v>3090</v>
      </c>
    </row>
    <row r="847" spans="1:27" ht="18">
      <c r="A847" s="2714"/>
      <c r="B847" s="371"/>
      <c r="C847" s="371" t="s">
        <v>2755</v>
      </c>
      <c r="D847" s="2716"/>
      <c r="F847" s="293"/>
      <c r="G847" s="376"/>
      <c r="H847" s="2699"/>
      <c r="I847" s="432"/>
      <c r="J847" s="315"/>
      <c r="K847" s="392"/>
      <c r="L847" s="349"/>
      <c r="M847" s="301"/>
      <c r="N847" s="391"/>
      <c r="O847" s="349"/>
      <c r="P847" s="301"/>
      <c r="S847" s="364"/>
      <c r="Z847" s="609" t="s">
        <v>448</v>
      </c>
      <c r="AA847" s="609" t="s">
        <v>3090</v>
      </c>
    </row>
    <row r="848" spans="1:27" ht="24">
      <c r="A848" s="2714" t="s">
        <v>470</v>
      </c>
      <c r="B848" s="371">
        <v>4</v>
      </c>
      <c r="C848" s="371"/>
      <c r="D848" s="2716" t="str">
        <f>VLOOKUP($A848,Sheet_NoteList,2,0)</f>
        <v>应收款项融资减值准备的变动情况</v>
      </c>
      <c r="E848" s="2716" t="s">
        <v>2742</v>
      </c>
      <c r="F848" s="293"/>
      <c r="G848" s="372" t="str">
        <f>"("&amp;B848&amp;")"&amp;D848</f>
        <v>(4)应收款项融资减值准备的变动情况</v>
      </c>
      <c r="H848" s="1517" t="str">
        <f>$A848</f>
        <v>1124f</v>
      </c>
      <c r="I848" s="343" t="s">
        <v>2743</v>
      </c>
      <c r="J848" s="301" t="s">
        <v>2744</v>
      </c>
      <c r="K848" s="2210">
        <f>N856</f>
        <v>0</v>
      </c>
      <c r="L848" s="349">
        <f>IF($I848="适用",IF(ROUND(K$697-K848,2)=0,"F/S",ROUND(K$697-K848,2)),"#N/A")</f>
        <v>279569.36</v>
      </c>
      <c r="M848" s="301" t="s">
        <v>2745</v>
      </c>
      <c r="N848" s="2210">
        <f>H856</f>
        <v>0</v>
      </c>
      <c r="O848" s="349"/>
      <c r="P848" s="301"/>
      <c r="S848" s="364"/>
      <c r="Z848" s="609" t="s">
        <v>448</v>
      </c>
      <c r="AA848" s="609" t="s">
        <v>3090</v>
      </c>
    </row>
    <row r="849" spans="1:27" ht="0.75" customHeight="1">
      <c r="A849" s="2714"/>
      <c r="B849" s="371"/>
      <c r="C849" s="371"/>
      <c r="D849" s="2716"/>
      <c r="E849" s="586"/>
      <c r="F849" s="586"/>
      <c r="G849" s="2224" t="s">
        <v>3100</v>
      </c>
      <c r="H849" s="371" t="s">
        <v>2747</v>
      </c>
      <c r="I849" s="371" t="s">
        <v>2748</v>
      </c>
      <c r="J849" s="371" t="s">
        <v>2948</v>
      </c>
      <c r="K849" s="547" t="s">
        <v>3034</v>
      </c>
      <c r="L849" s="547" t="s">
        <v>3035</v>
      </c>
      <c r="M849" s="371" t="s">
        <v>3036</v>
      </c>
      <c r="N849" s="547" t="s">
        <v>3037</v>
      </c>
      <c r="O849" s="428"/>
      <c r="P849" s="433"/>
      <c r="Q849" s="442"/>
      <c r="R849" s="443"/>
      <c r="S849" s="364"/>
      <c r="Z849" s="609" t="s">
        <v>448</v>
      </c>
      <c r="AA849" s="609" t="s">
        <v>3090</v>
      </c>
    </row>
    <row r="850" spans="1:27" ht="0.75" customHeight="1" thickBot="1">
      <c r="A850" s="2714"/>
      <c r="B850" s="371"/>
      <c r="C850" s="371"/>
      <c r="D850" s="2716"/>
      <c r="E850" s="586"/>
      <c r="F850" s="586"/>
      <c r="G850" s="2224"/>
      <c r="H850" s="371" t="s">
        <v>2911</v>
      </c>
      <c r="I850" s="371" t="s">
        <v>2912</v>
      </c>
      <c r="J850" s="371" t="s">
        <v>3038</v>
      </c>
      <c r="K850" s="547" t="s">
        <v>2914</v>
      </c>
      <c r="L850" s="547" t="s">
        <v>2915</v>
      </c>
      <c r="M850" s="371" t="s">
        <v>2916</v>
      </c>
      <c r="N850" s="547" t="s">
        <v>2917</v>
      </c>
      <c r="O850" s="428"/>
      <c r="P850" s="433"/>
      <c r="Q850" s="442"/>
      <c r="R850" s="443"/>
      <c r="S850" s="364"/>
      <c r="Z850" s="609" t="s">
        <v>448</v>
      </c>
      <c r="AA850" s="609" t="s">
        <v>3090</v>
      </c>
    </row>
    <row r="851" spans="1:27" ht="18" customHeight="1" thickTop="1">
      <c r="A851" s="2714"/>
      <c r="B851" s="371"/>
      <c r="C851" s="371"/>
      <c r="D851" s="2716"/>
      <c r="E851" s="586" t="s">
        <v>2749</v>
      </c>
      <c r="F851" s="414"/>
      <c r="G851" s="3472" t="s">
        <v>5135</v>
      </c>
      <c r="H851" s="3413" t="str">
        <f>$V$3</f>
        <v>2018年12月31日</v>
      </c>
      <c r="I851" s="3415" t="s">
        <v>5209</v>
      </c>
      <c r="J851" s="3413" t="str">
        <f>$X$3</f>
        <v>2019年1月1日</v>
      </c>
      <c r="K851" s="3417" t="s">
        <v>2919</v>
      </c>
      <c r="L851" s="3417"/>
      <c r="M851" s="3417"/>
      <c r="N851" s="3396" t="str">
        <f>$V$2</f>
        <v>2019年12月31日</v>
      </c>
      <c r="O851" s="355" t="s">
        <v>5271</v>
      </c>
      <c r="P851" s="2702" t="str">
        <f>""&amp;"&gt;期末:"&amp;""</f>
        <v>&gt;期末:</v>
      </c>
      <c r="Q851" s="2702"/>
      <c r="R851" s="2703" t="str">
        <f>""&amp;"NoteID"&amp;""</f>
        <v>NoteID</v>
      </c>
      <c r="S851" s="367"/>
      <c r="Z851" s="609" t="s">
        <v>448</v>
      </c>
      <c r="AA851" s="609" t="s">
        <v>3090</v>
      </c>
    </row>
    <row r="852" spans="1:27" ht="18">
      <c r="A852" s="2714"/>
      <c r="B852" s="371"/>
      <c r="C852" s="371"/>
      <c r="D852" s="2716"/>
      <c r="E852" s="586" t="s">
        <v>2749</v>
      </c>
      <c r="F852" s="414"/>
      <c r="G852" s="3473"/>
      <c r="H852" s="3414"/>
      <c r="I852" s="3416"/>
      <c r="J852" s="3414"/>
      <c r="K852" s="2239" t="s">
        <v>5210</v>
      </c>
      <c r="L852" s="2239" t="s">
        <v>5211</v>
      </c>
      <c r="M852" s="2271" t="s">
        <v>5212</v>
      </c>
      <c r="N852" s="3397"/>
      <c r="O852" s="434"/>
      <c r="P852" s="2704"/>
      <c r="Q852" s="2705"/>
      <c r="R852" s="2706"/>
      <c r="S852" s="367"/>
      <c r="Z852" s="609" t="s">
        <v>448</v>
      </c>
      <c r="AA852" s="609" t="s">
        <v>3090</v>
      </c>
    </row>
    <row r="853" spans="1:27" ht="18">
      <c r="A853" s="2714"/>
      <c r="B853" s="371">
        <v>101</v>
      </c>
      <c r="C853" s="371"/>
      <c r="D853" s="2716">
        <f>IF(OR(G853="*",G853="",G853=0),0,COUNTIF($G$853:$G$856,G853))</f>
        <v>1</v>
      </c>
      <c r="E853" s="2721">
        <v>1</v>
      </c>
      <c r="F853" s="293"/>
      <c r="G853" s="1474" t="s">
        <v>109</v>
      </c>
      <c r="H853" s="2299">
        <v>0</v>
      </c>
      <c r="I853" s="2275"/>
      <c r="J853" s="1476">
        <f>SUM(H853:I853)</f>
        <v>0</v>
      </c>
      <c r="K853" s="2275"/>
      <c r="L853" s="2275"/>
      <c r="M853" s="2275"/>
      <c r="N853" s="1477">
        <f>SUM(J853:K853,-L853,-M853)</f>
        <v>0</v>
      </c>
      <c r="O853" s="437"/>
      <c r="P853" s="2655">
        <f ca="1">HYPERLINK("#'"&amp;$G$1&amp;"'!"&amp;ADDRESS(ROW(Notes!J719),COLUMN(Notes!J719),4),J719-N853)</f>
        <v>0</v>
      </c>
      <c r="Q853" s="1544"/>
      <c r="R853" s="2708" t="str">
        <f>H706</f>
        <v>1124b</v>
      </c>
      <c r="S853" s="364"/>
      <c r="Z853" s="609" t="s">
        <v>448</v>
      </c>
      <c r="AA853" s="609" t="s">
        <v>3090</v>
      </c>
    </row>
    <row r="854" spans="1:27" ht="18">
      <c r="A854" s="2714"/>
      <c r="B854" s="371">
        <v>102</v>
      </c>
      <c r="C854" s="371"/>
      <c r="D854" s="2716">
        <f>IF(OR(G854="*",G854="",G854=0),0,COUNTIF($G$853:$G$856,G854))</f>
        <v>1</v>
      </c>
      <c r="E854" s="2721">
        <v>1</v>
      </c>
      <c r="F854" s="293"/>
      <c r="G854" s="1474" t="s">
        <v>124</v>
      </c>
      <c r="H854" s="2299">
        <v>0</v>
      </c>
      <c r="I854" s="2275"/>
      <c r="J854" s="1476">
        <f t="shared" ref="J854:J855" si="71">SUM(H854:I854)</f>
        <v>0</v>
      </c>
      <c r="K854" s="2275"/>
      <c r="L854" s="2275"/>
      <c r="M854" s="2275"/>
      <c r="N854" s="1477">
        <f t="shared" ref="N854:N855" si="72">SUM(J854:K854,-L854,-M854)</f>
        <v>0</v>
      </c>
      <c r="O854" s="437"/>
      <c r="P854" s="2655">
        <f ca="1">HYPERLINK("#'"&amp;$G$1&amp;"'!"&amp;ADDRESS(ROW(Notes!J790),COLUMN(Notes!J790),4),J790-N854)</f>
        <v>0</v>
      </c>
      <c r="Q854" s="1544"/>
      <c r="R854" s="2708" t="str">
        <f>H777</f>
        <v>1124g</v>
      </c>
      <c r="S854" s="364"/>
      <c r="Z854" s="609" t="s">
        <v>448</v>
      </c>
      <c r="AA854" s="609" t="s">
        <v>3090</v>
      </c>
    </row>
    <row r="855" spans="1:27" ht="18">
      <c r="A855" s="2714"/>
      <c r="B855" s="371">
        <v>103</v>
      </c>
      <c r="C855" s="371" t="s">
        <v>2791</v>
      </c>
      <c r="D855" s="2716">
        <f>IF(OR(G855="*",G855="",G855=0),0,COUNTIF($G$853:$G$856,G855))</f>
        <v>0</v>
      </c>
      <c r="E855" s="2721">
        <v>1</v>
      </c>
      <c r="F855" s="293"/>
      <c r="G855" s="2274" t="s">
        <v>2792</v>
      </c>
      <c r="H855" s="2299">
        <v>0</v>
      </c>
      <c r="I855" s="2275"/>
      <c r="J855" s="1476">
        <f t="shared" si="71"/>
        <v>0</v>
      </c>
      <c r="K855" s="2275"/>
      <c r="L855" s="2275"/>
      <c r="M855" s="2275"/>
      <c r="N855" s="1477">
        <f t="shared" si="72"/>
        <v>0</v>
      </c>
      <c r="O855" s="437"/>
      <c r="P855" s="1544"/>
      <c r="Q855" s="1544"/>
      <c r="R855" s="2701"/>
      <c r="S855" s="364"/>
      <c r="Z855" s="609" t="s">
        <v>448</v>
      </c>
      <c r="AA855" s="609" t="s">
        <v>3090</v>
      </c>
    </row>
    <row r="856" spans="1:27" ht="18.75" thickBot="1">
      <c r="A856" s="2714"/>
      <c r="B856" s="371"/>
      <c r="C856" s="371"/>
      <c r="D856" s="2716">
        <f>IF(OR(G856="*",G856="",G856=0),0,COUNTIF($G$853:$G$856,G856))</f>
        <v>1</v>
      </c>
      <c r="E856" s="2721" t="s">
        <v>2751</v>
      </c>
      <c r="F856" s="293"/>
      <c r="G856" s="2234" t="s">
        <v>2752</v>
      </c>
      <c r="H856" s="2235">
        <f t="shared" ref="H856:N856" si="73">SUMPRODUCT($E852:$E855,H852:H855)</f>
        <v>0</v>
      </c>
      <c r="I856" s="2235">
        <f t="shared" si="73"/>
        <v>0</v>
      </c>
      <c r="J856" s="2235">
        <f t="shared" si="73"/>
        <v>0</v>
      </c>
      <c r="K856" s="2235">
        <f t="shared" si="73"/>
        <v>0</v>
      </c>
      <c r="L856" s="2235">
        <f t="shared" si="73"/>
        <v>0</v>
      </c>
      <c r="M856" s="2235">
        <f t="shared" si="73"/>
        <v>0</v>
      </c>
      <c r="N856" s="2236">
        <f t="shared" si="73"/>
        <v>0</v>
      </c>
      <c r="O856" s="437"/>
      <c r="P856" s="1557">
        <f t="shared" ref="P856:Q856" ca="1" si="74">SUM(P853:P855)</f>
        <v>0</v>
      </c>
      <c r="Q856" s="1557">
        <f t="shared" si="74"/>
        <v>0</v>
      </c>
      <c r="R856" s="2707"/>
      <c r="S856" s="367"/>
      <c r="Z856" s="609" t="s">
        <v>448</v>
      </c>
      <c r="AA856" s="609" t="s">
        <v>3090</v>
      </c>
    </row>
    <row r="857" spans="1:27" ht="18">
      <c r="A857" s="2714"/>
      <c r="B857" s="371"/>
      <c r="C857" s="371" t="s">
        <v>2755</v>
      </c>
      <c r="D857" s="2716"/>
      <c r="F857" s="293"/>
      <c r="G857" s="376"/>
      <c r="H857" s="315"/>
      <c r="I857" s="396"/>
      <c r="J857" s="315"/>
      <c r="K857" s="423"/>
      <c r="L857" s="315"/>
      <c r="M857" s="315"/>
      <c r="N857" s="2259" t="s">
        <v>3002</v>
      </c>
      <c r="O857" s="427"/>
      <c r="P857" s="1585" t="s">
        <v>5495</v>
      </c>
      <c r="Q857" s="1546"/>
      <c r="R857" s="2700"/>
      <c r="S857" s="364"/>
      <c r="Z857" s="609" t="s">
        <v>448</v>
      </c>
      <c r="AA857" s="609" t="s">
        <v>3090</v>
      </c>
    </row>
    <row r="858" spans="1:27" ht="18">
      <c r="A858" s="2714">
        <v>1125</v>
      </c>
      <c r="B858" s="371">
        <v>8</v>
      </c>
      <c r="C858" s="2716" t="str">
        <f>VLOOKUP($A858,Sheet_Items,2,0)</f>
        <v>预付款项</v>
      </c>
      <c r="D858" s="371"/>
      <c r="E858" s="2716" t="s">
        <v>2739</v>
      </c>
      <c r="F858" s="294"/>
      <c r="G858" s="305" t="str">
        <f>B858&amp;" "&amp;C858</f>
        <v>8 预付款项</v>
      </c>
      <c r="H858" s="306"/>
      <c r="I858" s="306"/>
      <c r="J858" s="306" t="s">
        <v>2740</v>
      </c>
      <c r="K858" s="341">
        <f>VLOOKUP($A858,Sheet_Trialbal,6,0)</f>
        <v>815153.11</v>
      </c>
      <c r="L858" s="342"/>
      <c r="M858" s="306" t="s">
        <v>2741</v>
      </c>
      <c r="N858" s="341">
        <f>VLOOKUP($A858,Sheet_Trialbal,10,0)</f>
        <v>916036.19</v>
      </c>
      <c r="O858" s="306"/>
      <c r="P858" s="301"/>
      <c r="S858" s="364"/>
      <c r="Z858" s="609" t="s">
        <v>475</v>
      </c>
      <c r="AA858" s="609" t="s">
        <v>5652</v>
      </c>
    </row>
    <row r="859" spans="1:27" ht="18">
      <c r="A859" s="2714" t="s">
        <v>473</v>
      </c>
      <c r="B859" s="371">
        <v>1</v>
      </c>
      <c r="C859" s="371"/>
      <c r="D859" s="2716" t="str">
        <f>VLOOKUP($A859,Sheet_NoteList,2,0)</f>
        <v>预付款项按账龄列示</v>
      </c>
      <c r="E859" s="2716" t="s">
        <v>2742</v>
      </c>
      <c r="F859" s="294"/>
      <c r="G859" s="307" t="str">
        <f>"("&amp;B859&amp;")"&amp;D859</f>
        <v>(1)预付款项按账龄列示</v>
      </c>
      <c r="H859" s="1517" t="str">
        <f>$A859</f>
        <v>1125a</v>
      </c>
      <c r="I859" s="343" t="s">
        <v>2743</v>
      </c>
      <c r="J859" s="301" t="s">
        <v>2744</v>
      </c>
      <c r="K859" s="2210">
        <f>H869</f>
        <v>815153.11</v>
      </c>
      <c r="L859" s="345" t="str">
        <f>IF($I859="适用",IF(ROUND(K$858-K859,2)=0,"F/S",ROUND(K$858-K859,2)),"#N/A")</f>
        <v>F/S</v>
      </c>
      <c r="M859" s="301" t="s">
        <v>2745</v>
      </c>
      <c r="N859" s="2210">
        <f>J869</f>
        <v>916036.19</v>
      </c>
      <c r="O859" s="345" t="str">
        <f>IF($I859="适用",IF(ROUND(N$858-N859,2)=0,"F/S",ROUND(N$858-N859,2)),"#N/A")</f>
        <v>F/S</v>
      </c>
      <c r="P859" s="301"/>
      <c r="Q859" s="290" t="str">
        <f>IF($I859="不适用","",IF(ROUND(SUM($H$864:$M$869),2)=0,"请输入",""))</f>
        <v/>
      </c>
      <c r="S859" s="364"/>
      <c r="Z859" s="609" t="s">
        <v>475</v>
      </c>
      <c r="AA859" s="609" t="s">
        <v>5652</v>
      </c>
    </row>
    <row r="860" spans="1:27" ht="0.75" customHeight="1">
      <c r="A860" s="2714"/>
      <c r="B860" s="371"/>
      <c r="C860" s="371"/>
      <c r="D860" s="371"/>
      <c r="F860" s="371"/>
      <c r="G860" s="371" t="s">
        <v>3101</v>
      </c>
      <c r="H860" s="371" t="s">
        <v>2882</v>
      </c>
      <c r="I860" s="371" t="s">
        <v>3102</v>
      </c>
      <c r="J860" s="371" t="s">
        <v>6192</v>
      </c>
      <c r="K860" s="371" t="s">
        <v>6193</v>
      </c>
      <c r="L860" s="433"/>
      <c r="M860" s="505"/>
      <c r="N860" s="472"/>
      <c r="O860" s="472"/>
      <c r="P860" s="442"/>
      <c r="Q860" s="442"/>
      <c r="R860" s="443"/>
      <c r="S860" s="364"/>
      <c r="Z860" s="609" t="s">
        <v>475</v>
      </c>
      <c r="AA860" s="609" t="s">
        <v>5652</v>
      </c>
    </row>
    <row r="861" spans="1:27" ht="0.75" customHeight="1" thickBot="1">
      <c r="A861" s="2714"/>
      <c r="B861" s="371"/>
      <c r="C861" s="371"/>
      <c r="D861" s="371"/>
      <c r="F861" s="371"/>
      <c r="G861" s="371"/>
      <c r="H861" s="371" t="s">
        <v>3103</v>
      </c>
      <c r="I861" s="371" t="s">
        <v>3104</v>
      </c>
      <c r="J861" s="371" t="s">
        <v>3105</v>
      </c>
      <c r="K861" s="371" t="s">
        <v>3106</v>
      </c>
      <c r="L861" s="433"/>
      <c r="M861" s="505"/>
      <c r="N861" s="472"/>
      <c r="O861" s="472"/>
      <c r="P861" s="442"/>
      <c r="Q861" s="442"/>
      <c r="R861" s="443"/>
      <c r="S861" s="364"/>
      <c r="Z861" s="609" t="s">
        <v>475</v>
      </c>
      <c r="AA861" s="609" t="s">
        <v>5652</v>
      </c>
    </row>
    <row r="862" spans="1:27" ht="18">
      <c r="A862" s="2714"/>
      <c r="B862" s="371"/>
      <c r="C862" s="371"/>
      <c r="D862" s="371"/>
      <c r="E862" s="2716" t="s">
        <v>2749</v>
      </c>
      <c r="F862" s="294"/>
      <c r="G862" s="3506" t="s">
        <v>1439</v>
      </c>
      <c r="H862" s="3400" t="str">
        <f>$V$2</f>
        <v>2019年12月31日</v>
      </c>
      <c r="I862" s="3402"/>
      <c r="J862" s="3400" t="str">
        <f>$V$3</f>
        <v>2018年12月31日</v>
      </c>
      <c r="K862" s="3401"/>
      <c r="L862" s="355" t="s">
        <v>5272</v>
      </c>
      <c r="M862" s="438"/>
      <c r="N862" s="473"/>
      <c r="O862" s="472"/>
      <c r="P862" s="442"/>
      <c r="Q862" s="442"/>
      <c r="R862" s="443"/>
      <c r="S862" s="364"/>
      <c r="Z862" s="609" t="s">
        <v>475</v>
      </c>
      <c r="AA862" s="609" t="s">
        <v>5652</v>
      </c>
    </row>
    <row r="863" spans="1:27" ht="18">
      <c r="A863" s="2714"/>
      <c r="B863" s="371"/>
      <c r="C863" s="371"/>
      <c r="D863" s="371"/>
      <c r="E863" s="2716" t="s">
        <v>2749</v>
      </c>
      <c r="F863" s="294"/>
      <c r="G863" s="3507"/>
      <c r="H863" s="502" t="s">
        <v>2887</v>
      </c>
      <c r="I863" s="502" t="s">
        <v>3107</v>
      </c>
      <c r="J863" s="502" t="s">
        <v>2887</v>
      </c>
      <c r="K863" s="508" t="s">
        <v>3107</v>
      </c>
      <c r="L863" s="442"/>
      <c r="M863" s="438"/>
      <c r="N863" s="472"/>
      <c r="O863" s="472"/>
      <c r="P863" s="442"/>
      <c r="Q863" s="442"/>
      <c r="R863" s="443"/>
      <c r="S863" s="364"/>
      <c r="Z863" s="609" t="s">
        <v>475</v>
      </c>
      <c r="AA863" s="609" t="s">
        <v>5652</v>
      </c>
    </row>
    <row r="864" spans="1:27" ht="18">
      <c r="A864" s="2714"/>
      <c r="B864" s="371">
        <v>101</v>
      </c>
      <c r="C864" s="371" t="s">
        <v>2791</v>
      </c>
      <c r="D864" s="2716">
        <f t="shared" ref="D864:D869" si="75">IF(OR(G864="*",G864="",G864=0),0,COUNTIF($G$864:$G$869,G864))</f>
        <v>1</v>
      </c>
      <c r="E864" s="2721">
        <v>1</v>
      </c>
      <c r="F864" s="294"/>
      <c r="G864" s="2548" t="s">
        <v>2938</v>
      </c>
      <c r="H864" s="309">
        <v>533768.18999999994</v>
      </c>
      <c r="I864" s="360">
        <f>IF(H$869*H864=0,"",ROUND(H864*100/H$869,2))</f>
        <v>65.48</v>
      </c>
      <c r="J864" s="309">
        <v>828132.34</v>
      </c>
      <c r="K864" s="388">
        <f>IF(J$869*J864=0,"",ROUND(J864*100/J$869,2))</f>
        <v>90.4</v>
      </c>
      <c r="L864" s="442"/>
      <c r="M864" s="438"/>
      <c r="N864" s="472"/>
      <c r="O864" s="472"/>
      <c r="P864" s="442"/>
      <c r="Q864" s="442"/>
      <c r="R864" s="443"/>
      <c r="S864" s="364"/>
      <c r="Z864" s="609" t="s">
        <v>475</v>
      </c>
      <c r="AA864" s="609" t="s">
        <v>5652</v>
      </c>
    </row>
    <row r="865" spans="1:27" ht="18">
      <c r="A865" s="2714"/>
      <c r="B865" s="371">
        <v>102</v>
      </c>
      <c r="C865" s="371" t="s">
        <v>2791</v>
      </c>
      <c r="D865" s="2716">
        <f t="shared" si="75"/>
        <v>1</v>
      </c>
      <c r="E865" s="2721">
        <v>1</v>
      </c>
      <c r="F865" s="294"/>
      <c r="G865" s="2548" t="s">
        <v>2940</v>
      </c>
      <c r="H865" s="309">
        <v>234269.98</v>
      </c>
      <c r="I865" s="360">
        <f>IF(H$869*H865=0,"",ROUND(H865*100/H$869,2))</f>
        <v>28.74</v>
      </c>
      <c r="J865" s="309">
        <v>58654.71</v>
      </c>
      <c r="K865" s="388">
        <f>IF(J$869*J865=0,"",ROUND(J865*100/J$869,2))</f>
        <v>6.4</v>
      </c>
      <c r="L865" s="442"/>
      <c r="M865" s="438"/>
      <c r="N865" s="472"/>
      <c r="O865" s="472"/>
      <c r="P865" s="442"/>
      <c r="Q865" s="442"/>
      <c r="R865" s="443"/>
      <c r="S865" s="364"/>
      <c r="Z865" s="609" t="s">
        <v>475</v>
      </c>
      <c r="AA865" s="609" t="s">
        <v>5652</v>
      </c>
    </row>
    <row r="866" spans="1:27" ht="18">
      <c r="A866" s="2714"/>
      <c r="B866" s="371">
        <v>103</v>
      </c>
      <c r="C866" s="371" t="s">
        <v>2791</v>
      </c>
      <c r="D866" s="2716">
        <f t="shared" si="75"/>
        <v>1</v>
      </c>
      <c r="E866" s="2721">
        <v>1</v>
      </c>
      <c r="F866" s="294"/>
      <c r="G866" s="1506" t="s">
        <v>2941</v>
      </c>
      <c r="H866" s="309">
        <v>27231.8</v>
      </c>
      <c r="I866" s="360">
        <f>IF(H$869*H866=0,"",ROUND(H866*100/H$869,2))</f>
        <v>3.34</v>
      </c>
      <c r="J866" s="309">
        <v>3892.49</v>
      </c>
      <c r="K866" s="388">
        <f>IF(J$869*J866=0,"",ROUND(J866*100/J$869,2))</f>
        <v>0.42</v>
      </c>
      <c r="L866" s="442"/>
      <c r="M866" s="438"/>
      <c r="N866" s="472"/>
      <c r="O866" s="472"/>
      <c r="P866" s="442"/>
      <c r="Q866" s="442"/>
      <c r="R866" s="443"/>
      <c r="S866" s="364"/>
      <c r="Z866" s="609" t="s">
        <v>475</v>
      </c>
      <c r="AA866" s="609" t="s">
        <v>5652</v>
      </c>
    </row>
    <row r="867" spans="1:27" ht="18">
      <c r="A867" s="2714"/>
      <c r="B867" s="371">
        <v>104</v>
      </c>
      <c r="C867" s="371" t="s">
        <v>2791</v>
      </c>
      <c r="D867" s="2716">
        <f t="shared" si="75"/>
        <v>1</v>
      </c>
      <c r="E867" s="2721">
        <v>1</v>
      </c>
      <c r="F867" s="294"/>
      <c r="G867" s="1506" t="s">
        <v>3108</v>
      </c>
      <c r="H867" s="309">
        <v>19883.14</v>
      </c>
      <c r="I867" s="360">
        <f>IF(H$869*H867=0,"",ROUND(H867*100/H$869,2))</f>
        <v>2.44</v>
      </c>
      <c r="J867" s="309">
        <v>25356.65</v>
      </c>
      <c r="K867" s="388">
        <f>IF(J$869*J867=0,"",ROUND(J867*100/J$869,2))</f>
        <v>2.77</v>
      </c>
      <c r="L867" s="442"/>
      <c r="M867" s="438"/>
      <c r="N867" s="472"/>
      <c r="O867" s="472"/>
      <c r="P867" s="442"/>
      <c r="Q867" s="442"/>
      <c r="R867" s="443"/>
      <c r="S867" s="364"/>
      <c r="Z867" s="609" t="s">
        <v>475</v>
      </c>
      <c r="AA867" s="609" t="s">
        <v>5652</v>
      </c>
    </row>
    <row r="868" spans="1:27" ht="18">
      <c r="A868" s="2714"/>
      <c r="B868" s="371">
        <v>105</v>
      </c>
      <c r="C868" s="371" t="s">
        <v>2791</v>
      </c>
      <c r="D868" s="2716">
        <f t="shared" si="75"/>
        <v>0</v>
      </c>
      <c r="E868" s="2721">
        <v>1</v>
      </c>
      <c r="F868" s="294"/>
      <c r="G868" s="319" t="s">
        <v>2792</v>
      </c>
      <c r="H868" s="309"/>
      <c r="I868" s="360" t="str">
        <f>IF(H$869*H868=0,"",ROUND(H868*100/H$869,2))</f>
        <v/>
      </c>
      <c r="J868" s="309"/>
      <c r="K868" s="388" t="str">
        <f>IF(J$869*J868=0,"",ROUND(J868*100/J$869,2))</f>
        <v/>
      </c>
      <c r="L868" s="442"/>
      <c r="M868" s="438"/>
      <c r="N868" s="472"/>
      <c r="O868" s="472"/>
      <c r="P868" s="442"/>
      <c r="Q868" s="442"/>
      <c r="R868" s="443"/>
      <c r="S868" s="364"/>
      <c r="Z868" s="609" t="s">
        <v>475</v>
      </c>
      <c r="AA868" s="609" t="s">
        <v>5652</v>
      </c>
    </row>
    <row r="869" spans="1:27" ht="18.75" thickBot="1">
      <c r="A869" s="2714"/>
      <c r="B869" s="371"/>
      <c r="C869" s="371"/>
      <c r="D869" s="2716">
        <f t="shared" si="75"/>
        <v>1</v>
      </c>
      <c r="E869" s="2721" t="s">
        <v>2751</v>
      </c>
      <c r="F869" s="294"/>
      <c r="G869" s="374" t="s">
        <v>2752</v>
      </c>
      <c r="H869" s="375">
        <f>SUMPRODUCT($E863:$E868,H863:H868)</f>
        <v>815153.11</v>
      </c>
      <c r="I869" s="509">
        <f t="shared" ref="I869:K869" si="76">SUMPRODUCT($E863:$E868,I863:I868)</f>
        <v>100</v>
      </c>
      <c r="J869" s="375">
        <f t="shared" si="76"/>
        <v>916036.19</v>
      </c>
      <c r="K869" s="510">
        <f t="shared" si="76"/>
        <v>99.99</v>
      </c>
      <c r="L869" s="442"/>
      <c r="M869" s="438"/>
      <c r="N869" s="472"/>
      <c r="O869" s="472"/>
      <c r="P869" s="442"/>
      <c r="Q869" s="442"/>
      <c r="R869" s="443"/>
      <c r="S869" s="364"/>
      <c r="Z869" s="609" t="s">
        <v>475</v>
      </c>
      <c r="AA869" s="609" t="s">
        <v>5652</v>
      </c>
    </row>
    <row r="870" spans="1:27" ht="18">
      <c r="A870" s="2714"/>
      <c r="B870" s="371"/>
      <c r="C870" s="371" t="s">
        <v>2755</v>
      </c>
      <c r="D870" s="371"/>
      <c r="F870" s="294"/>
      <c r="G870" s="301"/>
      <c r="H870" s="315"/>
      <c r="I870" s="393"/>
      <c r="J870" s="315"/>
      <c r="K870" s="393"/>
      <c r="L870" s="437"/>
      <c r="M870" s="438"/>
      <c r="N870" s="472"/>
      <c r="O870" s="472"/>
      <c r="P870" s="442"/>
      <c r="Q870" s="442"/>
      <c r="R870" s="443"/>
      <c r="S870" s="364"/>
      <c r="Z870" s="609" t="s">
        <v>475</v>
      </c>
      <c r="AA870" s="609" t="s">
        <v>5652</v>
      </c>
    </row>
    <row r="871" spans="1:27" ht="24">
      <c r="A871" s="2714" t="s">
        <v>478</v>
      </c>
      <c r="B871" s="371">
        <v>2</v>
      </c>
      <c r="C871" s="371"/>
      <c r="D871" s="2716" t="str">
        <f>VLOOKUP($A871,Sheet_NoteList,2,0)</f>
        <v>按预付对象归集的期末余额前五名的预付款项情况</v>
      </c>
      <c r="E871" s="2716" t="s">
        <v>2742</v>
      </c>
      <c r="F871" s="294"/>
      <c r="G871" s="372" t="str">
        <f>"("&amp;B871&amp;")"&amp;D871</f>
        <v>(2)按预付对象归集的期末余额前五名的预付款项情况</v>
      </c>
      <c r="H871" s="1517" t="str">
        <f>$A871</f>
        <v>1125c</v>
      </c>
      <c r="I871" s="343" t="s">
        <v>2743</v>
      </c>
      <c r="J871" s="301" t="s">
        <v>2744</v>
      </c>
      <c r="K871" s="2210">
        <f>H888</f>
        <v>0</v>
      </c>
      <c r="L871" s="345" t="str">
        <f>IF($I871="适用",IF(ROUND(K$858-K871,2)&gt;=0,"","#Logical!"),"#N/A")</f>
        <v/>
      </c>
      <c r="M871" s="301"/>
      <c r="N871" s="3083"/>
      <c r="O871" s="345" t="str">
        <f>IF(ROUND(N$858-N871,2)&gt;=0,"","#Logical!")</f>
        <v/>
      </c>
      <c r="P871" s="301"/>
      <c r="Q871" s="290" t="str">
        <f>IF($I871="不适用","",IF(ROUND(SUM($H$874:$I$888),2)=0,"请输入",""))</f>
        <v>请输入</v>
      </c>
      <c r="S871" s="364"/>
      <c r="Z871" s="609" t="s">
        <v>475</v>
      </c>
      <c r="AA871" s="609" t="s">
        <v>5652</v>
      </c>
    </row>
    <row r="872" spans="1:27" ht="0.75" customHeight="1" thickBot="1">
      <c r="A872" s="2714"/>
      <c r="B872" s="371"/>
      <c r="C872" s="371"/>
      <c r="D872" s="371"/>
      <c r="F872" s="304"/>
      <c r="G872" s="304" t="s">
        <v>3113</v>
      </c>
      <c r="H872" s="304" t="s">
        <v>2849</v>
      </c>
      <c r="I872" s="304" t="s">
        <v>3051</v>
      </c>
      <c r="J872" s="291"/>
      <c r="K872" s="291"/>
      <c r="L872" s="291"/>
      <c r="M872" s="291"/>
      <c r="N872" s="291"/>
      <c r="O872" s="291"/>
      <c r="P872" s="291"/>
      <c r="S872" s="364"/>
      <c r="Z872" s="609" t="s">
        <v>475</v>
      </c>
      <c r="AA872" s="609" t="s">
        <v>5652</v>
      </c>
    </row>
    <row r="873" spans="1:27" ht="36">
      <c r="A873" s="2714"/>
      <c r="B873" s="371"/>
      <c r="C873" s="371"/>
      <c r="D873" s="371"/>
      <c r="E873" s="2716" t="s">
        <v>2749</v>
      </c>
      <c r="F873" s="294"/>
      <c r="G873" s="2482" t="s">
        <v>1465</v>
      </c>
      <c r="H873" s="2483" t="str">
        <f>$W$2&amp;"余额"</f>
        <v>2019年12月31日余额</v>
      </c>
      <c r="I873" s="2484" t="s">
        <v>3114</v>
      </c>
      <c r="J873" s="355" t="s">
        <v>5272</v>
      </c>
      <c r="K873" s="291"/>
      <c r="L873" s="291"/>
      <c r="M873" s="291"/>
      <c r="N873" s="291"/>
      <c r="O873" s="291"/>
      <c r="P873" s="291"/>
      <c r="S873" s="364"/>
      <c r="Z873" s="609" t="s">
        <v>475</v>
      </c>
      <c r="AA873" s="609" t="s">
        <v>5652</v>
      </c>
    </row>
    <row r="874" spans="1:27" ht="24">
      <c r="A874" s="2714"/>
      <c r="B874" s="371">
        <v>101</v>
      </c>
      <c r="C874" s="371"/>
      <c r="D874" s="2716">
        <f t="shared" ref="D874:D888" si="77">IF(OR(G874="*",G874="",G874=0),0,COUNTIF($G$874:$G$888,G874))</f>
        <v>1</v>
      </c>
      <c r="E874" s="2721" t="s">
        <v>41</v>
      </c>
      <c r="F874" s="294"/>
      <c r="G874" s="308" t="s">
        <v>3115</v>
      </c>
      <c r="H874" s="309"/>
      <c r="I874" s="388"/>
      <c r="J874" s="291"/>
      <c r="K874" s="291"/>
      <c r="L874" s="291"/>
      <c r="M874" s="291"/>
      <c r="N874" s="291"/>
      <c r="O874" s="291"/>
      <c r="P874" s="291"/>
      <c r="S874" s="364"/>
      <c r="Z874" s="609" t="s">
        <v>475</v>
      </c>
      <c r="AA874" s="609" t="s">
        <v>5652</v>
      </c>
    </row>
    <row r="875" spans="1:27" ht="18">
      <c r="A875" s="2714"/>
      <c r="B875" s="371">
        <v>101.001</v>
      </c>
      <c r="C875" s="371" t="s">
        <v>2791</v>
      </c>
      <c r="D875" s="2716">
        <f t="shared" si="77"/>
        <v>0</v>
      </c>
      <c r="E875" s="2721" t="s">
        <v>3116</v>
      </c>
      <c r="F875" s="294"/>
      <c r="G875" s="1460" t="s">
        <v>2792</v>
      </c>
      <c r="H875" s="309"/>
      <c r="I875" s="388"/>
      <c r="J875" s="291"/>
      <c r="K875" s="291"/>
      <c r="L875" s="291"/>
      <c r="M875" s="291"/>
      <c r="N875" s="291"/>
      <c r="O875" s="291"/>
      <c r="P875" s="291"/>
      <c r="S875" s="364"/>
      <c r="Z875" s="609" t="s">
        <v>475</v>
      </c>
      <c r="AA875" s="609" t="s">
        <v>5652</v>
      </c>
    </row>
    <row r="876" spans="1:27" ht="18">
      <c r="A876" s="2714"/>
      <c r="B876" s="371">
        <v>101.002</v>
      </c>
      <c r="C876" s="371" t="s">
        <v>2791</v>
      </c>
      <c r="D876" s="2716">
        <f t="shared" si="77"/>
        <v>0</v>
      </c>
      <c r="E876" s="2721" t="s">
        <v>3116</v>
      </c>
      <c r="F876" s="294"/>
      <c r="G876" s="1460" t="s">
        <v>2792</v>
      </c>
      <c r="H876" s="309"/>
      <c r="I876" s="388"/>
      <c r="J876" s="291"/>
      <c r="K876" s="291"/>
      <c r="L876" s="291"/>
      <c r="M876" s="291"/>
      <c r="N876" s="291"/>
      <c r="O876" s="291"/>
      <c r="P876" s="291"/>
      <c r="S876" s="364"/>
      <c r="Z876" s="609" t="s">
        <v>475</v>
      </c>
      <c r="AA876" s="609" t="s">
        <v>5652</v>
      </c>
    </row>
    <row r="877" spans="1:27" ht="18">
      <c r="A877" s="2714"/>
      <c r="B877" s="371">
        <v>101.003</v>
      </c>
      <c r="C877" s="371" t="s">
        <v>2791</v>
      </c>
      <c r="D877" s="2716">
        <f t="shared" si="77"/>
        <v>0</v>
      </c>
      <c r="E877" s="2721" t="s">
        <v>3116</v>
      </c>
      <c r="F877" s="294"/>
      <c r="G877" s="1460" t="s">
        <v>2792</v>
      </c>
      <c r="H877" s="309"/>
      <c r="I877" s="388"/>
      <c r="J877" s="291"/>
      <c r="K877" s="291"/>
      <c r="L877" s="291"/>
      <c r="M877" s="291"/>
      <c r="N877" s="291"/>
      <c r="O877" s="291"/>
      <c r="P877" s="291"/>
      <c r="S877" s="364"/>
      <c r="Z877" s="609" t="s">
        <v>475</v>
      </c>
      <c r="AA877" s="609" t="s">
        <v>5652</v>
      </c>
    </row>
    <row r="878" spans="1:27" ht="18">
      <c r="A878" s="2714"/>
      <c r="B878" s="371">
        <v>101.004</v>
      </c>
      <c r="C878" s="371" t="s">
        <v>2791</v>
      </c>
      <c r="D878" s="2716">
        <f t="shared" si="77"/>
        <v>0</v>
      </c>
      <c r="E878" s="2721" t="s">
        <v>3116</v>
      </c>
      <c r="F878" s="294"/>
      <c r="G878" s="1460" t="s">
        <v>2792</v>
      </c>
      <c r="H878" s="309"/>
      <c r="I878" s="388"/>
      <c r="J878" s="291"/>
      <c r="K878" s="291"/>
      <c r="L878" s="291"/>
      <c r="M878" s="291"/>
      <c r="N878" s="291"/>
      <c r="O878" s="291"/>
      <c r="P878" s="291"/>
      <c r="S878" s="364"/>
      <c r="Z878" s="609" t="s">
        <v>475</v>
      </c>
      <c r="AA878" s="609" t="s">
        <v>5652</v>
      </c>
    </row>
    <row r="879" spans="1:27" ht="18">
      <c r="A879" s="2714"/>
      <c r="B879" s="371">
        <v>101.005</v>
      </c>
      <c r="C879" s="371" t="s">
        <v>2791</v>
      </c>
      <c r="D879" s="2716">
        <f t="shared" si="77"/>
        <v>0</v>
      </c>
      <c r="E879" s="2721" t="s">
        <v>3116</v>
      </c>
      <c r="F879" s="294"/>
      <c r="G879" s="1460" t="s">
        <v>2792</v>
      </c>
      <c r="H879" s="309"/>
      <c r="I879" s="388"/>
      <c r="J879" s="291"/>
      <c r="K879" s="291"/>
      <c r="L879" s="291"/>
      <c r="M879" s="291"/>
      <c r="N879" s="291"/>
      <c r="O879" s="291"/>
      <c r="P879" s="291"/>
      <c r="S879" s="364"/>
      <c r="Z879" s="609" t="s">
        <v>475</v>
      </c>
      <c r="AA879" s="609" t="s">
        <v>5652</v>
      </c>
    </row>
    <row r="880" spans="1:27" ht="24">
      <c r="A880" s="2714"/>
      <c r="B880" s="371">
        <v>101.999</v>
      </c>
      <c r="C880" s="371" t="s">
        <v>2793</v>
      </c>
      <c r="D880" s="2716">
        <f t="shared" si="77"/>
        <v>1</v>
      </c>
      <c r="E880" s="2721">
        <v>1</v>
      </c>
      <c r="F880" s="294"/>
      <c r="G880" s="308" t="s">
        <v>3116</v>
      </c>
      <c r="H880" s="377">
        <f>SUMIF($E$873:$E$887,$G880,H$873:H$887)</f>
        <v>0</v>
      </c>
      <c r="I880" s="388"/>
      <c r="J880" s="291"/>
      <c r="K880" s="291"/>
      <c r="L880" s="291"/>
      <c r="M880" s="291"/>
      <c r="N880" s="291"/>
      <c r="O880" s="291"/>
      <c r="P880" s="291"/>
      <c r="S880" s="364"/>
      <c r="Z880" s="609" t="s">
        <v>475</v>
      </c>
      <c r="AA880" s="609" t="s">
        <v>5652</v>
      </c>
    </row>
    <row r="881" spans="1:27" ht="36">
      <c r="A881" s="2714"/>
      <c r="B881" s="371">
        <v>102</v>
      </c>
      <c r="C881" s="371"/>
      <c r="D881" s="2716">
        <f t="shared" si="77"/>
        <v>1</v>
      </c>
      <c r="E881" s="2721" t="s">
        <v>41</v>
      </c>
      <c r="F881" s="294"/>
      <c r="G881" s="1459" t="s">
        <v>3058</v>
      </c>
      <c r="H881" s="309"/>
      <c r="I881" s="388"/>
      <c r="J881" s="355" t="s">
        <v>5142</v>
      </c>
      <c r="K881" s="291"/>
      <c r="L881" s="291"/>
      <c r="M881" s="291"/>
      <c r="N881" s="291"/>
      <c r="O881" s="291"/>
      <c r="P881" s="291"/>
      <c r="S881" s="364"/>
      <c r="Z881" s="609" t="s">
        <v>475</v>
      </c>
      <c r="AA881" s="609" t="s">
        <v>5652</v>
      </c>
    </row>
    <row r="882" spans="1:27" ht="18">
      <c r="A882" s="2714"/>
      <c r="B882" s="371">
        <v>102.001</v>
      </c>
      <c r="C882" s="371" t="s">
        <v>2791</v>
      </c>
      <c r="D882" s="2716">
        <f t="shared" si="77"/>
        <v>0</v>
      </c>
      <c r="E882" s="2721" t="s">
        <v>2875</v>
      </c>
      <c r="F882" s="294"/>
      <c r="G882" s="1460" t="s">
        <v>2792</v>
      </c>
      <c r="H882" s="309"/>
      <c r="I882" s="388"/>
      <c r="J882" s="291"/>
      <c r="K882" s="291"/>
      <c r="L882" s="291"/>
      <c r="M882" s="291"/>
      <c r="N882" s="291"/>
      <c r="O882" s="291"/>
      <c r="P882" s="291"/>
      <c r="S882" s="364"/>
      <c r="Z882" s="609" t="s">
        <v>475</v>
      </c>
      <c r="AA882" s="609" t="s">
        <v>5652</v>
      </c>
    </row>
    <row r="883" spans="1:27" ht="18">
      <c r="A883" s="2714"/>
      <c r="B883" s="371">
        <v>102.002</v>
      </c>
      <c r="C883" s="371" t="s">
        <v>2791</v>
      </c>
      <c r="D883" s="2716">
        <f t="shared" si="77"/>
        <v>0</v>
      </c>
      <c r="E883" s="2721" t="s">
        <v>2875</v>
      </c>
      <c r="F883" s="294"/>
      <c r="G883" s="1460" t="s">
        <v>2792</v>
      </c>
      <c r="H883" s="309"/>
      <c r="I883" s="388"/>
      <c r="J883" s="291"/>
      <c r="K883" s="291"/>
      <c r="L883" s="291"/>
      <c r="M883" s="291"/>
      <c r="N883" s="291"/>
      <c r="O883" s="291"/>
      <c r="P883" s="291"/>
      <c r="S883" s="364"/>
      <c r="Z883" s="609" t="s">
        <v>475</v>
      </c>
      <c r="AA883" s="609" t="s">
        <v>5652</v>
      </c>
    </row>
    <row r="884" spans="1:27" ht="18">
      <c r="A884" s="2714"/>
      <c r="B884" s="371">
        <v>102.003</v>
      </c>
      <c r="C884" s="371" t="s">
        <v>2791</v>
      </c>
      <c r="D884" s="2716">
        <f t="shared" si="77"/>
        <v>0</v>
      </c>
      <c r="E884" s="2721" t="s">
        <v>2875</v>
      </c>
      <c r="F884" s="294"/>
      <c r="G884" s="1460" t="s">
        <v>2792</v>
      </c>
      <c r="H884" s="309"/>
      <c r="I884" s="388"/>
      <c r="J884" s="291"/>
      <c r="K884" s="291"/>
      <c r="L884" s="291"/>
      <c r="M884" s="291"/>
      <c r="N884" s="291"/>
      <c r="O884" s="291"/>
      <c r="P884" s="291"/>
      <c r="S884" s="364"/>
      <c r="Z884" s="609" t="s">
        <v>475</v>
      </c>
      <c r="AA884" s="609" t="s">
        <v>5652</v>
      </c>
    </row>
    <row r="885" spans="1:27" ht="18">
      <c r="A885" s="2714"/>
      <c r="B885" s="371">
        <v>102.004</v>
      </c>
      <c r="C885" s="371" t="s">
        <v>2791</v>
      </c>
      <c r="D885" s="2716">
        <f t="shared" si="77"/>
        <v>0</v>
      </c>
      <c r="E885" s="2721" t="s">
        <v>2875</v>
      </c>
      <c r="F885" s="294"/>
      <c r="G885" s="1460" t="s">
        <v>2792</v>
      </c>
      <c r="H885" s="309"/>
      <c r="I885" s="388"/>
      <c r="J885" s="291"/>
      <c r="K885" s="291"/>
      <c r="L885" s="291"/>
      <c r="M885" s="291"/>
      <c r="N885" s="291"/>
      <c r="O885" s="291"/>
      <c r="P885" s="291"/>
      <c r="S885" s="364"/>
      <c r="Z885" s="609" t="s">
        <v>475</v>
      </c>
      <c r="AA885" s="609" t="s">
        <v>5652</v>
      </c>
    </row>
    <row r="886" spans="1:27" ht="18">
      <c r="A886" s="2714"/>
      <c r="B886" s="371">
        <v>102.005</v>
      </c>
      <c r="C886" s="371" t="s">
        <v>2791</v>
      </c>
      <c r="D886" s="2716">
        <f t="shared" si="77"/>
        <v>0</v>
      </c>
      <c r="E886" s="2721" t="s">
        <v>2875</v>
      </c>
      <c r="F886" s="294"/>
      <c r="G886" s="1460" t="s">
        <v>2792</v>
      </c>
      <c r="H886" s="309"/>
      <c r="I886" s="388"/>
      <c r="J886" s="291"/>
      <c r="K886" s="291"/>
      <c r="L886" s="291"/>
      <c r="M886" s="291"/>
      <c r="N886" s="291"/>
      <c r="O886" s="291"/>
      <c r="P886" s="291"/>
      <c r="S886" s="364"/>
      <c r="Z886" s="609" t="s">
        <v>475</v>
      </c>
      <c r="AA886" s="609" t="s">
        <v>5652</v>
      </c>
    </row>
    <row r="887" spans="1:27" ht="18">
      <c r="A887" s="2714"/>
      <c r="B887" s="371">
        <v>102.999</v>
      </c>
      <c r="C887" s="371" t="s">
        <v>2793</v>
      </c>
      <c r="D887" s="2716">
        <f t="shared" si="77"/>
        <v>1</v>
      </c>
      <c r="E887" s="2721">
        <v>0</v>
      </c>
      <c r="F887" s="294"/>
      <c r="G887" s="308" t="s">
        <v>2875</v>
      </c>
      <c r="H887" s="377">
        <f>SUMIF($E$873:$E$887,$G887,H$873:H$887)</f>
        <v>0</v>
      </c>
      <c r="I887" s="388"/>
      <c r="J887" s="291"/>
      <c r="K887" s="291"/>
      <c r="L887" s="291"/>
      <c r="M887" s="291"/>
      <c r="N887" s="291"/>
      <c r="O887" s="291"/>
      <c r="P887" s="291"/>
      <c r="S887" s="364"/>
      <c r="Z887" s="609" t="s">
        <v>475</v>
      </c>
      <c r="AA887" s="609" t="s">
        <v>5652</v>
      </c>
    </row>
    <row r="888" spans="1:27" ht="18.75" thickBot="1">
      <c r="A888" s="2714"/>
      <c r="B888" s="371"/>
      <c r="C888" s="371"/>
      <c r="D888" s="2716">
        <f t="shared" si="77"/>
        <v>1</v>
      </c>
      <c r="E888" s="2721" t="s">
        <v>2751</v>
      </c>
      <c r="F888" s="294"/>
      <c r="G888" s="2234" t="s">
        <v>2752</v>
      </c>
      <c r="H888" s="2325">
        <f>SUMPRODUCT($E873:$E887,H873:H887)</f>
        <v>0</v>
      </c>
      <c r="I888" s="2496"/>
      <c r="J888" s="291"/>
      <c r="K888" s="291"/>
      <c r="L888" s="291"/>
      <c r="M888" s="291"/>
      <c r="N888" s="291"/>
      <c r="O888" s="291"/>
      <c r="P888" s="291"/>
      <c r="S888" s="364"/>
      <c r="Z888" s="609" t="s">
        <v>475</v>
      </c>
      <c r="AA888" s="609" t="s">
        <v>5652</v>
      </c>
    </row>
    <row r="889" spans="1:27" ht="18">
      <c r="A889" s="2714"/>
      <c r="B889" s="371"/>
      <c r="C889" s="371" t="s">
        <v>2755</v>
      </c>
      <c r="D889" s="371"/>
      <c r="F889" s="294"/>
      <c r="G889" s="301"/>
      <c r="H889" s="315"/>
      <c r="I889" s="393"/>
      <c r="J889" s="291"/>
      <c r="K889" s="291"/>
      <c r="L889" s="291"/>
      <c r="M889" s="291"/>
      <c r="N889" s="291"/>
      <c r="O889" s="291"/>
      <c r="P889" s="291"/>
      <c r="S889" s="364"/>
      <c r="Z889" s="609" t="s">
        <v>475</v>
      </c>
      <c r="AA889" s="609" t="s">
        <v>5652</v>
      </c>
    </row>
    <row r="890" spans="1:27" ht="24">
      <c r="A890" s="2714" t="s">
        <v>482</v>
      </c>
      <c r="B890" s="371">
        <v>3</v>
      </c>
      <c r="C890" s="371"/>
      <c r="D890" s="2716" t="str">
        <f>VLOOKUP($A890,Sheet_NoteList,2,0)</f>
        <v>账龄超过1年的金额重要的预付账款</v>
      </c>
      <c r="E890" s="2716" t="s">
        <v>6531</v>
      </c>
      <c r="F890" s="294"/>
      <c r="G890" s="372" t="str">
        <f>"("&amp;B890&amp;")"&amp;D890</f>
        <v>(3)账龄超过1年的金额重要的预付账款</v>
      </c>
      <c r="H890" s="1517" t="str">
        <f>$A890</f>
        <v>1125d</v>
      </c>
      <c r="I890" s="343" t="s">
        <v>5545</v>
      </c>
      <c r="J890" s="301" t="s">
        <v>5544</v>
      </c>
      <c r="K890" s="2210">
        <f>H898</f>
        <v>0</v>
      </c>
      <c r="L890" s="1535">
        <f>IF($I890="适用",IF(ROUND(K858-K890,2)&gt;=0,IF(K858&lt;&gt;0,K890/K858,""),"#Logical!"),"#N/A")</f>
        <v>0</v>
      </c>
      <c r="M890" s="301"/>
      <c r="N890" s="3083"/>
      <c r="O890" s="345" t="str">
        <f>IF(ROUND(N$858-N890,2)&gt;=0,"","#Logical!")</f>
        <v/>
      </c>
      <c r="P890" s="301"/>
      <c r="Q890" s="290" t="str">
        <f>IF($I890="不适用","",IF(ROUND(SUM($H$893:$J$898),2)=0,"请输入",""))</f>
        <v>请输入</v>
      </c>
      <c r="S890" s="364"/>
      <c r="Z890" s="609" t="s">
        <v>475</v>
      </c>
      <c r="AA890" s="609" t="s">
        <v>5652</v>
      </c>
    </row>
    <row r="891" spans="1:27" ht="0.75" customHeight="1" thickBot="1">
      <c r="A891" s="2714"/>
      <c r="B891" s="371"/>
      <c r="C891" s="371"/>
      <c r="D891" s="371"/>
      <c r="F891" s="294"/>
      <c r="G891" s="294" t="s">
        <v>3109</v>
      </c>
      <c r="H891" s="294" t="s">
        <v>2747</v>
      </c>
      <c r="I891" s="294" t="s">
        <v>3110</v>
      </c>
      <c r="J891" s="294" t="s">
        <v>3111</v>
      </c>
      <c r="K891" s="291"/>
      <c r="L891" s="291"/>
      <c r="M891" s="291"/>
      <c r="N891" s="291"/>
      <c r="S891" s="364"/>
      <c r="Z891" s="609" t="s">
        <v>475</v>
      </c>
      <c r="AA891" s="609" t="s">
        <v>5652</v>
      </c>
    </row>
    <row r="892" spans="1:27" ht="24">
      <c r="A892" s="2714"/>
      <c r="B892" s="371"/>
      <c r="C892" s="371"/>
      <c r="D892" s="371"/>
      <c r="E892" s="2716" t="s">
        <v>2749</v>
      </c>
      <c r="F892" s="294"/>
      <c r="G892" s="1609" t="s">
        <v>1465</v>
      </c>
      <c r="H892" s="1607" t="s">
        <v>3086</v>
      </c>
      <c r="I892" s="1607" t="s">
        <v>2961</v>
      </c>
      <c r="J892" s="1608" t="s">
        <v>3112</v>
      </c>
      <c r="K892" s="355" t="s">
        <v>6176</v>
      </c>
      <c r="L892" s="291"/>
      <c r="M892" s="291"/>
      <c r="N892" s="291"/>
      <c r="S892" s="364"/>
      <c r="Z892" s="609" t="s">
        <v>475</v>
      </c>
      <c r="AA892" s="609" t="s">
        <v>5652</v>
      </c>
    </row>
    <row r="893" spans="1:27" ht="18">
      <c r="A893" s="2714"/>
      <c r="B893" s="371">
        <v>101</v>
      </c>
      <c r="C893" s="371" t="s">
        <v>2791</v>
      </c>
      <c r="D893" s="2716">
        <f t="shared" ref="D893:D898" si="78">IF(OR(G893="*",G893="",G893=0),0,COUNTIF($G$893:$G$898,G893))</f>
        <v>0</v>
      </c>
      <c r="E893" s="2721">
        <v>1</v>
      </c>
      <c r="F893" s="294"/>
      <c r="G893" s="1610" t="s">
        <v>2792</v>
      </c>
      <c r="H893" s="309"/>
      <c r="I893" s="360"/>
      <c r="J893" s="388"/>
      <c r="K893" s="291"/>
      <c r="L893" s="291"/>
      <c r="M893" s="291"/>
      <c r="N893" s="291"/>
      <c r="S893" s="364"/>
      <c r="Z893" s="609" t="s">
        <v>475</v>
      </c>
      <c r="AA893" s="609" t="s">
        <v>5652</v>
      </c>
    </row>
    <row r="894" spans="1:27" ht="18">
      <c r="A894" s="2714"/>
      <c r="B894" s="371">
        <v>102</v>
      </c>
      <c r="C894" s="371" t="s">
        <v>2791</v>
      </c>
      <c r="D894" s="2716">
        <f t="shared" si="78"/>
        <v>0</v>
      </c>
      <c r="E894" s="2721">
        <v>1</v>
      </c>
      <c r="F894" s="294"/>
      <c r="G894" s="1610" t="s">
        <v>2792</v>
      </c>
      <c r="H894" s="309"/>
      <c r="I894" s="360"/>
      <c r="J894" s="388"/>
      <c r="K894" s="291"/>
      <c r="L894" s="291"/>
      <c r="M894" s="291"/>
      <c r="N894" s="291"/>
      <c r="S894" s="364"/>
      <c r="Z894" s="609" t="s">
        <v>475</v>
      </c>
      <c r="AA894" s="609" t="s">
        <v>5652</v>
      </c>
    </row>
    <row r="895" spans="1:27" ht="18">
      <c r="A895" s="2714"/>
      <c r="B895" s="371">
        <v>103</v>
      </c>
      <c r="C895" s="371" t="s">
        <v>2791</v>
      </c>
      <c r="D895" s="2716">
        <f t="shared" si="78"/>
        <v>0</v>
      </c>
      <c r="E895" s="2721">
        <v>1</v>
      </c>
      <c r="F895" s="294"/>
      <c r="G895" s="1610" t="s">
        <v>2792</v>
      </c>
      <c r="H895" s="309"/>
      <c r="I895" s="360"/>
      <c r="J895" s="388"/>
      <c r="K895" s="291"/>
      <c r="L895" s="291"/>
      <c r="M895" s="291"/>
      <c r="N895" s="291"/>
      <c r="S895" s="364"/>
      <c r="Z895" s="609" t="s">
        <v>475</v>
      </c>
      <c r="AA895" s="609" t="s">
        <v>5652</v>
      </c>
    </row>
    <row r="896" spans="1:27" ht="18">
      <c r="A896" s="2714"/>
      <c r="B896" s="371">
        <v>104</v>
      </c>
      <c r="C896" s="371" t="s">
        <v>2791</v>
      </c>
      <c r="D896" s="2716">
        <f t="shared" si="78"/>
        <v>0</v>
      </c>
      <c r="E896" s="2721">
        <v>1</v>
      </c>
      <c r="F896" s="294"/>
      <c r="G896" s="1610" t="s">
        <v>2792</v>
      </c>
      <c r="H896" s="309"/>
      <c r="I896" s="360"/>
      <c r="J896" s="388"/>
      <c r="K896" s="291"/>
      <c r="L896" s="291"/>
      <c r="M896" s="291"/>
      <c r="N896" s="291"/>
      <c r="S896" s="364"/>
      <c r="Z896" s="609" t="s">
        <v>475</v>
      </c>
      <c r="AA896" s="609" t="s">
        <v>5652</v>
      </c>
    </row>
    <row r="897" spans="1:27" ht="18">
      <c r="A897" s="2714"/>
      <c r="B897" s="371">
        <v>105</v>
      </c>
      <c r="C897" s="371" t="s">
        <v>2791</v>
      </c>
      <c r="D897" s="2716">
        <f t="shared" si="78"/>
        <v>0</v>
      </c>
      <c r="E897" s="2721">
        <v>1</v>
      </c>
      <c r="F897" s="294"/>
      <c r="G897" s="1610" t="s">
        <v>2792</v>
      </c>
      <c r="H897" s="309"/>
      <c r="I897" s="360"/>
      <c r="J897" s="388"/>
      <c r="K897" s="291"/>
      <c r="L897" s="291"/>
      <c r="M897" s="291"/>
      <c r="N897" s="291"/>
      <c r="S897" s="364"/>
      <c r="Z897" s="609" t="s">
        <v>475</v>
      </c>
      <c r="AA897" s="609" t="s">
        <v>5652</v>
      </c>
    </row>
    <row r="898" spans="1:27" ht="18.75" thickBot="1">
      <c r="A898" s="2714"/>
      <c r="B898" s="371"/>
      <c r="C898" s="371"/>
      <c r="D898" s="2716">
        <f t="shared" si="78"/>
        <v>1</v>
      </c>
      <c r="E898" s="2721" t="s">
        <v>2751</v>
      </c>
      <c r="F898" s="294"/>
      <c r="G898" s="1529" t="s">
        <v>2752</v>
      </c>
      <c r="H898" s="1527">
        <f>SUMPRODUCT($E892:$E897,H892:H897)</f>
        <v>0</v>
      </c>
      <c r="I898" s="1526"/>
      <c r="J898" s="1612"/>
      <c r="K898" s="291"/>
      <c r="L898" s="291"/>
      <c r="M898" s="291"/>
      <c r="N898" s="291"/>
      <c r="S898" s="364"/>
      <c r="Z898" s="609" t="s">
        <v>475</v>
      </c>
      <c r="AA898" s="609" t="s">
        <v>5652</v>
      </c>
    </row>
    <row r="899" spans="1:27" ht="18">
      <c r="A899" s="2714"/>
      <c r="B899" s="371"/>
      <c r="C899" s="371" t="s">
        <v>2755</v>
      </c>
      <c r="D899" s="371"/>
      <c r="F899" s="294"/>
      <c r="G899" s="301"/>
      <c r="H899" s="315"/>
      <c r="I899" s="393"/>
      <c r="J899" s="393"/>
      <c r="K899" s="291"/>
      <c r="L899" s="291"/>
      <c r="M899" s="291"/>
      <c r="N899" s="291"/>
      <c r="S899" s="364"/>
      <c r="Z899" s="609" t="s">
        <v>475</v>
      </c>
      <c r="AA899" s="609" t="s">
        <v>5652</v>
      </c>
    </row>
    <row r="900" spans="1:27" ht="18">
      <c r="A900" s="2714" t="s">
        <v>497</v>
      </c>
      <c r="B900" s="371">
        <v>4</v>
      </c>
      <c r="C900" s="371"/>
      <c r="D900" s="2716" t="str">
        <f>VLOOKUP($A900,Sheet_NoteList,2,0)</f>
        <v>预付款项按项目列示</v>
      </c>
      <c r="E900" s="2716" t="s">
        <v>6531</v>
      </c>
      <c r="F900" s="294"/>
      <c r="G900" s="372" t="str">
        <f>"("&amp;B900&amp;")"&amp;D900</f>
        <v>(4)预付款项按项目列示</v>
      </c>
      <c r="H900" s="1517" t="str">
        <f>$A900</f>
        <v>1125f</v>
      </c>
      <c r="I900" s="343" t="s">
        <v>5965</v>
      </c>
      <c r="J900" s="301" t="s">
        <v>5963</v>
      </c>
      <c r="K900" s="2210">
        <f>H908</f>
        <v>0</v>
      </c>
      <c r="L900" s="345"/>
      <c r="M900" s="301" t="s">
        <v>5970</v>
      </c>
      <c r="N900" s="2210">
        <f>I908</f>
        <v>0</v>
      </c>
      <c r="O900" s="345"/>
      <c r="P900" s="301"/>
      <c r="S900" s="364"/>
      <c r="Z900" s="609" t="s">
        <v>475</v>
      </c>
      <c r="AA900" s="609" t="s">
        <v>5652</v>
      </c>
    </row>
    <row r="901" spans="1:27" ht="0.75" customHeight="1" thickBot="1">
      <c r="A901" s="2714"/>
      <c r="B901" s="371"/>
      <c r="C901" s="371"/>
      <c r="D901" s="371"/>
      <c r="E901" s="586"/>
      <c r="F901" s="586"/>
      <c r="G901" s="586" t="s">
        <v>3118</v>
      </c>
      <c r="H901" s="371" t="s">
        <v>2849</v>
      </c>
      <c r="I901" s="371" t="s">
        <v>3084</v>
      </c>
      <c r="J901" s="1604"/>
      <c r="K901" s="1604"/>
      <c r="L901" s="1604"/>
      <c r="M901" s="1604"/>
      <c r="N901" s="1604"/>
      <c r="O901" s="1604"/>
      <c r="P901" s="1604"/>
      <c r="Q901" s="1604"/>
      <c r="R901" s="1604"/>
      <c r="S901" s="364"/>
      <c r="Z901" s="609" t="s">
        <v>475</v>
      </c>
      <c r="AA901" s="609" t="s">
        <v>5652</v>
      </c>
    </row>
    <row r="902" spans="1:27" ht="18">
      <c r="A902" s="2714"/>
      <c r="B902" s="371"/>
      <c r="C902" s="371"/>
      <c r="D902" s="371"/>
      <c r="E902" s="586" t="s">
        <v>2749</v>
      </c>
      <c r="F902" s="363"/>
      <c r="G902" s="2272" t="s">
        <v>47</v>
      </c>
      <c r="H902" s="2270" t="s">
        <v>3086</v>
      </c>
      <c r="I902" s="2273" t="s">
        <v>3087</v>
      </c>
      <c r="J902" s="355" t="s">
        <v>6176</v>
      </c>
      <c r="K902" s="1604"/>
      <c r="L902" s="1604"/>
      <c r="M902" s="1604"/>
      <c r="N902" s="1604"/>
      <c r="O902" s="1604"/>
      <c r="P902" s="1604"/>
      <c r="Q902" s="1604"/>
      <c r="R902" s="1604"/>
      <c r="S902" s="364"/>
      <c r="Z902" s="609" t="s">
        <v>475</v>
      </c>
      <c r="AA902" s="609" t="s">
        <v>5652</v>
      </c>
    </row>
    <row r="903" spans="1:27" ht="18">
      <c r="A903" s="2714"/>
      <c r="B903" s="371">
        <v>101</v>
      </c>
      <c r="C903" s="371" t="s">
        <v>2791</v>
      </c>
      <c r="D903" s="2716">
        <f t="shared" ref="D903:D908" si="79">IF(OR(G903="*",G903="",G903=0),0,COUNTIF($G$903:$G$908,G903))</f>
        <v>0</v>
      </c>
      <c r="E903" s="2721">
        <v>1</v>
      </c>
      <c r="F903" s="294"/>
      <c r="G903" s="2274" t="s">
        <v>2792</v>
      </c>
      <c r="H903" s="2275"/>
      <c r="I903" s="2296"/>
      <c r="J903" s="1604"/>
      <c r="K903" s="1604"/>
      <c r="L903" s="1604"/>
      <c r="M903" s="1604"/>
      <c r="N903" s="1604"/>
      <c r="O903" s="1604"/>
      <c r="P903" s="1604"/>
      <c r="Q903" s="1604"/>
      <c r="R903" s="1604"/>
      <c r="S903" s="364"/>
      <c r="Z903" s="609" t="s">
        <v>475</v>
      </c>
      <c r="AA903" s="609" t="s">
        <v>5652</v>
      </c>
    </row>
    <row r="904" spans="1:27" ht="18">
      <c r="A904" s="2714"/>
      <c r="B904" s="371">
        <v>102</v>
      </c>
      <c r="C904" s="371" t="s">
        <v>2791</v>
      </c>
      <c r="D904" s="2716">
        <f t="shared" si="79"/>
        <v>0</v>
      </c>
      <c r="E904" s="2721">
        <v>1</v>
      </c>
      <c r="F904" s="294"/>
      <c r="G904" s="2274" t="s">
        <v>2792</v>
      </c>
      <c r="H904" s="2275"/>
      <c r="I904" s="2296"/>
      <c r="J904" s="1604"/>
      <c r="K904" s="1604"/>
      <c r="L904" s="1604"/>
      <c r="M904" s="1604"/>
      <c r="N904" s="1604"/>
      <c r="O904" s="1604"/>
      <c r="P904" s="1604"/>
      <c r="Q904" s="1604"/>
      <c r="R904" s="1604"/>
      <c r="S904" s="364"/>
      <c r="Z904" s="609" t="s">
        <v>475</v>
      </c>
      <c r="AA904" s="609" t="s">
        <v>5652</v>
      </c>
    </row>
    <row r="905" spans="1:27" ht="18">
      <c r="A905" s="2714"/>
      <c r="B905" s="371">
        <v>103</v>
      </c>
      <c r="C905" s="371" t="s">
        <v>2791</v>
      </c>
      <c r="D905" s="2716">
        <f t="shared" si="79"/>
        <v>0</v>
      </c>
      <c r="E905" s="2721">
        <v>1</v>
      </c>
      <c r="F905" s="294"/>
      <c r="G905" s="2274" t="s">
        <v>2792</v>
      </c>
      <c r="H905" s="2275"/>
      <c r="I905" s="2296"/>
      <c r="J905" s="1604"/>
      <c r="K905" s="1604"/>
      <c r="L905" s="1604"/>
      <c r="M905" s="1604"/>
      <c r="N905" s="1604"/>
      <c r="O905" s="1604"/>
      <c r="P905" s="1604"/>
      <c r="Q905" s="1604"/>
      <c r="R905" s="1604"/>
      <c r="S905" s="364"/>
      <c r="Z905" s="609" t="s">
        <v>475</v>
      </c>
      <c r="AA905" s="609" t="s">
        <v>5652</v>
      </c>
    </row>
    <row r="906" spans="1:27" ht="18">
      <c r="A906" s="2714"/>
      <c r="B906" s="371">
        <v>104</v>
      </c>
      <c r="C906" s="371" t="s">
        <v>2791</v>
      </c>
      <c r="D906" s="2716">
        <f t="shared" si="79"/>
        <v>0</v>
      </c>
      <c r="E906" s="2721">
        <v>1</v>
      </c>
      <c r="F906" s="294"/>
      <c r="G906" s="2274" t="s">
        <v>2792</v>
      </c>
      <c r="H906" s="2275"/>
      <c r="I906" s="2296"/>
      <c r="J906" s="1604"/>
      <c r="K906" s="1604"/>
      <c r="L906" s="1604"/>
      <c r="M906" s="1604"/>
      <c r="N906" s="1604"/>
      <c r="O906" s="1604"/>
      <c r="P906" s="1604"/>
      <c r="Q906" s="1604"/>
      <c r="R906" s="1604"/>
      <c r="S906" s="364"/>
      <c r="Z906" s="609" t="s">
        <v>475</v>
      </c>
      <c r="AA906" s="609" t="s">
        <v>5652</v>
      </c>
    </row>
    <row r="907" spans="1:27" ht="18">
      <c r="A907" s="2714"/>
      <c r="B907" s="371">
        <v>105</v>
      </c>
      <c r="C907" s="371" t="s">
        <v>2791</v>
      </c>
      <c r="D907" s="2716">
        <f t="shared" si="79"/>
        <v>0</v>
      </c>
      <c r="E907" s="2721">
        <v>1</v>
      </c>
      <c r="F907" s="294"/>
      <c r="G907" s="2274" t="s">
        <v>2792</v>
      </c>
      <c r="H907" s="2275"/>
      <c r="I907" s="2296"/>
      <c r="J907" s="1604"/>
      <c r="K907" s="1604"/>
      <c r="L907" s="1604"/>
      <c r="M907" s="1604"/>
      <c r="N907" s="1604"/>
      <c r="O907" s="1604"/>
      <c r="P907" s="1604"/>
      <c r="Q907" s="1604"/>
      <c r="R907" s="1604"/>
      <c r="S907" s="364"/>
      <c r="Z907" s="609" t="s">
        <v>475</v>
      </c>
      <c r="AA907" s="609" t="s">
        <v>5652</v>
      </c>
    </row>
    <row r="908" spans="1:27" ht="18.75" thickBot="1">
      <c r="A908" s="2714"/>
      <c r="B908" s="371"/>
      <c r="C908" s="371"/>
      <c r="D908" s="2716">
        <f t="shared" si="79"/>
        <v>1</v>
      </c>
      <c r="E908" s="2721" t="s">
        <v>3032</v>
      </c>
      <c r="F908" s="294"/>
      <c r="G908" s="1529" t="s">
        <v>2752</v>
      </c>
      <c r="H908" s="1527">
        <f>SUMPRODUCT($E902:$E907,H902:H907)</f>
        <v>0</v>
      </c>
      <c r="I908" s="1528">
        <f>SUMPRODUCT($E902:$E907,I902:I907)</f>
        <v>0</v>
      </c>
      <c r="J908" s="1604"/>
      <c r="K908" s="1604"/>
      <c r="L908" s="1604"/>
      <c r="M908" s="1604"/>
      <c r="N908" s="1604"/>
      <c r="O908" s="1604"/>
      <c r="P908" s="1604"/>
      <c r="Q908" s="1604"/>
      <c r="R908" s="1604"/>
      <c r="S908" s="364"/>
      <c r="Z908" s="609" t="s">
        <v>475</v>
      </c>
      <c r="AA908" s="609" t="s">
        <v>5652</v>
      </c>
    </row>
    <row r="909" spans="1:27" ht="18">
      <c r="A909" s="2714"/>
      <c r="B909" s="371"/>
      <c r="C909" s="371" t="s">
        <v>2755</v>
      </c>
      <c r="D909" s="371"/>
      <c r="F909" s="294"/>
      <c r="G909" s="301"/>
      <c r="H909" s="315"/>
      <c r="I909" s="315"/>
      <c r="J909" s="1604"/>
      <c r="K909" s="1604"/>
      <c r="L909" s="1604"/>
      <c r="M909" s="1604"/>
      <c r="N909" s="1604"/>
      <c r="O909" s="1604"/>
      <c r="P909" s="1604"/>
      <c r="Q909" s="1604"/>
      <c r="R909" s="1604"/>
      <c r="S909" s="364"/>
      <c r="Z909" s="609" t="s">
        <v>475</v>
      </c>
      <c r="AA909" s="609" t="s">
        <v>5652</v>
      </c>
    </row>
    <row r="910" spans="1:27" ht="24">
      <c r="A910" s="2714" t="s">
        <v>492</v>
      </c>
      <c r="B910" s="371">
        <v>5</v>
      </c>
      <c r="C910" s="371"/>
      <c r="D910" s="2716" t="str">
        <f>VLOOKUP($A910,Sheet_NoteList,2,0)</f>
        <v>关联方应收应付款项——预付款项</v>
      </c>
      <c r="E910" s="2716" t="s">
        <v>6531</v>
      </c>
      <c r="F910" s="294"/>
      <c r="G910" s="372" t="str">
        <f>"("&amp;B910&amp;")"&amp;D910</f>
        <v>(5)关联方应收应付款项——预付款项</v>
      </c>
      <c r="H910" s="1517" t="str">
        <f>$A910</f>
        <v>1125e</v>
      </c>
      <c r="I910" s="343" t="s">
        <v>5608</v>
      </c>
      <c r="J910" s="301" t="s">
        <v>5606</v>
      </c>
      <c r="K910" s="2210">
        <f>H918</f>
        <v>0</v>
      </c>
      <c r="L910" s="345"/>
      <c r="M910" s="301" t="s">
        <v>5607</v>
      </c>
      <c r="N910" s="2210">
        <f>I918</f>
        <v>0</v>
      </c>
      <c r="O910" s="345"/>
      <c r="P910" s="301"/>
      <c r="Q910" s="290" t="str">
        <f>IF($I910="不适用","",IF(ROUND(SUM($H$913:$K$918),2)=0,"请输入",""))</f>
        <v>请输入</v>
      </c>
      <c r="S910" s="364"/>
      <c r="Z910" s="609" t="s">
        <v>475</v>
      </c>
      <c r="AA910" s="609" t="s">
        <v>5652</v>
      </c>
    </row>
    <row r="911" spans="1:27" ht="0.75" customHeight="1" thickBot="1">
      <c r="A911" s="2714"/>
      <c r="B911" s="371"/>
      <c r="C911" s="371"/>
      <c r="D911" s="371"/>
      <c r="E911" s="586"/>
      <c r="F911" s="586"/>
      <c r="G911" s="586" t="s">
        <v>3117</v>
      </c>
      <c r="H911" s="371" t="s">
        <v>2849</v>
      </c>
      <c r="I911" s="371" t="s">
        <v>3084</v>
      </c>
      <c r="J911" s="291"/>
      <c r="K911" s="291"/>
      <c r="L911" s="291"/>
      <c r="O911" s="291"/>
      <c r="S911" s="364"/>
      <c r="Z911" s="609" t="s">
        <v>475</v>
      </c>
      <c r="AA911" s="609" t="s">
        <v>5652</v>
      </c>
    </row>
    <row r="912" spans="1:27" ht="18">
      <c r="A912" s="2714"/>
      <c r="B912" s="371"/>
      <c r="C912" s="371"/>
      <c r="D912" s="371"/>
      <c r="E912" s="586" t="s">
        <v>2749</v>
      </c>
      <c r="F912" s="363"/>
      <c r="G912" s="2272" t="s">
        <v>1423</v>
      </c>
      <c r="H912" s="2270" t="s">
        <v>3086</v>
      </c>
      <c r="I912" s="2273" t="s">
        <v>3087</v>
      </c>
      <c r="J912" s="343" t="s">
        <v>3089</v>
      </c>
      <c r="K912" s="291"/>
      <c r="L912" s="291"/>
      <c r="O912" s="291"/>
      <c r="S912" s="364"/>
      <c r="Z912" s="609" t="s">
        <v>475</v>
      </c>
      <c r="AA912" s="609" t="s">
        <v>5652</v>
      </c>
    </row>
    <row r="913" spans="1:27" ht="18">
      <c r="A913" s="2714"/>
      <c r="B913" s="371">
        <v>101</v>
      </c>
      <c r="C913" s="371" t="s">
        <v>2791</v>
      </c>
      <c r="D913" s="2716">
        <f t="shared" ref="D913:D918" si="80">IF(OR(G913="*",G913="",G913=0),0,COUNTIF($G$913:$G$918,G913))</f>
        <v>0</v>
      </c>
      <c r="E913" s="2721">
        <v>1</v>
      </c>
      <c r="F913" s="294"/>
      <c r="G913" s="2274" t="s">
        <v>2792</v>
      </c>
      <c r="H913" s="2275"/>
      <c r="I913" s="2296"/>
      <c r="J913" s="355" t="s">
        <v>5364</v>
      </c>
      <c r="K913" s="1522" t="s">
        <v>5605</v>
      </c>
      <c r="L913" s="291"/>
      <c r="O913" s="291"/>
      <c r="S913" s="364"/>
      <c r="Z913" s="609" t="s">
        <v>475</v>
      </c>
      <c r="AA913" s="609" t="s">
        <v>5652</v>
      </c>
    </row>
    <row r="914" spans="1:27" ht="18">
      <c r="A914" s="2714"/>
      <c r="B914" s="371">
        <v>102</v>
      </c>
      <c r="C914" s="371" t="s">
        <v>2791</v>
      </c>
      <c r="D914" s="2716">
        <f t="shared" si="80"/>
        <v>0</v>
      </c>
      <c r="E914" s="2721">
        <v>1</v>
      </c>
      <c r="F914" s="294"/>
      <c r="G914" s="2274" t="s">
        <v>2792</v>
      </c>
      <c r="H914" s="2275"/>
      <c r="I914" s="2296"/>
      <c r="J914" s="355" t="s">
        <v>6176</v>
      </c>
      <c r="K914" s="291"/>
      <c r="L914" s="291"/>
      <c r="O914" s="291"/>
      <c r="S914" s="364"/>
      <c r="Z914" s="609" t="s">
        <v>475</v>
      </c>
      <c r="AA914" s="609" t="s">
        <v>5652</v>
      </c>
    </row>
    <row r="915" spans="1:27" ht="18">
      <c r="A915" s="2714"/>
      <c r="B915" s="371">
        <v>103</v>
      </c>
      <c r="C915" s="371" t="s">
        <v>2791</v>
      </c>
      <c r="D915" s="2716">
        <f t="shared" si="80"/>
        <v>0</v>
      </c>
      <c r="E915" s="2721">
        <v>1</v>
      </c>
      <c r="F915" s="294"/>
      <c r="G915" s="2274" t="s">
        <v>2792</v>
      </c>
      <c r="H915" s="2275"/>
      <c r="I915" s="2296"/>
      <c r="K915" s="293"/>
      <c r="L915" s="291"/>
      <c r="M915" s="291"/>
      <c r="N915" s="291"/>
      <c r="O915" s="291"/>
      <c r="S915" s="364"/>
      <c r="Z915" s="609" t="s">
        <v>475</v>
      </c>
      <c r="AA915" s="609" t="s">
        <v>5652</v>
      </c>
    </row>
    <row r="916" spans="1:27" ht="18">
      <c r="A916" s="2714"/>
      <c r="B916" s="371">
        <v>104</v>
      </c>
      <c r="C916" s="371" t="s">
        <v>2791</v>
      </c>
      <c r="D916" s="2716">
        <f t="shared" si="80"/>
        <v>0</v>
      </c>
      <c r="E916" s="2721">
        <v>1</v>
      </c>
      <c r="F916" s="294"/>
      <c r="G916" s="2274" t="s">
        <v>2792</v>
      </c>
      <c r="H916" s="2275"/>
      <c r="I916" s="2296"/>
      <c r="K916" s="293"/>
      <c r="L916" s="291"/>
      <c r="M916" s="291"/>
      <c r="N916" s="291"/>
      <c r="O916" s="291"/>
      <c r="S916" s="364"/>
      <c r="Z916" s="609" t="s">
        <v>475</v>
      </c>
      <c r="AA916" s="609" t="s">
        <v>5652</v>
      </c>
    </row>
    <row r="917" spans="1:27" ht="18">
      <c r="A917" s="2714"/>
      <c r="B917" s="371">
        <v>105</v>
      </c>
      <c r="C917" s="371" t="s">
        <v>2791</v>
      </c>
      <c r="D917" s="2716">
        <f t="shared" si="80"/>
        <v>0</v>
      </c>
      <c r="E917" s="2721">
        <v>1</v>
      </c>
      <c r="F917" s="294"/>
      <c r="G917" s="2274" t="s">
        <v>2792</v>
      </c>
      <c r="H917" s="2275"/>
      <c r="I917" s="2296"/>
      <c r="K917" s="293"/>
      <c r="L917" s="291"/>
      <c r="M917" s="291"/>
      <c r="N917" s="291"/>
      <c r="O917" s="291"/>
      <c r="S917" s="364"/>
      <c r="Z917" s="609" t="s">
        <v>475</v>
      </c>
      <c r="AA917" s="609" t="s">
        <v>5652</v>
      </c>
    </row>
    <row r="918" spans="1:27" ht="18.75" thickBot="1">
      <c r="A918" s="2714"/>
      <c r="B918" s="371"/>
      <c r="C918" s="371"/>
      <c r="D918" s="2716">
        <f t="shared" si="80"/>
        <v>1</v>
      </c>
      <c r="E918" s="2721" t="s">
        <v>3032</v>
      </c>
      <c r="F918" s="294"/>
      <c r="G918" s="1529" t="s">
        <v>2752</v>
      </c>
      <c r="H918" s="1527">
        <f>SUMPRODUCT($E912:$E917,H912:H917)</f>
        <v>0</v>
      </c>
      <c r="I918" s="1528">
        <f>SUMPRODUCT($E912:$E917,I912:I917)</f>
        <v>0</v>
      </c>
      <c r="K918" s="293"/>
      <c r="L918" s="291"/>
      <c r="M918" s="291"/>
      <c r="N918" s="291"/>
      <c r="O918" s="291"/>
      <c r="S918" s="364"/>
      <c r="Z918" s="609" t="s">
        <v>475</v>
      </c>
      <c r="AA918" s="609" t="s">
        <v>5652</v>
      </c>
    </row>
    <row r="919" spans="1:27" ht="18">
      <c r="A919" s="2714"/>
      <c r="B919" s="371"/>
      <c r="C919" s="371" t="s">
        <v>2755</v>
      </c>
      <c r="D919" s="371"/>
      <c r="F919" s="294"/>
      <c r="G919" s="301"/>
      <c r="H919" s="315"/>
      <c r="I919" s="315"/>
      <c r="K919" s="293"/>
      <c r="L919" s="291"/>
      <c r="M919" s="291"/>
      <c r="N919" s="291"/>
      <c r="O919" s="291"/>
      <c r="S919" s="364"/>
      <c r="Z919" s="609" t="s">
        <v>475</v>
      </c>
      <c r="AA919" s="609" t="s">
        <v>5652</v>
      </c>
    </row>
    <row r="920" spans="1:27" ht="18">
      <c r="A920" s="2714" t="s">
        <v>505</v>
      </c>
      <c r="B920" s="371">
        <v>6</v>
      </c>
      <c r="C920" s="371"/>
      <c r="D920" s="2716" t="str">
        <f>VLOOKUP($A920,Sheet_NoteList,2,0)</f>
        <v>预付款项补充资料</v>
      </c>
      <c r="E920" s="2716" t="s">
        <v>6531</v>
      </c>
      <c r="F920" s="293"/>
      <c r="G920" s="372" t="str">
        <f>"("&amp;B920&amp;")"&amp;D920</f>
        <v>(6)预付款项补充资料</v>
      </c>
      <c r="H920" s="1517" t="str">
        <f>$A920</f>
        <v>1125x</v>
      </c>
      <c r="I920" s="343" t="s">
        <v>6036</v>
      </c>
      <c r="J920" s="301" t="s">
        <v>6037</v>
      </c>
      <c r="K920" s="2210">
        <f>H931</f>
        <v>0</v>
      </c>
      <c r="L920" s="349"/>
      <c r="M920" s="301" t="s">
        <v>6038</v>
      </c>
      <c r="N920" s="2210">
        <f>I931</f>
        <v>0</v>
      </c>
      <c r="O920" s="349"/>
      <c r="P920" s="301"/>
      <c r="S920" s="364"/>
      <c r="Z920" s="609" t="s">
        <v>475</v>
      </c>
      <c r="AA920" s="609" t="s">
        <v>5652</v>
      </c>
    </row>
    <row r="921" spans="1:27" ht="0.75" customHeight="1" thickBot="1">
      <c r="A921" s="2714"/>
      <c r="B921" s="371"/>
      <c r="C921" s="371"/>
      <c r="D921" s="2716"/>
      <c r="E921" s="586"/>
      <c r="F921" s="586"/>
      <c r="G921" s="2224" t="s">
        <v>3119</v>
      </c>
      <c r="H921" s="371" t="s">
        <v>6194</v>
      </c>
      <c r="I921" s="371" t="s">
        <v>6195</v>
      </c>
      <c r="J921" s="371" t="s">
        <v>6196</v>
      </c>
      <c r="K921" s="547" t="s">
        <v>6197</v>
      </c>
      <c r="L921" s="547" t="s">
        <v>6198</v>
      </c>
      <c r="M921" s="371" t="s">
        <v>6199</v>
      </c>
      <c r="N921" s="547" t="s">
        <v>6200</v>
      </c>
      <c r="O921" s="547" t="s">
        <v>6201</v>
      </c>
      <c r="P921" s="371" t="s">
        <v>6202</v>
      </c>
      <c r="S921" s="364"/>
      <c r="Z921" s="609" t="s">
        <v>475</v>
      </c>
      <c r="AA921" s="609" t="s">
        <v>5652</v>
      </c>
    </row>
    <row r="922" spans="1:27" ht="18">
      <c r="A922" s="2714"/>
      <c r="B922" s="371"/>
      <c r="C922" s="371"/>
      <c r="D922" s="2716"/>
      <c r="E922" s="586" t="s">
        <v>2749</v>
      </c>
      <c r="F922" s="414"/>
      <c r="G922" s="2302" t="s">
        <v>47</v>
      </c>
      <c r="H922" s="2360" t="s">
        <v>2560</v>
      </c>
      <c r="I922" s="2300" t="s">
        <v>6039</v>
      </c>
      <c r="J922" s="2300" t="s">
        <v>2544</v>
      </c>
      <c r="K922" s="1643" t="s">
        <v>6040</v>
      </c>
      <c r="L922" s="1643" t="s">
        <v>6041</v>
      </c>
      <c r="M922" s="2300" t="s">
        <v>2549</v>
      </c>
      <c r="N922" s="1643" t="s">
        <v>6042</v>
      </c>
      <c r="O922" s="1643" t="s">
        <v>6043</v>
      </c>
      <c r="P922" s="2301" t="s">
        <v>3277</v>
      </c>
      <c r="Q922" s="355" t="s">
        <v>6176</v>
      </c>
      <c r="S922" s="364"/>
      <c r="Z922" s="609" t="s">
        <v>475</v>
      </c>
      <c r="AA922" s="609" t="s">
        <v>5652</v>
      </c>
    </row>
    <row r="923" spans="1:27" ht="18">
      <c r="A923" s="2714"/>
      <c r="B923" s="371">
        <v>101</v>
      </c>
      <c r="C923" s="371" t="s">
        <v>2791</v>
      </c>
      <c r="D923" s="2716">
        <f t="shared" ref="D923:D931" si="81">IF(OR(G923="*",G923="",G923=0),0,COUNTIF($G$923:$G$931,G923))</f>
        <v>0</v>
      </c>
      <c r="E923" s="2721">
        <v>1</v>
      </c>
      <c r="F923" s="293"/>
      <c r="G923" s="2303" t="s">
        <v>2792</v>
      </c>
      <c r="H923" s="2275"/>
      <c r="I923" s="2275"/>
      <c r="J923" s="2275"/>
      <c r="K923" s="2298"/>
      <c r="L923" s="2298"/>
      <c r="M923" s="2275"/>
      <c r="N923" s="2298"/>
      <c r="O923" s="2298"/>
      <c r="P923" s="2296"/>
      <c r="S923" s="364"/>
      <c r="Z923" s="609" t="s">
        <v>475</v>
      </c>
      <c r="AA923" s="609" t="s">
        <v>5652</v>
      </c>
    </row>
    <row r="924" spans="1:27" ht="18">
      <c r="A924" s="2714"/>
      <c r="B924" s="371">
        <v>102</v>
      </c>
      <c r="C924" s="371" t="s">
        <v>2791</v>
      </c>
      <c r="D924" s="2716">
        <f t="shared" si="81"/>
        <v>0</v>
      </c>
      <c r="E924" s="2721">
        <v>1</v>
      </c>
      <c r="F924" s="293"/>
      <c r="G924" s="2303" t="s">
        <v>2792</v>
      </c>
      <c r="H924" s="2275"/>
      <c r="I924" s="2275"/>
      <c r="J924" s="2275"/>
      <c r="K924" s="2298"/>
      <c r="L924" s="2298"/>
      <c r="M924" s="2275"/>
      <c r="N924" s="2298"/>
      <c r="O924" s="2298"/>
      <c r="P924" s="2296"/>
      <c r="S924" s="364"/>
      <c r="Z924" s="609" t="s">
        <v>475</v>
      </c>
      <c r="AA924" s="609" t="s">
        <v>5652</v>
      </c>
    </row>
    <row r="925" spans="1:27" ht="18">
      <c r="A925" s="2714"/>
      <c r="B925" s="371">
        <v>103</v>
      </c>
      <c r="C925" s="371" t="s">
        <v>2791</v>
      </c>
      <c r="D925" s="2716">
        <f t="shared" si="81"/>
        <v>0</v>
      </c>
      <c r="E925" s="2721">
        <v>1</v>
      </c>
      <c r="F925" s="293"/>
      <c r="G925" s="2303" t="s">
        <v>2792</v>
      </c>
      <c r="H925" s="2275"/>
      <c r="I925" s="2275"/>
      <c r="J925" s="2275"/>
      <c r="K925" s="2298"/>
      <c r="L925" s="2298"/>
      <c r="M925" s="2275"/>
      <c r="N925" s="2298"/>
      <c r="O925" s="2298"/>
      <c r="P925" s="2296"/>
      <c r="S925" s="364"/>
      <c r="Z925" s="609" t="s">
        <v>475</v>
      </c>
      <c r="AA925" s="609" t="s">
        <v>5652</v>
      </c>
    </row>
    <row r="926" spans="1:27" ht="18">
      <c r="A926" s="2714"/>
      <c r="B926" s="371">
        <v>104</v>
      </c>
      <c r="C926" s="371" t="s">
        <v>2791</v>
      </c>
      <c r="D926" s="2716">
        <f t="shared" si="81"/>
        <v>0</v>
      </c>
      <c r="E926" s="2721">
        <v>1</v>
      </c>
      <c r="F926" s="293"/>
      <c r="G926" s="2303" t="s">
        <v>2792</v>
      </c>
      <c r="H926" s="2275"/>
      <c r="I926" s="2275"/>
      <c r="J926" s="2275"/>
      <c r="K926" s="2298"/>
      <c r="L926" s="2298"/>
      <c r="M926" s="2275"/>
      <c r="N926" s="2298"/>
      <c r="O926" s="2298"/>
      <c r="P926" s="2296"/>
      <c r="S926" s="364"/>
      <c r="Z926" s="609" t="s">
        <v>475</v>
      </c>
      <c r="AA926" s="609" t="s">
        <v>5652</v>
      </c>
    </row>
    <row r="927" spans="1:27" ht="18">
      <c r="A927" s="2714"/>
      <c r="B927" s="371">
        <v>105</v>
      </c>
      <c r="C927" s="371" t="s">
        <v>2791</v>
      </c>
      <c r="D927" s="2716">
        <f t="shared" si="81"/>
        <v>0</v>
      </c>
      <c r="E927" s="2721">
        <v>1</v>
      </c>
      <c r="F927" s="293"/>
      <c r="G927" s="2303" t="s">
        <v>2792</v>
      </c>
      <c r="H927" s="2275"/>
      <c r="I927" s="2275"/>
      <c r="J927" s="2275"/>
      <c r="K927" s="2298"/>
      <c r="L927" s="2298"/>
      <c r="M927" s="2275"/>
      <c r="N927" s="2298"/>
      <c r="O927" s="2298"/>
      <c r="P927" s="2296"/>
      <c r="S927" s="364"/>
      <c r="Z927" s="609" t="s">
        <v>475</v>
      </c>
      <c r="AA927" s="609" t="s">
        <v>5652</v>
      </c>
    </row>
    <row r="928" spans="1:27" ht="18">
      <c r="A928" s="2714"/>
      <c r="B928" s="371">
        <v>106</v>
      </c>
      <c r="C928" s="371" t="s">
        <v>2791</v>
      </c>
      <c r="D928" s="2716">
        <f t="shared" si="81"/>
        <v>0</v>
      </c>
      <c r="E928" s="2721">
        <v>1</v>
      </c>
      <c r="F928" s="293"/>
      <c r="G928" s="2303" t="s">
        <v>2792</v>
      </c>
      <c r="H928" s="2275"/>
      <c r="I928" s="2275"/>
      <c r="J928" s="2275"/>
      <c r="K928" s="2298"/>
      <c r="L928" s="2298"/>
      <c r="M928" s="2275"/>
      <c r="N928" s="2298"/>
      <c r="O928" s="2298"/>
      <c r="P928" s="2296"/>
      <c r="S928" s="364"/>
      <c r="Z928" s="609" t="s">
        <v>475</v>
      </c>
      <c r="AA928" s="609" t="s">
        <v>5652</v>
      </c>
    </row>
    <row r="929" spans="1:27" ht="18">
      <c r="A929" s="2714"/>
      <c r="B929" s="371">
        <v>107</v>
      </c>
      <c r="C929" s="371" t="s">
        <v>2791</v>
      </c>
      <c r="D929" s="2716">
        <f t="shared" si="81"/>
        <v>0</v>
      </c>
      <c r="E929" s="2721">
        <v>1</v>
      </c>
      <c r="F929" s="293"/>
      <c r="G929" s="2303" t="s">
        <v>2792</v>
      </c>
      <c r="H929" s="2275"/>
      <c r="I929" s="2275"/>
      <c r="J929" s="2275"/>
      <c r="K929" s="2298"/>
      <c r="L929" s="2298"/>
      <c r="M929" s="2275"/>
      <c r="N929" s="2298"/>
      <c r="O929" s="2298"/>
      <c r="P929" s="2296"/>
      <c r="S929" s="364"/>
      <c r="Z929" s="609" t="s">
        <v>475</v>
      </c>
      <c r="AA929" s="609" t="s">
        <v>5652</v>
      </c>
    </row>
    <row r="930" spans="1:27" ht="18">
      <c r="A930" s="2714"/>
      <c r="B930" s="371">
        <v>108</v>
      </c>
      <c r="C930" s="371" t="s">
        <v>2791</v>
      </c>
      <c r="D930" s="2716">
        <f t="shared" si="81"/>
        <v>0</v>
      </c>
      <c r="E930" s="2721">
        <v>1</v>
      </c>
      <c r="F930" s="293"/>
      <c r="G930" s="2303" t="s">
        <v>2792</v>
      </c>
      <c r="H930" s="2275"/>
      <c r="I930" s="2275"/>
      <c r="J930" s="2275"/>
      <c r="K930" s="2298"/>
      <c r="L930" s="2298"/>
      <c r="M930" s="2275"/>
      <c r="N930" s="2298"/>
      <c r="O930" s="2298"/>
      <c r="P930" s="2296"/>
      <c r="S930" s="364"/>
      <c r="Z930" s="609" t="s">
        <v>475</v>
      </c>
      <c r="AA930" s="609" t="s">
        <v>5652</v>
      </c>
    </row>
    <row r="931" spans="1:27" ht="18.75" thickBot="1">
      <c r="A931" s="2714"/>
      <c r="B931" s="371"/>
      <c r="C931" s="371"/>
      <c r="D931" s="2716">
        <f t="shared" si="81"/>
        <v>1</v>
      </c>
      <c r="E931" s="2721" t="s">
        <v>2751</v>
      </c>
      <c r="F931" s="293"/>
      <c r="G931" s="1529" t="s">
        <v>2752</v>
      </c>
      <c r="H931" s="1527">
        <f>SUMPRODUCT($E922:$E930,H922:H930)</f>
        <v>0</v>
      </c>
      <c r="I931" s="1527">
        <f>SUMPRODUCT($E922:$E930,I922:I930)</f>
        <v>0</v>
      </c>
      <c r="J931" s="1527">
        <f>SUMPRODUCT($E922:$E930,J922:J930)</f>
        <v>0</v>
      </c>
      <c r="K931" s="2316"/>
      <c r="L931" s="2316"/>
      <c r="M931" s="1527">
        <f>SUMPRODUCT($E922:$E930,M922:M930)</f>
        <v>0</v>
      </c>
      <c r="N931" s="2316"/>
      <c r="O931" s="2316"/>
      <c r="P931" s="1528">
        <f>SUMPRODUCT($E922:$E930,P922:P930)</f>
        <v>0</v>
      </c>
      <c r="S931" s="364"/>
      <c r="Z931" s="609" t="s">
        <v>475</v>
      </c>
      <c r="AA931" s="609" t="s">
        <v>5652</v>
      </c>
    </row>
    <row r="932" spans="1:27" ht="18">
      <c r="A932" s="2714"/>
      <c r="B932" s="371"/>
      <c r="C932" s="371" t="s">
        <v>2755</v>
      </c>
      <c r="D932" s="2716"/>
      <c r="F932" s="293"/>
      <c r="G932" s="376"/>
      <c r="H932" s="1576"/>
      <c r="I932" s="396"/>
      <c r="J932" s="315"/>
      <c r="K932" s="392"/>
      <c r="L932" s="393"/>
      <c r="M932" s="315"/>
      <c r="N932" s="392"/>
      <c r="O932" s="393"/>
      <c r="P932" s="315"/>
      <c r="S932" s="364"/>
      <c r="Z932" s="609" t="s">
        <v>475</v>
      </c>
      <c r="AA932" s="609" t="s">
        <v>5652</v>
      </c>
    </row>
    <row r="933" spans="1:27" ht="17.25">
      <c r="A933" s="2715">
        <v>1220</v>
      </c>
      <c r="B933" s="371">
        <v>9</v>
      </c>
      <c r="C933" s="2716" t="str">
        <f>VLOOKUP($A933,Sheet_Items,2,0)</f>
        <v>其他应收款（报表项目）</v>
      </c>
      <c r="D933" s="371"/>
      <c r="E933" s="2716" t="s">
        <v>2739</v>
      </c>
      <c r="F933" s="371"/>
      <c r="G933" s="305" t="str">
        <f>B933&amp;" "&amp;C933</f>
        <v>9 其他应收款（报表项目）</v>
      </c>
      <c r="H933" s="306"/>
      <c r="I933" s="306"/>
      <c r="J933" s="306" t="s">
        <v>2740</v>
      </c>
      <c r="K933" s="341">
        <f>VLOOKUP($A933,Sheet_Trialbal,6,0)</f>
        <v>2208147.21</v>
      </c>
      <c r="L933" s="342"/>
      <c r="M933" s="306" t="s">
        <v>2741</v>
      </c>
      <c r="N933" s="341">
        <f>VLOOKUP($A933,Sheet_Trialbal,10,0)</f>
        <v>328019.46999999997</v>
      </c>
      <c r="O933" s="342"/>
      <c r="P933" s="301"/>
      <c r="S933" s="364"/>
      <c r="Z933" s="609" t="s">
        <v>512</v>
      </c>
      <c r="AA933" s="609" t="s">
        <v>19</v>
      </c>
    </row>
    <row r="934" spans="1:27" ht="18">
      <c r="A934" s="2714" t="s">
        <v>510</v>
      </c>
      <c r="B934" s="371">
        <v>1</v>
      </c>
      <c r="C934" s="371"/>
      <c r="D934" s="2716" t="str">
        <f>VLOOKUP($A934,Sheet_NoteList,2,0)</f>
        <v>其他应收款分类列示</v>
      </c>
      <c r="E934" s="2716" t="s">
        <v>2742</v>
      </c>
      <c r="F934" s="371"/>
      <c r="G934" s="372" t="str">
        <f>"("&amp;B934&amp;")"&amp;D934</f>
        <v>(1)其他应收款分类列示</v>
      </c>
      <c r="H934" s="1517" t="str">
        <f>$A934</f>
        <v>1220a</v>
      </c>
      <c r="I934" s="343" t="s">
        <v>2743</v>
      </c>
      <c r="J934" s="301" t="s">
        <v>2744</v>
      </c>
      <c r="K934" s="2210">
        <f>H941</f>
        <v>2208147.21</v>
      </c>
      <c r="L934" s="349"/>
      <c r="M934" s="301" t="s">
        <v>2745</v>
      </c>
      <c r="N934" s="2210">
        <f>I941</f>
        <v>328019.46999999997</v>
      </c>
      <c r="O934" s="349"/>
      <c r="P934" s="301"/>
      <c r="S934" s="364"/>
      <c r="Z934" s="609" t="s">
        <v>512</v>
      </c>
      <c r="AA934" s="609" t="s">
        <v>19</v>
      </c>
    </row>
    <row r="935" spans="1:27" ht="0.75" customHeight="1" thickBot="1">
      <c r="A935" s="2714"/>
      <c r="B935" s="371"/>
      <c r="C935" s="371"/>
      <c r="D935" s="2716"/>
      <c r="F935" s="371"/>
      <c r="G935" s="405" t="s">
        <v>3120</v>
      </c>
      <c r="H935" s="371" t="s">
        <v>2747</v>
      </c>
      <c r="I935" s="371" t="s">
        <v>2748</v>
      </c>
      <c r="J935" s="301"/>
      <c r="K935" s="391"/>
      <c r="L935" s="349"/>
      <c r="M935" s="301"/>
      <c r="N935" s="391"/>
      <c r="O935" s="349"/>
      <c r="P935" s="301"/>
      <c r="S935" s="364"/>
      <c r="Z935" s="609" t="s">
        <v>512</v>
      </c>
      <c r="AA935" s="609" t="s">
        <v>19</v>
      </c>
    </row>
    <row r="936" spans="1:27" ht="18.75" thickTop="1">
      <c r="A936" s="2714"/>
      <c r="B936" s="371"/>
      <c r="C936" s="371"/>
      <c r="D936" s="2716"/>
      <c r="E936" s="2716" t="s">
        <v>2749</v>
      </c>
      <c r="F936" s="371"/>
      <c r="G936" s="373" t="s">
        <v>47</v>
      </c>
      <c r="H936" s="2475" t="str">
        <f>$V$2</f>
        <v>2019年12月31日</v>
      </c>
      <c r="I936" s="2480" t="str">
        <f>$V$3</f>
        <v>2018年12月31日</v>
      </c>
      <c r="J936" s="355" t="s">
        <v>5273</v>
      </c>
      <c r="K936" s="1530" t="str">
        <f>""&amp;"&gt;本期:"&amp;""</f>
        <v>&gt;本期:</v>
      </c>
      <c r="L936" s="1530" t="str">
        <f>""&amp;"&gt;上期:"&amp;""</f>
        <v>&gt;上期:</v>
      </c>
      <c r="M936" s="301"/>
      <c r="N936" s="391"/>
      <c r="O936" s="349"/>
      <c r="P936" s="301"/>
      <c r="S936" s="364"/>
      <c r="Z936" s="609" t="s">
        <v>512</v>
      </c>
      <c r="AA936" s="609" t="s">
        <v>19</v>
      </c>
    </row>
    <row r="937" spans="1:27" ht="18">
      <c r="A937" s="2714"/>
      <c r="B937" s="371">
        <v>101</v>
      </c>
      <c r="C937" s="371"/>
      <c r="D937" s="2716">
        <f t="shared" ref="D937:D941" si="82">IF(OR(G937="*",G937="",G937=0),0,COUNTIF($G$937:$G$941,G937))</f>
        <v>1</v>
      </c>
      <c r="E937" s="2721">
        <v>1</v>
      </c>
      <c r="F937" s="371"/>
      <c r="G937" s="308" t="s">
        <v>180</v>
      </c>
      <c r="H937" s="309"/>
      <c r="I937" s="394"/>
      <c r="J937" s="301"/>
      <c r="K937" s="2252">
        <f ca="1">HYPERLINK("#'"&amp;$G$1&amp;"'!"&amp;ADDRESS(ROW(Notes!H954),COLUMN(Notes!H954),4),H954-H937)</f>
        <v>0</v>
      </c>
      <c r="L937" s="2252">
        <f ca="1">HYPERLINK("#'"&amp;$G$1&amp;"'!"&amp;ADDRESS(ROW(Notes!I954),COLUMN(Notes!I954),4),I954-I937)</f>
        <v>0</v>
      </c>
      <c r="M937" s="301"/>
      <c r="N937" s="391"/>
      <c r="O937" s="349"/>
      <c r="P937" s="301"/>
      <c r="S937" s="364"/>
      <c r="Z937" s="609" t="s">
        <v>512</v>
      </c>
      <c r="AA937" s="609" t="s">
        <v>19</v>
      </c>
    </row>
    <row r="938" spans="1:27" ht="18">
      <c r="A938" s="2714"/>
      <c r="B938" s="371">
        <v>102</v>
      </c>
      <c r="C938" s="371"/>
      <c r="D938" s="2716">
        <f t="shared" si="82"/>
        <v>1</v>
      </c>
      <c r="E938" s="2721">
        <v>1</v>
      </c>
      <c r="F938" s="371"/>
      <c r="G938" s="308" t="s">
        <v>172</v>
      </c>
      <c r="H938" s="309"/>
      <c r="I938" s="394"/>
      <c r="J938" s="301"/>
      <c r="K938" s="2252">
        <f ca="1">HYPERLINK("#'"&amp;$G$1&amp;"'!"&amp;ADDRESS(ROW(Notes!H975),COLUMN(Notes!H975),4),H975-H938)</f>
        <v>0</v>
      </c>
      <c r="L938" s="2252">
        <f ca="1">HYPERLINK("#'"&amp;$G$1&amp;"'!"&amp;ADDRESS(ROW(Notes!I975),COLUMN(Notes!I975),4),I975-I938)</f>
        <v>0</v>
      </c>
      <c r="M938" s="301"/>
      <c r="N938" s="391"/>
      <c r="O938" s="349"/>
      <c r="P938" s="301"/>
      <c r="S938" s="364"/>
      <c r="Z938" s="609" t="s">
        <v>512</v>
      </c>
      <c r="AA938" s="609" t="s">
        <v>19</v>
      </c>
    </row>
    <row r="939" spans="1:27" ht="18">
      <c r="A939" s="2714"/>
      <c r="B939" s="371">
        <v>103</v>
      </c>
      <c r="C939" s="371"/>
      <c r="D939" s="2716">
        <f t="shared" si="82"/>
        <v>1</v>
      </c>
      <c r="E939" s="2721">
        <v>1</v>
      </c>
      <c r="F939" s="371"/>
      <c r="G939" s="308" t="s">
        <v>201</v>
      </c>
      <c r="H939" s="309">
        <f>H1004</f>
        <v>2208147.21</v>
      </c>
      <c r="I939" s="394">
        <f>I1004</f>
        <v>328019.46999999997</v>
      </c>
      <c r="J939" s="301"/>
      <c r="K939" s="2252">
        <f ca="1">HYPERLINK("#'"&amp;$G$1&amp;"'!"&amp;ADDRESS(ROW(Notes!H1025),COLUMN(Notes!H1025),4),H1025-H939)</f>
        <v>0</v>
      </c>
      <c r="L939" s="2252">
        <f ca="1">HYPERLINK("#'"&amp;$G$1&amp;"'!"&amp;ADDRESS(ROW(Notes!I1025),COLUMN(Notes!I1025),4),I1025-I939)</f>
        <v>0</v>
      </c>
      <c r="M939" s="301"/>
      <c r="N939" s="391"/>
      <c r="O939" s="349"/>
      <c r="P939" s="301"/>
      <c r="S939" s="364"/>
      <c r="Z939" s="609" t="s">
        <v>512</v>
      </c>
      <c r="AA939" s="609" t="s">
        <v>19</v>
      </c>
    </row>
    <row r="940" spans="1:27" ht="18">
      <c r="A940" s="2714"/>
      <c r="B940" s="371">
        <v>104</v>
      </c>
      <c r="C940" s="371" t="s">
        <v>2791</v>
      </c>
      <c r="D940" s="2716">
        <f t="shared" si="82"/>
        <v>0</v>
      </c>
      <c r="E940" s="2721">
        <v>1</v>
      </c>
      <c r="F940" s="371"/>
      <c r="G940" s="2548" t="s">
        <v>2792</v>
      </c>
      <c r="H940" s="309"/>
      <c r="I940" s="394"/>
      <c r="J940" s="301"/>
      <c r="K940" s="456"/>
      <c r="L940" s="456"/>
      <c r="M940" s="301"/>
      <c r="N940" s="391"/>
      <c r="O940" s="349"/>
      <c r="P940" s="301"/>
      <c r="S940" s="364"/>
      <c r="Z940" s="609" t="s">
        <v>512</v>
      </c>
      <c r="AA940" s="609" t="s">
        <v>19</v>
      </c>
    </row>
    <row r="941" spans="1:27" ht="18.75" thickBot="1">
      <c r="A941" s="2714"/>
      <c r="B941" s="371"/>
      <c r="C941" s="371"/>
      <c r="D941" s="2716">
        <f t="shared" si="82"/>
        <v>1</v>
      </c>
      <c r="E941" s="2721" t="s">
        <v>2751</v>
      </c>
      <c r="F941" s="371"/>
      <c r="G941" s="407" t="s">
        <v>2752</v>
      </c>
      <c r="H941" s="1478">
        <f>SUMPRODUCT($E936:$E940,H936:H940)</f>
        <v>2208147.21</v>
      </c>
      <c r="I941" s="1479">
        <f>SUMPRODUCT($E936:$E940,I936:I940)</f>
        <v>328019.46999999997</v>
      </c>
      <c r="J941" s="301"/>
      <c r="K941" s="1531">
        <f t="shared" ref="K941:L941" ca="1" si="83">SUM(K937:K940)</f>
        <v>0</v>
      </c>
      <c r="L941" s="1531">
        <f t="shared" ca="1" si="83"/>
        <v>0</v>
      </c>
      <c r="M941" s="301"/>
      <c r="N941" s="391"/>
      <c r="O941" s="349"/>
      <c r="P941" s="301"/>
      <c r="S941" s="364"/>
      <c r="Z941" s="609" t="s">
        <v>512</v>
      </c>
      <c r="AA941" s="609" t="s">
        <v>19</v>
      </c>
    </row>
    <row r="942" spans="1:27" ht="18">
      <c r="A942" s="2714"/>
      <c r="B942" s="371"/>
      <c r="C942" s="371" t="s">
        <v>2755</v>
      </c>
      <c r="D942" s="2716"/>
      <c r="F942" s="371"/>
      <c r="G942" s="376"/>
      <c r="H942" s="315"/>
      <c r="I942" s="396"/>
      <c r="J942" s="301"/>
      <c r="K942" s="1539" t="s">
        <v>5495</v>
      </c>
      <c r="L942" s="317"/>
      <c r="M942" s="301"/>
      <c r="N942" s="391"/>
      <c r="O942" s="349"/>
      <c r="P942" s="301"/>
      <c r="S942" s="364"/>
      <c r="Z942" s="609" t="s">
        <v>512</v>
      </c>
      <c r="AA942" s="609" t="s">
        <v>19</v>
      </c>
    </row>
    <row r="943" spans="1:27" ht="18">
      <c r="A943" s="2714">
        <v>1132</v>
      </c>
      <c r="B943" s="371">
        <v>9.1</v>
      </c>
      <c r="C943" s="2716" t="str">
        <f>VLOOKUP($A943,Sheet_Items,2,0)</f>
        <v>应收利息</v>
      </c>
      <c r="D943" s="371"/>
      <c r="E943" s="2716" t="s">
        <v>2739</v>
      </c>
      <c r="F943" s="294"/>
      <c r="G943" s="305" t="str">
        <f>B943&amp;" "&amp;C943</f>
        <v>9.1 应收利息</v>
      </c>
      <c r="H943" s="306"/>
      <c r="I943" s="306"/>
      <c r="J943" s="306" t="s">
        <v>2740</v>
      </c>
      <c r="K943" s="341">
        <f>VLOOKUP($A943,Sheet_Trialbal,6,0)</f>
        <v>0</v>
      </c>
      <c r="L943" s="342"/>
      <c r="M943" s="306" t="s">
        <v>2741</v>
      </c>
      <c r="N943" s="341">
        <f>VLOOKUP($A943,Sheet_Trialbal,10,0)</f>
        <v>0</v>
      </c>
      <c r="O943" s="306"/>
      <c r="P943" s="301"/>
      <c r="S943" s="364"/>
      <c r="Z943" s="609" t="s">
        <v>518</v>
      </c>
      <c r="AA943" s="609" t="s">
        <v>5654</v>
      </c>
    </row>
    <row r="944" spans="1:27" ht="18">
      <c r="A944" s="2714" t="s">
        <v>516</v>
      </c>
      <c r="B944" s="371">
        <v>1</v>
      </c>
      <c r="C944" s="371"/>
      <c r="D944" s="2716" t="str">
        <f>VLOOKUP($A944,Sheet_NoteList,2,0)</f>
        <v>应收利息分类列示</v>
      </c>
      <c r="E944" s="2716" t="s">
        <v>2742</v>
      </c>
      <c r="F944" s="294"/>
      <c r="G944" s="307" t="str">
        <f>"("&amp;B944&amp;")"&amp;D944</f>
        <v>(1)应收利息分类列示</v>
      </c>
      <c r="H944" s="1517" t="str">
        <f>$A944</f>
        <v>1132a</v>
      </c>
      <c r="I944" s="343" t="s">
        <v>2743</v>
      </c>
      <c r="J944" s="301" t="s">
        <v>2744</v>
      </c>
      <c r="K944" s="2210">
        <f>H954</f>
        <v>0</v>
      </c>
      <c r="L944" s="345" t="str">
        <f>IF($I944="适用",IF(ROUND($K$943-K944,2)=0,"F/S",ROUND($K$943-K944,2)),"#N/A")</f>
        <v>F/S</v>
      </c>
      <c r="M944" s="301" t="s">
        <v>2745</v>
      </c>
      <c r="N944" s="2210">
        <f>H954</f>
        <v>0</v>
      </c>
      <c r="O944" s="345" t="str">
        <f>IF($I944="适用",IF(ROUND($N$943-N944,2)=0,"F/S",ROUND($N$943-N944,2)),"#N/A")</f>
        <v>F/S</v>
      </c>
      <c r="P944" s="301"/>
      <c r="Q944" s="290" t="str">
        <f ca="1">IF($I944="不适用","",IF(ROUND(SUM($H$947:$K$954),2)=0,"请输入",""))</f>
        <v>请输入</v>
      </c>
      <c r="S944" s="364"/>
      <c r="Z944" s="609" t="s">
        <v>518</v>
      </c>
      <c r="AA944" s="609" t="s">
        <v>5654</v>
      </c>
    </row>
    <row r="945" spans="1:29" ht="0.75" customHeight="1" thickBot="1">
      <c r="A945" s="2714"/>
      <c r="B945" s="371"/>
      <c r="C945" s="371"/>
      <c r="D945" s="371"/>
      <c r="E945" s="586"/>
      <c r="F945" s="586"/>
      <c r="G945" s="586" t="s">
        <v>3121</v>
      </c>
      <c r="H945" s="371" t="s">
        <v>2747</v>
      </c>
      <c r="I945" s="371" t="s">
        <v>2748</v>
      </c>
      <c r="J945" s="433"/>
      <c r="K945" s="433"/>
      <c r="L945" s="442"/>
      <c r="M945" s="472"/>
      <c r="N945" s="472"/>
      <c r="O945" s="472"/>
      <c r="P945" s="442"/>
      <c r="Q945" s="442"/>
      <c r="R945" s="443"/>
      <c r="S945" s="364"/>
      <c r="Z945" s="609" t="s">
        <v>518</v>
      </c>
      <c r="AA945" s="609" t="s">
        <v>5654</v>
      </c>
    </row>
    <row r="946" spans="1:29" ht="18">
      <c r="A946" s="2714"/>
      <c r="B946" s="371"/>
      <c r="C946" s="371"/>
      <c r="D946" s="371"/>
      <c r="E946" s="586" t="s">
        <v>2749</v>
      </c>
      <c r="F946" s="363"/>
      <c r="G946" s="2228" t="s">
        <v>47</v>
      </c>
      <c r="H946" s="2225" t="str">
        <f>$V$2</f>
        <v>2019年12月31日</v>
      </c>
      <c r="I946" s="2226" t="str">
        <f>$V$3</f>
        <v>2018年12月31日</v>
      </c>
      <c r="J946" s="355" t="s">
        <v>5273</v>
      </c>
      <c r="K946" s="478"/>
      <c r="L946" s="516"/>
      <c r="M946" s="472"/>
      <c r="N946" s="472"/>
      <c r="O946" s="472"/>
      <c r="P946" s="442"/>
      <c r="Q946" s="442"/>
      <c r="R946" s="443"/>
      <c r="S946" s="364"/>
      <c r="Z946" s="609" t="s">
        <v>518</v>
      </c>
      <c r="AA946" s="609" t="s">
        <v>5654</v>
      </c>
    </row>
    <row r="947" spans="1:29" ht="18">
      <c r="A947" s="2714"/>
      <c r="B947" s="371">
        <v>101</v>
      </c>
      <c r="C947" s="371"/>
      <c r="D947" s="2716">
        <f t="shared" ref="D947:D954" si="84">IF(OR(G947="*",G947="",G947=0),0,COUNTIF($G$947:$G$954,G947))</f>
        <v>1</v>
      </c>
      <c r="E947" s="2721" t="s">
        <v>2939</v>
      </c>
      <c r="F947" s="294"/>
      <c r="G947" s="1474" t="s">
        <v>3122</v>
      </c>
      <c r="H947" s="2275"/>
      <c r="I947" s="2296"/>
      <c r="J947" s="438"/>
      <c r="K947" s="438"/>
      <c r="L947" s="442"/>
      <c r="M947" s="472"/>
      <c r="N947" s="472"/>
      <c r="O947" s="472"/>
      <c r="P947" s="442"/>
      <c r="Q947" s="442"/>
      <c r="R947" s="443"/>
      <c r="S947" s="364"/>
      <c r="Z947" s="609" t="s">
        <v>518</v>
      </c>
      <c r="AA947" s="609" t="s">
        <v>5654</v>
      </c>
    </row>
    <row r="948" spans="1:29" ht="18">
      <c r="A948" s="2714"/>
      <c r="B948" s="371">
        <v>101.001</v>
      </c>
      <c r="C948" s="371"/>
      <c r="D948" s="2716">
        <f t="shared" si="84"/>
        <v>1</v>
      </c>
      <c r="E948" s="2721" t="s">
        <v>2939</v>
      </c>
      <c r="F948" s="294"/>
      <c r="G948" s="1474" t="s">
        <v>3123</v>
      </c>
      <c r="H948" s="2275"/>
      <c r="I948" s="2296"/>
      <c r="J948" s="438"/>
      <c r="K948" s="438"/>
      <c r="L948" s="442"/>
      <c r="M948" s="472"/>
      <c r="N948" s="472"/>
      <c r="O948" s="472"/>
      <c r="P948" s="442"/>
      <c r="Q948" s="442"/>
      <c r="R948" s="443"/>
      <c r="S948" s="364"/>
      <c r="Z948" s="609" t="s">
        <v>518</v>
      </c>
      <c r="AA948" s="609" t="s">
        <v>5654</v>
      </c>
    </row>
    <row r="949" spans="1:29" ht="18">
      <c r="A949" s="2714"/>
      <c r="B949" s="371">
        <v>101.002</v>
      </c>
      <c r="C949" s="371"/>
      <c r="D949" s="2716">
        <f t="shared" si="84"/>
        <v>1</v>
      </c>
      <c r="E949" s="2721" t="s">
        <v>2939</v>
      </c>
      <c r="F949" s="294"/>
      <c r="G949" s="1474" t="s">
        <v>3124</v>
      </c>
      <c r="H949" s="2275"/>
      <c r="I949" s="2296"/>
      <c r="J949" s="438"/>
      <c r="K949" s="438"/>
      <c r="L949" s="442"/>
      <c r="M949" s="472"/>
      <c r="N949" s="472"/>
      <c r="O949" s="472"/>
      <c r="P949" s="442"/>
      <c r="Q949" s="442"/>
      <c r="R949" s="443"/>
      <c r="S949" s="364"/>
      <c r="Z949" s="609" t="s">
        <v>518</v>
      </c>
      <c r="AA949" s="609" t="s">
        <v>5654</v>
      </c>
    </row>
    <row r="950" spans="1:29" ht="18">
      <c r="A950" s="2714"/>
      <c r="B950" s="371">
        <v>101.003</v>
      </c>
      <c r="C950" s="371" t="s">
        <v>2791</v>
      </c>
      <c r="D950" s="2716">
        <f t="shared" si="84"/>
        <v>0</v>
      </c>
      <c r="E950" s="2721" t="s">
        <v>2939</v>
      </c>
      <c r="F950" s="294"/>
      <c r="G950" s="2284" t="s">
        <v>2792</v>
      </c>
      <c r="H950" s="2275"/>
      <c r="I950" s="2296"/>
      <c r="J950" s="438"/>
      <c r="K950" s="438"/>
      <c r="L950" s="442"/>
      <c r="M950" s="472"/>
      <c r="N950" s="472"/>
      <c r="O950" s="472"/>
      <c r="P950" s="442"/>
      <c r="Q950" s="442"/>
      <c r="R950" s="443"/>
      <c r="S950" s="364"/>
      <c r="Z950" s="609" t="s">
        <v>518</v>
      </c>
      <c r="AA950" s="609" t="s">
        <v>5654</v>
      </c>
    </row>
    <row r="951" spans="1:29" ht="18">
      <c r="A951" s="2714"/>
      <c r="B951" s="371">
        <v>101.004</v>
      </c>
      <c r="C951" s="371" t="s">
        <v>2791</v>
      </c>
      <c r="D951" s="2716">
        <f t="shared" si="84"/>
        <v>0</v>
      </c>
      <c r="E951" s="2721" t="s">
        <v>2939</v>
      </c>
      <c r="F951" s="294"/>
      <c r="G951" s="2284" t="s">
        <v>2792</v>
      </c>
      <c r="H951" s="2275"/>
      <c r="I951" s="2296"/>
      <c r="J951" s="438"/>
      <c r="K951" s="438"/>
      <c r="L951" s="442"/>
      <c r="M951" s="472"/>
      <c r="N951" s="472"/>
      <c r="O951" s="472"/>
      <c r="P951" s="442"/>
      <c r="Q951" s="442"/>
      <c r="R951" s="443"/>
      <c r="S951" s="364"/>
      <c r="Z951" s="609" t="s">
        <v>518</v>
      </c>
      <c r="AA951" s="609" t="s">
        <v>5654</v>
      </c>
    </row>
    <row r="952" spans="1:29" ht="18">
      <c r="A952" s="2714"/>
      <c r="B952" s="371">
        <v>102</v>
      </c>
      <c r="C952" s="371" t="s">
        <v>2793</v>
      </c>
      <c r="D952" s="2716">
        <f t="shared" si="84"/>
        <v>1</v>
      </c>
      <c r="E952" s="2721">
        <v>1</v>
      </c>
      <c r="F952" s="294"/>
      <c r="G952" s="1474" t="s">
        <v>2939</v>
      </c>
      <c r="H952" s="1476">
        <f>SUMIF($E$946:$E$953,$G952,H$946:H$953)</f>
        <v>0</v>
      </c>
      <c r="I952" s="1477">
        <f>SUMIF($E$946:$E$953,$G952,I$946:I$953)</f>
        <v>0</v>
      </c>
      <c r="J952" s="517"/>
      <c r="K952" s="517"/>
      <c r="L952" s="442"/>
      <c r="M952" s="472"/>
      <c r="N952" s="472"/>
      <c r="O952" s="472"/>
      <c r="P952" s="442"/>
      <c r="Q952" s="442"/>
      <c r="R952" s="443"/>
      <c r="S952" s="364"/>
      <c r="Z952" s="609" t="s">
        <v>518</v>
      </c>
      <c r="AA952" s="609" t="s">
        <v>5654</v>
      </c>
    </row>
    <row r="953" spans="1:29" ht="18">
      <c r="A953" s="2714"/>
      <c r="B953" s="371">
        <v>103</v>
      </c>
      <c r="C953" s="371" t="s">
        <v>2791</v>
      </c>
      <c r="D953" s="2716">
        <f t="shared" si="84"/>
        <v>1</v>
      </c>
      <c r="E953" s="2721">
        <v>-1</v>
      </c>
      <c r="F953" s="294"/>
      <c r="G953" s="2284" t="s">
        <v>2945</v>
      </c>
      <c r="H953" s="2275"/>
      <c r="I953" s="2296"/>
      <c r="J953" s="438"/>
      <c r="K953" s="438"/>
      <c r="L953" s="442"/>
      <c r="M953" s="472"/>
      <c r="N953" s="472"/>
      <c r="O953" s="472"/>
      <c r="P953" s="442"/>
      <c r="Q953" s="442"/>
      <c r="R953" s="443"/>
      <c r="S953" s="364"/>
      <c r="Z953" s="609" t="s">
        <v>518</v>
      </c>
      <c r="AA953" s="609" t="s">
        <v>5654</v>
      </c>
    </row>
    <row r="954" spans="1:29" ht="18.75" thickBot="1">
      <c r="A954" s="2714"/>
      <c r="B954" s="371"/>
      <c r="C954" s="371"/>
      <c r="D954" s="2716">
        <f t="shared" si="84"/>
        <v>1</v>
      </c>
      <c r="E954" s="2721" t="s">
        <v>2751</v>
      </c>
      <c r="F954" s="294"/>
      <c r="G954" s="374" t="s">
        <v>2752</v>
      </c>
      <c r="H954" s="1478">
        <f>SUMPRODUCT($E946:$E953,H946:H953)</f>
        <v>0</v>
      </c>
      <c r="I954" s="1479">
        <f>SUMPRODUCT($E946:$E953,I946:I953)</f>
        <v>0</v>
      </c>
      <c r="J954" s="1597" t="str">
        <f ca="1">HYPERLINK("#'"&amp;$G$1&amp;"'!"&amp;ADDRESS(ROW(Notes!L937),COLUMN(Notes!L937),4),"* 请勿删除此行！点击往勾稽单元格，F5+Enter返回")</f>
        <v>* 请勿删除此行！点击往勾稽单元格，F5+Enter返回</v>
      </c>
      <c r="K954" s="440"/>
      <c r="L954" s="442"/>
      <c r="M954" s="472"/>
      <c r="N954" s="472"/>
      <c r="O954" s="472"/>
      <c r="P954" s="442"/>
      <c r="Q954" s="442"/>
      <c r="R954" s="443"/>
      <c r="S954" s="364"/>
      <c r="Z954" s="609" t="s">
        <v>518</v>
      </c>
      <c r="AA954" s="609" t="s">
        <v>5654</v>
      </c>
      <c r="AC954" s="369" t="s">
        <v>2794</v>
      </c>
    </row>
    <row r="955" spans="1:29" ht="18">
      <c r="A955" s="2714"/>
      <c r="B955" s="371"/>
      <c r="C955" s="371" t="s">
        <v>2755</v>
      </c>
      <c r="D955" s="371"/>
      <c r="F955" s="294"/>
      <c r="G955" s="301"/>
      <c r="H955" s="315"/>
      <c r="I955" s="315"/>
      <c r="J955" s="438"/>
      <c r="K955" s="438"/>
      <c r="L955" s="472"/>
      <c r="M955" s="472"/>
      <c r="N955" s="472"/>
      <c r="O955" s="472"/>
      <c r="P955" s="442"/>
      <c r="Q955" s="442"/>
      <c r="R955" s="443"/>
      <c r="S955" s="364"/>
      <c r="Z955" s="609" t="s">
        <v>518</v>
      </c>
      <c r="AA955" s="609" t="s">
        <v>5654</v>
      </c>
    </row>
    <row r="956" spans="1:29" ht="24">
      <c r="A956" s="2714" t="s">
        <v>522</v>
      </c>
      <c r="B956" s="371">
        <v>2</v>
      </c>
      <c r="C956" s="371"/>
      <c r="D956" s="2716" t="str">
        <f>VLOOKUP($A956,Sheet_NoteList,2,0)</f>
        <v>期末重要的逾期应收利息</v>
      </c>
      <c r="E956" s="2716" t="s">
        <v>2742</v>
      </c>
      <c r="F956" s="294"/>
      <c r="G956" s="372" t="str">
        <f>"("&amp;B956&amp;")"&amp;D956</f>
        <v>(2)期末重要的逾期应收利息</v>
      </c>
      <c r="H956" s="1517" t="str">
        <f>$A956</f>
        <v>1132b</v>
      </c>
      <c r="I956" s="343" t="s">
        <v>2743</v>
      </c>
      <c r="J956" s="301" t="s">
        <v>2744</v>
      </c>
      <c r="K956" s="2210">
        <f>H964</f>
        <v>0</v>
      </c>
      <c r="L956" s="345"/>
      <c r="M956" s="301"/>
      <c r="N956" s="3083"/>
      <c r="O956" s="315"/>
      <c r="P956" s="301"/>
      <c r="Q956" s="290" t="str">
        <f>IF($I956="不适用","",IF(ROUND(SUM($H$959:$K$964),2)=0,"请输入",""))</f>
        <v>请输入</v>
      </c>
      <c r="S956" s="364"/>
      <c r="Z956" s="609" t="s">
        <v>518</v>
      </c>
      <c r="AA956" s="609" t="s">
        <v>5654</v>
      </c>
    </row>
    <row r="957" spans="1:29" ht="0.75" customHeight="1" thickBot="1">
      <c r="A957" s="2714"/>
      <c r="B957" s="371"/>
      <c r="C957" s="371"/>
      <c r="D957" s="371"/>
      <c r="E957" s="586"/>
      <c r="F957" s="518"/>
      <c r="G957" s="518" t="s">
        <v>3125</v>
      </c>
      <c r="H957" s="304" t="s">
        <v>2747</v>
      </c>
      <c r="I957" s="304" t="s">
        <v>3126</v>
      </c>
      <c r="J957" s="304" t="s">
        <v>3127</v>
      </c>
      <c r="K957" s="304" t="s">
        <v>3128</v>
      </c>
      <c r="L957" s="291"/>
      <c r="M957" s="291"/>
      <c r="S957" s="364"/>
      <c r="Z957" s="609" t="s">
        <v>518</v>
      </c>
      <c r="AA957" s="609" t="s">
        <v>5654</v>
      </c>
    </row>
    <row r="958" spans="1:29" ht="24">
      <c r="A958" s="2714"/>
      <c r="B958" s="371"/>
      <c r="C958" s="371"/>
      <c r="D958" s="371"/>
      <c r="E958" s="586" t="s">
        <v>2749</v>
      </c>
      <c r="F958" s="363"/>
      <c r="G958" s="2228" t="s">
        <v>1545</v>
      </c>
      <c r="H958" s="2282" t="str">
        <f>$W$2&amp;"余额"</f>
        <v>2019年12月31日余额</v>
      </c>
      <c r="I958" s="2282" t="s">
        <v>3129</v>
      </c>
      <c r="J958" s="2282" t="s">
        <v>3130</v>
      </c>
      <c r="K958" s="2546" t="s">
        <v>6127</v>
      </c>
      <c r="L958" s="355" t="s">
        <v>5273</v>
      </c>
      <c r="M958" s="291"/>
      <c r="S958" s="364"/>
      <c r="Z958" s="609" t="s">
        <v>518</v>
      </c>
      <c r="AA958" s="609" t="s">
        <v>5654</v>
      </c>
    </row>
    <row r="959" spans="1:29" ht="18">
      <c r="A959" s="2714"/>
      <c r="B959" s="371">
        <v>101</v>
      </c>
      <c r="C959" s="371" t="s">
        <v>2791</v>
      </c>
      <c r="D959" s="2716">
        <f t="shared" ref="D959:D964" si="85">IF(OR(G959="*",G959="",G959=0),0,COUNTIF($G$959:$G$964,G959))</f>
        <v>0</v>
      </c>
      <c r="E959" s="2721">
        <v>1</v>
      </c>
      <c r="F959" s="294"/>
      <c r="G959" s="2284" t="s">
        <v>2792</v>
      </c>
      <c r="H959" s="2275"/>
      <c r="I959" s="2298"/>
      <c r="J959" s="2298"/>
      <c r="K959" s="2276"/>
      <c r="L959" s="291"/>
      <c r="M959" s="291"/>
      <c r="S959" s="364"/>
      <c r="Z959" s="609" t="s">
        <v>518</v>
      </c>
      <c r="AA959" s="609" t="s">
        <v>5654</v>
      </c>
    </row>
    <row r="960" spans="1:29" ht="18">
      <c r="A960" s="2714"/>
      <c r="B960" s="371">
        <v>102</v>
      </c>
      <c r="C960" s="371" t="s">
        <v>2791</v>
      </c>
      <c r="D960" s="2716">
        <f t="shared" si="85"/>
        <v>0</v>
      </c>
      <c r="E960" s="2721">
        <v>1</v>
      </c>
      <c r="F960" s="294"/>
      <c r="G960" s="2284" t="s">
        <v>2792</v>
      </c>
      <c r="H960" s="2275"/>
      <c r="I960" s="2298"/>
      <c r="J960" s="2298"/>
      <c r="K960" s="2276"/>
      <c r="L960" s="291"/>
      <c r="M960" s="291"/>
      <c r="S960" s="364"/>
      <c r="Z960" s="609" t="s">
        <v>518</v>
      </c>
      <c r="AA960" s="609" t="s">
        <v>5654</v>
      </c>
    </row>
    <row r="961" spans="1:29" ht="18">
      <c r="A961" s="2714"/>
      <c r="B961" s="371">
        <v>103</v>
      </c>
      <c r="C961" s="371" t="s">
        <v>2791</v>
      </c>
      <c r="D961" s="2716">
        <f t="shared" si="85"/>
        <v>0</v>
      </c>
      <c r="E961" s="2721">
        <v>1</v>
      </c>
      <c r="F961" s="294"/>
      <c r="G961" s="2284" t="s">
        <v>2792</v>
      </c>
      <c r="H961" s="2275"/>
      <c r="I961" s="2298"/>
      <c r="J961" s="2298"/>
      <c r="K961" s="2276"/>
      <c r="L961" s="291"/>
      <c r="M961" s="291"/>
      <c r="S961" s="364"/>
      <c r="Z961" s="609" t="s">
        <v>518</v>
      </c>
      <c r="AA961" s="609" t="s">
        <v>5654</v>
      </c>
    </row>
    <row r="962" spans="1:29" ht="18">
      <c r="A962" s="2714"/>
      <c r="B962" s="371">
        <v>104</v>
      </c>
      <c r="C962" s="371" t="s">
        <v>2791</v>
      </c>
      <c r="D962" s="2716">
        <f t="shared" si="85"/>
        <v>0</v>
      </c>
      <c r="E962" s="2721">
        <v>1</v>
      </c>
      <c r="F962" s="294"/>
      <c r="G962" s="2284" t="s">
        <v>2792</v>
      </c>
      <c r="H962" s="2275"/>
      <c r="I962" s="2298"/>
      <c r="J962" s="2298"/>
      <c r="K962" s="2276"/>
      <c r="L962" s="291"/>
      <c r="M962" s="291"/>
      <c r="S962" s="364"/>
      <c r="Z962" s="609" t="s">
        <v>518</v>
      </c>
      <c r="AA962" s="609" t="s">
        <v>5654</v>
      </c>
    </row>
    <row r="963" spans="1:29" ht="18">
      <c r="A963" s="2714"/>
      <c r="B963" s="371">
        <v>105</v>
      </c>
      <c r="C963" s="371" t="s">
        <v>2791</v>
      </c>
      <c r="D963" s="2716">
        <f t="shared" si="85"/>
        <v>0</v>
      </c>
      <c r="E963" s="2721">
        <v>1</v>
      </c>
      <c r="F963" s="294"/>
      <c r="G963" s="2284" t="s">
        <v>2792</v>
      </c>
      <c r="H963" s="2275"/>
      <c r="I963" s="2298"/>
      <c r="J963" s="2298"/>
      <c r="K963" s="2276"/>
      <c r="L963" s="291"/>
      <c r="M963" s="291"/>
      <c r="S963" s="364"/>
      <c r="Z963" s="609" t="s">
        <v>518</v>
      </c>
      <c r="AA963" s="609" t="s">
        <v>5654</v>
      </c>
    </row>
    <row r="964" spans="1:29" ht="18.75" thickBot="1">
      <c r="A964" s="2714"/>
      <c r="B964" s="371"/>
      <c r="C964" s="371"/>
      <c r="D964" s="2716">
        <f t="shared" si="85"/>
        <v>1</v>
      </c>
      <c r="E964" s="2721" t="s">
        <v>2751</v>
      </c>
      <c r="F964" s="294"/>
      <c r="G964" s="374" t="s">
        <v>2752</v>
      </c>
      <c r="H964" s="1478">
        <f>SUMPRODUCT($E958:$E963,H958:H963)</f>
        <v>0</v>
      </c>
      <c r="I964" s="2261"/>
      <c r="J964" s="2261"/>
      <c r="K964" s="2260"/>
      <c r="L964" s="291"/>
      <c r="M964" s="291"/>
      <c r="S964" s="364"/>
      <c r="Z964" s="609" t="s">
        <v>518</v>
      </c>
      <c r="AA964" s="609" t="s">
        <v>5654</v>
      </c>
    </row>
    <row r="965" spans="1:29" ht="18">
      <c r="A965" s="2714"/>
      <c r="B965" s="371"/>
      <c r="C965" s="371" t="s">
        <v>2755</v>
      </c>
      <c r="D965" s="2716"/>
      <c r="E965" s="2721"/>
      <c r="F965" s="294"/>
      <c r="G965" s="301"/>
      <c r="H965" s="315"/>
      <c r="I965" s="393"/>
      <c r="J965" s="393"/>
      <c r="K965" s="393"/>
      <c r="L965" s="291"/>
      <c r="M965" s="291"/>
      <c r="S965" s="364"/>
      <c r="Z965" s="609" t="s">
        <v>518</v>
      </c>
      <c r="AA965" s="609" t="s">
        <v>5654</v>
      </c>
    </row>
    <row r="966" spans="1:29" ht="18">
      <c r="A966" s="2714">
        <v>1131</v>
      </c>
      <c r="B966" s="371">
        <v>9.1999999999999993</v>
      </c>
      <c r="C966" s="2716" t="str">
        <f>VLOOKUP($A966,Sheet_Items,2,0)</f>
        <v>应收股利</v>
      </c>
      <c r="D966" s="371"/>
      <c r="E966" s="2716" t="s">
        <v>2739</v>
      </c>
      <c r="F966" s="294"/>
      <c r="G966" s="305" t="str">
        <f>B966&amp;" "&amp;C966</f>
        <v>9.2 应收股利</v>
      </c>
      <c r="H966" s="306"/>
      <c r="I966" s="306"/>
      <c r="J966" s="306" t="s">
        <v>2740</v>
      </c>
      <c r="K966" s="341">
        <f>VLOOKUP($A966,Sheet_Trialbal,6,0)</f>
        <v>0</v>
      </c>
      <c r="L966" s="342"/>
      <c r="M966" s="306" t="s">
        <v>2741</v>
      </c>
      <c r="N966" s="341">
        <f>VLOOKUP($A966,Sheet_Trialbal,10,0)</f>
        <v>0</v>
      </c>
      <c r="O966" s="306"/>
      <c r="P966" s="301"/>
      <c r="S966" s="364"/>
      <c r="Z966" s="609" t="s">
        <v>528</v>
      </c>
      <c r="AA966" s="609" t="s">
        <v>5655</v>
      </c>
    </row>
    <row r="967" spans="1:29" ht="18">
      <c r="A967" s="2714" t="s">
        <v>526</v>
      </c>
      <c r="B967" s="371">
        <v>1</v>
      </c>
      <c r="C967" s="371"/>
      <c r="D967" s="2716" t="str">
        <f>VLOOKUP($A967,Sheet_NoteList,2,0)</f>
        <v>应收股利分类列示</v>
      </c>
      <c r="E967" s="2716" t="s">
        <v>2742</v>
      </c>
      <c r="F967" s="294"/>
      <c r="G967" s="307" t="str">
        <f>"("&amp;B967&amp;")"&amp;D967</f>
        <v>(1)应收股利分类列示</v>
      </c>
      <c r="H967" s="1517" t="str">
        <f>$A967</f>
        <v>1131a</v>
      </c>
      <c r="I967" s="343" t="s">
        <v>2743</v>
      </c>
      <c r="J967" s="301" t="s">
        <v>2744</v>
      </c>
      <c r="K967" s="2210">
        <f>H975</f>
        <v>0</v>
      </c>
      <c r="L967" s="345" t="str">
        <f>IF($I967="适用",IF(ROUND($K$966-K967,2)=0,"F/S",ROUND($K$966-K967,2)),"#N/A")</f>
        <v>F/S</v>
      </c>
      <c r="M967" s="301" t="s">
        <v>2745</v>
      </c>
      <c r="N967" s="2210">
        <f>I975</f>
        <v>0</v>
      </c>
      <c r="O967" s="345" t="str">
        <f>IF($I967="适用",IF(ROUND($N$966-N967,2)=0,"F/S",ROUND($N$966-N967,2)),"#N/A")</f>
        <v>F/S</v>
      </c>
      <c r="P967" s="301"/>
      <c r="Q967" s="290" t="str">
        <f ca="1">IF($I967="不适用","",IF(ROUND(SUM($H$970:$K$975),2)=0,"请输入",""))</f>
        <v>请输入</v>
      </c>
      <c r="S967" s="364"/>
      <c r="Z967" s="609" t="s">
        <v>528</v>
      </c>
      <c r="AA967" s="609" t="s">
        <v>5655</v>
      </c>
    </row>
    <row r="968" spans="1:29" ht="0.75" customHeight="1" thickBot="1">
      <c r="A968" s="2714"/>
      <c r="B968" s="371"/>
      <c r="C968" s="371"/>
      <c r="D968" s="371"/>
      <c r="E968" s="586"/>
      <c r="F968" s="586"/>
      <c r="G968" s="586" t="s">
        <v>3131</v>
      </c>
      <c r="H968" s="371" t="s">
        <v>2747</v>
      </c>
      <c r="I968" s="371" t="s">
        <v>2748</v>
      </c>
      <c r="J968" s="433"/>
      <c r="K968" s="433"/>
      <c r="L968" s="442"/>
      <c r="M968" s="472"/>
      <c r="N968" s="472"/>
      <c r="O968" s="472"/>
      <c r="P968" s="442"/>
      <c r="Q968" s="442"/>
      <c r="R968" s="443"/>
      <c r="S968" s="364"/>
      <c r="Z968" s="609" t="s">
        <v>528</v>
      </c>
      <c r="AA968" s="609" t="s">
        <v>5655</v>
      </c>
    </row>
    <row r="969" spans="1:29" ht="18">
      <c r="A969" s="2714"/>
      <c r="B969" s="371"/>
      <c r="C969" s="371"/>
      <c r="D969" s="371"/>
      <c r="E969" s="586" t="s">
        <v>2749</v>
      </c>
      <c r="F969" s="363"/>
      <c r="G969" s="2228" t="s">
        <v>5143</v>
      </c>
      <c r="H969" s="2225" t="str">
        <f>$V$2</f>
        <v>2019年12月31日</v>
      </c>
      <c r="I969" s="2226" t="str">
        <f>$V$3</f>
        <v>2018年12月31日</v>
      </c>
      <c r="J969" s="355" t="s">
        <v>5273</v>
      </c>
      <c r="K969" s="520"/>
      <c r="L969" s="472"/>
      <c r="M969" s="472"/>
      <c r="N969" s="472"/>
      <c r="O969" s="472"/>
      <c r="P969" s="442"/>
      <c r="Q969" s="442"/>
      <c r="R969" s="443"/>
      <c r="S969" s="364"/>
      <c r="Z969" s="609" t="s">
        <v>528</v>
      </c>
      <c r="AA969" s="609" t="s">
        <v>5655</v>
      </c>
    </row>
    <row r="970" spans="1:29" ht="18">
      <c r="A970" s="2714"/>
      <c r="B970" s="371">
        <v>101</v>
      </c>
      <c r="C970" s="371" t="s">
        <v>2791</v>
      </c>
      <c r="D970" s="2716">
        <f t="shared" ref="D970:D975" si="86">IF(OR(G970="*",G970="",G970=0),0,COUNTIF($G$970:$G$975,G970))</f>
        <v>0</v>
      </c>
      <c r="E970" s="2721" t="s">
        <v>2939</v>
      </c>
      <c r="F970" s="294"/>
      <c r="G970" s="2284" t="s">
        <v>2792</v>
      </c>
      <c r="H970" s="2275"/>
      <c r="I970" s="2296"/>
      <c r="J970" s="520"/>
      <c r="K970" s="520"/>
      <c r="L970" s="472"/>
      <c r="M970" s="472"/>
      <c r="N970" s="472"/>
      <c r="O970" s="472"/>
      <c r="P970" s="472"/>
      <c r="Q970" s="472"/>
      <c r="R970" s="524"/>
      <c r="S970" s="364"/>
      <c r="Z970" s="609" t="s">
        <v>528</v>
      </c>
      <c r="AA970" s="609" t="s">
        <v>5655</v>
      </c>
    </row>
    <row r="971" spans="1:29" ht="18">
      <c r="A971" s="2714"/>
      <c r="B971" s="371">
        <v>102</v>
      </c>
      <c r="C971" s="371" t="s">
        <v>2791</v>
      </c>
      <c r="D971" s="2716">
        <f t="shared" si="86"/>
        <v>0</v>
      </c>
      <c r="E971" s="2721" t="s">
        <v>2939</v>
      </c>
      <c r="F971" s="294"/>
      <c r="G971" s="2284" t="s">
        <v>2792</v>
      </c>
      <c r="H971" s="2275"/>
      <c r="I971" s="2296"/>
      <c r="J971" s="438"/>
      <c r="K971" s="438"/>
      <c r="L971" s="472"/>
      <c r="M971" s="472"/>
      <c r="N971" s="472"/>
      <c r="O971" s="472"/>
      <c r="P971" s="472"/>
      <c r="Q971" s="472"/>
      <c r="R971" s="524"/>
      <c r="S971" s="364"/>
      <c r="Z971" s="609" t="s">
        <v>528</v>
      </c>
      <c r="AA971" s="609" t="s">
        <v>5655</v>
      </c>
    </row>
    <row r="972" spans="1:29" ht="18">
      <c r="A972" s="2714"/>
      <c r="B972" s="371">
        <v>103</v>
      </c>
      <c r="C972" s="371" t="s">
        <v>2791</v>
      </c>
      <c r="D972" s="2716">
        <f t="shared" si="86"/>
        <v>0</v>
      </c>
      <c r="E972" s="2721" t="s">
        <v>2939</v>
      </c>
      <c r="F972" s="294"/>
      <c r="G972" s="2284" t="s">
        <v>2792</v>
      </c>
      <c r="H972" s="2275"/>
      <c r="I972" s="2296"/>
      <c r="J972" s="521"/>
      <c r="K972" s="438"/>
      <c r="L972" s="472"/>
      <c r="M972" s="472"/>
      <c r="N972" s="472"/>
      <c r="O972" s="472"/>
      <c r="P972" s="472"/>
      <c r="Q972" s="472"/>
      <c r="R972" s="524"/>
      <c r="S972" s="364"/>
      <c r="Z972" s="609" t="s">
        <v>528</v>
      </c>
      <c r="AA972" s="609" t="s">
        <v>5655</v>
      </c>
    </row>
    <row r="973" spans="1:29" ht="18">
      <c r="A973" s="2714"/>
      <c r="B973" s="371">
        <v>104</v>
      </c>
      <c r="C973" s="371" t="s">
        <v>2793</v>
      </c>
      <c r="D973" s="2716">
        <f t="shared" si="86"/>
        <v>1</v>
      </c>
      <c r="E973" s="2721">
        <v>1</v>
      </c>
      <c r="F973" s="294"/>
      <c r="G973" s="1474" t="s">
        <v>2939</v>
      </c>
      <c r="H973" s="1476">
        <f>SUMIF($E$969:$E$974,$G973,H$969:H$974)</f>
        <v>0</v>
      </c>
      <c r="I973" s="1477">
        <f>SUMIF($E$969:$E$974,$G973,I$969:I$974)</f>
        <v>0</v>
      </c>
      <c r="J973" s="520"/>
      <c r="K973" s="520"/>
      <c r="L973" s="472"/>
      <c r="M973" s="472"/>
      <c r="N973" s="472"/>
      <c r="O973" s="472"/>
      <c r="P973" s="472"/>
      <c r="Q973" s="472"/>
      <c r="R973" s="524"/>
      <c r="S973" s="364"/>
      <c r="Z973" s="609" t="s">
        <v>528</v>
      </c>
      <c r="AA973" s="609" t="s">
        <v>5655</v>
      </c>
    </row>
    <row r="974" spans="1:29" ht="18">
      <c r="A974" s="2714"/>
      <c r="B974" s="371">
        <v>105</v>
      </c>
      <c r="C974" s="371" t="s">
        <v>2791</v>
      </c>
      <c r="D974" s="2716">
        <f t="shared" si="86"/>
        <v>1</v>
      </c>
      <c r="E974" s="2721">
        <v>-1</v>
      </c>
      <c r="F974" s="294"/>
      <c r="G974" s="2284" t="s">
        <v>2945</v>
      </c>
      <c r="H974" s="2275"/>
      <c r="I974" s="2296"/>
      <c r="J974" s="438"/>
      <c r="K974" s="438"/>
      <c r="L974" s="472"/>
      <c r="M974" s="472"/>
      <c r="N974" s="472"/>
      <c r="O974" s="472"/>
      <c r="P974" s="472"/>
      <c r="Q974" s="472"/>
      <c r="R974" s="524"/>
      <c r="S974" s="364"/>
      <c r="Z974" s="609" t="s">
        <v>528</v>
      </c>
      <c r="AA974" s="609" t="s">
        <v>5655</v>
      </c>
    </row>
    <row r="975" spans="1:29" ht="18.75" thickBot="1">
      <c r="A975" s="2714"/>
      <c r="B975" s="371"/>
      <c r="C975" s="371"/>
      <c r="D975" s="2716">
        <f t="shared" si="86"/>
        <v>1</v>
      </c>
      <c r="E975" s="2721" t="s">
        <v>2751</v>
      </c>
      <c r="F975" s="294"/>
      <c r="G975" s="374" t="s">
        <v>2752</v>
      </c>
      <c r="H975" s="1478">
        <f>SUMPRODUCT($E969:$E974,H969:H974)</f>
        <v>0</v>
      </c>
      <c r="I975" s="1479">
        <f>SUMPRODUCT($E969:$E974,I969:I974)</f>
        <v>0</v>
      </c>
      <c r="J975" s="1597" t="str">
        <f ca="1">HYPERLINK("#'"&amp;$G$1&amp;"'!"&amp;ADDRESS(ROW(Notes!L938),COLUMN(Notes!L938),4),"* 请勿删除此行！点击往勾稽单元格，F5+Enter返回")</f>
        <v>* 请勿删除此行！点击往勾稽单元格，F5+Enter返回</v>
      </c>
      <c r="K975" s="498"/>
      <c r="L975" s="472"/>
      <c r="M975" s="472"/>
      <c r="N975" s="472"/>
      <c r="O975" s="472"/>
      <c r="P975" s="442"/>
      <c r="Q975" s="442"/>
      <c r="R975" s="443"/>
      <c r="S975" s="364"/>
      <c r="Z975" s="609" t="s">
        <v>528</v>
      </c>
      <c r="AA975" s="609" t="s">
        <v>5655</v>
      </c>
      <c r="AC975" s="369" t="s">
        <v>2794</v>
      </c>
    </row>
    <row r="976" spans="1:29" ht="18">
      <c r="A976" s="2714"/>
      <c r="B976" s="371"/>
      <c r="C976" s="371" t="s">
        <v>2755</v>
      </c>
      <c r="D976" s="371"/>
      <c r="F976" s="294"/>
      <c r="G976" s="301"/>
      <c r="H976" s="315"/>
      <c r="I976" s="315"/>
      <c r="J976" s="438"/>
      <c r="K976" s="438"/>
      <c r="L976" s="472"/>
      <c r="M976" s="472"/>
      <c r="N976" s="472"/>
      <c r="O976" s="472"/>
      <c r="P976" s="442"/>
      <c r="Q976" s="442"/>
      <c r="R976" s="443"/>
      <c r="S976" s="364"/>
      <c r="Z976" s="609" t="s">
        <v>528</v>
      </c>
      <c r="AA976" s="609" t="s">
        <v>5655</v>
      </c>
    </row>
    <row r="977" spans="1:27" ht="24">
      <c r="A977" s="2714" t="s">
        <v>532</v>
      </c>
      <c r="B977" s="371">
        <v>2</v>
      </c>
      <c r="C977" s="371"/>
      <c r="D977" s="2716" t="str">
        <f>VLOOKUP($A977,Sheet_NoteList,2,0)</f>
        <v>期末重要的账龄超过1年的应收股利</v>
      </c>
      <c r="E977" s="2716" t="s">
        <v>2742</v>
      </c>
      <c r="F977" s="294"/>
      <c r="G977" s="372" t="str">
        <f>"("&amp;B977&amp;")"&amp;D977</f>
        <v>(2)期末重要的账龄超过1年的应收股利</v>
      </c>
      <c r="H977" s="1517" t="str">
        <f>$A977</f>
        <v>1131b</v>
      </c>
      <c r="I977" s="343" t="s">
        <v>2743</v>
      </c>
      <c r="J977" s="301" t="s">
        <v>2744</v>
      </c>
      <c r="K977" s="2210">
        <f>H985</f>
        <v>0</v>
      </c>
      <c r="L977" s="345"/>
      <c r="M977" s="301"/>
      <c r="N977" s="391"/>
      <c r="O977" s="345"/>
      <c r="P977" s="301"/>
      <c r="Q977" s="290" t="str">
        <f>IF($I977="不适用","",IF(ROUND(SUM($H$980:$K$985),2)=0,"请输入",""))</f>
        <v>请输入</v>
      </c>
      <c r="S977" s="364"/>
      <c r="Z977" s="609" t="s">
        <v>528</v>
      </c>
      <c r="AA977" s="609" t="s">
        <v>5655</v>
      </c>
    </row>
    <row r="978" spans="1:27" ht="0.75" customHeight="1" thickBot="1">
      <c r="A978" s="2714"/>
      <c r="B978" s="371"/>
      <c r="C978" s="371"/>
      <c r="D978" s="371"/>
      <c r="E978" s="586"/>
      <c r="F978" s="518"/>
      <c r="G978" s="518" t="s">
        <v>3132</v>
      </c>
      <c r="H978" s="304" t="s">
        <v>2747</v>
      </c>
      <c r="I978" s="304" t="s">
        <v>3133</v>
      </c>
      <c r="J978" s="304" t="s">
        <v>3134</v>
      </c>
      <c r="K978" s="304" t="s">
        <v>3128</v>
      </c>
      <c r="N978" s="291"/>
      <c r="O978" s="291"/>
      <c r="S978" s="364"/>
      <c r="Z978" s="609" t="s">
        <v>528</v>
      </c>
      <c r="AA978" s="609" t="s">
        <v>5655</v>
      </c>
    </row>
    <row r="979" spans="1:27" ht="24">
      <c r="A979" s="2714"/>
      <c r="B979" s="371"/>
      <c r="C979" s="371"/>
      <c r="D979" s="371"/>
      <c r="E979" s="586" t="s">
        <v>2749</v>
      </c>
      <c r="F979" s="363"/>
      <c r="G979" s="2228" t="s">
        <v>5143</v>
      </c>
      <c r="H979" s="2475" t="str">
        <f>$V$2</f>
        <v>2019年12月31日</v>
      </c>
      <c r="I979" s="2282" t="s">
        <v>2961</v>
      </c>
      <c r="J979" s="2282" t="s">
        <v>3135</v>
      </c>
      <c r="K979" s="417" t="s">
        <v>3136</v>
      </c>
      <c r="L979" s="355" t="s">
        <v>5273</v>
      </c>
      <c r="N979" s="291"/>
      <c r="O979" s="291"/>
      <c r="S979" s="364"/>
      <c r="Z979" s="609" t="s">
        <v>528</v>
      </c>
      <c r="AA979" s="609" t="s">
        <v>5655</v>
      </c>
    </row>
    <row r="980" spans="1:27" ht="18">
      <c r="A980" s="2714"/>
      <c r="B980" s="371">
        <v>101</v>
      </c>
      <c r="C980" s="371" t="s">
        <v>2791</v>
      </c>
      <c r="D980" s="2716">
        <f t="shared" ref="D980:D985" si="87">IF(OR(G980="*",G980="",G980=0),0,COUNTIF($G$980:$G$985,G980))</f>
        <v>0</v>
      </c>
      <c r="E980" s="2721">
        <v>1</v>
      </c>
      <c r="F980" s="294"/>
      <c r="G980" s="2284" t="s">
        <v>2792</v>
      </c>
      <c r="H980" s="2275"/>
      <c r="I980" s="2298"/>
      <c r="J980" s="2298"/>
      <c r="K980" s="2276"/>
      <c r="L980" s="291"/>
      <c r="M980" s="291"/>
      <c r="N980" s="291"/>
      <c r="O980" s="291"/>
      <c r="P980" s="291"/>
      <c r="Q980" s="367"/>
      <c r="R980" s="367"/>
      <c r="S980" s="364"/>
      <c r="Z980" s="609" t="s">
        <v>528</v>
      </c>
      <c r="AA980" s="609" t="s">
        <v>5655</v>
      </c>
    </row>
    <row r="981" spans="1:27" ht="18">
      <c r="A981" s="2714"/>
      <c r="B981" s="371">
        <v>102</v>
      </c>
      <c r="C981" s="371" t="s">
        <v>2791</v>
      </c>
      <c r="D981" s="2716">
        <f t="shared" si="87"/>
        <v>0</v>
      </c>
      <c r="E981" s="2721">
        <v>1</v>
      </c>
      <c r="F981" s="294"/>
      <c r="G981" s="2284" t="s">
        <v>2792</v>
      </c>
      <c r="H981" s="2275"/>
      <c r="I981" s="2298"/>
      <c r="J981" s="2298"/>
      <c r="K981" s="2276"/>
      <c r="L981" s="291"/>
      <c r="M981" s="291"/>
      <c r="N981" s="291"/>
      <c r="O981" s="291"/>
      <c r="P981" s="291"/>
      <c r="Q981" s="367"/>
      <c r="R981" s="367"/>
      <c r="S981" s="364"/>
      <c r="Z981" s="609" t="s">
        <v>528</v>
      </c>
      <c r="AA981" s="609" t="s">
        <v>5655</v>
      </c>
    </row>
    <row r="982" spans="1:27" ht="18">
      <c r="A982" s="2714"/>
      <c r="B982" s="371">
        <v>103</v>
      </c>
      <c r="C982" s="371" t="s">
        <v>2791</v>
      </c>
      <c r="D982" s="2716">
        <f t="shared" si="87"/>
        <v>0</v>
      </c>
      <c r="E982" s="2721">
        <v>1</v>
      </c>
      <c r="F982" s="294"/>
      <c r="G982" s="2284" t="s">
        <v>2792</v>
      </c>
      <c r="H982" s="2275"/>
      <c r="I982" s="2298"/>
      <c r="J982" s="2298"/>
      <c r="K982" s="2276"/>
      <c r="L982" s="291"/>
      <c r="M982" s="291"/>
      <c r="N982" s="291"/>
      <c r="O982" s="291"/>
      <c r="P982" s="291"/>
      <c r="Q982" s="367"/>
      <c r="R982" s="367"/>
      <c r="S982" s="364"/>
      <c r="Z982" s="609" t="s">
        <v>528</v>
      </c>
      <c r="AA982" s="609" t="s">
        <v>5655</v>
      </c>
    </row>
    <row r="983" spans="1:27" ht="18">
      <c r="A983" s="2714"/>
      <c r="B983" s="371">
        <v>104</v>
      </c>
      <c r="C983" s="371" t="s">
        <v>2791</v>
      </c>
      <c r="D983" s="2716">
        <f t="shared" si="87"/>
        <v>0</v>
      </c>
      <c r="E983" s="2721">
        <v>1</v>
      </c>
      <c r="F983" s="294"/>
      <c r="G983" s="2284" t="s">
        <v>2792</v>
      </c>
      <c r="H983" s="2275"/>
      <c r="I983" s="2298"/>
      <c r="J983" s="2298"/>
      <c r="K983" s="2276"/>
      <c r="L983" s="291"/>
      <c r="M983" s="291"/>
      <c r="N983" s="291"/>
      <c r="O983" s="291"/>
      <c r="P983" s="291"/>
      <c r="Q983" s="367"/>
      <c r="R983" s="367"/>
      <c r="S983" s="364"/>
      <c r="Z983" s="609" t="s">
        <v>528</v>
      </c>
      <c r="AA983" s="609" t="s">
        <v>5655</v>
      </c>
    </row>
    <row r="984" spans="1:27" ht="18">
      <c r="A984" s="2714"/>
      <c r="B984" s="371">
        <v>105</v>
      </c>
      <c r="C984" s="371" t="s">
        <v>2791</v>
      </c>
      <c r="D984" s="2716">
        <f t="shared" si="87"/>
        <v>0</v>
      </c>
      <c r="E984" s="2721">
        <v>1</v>
      </c>
      <c r="F984" s="294"/>
      <c r="G984" s="2284" t="s">
        <v>2792</v>
      </c>
      <c r="H984" s="2275"/>
      <c r="I984" s="2298"/>
      <c r="J984" s="2298"/>
      <c r="K984" s="2276"/>
      <c r="L984" s="291"/>
      <c r="M984" s="291"/>
      <c r="N984" s="291"/>
      <c r="O984" s="291"/>
      <c r="P984" s="291"/>
      <c r="Q984" s="367"/>
      <c r="R984" s="367"/>
      <c r="S984" s="364"/>
      <c r="Z984" s="609" t="s">
        <v>528</v>
      </c>
      <c r="AA984" s="609" t="s">
        <v>5655</v>
      </c>
    </row>
    <row r="985" spans="1:27" ht="18.75" thickBot="1">
      <c r="A985" s="2714"/>
      <c r="B985" s="371"/>
      <c r="C985" s="371"/>
      <c r="D985" s="2716">
        <f t="shared" si="87"/>
        <v>1</v>
      </c>
      <c r="E985" s="2721" t="s">
        <v>2751</v>
      </c>
      <c r="F985" s="294"/>
      <c r="G985" s="374" t="s">
        <v>2752</v>
      </c>
      <c r="H985" s="1478">
        <f>SUMPRODUCT($E979:$E984,H979:H984)</f>
        <v>0</v>
      </c>
      <c r="I985" s="2261"/>
      <c r="J985" s="2261"/>
      <c r="K985" s="2260"/>
      <c r="N985" s="291"/>
      <c r="O985" s="291"/>
      <c r="S985" s="364"/>
      <c r="Z985" s="609" t="s">
        <v>528</v>
      </c>
      <c r="AA985" s="609" t="s">
        <v>5655</v>
      </c>
    </row>
    <row r="986" spans="1:27" ht="18">
      <c r="A986" s="2714"/>
      <c r="B986" s="371"/>
      <c r="C986" s="371" t="s">
        <v>2755</v>
      </c>
      <c r="D986" s="371"/>
      <c r="F986" s="294"/>
      <c r="G986" s="301"/>
      <c r="H986" s="315"/>
      <c r="I986" s="393"/>
      <c r="J986" s="393"/>
      <c r="K986" s="393"/>
      <c r="L986" s="350"/>
      <c r="M986" s="350"/>
      <c r="N986" s="291"/>
      <c r="O986" s="291"/>
      <c r="S986" s="364"/>
      <c r="Z986" s="609" t="s">
        <v>528</v>
      </c>
      <c r="AA986" s="609" t="s">
        <v>5655</v>
      </c>
    </row>
    <row r="987" spans="1:27" ht="18">
      <c r="A987" s="2714">
        <v>1221</v>
      </c>
      <c r="B987" s="371">
        <v>9.3000000000000007</v>
      </c>
      <c r="C987" s="2716" t="str">
        <f>VLOOKUP($A987,Sheet_Items,2,0)</f>
        <v>其他应收款</v>
      </c>
      <c r="D987" s="371"/>
      <c r="E987" s="2716" t="s">
        <v>2739</v>
      </c>
      <c r="F987" s="294"/>
      <c r="G987" s="305" t="str">
        <f>B987&amp;" "&amp;C987</f>
        <v>9.3 其他应收款</v>
      </c>
      <c r="H987" s="306"/>
      <c r="I987" s="306"/>
      <c r="J987" s="306" t="s">
        <v>2740</v>
      </c>
      <c r="K987" s="341">
        <f>VLOOKUP($A987,Sheet_Trialbal,6,0)</f>
        <v>2208147.21</v>
      </c>
      <c r="L987" s="342"/>
      <c r="M987" s="306" t="s">
        <v>2741</v>
      </c>
      <c r="N987" s="341">
        <f>VLOOKUP($A987,Sheet_Trialbal,10,0)</f>
        <v>328019.46999999997</v>
      </c>
      <c r="O987" s="306"/>
      <c r="P987" s="301"/>
      <c r="S987" s="364"/>
      <c r="Z987" s="609" t="s">
        <v>540</v>
      </c>
      <c r="AA987" s="609" t="s">
        <v>3137</v>
      </c>
    </row>
    <row r="988" spans="1:27" ht="18">
      <c r="A988" s="2714" t="s">
        <v>538</v>
      </c>
      <c r="B988" s="371">
        <v>1</v>
      </c>
      <c r="C988" s="371"/>
      <c r="D988" s="2716" t="str">
        <f>VLOOKUP($A988,Sheet_NoteList,2,0)</f>
        <v>其他应收款按账龄披露</v>
      </c>
      <c r="E988" s="2716" t="s">
        <v>2742</v>
      </c>
      <c r="F988" s="293"/>
      <c r="G988" s="372" t="str">
        <f>"("&amp;B988&amp;")"&amp;D988</f>
        <v>(1)其他应收款按账龄披露</v>
      </c>
      <c r="H988" s="1517" t="str">
        <f>$A988</f>
        <v>1221j</v>
      </c>
      <c r="I988" s="343" t="s">
        <v>2743</v>
      </c>
      <c r="J988" s="301" t="s">
        <v>2744</v>
      </c>
      <c r="K988" s="2210">
        <f>H1004</f>
        <v>2208147.21</v>
      </c>
      <c r="L988" s="349" t="str">
        <f>IF($I988="适用",IF(ROUND(K$987-K988,2)=0,"F/S",ROUND(K$987-K988,2)),"#N/A")</f>
        <v>F/S</v>
      </c>
      <c r="M988" s="301" t="s">
        <v>2745</v>
      </c>
      <c r="N988" s="2210">
        <f>I1004</f>
        <v>328019.46999999997</v>
      </c>
      <c r="O988" s="349" t="str">
        <f>IF($I988="适用",IF(ROUND(N$987-N988,2)=0,"F/S",ROUND(N$987-N988,2)),"#N/A")</f>
        <v>F/S</v>
      </c>
      <c r="P988" s="301"/>
      <c r="S988" s="364"/>
      <c r="Z988" s="609" t="s">
        <v>540</v>
      </c>
      <c r="AA988" s="609" t="s">
        <v>3137</v>
      </c>
    </row>
    <row r="989" spans="1:27" ht="0.75" customHeight="1" thickBot="1">
      <c r="A989" s="2714"/>
      <c r="B989" s="371"/>
      <c r="C989" s="371"/>
      <c r="D989" s="2716"/>
      <c r="E989" s="586"/>
      <c r="F989" s="586"/>
      <c r="G989" s="2224" t="s">
        <v>3138</v>
      </c>
      <c r="H989" s="371" t="s">
        <v>2747</v>
      </c>
      <c r="I989" s="371" t="s">
        <v>2748</v>
      </c>
      <c r="J989" s="433"/>
      <c r="K989" s="428"/>
      <c r="L989" s="428"/>
      <c r="M989" s="433"/>
      <c r="N989" s="428"/>
      <c r="O989" s="428"/>
      <c r="P989" s="433"/>
      <c r="Q989" s="442"/>
      <c r="R989" s="443"/>
      <c r="S989" s="364"/>
      <c r="Z989" s="609" t="s">
        <v>540</v>
      </c>
      <c r="AA989" s="609" t="s">
        <v>3137</v>
      </c>
    </row>
    <row r="990" spans="1:27" ht="18">
      <c r="A990" s="2714"/>
      <c r="B990" s="371"/>
      <c r="C990" s="371"/>
      <c r="D990" s="2716"/>
      <c r="E990" s="586" t="s">
        <v>2749</v>
      </c>
      <c r="F990" s="414"/>
      <c r="G990" s="2289" t="s">
        <v>5137</v>
      </c>
      <c r="H990" s="2232" t="str">
        <f>$V$2</f>
        <v>2019年12月31日</v>
      </c>
      <c r="I990" s="2233" t="str">
        <f>$V$3</f>
        <v>2018年12月31日</v>
      </c>
      <c r="J990" s="355" t="s">
        <v>5273</v>
      </c>
      <c r="K990" s="434"/>
      <c r="L990" s="434"/>
      <c r="M990" s="435"/>
      <c r="N990" s="434"/>
      <c r="O990" s="434"/>
      <c r="P990" s="435"/>
      <c r="Q990" s="442"/>
      <c r="R990" s="443"/>
      <c r="S990" s="364"/>
      <c r="Z990" s="609" t="s">
        <v>540</v>
      </c>
      <c r="AA990" s="609" t="s">
        <v>3137</v>
      </c>
    </row>
    <row r="991" spans="1:27" ht="18">
      <c r="A991" s="2714"/>
      <c r="B991" s="371">
        <v>101</v>
      </c>
      <c r="C991" s="371"/>
      <c r="D991" s="2716">
        <f t="shared" ref="D991:D1004" si="88">IF(OR(G991="*",G991="",G991=0),0,COUNTIF($G$991:$G$1004,G991))</f>
        <v>1</v>
      </c>
      <c r="E991" s="2721" t="s">
        <v>6534</v>
      </c>
      <c r="F991" s="293"/>
      <c r="G991" s="1474" t="s">
        <v>2938</v>
      </c>
      <c r="H991" s="2275"/>
      <c r="I991" s="2296"/>
      <c r="J991" s="438"/>
      <c r="K991" s="439"/>
      <c r="L991" s="437"/>
      <c r="M991" s="438"/>
      <c r="N991" s="439"/>
      <c r="O991" s="437"/>
      <c r="P991" s="438"/>
      <c r="Q991" s="442"/>
      <c r="R991" s="443"/>
      <c r="S991" s="364"/>
      <c r="Z991" s="609" t="s">
        <v>540</v>
      </c>
      <c r="AA991" s="609" t="s">
        <v>3137</v>
      </c>
    </row>
    <row r="992" spans="1:27" ht="18">
      <c r="A992" s="2714"/>
      <c r="B992" s="371">
        <v>101.001</v>
      </c>
      <c r="C992" s="371" t="s">
        <v>2791</v>
      </c>
      <c r="D992" s="2716">
        <f t="shared" si="88"/>
        <v>1</v>
      </c>
      <c r="E992" s="2721" t="s">
        <v>2937</v>
      </c>
      <c r="F992" s="293"/>
      <c r="G992" s="2284" t="s">
        <v>5132</v>
      </c>
      <c r="H992" s="2275">
        <v>2045847.54</v>
      </c>
      <c r="I992" s="2296">
        <v>195626.39</v>
      </c>
      <c r="J992" s="355" t="s">
        <v>5133</v>
      </c>
      <c r="K992" s="439"/>
      <c r="L992" s="437"/>
      <c r="M992" s="438"/>
      <c r="N992" s="439"/>
      <c r="O992" s="437"/>
      <c r="P992" s="438"/>
      <c r="Q992" s="442"/>
      <c r="R992" s="443"/>
      <c r="S992" s="364"/>
      <c r="Z992" s="609" t="s">
        <v>540</v>
      </c>
      <c r="AA992" s="609" t="s">
        <v>3137</v>
      </c>
    </row>
    <row r="993" spans="1:29" ht="18">
      <c r="A993" s="2714"/>
      <c r="B993" s="371">
        <v>101.002</v>
      </c>
      <c r="C993" s="371" t="s">
        <v>2791</v>
      </c>
      <c r="D993" s="2716">
        <f t="shared" si="88"/>
        <v>0</v>
      </c>
      <c r="E993" s="2721" t="s">
        <v>2937</v>
      </c>
      <c r="F993" s="293"/>
      <c r="G993" s="2284" t="s">
        <v>2792</v>
      </c>
      <c r="H993" s="2275"/>
      <c r="I993" s="2296"/>
      <c r="J993" s="438"/>
      <c r="K993" s="439"/>
      <c r="L993" s="437"/>
      <c r="M993" s="438"/>
      <c r="N993" s="439"/>
      <c r="O993" s="437"/>
      <c r="P993" s="438"/>
      <c r="Q993" s="442"/>
      <c r="R993" s="443"/>
      <c r="S993" s="364"/>
      <c r="Z993" s="609" t="s">
        <v>540</v>
      </c>
      <c r="AA993" s="609" t="s">
        <v>3137</v>
      </c>
    </row>
    <row r="994" spans="1:29" ht="18">
      <c r="A994" s="2714"/>
      <c r="B994" s="371">
        <v>101.003</v>
      </c>
      <c r="C994" s="371" t="s">
        <v>2791</v>
      </c>
      <c r="D994" s="2716">
        <f t="shared" si="88"/>
        <v>0</v>
      </c>
      <c r="E994" s="2721" t="s">
        <v>2937</v>
      </c>
      <c r="F994" s="293"/>
      <c r="G994" s="2284" t="s">
        <v>2792</v>
      </c>
      <c r="H994" s="2275"/>
      <c r="I994" s="2296"/>
      <c r="J994" s="438"/>
      <c r="K994" s="439"/>
      <c r="L994" s="437"/>
      <c r="M994" s="438"/>
      <c r="N994" s="439"/>
      <c r="O994" s="437"/>
      <c r="P994" s="438"/>
      <c r="Q994" s="442"/>
      <c r="R994" s="443"/>
      <c r="S994" s="364"/>
      <c r="Z994" s="609" t="s">
        <v>540</v>
      </c>
      <c r="AA994" s="609" t="s">
        <v>3137</v>
      </c>
    </row>
    <row r="995" spans="1:29" ht="18">
      <c r="A995" s="2714"/>
      <c r="B995" s="371">
        <v>101.999</v>
      </c>
      <c r="C995" s="371" t="s">
        <v>2793</v>
      </c>
      <c r="D995" s="2716">
        <f t="shared" si="88"/>
        <v>1</v>
      </c>
      <c r="E995" s="2721" t="s">
        <v>2939</v>
      </c>
      <c r="F995" s="293"/>
      <c r="G995" s="1474" t="s">
        <v>2937</v>
      </c>
      <c r="H995" s="1476">
        <f>SUMIF($E$990:$E$1003,$G995,H$990:H$1003)</f>
        <v>2045847.54</v>
      </c>
      <c r="I995" s="1477">
        <f>SUMIF($E$990:$E$1003,$G995,I$990:I$1003)</f>
        <v>195626.39</v>
      </c>
      <c r="J995" s="438"/>
      <c r="K995" s="439"/>
      <c r="L995" s="437"/>
      <c r="M995" s="438"/>
      <c r="N995" s="439"/>
      <c r="O995" s="437"/>
      <c r="P995" s="438"/>
      <c r="Q995" s="442"/>
      <c r="R995" s="443"/>
      <c r="S995" s="364"/>
      <c r="Z995" s="609" t="s">
        <v>540</v>
      </c>
      <c r="AA995" s="609" t="s">
        <v>3137</v>
      </c>
    </row>
    <row r="996" spans="1:29" ht="18">
      <c r="A996" s="2714"/>
      <c r="B996" s="371">
        <v>102</v>
      </c>
      <c r="C996" s="371"/>
      <c r="D996" s="2716">
        <f t="shared" si="88"/>
        <v>1</v>
      </c>
      <c r="E996" s="2721" t="s">
        <v>2939</v>
      </c>
      <c r="F996" s="293"/>
      <c r="G996" s="1474" t="s">
        <v>2940</v>
      </c>
      <c r="H996" s="2275">
        <v>73287.59</v>
      </c>
      <c r="I996" s="2296">
        <v>151631.20000000001</v>
      </c>
      <c r="J996" s="438"/>
      <c r="K996" s="439"/>
      <c r="L996" s="437"/>
      <c r="M996" s="438"/>
      <c r="N996" s="439"/>
      <c r="O996" s="437"/>
      <c r="P996" s="438"/>
      <c r="Q996" s="442"/>
      <c r="R996" s="443"/>
      <c r="S996" s="364"/>
      <c r="Z996" s="609" t="s">
        <v>540</v>
      </c>
      <c r="AA996" s="609" t="s">
        <v>3137</v>
      </c>
    </row>
    <row r="997" spans="1:29" ht="18">
      <c r="A997" s="2714"/>
      <c r="B997" s="371">
        <v>102.001</v>
      </c>
      <c r="C997" s="371"/>
      <c r="D997" s="2716">
        <f t="shared" si="88"/>
        <v>1</v>
      </c>
      <c r="E997" s="2721" t="s">
        <v>2939</v>
      </c>
      <c r="F997" s="293"/>
      <c r="G997" s="1474" t="s">
        <v>2941</v>
      </c>
      <c r="H997" s="2275">
        <v>100000</v>
      </c>
      <c r="I997" s="2296"/>
      <c r="J997" s="438"/>
      <c r="K997" s="439"/>
      <c r="L997" s="437"/>
      <c r="M997" s="438"/>
      <c r="N997" s="439"/>
      <c r="O997" s="437"/>
      <c r="P997" s="438"/>
      <c r="Q997" s="442"/>
      <c r="R997" s="443"/>
      <c r="S997" s="364"/>
      <c r="Z997" s="609" t="s">
        <v>540</v>
      </c>
      <c r="AA997" s="609" t="s">
        <v>3137</v>
      </c>
    </row>
    <row r="998" spans="1:29" ht="18">
      <c r="A998" s="2714"/>
      <c r="B998" s="371">
        <v>102.002</v>
      </c>
      <c r="C998" s="371" t="s">
        <v>2791</v>
      </c>
      <c r="D998" s="2716">
        <f t="shared" si="88"/>
        <v>1</v>
      </c>
      <c r="E998" s="2721" t="s">
        <v>2939</v>
      </c>
      <c r="F998" s="293"/>
      <c r="G998" s="2284" t="s">
        <v>2942</v>
      </c>
      <c r="H998" s="2275"/>
      <c r="I998" s="2296"/>
      <c r="J998" s="438"/>
      <c r="K998" s="439"/>
      <c r="L998" s="437"/>
      <c r="M998" s="438"/>
      <c r="N998" s="439"/>
      <c r="O998" s="437"/>
      <c r="P998" s="438"/>
      <c r="Q998" s="442"/>
      <c r="R998" s="443"/>
      <c r="S998" s="364"/>
      <c r="Z998" s="609" t="s">
        <v>540</v>
      </c>
      <c r="AA998" s="609" t="s">
        <v>3137</v>
      </c>
    </row>
    <row r="999" spans="1:29" ht="18">
      <c r="A999" s="2714"/>
      <c r="B999" s="371">
        <v>102.003</v>
      </c>
      <c r="C999" s="371" t="s">
        <v>2791</v>
      </c>
      <c r="D999" s="2716">
        <f t="shared" si="88"/>
        <v>1</v>
      </c>
      <c r="E999" s="2721" t="s">
        <v>2939</v>
      </c>
      <c r="F999" s="293"/>
      <c r="G999" s="2284" t="s">
        <v>2943</v>
      </c>
      <c r="H999" s="2275"/>
      <c r="I999" s="2296"/>
      <c r="J999" s="438"/>
      <c r="K999" s="439"/>
      <c r="L999" s="437"/>
      <c r="M999" s="438"/>
      <c r="N999" s="439"/>
      <c r="O999" s="437"/>
      <c r="P999" s="438"/>
      <c r="Q999" s="442"/>
      <c r="R999" s="443"/>
      <c r="S999" s="364"/>
      <c r="Z999" s="609" t="s">
        <v>540</v>
      </c>
      <c r="AA999" s="609" t="s">
        <v>3137</v>
      </c>
    </row>
    <row r="1000" spans="1:29" ht="18">
      <c r="A1000" s="2714"/>
      <c r="B1000" s="371">
        <v>102.004</v>
      </c>
      <c r="C1000" s="371" t="s">
        <v>2791</v>
      </c>
      <c r="D1000" s="2716">
        <f t="shared" si="88"/>
        <v>1</v>
      </c>
      <c r="E1000" s="2721" t="s">
        <v>2939</v>
      </c>
      <c r="F1000" s="293"/>
      <c r="G1000" s="2284" t="s">
        <v>2944</v>
      </c>
      <c r="H1000" s="2275"/>
      <c r="I1000" s="2296"/>
      <c r="J1000" s="438"/>
      <c r="K1000" s="439"/>
      <c r="L1000" s="437"/>
      <c r="M1000" s="438"/>
      <c r="N1000" s="439"/>
      <c r="O1000" s="437"/>
      <c r="P1000" s="438"/>
      <c r="Q1000" s="442"/>
      <c r="R1000" s="443"/>
      <c r="S1000" s="364"/>
      <c r="Z1000" s="609" t="s">
        <v>540</v>
      </c>
      <c r="AA1000" s="609" t="s">
        <v>3137</v>
      </c>
    </row>
    <row r="1001" spans="1:29" ht="18">
      <c r="A1001" s="2714"/>
      <c r="B1001" s="371">
        <v>102.005</v>
      </c>
      <c r="C1001" s="371" t="s">
        <v>6532</v>
      </c>
      <c r="D1001" s="2716">
        <f t="shared" si="88"/>
        <v>0</v>
      </c>
      <c r="E1001" s="2721" t="s">
        <v>2939</v>
      </c>
      <c r="F1001" s="293"/>
      <c r="G1001" s="2284" t="s">
        <v>2792</v>
      </c>
      <c r="H1001" s="2275"/>
      <c r="I1001" s="2296"/>
      <c r="J1001" s="438"/>
      <c r="K1001" s="439"/>
      <c r="L1001" s="437"/>
      <c r="M1001" s="438"/>
      <c r="N1001" s="439"/>
      <c r="O1001" s="437"/>
      <c r="P1001" s="438"/>
      <c r="Q1001" s="442"/>
      <c r="R1001" s="443"/>
      <c r="S1001" s="364"/>
      <c r="Z1001" s="609" t="s">
        <v>540</v>
      </c>
      <c r="AA1001" s="609" t="s">
        <v>3137</v>
      </c>
    </row>
    <row r="1002" spans="1:29" ht="18">
      <c r="A1002" s="2714"/>
      <c r="B1002" s="371">
        <v>102.999</v>
      </c>
      <c r="C1002" s="371" t="s">
        <v>2793</v>
      </c>
      <c r="D1002" s="2716">
        <f t="shared" si="88"/>
        <v>1</v>
      </c>
      <c r="E1002" s="2721">
        <v>1</v>
      </c>
      <c r="F1002" s="293"/>
      <c r="G1002" s="1474" t="s">
        <v>2939</v>
      </c>
      <c r="H1002" s="1476">
        <f>SUMIF($E$990:$E$1003,$G1002,H$990:H$1003)</f>
        <v>2219135.13</v>
      </c>
      <c r="I1002" s="1477">
        <f>SUMIF($E$990:$E$1003,$G1002,I$990:I$1003)</f>
        <v>347257.59</v>
      </c>
      <c r="J1002" s="1589" t="str">
        <f ca="1">HYPERLINK("#'"&amp;$G$1&amp;"'!"&amp;ADDRESS(ROW(Notes!H1037),COLUMN(Notes!H1037),4),"* 请勿删除此行！点击往勾稽单元格，F5+Enter返回")</f>
        <v>* 请勿删除此行！点击往勾稽单元格，F5+Enter返回</v>
      </c>
      <c r="K1002" s="439"/>
      <c r="L1002" s="437"/>
      <c r="M1002" s="438"/>
      <c r="N1002" s="439"/>
      <c r="O1002" s="437"/>
      <c r="P1002" s="438"/>
      <c r="Q1002" s="442"/>
      <c r="R1002" s="443"/>
      <c r="S1002" s="364"/>
      <c r="Z1002" s="609" t="s">
        <v>540</v>
      </c>
      <c r="AA1002" s="609" t="s">
        <v>3137</v>
      </c>
      <c r="AC1002" s="369" t="s">
        <v>2794</v>
      </c>
    </row>
    <row r="1003" spans="1:29" ht="18">
      <c r="A1003" s="2714"/>
      <c r="B1003" s="371">
        <v>103</v>
      </c>
      <c r="C1003" s="371"/>
      <c r="D1003" s="2716">
        <f t="shared" si="88"/>
        <v>1</v>
      </c>
      <c r="E1003" s="2721">
        <v>-1</v>
      </c>
      <c r="F1003" s="293"/>
      <c r="G1003" s="1474" t="s">
        <v>2945</v>
      </c>
      <c r="H1003" s="2275">
        <v>10987.92</v>
      </c>
      <c r="I1003" s="2296">
        <v>19238.12</v>
      </c>
      <c r="J1003" s="1589" t="str">
        <f ca="1">HYPERLINK("#'"&amp;$G$1&amp;"'!"&amp;ADDRESS(ROW(Notes!I1037),COLUMN(Notes!I1037),4),"* 请勿删除此行！点击往勾稽单元格，F5+Enter返回")</f>
        <v>* 请勿删除此行！点击往勾稽单元格，F5+Enter返回</v>
      </c>
      <c r="K1003" s="439"/>
      <c r="L1003" s="437"/>
      <c r="M1003" s="438"/>
      <c r="N1003" s="439"/>
      <c r="O1003" s="437"/>
      <c r="P1003" s="438"/>
      <c r="Q1003" s="442"/>
      <c r="R1003" s="443"/>
      <c r="S1003" s="364"/>
      <c r="Z1003" s="609" t="s">
        <v>540</v>
      </c>
      <c r="AA1003" s="609" t="s">
        <v>3137</v>
      </c>
      <c r="AC1003" s="369" t="s">
        <v>2794</v>
      </c>
    </row>
    <row r="1004" spans="1:29" ht="18.75" thickBot="1">
      <c r="A1004" s="2714"/>
      <c r="B1004" s="371"/>
      <c r="C1004" s="371"/>
      <c r="D1004" s="2716">
        <f t="shared" si="88"/>
        <v>1</v>
      </c>
      <c r="E1004" s="2721" t="s">
        <v>2751</v>
      </c>
      <c r="F1004" s="293"/>
      <c r="G1004" s="2234" t="s">
        <v>5141</v>
      </c>
      <c r="H1004" s="2235">
        <f>SUMPRODUCT($E990:$E1003,H990:H1003)</f>
        <v>2208147.21</v>
      </c>
      <c r="I1004" s="2236">
        <f>SUMPRODUCT($E990:$E1003,I990:I1003)</f>
        <v>328019.46999999997</v>
      </c>
      <c r="J1004" s="1597" t="str">
        <f ca="1">HYPERLINK("#'"&amp;$G$1&amp;"'!"&amp;ADDRESS(ROW(Notes!J1037),COLUMN(Notes!J1037),4),"* 请勿删除此行！点击往勾稽单元格，F5+Enter返回")</f>
        <v>* 请勿删除此行！点击往勾稽单元格，F5+Enter返回</v>
      </c>
      <c r="K1004" s="439"/>
      <c r="L1004" s="437"/>
      <c r="M1004" s="440"/>
      <c r="N1004" s="439"/>
      <c r="O1004" s="437"/>
      <c r="P1004" s="440"/>
      <c r="Q1004" s="442"/>
      <c r="R1004" s="443"/>
      <c r="S1004" s="364"/>
      <c r="Z1004" s="609" t="s">
        <v>540</v>
      </c>
      <c r="AA1004" s="609" t="s">
        <v>3137</v>
      </c>
      <c r="AC1004" s="369" t="s">
        <v>2794</v>
      </c>
    </row>
    <row r="1005" spans="1:29" ht="18.75" thickBot="1">
      <c r="A1005" s="2714"/>
      <c r="B1005" s="371"/>
      <c r="C1005" s="371" t="s">
        <v>2755</v>
      </c>
      <c r="D1005" s="2716"/>
      <c r="F1005" s="293"/>
      <c r="G1005" s="376"/>
      <c r="H1005" s="527" t="s">
        <v>3002</v>
      </c>
      <c r="I1005" s="2253" t="s">
        <v>3002</v>
      </c>
      <c r="J1005" s="425"/>
      <c r="K1005" s="426"/>
      <c r="L1005" s="427"/>
      <c r="M1005" s="425"/>
      <c r="N1005" s="426"/>
      <c r="O1005" s="427"/>
      <c r="P1005" s="425"/>
      <c r="Q1005" s="442"/>
      <c r="R1005" s="443"/>
      <c r="S1005" s="364"/>
      <c r="Z1005" s="609" t="s">
        <v>540</v>
      </c>
      <c r="AA1005" s="609" t="s">
        <v>3137</v>
      </c>
    </row>
    <row r="1006" spans="1:29" ht="18.75" thickTop="1">
      <c r="A1006" s="2714"/>
      <c r="B1006" s="371"/>
      <c r="C1006" s="371" t="s">
        <v>2565</v>
      </c>
      <c r="D1006" s="2716"/>
      <c r="F1006" s="293"/>
      <c r="G1006" s="1549" t="s">
        <v>5367</v>
      </c>
      <c r="H1006" s="1550" t="str">
        <f>G1013</f>
        <v>(2)其他应收款按款项性质分类情况</v>
      </c>
      <c r="I1006" s="1552"/>
      <c r="J1006" s="1553" t="s">
        <v>5368</v>
      </c>
      <c r="K1006" s="426"/>
      <c r="L1006" s="427"/>
      <c r="M1006" s="425"/>
      <c r="N1006" s="426"/>
      <c r="O1006" s="427"/>
      <c r="P1006" s="425"/>
      <c r="Q1006" s="442"/>
      <c r="R1006" s="442"/>
      <c r="S1006" s="364"/>
      <c r="Z1006" s="609" t="s">
        <v>540</v>
      </c>
      <c r="AA1006" s="609" t="s">
        <v>3137</v>
      </c>
    </row>
    <row r="1007" spans="1:29" ht="18">
      <c r="A1007" s="2714"/>
      <c r="B1007" s="371"/>
      <c r="C1007" s="371" t="s">
        <v>2565</v>
      </c>
      <c r="D1007" s="2716"/>
      <c r="F1007" s="293"/>
      <c r="G1007" s="604" t="str">
        <f>"注释A:"&amp; G1025</f>
        <v>注释A:合       计</v>
      </c>
      <c r="H1007" s="2252">
        <f ca="1">HYPERLINK("#'"&amp;$G$1&amp;"'!"&amp;ADDRESS(ROW(Notes!H1025),COLUMN(Notes!H1025),4),H1025)</f>
        <v>2208147.21</v>
      </c>
      <c r="I1007" s="2252">
        <f ca="1">HYPERLINK("#'"&amp;$G$1&amp;"'!"&amp;ADDRESS(ROW(Notes!I1025),COLUMN(Notes!I1025),4),I1025)</f>
        <v>328019.46999999997</v>
      </c>
      <c r="J1007" s="2636" t="str">
        <f>H1013</f>
        <v>1221l</v>
      </c>
      <c r="K1007" s="426"/>
      <c r="L1007" s="427"/>
      <c r="M1007" s="425"/>
      <c r="N1007" s="426"/>
      <c r="O1007" s="427"/>
      <c r="P1007" s="425"/>
      <c r="Q1007" s="442"/>
      <c r="R1007" s="442"/>
      <c r="S1007" s="364"/>
      <c r="Z1007" s="609" t="s">
        <v>540</v>
      </c>
      <c r="AA1007" s="609" t="s">
        <v>3137</v>
      </c>
    </row>
    <row r="1008" spans="1:29" ht="18">
      <c r="A1008" s="2714"/>
      <c r="B1008" s="371"/>
      <c r="C1008" s="371" t="s">
        <v>2565</v>
      </c>
      <c r="D1008" s="2716"/>
      <c r="F1008" s="293"/>
      <c r="G1008" s="604" t="str">
        <f>"本注释B:"&amp; G1004</f>
        <v>本注释B:合       计</v>
      </c>
      <c r="H1008" s="456">
        <f>H1004</f>
        <v>2208147.21</v>
      </c>
      <c r="I1008" s="456">
        <f>I1004</f>
        <v>328019.46999999997</v>
      </c>
      <c r="J1008" s="2639" t="s">
        <v>538</v>
      </c>
      <c r="K1008" s="426"/>
      <c r="L1008" s="427"/>
      <c r="M1008" s="425"/>
      <c r="N1008" s="426"/>
      <c r="O1008" s="427"/>
      <c r="P1008" s="425"/>
      <c r="Q1008" s="442"/>
      <c r="R1008" s="442"/>
      <c r="S1008" s="364"/>
      <c r="Z1008" s="609" t="s">
        <v>540</v>
      </c>
      <c r="AA1008" s="609" t="s">
        <v>3137</v>
      </c>
    </row>
    <row r="1009" spans="1:29" ht="18.75" thickBot="1">
      <c r="A1009" s="2714"/>
      <c r="B1009" s="371"/>
      <c r="C1009" s="371" t="s">
        <v>2565</v>
      </c>
      <c r="D1009" s="2716"/>
      <c r="F1009" s="293"/>
      <c r="G1009" s="1554" t="s">
        <v>2757</v>
      </c>
      <c r="H1009" s="1531">
        <f ca="1">IF(AND(H1007="",H1008=""),"",ROUND(H1007-H1008,2))</f>
        <v>0</v>
      </c>
      <c r="I1009" s="1531">
        <f ca="1">IF(AND(I1007="",I1008=""),"",ROUND(I1007-I1008,2))</f>
        <v>0</v>
      </c>
      <c r="J1009" s="1556"/>
      <c r="K1009" s="426"/>
      <c r="L1009" s="427"/>
      <c r="M1009" s="425"/>
      <c r="N1009" s="426"/>
      <c r="O1009" s="427"/>
      <c r="P1009" s="425"/>
      <c r="Q1009" s="442"/>
      <c r="R1009" s="442"/>
      <c r="S1009" s="364"/>
      <c r="Z1009" s="609" t="s">
        <v>540</v>
      </c>
      <c r="AA1009" s="609" t="s">
        <v>3137</v>
      </c>
    </row>
    <row r="1010" spans="1:29" ht="18.75" thickTop="1">
      <c r="A1010" s="2714"/>
      <c r="B1010" s="371"/>
      <c r="C1010" s="371" t="s">
        <v>2565</v>
      </c>
      <c r="D1010" s="2716"/>
      <c r="F1010" s="293"/>
      <c r="G1010" s="1545"/>
      <c r="H1010" s="459" t="str">
        <f ca="1">IF(OR(H1009=0,H1009=""),"√","？")</f>
        <v>√</v>
      </c>
      <c r="I1010" s="459" t="str">
        <f ca="1">IF(OR(I1009=0,I1009=""),"√","？")</f>
        <v>√</v>
      </c>
      <c r="J1010" s="1547"/>
      <c r="K1010" s="426"/>
      <c r="L1010" s="427"/>
      <c r="M1010" s="425"/>
      <c r="N1010" s="426"/>
      <c r="O1010" s="427"/>
      <c r="P1010" s="425"/>
      <c r="Q1010" s="442"/>
      <c r="R1010" s="442"/>
      <c r="S1010" s="364"/>
      <c r="Z1010" s="609" t="s">
        <v>540</v>
      </c>
      <c r="AA1010" s="609" t="s">
        <v>3137</v>
      </c>
    </row>
    <row r="1011" spans="1:29" ht="18">
      <c r="A1011" s="2714"/>
      <c r="B1011" s="371"/>
      <c r="C1011" s="371" t="s">
        <v>2565</v>
      </c>
      <c r="D1011" s="2716"/>
      <c r="F1011" s="293"/>
      <c r="G1011" s="1559" t="s">
        <v>2759</v>
      </c>
      <c r="H1011" s="461"/>
      <c r="I1011" s="461"/>
      <c r="J1011" s="1547"/>
      <c r="K1011" s="577">
        <f ca="1">SUMIF($H$1010:$J$1010,"&lt;&gt;√",$H$1009:$J$1009)</f>
        <v>0</v>
      </c>
      <c r="L1011" s="2258" t="str">
        <f ca="1">IF(OR(K1011=0,K1011=""),"√","？")</f>
        <v>√</v>
      </c>
      <c r="M1011" s="425"/>
      <c r="N1011" s="426"/>
      <c r="O1011" s="427"/>
      <c r="P1011" s="425"/>
      <c r="Q1011" s="442"/>
      <c r="R1011" s="442"/>
      <c r="S1011" s="364"/>
      <c r="Z1011" s="609" t="s">
        <v>540</v>
      </c>
      <c r="AA1011" s="609" t="s">
        <v>3137</v>
      </c>
    </row>
    <row r="1012" spans="1:29" ht="18">
      <c r="A1012" s="2714"/>
      <c r="B1012" s="371"/>
      <c r="C1012" s="371" t="s">
        <v>2565</v>
      </c>
      <c r="D1012" s="2716"/>
      <c r="F1012" s="293"/>
      <c r="G1012" s="1545"/>
      <c r="H1012" s="461"/>
      <c r="I1012" s="461"/>
      <c r="J1012" s="1547"/>
      <c r="K1012" s="426"/>
      <c r="L1012" s="427"/>
      <c r="M1012" s="425"/>
      <c r="N1012" s="426"/>
      <c r="O1012" s="427"/>
      <c r="P1012" s="425"/>
      <c r="Q1012" s="442"/>
      <c r="R1012" s="442"/>
      <c r="S1012" s="364"/>
      <c r="Z1012" s="609" t="s">
        <v>540</v>
      </c>
      <c r="AA1012" s="609" t="s">
        <v>3137</v>
      </c>
    </row>
    <row r="1013" spans="1:29" ht="24">
      <c r="A1013" s="2714" t="s">
        <v>544</v>
      </c>
      <c r="B1013" s="371">
        <v>2</v>
      </c>
      <c r="C1013" s="371"/>
      <c r="D1013" s="2716" t="str">
        <f>VLOOKUP($A1013,Sheet_NoteList,2,0)</f>
        <v>其他应收款按款项性质分类情况</v>
      </c>
      <c r="E1013" s="2716" t="s">
        <v>2742</v>
      </c>
      <c r="F1013" s="294"/>
      <c r="G1013" s="372" t="str">
        <f>"("&amp;B1013&amp;")"&amp;D1013</f>
        <v>(2)其他应收款按款项性质分类情况</v>
      </c>
      <c r="H1013" s="1517" t="str">
        <f>$A1013</f>
        <v>1221l</v>
      </c>
      <c r="I1013" s="343" t="s">
        <v>2743</v>
      </c>
      <c r="J1013" s="301" t="s">
        <v>2744</v>
      </c>
      <c r="K1013" s="2210">
        <f>H1025</f>
        <v>2208147.21</v>
      </c>
      <c r="L1013" s="345">
        <f>IF($I1013="适用",IF(ROUND($H1378-K1013,2)=0,"F/S",ROUND($H1378-K1013,2)),"#N/A")</f>
        <v>-2208147.21</v>
      </c>
      <c r="M1013" s="301" t="s">
        <v>2745</v>
      </c>
      <c r="N1013" s="2210">
        <f>I1025</f>
        <v>328019.46999999997</v>
      </c>
      <c r="O1013" s="345">
        <f>IF($I1013="适用",IF(ROUND(H1400-N1013,2)=0,"F/S",ROUND(H1400-N1013,2)),"#N/A")</f>
        <v>-328019.46999999997</v>
      </c>
      <c r="P1013" s="301"/>
      <c r="Q1013" s="290" t="str">
        <f>IF($I1013="不适用","",IF(ROUND(SUM($H$1016:$I$1025),2)=0,"请输入",""))</f>
        <v/>
      </c>
      <c r="S1013" s="364"/>
      <c r="Z1013" s="609" t="s">
        <v>540</v>
      </c>
      <c r="AA1013" s="609" t="s">
        <v>3137</v>
      </c>
    </row>
    <row r="1014" spans="1:29" ht="0.75" customHeight="1" thickBot="1">
      <c r="A1014" s="2714"/>
      <c r="B1014" s="371"/>
      <c r="C1014" s="371"/>
      <c r="D1014" s="371"/>
      <c r="E1014" s="586"/>
      <c r="F1014" s="586"/>
      <c r="G1014" s="586" t="s">
        <v>3139</v>
      </c>
      <c r="H1014" s="371" t="s">
        <v>5406</v>
      </c>
      <c r="I1014" s="371" t="s">
        <v>5407</v>
      </c>
      <c r="J1014" s="472"/>
      <c r="K1014" s="472"/>
      <c r="L1014" s="472"/>
      <c r="M1014" s="472"/>
      <c r="N1014" s="442"/>
      <c r="O1014" s="442"/>
      <c r="P1014" s="442"/>
      <c r="Q1014" s="442"/>
      <c r="R1014" s="443"/>
      <c r="S1014" s="364"/>
      <c r="Z1014" s="609" t="s">
        <v>540</v>
      </c>
      <c r="AA1014" s="609" t="s">
        <v>3137</v>
      </c>
    </row>
    <row r="1015" spans="1:29" ht="18">
      <c r="A1015" s="2714"/>
      <c r="B1015" s="371"/>
      <c r="C1015" s="371"/>
      <c r="D1015" s="371"/>
      <c r="E1015" s="586" t="s">
        <v>2749</v>
      </c>
      <c r="F1015" s="363"/>
      <c r="G1015" s="2537" t="s">
        <v>5485</v>
      </c>
      <c r="H1015" s="2553" t="str">
        <f>$V$2</f>
        <v>2019年12月31日</v>
      </c>
      <c r="I1015" s="2554" t="str">
        <f>$V$3</f>
        <v>2018年12月31日</v>
      </c>
      <c r="J1015" s="355" t="s">
        <v>5273</v>
      </c>
      <c r="K1015" s="442"/>
      <c r="L1015" s="442"/>
      <c r="M1015" s="442"/>
      <c r="N1015" s="442"/>
      <c r="O1015" s="442"/>
      <c r="P1015" s="442"/>
      <c r="Q1015" s="442"/>
      <c r="R1015" s="443"/>
      <c r="S1015" s="364"/>
      <c r="Z1015" s="609" t="s">
        <v>540</v>
      </c>
      <c r="AA1015" s="609" t="s">
        <v>3137</v>
      </c>
    </row>
    <row r="1016" spans="1:29" ht="18">
      <c r="A1016" s="2714"/>
      <c r="B1016" s="371">
        <v>101</v>
      </c>
      <c r="C1016" s="371" t="s">
        <v>2791</v>
      </c>
      <c r="D1016" s="2716">
        <f t="shared" ref="D1016:D1025" si="89">IF(OR(G1016="*",G1016="",G1016=0),0,COUNTIF($G$1016:$G$1025,G1016))</f>
        <v>1</v>
      </c>
      <c r="E1016" s="2721" t="s">
        <v>2939</v>
      </c>
      <c r="F1016" s="294"/>
      <c r="G1016" s="2538" t="s">
        <v>6894</v>
      </c>
      <c r="H1016" s="2275">
        <v>26587.02</v>
      </c>
      <c r="I1016" s="2296">
        <v>83187.02</v>
      </c>
      <c r="J1016" s="438"/>
      <c r="K1016" s="442"/>
      <c r="L1016" s="442"/>
      <c r="M1016" s="442"/>
      <c r="N1016" s="442"/>
      <c r="O1016" s="442"/>
      <c r="P1016" s="442"/>
      <c r="Q1016" s="442"/>
      <c r="R1016" s="443"/>
      <c r="S1016" s="364"/>
      <c r="Z1016" s="609" t="s">
        <v>540</v>
      </c>
      <c r="AA1016" s="609" t="s">
        <v>3137</v>
      </c>
    </row>
    <row r="1017" spans="1:29" ht="18">
      <c r="A1017" s="2714"/>
      <c r="B1017" s="371">
        <v>101.001</v>
      </c>
      <c r="C1017" s="371" t="s">
        <v>2791</v>
      </c>
      <c r="D1017" s="2716">
        <f t="shared" si="89"/>
        <v>1</v>
      </c>
      <c r="E1017" s="2721" t="s">
        <v>2939</v>
      </c>
      <c r="F1017" s="294"/>
      <c r="G1017" s="2538" t="s">
        <v>6895</v>
      </c>
      <c r="H1017" s="2275">
        <v>27548.19</v>
      </c>
      <c r="I1017" s="2296">
        <f>939.45+98131.2</f>
        <v>99070.65</v>
      </c>
      <c r="J1017" s="438"/>
      <c r="K1017" s="442"/>
      <c r="L1017" s="442"/>
      <c r="M1017" s="442"/>
      <c r="N1017" s="442"/>
      <c r="O1017" s="442"/>
      <c r="P1017" s="442"/>
      <c r="Q1017" s="442"/>
      <c r="R1017" s="443"/>
      <c r="S1017" s="364"/>
      <c r="Z1017" s="609" t="s">
        <v>540</v>
      </c>
      <c r="AA1017" s="609" t="s">
        <v>3137</v>
      </c>
    </row>
    <row r="1018" spans="1:29" ht="18">
      <c r="A1018" s="2714"/>
      <c r="B1018" s="371">
        <v>101.002</v>
      </c>
      <c r="C1018" s="371" t="s">
        <v>2791</v>
      </c>
      <c r="D1018" s="2716">
        <f t="shared" si="89"/>
        <v>1</v>
      </c>
      <c r="E1018" s="2721" t="s">
        <v>2939</v>
      </c>
      <c r="F1018" s="294"/>
      <c r="G1018" s="2538" t="s">
        <v>6896</v>
      </c>
      <c r="H1018" s="2275">
        <v>164999.92000000001</v>
      </c>
      <c r="I1018" s="2296">
        <v>164999.92000000001</v>
      </c>
      <c r="J1018" s="525"/>
      <c r="K1018" s="442"/>
      <c r="L1018" s="442"/>
      <c r="M1018" s="442"/>
      <c r="N1018" s="442"/>
      <c r="O1018" s="442"/>
      <c r="P1018" s="442"/>
      <c r="Q1018" s="442"/>
      <c r="R1018" s="443"/>
      <c r="S1018" s="364"/>
      <c r="Z1018" s="609" t="s">
        <v>540</v>
      </c>
      <c r="AA1018" s="609" t="s">
        <v>3137</v>
      </c>
      <c r="AC1018" s="369" t="s">
        <v>2794</v>
      </c>
    </row>
    <row r="1019" spans="1:29" ht="18">
      <c r="A1019" s="2714"/>
      <c r="B1019" s="371">
        <v>101.003</v>
      </c>
      <c r="C1019" s="371" t="s">
        <v>2791</v>
      </c>
      <c r="D1019" s="2716">
        <f t="shared" si="89"/>
        <v>1</v>
      </c>
      <c r="E1019" s="2721" t="s">
        <v>2939</v>
      </c>
      <c r="F1019" s="294"/>
      <c r="G1019" s="2538" t="s">
        <v>6897</v>
      </c>
      <c r="H1019" s="2275">
        <v>2000000</v>
      </c>
      <c r="I1019" s="2296"/>
      <c r="J1019" s="525"/>
      <c r="K1019" s="442"/>
      <c r="L1019" s="442"/>
      <c r="M1019" s="442"/>
      <c r="N1019" s="442"/>
      <c r="O1019" s="442"/>
      <c r="P1019" s="442"/>
      <c r="Q1019" s="442"/>
      <c r="R1019" s="443"/>
      <c r="S1019" s="364"/>
      <c r="Z1019" s="609" t="s">
        <v>540</v>
      </c>
      <c r="AA1019" s="609" t="s">
        <v>3137</v>
      </c>
    </row>
    <row r="1020" spans="1:29" ht="18">
      <c r="A1020" s="2714"/>
      <c r="B1020" s="371">
        <v>101.004</v>
      </c>
      <c r="C1020" s="371" t="s">
        <v>2791</v>
      </c>
      <c r="D1020" s="2716">
        <f t="shared" si="89"/>
        <v>0</v>
      </c>
      <c r="E1020" s="2721" t="s">
        <v>2939</v>
      </c>
      <c r="F1020" s="294"/>
      <c r="G1020" s="2538"/>
      <c r="H1020" s="2275"/>
      <c r="I1020" s="2296"/>
      <c r="J1020" s="525"/>
      <c r="K1020" s="442"/>
      <c r="L1020" s="442"/>
      <c r="M1020" s="442"/>
      <c r="N1020" s="442"/>
      <c r="O1020" s="442"/>
      <c r="P1020" s="442"/>
      <c r="Q1020" s="442"/>
      <c r="R1020" s="443"/>
      <c r="S1020" s="364"/>
      <c r="Z1020" s="609" t="s">
        <v>540</v>
      </c>
      <c r="AA1020" s="609" t="s">
        <v>3137</v>
      </c>
    </row>
    <row r="1021" spans="1:29" ht="18">
      <c r="A1021" s="2714"/>
      <c r="B1021" s="371">
        <v>101.005</v>
      </c>
      <c r="C1021" s="371" t="s">
        <v>6532</v>
      </c>
      <c r="D1021" s="2716">
        <f t="shared" si="89"/>
        <v>0</v>
      </c>
      <c r="E1021" s="2721" t="s">
        <v>2939</v>
      </c>
      <c r="F1021" s="294"/>
      <c r="G1021" s="2538" t="s">
        <v>2792</v>
      </c>
      <c r="H1021" s="2275"/>
      <c r="I1021" s="2296"/>
      <c r="J1021" s="525"/>
      <c r="K1021" s="442"/>
      <c r="L1021" s="442"/>
      <c r="M1021" s="442"/>
      <c r="N1021" s="442"/>
      <c r="O1021" s="442"/>
      <c r="P1021" s="442"/>
      <c r="Q1021" s="442"/>
      <c r="R1021" s="443"/>
      <c r="S1021" s="364"/>
      <c r="Z1021" s="609" t="s">
        <v>540</v>
      </c>
      <c r="AA1021" s="609" t="s">
        <v>3137</v>
      </c>
    </row>
    <row r="1022" spans="1:29" ht="18">
      <c r="A1022" s="2714"/>
      <c r="B1022" s="371">
        <v>101.006</v>
      </c>
      <c r="C1022" s="371" t="s">
        <v>2791</v>
      </c>
      <c r="D1022" s="2716">
        <f t="shared" si="89"/>
        <v>0</v>
      </c>
      <c r="E1022" s="2721" t="s">
        <v>2939</v>
      </c>
      <c r="F1022" s="294"/>
      <c r="G1022" s="2538" t="s">
        <v>2792</v>
      </c>
      <c r="H1022" s="2275"/>
      <c r="I1022" s="2296"/>
      <c r="J1022" s="438"/>
      <c r="K1022" s="442"/>
      <c r="L1022" s="442"/>
      <c r="M1022" s="442"/>
      <c r="N1022" s="442"/>
      <c r="O1022" s="442"/>
      <c r="P1022" s="442"/>
      <c r="Q1022" s="442"/>
      <c r="R1022" s="443"/>
      <c r="S1022" s="364"/>
      <c r="Z1022" s="609" t="s">
        <v>540</v>
      </c>
      <c r="AA1022" s="609" t="s">
        <v>3137</v>
      </c>
    </row>
    <row r="1023" spans="1:29" ht="18">
      <c r="A1023" s="2714"/>
      <c r="B1023" s="371">
        <v>102</v>
      </c>
      <c r="C1023" s="371" t="s">
        <v>2793</v>
      </c>
      <c r="D1023" s="2716">
        <f t="shared" si="89"/>
        <v>1</v>
      </c>
      <c r="E1023" s="2721">
        <v>1</v>
      </c>
      <c r="F1023" s="294"/>
      <c r="G1023" s="1474" t="s">
        <v>2939</v>
      </c>
      <c r="H1023" s="1476">
        <f>SUMIF($E$1015:$E$1024,$G1023,H$1015:H$1024)</f>
        <v>2219135.13</v>
      </c>
      <c r="I1023" s="1477">
        <f>SUMIF($E$1015:$E$1024,$G1023,I$1015:I$1024)</f>
        <v>347257.59</v>
      </c>
      <c r="J1023" s="438"/>
      <c r="K1023" s="442"/>
      <c r="L1023" s="442"/>
      <c r="M1023" s="442"/>
      <c r="N1023" s="442"/>
      <c r="O1023" s="442"/>
      <c r="P1023" s="442"/>
      <c r="Q1023" s="442"/>
      <c r="R1023" s="443"/>
      <c r="S1023" s="364"/>
      <c r="Z1023" s="609" t="s">
        <v>540</v>
      </c>
      <c r="AA1023" s="609" t="s">
        <v>3137</v>
      </c>
    </row>
    <row r="1024" spans="1:29" ht="18">
      <c r="A1024" s="2714"/>
      <c r="B1024" s="371">
        <v>103</v>
      </c>
      <c r="C1024" s="371" t="s">
        <v>2791</v>
      </c>
      <c r="D1024" s="2716">
        <f t="shared" si="89"/>
        <v>1</v>
      </c>
      <c r="E1024" s="2721">
        <v>-1</v>
      </c>
      <c r="F1024" s="294"/>
      <c r="G1024" s="1474" t="s">
        <v>2945</v>
      </c>
      <c r="H1024" s="2275">
        <v>10987.92</v>
      </c>
      <c r="I1024" s="2296">
        <v>19238.12</v>
      </c>
      <c r="J1024" s="438"/>
      <c r="K1024" s="442"/>
      <c r="L1024" s="442"/>
      <c r="M1024" s="442"/>
      <c r="N1024" s="442"/>
      <c r="O1024" s="442"/>
      <c r="P1024" s="442"/>
      <c r="Q1024" s="442"/>
      <c r="R1024" s="443"/>
      <c r="S1024" s="364"/>
      <c r="Z1024" s="609" t="s">
        <v>540</v>
      </c>
      <c r="AA1024" s="609" t="s">
        <v>3137</v>
      </c>
    </row>
    <row r="1025" spans="1:29" ht="18.75" thickBot="1">
      <c r="A1025" s="2714"/>
      <c r="B1025" s="371"/>
      <c r="C1025" s="371"/>
      <c r="D1025" s="2716">
        <f t="shared" si="89"/>
        <v>1</v>
      </c>
      <c r="E1025" s="2721" t="s">
        <v>3032</v>
      </c>
      <c r="F1025" s="294"/>
      <c r="G1025" s="374" t="s">
        <v>2752</v>
      </c>
      <c r="H1025" s="1478">
        <f>SUMPRODUCT($E1015:$E1024,H1015:H1024)</f>
        <v>2208147.21</v>
      </c>
      <c r="I1025" s="1479">
        <f>SUMPRODUCT($E1015:$E1024,I1015:I1024)</f>
        <v>328019.46999999997</v>
      </c>
      <c r="J1025" s="1589" t="str">
        <f ca="1">HYPERLINK("#'"&amp;$G$1&amp;"'!"&amp;ADDRESS(ROW(Notes!L939),COLUMN(Notes!L939),4),"* 请勿删除此行！点击往勾稽单元格，F5+Enter返回")</f>
        <v>* 请勿删除此行！点击往勾稽单元格，F5+Enter返回</v>
      </c>
      <c r="K1025" s="442"/>
      <c r="L1025" s="442"/>
      <c r="M1025" s="442"/>
      <c r="N1025" s="442"/>
      <c r="O1025" s="442"/>
      <c r="P1025" s="442"/>
      <c r="Q1025" s="442"/>
      <c r="R1025" s="443"/>
      <c r="S1025" s="364"/>
      <c r="Z1025" s="609" t="s">
        <v>540</v>
      </c>
      <c r="AA1025" s="609" t="s">
        <v>3137</v>
      </c>
      <c r="AC1025" s="369" t="s">
        <v>2794</v>
      </c>
    </row>
    <row r="1026" spans="1:29" ht="18">
      <c r="A1026" s="2714"/>
      <c r="B1026" s="371"/>
      <c r="C1026" s="371" t="s">
        <v>2755</v>
      </c>
      <c r="D1026" s="371"/>
      <c r="F1026" s="294"/>
      <c r="G1026" s="301"/>
      <c r="H1026" s="315"/>
      <c r="I1026" s="315"/>
      <c r="J1026" s="438"/>
      <c r="K1026" s="442"/>
      <c r="L1026" s="442"/>
      <c r="M1026" s="442"/>
      <c r="N1026" s="442"/>
      <c r="O1026" s="442"/>
      <c r="P1026" s="442"/>
      <c r="Q1026" s="442"/>
      <c r="R1026" s="443"/>
      <c r="S1026" s="364"/>
      <c r="Z1026" s="609" t="s">
        <v>540</v>
      </c>
      <c r="AA1026" s="609" t="s">
        <v>3137</v>
      </c>
    </row>
    <row r="1027" spans="1:29" ht="36">
      <c r="A1027" s="2714">
        <v>122100</v>
      </c>
      <c r="B1027" s="371" t="s">
        <v>6536</v>
      </c>
      <c r="C1027" s="371"/>
      <c r="D1027" s="2716" t="str">
        <f>VLOOKUP($A1027,Sheet_NoteList,2,0)</f>
        <v>其他应收款按坏账计提方法分类披露（三阶段模型）</v>
      </c>
      <c r="E1027" s="2716" t="s">
        <v>6531</v>
      </c>
      <c r="F1027" s="293"/>
      <c r="G1027" s="372" t="str">
        <f>"("&amp;B1027&amp;")"&amp;D1027</f>
        <v>(3A)其他应收款按坏账计提方法分类披露（三阶段模型）</v>
      </c>
      <c r="H1027" s="2315">
        <f>$A1027</f>
        <v>122100</v>
      </c>
      <c r="I1027" s="343" t="s">
        <v>5923</v>
      </c>
      <c r="J1027" s="301" t="s">
        <v>5924</v>
      </c>
      <c r="K1027" s="2210">
        <f>J1034</f>
        <v>2208147.21</v>
      </c>
      <c r="L1027" s="349" t="str">
        <f>IF($I1027="适用",IF(ROUND(K$987-K1027,2)=0,"F/S",ROUND(K$987-K1027,2)),"#N/A")</f>
        <v>F/S</v>
      </c>
      <c r="M1027" s="301"/>
      <c r="N1027" s="391"/>
      <c r="O1027" s="349"/>
      <c r="P1027" s="301"/>
      <c r="S1027" s="364"/>
      <c r="Z1027" s="609" t="s">
        <v>540</v>
      </c>
      <c r="AA1027" s="609" t="s">
        <v>3137</v>
      </c>
    </row>
    <row r="1028" spans="1:29" ht="0.75" customHeight="1" thickBot="1">
      <c r="A1028" s="2714"/>
      <c r="B1028" s="371"/>
      <c r="C1028" s="371"/>
      <c r="D1028" s="2716"/>
      <c r="E1028" s="586"/>
      <c r="F1028" s="586"/>
      <c r="G1028" s="2224" t="s">
        <v>5925</v>
      </c>
      <c r="H1028" s="1617" t="s">
        <v>5388</v>
      </c>
      <c r="I1028" s="371" t="s">
        <v>5926</v>
      </c>
      <c r="J1028" s="371" t="s">
        <v>5932</v>
      </c>
      <c r="K1028" s="391"/>
      <c r="L1028" s="349"/>
      <c r="M1028" s="301"/>
      <c r="N1028" s="391"/>
      <c r="O1028" s="349"/>
      <c r="P1028" s="301"/>
      <c r="S1028" s="364"/>
      <c r="Z1028" s="609" t="s">
        <v>540</v>
      </c>
      <c r="AA1028" s="609" t="s">
        <v>3137</v>
      </c>
    </row>
    <row r="1029" spans="1:29" ht="18.75" thickTop="1">
      <c r="A1029" s="2714"/>
      <c r="B1029" s="371"/>
      <c r="C1029" s="371"/>
      <c r="D1029" s="2716"/>
      <c r="E1029" s="586" t="s">
        <v>2749</v>
      </c>
      <c r="F1029" s="414"/>
      <c r="G1029" s="2289" t="s">
        <v>5930</v>
      </c>
      <c r="H1029" s="2310" t="s">
        <v>5130</v>
      </c>
      <c r="I1029" s="2310" t="s">
        <v>5131</v>
      </c>
      <c r="J1029" s="2293" t="s">
        <v>2863</v>
      </c>
      <c r="K1029" s="355" t="s">
        <v>5273</v>
      </c>
      <c r="L1029" s="1530" t="str">
        <f>""&amp;H1029&amp;""</f>
        <v>账面余额</v>
      </c>
      <c r="M1029" s="1530" t="str">
        <f>""&amp;I1029&amp;""</f>
        <v>坏账准备</v>
      </c>
      <c r="N1029" s="1530" t="str">
        <f>J1029</f>
        <v>账面价值</v>
      </c>
      <c r="O1029" s="349"/>
      <c r="P1029" s="301"/>
      <c r="S1029" s="364"/>
      <c r="Z1029" s="609" t="s">
        <v>540</v>
      </c>
      <c r="AA1029" s="609" t="s">
        <v>3137</v>
      </c>
    </row>
    <row r="1030" spans="1:29" ht="18">
      <c r="A1030" s="2714"/>
      <c r="B1030" s="371">
        <v>101</v>
      </c>
      <c r="C1030" s="371"/>
      <c r="D1030" s="2716">
        <f t="shared" ref="D1030:D1034" si="90">IF(OR(G1030="*",G1030="",G1030=0),0,COUNTIF($G$1030:$G$1034,G1030))</f>
        <v>1</v>
      </c>
      <c r="E1030" s="2721">
        <v>1</v>
      </c>
      <c r="F1030" s="293"/>
      <c r="G1030" s="1474" t="s">
        <v>5927</v>
      </c>
      <c r="H1030" s="2275">
        <f>H1023</f>
        <v>2219135.13</v>
      </c>
      <c r="I1030" s="2275">
        <f>H1024</f>
        <v>10987.92</v>
      </c>
      <c r="J1030" s="2296">
        <f>H1030-I1030</f>
        <v>2208147.21</v>
      </c>
      <c r="K1030" s="391"/>
      <c r="L1030" s="2252">
        <f ca="1">HYPERLINK("#'"&amp;$G$1&amp;"'!"&amp;ADDRESS(ROW(Notes!H1055),COLUMN(Notes!H1055),4),H1055-H1030)</f>
        <v>0</v>
      </c>
      <c r="M1030" s="2252">
        <f ca="1">HYPERLINK("#'"&amp;$G$1&amp;"'!"&amp;ADDRESS(ROW(Notes!J1055),COLUMN(Notes!J1055),4),J1055-I1030)</f>
        <v>0</v>
      </c>
      <c r="N1030" s="2252">
        <f ca="1">HYPERLINK("#'"&amp;$G$1&amp;"'!"&amp;ADDRESS(ROW(Notes!K1055),COLUMN(Notes!K1055),4),K1055-J1030)</f>
        <v>0</v>
      </c>
      <c r="O1030" s="2632">
        <f>H1043</f>
        <v>122101</v>
      </c>
      <c r="P1030" s="301"/>
      <c r="S1030" s="364"/>
      <c r="Z1030" s="609" t="s">
        <v>540</v>
      </c>
      <c r="AA1030" s="609" t="s">
        <v>3137</v>
      </c>
    </row>
    <row r="1031" spans="1:29" ht="18">
      <c r="A1031" s="2714"/>
      <c r="B1031" s="371">
        <v>102</v>
      </c>
      <c r="C1031" s="371"/>
      <c r="D1031" s="2716">
        <f t="shared" si="90"/>
        <v>1</v>
      </c>
      <c r="E1031" s="2721">
        <v>1</v>
      </c>
      <c r="F1031" s="293"/>
      <c r="G1031" s="1474" t="s">
        <v>5928</v>
      </c>
      <c r="H1031" s="2275"/>
      <c r="I1031" s="2275"/>
      <c r="J1031" s="2296"/>
      <c r="K1031" s="391"/>
      <c r="L1031" s="2252">
        <f ca="1">HYPERLINK("#'"&amp;$G$1&amp;"'!"&amp;ADDRESS(ROW(Notes!H1143),COLUMN(Notes!H1143),4),H1143-H1031)</f>
        <v>0</v>
      </c>
      <c r="M1031" s="2252">
        <f ca="1">HYPERLINK("#'"&amp;$G$1&amp;"'!"&amp;ADDRESS(ROW(Notes!J1143),COLUMN(Notes!J1143),4),J1143-I1031)</f>
        <v>0</v>
      </c>
      <c r="N1031" s="2252">
        <f ca="1">HYPERLINK("#'"&amp;$G$1&amp;"'!"&amp;ADDRESS(ROW(Notes!K1143),COLUMN(Notes!K1143),4),K1143-J1031)</f>
        <v>0</v>
      </c>
      <c r="O1031" s="2632">
        <f>H1131</f>
        <v>122102</v>
      </c>
      <c r="P1031" s="301"/>
      <c r="S1031" s="364"/>
      <c r="Z1031" s="609" t="s">
        <v>540</v>
      </c>
      <c r="AA1031" s="609" t="s">
        <v>3137</v>
      </c>
    </row>
    <row r="1032" spans="1:29" ht="18">
      <c r="A1032" s="2714"/>
      <c r="B1032" s="371">
        <v>103</v>
      </c>
      <c r="C1032" s="371"/>
      <c r="D1032" s="2716">
        <f t="shared" si="90"/>
        <v>1</v>
      </c>
      <c r="E1032" s="2721">
        <v>1</v>
      </c>
      <c r="F1032" s="293"/>
      <c r="G1032" s="1474" t="s">
        <v>5929</v>
      </c>
      <c r="H1032" s="2275"/>
      <c r="I1032" s="2275"/>
      <c r="J1032" s="2296"/>
      <c r="K1032" s="391"/>
      <c r="L1032" s="2252">
        <f ca="1">HYPERLINK("#'"&amp;$G$1&amp;"'!"&amp;ADDRESS(ROW(Notes!H1231),COLUMN(Notes!H1231),4),H1231-H1032)</f>
        <v>0</v>
      </c>
      <c r="M1032" s="2252">
        <f ca="1">HYPERLINK("#'"&amp;$G$1&amp;"'!"&amp;ADDRESS(ROW(Notes!J1231),COLUMN(Notes!J1231),4),J1231-I1032)</f>
        <v>0</v>
      </c>
      <c r="N1032" s="2252">
        <f ca="1">HYPERLINK("#'"&amp;$G$1&amp;"'!"&amp;ADDRESS(ROW(Notes!K1231),COLUMN(Notes!K1231),4),K1231-J1032)</f>
        <v>0</v>
      </c>
      <c r="O1032" s="2632">
        <f>H1219</f>
        <v>122103</v>
      </c>
      <c r="P1032" s="301"/>
      <c r="S1032" s="364"/>
      <c r="Z1032" s="609" t="s">
        <v>540</v>
      </c>
      <c r="AA1032" s="609" t="s">
        <v>3137</v>
      </c>
    </row>
    <row r="1033" spans="1:29" ht="18">
      <c r="A1033" s="2714"/>
      <c r="B1033" s="371">
        <v>104</v>
      </c>
      <c r="C1033" s="371" t="s">
        <v>2791</v>
      </c>
      <c r="D1033" s="2716">
        <f t="shared" si="90"/>
        <v>0</v>
      </c>
      <c r="E1033" s="2721">
        <v>1</v>
      </c>
      <c r="F1033" s="293"/>
      <c r="G1033" s="2284" t="s">
        <v>2792</v>
      </c>
      <c r="H1033" s="2275"/>
      <c r="I1033" s="2275"/>
      <c r="J1033" s="2296"/>
      <c r="K1033" s="391"/>
      <c r="L1033" s="456"/>
      <c r="M1033" s="456"/>
      <c r="N1033" s="456"/>
      <c r="O1033" s="349"/>
      <c r="P1033" s="301"/>
      <c r="S1033" s="364"/>
      <c r="Z1033" s="609" t="s">
        <v>540</v>
      </c>
      <c r="AA1033" s="609" t="s">
        <v>3137</v>
      </c>
    </row>
    <row r="1034" spans="1:29" ht="18.75" thickBot="1">
      <c r="A1034" s="2714"/>
      <c r="B1034" s="371"/>
      <c r="C1034" s="371"/>
      <c r="D1034" s="2716">
        <f t="shared" si="90"/>
        <v>1</v>
      </c>
      <c r="E1034" s="2721" t="s">
        <v>2751</v>
      </c>
      <c r="F1034" s="293"/>
      <c r="G1034" s="2234" t="s">
        <v>5141</v>
      </c>
      <c r="H1034" s="2235">
        <f>SUMPRODUCT($E1029:$E1033,H1029:H1033)</f>
        <v>2219135.13</v>
      </c>
      <c r="I1034" s="2235">
        <f>SUMPRODUCT($E1029:$E1033,I1029:I1033)</f>
        <v>10987.92</v>
      </c>
      <c r="J1034" s="2236">
        <f>SUMPRODUCT($E1029:$E1033,J1029:J1033)</f>
        <v>2208147.21</v>
      </c>
      <c r="K1034" s="391"/>
      <c r="L1034" s="1531">
        <f t="shared" ref="L1034:N1034" ca="1" si="91">SUM(L1030:L1033)</f>
        <v>0</v>
      </c>
      <c r="M1034" s="1531">
        <f t="shared" ca="1" si="91"/>
        <v>0</v>
      </c>
      <c r="N1034" s="1531">
        <f t="shared" ca="1" si="91"/>
        <v>0</v>
      </c>
      <c r="O1034" s="349"/>
      <c r="P1034" s="301"/>
      <c r="S1034" s="364"/>
      <c r="Z1034" s="609" t="s">
        <v>540</v>
      </c>
      <c r="AA1034" s="609" t="s">
        <v>3137</v>
      </c>
    </row>
    <row r="1035" spans="1:29" ht="18.75" thickBot="1">
      <c r="A1035" s="2714"/>
      <c r="B1035" s="371"/>
      <c r="C1035" s="371" t="s">
        <v>2755</v>
      </c>
      <c r="D1035" s="2716"/>
      <c r="F1035" s="293"/>
      <c r="G1035" s="376"/>
      <c r="H1035" s="2626" t="s">
        <v>3002</v>
      </c>
      <c r="I1035" s="2253" t="s">
        <v>3002</v>
      </c>
      <c r="J1035" s="527" t="s">
        <v>3002</v>
      </c>
      <c r="K1035" s="391"/>
      <c r="L1035" s="1539" t="s">
        <v>5495</v>
      </c>
      <c r="M1035" s="354"/>
      <c r="N1035" s="317"/>
      <c r="O1035" s="349"/>
      <c r="P1035" s="301"/>
      <c r="S1035" s="364"/>
      <c r="Z1035" s="609" t="s">
        <v>540</v>
      </c>
      <c r="AA1035" s="609" t="s">
        <v>3137</v>
      </c>
    </row>
    <row r="1036" spans="1:29" ht="18.75" thickTop="1">
      <c r="A1036" s="2714"/>
      <c r="B1036" s="371"/>
      <c r="C1036" s="371" t="s">
        <v>2565</v>
      </c>
      <c r="D1036" s="2716"/>
      <c r="F1036" s="293"/>
      <c r="G1036" s="1549" t="s">
        <v>5367</v>
      </c>
      <c r="H1036" s="1550" t="str">
        <f>G988</f>
        <v>(1)其他应收款按账龄披露</v>
      </c>
      <c r="I1036" s="1552"/>
      <c r="J1036" s="1552"/>
      <c r="K1036" s="1553" t="s">
        <v>6355</v>
      </c>
      <c r="L1036" s="349"/>
      <c r="M1036" s="301"/>
      <c r="N1036" s="391"/>
      <c r="O1036" s="349"/>
      <c r="P1036" s="301"/>
      <c r="S1036" s="364"/>
      <c r="Z1036" s="609" t="s">
        <v>540</v>
      </c>
      <c r="AA1036" s="609" t="s">
        <v>3137</v>
      </c>
    </row>
    <row r="1037" spans="1:29" ht="18">
      <c r="A1037" s="2714"/>
      <c r="B1037" s="371"/>
      <c r="C1037" s="371" t="s">
        <v>2565</v>
      </c>
      <c r="D1037" s="2716"/>
      <c r="F1037" s="293"/>
      <c r="G1037" s="604" t="str">
        <f>"注释A:"&amp; ""</f>
        <v>注释A:</v>
      </c>
      <c r="H1037" s="2252">
        <f ca="1">HYPERLINK("#'"&amp;$G$1&amp;"'!"&amp;ADDRESS(ROW(Notes!H1002),COLUMN(Notes!H1002),4),H1002)</f>
        <v>2219135.13</v>
      </c>
      <c r="I1037" s="2252">
        <f ca="1">HYPERLINK("#'"&amp;$G$1&amp;"'!"&amp;ADDRESS(ROW(Notes!H1003),COLUMN(Notes!H1003),4),H1003)</f>
        <v>10987.92</v>
      </c>
      <c r="J1037" s="2252">
        <f ca="1">HYPERLINK("#'"&amp;$G$1&amp;"'!"&amp;ADDRESS(ROW(Notes!H1004),COLUMN(Notes!H1004),4),H1004)</f>
        <v>2208147.21</v>
      </c>
      <c r="K1037" s="2630" t="str">
        <f>H988</f>
        <v>1221j</v>
      </c>
      <c r="L1037" s="349"/>
      <c r="M1037" s="301"/>
      <c r="N1037" s="391"/>
      <c r="O1037" s="349"/>
      <c r="P1037" s="301"/>
      <c r="S1037" s="364"/>
      <c r="Z1037" s="609" t="s">
        <v>540</v>
      </c>
      <c r="AA1037" s="609" t="s">
        <v>3137</v>
      </c>
    </row>
    <row r="1038" spans="1:29" ht="18">
      <c r="A1038" s="2714"/>
      <c r="B1038" s="371"/>
      <c r="C1038" s="371" t="s">
        <v>2565</v>
      </c>
      <c r="D1038" s="2716"/>
      <c r="F1038" s="293"/>
      <c r="G1038" s="604" t="str">
        <f>"本注释B:"&amp; G1034</f>
        <v>本注释B:合       计</v>
      </c>
      <c r="H1038" s="456">
        <f>H1034</f>
        <v>2219135.13</v>
      </c>
      <c r="I1038" s="456">
        <f t="shared" ref="I1038:J1038" si="92">I1034</f>
        <v>10987.92</v>
      </c>
      <c r="J1038" s="456">
        <f t="shared" si="92"/>
        <v>2208147.21</v>
      </c>
      <c r="K1038" s="2629">
        <v>122100</v>
      </c>
      <c r="L1038" s="349"/>
      <c r="M1038" s="301"/>
      <c r="N1038" s="391"/>
      <c r="O1038" s="349"/>
      <c r="P1038" s="301"/>
      <c r="S1038" s="364"/>
      <c r="Z1038" s="609" t="s">
        <v>540</v>
      </c>
      <c r="AA1038" s="609" t="s">
        <v>3137</v>
      </c>
    </row>
    <row r="1039" spans="1:29" ht="18.75" thickBot="1">
      <c r="A1039" s="2714"/>
      <c r="B1039" s="371"/>
      <c r="C1039" s="371" t="s">
        <v>2565</v>
      </c>
      <c r="D1039" s="2716"/>
      <c r="F1039" s="293"/>
      <c r="G1039" s="1554" t="s">
        <v>2757</v>
      </c>
      <c r="H1039" s="1531">
        <f ca="1">IF(AND(H1037="",H1038=""),"",ROUND(H1037-H1038,2))</f>
        <v>0</v>
      </c>
      <c r="I1039" s="1531">
        <f ca="1">IF(AND(I1037="",I1038=""),"",ROUND(I1037-I1038,2))</f>
        <v>0</v>
      </c>
      <c r="J1039" s="1531">
        <f ca="1">IF(AND(J1037="",J1038=""),"",ROUND(J1037-J1038,2))</f>
        <v>0</v>
      </c>
      <c r="K1039" s="1555"/>
      <c r="L1039" s="349"/>
      <c r="M1039" s="301"/>
      <c r="N1039" s="391"/>
      <c r="O1039" s="349"/>
      <c r="P1039" s="301"/>
      <c r="S1039" s="364"/>
      <c r="Z1039" s="609" t="s">
        <v>540</v>
      </c>
      <c r="AA1039" s="609" t="s">
        <v>3137</v>
      </c>
    </row>
    <row r="1040" spans="1:29" ht="18.75" thickTop="1">
      <c r="A1040" s="2714"/>
      <c r="B1040" s="371"/>
      <c r="C1040" s="371" t="s">
        <v>2565</v>
      </c>
      <c r="D1040" s="2716"/>
      <c r="F1040" s="293"/>
      <c r="G1040" s="1545"/>
      <c r="H1040" s="459" t="str">
        <f ca="1">IF(OR(H1039=0,H1039=""),"√","？")</f>
        <v>√</v>
      </c>
      <c r="I1040" s="459" t="str">
        <f ca="1">IF(OR(I1039=0,I1039=""),"√","？")</f>
        <v>√</v>
      </c>
      <c r="J1040" s="459" t="str">
        <f ca="1">IF(OR(J1039=0,J1039=""),"√","？")</f>
        <v>√</v>
      </c>
      <c r="K1040" s="317"/>
      <c r="L1040" s="349"/>
      <c r="M1040" s="301"/>
      <c r="N1040" s="391"/>
      <c r="O1040" s="349"/>
      <c r="P1040" s="301"/>
      <c r="S1040" s="364"/>
      <c r="Z1040" s="609" t="s">
        <v>540</v>
      </c>
      <c r="AA1040" s="609" t="s">
        <v>3137</v>
      </c>
    </row>
    <row r="1041" spans="1:29" ht="18">
      <c r="A1041" s="2714"/>
      <c r="B1041" s="371"/>
      <c r="C1041" s="371" t="s">
        <v>2565</v>
      </c>
      <c r="D1041" s="2716"/>
      <c r="F1041" s="293"/>
      <c r="G1041" s="1559" t="s">
        <v>2759</v>
      </c>
      <c r="H1041" s="461"/>
      <c r="I1041" s="461"/>
      <c r="J1041" s="461"/>
      <c r="K1041" s="352">
        <f ca="1">SUMIF($H$1040:$K$1040,"&lt;&gt;√",$H$1039:$K$1039)</f>
        <v>0</v>
      </c>
      <c r="L1041" s="2628" t="str">
        <f ca="1">IF(OR(K1041=0,K1041=""),"√","？")</f>
        <v>√</v>
      </c>
      <c r="M1041" s="301"/>
      <c r="N1041" s="391"/>
      <c r="O1041" s="349"/>
      <c r="P1041" s="301"/>
      <c r="S1041" s="364"/>
      <c r="Z1041" s="609" t="s">
        <v>540</v>
      </c>
      <c r="AA1041" s="609" t="s">
        <v>3137</v>
      </c>
    </row>
    <row r="1042" spans="1:29" ht="18">
      <c r="A1042" s="2714"/>
      <c r="B1042" s="371"/>
      <c r="C1042" s="371" t="s">
        <v>2565</v>
      </c>
      <c r="D1042" s="2716"/>
      <c r="F1042" s="293"/>
      <c r="G1042" s="1545"/>
      <c r="H1042" s="461"/>
      <c r="I1042" s="461"/>
      <c r="J1042" s="461"/>
      <c r="K1042" s="317"/>
      <c r="L1042" s="349"/>
      <c r="M1042" s="301"/>
      <c r="N1042" s="391"/>
      <c r="O1042" s="349"/>
      <c r="P1042" s="301"/>
      <c r="S1042" s="364"/>
      <c r="Z1042" s="609" t="s">
        <v>540</v>
      </c>
      <c r="AA1042" s="609" t="s">
        <v>3137</v>
      </c>
    </row>
    <row r="1043" spans="1:29" ht="36">
      <c r="A1043" s="2714">
        <v>122101</v>
      </c>
      <c r="B1043" s="371" t="s">
        <v>6537</v>
      </c>
      <c r="C1043" s="371"/>
      <c r="D1043" s="2716" t="str">
        <f>VLOOKUP($A1043,Sheet_NoteList,2,0)</f>
        <v>期末处于第一阶段的其他应收款坏账准备（三阶段模型）</v>
      </c>
      <c r="E1043" s="2716" t="s">
        <v>2742</v>
      </c>
      <c r="F1043" s="293"/>
      <c r="G1043" s="372" t="str">
        <f>"("&amp;B1043&amp;")"&amp;D1043</f>
        <v>(3A1)期末处于第一阶段的其他应收款坏账准备（三阶段模型）</v>
      </c>
      <c r="H1043" s="2315">
        <f>$A1043</f>
        <v>122101</v>
      </c>
      <c r="I1043" s="343" t="s">
        <v>2743</v>
      </c>
      <c r="J1043" s="301" t="s">
        <v>2744</v>
      </c>
      <c r="K1043" s="2210">
        <f>K1055</f>
        <v>2208147.21</v>
      </c>
      <c r="L1043" s="349"/>
      <c r="M1043" s="301"/>
      <c r="N1043" s="391"/>
      <c r="O1043" s="349"/>
      <c r="P1043" s="301"/>
      <c r="S1043" s="364"/>
      <c r="Z1043" s="609" t="s">
        <v>540</v>
      </c>
      <c r="AA1043" s="609" t="s">
        <v>3137</v>
      </c>
    </row>
    <row r="1044" spans="1:29" ht="0.75" customHeight="1" thickBot="1">
      <c r="A1044" s="2714"/>
      <c r="B1044" s="371"/>
      <c r="C1044" s="371"/>
      <c r="D1044" s="2716"/>
      <c r="E1044" s="586"/>
      <c r="F1044" s="586"/>
      <c r="G1044" s="2224" t="s">
        <v>6203</v>
      </c>
      <c r="H1044" s="371" t="s">
        <v>2747</v>
      </c>
      <c r="I1044" s="371" t="s">
        <v>2947</v>
      </c>
      <c r="J1044" s="371" t="s">
        <v>6204</v>
      </c>
      <c r="K1044" s="547" t="s">
        <v>6205</v>
      </c>
      <c r="L1044" s="547" t="s">
        <v>3145</v>
      </c>
      <c r="M1044" s="433"/>
      <c r="N1044" s="428"/>
      <c r="O1044" s="428"/>
      <c r="P1044" s="433"/>
      <c r="Q1044" s="442"/>
      <c r="R1044" s="443"/>
      <c r="S1044" s="364"/>
      <c r="Z1044" s="609" t="s">
        <v>540</v>
      </c>
      <c r="AA1044" s="609" t="s">
        <v>3137</v>
      </c>
    </row>
    <row r="1045" spans="1:29" ht="36">
      <c r="A1045" s="2714"/>
      <c r="B1045" s="371"/>
      <c r="C1045" s="371"/>
      <c r="D1045" s="2716"/>
      <c r="E1045" s="586" t="s">
        <v>2749</v>
      </c>
      <c r="F1045" s="414"/>
      <c r="G1045" s="2289" t="s">
        <v>5135</v>
      </c>
      <c r="H1045" s="2543" t="s">
        <v>6128</v>
      </c>
      <c r="I1045" s="2291" t="s">
        <v>3146</v>
      </c>
      <c r="J1045" s="2291" t="s">
        <v>2862</v>
      </c>
      <c r="K1045" s="2311" t="s">
        <v>2863</v>
      </c>
      <c r="L1045" s="2312" t="s">
        <v>3147</v>
      </c>
      <c r="M1045" s="355" t="s">
        <v>5273</v>
      </c>
      <c r="N1045" s="434"/>
      <c r="O1045" s="434"/>
      <c r="P1045" s="435"/>
      <c r="Q1045" s="442"/>
      <c r="R1045" s="443"/>
      <c r="S1045" s="364"/>
      <c r="Z1045" s="609" t="s">
        <v>540</v>
      </c>
      <c r="AA1045" s="609" t="s">
        <v>3137</v>
      </c>
    </row>
    <row r="1046" spans="1:29" ht="18">
      <c r="A1046" s="2714"/>
      <c r="B1046" s="371">
        <v>101</v>
      </c>
      <c r="C1046" s="371"/>
      <c r="D1046" s="2716">
        <f t="shared" ref="D1046:D1055" si="93">IF(OR(G1046="*",G1046="",G1046=0),0,COUNTIF($G$1046:$G$1055,G1046))</f>
        <v>1</v>
      </c>
      <c r="E1046" s="2721">
        <v>1</v>
      </c>
      <c r="F1046" s="293"/>
      <c r="G1046" s="1474" t="s">
        <v>2890</v>
      </c>
      <c r="H1046" s="1476">
        <f>SUM(H1047:H1049)</f>
        <v>0</v>
      </c>
      <c r="I1046" s="2298"/>
      <c r="J1046" s="1476">
        <f>SUM(J1047:J1049)</f>
        <v>0</v>
      </c>
      <c r="K1046" s="1476">
        <f>H1046-J1046</f>
        <v>0</v>
      </c>
      <c r="L1046" s="2276"/>
      <c r="M1046" s="1589" t="str">
        <f ca="1">HYPERLINK("#'"&amp;$G$1&amp;"'!"&amp;ADDRESS(ROW(Notes!H1073),COLUMN(Notes!H1073),4),"* 请勿删除此行！点击往勾稽单元格，F5+Enter返回")</f>
        <v>* 请勿删除此行！点击往勾稽单元格，F5+Enter返回</v>
      </c>
      <c r="N1046" s="2193"/>
      <c r="O1046" s="437"/>
      <c r="P1046" s="438"/>
      <c r="Q1046" s="442"/>
      <c r="R1046" s="443"/>
      <c r="S1046" s="364"/>
      <c r="Z1046" s="609" t="s">
        <v>540</v>
      </c>
      <c r="AA1046" s="609" t="s">
        <v>3137</v>
      </c>
      <c r="AC1046" s="369" t="s">
        <v>6573</v>
      </c>
    </row>
    <row r="1047" spans="1:29" ht="18">
      <c r="A1047" s="2714"/>
      <c r="B1047" s="371">
        <v>102</v>
      </c>
      <c r="C1047" s="371" t="s">
        <v>2791</v>
      </c>
      <c r="D1047" s="2716">
        <f t="shared" si="93"/>
        <v>0</v>
      </c>
      <c r="E1047" s="2721">
        <v>0</v>
      </c>
      <c r="F1047" s="293"/>
      <c r="G1047" s="2284" t="s">
        <v>2792</v>
      </c>
      <c r="H1047" s="2275"/>
      <c r="I1047" s="2298"/>
      <c r="J1047" s="2275"/>
      <c r="K1047" s="1476">
        <f t="shared" ref="K1047:K1054" si="94">H1047-J1047</f>
        <v>0</v>
      </c>
      <c r="L1047" s="2276"/>
      <c r="M1047" s="355" t="s">
        <v>6136</v>
      </c>
      <c r="O1047" s="437"/>
      <c r="P1047" s="438"/>
      <c r="Q1047" s="442"/>
      <c r="R1047" s="443"/>
      <c r="S1047" s="364"/>
      <c r="Z1047" s="609" t="s">
        <v>540</v>
      </c>
      <c r="AA1047" s="609" t="s">
        <v>3137</v>
      </c>
    </row>
    <row r="1048" spans="1:29" ht="18">
      <c r="A1048" s="2714"/>
      <c r="B1048" s="371">
        <v>103</v>
      </c>
      <c r="C1048" s="371" t="s">
        <v>2791</v>
      </c>
      <c r="D1048" s="2716">
        <f t="shared" si="93"/>
        <v>0</v>
      </c>
      <c r="E1048" s="2721">
        <v>0</v>
      </c>
      <c r="F1048" s="293"/>
      <c r="G1048" s="2284" t="s">
        <v>2792</v>
      </c>
      <c r="H1048" s="2275"/>
      <c r="I1048" s="2298"/>
      <c r="J1048" s="2275"/>
      <c r="K1048" s="1476">
        <f t="shared" si="94"/>
        <v>0</v>
      </c>
      <c r="L1048" s="2276"/>
      <c r="M1048" s="438"/>
      <c r="O1048" s="437"/>
      <c r="P1048" s="438"/>
      <c r="Q1048" s="442"/>
      <c r="R1048" s="443"/>
      <c r="S1048" s="364"/>
      <c r="Z1048" s="609" t="s">
        <v>540</v>
      </c>
      <c r="AA1048" s="609" t="s">
        <v>3137</v>
      </c>
    </row>
    <row r="1049" spans="1:29" ht="18">
      <c r="A1049" s="2714"/>
      <c r="B1049" s="371">
        <v>104</v>
      </c>
      <c r="C1049" s="371" t="s">
        <v>2791</v>
      </c>
      <c r="D1049" s="2716">
        <f t="shared" si="93"/>
        <v>0</v>
      </c>
      <c r="E1049" s="2721">
        <v>0</v>
      </c>
      <c r="F1049" s="293"/>
      <c r="G1049" s="2284" t="s">
        <v>2792</v>
      </c>
      <c r="H1049" s="2275"/>
      <c r="I1049" s="2298"/>
      <c r="J1049" s="2275"/>
      <c r="K1049" s="1476">
        <f t="shared" si="94"/>
        <v>0</v>
      </c>
      <c r="L1049" s="2276"/>
      <c r="M1049" s="438"/>
      <c r="O1049" s="437"/>
      <c r="P1049" s="438"/>
      <c r="Q1049" s="442"/>
      <c r="R1049" s="443"/>
      <c r="S1049" s="364"/>
      <c r="Z1049" s="609" t="s">
        <v>540</v>
      </c>
      <c r="AA1049" s="609" t="s">
        <v>3137</v>
      </c>
    </row>
    <row r="1050" spans="1:29" ht="18">
      <c r="A1050" s="2714"/>
      <c r="B1050" s="371">
        <v>105</v>
      </c>
      <c r="C1050" s="371"/>
      <c r="D1050" s="2716">
        <f t="shared" si="93"/>
        <v>1</v>
      </c>
      <c r="E1050" s="2721">
        <v>1</v>
      </c>
      <c r="F1050" s="293"/>
      <c r="G1050" s="1474" t="s">
        <v>2892</v>
      </c>
      <c r="H1050" s="1476">
        <f>SUM(H1051:H1054)</f>
        <v>2219135.13</v>
      </c>
      <c r="I1050" s="2298"/>
      <c r="J1050" s="1476">
        <f>SUM(J1051:J1054)</f>
        <v>10987.92</v>
      </c>
      <c r="K1050" s="1476">
        <f t="shared" si="94"/>
        <v>2208147.21</v>
      </c>
      <c r="L1050" s="2276"/>
      <c r="M1050" s="438"/>
      <c r="O1050" s="437"/>
      <c r="P1050" s="438"/>
      <c r="Q1050" s="442"/>
      <c r="R1050" s="443"/>
      <c r="S1050" s="364"/>
      <c r="Z1050" s="609" t="s">
        <v>540</v>
      </c>
      <c r="AA1050" s="609" t="s">
        <v>3137</v>
      </c>
    </row>
    <row r="1051" spans="1:29" ht="18">
      <c r="A1051" s="2714"/>
      <c r="B1051" s="371">
        <v>106</v>
      </c>
      <c r="C1051" s="371" t="s">
        <v>2791</v>
      </c>
      <c r="D1051" s="2716">
        <f t="shared" si="93"/>
        <v>1</v>
      </c>
      <c r="E1051" s="2721">
        <v>0</v>
      </c>
      <c r="F1051" s="293"/>
      <c r="G1051" s="2284" t="s">
        <v>6898</v>
      </c>
      <c r="H1051" s="2275">
        <v>164999.92000000001</v>
      </c>
      <c r="I1051" s="3125">
        <f>J1051/H1051</f>
        <v>0.05</v>
      </c>
      <c r="J1051" s="2275">
        <v>8250</v>
      </c>
      <c r="K1051" s="1476">
        <f t="shared" si="94"/>
        <v>156749.92000000001</v>
      </c>
      <c r="L1051" s="2276"/>
      <c r="M1051" s="1589" t="str">
        <f ca="1">HYPERLINK("#'"&amp;$G$1&amp;"'!"&amp;ADDRESS(ROW(Notes!H1095),COLUMN(Notes!H1095),4),"* 请勿删除此行！点击往勾稽单元格，F5+Enter返回")</f>
        <v>* 请勿删除此行！点击往勾稽单元格，F5+Enter返回</v>
      </c>
      <c r="N1051" s="439"/>
      <c r="O1051" s="437"/>
      <c r="P1051" s="438"/>
      <c r="Q1051" s="442"/>
      <c r="R1051" s="443"/>
      <c r="S1051" s="364"/>
      <c r="Z1051" s="609" t="s">
        <v>540</v>
      </c>
      <c r="AA1051" s="609" t="s">
        <v>3137</v>
      </c>
      <c r="AC1051" s="369" t="s">
        <v>6573</v>
      </c>
    </row>
    <row r="1052" spans="1:29" ht="36">
      <c r="A1052" s="2714"/>
      <c r="B1052" s="371">
        <v>107</v>
      </c>
      <c r="C1052" s="371" t="s">
        <v>2791</v>
      </c>
      <c r="D1052" s="2716">
        <f t="shared" si="93"/>
        <v>1</v>
      </c>
      <c r="E1052" s="2721">
        <v>0</v>
      </c>
      <c r="F1052" s="293"/>
      <c r="G1052" s="2284" t="s">
        <v>6899</v>
      </c>
      <c r="H1052" s="2275">
        <v>2026587.02</v>
      </c>
      <c r="I1052" s="3125"/>
      <c r="J1052" s="2275"/>
      <c r="K1052" s="1476">
        <f t="shared" si="94"/>
        <v>2026587.02</v>
      </c>
      <c r="L1052" s="2276"/>
      <c r="M1052" s="438"/>
      <c r="N1052" s="439"/>
      <c r="O1052" s="437"/>
      <c r="P1052" s="438"/>
      <c r="Q1052" s="442"/>
      <c r="R1052" s="443"/>
      <c r="S1052" s="364"/>
      <c r="Z1052" s="609" t="s">
        <v>540</v>
      </c>
      <c r="AA1052" s="609" t="s">
        <v>3137</v>
      </c>
    </row>
    <row r="1053" spans="1:29" ht="18">
      <c r="A1053" s="2714"/>
      <c r="B1053" s="371">
        <v>108</v>
      </c>
      <c r="C1053" s="371" t="s">
        <v>6532</v>
      </c>
      <c r="D1053" s="2716">
        <f t="shared" si="93"/>
        <v>1</v>
      </c>
      <c r="E1053" s="2721">
        <v>0</v>
      </c>
      <c r="F1053" s="293"/>
      <c r="G1053" s="2284" t="s">
        <v>6900</v>
      </c>
      <c r="H1053" s="2275">
        <v>27548.19</v>
      </c>
      <c r="I1053" s="3125">
        <f>J1053/H1053</f>
        <v>9.9400000000000002E-2</v>
      </c>
      <c r="J1053" s="2275">
        <v>2737.92</v>
      </c>
      <c r="K1053" s="1476">
        <f t="shared" ref="K1053" si="95">H1053-J1053</f>
        <v>24810.27</v>
      </c>
      <c r="L1053" s="2276"/>
      <c r="M1053" s="438"/>
      <c r="N1053" s="439"/>
      <c r="O1053" s="437"/>
      <c r="P1053" s="438"/>
      <c r="Q1053" s="442"/>
      <c r="R1053" s="443"/>
      <c r="S1053" s="364"/>
      <c r="Z1053" s="609" t="s">
        <v>540</v>
      </c>
      <c r="AA1053" s="609" t="s">
        <v>3137</v>
      </c>
    </row>
    <row r="1054" spans="1:29" ht="18">
      <c r="A1054" s="2714"/>
      <c r="B1054" s="371">
        <v>109</v>
      </c>
      <c r="C1054" s="371" t="s">
        <v>2791</v>
      </c>
      <c r="D1054" s="2716">
        <f t="shared" si="93"/>
        <v>0</v>
      </c>
      <c r="E1054" s="2721">
        <v>0</v>
      </c>
      <c r="F1054" s="293"/>
      <c r="G1054" s="2284" t="s">
        <v>2792</v>
      </c>
      <c r="H1054" s="2275"/>
      <c r="I1054" s="2298"/>
      <c r="J1054" s="2275"/>
      <c r="K1054" s="1476">
        <f t="shared" si="94"/>
        <v>0</v>
      </c>
      <c r="L1054" s="2276"/>
      <c r="M1054" s="438"/>
      <c r="N1054" s="439"/>
      <c r="O1054" s="437"/>
      <c r="P1054" s="438"/>
      <c r="Q1054" s="442"/>
      <c r="R1054" s="443"/>
      <c r="S1054" s="364"/>
      <c r="Z1054" s="609" t="s">
        <v>540</v>
      </c>
      <c r="AA1054" s="609" t="s">
        <v>3137</v>
      </c>
    </row>
    <row r="1055" spans="1:29" ht="18.75" thickBot="1">
      <c r="A1055" s="2714"/>
      <c r="B1055" s="371"/>
      <c r="C1055" s="371"/>
      <c r="D1055" s="2716">
        <f t="shared" si="93"/>
        <v>1</v>
      </c>
      <c r="E1055" s="2721" t="s">
        <v>2751</v>
      </c>
      <c r="F1055" s="293"/>
      <c r="G1055" s="2234" t="s">
        <v>5141</v>
      </c>
      <c r="H1055" s="2235">
        <f>SUMPRODUCT($E1045:$E1054,H1045:H1054)</f>
        <v>2219135.13</v>
      </c>
      <c r="I1055" s="2242"/>
      <c r="J1055" s="2235">
        <f>SUMPRODUCT($E1045:$E1054,J1045:J1054)</f>
        <v>10987.92</v>
      </c>
      <c r="K1055" s="2235">
        <f>SUMPRODUCT($E1045:$E1054,K1045:K1054)</f>
        <v>2208147.21</v>
      </c>
      <c r="L1055" s="2244"/>
      <c r="M1055" s="1597" t="str">
        <f ca="1">HYPERLINK("#'"&amp;$G$1&amp;"'!"&amp;ADDRESS(ROW(Notes!L1030),COLUMN(Notes!L1030),4),"* 请勿删除此行！点击往勾稽单元格，F5+Enter返回")</f>
        <v>* 请勿删除此行！点击往勾稽单元格，F5+Enter返回</v>
      </c>
      <c r="N1055" s="439"/>
      <c r="O1055" s="437"/>
      <c r="P1055" s="440"/>
      <c r="Q1055" s="442"/>
      <c r="R1055" s="443"/>
      <c r="S1055" s="364"/>
      <c r="Z1055" s="609" t="s">
        <v>540</v>
      </c>
      <c r="AA1055" s="609" t="s">
        <v>3137</v>
      </c>
      <c r="AC1055" s="369" t="s">
        <v>6573</v>
      </c>
    </row>
    <row r="1056" spans="1:29" ht="18">
      <c r="A1056" s="2714"/>
      <c r="B1056" s="371"/>
      <c r="C1056" s="371" t="s">
        <v>2755</v>
      </c>
      <c r="D1056" s="2716"/>
      <c r="F1056" s="293"/>
      <c r="G1056" s="376"/>
      <c r="H1056" s="315"/>
      <c r="I1056" s="432"/>
      <c r="J1056" s="315"/>
      <c r="K1056" s="423"/>
      <c r="L1056" s="393"/>
      <c r="M1056" s="425"/>
      <c r="N1056" s="426"/>
      <c r="O1056" s="427"/>
      <c r="P1056" s="425"/>
      <c r="Q1056" s="442"/>
      <c r="R1056" s="443"/>
      <c r="S1056" s="364"/>
      <c r="Z1056" s="609" t="s">
        <v>540</v>
      </c>
      <c r="AA1056" s="609" t="s">
        <v>3137</v>
      </c>
    </row>
    <row r="1057" spans="1:27" ht="36">
      <c r="A1057" s="2714">
        <v>122111</v>
      </c>
      <c r="B1057" s="371" t="s">
        <v>6538</v>
      </c>
      <c r="C1057" s="371"/>
      <c r="D1057" s="2716" t="str">
        <f>VLOOKUP($A1057,Sheet_NoteList,2,0)</f>
        <v>期末按单项计提坏账准备的其他应收款（第一阶段）</v>
      </c>
      <c r="E1057" s="2716" t="s">
        <v>6531</v>
      </c>
      <c r="F1057" s="293"/>
      <c r="G1057" s="372" t="str">
        <f>"("&amp;B1057&amp;")"&amp;D1057</f>
        <v>(3A1.1)期末按单项计提坏账准备的其他应收款（第一阶段）</v>
      </c>
      <c r="H1057" s="2315">
        <f>$A1057</f>
        <v>122111</v>
      </c>
      <c r="I1057" s="343" t="s">
        <v>5469</v>
      </c>
      <c r="J1057" s="301" t="s">
        <v>5470</v>
      </c>
      <c r="K1057" s="2210">
        <f>H1070</f>
        <v>0</v>
      </c>
      <c r="L1057" s="349">
        <f>IF($I1057="适用",IF(ROUND(K$987-K1057,2)=0,"F/S",ROUND(K$987-K1057,2)),"#N/A")</f>
        <v>2208147.21</v>
      </c>
      <c r="M1057" s="301" t="s">
        <v>5471</v>
      </c>
      <c r="N1057" s="2210">
        <f>I1070</f>
        <v>0</v>
      </c>
      <c r="O1057" s="349">
        <f>IF($I1057="适用",IF(ROUND(N$987-N1057,2)=0,"F/S",ROUND(N$987-N1057,2)),"#N/A")</f>
        <v>328019.46999999997</v>
      </c>
      <c r="P1057" s="301"/>
      <c r="S1057" s="364"/>
      <c r="Z1057" s="609" t="s">
        <v>540</v>
      </c>
      <c r="AA1057" s="609" t="s">
        <v>3137</v>
      </c>
    </row>
    <row r="1058" spans="1:27" ht="0.75" customHeight="1">
      <c r="A1058" s="2714"/>
      <c r="B1058" s="371"/>
      <c r="C1058" s="371"/>
      <c r="D1058" s="2716"/>
      <c r="E1058" s="586"/>
      <c r="F1058" s="586"/>
      <c r="G1058" s="2224" t="s">
        <v>6322</v>
      </c>
      <c r="H1058" s="371" t="s">
        <v>6323</v>
      </c>
      <c r="I1058" s="371" t="s">
        <v>6324</v>
      </c>
      <c r="J1058" s="371" t="s">
        <v>6325</v>
      </c>
      <c r="K1058" s="371" t="s">
        <v>6326</v>
      </c>
      <c r="L1058" s="428"/>
      <c r="M1058" s="433"/>
      <c r="N1058" s="428"/>
      <c r="O1058" s="428"/>
      <c r="P1058" s="433"/>
      <c r="Q1058" s="442"/>
      <c r="R1058" s="443"/>
      <c r="S1058" s="364"/>
      <c r="Z1058" s="609" t="s">
        <v>540</v>
      </c>
      <c r="AA1058" s="609" t="s">
        <v>3137</v>
      </c>
    </row>
    <row r="1059" spans="1:27" ht="0.75" customHeight="1" thickBot="1">
      <c r="A1059" s="2714"/>
      <c r="B1059" s="371"/>
      <c r="C1059" s="371"/>
      <c r="D1059" s="2716"/>
      <c r="E1059" s="586"/>
      <c r="F1059" s="586"/>
      <c r="G1059" s="2224"/>
      <c r="H1059" s="371" t="s">
        <v>6327</v>
      </c>
      <c r="I1059" s="371" t="s">
        <v>6328</v>
      </c>
      <c r="J1059" s="371" t="s">
        <v>6329</v>
      </c>
      <c r="K1059" s="371" t="s">
        <v>6330</v>
      </c>
      <c r="L1059" s="428"/>
      <c r="M1059" s="433"/>
      <c r="N1059" s="428"/>
      <c r="O1059" s="428"/>
      <c r="P1059" s="433"/>
      <c r="Q1059" s="442"/>
      <c r="R1059" s="443"/>
      <c r="S1059" s="364"/>
      <c r="Z1059" s="609" t="s">
        <v>540</v>
      </c>
      <c r="AA1059" s="609" t="s">
        <v>3137</v>
      </c>
    </row>
    <row r="1060" spans="1:27" ht="18" customHeight="1">
      <c r="A1060" s="2714"/>
      <c r="B1060" s="371"/>
      <c r="C1060" s="371"/>
      <c r="D1060" s="2716"/>
      <c r="E1060" s="586" t="s">
        <v>2749</v>
      </c>
      <c r="F1060" s="414"/>
      <c r="G1060" s="3472" t="s">
        <v>5136</v>
      </c>
      <c r="H1060" s="3418" t="str">
        <f>$V$2</f>
        <v>2019年12月31日</v>
      </c>
      <c r="I1060" s="3419"/>
      <c r="J1060" s="3419"/>
      <c r="K1060" s="3419"/>
      <c r="L1060" s="355" t="s">
        <v>5273</v>
      </c>
      <c r="M1060" s="433"/>
      <c r="N1060" s="428"/>
      <c r="O1060" s="428"/>
      <c r="P1060" s="433"/>
      <c r="Q1060" s="442"/>
      <c r="R1060" s="443"/>
      <c r="S1060" s="364"/>
      <c r="Z1060" s="609" t="s">
        <v>540</v>
      </c>
      <c r="AA1060" s="609" t="s">
        <v>3137</v>
      </c>
    </row>
    <row r="1061" spans="1:27" ht="18">
      <c r="A1061" s="2714"/>
      <c r="B1061" s="371"/>
      <c r="C1061" s="371"/>
      <c r="D1061" s="2716"/>
      <c r="E1061" s="586" t="s">
        <v>2749</v>
      </c>
      <c r="F1061" s="414"/>
      <c r="G1061" s="3473"/>
      <c r="H1061" s="2545" t="s">
        <v>6128</v>
      </c>
      <c r="I1061" s="2294" t="s">
        <v>2862</v>
      </c>
      <c r="J1061" s="2294" t="s">
        <v>3001</v>
      </c>
      <c r="K1061" s="2240" t="s">
        <v>2899</v>
      </c>
      <c r="L1061" s="434"/>
      <c r="M1061" s="1511"/>
      <c r="N1061" s="434"/>
      <c r="O1061" s="434"/>
      <c r="P1061" s="1511"/>
      <c r="Q1061" s="442"/>
      <c r="R1061" s="443"/>
      <c r="S1061" s="364"/>
      <c r="Z1061" s="609" t="s">
        <v>540</v>
      </c>
      <c r="AA1061" s="609" t="s">
        <v>3137</v>
      </c>
    </row>
    <row r="1062" spans="1:27" ht="18">
      <c r="A1062" s="2714"/>
      <c r="B1062" s="371">
        <v>101</v>
      </c>
      <c r="C1062" s="371" t="s">
        <v>2791</v>
      </c>
      <c r="D1062" s="2716">
        <f t="shared" ref="D1062:D1070" si="96">IF(OR(G1062="*",G1062="",G1062=0),0,COUNTIF($G$1062:$G$1070,G1062))</f>
        <v>0</v>
      </c>
      <c r="E1062" s="2721">
        <v>1</v>
      </c>
      <c r="F1062" s="293"/>
      <c r="G1062" s="2284" t="s">
        <v>2792</v>
      </c>
      <c r="H1062" s="2275"/>
      <c r="I1062" s="2275"/>
      <c r="J1062" s="2298"/>
      <c r="K1062" s="2276"/>
      <c r="L1062" s="437"/>
      <c r="M1062" s="438"/>
      <c r="N1062" s="439"/>
      <c r="O1062" s="437"/>
      <c r="P1062" s="438"/>
      <c r="Q1062" s="442"/>
      <c r="R1062" s="443"/>
      <c r="S1062" s="364"/>
      <c r="Z1062" s="609" t="s">
        <v>540</v>
      </c>
      <c r="AA1062" s="609" t="s">
        <v>3137</v>
      </c>
    </row>
    <row r="1063" spans="1:27" ht="18">
      <c r="A1063" s="2714"/>
      <c r="B1063" s="371">
        <v>102</v>
      </c>
      <c r="C1063" s="371" t="s">
        <v>2791</v>
      </c>
      <c r="D1063" s="2716">
        <f t="shared" si="96"/>
        <v>0</v>
      </c>
      <c r="E1063" s="2721">
        <v>1</v>
      </c>
      <c r="F1063" s="293"/>
      <c r="G1063" s="2284" t="s">
        <v>2792</v>
      </c>
      <c r="H1063" s="2275"/>
      <c r="I1063" s="2275"/>
      <c r="J1063" s="2298"/>
      <c r="K1063" s="2276"/>
      <c r="L1063" s="437"/>
      <c r="M1063" s="438"/>
      <c r="N1063" s="439"/>
      <c r="O1063" s="437"/>
      <c r="P1063" s="438"/>
      <c r="Q1063" s="442"/>
      <c r="R1063" s="443"/>
      <c r="S1063" s="364"/>
      <c r="Z1063" s="609" t="s">
        <v>540</v>
      </c>
      <c r="AA1063" s="609" t="s">
        <v>3137</v>
      </c>
    </row>
    <row r="1064" spans="1:27" ht="18">
      <c r="A1064" s="2714"/>
      <c r="B1064" s="371">
        <v>103</v>
      </c>
      <c r="C1064" s="371" t="s">
        <v>2791</v>
      </c>
      <c r="D1064" s="2716">
        <f t="shared" si="96"/>
        <v>0</v>
      </c>
      <c r="E1064" s="2721">
        <v>1</v>
      </c>
      <c r="F1064" s="293"/>
      <c r="G1064" s="2284" t="s">
        <v>2792</v>
      </c>
      <c r="H1064" s="2275"/>
      <c r="I1064" s="2275"/>
      <c r="J1064" s="2298"/>
      <c r="K1064" s="2276"/>
      <c r="L1064" s="437"/>
      <c r="M1064" s="438"/>
      <c r="N1064" s="439"/>
      <c r="O1064" s="437"/>
      <c r="P1064" s="438"/>
      <c r="Q1064" s="442"/>
      <c r="R1064" s="443"/>
      <c r="S1064" s="364"/>
      <c r="Z1064" s="609" t="s">
        <v>540</v>
      </c>
      <c r="AA1064" s="609" t="s">
        <v>3137</v>
      </c>
    </row>
    <row r="1065" spans="1:27" ht="18">
      <c r="A1065" s="2714"/>
      <c r="B1065" s="371">
        <v>104</v>
      </c>
      <c r="C1065" s="371" t="s">
        <v>2791</v>
      </c>
      <c r="D1065" s="2716">
        <f t="shared" si="96"/>
        <v>0</v>
      </c>
      <c r="E1065" s="2721">
        <v>1</v>
      </c>
      <c r="F1065" s="293"/>
      <c r="G1065" s="2284" t="s">
        <v>2792</v>
      </c>
      <c r="H1065" s="2275"/>
      <c r="I1065" s="2275"/>
      <c r="J1065" s="2298"/>
      <c r="K1065" s="2276"/>
      <c r="L1065" s="437"/>
      <c r="M1065" s="438"/>
      <c r="N1065" s="439"/>
      <c r="O1065" s="437"/>
      <c r="P1065" s="438"/>
      <c r="Q1065" s="442"/>
      <c r="R1065" s="443"/>
      <c r="S1065" s="364"/>
      <c r="Z1065" s="609" t="s">
        <v>540</v>
      </c>
      <c r="AA1065" s="609" t="s">
        <v>3137</v>
      </c>
    </row>
    <row r="1066" spans="1:27" ht="18">
      <c r="A1066" s="2714"/>
      <c r="B1066" s="371">
        <v>105</v>
      </c>
      <c r="C1066" s="371" t="s">
        <v>2791</v>
      </c>
      <c r="D1066" s="2716">
        <f t="shared" si="96"/>
        <v>0</v>
      </c>
      <c r="E1066" s="2721">
        <v>1</v>
      </c>
      <c r="F1066" s="293"/>
      <c r="G1066" s="2284" t="s">
        <v>2792</v>
      </c>
      <c r="H1066" s="2275"/>
      <c r="I1066" s="2275"/>
      <c r="J1066" s="2298"/>
      <c r="K1066" s="2276"/>
      <c r="L1066" s="437"/>
      <c r="M1066" s="438"/>
      <c r="N1066" s="439"/>
      <c r="O1066" s="437"/>
      <c r="P1066" s="438"/>
      <c r="Q1066" s="442"/>
      <c r="R1066" s="443"/>
      <c r="S1066" s="364"/>
      <c r="Z1066" s="609" t="s">
        <v>540</v>
      </c>
      <c r="AA1066" s="609" t="s">
        <v>3137</v>
      </c>
    </row>
    <row r="1067" spans="1:27" ht="18">
      <c r="A1067" s="2714"/>
      <c r="B1067" s="371">
        <v>106</v>
      </c>
      <c r="C1067" s="371" t="s">
        <v>2791</v>
      </c>
      <c r="D1067" s="2716">
        <f t="shared" si="96"/>
        <v>0</v>
      </c>
      <c r="E1067" s="2721">
        <v>1</v>
      </c>
      <c r="F1067" s="293"/>
      <c r="G1067" s="2284" t="s">
        <v>2792</v>
      </c>
      <c r="H1067" s="2275"/>
      <c r="I1067" s="2275"/>
      <c r="J1067" s="2298"/>
      <c r="K1067" s="2276"/>
      <c r="L1067" s="437"/>
      <c r="M1067" s="438"/>
      <c r="N1067" s="439"/>
      <c r="O1067" s="437"/>
      <c r="P1067" s="438"/>
      <c r="Q1067" s="442"/>
      <c r="R1067" s="443"/>
      <c r="S1067" s="364"/>
      <c r="Z1067" s="609" t="s">
        <v>540</v>
      </c>
      <c r="AA1067" s="609" t="s">
        <v>3137</v>
      </c>
    </row>
    <row r="1068" spans="1:27" ht="18">
      <c r="A1068" s="2714"/>
      <c r="B1068" s="371">
        <v>107</v>
      </c>
      <c r="C1068" s="371" t="s">
        <v>2791</v>
      </c>
      <c r="D1068" s="2716">
        <f t="shared" si="96"/>
        <v>0</v>
      </c>
      <c r="E1068" s="2721">
        <v>1</v>
      </c>
      <c r="F1068" s="293"/>
      <c r="G1068" s="2284" t="s">
        <v>2792</v>
      </c>
      <c r="H1068" s="2275"/>
      <c r="I1068" s="2275"/>
      <c r="J1068" s="2298"/>
      <c r="K1068" s="2276"/>
      <c r="L1068" s="437"/>
      <c r="M1068" s="438"/>
      <c r="N1068" s="439"/>
      <c r="O1068" s="437"/>
      <c r="P1068" s="438"/>
      <c r="Q1068" s="442"/>
      <c r="R1068" s="443"/>
      <c r="S1068" s="364"/>
      <c r="Z1068" s="609" t="s">
        <v>540</v>
      </c>
      <c r="AA1068" s="609" t="s">
        <v>3137</v>
      </c>
    </row>
    <row r="1069" spans="1:27" ht="18">
      <c r="A1069" s="2714"/>
      <c r="B1069" s="371">
        <v>108</v>
      </c>
      <c r="C1069" s="371" t="s">
        <v>2791</v>
      </c>
      <c r="D1069" s="2716">
        <f t="shared" si="96"/>
        <v>0</v>
      </c>
      <c r="E1069" s="2721">
        <v>1</v>
      </c>
      <c r="F1069" s="293"/>
      <c r="G1069" s="2284" t="s">
        <v>2792</v>
      </c>
      <c r="H1069" s="2275"/>
      <c r="I1069" s="2275"/>
      <c r="J1069" s="2298"/>
      <c r="K1069" s="2276"/>
      <c r="L1069" s="437"/>
      <c r="M1069" s="438"/>
      <c r="N1069" s="439"/>
      <c r="O1069" s="437"/>
      <c r="P1069" s="438"/>
      <c r="Q1069" s="442"/>
      <c r="R1069" s="443"/>
      <c r="S1069" s="364"/>
      <c r="Z1069" s="609" t="s">
        <v>540</v>
      </c>
      <c r="AA1069" s="609" t="s">
        <v>3137</v>
      </c>
    </row>
    <row r="1070" spans="1:27" ht="18.75" thickBot="1">
      <c r="A1070" s="2714"/>
      <c r="B1070" s="371"/>
      <c r="C1070" s="371"/>
      <c r="D1070" s="2716">
        <f t="shared" si="96"/>
        <v>1</v>
      </c>
      <c r="E1070" s="2721" t="s">
        <v>2751</v>
      </c>
      <c r="F1070" s="293"/>
      <c r="G1070" s="2234" t="s">
        <v>2752</v>
      </c>
      <c r="H1070" s="2235">
        <f>SUMPRODUCT($E1061:$E1069,H1061:H1069)</f>
        <v>0</v>
      </c>
      <c r="I1070" s="2235">
        <f>SUMPRODUCT($E1061:$E1069,I1061:I1069)</f>
        <v>0</v>
      </c>
      <c r="J1070" s="2241"/>
      <c r="K1070" s="2244"/>
      <c r="L1070" s="437"/>
      <c r="M1070" s="1508"/>
      <c r="N1070" s="439"/>
      <c r="O1070" s="437"/>
      <c r="P1070" s="1508"/>
      <c r="Q1070" s="442"/>
      <c r="R1070" s="443"/>
      <c r="S1070" s="364"/>
      <c r="Z1070" s="609" t="s">
        <v>540</v>
      </c>
      <c r="AA1070" s="609" t="s">
        <v>3137</v>
      </c>
    </row>
    <row r="1071" spans="1:27" ht="18.75" thickBot="1">
      <c r="A1071" s="2714"/>
      <c r="B1071" s="371"/>
      <c r="C1071" s="371" t="s">
        <v>2755</v>
      </c>
      <c r="D1071" s="2716"/>
      <c r="F1071" s="293"/>
      <c r="G1071" s="376"/>
      <c r="H1071" s="2626" t="s">
        <v>3002</v>
      </c>
      <c r="I1071" s="2253" t="s">
        <v>3002</v>
      </c>
      <c r="J1071" s="393"/>
      <c r="K1071" s="392"/>
      <c r="L1071" s="427"/>
      <c r="M1071" s="425"/>
      <c r="N1071" s="426"/>
      <c r="O1071" s="427"/>
      <c r="P1071" s="425"/>
      <c r="Q1071" s="442"/>
      <c r="R1071" s="443"/>
      <c r="S1071" s="364"/>
      <c r="Z1071" s="609" t="s">
        <v>540</v>
      </c>
      <c r="AA1071" s="609" t="s">
        <v>3137</v>
      </c>
    </row>
    <row r="1072" spans="1:27" ht="18.75" thickTop="1">
      <c r="A1072" s="2714"/>
      <c r="B1072" s="371"/>
      <c r="C1072" s="371" t="s">
        <v>2565</v>
      </c>
      <c r="D1072" s="2716"/>
      <c r="F1072" s="293"/>
      <c r="G1072" s="1549" t="s">
        <v>5367</v>
      </c>
      <c r="H1072" s="1550" t="str">
        <f>G1043</f>
        <v>(3A1)期末处于第一阶段的其他应收款坏账准备（三阶段模型）</v>
      </c>
      <c r="I1072" s="1552"/>
      <c r="J1072" s="1551"/>
      <c r="K1072" s="1551"/>
      <c r="L1072" s="1553" t="s">
        <v>5368</v>
      </c>
      <c r="M1072" s="425"/>
      <c r="N1072" s="426"/>
      <c r="O1072" s="427"/>
      <c r="P1072" s="425"/>
      <c r="Q1072" s="442"/>
      <c r="R1072" s="442"/>
      <c r="S1072" s="364"/>
      <c r="Z1072" s="609" t="s">
        <v>540</v>
      </c>
      <c r="AA1072" s="609" t="s">
        <v>3137</v>
      </c>
    </row>
    <row r="1073" spans="1:27" ht="18">
      <c r="A1073" s="2714"/>
      <c r="B1073" s="371"/>
      <c r="C1073" s="371" t="s">
        <v>2565</v>
      </c>
      <c r="D1073" s="2716"/>
      <c r="F1073" s="293"/>
      <c r="G1073" s="604" t="str">
        <f>"注释A:"&amp; G1046</f>
        <v>注释A:按单项计提坏账准备</v>
      </c>
      <c r="H1073" s="2252">
        <f ca="1">HYPERLINK("#'"&amp;$G$1&amp;"'!"&amp;ADDRESS(ROW(Notes!H1046),COLUMN(Notes!H1046),4),H1046)</f>
        <v>0</v>
      </c>
      <c r="I1073" s="2252">
        <f ca="1">HYPERLINK("#'"&amp;$G$1&amp;"'!"&amp;ADDRESS(ROW(Notes!J1046),COLUMN(Notes!J1046),4),J1046)</f>
        <v>0</v>
      </c>
      <c r="J1073" s="351"/>
      <c r="K1073" s="351"/>
      <c r="L1073" s="2636">
        <f>H1043</f>
        <v>122101</v>
      </c>
      <c r="M1073" s="425"/>
      <c r="N1073" s="426"/>
      <c r="O1073" s="427"/>
      <c r="P1073" s="425"/>
      <c r="Q1073" s="442"/>
      <c r="R1073" s="442"/>
      <c r="S1073" s="364"/>
      <c r="Z1073" s="609" t="s">
        <v>540</v>
      </c>
      <c r="AA1073" s="609" t="s">
        <v>3137</v>
      </c>
    </row>
    <row r="1074" spans="1:27" ht="18">
      <c r="A1074" s="2714"/>
      <c r="B1074" s="371"/>
      <c r="C1074" s="371" t="s">
        <v>2565</v>
      </c>
      <c r="D1074" s="2716"/>
      <c r="F1074" s="293"/>
      <c r="G1074" s="604" t="str">
        <f>"本注释B:"&amp; G1055</f>
        <v>本注释B:合       计</v>
      </c>
      <c r="H1074" s="456">
        <f>H1070</f>
        <v>0</v>
      </c>
      <c r="I1074" s="456">
        <f>I1070</f>
        <v>0</v>
      </c>
      <c r="J1074" s="351"/>
      <c r="K1074" s="351"/>
      <c r="L1074" s="2635">
        <v>122111</v>
      </c>
      <c r="M1074" s="425"/>
      <c r="N1074" s="426"/>
      <c r="O1074" s="427"/>
      <c r="P1074" s="425"/>
      <c r="Q1074" s="442"/>
      <c r="R1074" s="442"/>
      <c r="S1074" s="364"/>
      <c r="Z1074" s="609" t="s">
        <v>540</v>
      </c>
      <c r="AA1074" s="609" t="s">
        <v>3137</v>
      </c>
    </row>
    <row r="1075" spans="1:27" ht="18.75" thickBot="1">
      <c r="A1075" s="2714"/>
      <c r="B1075" s="371"/>
      <c r="C1075" s="371" t="s">
        <v>2565</v>
      </c>
      <c r="D1075" s="2716"/>
      <c r="F1075" s="293"/>
      <c r="G1075" s="1554" t="s">
        <v>2757</v>
      </c>
      <c r="H1075" s="1531">
        <f ca="1">IF(AND(H1073="",H1074=""),"",ROUND(H1073-H1074,2))</f>
        <v>0</v>
      </c>
      <c r="I1075" s="1531">
        <f ca="1">IF(AND(I1073="",I1074=""),"",ROUND(I1073-I1074,2))</f>
        <v>0</v>
      </c>
      <c r="J1075" s="1555"/>
      <c r="K1075" s="1555"/>
      <c r="L1075" s="1556"/>
      <c r="M1075" s="425"/>
      <c r="N1075" s="426"/>
      <c r="O1075" s="427"/>
      <c r="P1075" s="425"/>
      <c r="Q1075" s="442"/>
      <c r="R1075" s="442"/>
      <c r="S1075" s="364"/>
      <c r="Z1075" s="609" t="s">
        <v>540</v>
      </c>
      <c r="AA1075" s="609" t="s">
        <v>3137</v>
      </c>
    </row>
    <row r="1076" spans="1:27" ht="18.75" thickTop="1">
      <c r="A1076" s="2714"/>
      <c r="B1076" s="371"/>
      <c r="C1076" s="371" t="s">
        <v>2565</v>
      </c>
      <c r="D1076" s="2716"/>
      <c r="F1076" s="293"/>
      <c r="G1076" s="1545"/>
      <c r="H1076" s="459" t="str">
        <f ca="1">IF(OR(H1075=0,H1075=""),"√","？")</f>
        <v>√</v>
      </c>
      <c r="I1076" s="459" t="str">
        <f ca="1">IF(OR(I1075=0,I1075=""),"√","？")</f>
        <v>√</v>
      </c>
      <c r="J1076" s="317"/>
      <c r="K1076" s="317"/>
      <c r="L1076" s="1547"/>
      <c r="M1076" s="425"/>
      <c r="N1076" s="426"/>
      <c r="O1076" s="427"/>
      <c r="P1076" s="425"/>
      <c r="Q1076" s="442"/>
      <c r="R1076" s="442"/>
      <c r="S1076" s="364"/>
      <c r="Z1076" s="609" t="s">
        <v>540</v>
      </c>
      <c r="AA1076" s="609" t="s">
        <v>3137</v>
      </c>
    </row>
    <row r="1077" spans="1:27" ht="18">
      <c r="A1077" s="2714"/>
      <c r="B1077" s="371"/>
      <c r="C1077" s="371" t="s">
        <v>2565</v>
      </c>
      <c r="D1077" s="2716"/>
      <c r="F1077" s="293"/>
      <c r="G1077" s="1559" t="s">
        <v>2759</v>
      </c>
      <c r="H1077" s="461"/>
      <c r="I1077" s="461"/>
      <c r="J1077" s="317"/>
      <c r="K1077" s="352">
        <f ca="1">SUMIF($H$1076:$L$1076,"&lt;&gt;√",$H$1075:$L$1075)</f>
        <v>0</v>
      </c>
      <c r="L1077" s="2254" t="str">
        <f ca="1">IF(OR(K1077=0,K1077=""),"√","？")</f>
        <v>√</v>
      </c>
      <c r="M1077" s="425"/>
      <c r="N1077" s="426"/>
      <c r="O1077" s="427"/>
      <c r="P1077" s="425"/>
      <c r="Q1077" s="442"/>
      <c r="R1077" s="442"/>
      <c r="S1077" s="364"/>
      <c r="Z1077" s="609" t="s">
        <v>540</v>
      </c>
      <c r="AA1077" s="609" t="s">
        <v>3137</v>
      </c>
    </row>
    <row r="1078" spans="1:27" ht="18">
      <c r="A1078" s="2714"/>
      <c r="B1078" s="371"/>
      <c r="C1078" s="371" t="s">
        <v>2565</v>
      </c>
      <c r="D1078" s="2716"/>
      <c r="F1078" s="293"/>
      <c r="G1078" s="1545"/>
      <c r="H1078" s="461"/>
      <c r="I1078" s="461"/>
      <c r="J1078" s="317"/>
      <c r="K1078" s="317"/>
      <c r="L1078" s="1547"/>
      <c r="M1078" s="425"/>
      <c r="N1078" s="426"/>
      <c r="O1078" s="427"/>
      <c r="P1078" s="425"/>
      <c r="Q1078" s="442"/>
      <c r="R1078" s="442"/>
      <c r="S1078" s="364"/>
      <c r="Z1078" s="609" t="s">
        <v>540</v>
      </c>
      <c r="AA1078" s="609" t="s">
        <v>3137</v>
      </c>
    </row>
    <row r="1079" spans="1:27" ht="36">
      <c r="A1079" s="2714">
        <v>122112</v>
      </c>
      <c r="B1079" s="371" t="s">
        <v>6539</v>
      </c>
      <c r="C1079" s="371"/>
      <c r="D1079" s="2716" t="str">
        <f>VLOOKUP($A1079,Sheet_NoteList,2,0)</f>
        <v>期末按组合1计提坏账准备的其他应收款（第一阶段）</v>
      </c>
      <c r="E1079" s="2716" t="s">
        <v>6533</v>
      </c>
      <c r="F1079" s="293"/>
      <c r="G1079" s="372" t="str">
        <f>"("&amp;B1079&amp;")"&amp;D1079</f>
        <v>(3A1.2)期末按组合1计提坏账准备的其他应收款（第一阶段）</v>
      </c>
      <c r="H1079" s="2315">
        <f>$A1079</f>
        <v>122112</v>
      </c>
      <c r="I1079" s="343" t="s">
        <v>5124</v>
      </c>
      <c r="J1079" s="301" t="s">
        <v>5546</v>
      </c>
      <c r="K1079" s="2210">
        <f>H1092</f>
        <v>164999.92000000001</v>
      </c>
      <c r="L1079" s="349"/>
      <c r="M1079" s="301"/>
      <c r="N1079" s="391"/>
      <c r="O1079" s="349"/>
      <c r="P1079" s="301"/>
      <c r="S1079" s="364"/>
      <c r="Z1079" s="609" t="s">
        <v>540</v>
      </c>
      <c r="AA1079" s="609" t="s">
        <v>3137</v>
      </c>
    </row>
    <row r="1080" spans="1:27" ht="0.75" customHeight="1">
      <c r="A1080" s="2714"/>
      <c r="B1080" s="371"/>
      <c r="C1080" s="371"/>
      <c r="D1080" s="2716"/>
      <c r="E1080" s="586"/>
      <c r="F1080" s="586"/>
      <c r="G1080" s="2224" t="s">
        <v>5906</v>
      </c>
      <c r="H1080" s="371" t="s">
        <v>5388</v>
      </c>
      <c r="I1080" s="371" t="s">
        <v>5530</v>
      </c>
      <c r="J1080" s="371" t="s">
        <v>5402</v>
      </c>
      <c r="K1080" s="391"/>
      <c r="L1080" s="349"/>
      <c r="M1080" s="301"/>
      <c r="N1080" s="391"/>
      <c r="O1080" s="349"/>
      <c r="P1080" s="301"/>
      <c r="S1080" s="364"/>
      <c r="Z1080" s="609" t="s">
        <v>540</v>
      </c>
      <c r="AA1080" s="609" t="s">
        <v>3137</v>
      </c>
    </row>
    <row r="1081" spans="1:27" ht="0.75" customHeight="1" thickBot="1">
      <c r="A1081" s="2714"/>
      <c r="B1081" s="371"/>
      <c r="C1081" s="371"/>
      <c r="D1081" s="2716"/>
      <c r="E1081" s="586"/>
      <c r="F1081" s="586"/>
      <c r="G1081" s="2224"/>
      <c r="H1081" s="1617" t="s">
        <v>5472</v>
      </c>
      <c r="I1081" s="371" t="s">
        <v>5377</v>
      </c>
      <c r="J1081" s="371" t="s">
        <v>5378</v>
      </c>
      <c r="K1081" s="391"/>
      <c r="L1081" s="349"/>
      <c r="M1081" s="301"/>
      <c r="N1081" s="391"/>
      <c r="O1081" s="349"/>
      <c r="P1081" s="301"/>
      <c r="S1081" s="364"/>
      <c r="Z1081" s="609" t="s">
        <v>540</v>
      </c>
      <c r="AA1081" s="609" t="s">
        <v>3137</v>
      </c>
    </row>
    <row r="1082" spans="1:27" ht="18" customHeight="1">
      <c r="A1082" s="2714"/>
      <c r="B1082" s="371"/>
      <c r="C1082" s="371"/>
      <c r="D1082" s="2716"/>
      <c r="E1082" s="586" t="s">
        <v>2749</v>
      </c>
      <c r="F1082" s="414"/>
      <c r="G1082" s="3472" t="s">
        <v>5137</v>
      </c>
      <c r="H1082" s="3418" t="str">
        <f>$V$2</f>
        <v>2019年12月31日</v>
      </c>
      <c r="I1082" s="3419"/>
      <c r="J1082" s="3419"/>
      <c r="K1082" s="355" t="s">
        <v>5273</v>
      </c>
      <c r="L1082" s="349"/>
      <c r="M1082" s="301"/>
      <c r="N1082" s="391"/>
      <c r="O1082" s="349"/>
      <c r="P1082" s="301"/>
      <c r="S1082" s="364"/>
      <c r="Z1082" s="609" t="s">
        <v>540</v>
      </c>
      <c r="AA1082" s="609" t="s">
        <v>3137</v>
      </c>
    </row>
    <row r="1083" spans="1:27" ht="18">
      <c r="A1083" s="2714"/>
      <c r="B1083" s="371"/>
      <c r="C1083" s="371"/>
      <c r="D1083" s="2716"/>
      <c r="E1083" s="586" t="s">
        <v>2749</v>
      </c>
      <c r="F1083" s="414"/>
      <c r="G1083" s="3473"/>
      <c r="H1083" s="2294" t="s">
        <v>2861</v>
      </c>
      <c r="I1083" s="2294" t="s">
        <v>2862</v>
      </c>
      <c r="J1083" s="2240" t="s">
        <v>2889</v>
      </c>
      <c r="K1083" s="391"/>
      <c r="L1083" s="349"/>
      <c r="M1083" s="301"/>
      <c r="N1083" s="391"/>
      <c r="O1083" s="349"/>
      <c r="P1083" s="301"/>
      <c r="S1083" s="364"/>
      <c r="Z1083" s="609" t="s">
        <v>540</v>
      </c>
      <c r="AA1083" s="609" t="s">
        <v>3137</v>
      </c>
    </row>
    <row r="1084" spans="1:27" ht="18">
      <c r="A1084" s="2714"/>
      <c r="B1084" s="371">
        <v>101</v>
      </c>
      <c r="C1084" s="371"/>
      <c r="D1084" s="2716">
        <f t="shared" ref="D1084:D1092" si="97">IF(OR(G1084="*",G1084="",G1084=0),0,COUNTIF($G$1084:$G$1092,G1084))</f>
        <v>1</v>
      </c>
      <c r="E1084" s="2721">
        <v>1</v>
      </c>
      <c r="F1084" s="293"/>
      <c r="G1084" s="1474" t="s">
        <v>2938</v>
      </c>
      <c r="H1084" s="2275">
        <v>30000</v>
      </c>
      <c r="I1084" s="2275">
        <f>H1084*J1084</f>
        <v>1500</v>
      </c>
      <c r="J1084" s="3126">
        <v>0.05</v>
      </c>
      <c r="K1084" s="391"/>
      <c r="L1084" s="349"/>
      <c r="M1084" s="301"/>
      <c r="N1084" s="391"/>
      <c r="O1084" s="349"/>
      <c r="P1084" s="301"/>
      <c r="S1084" s="364"/>
      <c r="Z1084" s="609" t="s">
        <v>540</v>
      </c>
      <c r="AA1084" s="609" t="s">
        <v>3137</v>
      </c>
    </row>
    <row r="1085" spans="1:27" ht="18">
      <c r="A1085" s="2714"/>
      <c r="B1085" s="371">
        <v>102</v>
      </c>
      <c r="C1085" s="371"/>
      <c r="D1085" s="2716">
        <f t="shared" si="97"/>
        <v>1</v>
      </c>
      <c r="E1085" s="2721">
        <v>1</v>
      </c>
      <c r="F1085" s="293"/>
      <c r="G1085" s="1474" t="s">
        <v>2962</v>
      </c>
      <c r="H1085" s="2275">
        <v>34999.919999999998</v>
      </c>
      <c r="I1085" s="2275">
        <f t="shared" ref="I1085:I1086" si="98">H1085*J1085</f>
        <v>1750</v>
      </c>
      <c r="J1085" s="2276">
        <v>0.05</v>
      </c>
      <c r="K1085" s="391"/>
      <c r="L1085" s="349"/>
      <c r="M1085" s="301"/>
      <c r="N1085" s="391"/>
      <c r="O1085" s="349"/>
      <c r="P1085" s="301"/>
      <c r="S1085" s="364"/>
      <c r="Z1085" s="609" t="s">
        <v>540</v>
      </c>
      <c r="AA1085" s="609" t="s">
        <v>3137</v>
      </c>
    </row>
    <row r="1086" spans="1:27" ht="18">
      <c r="A1086" s="2714"/>
      <c r="B1086" s="371">
        <v>103</v>
      </c>
      <c r="C1086" s="371"/>
      <c r="D1086" s="2716">
        <f t="shared" si="97"/>
        <v>1</v>
      </c>
      <c r="E1086" s="2721">
        <v>1</v>
      </c>
      <c r="F1086" s="293"/>
      <c r="G1086" s="1474" t="s">
        <v>2963</v>
      </c>
      <c r="H1086" s="2275">
        <v>100000</v>
      </c>
      <c r="I1086" s="2275">
        <f t="shared" si="98"/>
        <v>5000</v>
      </c>
      <c r="J1086" s="2276">
        <v>0.05</v>
      </c>
      <c r="K1086" s="391"/>
      <c r="L1086" s="349"/>
      <c r="M1086" s="301"/>
      <c r="N1086" s="391"/>
      <c r="O1086" s="349"/>
      <c r="P1086" s="301"/>
      <c r="S1086" s="364"/>
      <c r="Z1086" s="609" t="s">
        <v>540</v>
      </c>
      <c r="AA1086" s="609" t="s">
        <v>3137</v>
      </c>
    </row>
    <row r="1087" spans="1:27" ht="18">
      <c r="A1087" s="2714"/>
      <c r="B1087" s="371">
        <v>104</v>
      </c>
      <c r="C1087" s="371" t="s">
        <v>2791</v>
      </c>
      <c r="D1087" s="2716">
        <f t="shared" si="97"/>
        <v>1</v>
      </c>
      <c r="E1087" s="2721">
        <v>1</v>
      </c>
      <c r="F1087" s="293"/>
      <c r="G1087" s="2284" t="s">
        <v>2964</v>
      </c>
      <c r="H1087" s="2275"/>
      <c r="I1087" s="2275"/>
      <c r="J1087" s="2276"/>
      <c r="K1087" s="391"/>
      <c r="L1087" s="349"/>
      <c r="M1087" s="301"/>
      <c r="N1087" s="391"/>
      <c r="O1087" s="349"/>
      <c r="P1087" s="301"/>
      <c r="S1087" s="364"/>
      <c r="Z1087" s="609" t="s">
        <v>540</v>
      </c>
      <c r="AA1087" s="609" t="s">
        <v>3137</v>
      </c>
    </row>
    <row r="1088" spans="1:27" ht="18">
      <c r="A1088" s="2714"/>
      <c r="B1088" s="371">
        <v>105</v>
      </c>
      <c r="C1088" s="371" t="s">
        <v>2791</v>
      </c>
      <c r="D1088" s="2716">
        <f t="shared" si="97"/>
        <v>1</v>
      </c>
      <c r="E1088" s="2721">
        <v>1</v>
      </c>
      <c r="F1088" s="293"/>
      <c r="G1088" s="2284" t="s">
        <v>2965</v>
      </c>
      <c r="H1088" s="2275"/>
      <c r="I1088" s="2275"/>
      <c r="J1088" s="2276"/>
      <c r="K1088" s="391"/>
      <c r="L1088" s="349"/>
      <c r="M1088" s="301"/>
      <c r="N1088" s="391"/>
      <c r="O1088" s="349"/>
      <c r="P1088" s="301"/>
      <c r="S1088" s="364"/>
      <c r="Z1088" s="609" t="s">
        <v>540</v>
      </c>
      <c r="AA1088" s="609" t="s">
        <v>3137</v>
      </c>
    </row>
    <row r="1089" spans="1:27" ht="18">
      <c r="A1089" s="2714"/>
      <c r="B1089" s="371">
        <v>106</v>
      </c>
      <c r="C1089" s="371" t="s">
        <v>2791</v>
      </c>
      <c r="D1089" s="2716">
        <f t="shared" si="97"/>
        <v>1</v>
      </c>
      <c r="E1089" s="2721">
        <v>1</v>
      </c>
      <c r="F1089" s="293"/>
      <c r="G1089" s="2284" t="s">
        <v>2944</v>
      </c>
      <c r="H1089" s="2275"/>
      <c r="I1089" s="2275"/>
      <c r="J1089" s="2276"/>
      <c r="K1089" s="391"/>
      <c r="L1089" s="349"/>
      <c r="M1089" s="301"/>
      <c r="N1089" s="391"/>
      <c r="O1089" s="349"/>
      <c r="P1089" s="301"/>
      <c r="S1089" s="364"/>
      <c r="Z1089" s="609" t="s">
        <v>540</v>
      </c>
      <c r="AA1089" s="609" t="s">
        <v>3137</v>
      </c>
    </row>
    <row r="1090" spans="1:27" ht="18">
      <c r="A1090" s="2714"/>
      <c r="B1090" s="371">
        <v>107</v>
      </c>
      <c r="C1090" s="371" t="s">
        <v>2791</v>
      </c>
      <c r="D1090" s="2716">
        <f t="shared" si="97"/>
        <v>0</v>
      </c>
      <c r="E1090" s="2721">
        <v>1</v>
      </c>
      <c r="F1090" s="293"/>
      <c r="G1090" s="2284" t="s">
        <v>2792</v>
      </c>
      <c r="H1090" s="2275"/>
      <c r="I1090" s="2275"/>
      <c r="J1090" s="2276"/>
      <c r="K1090" s="391"/>
      <c r="L1090" s="349"/>
      <c r="M1090" s="301"/>
      <c r="N1090" s="391"/>
      <c r="O1090" s="349"/>
      <c r="P1090" s="301"/>
      <c r="S1090" s="364"/>
      <c r="Z1090" s="609" t="s">
        <v>540</v>
      </c>
      <c r="AA1090" s="609" t="s">
        <v>3137</v>
      </c>
    </row>
    <row r="1091" spans="1:27" ht="18">
      <c r="A1091" s="2714"/>
      <c r="B1091" s="371">
        <v>108</v>
      </c>
      <c r="C1091" s="371" t="s">
        <v>2791</v>
      </c>
      <c r="D1091" s="2716">
        <f t="shared" si="97"/>
        <v>0</v>
      </c>
      <c r="E1091" s="2721">
        <v>1</v>
      </c>
      <c r="F1091" s="293"/>
      <c r="G1091" s="2284" t="s">
        <v>2792</v>
      </c>
      <c r="H1091" s="2275"/>
      <c r="I1091" s="2275"/>
      <c r="J1091" s="2276"/>
      <c r="K1091" s="391"/>
      <c r="L1091" s="349"/>
      <c r="M1091" s="301"/>
      <c r="N1091" s="391"/>
      <c r="O1091" s="349"/>
      <c r="P1091" s="301"/>
      <c r="S1091" s="364"/>
      <c r="Z1091" s="609" t="s">
        <v>540</v>
      </c>
      <c r="AA1091" s="609" t="s">
        <v>3137</v>
      </c>
    </row>
    <row r="1092" spans="1:27" ht="18.75" thickBot="1">
      <c r="A1092" s="2714"/>
      <c r="B1092" s="371"/>
      <c r="C1092" s="371"/>
      <c r="D1092" s="2716">
        <f t="shared" si="97"/>
        <v>1</v>
      </c>
      <c r="E1092" s="2721" t="s">
        <v>2751</v>
      </c>
      <c r="F1092" s="293"/>
      <c r="G1092" s="2234" t="s">
        <v>2752</v>
      </c>
      <c r="H1092" s="2235">
        <f>SUMPRODUCT($E1083:$E1091,H1083:H1091)</f>
        <v>164999.92000000001</v>
      </c>
      <c r="I1092" s="2235">
        <f>SUMPRODUCT($E1083:$E1091,I1083:I1091)</f>
        <v>8250</v>
      </c>
      <c r="J1092" s="2244"/>
      <c r="K1092" s="391"/>
      <c r="L1092" s="349"/>
      <c r="M1092" s="301"/>
      <c r="N1092" s="391"/>
      <c r="O1092" s="349"/>
      <c r="P1092" s="301"/>
      <c r="S1092" s="364"/>
      <c r="Z1092" s="609" t="s">
        <v>540</v>
      </c>
      <c r="AA1092" s="609" t="s">
        <v>3137</v>
      </c>
    </row>
    <row r="1093" spans="1:27" ht="18.75" thickBot="1">
      <c r="A1093" s="2714"/>
      <c r="B1093" s="371"/>
      <c r="C1093" s="371" t="s">
        <v>2755</v>
      </c>
      <c r="D1093" s="2716"/>
      <c r="F1093" s="293"/>
      <c r="G1093" s="376"/>
      <c r="H1093" s="2626" t="s">
        <v>3002</v>
      </c>
      <c r="I1093" s="2253" t="s">
        <v>3002</v>
      </c>
      <c r="J1093" s="393"/>
      <c r="K1093" s="391"/>
      <c r="L1093" s="349"/>
      <c r="M1093" s="301"/>
      <c r="N1093" s="391"/>
      <c r="O1093" s="349"/>
      <c r="P1093" s="301"/>
      <c r="S1093" s="364"/>
      <c r="Z1093" s="609" t="s">
        <v>540</v>
      </c>
      <c r="AA1093" s="609" t="s">
        <v>3137</v>
      </c>
    </row>
    <row r="1094" spans="1:27" ht="18.75" thickTop="1">
      <c r="A1094" s="2714"/>
      <c r="B1094" s="371"/>
      <c r="C1094" s="371" t="s">
        <v>2565</v>
      </c>
      <c r="D1094" s="2716"/>
      <c r="F1094" s="293"/>
      <c r="G1094" s="1549" t="s">
        <v>5367</v>
      </c>
      <c r="H1094" s="1550" t="str">
        <f>G1043</f>
        <v>(3A1)期末处于第一阶段的其他应收款坏账准备（三阶段模型）</v>
      </c>
      <c r="I1094" s="1552"/>
      <c r="J1094" s="1551"/>
      <c r="K1094" s="1553" t="s">
        <v>5368</v>
      </c>
      <c r="L1094" s="349"/>
      <c r="M1094" s="301"/>
      <c r="N1094" s="391"/>
      <c r="O1094" s="349"/>
      <c r="P1094" s="301"/>
      <c r="S1094" s="364"/>
      <c r="Z1094" s="609" t="s">
        <v>540</v>
      </c>
      <c r="AA1094" s="609" t="s">
        <v>3137</v>
      </c>
    </row>
    <row r="1095" spans="1:27" ht="18">
      <c r="A1095" s="2714"/>
      <c r="B1095" s="371"/>
      <c r="C1095" s="371" t="s">
        <v>2565</v>
      </c>
      <c r="D1095" s="2716"/>
      <c r="F1095" s="293"/>
      <c r="G1095" s="604" t="str">
        <f>"注释A:"&amp; G1051</f>
        <v>注释A:组合1：押金、保证金</v>
      </c>
      <c r="H1095" s="2252">
        <f ca="1">HYPERLINK("#'"&amp;$G$1&amp;"'!"&amp;ADDRESS(ROW(Notes!H1051),COLUMN(Notes!H1051),4),H1051)</f>
        <v>164999.92000000001</v>
      </c>
      <c r="I1095" s="2252">
        <f ca="1">HYPERLINK("#'"&amp;$G$1&amp;"'!"&amp;ADDRESS(ROW(Notes!J1051),COLUMN(Notes!J1051),4),J1051)</f>
        <v>8250</v>
      </c>
      <c r="J1095" s="351"/>
      <c r="K1095" s="2632">
        <f>H1043</f>
        <v>122101</v>
      </c>
      <c r="L1095" s="349"/>
      <c r="M1095" s="301"/>
      <c r="N1095" s="391"/>
      <c r="O1095" s="349"/>
      <c r="P1095" s="301"/>
      <c r="S1095" s="364"/>
      <c r="Z1095" s="609" t="s">
        <v>540</v>
      </c>
      <c r="AA1095" s="609" t="s">
        <v>3137</v>
      </c>
    </row>
    <row r="1096" spans="1:27" ht="18">
      <c r="A1096" s="2714"/>
      <c r="B1096" s="371"/>
      <c r="C1096" s="371" t="s">
        <v>2565</v>
      </c>
      <c r="D1096" s="2716"/>
      <c r="F1096" s="293"/>
      <c r="G1096" s="604" t="str">
        <f>"本注释B:"&amp; G1092</f>
        <v>本注释B:合       计</v>
      </c>
      <c r="H1096" s="456">
        <f>H1092</f>
        <v>164999.92000000001</v>
      </c>
      <c r="I1096" s="456">
        <f>I1092</f>
        <v>8250</v>
      </c>
      <c r="J1096" s="351"/>
      <c r="K1096" s="2637">
        <v>122112</v>
      </c>
      <c r="L1096" s="349"/>
      <c r="M1096" s="301"/>
      <c r="N1096" s="391"/>
      <c r="O1096" s="349"/>
      <c r="P1096" s="301"/>
      <c r="S1096" s="364"/>
      <c r="Z1096" s="609" t="s">
        <v>540</v>
      </c>
      <c r="AA1096" s="609" t="s">
        <v>3137</v>
      </c>
    </row>
    <row r="1097" spans="1:27" ht="18.75" thickBot="1">
      <c r="A1097" s="2714"/>
      <c r="B1097" s="371"/>
      <c r="C1097" s="371" t="s">
        <v>2565</v>
      </c>
      <c r="D1097" s="2716"/>
      <c r="F1097" s="293"/>
      <c r="G1097" s="1554" t="s">
        <v>2757</v>
      </c>
      <c r="H1097" s="1531">
        <f ca="1">IF(AND(H1095="",H1096=""),"",ROUND(H1095-H1096,2))</f>
        <v>0</v>
      </c>
      <c r="I1097" s="1531">
        <f ca="1">IF(AND(I1095="",I1096=""),"",ROUND(I1095-I1096,2))</f>
        <v>0</v>
      </c>
      <c r="J1097" s="1555"/>
      <c r="K1097" s="1555"/>
      <c r="L1097" s="349"/>
      <c r="M1097" s="301"/>
      <c r="N1097" s="391"/>
      <c r="O1097" s="349"/>
      <c r="P1097" s="301"/>
      <c r="S1097" s="364"/>
      <c r="Z1097" s="609" t="s">
        <v>540</v>
      </c>
      <c r="AA1097" s="609" t="s">
        <v>3137</v>
      </c>
    </row>
    <row r="1098" spans="1:27" ht="18.75" thickTop="1">
      <c r="A1098" s="2714"/>
      <c r="B1098" s="371"/>
      <c r="C1098" s="371" t="s">
        <v>2565</v>
      </c>
      <c r="D1098" s="2716"/>
      <c r="F1098" s="293"/>
      <c r="G1098" s="1545"/>
      <c r="H1098" s="459" t="str">
        <f ca="1">IF(OR(H1097=0,H1097=""),"√","？")</f>
        <v>√</v>
      </c>
      <c r="I1098" s="459" t="str">
        <f ca="1">IF(OR(I1097=0,I1097=""),"√","？")</f>
        <v>√</v>
      </c>
      <c r="J1098" s="317"/>
      <c r="K1098" s="317"/>
      <c r="L1098" s="349"/>
      <c r="M1098" s="301"/>
      <c r="N1098" s="391"/>
      <c r="O1098" s="349"/>
      <c r="P1098" s="301"/>
      <c r="S1098" s="364"/>
      <c r="Z1098" s="609" t="s">
        <v>540</v>
      </c>
      <c r="AA1098" s="609" t="s">
        <v>3137</v>
      </c>
    </row>
    <row r="1099" spans="1:27" ht="18">
      <c r="A1099" s="2714"/>
      <c r="B1099" s="371"/>
      <c r="C1099" s="371" t="s">
        <v>2565</v>
      </c>
      <c r="D1099" s="2716"/>
      <c r="F1099" s="293"/>
      <c r="G1099" s="1559" t="s">
        <v>2759</v>
      </c>
      <c r="H1099" s="461"/>
      <c r="I1099" s="461"/>
      <c r="J1099" s="317"/>
      <c r="K1099" s="352">
        <f ca="1">SUMIF($H$1098:$K$1098,"&lt;&gt;√",$H$1097:$K$1097)</f>
        <v>0</v>
      </c>
      <c r="L1099" s="2628" t="str">
        <f ca="1">IF(OR(K1099=0,K1099=""),"√","？")</f>
        <v>√</v>
      </c>
      <c r="M1099" s="301"/>
      <c r="N1099" s="391"/>
      <c r="O1099" s="349"/>
      <c r="P1099" s="301"/>
      <c r="S1099" s="364"/>
      <c r="Z1099" s="609" t="s">
        <v>540</v>
      </c>
      <c r="AA1099" s="609" t="s">
        <v>3137</v>
      </c>
    </row>
    <row r="1100" spans="1:27" ht="18">
      <c r="A1100" s="2714"/>
      <c r="B1100" s="371"/>
      <c r="C1100" s="371" t="s">
        <v>2565</v>
      </c>
      <c r="D1100" s="2716"/>
      <c r="F1100" s="293"/>
      <c r="G1100" s="1545"/>
      <c r="H1100" s="461"/>
      <c r="I1100" s="461"/>
      <c r="J1100" s="317"/>
      <c r="K1100" s="317"/>
      <c r="L1100" s="349"/>
      <c r="M1100" s="301"/>
      <c r="N1100" s="391"/>
      <c r="O1100" s="349"/>
      <c r="P1100" s="301"/>
      <c r="S1100" s="364"/>
      <c r="Z1100" s="609" t="s">
        <v>540</v>
      </c>
      <c r="AA1100" s="609" t="s">
        <v>3137</v>
      </c>
    </row>
    <row r="1101" spans="1:27" ht="36">
      <c r="A1101" s="2714">
        <v>122113</v>
      </c>
      <c r="B1101" s="371" t="s">
        <v>6540</v>
      </c>
      <c r="C1101" s="371"/>
      <c r="D1101" s="2716" t="str">
        <f>VLOOKUP($A1101,Sheet_NoteList,2,0)</f>
        <v>期末按组合2计提坏账准备的其他应收款（第一阶段）</v>
      </c>
      <c r="E1101" s="2716" t="s">
        <v>6533</v>
      </c>
      <c r="F1101" s="293"/>
      <c r="G1101" s="372" t="str">
        <f>"("&amp;B1101&amp;")"&amp;D1101</f>
        <v>(3A1.3)期末按组合2计提坏账准备的其他应收款（第一阶段）</v>
      </c>
      <c r="H1101" s="2315">
        <f>$A1101</f>
        <v>122113</v>
      </c>
      <c r="I1101" s="343" t="s">
        <v>5547</v>
      </c>
      <c r="J1101" s="301" t="s">
        <v>5548</v>
      </c>
      <c r="K1101" s="2210">
        <f>H1114</f>
        <v>2026587.02</v>
      </c>
      <c r="L1101" s="349"/>
      <c r="M1101" s="301"/>
      <c r="N1101" s="391"/>
      <c r="O1101" s="349"/>
      <c r="P1101" s="301"/>
      <c r="S1101" s="364"/>
      <c r="Z1101" s="609" t="s">
        <v>540</v>
      </c>
      <c r="AA1101" s="609" t="s">
        <v>3137</v>
      </c>
    </row>
    <row r="1102" spans="1:27" ht="0.75" customHeight="1">
      <c r="A1102" s="2714"/>
      <c r="B1102" s="371"/>
      <c r="C1102" s="371"/>
      <c r="D1102" s="2716"/>
      <c r="F1102" s="371"/>
      <c r="G1102" s="405" t="s">
        <v>5907</v>
      </c>
      <c r="H1102" s="371" t="s">
        <v>5388</v>
      </c>
      <c r="I1102" s="371" t="s">
        <v>5530</v>
      </c>
      <c r="J1102" s="371" t="s">
        <v>5402</v>
      </c>
      <c r="K1102" s="391"/>
      <c r="L1102" s="349"/>
      <c r="M1102" s="301"/>
      <c r="N1102" s="391"/>
      <c r="O1102" s="349"/>
      <c r="P1102" s="301"/>
      <c r="S1102" s="364"/>
      <c r="Z1102" s="609" t="s">
        <v>540</v>
      </c>
      <c r="AA1102" s="609" t="s">
        <v>3137</v>
      </c>
    </row>
    <row r="1103" spans="1:27" ht="0.75" customHeight="1" thickBot="1">
      <c r="A1103" s="2714"/>
      <c r="B1103" s="371"/>
      <c r="C1103" s="371"/>
      <c r="D1103" s="2716"/>
      <c r="F1103" s="371"/>
      <c r="G1103" s="405"/>
      <c r="H1103" s="1617" t="s">
        <v>5549</v>
      </c>
      <c r="I1103" s="371" t="s">
        <v>5550</v>
      </c>
      <c r="J1103" s="371" t="s">
        <v>5551</v>
      </c>
      <c r="K1103" s="391"/>
      <c r="L1103" s="349"/>
      <c r="M1103" s="301"/>
      <c r="N1103" s="391"/>
      <c r="O1103" s="349"/>
      <c r="P1103" s="301"/>
      <c r="S1103" s="364"/>
      <c r="Z1103" s="609" t="s">
        <v>540</v>
      </c>
      <c r="AA1103" s="609" t="s">
        <v>3137</v>
      </c>
    </row>
    <row r="1104" spans="1:27" ht="18" customHeight="1">
      <c r="A1104" s="2714"/>
      <c r="B1104" s="371"/>
      <c r="C1104" s="371"/>
      <c r="D1104" s="2716"/>
      <c r="E1104" s="2716" t="s">
        <v>2749</v>
      </c>
      <c r="F1104" s="293"/>
      <c r="G1104" s="3512" t="s">
        <v>5948</v>
      </c>
      <c r="H1104" s="3391" t="str">
        <f>$V$2</f>
        <v>2019年12月31日</v>
      </c>
      <c r="I1104" s="3392"/>
      <c r="J1104" s="3392"/>
      <c r="K1104" s="355" t="s">
        <v>5949</v>
      </c>
      <c r="L1104" s="349"/>
      <c r="M1104" s="301"/>
      <c r="N1104" s="391"/>
      <c r="O1104" s="349"/>
      <c r="P1104" s="301"/>
      <c r="S1104" s="364"/>
      <c r="Z1104" s="609" t="s">
        <v>540</v>
      </c>
      <c r="AA1104" s="609" t="s">
        <v>3137</v>
      </c>
    </row>
    <row r="1105" spans="1:27" ht="18">
      <c r="A1105" s="2714"/>
      <c r="B1105" s="371"/>
      <c r="C1105" s="371"/>
      <c r="D1105" s="2716"/>
      <c r="E1105" s="2716" t="s">
        <v>2749</v>
      </c>
      <c r="F1105" s="293"/>
      <c r="G1105" s="3513"/>
      <c r="H1105" s="2207" t="s">
        <v>2861</v>
      </c>
      <c r="I1105" s="2207" t="s">
        <v>2862</v>
      </c>
      <c r="J1105" s="2208" t="s">
        <v>2889</v>
      </c>
      <c r="K1105" s="355" t="s">
        <v>6176</v>
      </c>
      <c r="L1105" s="349"/>
      <c r="M1105" s="301"/>
      <c r="N1105" s="391"/>
      <c r="O1105" s="349"/>
      <c r="P1105" s="301"/>
      <c r="S1105" s="364"/>
      <c r="Z1105" s="609" t="s">
        <v>540</v>
      </c>
      <c r="AA1105" s="609" t="s">
        <v>3137</v>
      </c>
    </row>
    <row r="1106" spans="1:27" ht="18">
      <c r="A1106" s="2714"/>
      <c r="B1106" s="371">
        <v>101</v>
      </c>
      <c r="C1106" s="371" t="s">
        <v>2791</v>
      </c>
      <c r="D1106" s="2716">
        <f t="shared" ref="D1106:D1114" si="99">IF(OR(G1106="*",G1106="",G1106=0),0,COUNTIF($G$1106:$G$1114,G1106))</f>
        <v>1</v>
      </c>
      <c r="E1106" s="2721">
        <v>1</v>
      </c>
      <c r="F1106" s="293"/>
      <c r="G1106" s="2213" t="s">
        <v>2938</v>
      </c>
      <c r="H1106" s="1577">
        <v>2026587.02</v>
      </c>
      <c r="I1106" s="422">
        <v>0</v>
      </c>
      <c r="J1106" s="388"/>
      <c r="K1106" s="391"/>
      <c r="L1106" s="349"/>
      <c r="M1106" s="301"/>
      <c r="N1106" s="391"/>
      <c r="O1106" s="349"/>
      <c r="P1106" s="301"/>
      <c r="S1106" s="364"/>
      <c r="Z1106" s="609" t="s">
        <v>540</v>
      </c>
      <c r="AA1106" s="609" t="s">
        <v>3137</v>
      </c>
    </row>
    <row r="1107" spans="1:27" ht="18">
      <c r="A1107" s="2714"/>
      <c r="B1107" s="371">
        <v>102</v>
      </c>
      <c r="C1107" s="371" t="s">
        <v>2791</v>
      </c>
      <c r="D1107" s="2716">
        <f t="shared" si="99"/>
        <v>1</v>
      </c>
      <c r="E1107" s="2721">
        <v>1</v>
      </c>
      <c r="F1107" s="293"/>
      <c r="G1107" s="2213" t="s">
        <v>2962</v>
      </c>
      <c r="H1107" s="1577"/>
      <c r="I1107" s="422"/>
      <c r="J1107" s="388"/>
      <c r="K1107" s="391"/>
      <c r="L1107" s="349"/>
      <c r="M1107" s="301"/>
      <c r="N1107" s="391"/>
      <c r="O1107" s="349"/>
      <c r="P1107" s="301"/>
      <c r="S1107" s="364"/>
      <c r="Z1107" s="609" t="s">
        <v>540</v>
      </c>
      <c r="AA1107" s="609" t="s">
        <v>3137</v>
      </c>
    </row>
    <row r="1108" spans="1:27" ht="18">
      <c r="A1108" s="2714"/>
      <c r="B1108" s="371">
        <v>103</v>
      </c>
      <c r="C1108" s="371" t="s">
        <v>2791</v>
      </c>
      <c r="D1108" s="2716">
        <f t="shared" si="99"/>
        <v>1</v>
      </c>
      <c r="E1108" s="2721">
        <v>1</v>
      </c>
      <c r="F1108" s="293"/>
      <c r="G1108" s="2213" t="s">
        <v>2963</v>
      </c>
      <c r="H1108" s="1577"/>
      <c r="I1108" s="422"/>
      <c r="J1108" s="388"/>
      <c r="K1108" s="391"/>
      <c r="L1108" s="349"/>
      <c r="M1108" s="301"/>
      <c r="N1108" s="391"/>
      <c r="O1108" s="349"/>
      <c r="P1108" s="301"/>
      <c r="S1108" s="364"/>
      <c r="Z1108" s="609" t="s">
        <v>540</v>
      </c>
      <c r="AA1108" s="609" t="s">
        <v>3137</v>
      </c>
    </row>
    <row r="1109" spans="1:27" ht="18">
      <c r="A1109" s="2714"/>
      <c r="B1109" s="371">
        <v>104</v>
      </c>
      <c r="C1109" s="371" t="s">
        <v>2791</v>
      </c>
      <c r="D1109" s="2716">
        <f t="shared" si="99"/>
        <v>1</v>
      </c>
      <c r="E1109" s="2721">
        <v>1</v>
      </c>
      <c r="F1109" s="293"/>
      <c r="G1109" s="2213" t="s">
        <v>2964</v>
      </c>
      <c r="H1109" s="1577"/>
      <c r="I1109" s="422"/>
      <c r="J1109" s="388"/>
      <c r="K1109" s="391"/>
      <c r="L1109" s="349"/>
      <c r="M1109" s="301"/>
      <c r="N1109" s="391"/>
      <c r="O1109" s="349"/>
      <c r="P1109" s="301"/>
      <c r="S1109" s="364"/>
      <c r="Z1109" s="609" t="s">
        <v>540</v>
      </c>
      <c r="AA1109" s="609" t="s">
        <v>3137</v>
      </c>
    </row>
    <row r="1110" spans="1:27" ht="18">
      <c r="A1110" s="2714"/>
      <c r="B1110" s="371">
        <v>105</v>
      </c>
      <c r="C1110" s="371" t="s">
        <v>2791</v>
      </c>
      <c r="D1110" s="2716">
        <f t="shared" si="99"/>
        <v>1</v>
      </c>
      <c r="E1110" s="2721">
        <v>1</v>
      </c>
      <c r="F1110" s="293"/>
      <c r="G1110" s="2213" t="s">
        <v>2965</v>
      </c>
      <c r="H1110" s="1577"/>
      <c r="I1110" s="422"/>
      <c r="J1110" s="388"/>
      <c r="K1110" s="391"/>
      <c r="L1110" s="349"/>
      <c r="M1110" s="301"/>
      <c r="N1110" s="391"/>
      <c r="O1110" s="349"/>
      <c r="P1110" s="301"/>
      <c r="S1110" s="364"/>
      <c r="Z1110" s="609" t="s">
        <v>540</v>
      </c>
      <c r="AA1110" s="609" t="s">
        <v>3137</v>
      </c>
    </row>
    <row r="1111" spans="1:27" ht="18">
      <c r="A1111" s="2714"/>
      <c r="B1111" s="371">
        <v>106</v>
      </c>
      <c r="C1111" s="371" t="s">
        <v>2791</v>
      </c>
      <c r="D1111" s="2716">
        <f t="shared" si="99"/>
        <v>1</v>
      </c>
      <c r="E1111" s="2721">
        <v>1</v>
      </c>
      <c r="F1111" s="293"/>
      <c r="G1111" s="2213" t="s">
        <v>2944</v>
      </c>
      <c r="H1111" s="1577"/>
      <c r="I1111" s="422"/>
      <c r="J1111" s="388"/>
      <c r="K1111" s="391"/>
      <c r="L1111" s="349"/>
      <c r="M1111" s="301"/>
      <c r="N1111" s="391"/>
      <c r="O1111" s="349"/>
      <c r="P1111" s="301"/>
      <c r="S1111" s="364"/>
      <c r="Z1111" s="609" t="s">
        <v>540</v>
      </c>
      <c r="AA1111" s="609" t="s">
        <v>3137</v>
      </c>
    </row>
    <row r="1112" spans="1:27" ht="18">
      <c r="A1112" s="2714"/>
      <c r="B1112" s="371">
        <v>107</v>
      </c>
      <c r="C1112" s="371" t="s">
        <v>2791</v>
      </c>
      <c r="D1112" s="2716">
        <f t="shared" si="99"/>
        <v>0</v>
      </c>
      <c r="E1112" s="2721">
        <v>1</v>
      </c>
      <c r="F1112" s="293"/>
      <c r="G1112" s="2213" t="s">
        <v>2792</v>
      </c>
      <c r="H1112" s="1577"/>
      <c r="I1112" s="422"/>
      <c r="J1112" s="388"/>
      <c r="K1112" s="391"/>
      <c r="L1112" s="349"/>
      <c r="M1112" s="301"/>
      <c r="N1112" s="391"/>
      <c r="O1112" s="349"/>
      <c r="P1112" s="301"/>
      <c r="S1112" s="364"/>
      <c r="Z1112" s="609" t="s">
        <v>540</v>
      </c>
      <c r="AA1112" s="609" t="s">
        <v>3137</v>
      </c>
    </row>
    <row r="1113" spans="1:27" ht="18">
      <c r="A1113" s="2714"/>
      <c r="B1113" s="371">
        <v>108</v>
      </c>
      <c r="C1113" s="371" t="s">
        <v>2791</v>
      </c>
      <c r="D1113" s="2716">
        <f t="shared" si="99"/>
        <v>0</v>
      </c>
      <c r="E1113" s="2721">
        <v>1</v>
      </c>
      <c r="F1113" s="293"/>
      <c r="G1113" s="2213" t="s">
        <v>2792</v>
      </c>
      <c r="H1113" s="1577"/>
      <c r="I1113" s="422"/>
      <c r="J1113" s="388"/>
      <c r="K1113" s="391"/>
      <c r="L1113" s="349"/>
      <c r="M1113" s="301"/>
      <c r="N1113" s="391"/>
      <c r="O1113" s="349"/>
      <c r="P1113" s="301"/>
      <c r="S1113" s="364"/>
      <c r="Z1113" s="609" t="s">
        <v>540</v>
      </c>
      <c r="AA1113" s="609" t="s">
        <v>3137</v>
      </c>
    </row>
    <row r="1114" spans="1:27" ht="18.75" thickBot="1">
      <c r="A1114" s="2714"/>
      <c r="B1114" s="371"/>
      <c r="C1114" s="371"/>
      <c r="D1114" s="2716">
        <f t="shared" si="99"/>
        <v>1</v>
      </c>
      <c r="E1114" s="2721" t="s">
        <v>2751</v>
      </c>
      <c r="F1114" s="293"/>
      <c r="G1114" s="1529" t="s">
        <v>2752</v>
      </c>
      <c r="H1114" s="1527">
        <f>SUMPRODUCT($E1105:$E1113,H1105:H1113)</f>
        <v>2026587.02</v>
      </c>
      <c r="I1114" s="1527">
        <f>SUMPRODUCT($E1105:$E1113,I1105:I1113)</f>
        <v>0</v>
      </c>
      <c r="J1114" s="2209"/>
      <c r="K1114" s="391"/>
      <c r="L1114" s="349"/>
      <c r="M1114" s="301"/>
      <c r="N1114" s="391"/>
      <c r="O1114" s="349"/>
      <c r="P1114" s="301"/>
      <c r="S1114" s="364"/>
      <c r="Z1114" s="609" t="s">
        <v>540</v>
      </c>
      <c r="AA1114" s="609" t="s">
        <v>3137</v>
      </c>
    </row>
    <row r="1115" spans="1:27" ht="18">
      <c r="A1115" s="2714"/>
      <c r="B1115" s="371"/>
      <c r="C1115" s="371" t="s">
        <v>2755</v>
      </c>
      <c r="D1115" s="2716"/>
      <c r="F1115" s="293"/>
      <c r="G1115" s="376"/>
      <c r="H1115" s="1576"/>
      <c r="I1115" s="396"/>
      <c r="J1115" s="393"/>
      <c r="K1115" s="391"/>
      <c r="L1115" s="349"/>
      <c r="M1115" s="301"/>
      <c r="N1115" s="391"/>
      <c r="O1115" s="349"/>
      <c r="P1115" s="301"/>
      <c r="S1115" s="364"/>
      <c r="Z1115" s="609" t="s">
        <v>540</v>
      </c>
      <c r="AA1115" s="609" t="s">
        <v>3137</v>
      </c>
    </row>
    <row r="1116" spans="1:27" ht="36">
      <c r="A1116" s="2714">
        <v>122114</v>
      </c>
      <c r="B1116" s="371" t="s">
        <v>6541</v>
      </c>
      <c r="C1116" s="371"/>
      <c r="D1116" s="2716" t="str">
        <f>VLOOKUP($A1116,Sheet_NoteList,2,0)</f>
        <v>期末按组合3计提坏账准备的其他应收款（第一阶段）</v>
      </c>
      <c r="E1116" s="2716" t="s">
        <v>2742</v>
      </c>
      <c r="F1116" s="293"/>
      <c r="G1116" s="372" t="str">
        <f>"("&amp;B1116&amp;")"&amp;D1116</f>
        <v>(3A1.4)期末按组合3计提坏账准备的其他应收款（第一阶段）</v>
      </c>
      <c r="H1116" s="2315">
        <f>$A1116</f>
        <v>122114</v>
      </c>
      <c r="I1116" s="343" t="s">
        <v>2743</v>
      </c>
      <c r="J1116" s="301" t="s">
        <v>2744</v>
      </c>
      <c r="K1116" s="2210">
        <f>H1129</f>
        <v>27548.19</v>
      </c>
      <c r="L1116" s="349"/>
      <c r="M1116" s="301"/>
      <c r="N1116" s="391"/>
      <c r="O1116" s="349"/>
      <c r="P1116" s="301"/>
      <c r="S1116" s="364"/>
      <c r="Z1116" s="609" t="s">
        <v>540</v>
      </c>
      <c r="AA1116" s="609" t="s">
        <v>3137</v>
      </c>
    </row>
    <row r="1117" spans="1:27" ht="0.75" customHeight="1">
      <c r="A1117" s="2714"/>
      <c r="B1117" s="371"/>
      <c r="C1117" s="371"/>
      <c r="D1117" s="2716"/>
      <c r="F1117" s="371"/>
      <c r="G1117" s="405" t="s">
        <v>6206</v>
      </c>
      <c r="H1117" s="371" t="s">
        <v>6207</v>
      </c>
      <c r="I1117" s="371" t="s">
        <v>6208</v>
      </c>
      <c r="J1117" s="371" t="s">
        <v>6209</v>
      </c>
      <c r="K1117" s="428"/>
      <c r="L1117" s="428"/>
      <c r="M1117" s="433"/>
      <c r="N1117" s="428"/>
      <c r="O1117" s="428"/>
      <c r="P1117" s="433"/>
      <c r="Q1117" s="442"/>
      <c r="R1117" s="443"/>
      <c r="S1117" s="364"/>
      <c r="Z1117" s="609" t="s">
        <v>540</v>
      </c>
      <c r="AA1117" s="609" t="s">
        <v>3137</v>
      </c>
    </row>
    <row r="1118" spans="1:27" ht="0.75" customHeight="1" thickBot="1">
      <c r="A1118" s="2714"/>
      <c r="B1118" s="371"/>
      <c r="C1118" s="371"/>
      <c r="D1118" s="2716"/>
      <c r="F1118" s="371"/>
      <c r="G1118" s="405"/>
      <c r="H1118" s="371" t="s">
        <v>6210</v>
      </c>
      <c r="I1118" s="371" t="s">
        <v>6211</v>
      </c>
      <c r="J1118" s="371" t="s">
        <v>6212</v>
      </c>
      <c r="K1118" s="428"/>
      <c r="L1118" s="428"/>
      <c r="M1118" s="433"/>
      <c r="N1118" s="428"/>
      <c r="O1118" s="428"/>
      <c r="P1118" s="433"/>
      <c r="Q1118" s="442"/>
      <c r="R1118" s="443"/>
      <c r="S1118" s="364"/>
      <c r="Z1118" s="609" t="s">
        <v>540</v>
      </c>
      <c r="AA1118" s="609" t="s">
        <v>3137</v>
      </c>
    </row>
    <row r="1119" spans="1:27" ht="18" customHeight="1">
      <c r="A1119" s="2714"/>
      <c r="B1119" s="371"/>
      <c r="C1119" s="371"/>
      <c r="D1119" s="2716"/>
      <c r="E1119" s="2716" t="s">
        <v>2749</v>
      </c>
      <c r="F1119" s="293"/>
      <c r="G1119" s="3512" t="s">
        <v>5948</v>
      </c>
      <c r="H1119" s="3391" t="str">
        <f>$V$2</f>
        <v>2019年12月31日</v>
      </c>
      <c r="I1119" s="3392"/>
      <c r="J1119" s="3392"/>
      <c r="K1119" s="355" t="s">
        <v>5949</v>
      </c>
      <c r="L1119" s="428"/>
      <c r="M1119" s="433"/>
      <c r="N1119" s="428"/>
      <c r="O1119" s="428"/>
      <c r="P1119" s="433"/>
      <c r="Q1119" s="442"/>
      <c r="R1119" s="443"/>
      <c r="S1119" s="364"/>
      <c r="Z1119" s="609" t="s">
        <v>540</v>
      </c>
      <c r="AA1119" s="609" t="s">
        <v>3137</v>
      </c>
    </row>
    <row r="1120" spans="1:27" ht="18">
      <c r="A1120" s="2714"/>
      <c r="B1120" s="371"/>
      <c r="C1120" s="371"/>
      <c r="D1120" s="2716"/>
      <c r="E1120" s="2716" t="s">
        <v>2749</v>
      </c>
      <c r="F1120" s="293"/>
      <c r="G1120" s="3513"/>
      <c r="H1120" s="2207" t="s">
        <v>2861</v>
      </c>
      <c r="I1120" s="2207" t="s">
        <v>2862</v>
      </c>
      <c r="J1120" s="2208" t="s">
        <v>2889</v>
      </c>
      <c r="K1120" s="355" t="s">
        <v>6176</v>
      </c>
      <c r="L1120" s="434"/>
      <c r="M1120" s="435"/>
      <c r="N1120" s="434"/>
      <c r="O1120" s="434"/>
      <c r="P1120" s="435"/>
      <c r="Q1120" s="442"/>
      <c r="R1120" s="443"/>
      <c r="S1120" s="364"/>
      <c r="Z1120" s="609" t="s">
        <v>540</v>
      </c>
      <c r="AA1120" s="609" t="s">
        <v>3137</v>
      </c>
    </row>
    <row r="1121" spans="1:29" ht="18">
      <c r="A1121" s="2714"/>
      <c r="B1121" s="371">
        <v>101</v>
      </c>
      <c r="C1121" s="371" t="s">
        <v>2791</v>
      </c>
      <c r="D1121" s="2716">
        <f t="shared" ref="D1121:D1129" si="100">IF(OR(G1121="*",G1121="",G1121=0),0,COUNTIF($G$1121:$G$1129,G1121))</f>
        <v>1</v>
      </c>
      <c r="E1121" s="2721">
        <v>1</v>
      </c>
      <c r="F1121" s="293"/>
      <c r="G1121" s="2213" t="s">
        <v>2938</v>
      </c>
      <c r="H1121" s="309">
        <v>5847.54</v>
      </c>
      <c r="I1121" s="422">
        <v>350.85</v>
      </c>
      <c r="J1121" s="3377">
        <f>I1121/H1121</f>
        <v>0.06</v>
      </c>
      <c r="K1121" s="439"/>
      <c r="L1121" s="437"/>
      <c r="M1121" s="438"/>
      <c r="N1121" s="439"/>
      <c r="O1121" s="437"/>
      <c r="P1121" s="438"/>
      <c r="Q1121" s="442"/>
      <c r="R1121" s="443"/>
      <c r="S1121" s="364"/>
      <c r="Z1121" s="609" t="s">
        <v>540</v>
      </c>
      <c r="AA1121" s="609" t="s">
        <v>3137</v>
      </c>
    </row>
    <row r="1122" spans="1:29" ht="18">
      <c r="A1122" s="2714"/>
      <c r="B1122" s="371">
        <v>102</v>
      </c>
      <c r="C1122" s="371" t="s">
        <v>2791</v>
      </c>
      <c r="D1122" s="2716">
        <f t="shared" si="100"/>
        <v>1</v>
      </c>
      <c r="E1122" s="2721">
        <v>1</v>
      </c>
      <c r="F1122" s="293"/>
      <c r="G1122" s="2213" t="s">
        <v>2962</v>
      </c>
      <c r="H1122" s="309">
        <v>21700.65</v>
      </c>
      <c r="I1122" s="422">
        <v>2387.0700000000002</v>
      </c>
      <c r="J1122" s="3377">
        <f>I1122/H1122</f>
        <v>0.11</v>
      </c>
      <c r="K1122" s="439"/>
      <c r="L1122" s="437"/>
      <c r="M1122" s="438"/>
      <c r="N1122" s="439"/>
      <c r="O1122" s="437"/>
      <c r="P1122" s="438"/>
      <c r="Q1122" s="442"/>
      <c r="R1122" s="443"/>
      <c r="S1122" s="364"/>
      <c r="Z1122" s="609" t="s">
        <v>540</v>
      </c>
      <c r="AA1122" s="609" t="s">
        <v>3137</v>
      </c>
    </row>
    <row r="1123" spans="1:29" ht="18">
      <c r="A1123" s="2714"/>
      <c r="B1123" s="371">
        <v>103</v>
      </c>
      <c r="C1123" s="371" t="s">
        <v>2791</v>
      </c>
      <c r="D1123" s="2716">
        <f t="shared" si="100"/>
        <v>1</v>
      </c>
      <c r="E1123" s="2721">
        <v>1</v>
      </c>
      <c r="F1123" s="293"/>
      <c r="G1123" s="2213" t="s">
        <v>2963</v>
      </c>
      <c r="H1123" s="309"/>
      <c r="I1123" s="422"/>
      <c r="J1123" s="388"/>
      <c r="K1123" s="439"/>
      <c r="L1123" s="437"/>
      <c r="M1123" s="438"/>
      <c r="N1123" s="439"/>
      <c r="O1123" s="437"/>
      <c r="P1123" s="438"/>
      <c r="Q1123" s="442"/>
      <c r="R1123" s="443"/>
      <c r="S1123" s="364"/>
      <c r="Z1123" s="609" t="s">
        <v>540</v>
      </c>
      <c r="AA1123" s="609" t="s">
        <v>3137</v>
      </c>
    </row>
    <row r="1124" spans="1:29" ht="18">
      <c r="A1124" s="2714"/>
      <c r="B1124" s="371">
        <v>104</v>
      </c>
      <c r="C1124" s="371" t="s">
        <v>2791</v>
      </c>
      <c r="D1124" s="2716">
        <f t="shared" si="100"/>
        <v>1</v>
      </c>
      <c r="E1124" s="2721">
        <v>1</v>
      </c>
      <c r="F1124" s="293"/>
      <c r="G1124" s="2213" t="s">
        <v>2964</v>
      </c>
      <c r="H1124" s="309"/>
      <c r="I1124" s="422"/>
      <c r="J1124" s="388"/>
      <c r="K1124" s="439"/>
      <c r="L1124" s="437"/>
      <c r="M1124" s="438"/>
      <c r="N1124" s="439"/>
      <c r="O1124" s="437"/>
      <c r="P1124" s="438"/>
      <c r="Q1124" s="442"/>
      <c r="R1124" s="443"/>
      <c r="S1124" s="364"/>
      <c r="Z1124" s="609" t="s">
        <v>540</v>
      </c>
      <c r="AA1124" s="609" t="s">
        <v>3137</v>
      </c>
    </row>
    <row r="1125" spans="1:29" ht="18">
      <c r="A1125" s="2714"/>
      <c r="B1125" s="371">
        <v>105</v>
      </c>
      <c r="C1125" s="371" t="s">
        <v>2791</v>
      </c>
      <c r="D1125" s="2716">
        <f t="shared" si="100"/>
        <v>1</v>
      </c>
      <c r="E1125" s="2721">
        <v>1</v>
      </c>
      <c r="F1125" s="293"/>
      <c r="G1125" s="2213" t="s">
        <v>2965</v>
      </c>
      <c r="H1125" s="309"/>
      <c r="I1125" s="422"/>
      <c r="J1125" s="388"/>
      <c r="K1125" s="439"/>
      <c r="L1125" s="437"/>
      <c r="M1125" s="438"/>
      <c r="N1125" s="439"/>
      <c r="O1125" s="437"/>
      <c r="P1125" s="438"/>
      <c r="Q1125" s="442"/>
      <c r="R1125" s="443"/>
      <c r="S1125" s="364"/>
      <c r="Z1125" s="609" t="s">
        <v>540</v>
      </c>
      <c r="AA1125" s="609" t="s">
        <v>3137</v>
      </c>
    </row>
    <row r="1126" spans="1:29" ht="18">
      <c r="A1126" s="2714"/>
      <c r="B1126" s="371">
        <v>106</v>
      </c>
      <c r="C1126" s="371" t="s">
        <v>2791</v>
      </c>
      <c r="D1126" s="2716">
        <f t="shared" si="100"/>
        <v>1</v>
      </c>
      <c r="E1126" s="2721">
        <v>1</v>
      </c>
      <c r="F1126" s="293"/>
      <c r="G1126" s="2213" t="s">
        <v>2944</v>
      </c>
      <c r="H1126" s="309"/>
      <c r="I1126" s="422"/>
      <c r="J1126" s="388"/>
      <c r="K1126" s="439"/>
      <c r="L1126" s="437"/>
      <c r="M1126" s="438"/>
      <c r="N1126" s="439"/>
      <c r="O1126" s="437"/>
      <c r="P1126" s="438"/>
      <c r="Q1126" s="442"/>
      <c r="R1126" s="443"/>
      <c r="S1126" s="364"/>
      <c r="Z1126" s="609" t="s">
        <v>540</v>
      </c>
      <c r="AA1126" s="609" t="s">
        <v>3137</v>
      </c>
    </row>
    <row r="1127" spans="1:29" ht="18">
      <c r="A1127" s="2714"/>
      <c r="B1127" s="371">
        <v>107</v>
      </c>
      <c r="C1127" s="371" t="s">
        <v>2791</v>
      </c>
      <c r="D1127" s="2716">
        <f t="shared" si="100"/>
        <v>0</v>
      </c>
      <c r="E1127" s="2721">
        <v>1</v>
      </c>
      <c r="F1127" s="293"/>
      <c r="G1127" s="2213" t="s">
        <v>2792</v>
      </c>
      <c r="H1127" s="309"/>
      <c r="I1127" s="422"/>
      <c r="J1127" s="388"/>
      <c r="K1127" s="439"/>
      <c r="L1127" s="437"/>
      <c r="M1127" s="438"/>
      <c r="N1127" s="439"/>
      <c r="O1127" s="437"/>
      <c r="P1127" s="438"/>
      <c r="Q1127" s="442"/>
      <c r="R1127" s="443"/>
      <c r="S1127" s="364"/>
      <c r="Z1127" s="609" t="s">
        <v>540</v>
      </c>
      <c r="AA1127" s="609" t="s">
        <v>3137</v>
      </c>
    </row>
    <row r="1128" spans="1:29" ht="18">
      <c r="A1128" s="2714"/>
      <c r="B1128" s="371">
        <v>108</v>
      </c>
      <c r="C1128" s="371" t="s">
        <v>6532</v>
      </c>
      <c r="D1128" s="2716">
        <f t="shared" si="100"/>
        <v>0</v>
      </c>
      <c r="E1128" s="2721">
        <v>1</v>
      </c>
      <c r="F1128" s="293"/>
      <c r="G1128" s="2213" t="s">
        <v>2792</v>
      </c>
      <c r="H1128" s="309"/>
      <c r="I1128" s="422"/>
      <c r="J1128" s="388"/>
      <c r="K1128" s="439"/>
      <c r="L1128" s="437"/>
      <c r="M1128" s="438"/>
      <c r="N1128" s="439"/>
      <c r="O1128" s="437"/>
      <c r="P1128" s="438"/>
      <c r="Q1128" s="442"/>
      <c r="R1128" s="443"/>
      <c r="S1128" s="364"/>
      <c r="Z1128" s="609" t="s">
        <v>540</v>
      </c>
      <c r="AA1128" s="609" t="s">
        <v>3137</v>
      </c>
    </row>
    <row r="1129" spans="1:29" ht="18.75" thickBot="1">
      <c r="A1129" s="2714"/>
      <c r="B1129" s="371"/>
      <c r="C1129" s="371"/>
      <c r="D1129" s="2716">
        <f t="shared" si="100"/>
        <v>1</v>
      </c>
      <c r="E1129" s="2721" t="s">
        <v>2751</v>
      </c>
      <c r="F1129" s="293"/>
      <c r="G1129" s="1529" t="s">
        <v>5947</v>
      </c>
      <c r="H1129" s="1527">
        <f>SUMPRODUCT($E1120:$E1128,H1120:H1128)</f>
        <v>27548.19</v>
      </c>
      <c r="I1129" s="1527">
        <f>SUMPRODUCT($E1120:$E1128,I1120:I1128)</f>
        <v>2737.92</v>
      </c>
      <c r="J1129" s="2214"/>
      <c r="K1129" s="439"/>
      <c r="L1129" s="437"/>
      <c r="M1129" s="440"/>
      <c r="N1129" s="439"/>
      <c r="O1129" s="437"/>
      <c r="P1129" s="440"/>
      <c r="Q1129" s="442"/>
      <c r="R1129" s="443"/>
      <c r="S1129" s="364"/>
      <c r="Z1129" s="609" t="s">
        <v>540</v>
      </c>
      <c r="AA1129" s="609" t="s">
        <v>3137</v>
      </c>
    </row>
    <row r="1130" spans="1:29" ht="18">
      <c r="A1130" s="2714"/>
      <c r="B1130" s="371"/>
      <c r="C1130" s="371" t="s">
        <v>2755</v>
      </c>
      <c r="D1130" s="2716"/>
      <c r="F1130" s="293"/>
      <c r="G1130" s="376"/>
      <c r="H1130" s="315"/>
      <c r="I1130" s="396"/>
      <c r="J1130" s="393"/>
      <c r="K1130" s="426"/>
      <c r="L1130" s="427"/>
      <c r="M1130" s="425"/>
      <c r="N1130" s="426"/>
      <c r="O1130" s="427"/>
      <c r="P1130" s="425"/>
      <c r="Q1130" s="442"/>
      <c r="R1130" s="443"/>
      <c r="S1130" s="364"/>
      <c r="Z1130" s="609" t="s">
        <v>540</v>
      </c>
      <c r="AA1130" s="609" t="s">
        <v>3137</v>
      </c>
    </row>
    <row r="1131" spans="1:29" ht="36">
      <c r="A1131" s="2714">
        <v>122102</v>
      </c>
      <c r="B1131" s="371" t="s">
        <v>6542</v>
      </c>
      <c r="C1131" s="371"/>
      <c r="D1131" s="2716" t="str">
        <f>VLOOKUP($A1131,Sheet_NoteList,2,0)</f>
        <v>期末处于第二阶段的其他应收款坏账准备（三阶段模型）</v>
      </c>
      <c r="E1131" s="2716" t="s">
        <v>6531</v>
      </c>
      <c r="F1131" s="293"/>
      <c r="G1131" s="372" t="str">
        <f>"("&amp;B1131&amp;")"&amp;D1131</f>
        <v>(3A2)期末处于第二阶段的其他应收款坏账准备（三阶段模型）</v>
      </c>
      <c r="H1131" s="2315">
        <f>$A1131</f>
        <v>122102</v>
      </c>
      <c r="I1131" s="343" t="s">
        <v>5138</v>
      </c>
      <c r="J1131" s="301" t="s">
        <v>5361</v>
      </c>
      <c r="K1131" s="2210">
        <f>H1143</f>
        <v>0</v>
      </c>
      <c r="L1131" s="349"/>
      <c r="M1131" s="301" t="s">
        <v>5140</v>
      </c>
      <c r="N1131" s="2210">
        <f>I1143</f>
        <v>0</v>
      </c>
      <c r="O1131" s="349"/>
      <c r="P1131" s="301"/>
      <c r="S1131" s="364"/>
      <c r="Z1131" s="609" t="s">
        <v>540</v>
      </c>
      <c r="AA1131" s="609" t="s">
        <v>3137</v>
      </c>
    </row>
    <row r="1132" spans="1:29" ht="0.75" customHeight="1" thickBot="1">
      <c r="A1132" s="2714"/>
      <c r="B1132" s="371"/>
      <c r="C1132" s="371"/>
      <c r="D1132" s="2716"/>
      <c r="E1132" s="586"/>
      <c r="F1132" s="586"/>
      <c r="G1132" s="2224" t="s">
        <v>5931</v>
      </c>
      <c r="H1132" s="371" t="s">
        <v>5388</v>
      </c>
      <c r="I1132" s="371" t="s">
        <v>5391</v>
      </c>
      <c r="J1132" s="371" t="s">
        <v>5926</v>
      </c>
      <c r="K1132" s="547" t="s">
        <v>5932</v>
      </c>
      <c r="L1132" s="547" t="s">
        <v>5933</v>
      </c>
      <c r="M1132" s="301"/>
      <c r="N1132" s="391"/>
      <c r="O1132" s="349"/>
      <c r="P1132" s="301"/>
      <c r="S1132" s="364"/>
      <c r="Z1132" s="609" t="s">
        <v>540</v>
      </c>
      <c r="AA1132" s="609" t="s">
        <v>3137</v>
      </c>
    </row>
    <row r="1133" spans="1:29" ht="36">
      <c r="A1133" s="2714"/>
      <c r="B1133" s="371"/>
      <c r="C1133" s="371"/>
      <c r="D1133" s="2716"/>
      <c r="E1133" s="586" t="s">
        <v>2749</v>
      </c>
      <c r="F1133" s="414"/>
      <c r="G1133" s="2289" t="s">
        <v>5135</v>
      </c>
      <c r="H1133" s="2291" t="s">
        <v>2861</v>
      </c>
      <c r="I1133" s="2291" t="s">
        <v>6002</v>
      </c>
      <c r="J1133" s="2291" t="s">
        <v>2862</v>
      </c>
      <c r="K1133" s="2311" t="s">
        <v>2863</v>
      </c>
      <c r="L1133" s="2312" t="s">
        <v>3147</v>
      </c>
      <c r="M1133" s="355" t="s">
        <v>5273</v>
      </c>
      <c r="N1133" s="391"/>
      <c r="O1133" s="349"/>
      <c r="P1133" s="301"/>
      <c r="S1133" s="364"/>
      <c r="Z1133" s="609" t="s">
        <v>540</v>
      </c>
      <c r="AA1133" s="609" t="s">
        <v>3137</v>
      </c>
    </row>
    <row r="1134" spans="1:29" ht="18">
      <c r="A1134" s="2714"/>
      <c r="B1134" s="371">
        <v>101</v>
      </c>
      <c r="C1134" s="371"/>
      <c r="D1134" s="2716">
        <f t="shared" ref="D1134:D1143" si="101">IF(OR(G1134="*",G1134="",G1134=0),0,COUNTIF($G$1134:$G$1143,G1134))</f>
        <v>1</v>
      </c>
      <c r="E1134" s="2721">
        <v>1</v>
      </c>
      <c r="F1134" s="293"/>
      <c r="G1134" s="1474" t="s">
        <v>2890</v>
      </c>
      <c r="H1134" s="2275">
        <f>SUM(H1135:H1137)</f>
        <v>0</v>
      </c>
      <c r="I1134" s="2298"/>
      <c r="J1134" s="2275">
        <f>SUM(J1135:J1137)</f>
        <v>0</v>
      </c>
      <c r="K1134" s="1476">
        <f t="shared" ref="K1134:K1142" si="102">H1134-J1134</f>
        <v>0</v>
      </c>
      <c r="L1134" s="2276"/>
      <c r="M1134" s="1595" t="str">
        <f ca="1">HYPERLINK("#'"&amp;$G$1&amp;"'!"&amp;ADDRESS(ROW(Notes!H1161),COLUMN(Notes!H1161),4),"* 请勿删除此行！点击往勾稽单元格，F5+Enter返回")</f>
        <v>* 请勿删除此行！点击往勾稽单元格，F5+Enter返回</v>
      </c>
      <c r="N1134" s="391"/>
      <c r="O1134" s="349"/>
      <c r="P1134" s="301"/>
      <c r="S1134" s="364"/>
      <c r="Z1134" s="609" t="s">
        <v>540</v>
      </c>
      <c r="AA1134" s="609" t="s">
        <v>3137</v>
      </c>
      <c r="AC1134" s="369" t="s">
        <v>6573</v>
      </c>
    </row>
    <row r="1135" spans="1:29" ht="18">
      <c r="A1135" s="2714"/>
      <c r="B1135" s="371">
        <v>102</v>
      </c>
      <c r="C1135" s="371" t="s">
        <v>2791</v>
      </c>
      <c r="D1135" s="2716">
        <f t="shared" si="101"/>
        <v>0</v>
      </c>
      <c r="E1135" s="2721">
        <v>0</v>
      </c>
      <c r="F1135" s="293"/>
      <c r="G1135" s="2284" t="s">
        <v>2792</v>
      </c>
      <c r="H1135" s="2275"/>
      <c r="I1135" s="2298"/>
      <c r="J1135" s="2275"/>
      <c r="K1135" s="1476">
        <f t="shared" si="102"/>
        <v>0</v>
      </c>
      <c r="L1135" s="2276"/>
      <c r="M1135" s="355" t="s">
        <v>6136</v>
      </c>
      <c r="N1135" s="391"/>
      <c r="O1135" s="349"/>
      <c r="P1135" s="301"/>
      <c r="S1135" s="364"/>
      <c r="Z1135" s="609" t="s">
        <v>540</v>
      </c>
      <c r="AA1135" s="609" t="s">
        <v>3137</v>
      </c>
    </row>
    <row r="1136" spans="1:29" ht="18">
      <c r="A1136" s="2714"/>
      <c r="B1136" s="371">
        <v>103</v>
      </c>
      <c r="C1136" s="371" t="s">
        <v>2791</v>
      </c>
      <c r="D1136" s="2716">
        <f t="shared" si="101"/>
        <v>0</v>
      </c>
      <c r="E1136" s="2721">
        <v>0</v>
      </c>
      <c r="F1136" s="293"/>
      <c r="G1136" s="2284" t="s">
        <v>2792</v>
      </c>
      <c r="H1136" s="2275"/>
      <c r="I1136" s="2298"/>
      <c r="J1136" s="2275"/>
      <c r="K1136" s="1476">
        <f t="shared" si="102"/>
        <v>0</v>
      </c>
      <c r="L1136" s="2276"/>
      <c r="M1136" s="301"/>
      <c r="N1136" s="391"/>
      <c r="O1136" s="349"/>
      <c r="P1136" s="301"/>
      <c r="S1136" s="364"/>
      <c r="Z1136" s="609" t="s">
        <v>540</v>
      </c>
      <c r="AA1136" s="609" t="s">
        <v>3137</v>
      </c>
    </row>
    <row r="1137" spans="1:29" ht="18">
      <c r="A1137" s="2714"/>
      <c r="B1137" s="371">
        <v>104</v>
      </c>
      <c r="C1137" s="371" t="s">
        <v>2791</v>
      </c>
      <c r="D1137" s="2716">
        <f t="shared" si="101"/>
        <v>0</v>
      </c>
      <c r="E1137" s="2721">
        <v>0</v>
      </c>
      <c r="F1137" s="293"/>
      <c r="G1137" s="2284" t="s">
        <v>2792</v>
      </c>
      <c r="H1137" s="2275"/>
      <c r="I1137" s="2298"/>
      <c r="J1137" s="2275"/>
      <c r="K1137" s="1476">
        <f t="shared" si="102"/>
        <v>0</v>
      </c>
      <c r="L1137" s="2276"/>
      <c r="M1137" s="301"/>
      <c r="N1137" s="391"/>
      <c r="O1137" s="349"/>
      <c r="P1137" s="301"/>
      <c r="S1137" s="364"/>
      <c r="Z1137" s="609" t="s">
        <v>540</v>
      </c>
      <c r="AA1137" s="609" t="s">
        <v>3137</v>
      </c>
    </row>
    <row r="1138" spans="1:29" ht="18">
      <c r="A1138" s="2714"/>
      <c r="B1138" s="371">
        <v>105</v>
      </c>
      <c r="C1138" s="371"/>
      <c r="D1138" s="2716">
        <f t="shared" si="101"/>
        <v>1</v>
      </c>
      <c r="E1138" s="2721">
        <v>1</v>
      </c>
      <c r="F1138" s="293"/>
      <c r="G1138" s="1474" t="s">
        <v>2892</v>
      </c>
      <c r="H1138" s="2275">
        <f>SUM(H1139:H1141)</f>
        <v>0</v>
      </c>
      <c r="I1138" s="2298"/>
      <c r="J1138" s="2275">
        <f>SUM(J1139:J1141)</f>
        <v>0</v>
      </c>
      <c r="K1138" s="1476">
        <f t="shared" si="102"/>
        <v>0</v>
      </c>
      <c r="L1138" s="2276"/>
      <c r="M1138" s="301"/>
      <c r="N1138" s="391"/>
      <c r="O1138" s="349"/>
      <c r="P1138" s="301"/>
      <c r="S1138" s="364"/>
      <c r="Z1138" s="609" t="s">
        <v>540</v>
      </c>
      <c r="AA1138" s="609" t="s">
        <v>3137</v>
      </c>
    </row>
    <row r="1139" spans="1:29" ht="18">
      <c r="A1139" s="2714"/>
      <c r="B1139" s="371">
        <v>106</v>
      </c>
      <c r="C1139" s="371" t="s">
        <v>2791</v>
      </c>
      <c r="D1139" s="2716">
        <f t="shared" si="101"/>
        <v>1</v>
      </c>
      <c r="E1139" s="2721">
        <v>0</v>
      </c>
      <c r="F1139" s="293"/>
      <c r="G1139" s="2284" t="s">
        <v>5945</v>
      </c>
      <c r="H1139" s="2275"/>
      <c r="I1139" s="2298"/>
      <c r="J1139" s="2275"/>
      <c r="K1139" s="1476">
        <f t="shared" si="102"/>
        <v>0</v>
      </c>
      <c r="L1139" s="2276"/>
      <c r="M1139" s="1595" t="str">
        <f ca="1">HYPERLINK("#'"&amp;$G$1&amp;"'!"&amp;ADDRESS(ROW(Notes!H1183),COLUMN(Notes!H1183),4),"* 请勿删除此行！点击往勾稽单元格，F5+Enter返回")</f>
        <v>* 请勿删除此行！点击往勾稽单元格，F5+Enter返回</v>
      </c>
      <c r="N1139" s="391"/>
      <c r="O1139" s="349"/>
      <c r="P1139" s="301"/>
      <c r="S1139" s="364"/>
      <c r="Z1139" s="609" t="s">
        <v>540</v>
      </c>
      <c r="AA1139" s="609" t="s">
        <v>3137</v>
      </c>
      <c r="AC1139" s="369" t="s">
        <v>6573</v>
      </c>
    </row>
    <row r="1140" spans="1:29" ht="18">
      <c r="A1140" s="2714"/>
      <c r="B1140" s="371">
        <v>107</v>
      </c>
      <c r="C1140" s="371" t="s">
        <v>2791</v>
      </c>
      <c r="D1140" s="2716">
        <f t="shared" si="101"/>
        <v>1</v>
      </c>
      <c r="E1140" s="2721">
        <v>0</v>
      </c>
      <c r="F1140" s="293"/>
      <c r="G1140" s="2284" t="s">
        <v>2894</v>
      </c>
      <c r="H1140" s="2275"/>
      <c r="I1140" s="2298"/>
      <c r="J1140" s="2275"/>
      <c r="K1140" s="1476">
        <f t="shared" si="102"/>
        <v>0</v>
      </c>
      <c r="L1140" s="2276"/>
      <c r="M1140" s="301"/>
      <c r="N1140" s="391"/>
      <c r="O1140" s="349"/>
      <c r="P1140" s="301"/>
      <c r="S1140" s="364"/>
      <c r="Z1140" s="609" t="s">
        <v>540</v>
      </c>
      <c r="AA1140" s="609" t="s">
        <v>3137</v>
      </c>
    </row>
    <row r="1141" spans="1:29" ht="18">
      <c r="A1141" s="2714"/>
      <c r="B1141" s="371">
        <v>108</v>
      </c>
      <c r="C1141" s="371" t="s">
        <v>6532</v>
      </c>
      <c r="D1141" s="2716">
        <f t="shared" si="101"/>
        <v>1</v>
      </c>
      <c r="E1141" s="2721">
        <v>0</v>
      </c>
      <c r="F1141" s="293"/>
      <c r="G1141" s="2284" t="s">
        <v>5946</v>
      </c>
      <c r="H1141" s="2275"/>
      <c r="I1141" s="2298"/>
      <c r="J1141" s="2275"/>
      <c r="K1141" s="1476">
        <f t="shared" ref="K1141" si="103">H1141-J1141</f>
        <v>0</v>
      </c>
      <c r="L1141" s="2276"/>
      <c r="M1141" s="301"/>
      <c r="N1141" s="391"/>
      <c r="O1141" s="349"/>
      <c r="P1141" s="301"/>
      <c r="S1141" s="364"/>
      <c r="Z1141" s="609" t="s">
        <v>540</v>
      </c>
      <c r="AA1141" s="609" t="s">
        <v>3137</v>
      </c>
    </row>
    <row r="1142" spans="1:29" ht="18">
      <c r="A1142" s="2714"/>
      <c r="B1142" s="371">
        <v>109</v>
      </c>
      <c r="C1142" s="371" t="s">
        <v>2791</v>
      </c>
      <c r="D1142" s="2716">
        <f t="shared" si="101"/>
        <v>0</v>
      </c>
      <c r="E1142" s="2721">
        <v>0</v>
      </c>
      <c r="F1142" s="293"/>
      <c r="G1142" s="2284" t="s">
        <v>2792</v>
      </c>
      <c r="H1142" s="2275"/>
      <c r="I1142" s="2298"/>
      <c r="J1142" s="2275"/>
      <c r="K1142" s="1476">
        <f t="shared" si="102"/>
        <v>0</v>
      </c>
      <c r="L1142" s="2276"/>
      <c r="M1142" s="301"/>
      <c r="N1142" s="391"/>
      <c r="O1142" s="349"/>
      <c r="P1142" s="301"/>
      <c r="S1142" s="364"/>
      <c r="Z1142" s="609" t="s">
        <v>540</v>
      </c>
      <c r="AA1142" s="609" t="s">
        <v>3137</v>
      </c>
    </row>
    <row r="1143" spans="1:29" ht="18.75" thickBot="1">
      <c r="A1143" s="2714"/>
      <c r="B1143" s="371"/>
      <c r="C1143" s="371"/>
      <c r="D1143" s="2716">
        <f t="shared" si="101"/>
        <v>1</v>
      </c>
      <c r="E1143" s="2721" t="s">
        <v>2751</v>
      </c>
      <c r="F1143" s="293"/>
      <c r="G1143" s="2234" t="s">
        <v>2752</v>
      </c>
      <c r="H1143" s="2235">
        <f>SUMPRODUCT($E1133:$E1142,H1133:H1142)</f>
        <v>0</v>
      </c>
      <c r="I1143" s="2242"/>
      <c r="J1143" s="2235">
        <f>SUMPRODUCT($E1133:$E1142,J1133:J1142)</f>
        <v>0</v>
      </c>
      <c r="K1143" s="2235">
        <f>SUMPRODUCT($E1133:$E1142,K1133:K1142)</f>
        <v>0</v>
      </c>
      <c r="L1143" s="2244"/>
      <c r="M1143" s="1595" t="str">
        <f ca="1">HYPERLINK("#'"&amp;$G$1&amp;"'!"&amp;ADDRESS(ROW(Notes!L1031),COLUMN(Notes!L1031),4),"* 请勿删除此行！点击往勾稽单元格，F5+Enter返回")</f>
        <v>* 请勿删除此行！点击往勾稽单元格，F5+Enter返回</v>
      </c>
      <c r="N1143" s="391"/>
      <c r="O1143" s="349"/>
      <c r="P1143" s="301"/>
      <c r="S1143" s="364"/>
      <c r="Z1143" s="609" t="s">
        <v>540</v>
      </c>
      <c r="AA1143" s="609" t="s">
        <v>3137</v>
      </c>
      <c r="AC1143" s="369" t="s">
        <v>6573</v>
      </c>
    </row>
    <row r="1144" spans="1:29" ht="18">
      <c r="A1144" s="2714"/>
      <c r="B1144" s="371"/>
      <c r="C1144" s="371" t="s">
        <v>2755</v>
      </c>
      <c r="D1144" s="2716"/>
      <c r="F1144" s="293"/>
      <c r="G1144" s="376"/>
      <c r="H1144" s="1576"/>
      <c r="I1144" s="432"/>
      <c r="J1144" s="315"/>
      <c r="K1144" s="423"/>
      <c r="L1144" s="393"/>
      <c r="M1144" s="301"/>
      <c r="N1144" s="391"/>
      <c r="O1144" s="349"/>
      <c r="P1144" s="301"/>
      <c r="S1144" s="364"/>
      <c r="Z1144" s="609" t="s">
        <v>540</v>
      </c>
      <c r="AA1144" s="609" t="s">
        <v>3137</v>
      </c>
    </row>
    <row r="1145" spans="1:29" ht="36">
      <c r="A1145" s="2714">
        <v>122121</v>
      </c>
      <c r="B1145" s="371" t="s">
        <v>6543</v>
      </c>
      <c r="C1145" s="371"/>
      <c r="D1145" s="2716" t="str">
        <f>VLOOKUP($A1145,Sheet_NoteList,2,0)</f>
        <v>期末按单项计提坏账准备的其他应收款（第二阶段）</v>
      </c>
      <c r="E1145" s="2716" t="s">
        <v>6531</v>
      </c>
      <c r="F1145" s="293"/>
      <c r="G1145" s="372" t="str">
        <f>"("&amp;B1145&amp;")"&amp;D1145</f>
        <v>(3A2.1)期末按单项计提坏账准备的其他应收款（第二阶段）</v>
      </c>
      <c r="H1145" s="2315">
        <f>$A1145</f>
        <v>122121</v>
      </c>
      <c r="I1145" s="343" t="s">
        <v>5934</v>
      </c>
      <c r="J1145" s="301" t="s">
        <v>5935</v>
      </c>
      <c r="K1145" s="2210">
        <f>H1158</f>
        <v>0</v>
      </c>
      <c r="L1145" s="349"/>
      <c r="M1145" s="301"/>
      <c r="N1145" s="391"/>
      <c r="O1145" s="349"/>
      <c r="P1145" s="301"/>
      <c r="S1145" s="364"/>
      <c r="Z1145" s="609" t="s">
        <v>540</v>
      </c>
      <c r="AA1145" s="609" t="s">
        <v>3137</v>
      </c>
    </row>
    <row r="1146" spans="1:29" ht="0.75" customHeight="1">
      <c r="A1146" s="2714"/>
      <c r="B1146" s="371"/>
      <c r="C1146" s="371"/>
      <c r="D1146" s="2716"/>
      <c r="E1146" s="586"/>
      <c r="F1146" s="586"/>
      <c r="G1146" s="2224" t="s">
        <v>5937</v>
      </c>
      <c r="H1146" s="371" t="s">
        <v>5474</v>
      </c>
      <c r="I1146" s="371" t="s">
        <v>5475</v>
      </c>
      <c r="J1146" s="371" t="s">
        <v>5476</v>
      </c>
      <c r="K1146" s="371" t="s">
        <v>5477</v>
      </c>
      <c r="L1146" s="349"/>
      <c r="M1146" s="301"/>
      <c r="N1146" s="391"/>
      <c r="O1146" s="349"/>
      <c r="P1146" s="301"/>
      <c r="S1146" s="364"/>
      <c r="Z1146" s="609" t="s">
        <v>540</v>
      </c>
      <c r="AA1146" s="609" t="s">
        <v>3137</v>
      </c>
    </row>
    <row r="1147" spans="1:29" ht="0.75" customHeight="1" thickBot="1">
      <c r="A1147" s="2714"/>
      <c r="B1147" s="371"/>
      <c r="C1147" s="371"/>
      <c r="D1147" s="2716"/>
      <c r="E1147" s="586"/>
      <c r="F1147" s="586"/>
      <c r="G1147" s="2224"/>
      <c r="H1147" s="371" t="s">
        <v>5472</v>
      </c>
      <c r="I1147" s="371" t="s">
        <v>5377</v>
      </c>
      <c r="J1147" s="371" t="s">
        <v>5473</v>
      </c>
      <c r="K1147" s="371" t="s">
        <v>5387</v>
      </c>
      <c r="L1147" s="349"/>
      <c r="M1147" s="301"/>
      <c r="N1147" s="391"/>
      <c r="O1147" s="349"/>
      <c r="P1147" s="301"/>
      <c r="S1147" s="364"/>
      <c r="Z1147" s="609" t="s">
        <v>540</v>
      </c>
      <c r="AA1147" s="609" t="s">
        <v>3137</v>
      </c>
    </row>
    <row r="1148" spans="1:29" ht="18" customHeight="1">
      <c r="A1148" s="2714"/>
      <c r="B1148" s="371"/>
      <c r="C1148" s="371"/>
      <c r="D1148" s="2716"/>
      <c r="E1148" s="586" t="s">
        <v>2749</v>
      </c>
      <c r="F1148" s="414"/>
      <c r="G1148" s="3472" t="s">
        <v>5136</v>
      </c>
      <c r="H1148" s="3418" t="str">
        <f>$V$2</f>
        <v>2019年12月31日</v>
      </c>
      <c r="I1148" s="3419"/>
      <c r="J1148" s="3419"/>
      <c r="K1148" s="3419"/>
      <c r="L1148" s="355" t="s">
        <v>5273</v>
      </c>
      <c r="M1148" s="301"/>
      <c r="N1148" s="391"/>
      <c r="O1148" s="349"/>
      <c r="P1148" s="301"/>
      <c r="S1148" s="364"/>
      <c r="Z1148" s="609" t="s">
        <v>540</v>
      </c>
      <c r="AA1148" s="609" t="s">
        <v>3137</v>
      </c>
    </row>
    <row r="1149" spans="1:29" ht="18">
      <c r="A1149" s="2714"/>
      <c r="B1149" s="371"/>
      <c r="C1149" s="371"/>
      <c r="D1149" s="2716"/>
      <c r="E1149" s="586" t="s">
        <v>2749</v>
      </c>
      <c r="F1149" s="414"/>
      <c r="G1149" s="3473"/>
      <c r="H1149" s="2294" t="s">
        <v>2861</v>
      </c>
      <c r="I1149" s="2294" t="s">
        <v>2862</v>
      </c>
      <c r="J1149" s="2294" t="s">
        <v>3001</v>
      </c>
      <c r="K1149" s="2240" t="s">
        <v>2899</v>
      </c>
      <c r="L1149" s="349"/>
      <c r="M1149" s="301"/>
      <c r="N1149" s="391"/>
      <c r="O1149" s="349"/>
      <c r="P1149" s="301"/>
      <c r="S1149" s="364"/>
      <c r="Z1149" s="609" t="s">
        <v>540</v>
      </c>
      <c r="AA1149" s="609" t="s">
        <v>3137</v>
      </c>
    </row>
    <row r="1150" spans="1:29" ht="18">
      <c r="A1150" s="2714"/>
      <c r="B1150" s="371">
        <v>101</v>
      </c>
      <c r="C1150" s="371" t="s">
        <v>2791</v>
      </c>
      <c r="D1150" s="2716">
        <f t="shared" ref="D1150:D1158" si="104">IF(OR(G1150="*",G1150="",G1150=0),0,COUNTIF($G$1150:$G$1158,G1150))</f>
        <v>0</v>
      </c>
      <c r="E1150" s="2721">
        <v>1</v>
      </c>
      <c r="F1150" s="293"/>
      <c r="G1150" s="2284" t="s">
        <v>2792</v>
      </c>
      <c r="H1150" s="2275"/>
      <c r="I1150" s="2275"/>
      <c r="J1150" s="2298"/>
      <c r="K1150" s="2276"/>
      <c r="L1150" s="349"/>
      <c r="M1150" s="301"/>
      <c r="N1150" s="391"/>
      <c r="O1150" s="349"/>
      <c r="P1150" s="301"/>
      <c r="S1150" s="364"/>
      <c r="Z1150" s="609" t="s">
        <v>540</v>
      </c>
      <c r="AA1150" s="609" t="s">
        <v>3137</v>
      </c>
    </row>
    <row r="1151" spans="1:29" ht="18">
      <c r="A1151" s="2714"/>
      <c r="B1151" s="371">
        <v>102</v>
      </c>
      <c r="C1151" s="371" t="s">
        <v>2791</v>
      </c>
      <c r="D1151" s="2716">
        <f t="shared" si="104"/>
        <v>0</v>
      </c>
      <c r="E1151" s="2721">
        <v>1</v>
      </c>
      <c r="F1151" s="293"/>
      <c r="G1151" s="2284" t="s">
        <v>2792</v>
      </c>
      <c r="H1151" s="2275"/>
      <c r="I1151" s="2275"/>
      <c r="J1151" s="2298"/>
      <c r="K1151" s="2276"/>
      <c r="L1151" s="349"/>
      <c r="M1151" s="301"/>
      <c r="N1151" s="391"/>
      <c r="O1151" s="349"/>
      <c r="P1151" s="301"/>
      <c r="S1151" s="364"/>
      <c r="Z1151" s="609" t="s">
        <v>540</v>
      </c>
      <c r="AA1151" s="609" t="s">
        <v>3137</v>
      </c>
    </row>
    <row r="1152" spans="1:29" ht="18">
      <c r="A1152" s="2714"/>
      <c r="B1152" s="371">
        <v>103</v>
      </c>
      <c r="C1152" s="371" t="s">
        <v>2791</v>
      </c>
      <c r="D1152" s="2716">
        <f t="shared" si="104"/>
        <v>0</v>
      </c>
      <c r="E1152" s="2721">
        <v>1</v>
      </c>
      <c r="F1152" s="293"/>
      <c r="G1152" s="2284" t="s">
        <v>2792</v>
      </c>
      <c r="H1152" s="2275"/>
      <c r="I1152" s="2275"/>
      <c r="J1152" s="2298"/>
      <c r="K1152" s="2276"/>
      <c r="L1152" s="349"/>
      <c r="M1152" s="301"/>
      <c r="N1152" s="391"/>
      <c r="O1152" s="349"/>
      <c r="P1152" s="301"/>
      <c r="S1152" s="364"/>
      <c r="Z1152" s="609" t="s">
        <v>540</v>
      </c>
      <c r="AA1152" s="609" t="s">
        <v>3137</v>
      </c>
    </row>
    <row r="1153" spans="1:27" ht="18">
      <c r="A1153" s="2714"/>
      <c r="B1153" s="371">
        <v>104</v>
      </c>
      <c r="C1153" s="371" t="s">
        <v>2791</v>
      </c>
      <c r="D1153" s="2716">
        <f t="shared" si="104"/>
        <v>0</v>
      </c>
      <c r="E1153" s="2721">
        <v>1</v>
      </c>
      <c r="F1153" s="293"/>
      <c r="G1153" s="2284" t="s">
        <v>2792</v>
      </c>
      <c r="H1153" s="2275"/>
      <c r="I1153" s="2275"/>
      <c r="J1153" s="2298"/>
      <c r="K1153" s="2276"/>
      <c r="L1153" s="349"/>
      <c r="M1153" s="301"/>
      <c r="N1153" s="391"/>
      <c r="O1153" s="349"/>
      <c r="P1153" s="301"/>
      <c r="S1153" s="364"/>
      <c r="Z1153" s="609" t="s">
        <v>540</v>
      </c>
      <c r="AA1153" s="609" t="s">
        <v>3137</v>
      </c>
    </row>
    <row r="1154" spans="1:27" ht="18">
      <c r="A1154" s="2714"/>
      <c r="B1154" s="371">
        <v>105</v>
      </c>
      <c r="C1154" s="371" t="s">
        <v>2791</v>
      </c>
      <c r="D1154" s="2716">
        <f t="shared" si="104"/>
        <v>0</v>
      </c>
      <c r="E1154" s="2721">
        <v>1</v>
      </c>
      <c r="F1154" s="293"/>
      <c r="G1154" s="2284" t="s">
        <v>2792</v>
      </c>
      <c r="H1154" s="2275"/>
      <c r="I1154" s="2275"/>
      <c r="J1154" s="2298"/>
      <c r="K1154" s="2276"/>
      <c r="L1154" s="349"/>
      <c r="M1154" s="301"/>
      <c r="N1154" s="391"/>
      <c r="O1154" s="349"/>
      <c r="P1154" s="301"/>
      <c r="S1154" s="364"/>
      <c r="Z1154" s="609" t="s">
        <v>540</v>
      </c>
      <c r="AA1154" s="609" t="s">
        <v>3137</v>
      </c>
    </row>
    <row r="1155" spans="1:27" ht="18">
      <c r="A1155" s="2714"/>
      <c r="B1155" s="371">
        <v>106</v>
      </c>
      <c r="C1155" s="371" t="s">
        <v>2791</v>
      </c>
      <c r="D1155" s="2716">
        <f t="shared" si="104"/>
        <v>0</v>
      </c>
      <c r="E1155" s="2721">
        <v>1</v>
      </c>
      <c r="F1155" s="293"/>
      <c r="G1155" s="2284" t="s">
        <v>2792</v>
      </c>
      <c r="H1155" s="2275"/>
      <c r="I1155" s="2275"/>
      <c r="J1155" s="2298"/>
      <c r="K1155" s="2276"/>
      <c r="L1155" s="349"/>
      <c r="M1155" s="301"/>
      <c r="N1155" s="391"/>
      <c r="O1155" s="349"/>
      <c r="P1155" s="301"/>
      <c r="S1155" s="364"/>
      <c r="Z1155" s="609" t="s">
        <v>540</v>
      </c>
      <c r="AA1155" s="609" t="s">
        <v>3137</v>
      </c>
    </row>
    <row r="1156" spans="1:27" ht="18">
      <c r="A1156" s="2714"/>
      <c r="B1156" s="371">
        <v>107</v>
      </c>
      <c r="C1156" s="371" t="s">
        <v>2791</v>
      </c>
      <c r="D1156" s="2716">
        <f t="shared" si="104"/>
        <v>0</v>
      </c>
      <c r="E1156" s="2721">
        <v>1</v>
      </c>
      <c r="F1156" s="293"/>
      <c r="G1156" s="2284" t="s">
        <v>2792</v>
      </c>
      <c r="H1156" s="2275"/>
      <c r="I1156" s="2275"/>
      <c r="J1156" s="2298"/>
      <c r="K1156" s="2276"/>
      <c r="L1156" s="349"/>
      <c r="M1156" s="301"/>
      <c r="N1156" s="391"/>
      <c r="O1156" s="349"/>
      <c r="P1156" s="301"/>
      <c r="S1156" s="364"/>
      <c r="Z1156" s="609" t="s">
        <v>540</v>
      </c>
      <c r="AA1156" s="609" t="s">
        <v>3137</v>
      </c>
    </row>
    <row r="1157" spans="1:27" ht="18">
      <c r="A1157" s="2714"/>
      <c r="B1157" s="371">
        <v>108</v>
      </c>
      <c r="C1157" s="371" t="s">
        <v>2791</v>
      </c>
      <c r="D1157" s="2716">
        <f t="shared" si="104"/>
        <v>0</v>
      </c>
      <c r="E1157" s="2721">
        <v>1</v>
      </c>
      <c r="F1157" s="293"/>
      <c r="G1157" s="2284" t="s">
        <v>2792</v>
      </c>
      <c r="H1157" s="2275"/>
      <c r="I1157" s="2275"/>
      <c r="J1157" s="2298"/>
      <c r="K1157" s="2276"/>
      <c r="L1157" s="349"/>
      <c r="M1157" s="301"/>
      <c r="N1157" s="391"/>
      <c r="O1157" s="349"/>
      <c r="P1157" s="301"/>
      <c r="S1157" s="364"/>
      <c r="Z1157" s="609" t="s">
        <v>540</v>
      </c>
      <c r="AA1157" s="609" t="s">
        <v>3137</v>
      </c>
    </row>
    <row r="1158" spans="1:27" ht="18.75" thickBot="1">
      <c r="A1158" s="2714"/>
      <c r="B1158" s="371"/>
      <c r="C1158" s="371"/>
      <c r="D1158" s="2716">
        <f t="shared" si="104"/>
        <v>1</v>
      </c>
      <c r="E1158" s="2721" t="s">
        <v>2751</v>
      </c>
      <c r="F1158" s="293"/>
      <c r="G1158" s="2234" t="s">
        <v>2752</v>
      </c>
      <c r="H1158" s="2235">
        <f>SUMPRODUCT($E1149:$E1157,H1149:H1157)</f>
        <v>0</v>
      </c>
      <c r="I1158" s="2235">
        <f>SUMPRODUCT($E1149:$E1157,I1149:I1157)</f>
        <v>0</v>
      </c>
      <c r="J1158" s="2241"/>
      <c r="K1158" s="2244"/>
      <c r="L1158" s="349"/>
      <c r="M1158" s="301"/>
      <c r="N1158" s="391"/>
      <c r="O1158" s="349"/>
      <c r="P1158" s="301"/>
      <c r="S1158" s="364"/>
      <c r="Z1158" s="609" t="s">
        <v>540</v>
      </c>
      <c r="AA1158" s="609" t="s">
        <v>3137</v>
      </c>
    </row>
    <row r="1159" spans="1:27" ht="18.75" thickBot="1">
      <c r="A1159" s="2714"/>
      <c r="B1159" s="371"/>
      <c r="C1159" s="371" t="s">
        <v>2755</v>
      </c>
      <c r="D1159" s="2716"/>
      <c r="F1159" s="293"/>
      <c r="G1159" s="376"/>
      <c r="H1159" s="2626" t="s">
        <v>3002</v>
      </c>
      <c r="I1159" s="2253" t="s">
        <v>3002</v>
      </c>
      <c r="J1159" s="393"/>
      <c r="K1159" s="392"/>
      <c r="L1159" s="349"/>
      <c r="M1159" s="301"/>
      <c r="N1159" s="391"/>
      <c r="O1159" s="349"/>
      <c r="P1159" s="301"/>
      <c r="S1159" s="364"/>
      <c r="Z1159" s="609" t="s">
        <v>540</v>
      </c>
      <c r="AA1159" s="609" t="s">
        <v>3137</v>
      </c>
    </row>
    <row r="1160" spans="1:27" ht="18.75" thickTop="1">
      <c r="A1160" s="2714"/>
      <c r="B1160" s="371"/>
      <c r="C1160" s="371" t="s">
        <v>2565</v>
      </c>
      <c r="D1160" s="2716"/>
      <c r="F1160" s="293"/>
      <c r="G1160" s="1549" t="s">
        <v>5367</v>
      </c>
      <c r="H1160" s="1550" t="str">
        <f>G1131</f>
        <v>(3A2)期末处于第二阶段的其他应收款坏账准备（三阶段模型）</v>
      </c>
      <c r="I1160" s="1552"/>
      <c r="J1160" s="1551"/>
      <c r="K1160" s="1551"/>
      <c r="L1160" s="1553" t="s">
        <v>5368</v>
      </c>
      <c r="M1160" s="301"/>
      <c r="N1160" s="391"/>
      <c r="O1160" s="349"/>
      <c r="P1160" s="301"/>
      <c r="S1160" s="364"/>
      <c r="Z1160" s="609" t="s">
        <v>540</v>
      </c>
      <c r="AA1160" s="609" t="s">
        <v>3137</v>
      </c>
    </row>
    <row r="1161" spans="1:27" ht="18">
      <c r="A1161" s="2714"/>
      <c r="B1161" s="371"/>
      <c r="C1161" s="371" t="s">
        <v>2565</v>
      </c>
      <c r="D1161" s="2716"/>
      <c r="F1161" s="293"/>
      <c r="G1161" s="604" t="str">
        <f>"注释A:"&amp; G1134</f>
        <v>注释A:按单项计提坏账准备</v>
      </c>
      <c r="H1161" s="2252">
        <f ca="1">HYPERLINK("#'"&amp;$G$1&amp;"'!"&amp;ADDRESS(ROW(Notes!H1134),COLUMN(Notes!H1134),4),H1134)</f>
        <v>0</v>
      </c>
      <c r="I1161" s="2252">
        <f ca="1">HYPERLINK("#'"&amp;$G$1&amp;"'!"&amp;ADDRESS(ROW(Notes!J1134),COLUMN(Notes!J1134),4),J1134)</f>
        <v>0</v>
      </c>
      <c r="J1161" s="351"/>
      <c r="K1161" s="351"/>
      <c r="L1161" s="2632">
        <f>H1131</f>
        <v>122102</v>
      </c>
      <c r="M1161" s="301"/>
      <c r="N1161" s="391"/>
      <c r="O1161" s="349"/>
      <c r="P1161" s="301"/>
      <c r="S1161" s="364"/>
      <c r="Z1161" s="609" t="s">
        <v>540</v>
      </c>
      <c r="AA1161" s="609" t="s">
        <v>3137</v>
      </c>
    </row>
    <row r="1162" spans="1:27" ht="18">
      <c r="A1162" s="2714"/>
      <c r="B1162" s="371"/>
      <c r="C1162" s="371" t="s">
        <v>2565</v>
      </c>
      <c r="D1162" s="2716"/>
      <c r="F1162" s="293"/>
      <c r="G1162" s="604" t="str">
        <f>"本注释B:"&amp; G1158</f>
        <v>本注释B:合       计</v>
      </c>
      <c r="H1162" s="456">
        <f>H1158</f>
        <v>0</v>
      </c>
      <c r="I1162" s="456">
        <f>I1158</f>
        <v>0</v>
      </c>
      <c r="J1162" s="351"/>
      <c r="K1162" s="351"/>
      <c r="L1162" s="2637">
        <v>122121</v>
      </c>
      <c r="M1162" s="301"/>
      <c r="N1162" s="391"/>
      <c r="O1162" s="349"/>
      <c r="P1162" s="301"/>
      <c r="S1162" s="364"/>
      <c r="Z1162" s="609" t="s">
        <v>540</v>
      </c>
      <c r="AA1162" s="609" t="s">
        <v>3137</v>
      </c>
    </row>
    <row r="1163" spans="1:27" ht="18.75" thickBot="1">
      <c r="A1163" s="2714"/>
      <c r="B1163" s="371"/>
      <c r="C1163" s="371" t="s">
        <v>2565</v>
      </c>
      <c r="D1163" s="2716"/>
      <c r="F1163" s="293"/>
      <c r="G1163" s="1554" t="s">
        <v>2757</v>
      </c>
      <c r="H1163" s="1531">
        <f ca="1">IF(AND(H1161="",H1162=""),"",ROUND(H1161-H1162,2))</f>
        <v>0</v>
      </c>
      <c r="I1163" s="1531">
        <f ca="1">IF(AND(I1161="",I1162=""),"",ROUND(I1161-I1162,2))</f>
        <v>0</v>
      </c>
      <c r="J1163" s="1555"/>
      <c r="K1163" s="1555"/>
      <c r="L1163" s="1555"/>
      <c r="M1163" s="301"/>
      <c r="N1163" s="391"/>
      <c r="O1163" s="349"/>
      <c r="P1163" s="301"/>
      <c r="S1163" s="364"/>
      <c r="Z1163" s="609" t="s">
        <v>540</v>
      </c>
      <c r="AA1163" s="609" t="s">
        <v>3137</v>
      </c>
    </row>
    <row r="1164" spans="1:27" ht="18.75" thickTop="1">
      <c r="A1164" s="2714"/>
      <c r="B1164" s="371"/>
      <c r="C1164" s="371" t="s">
        <v>2565</v>
      </c>
      <c r="D1164" s="2716"/>
      <c r="F1164" s="293"/>
      <c r="G1164" s="1545"/>
      <c r="H1164" s="459" t="str">
        <f ca="1">IF(OR(H1163=0,H1163=""),"√","？")</f>
        <v>√</v>
      </c>
      <c r="I1164" s="459" t="str">
        <f ca="1">IF(OR(I1163=0,I1163=""),"√","？")</f>
        <v>√</v>
      </c>
      <c r="J1164" s="317"/>
      <c r="K1164" s="317"/>
      <c r="L1164" s="317"/>
      <c r="M1164" s="301"/>
      <c r="N1164" s="391"/>
      <c r="O1164" s="349"/>
      <c r="P1164" s="301"/>
      <c r="S1164" s="364"/>
      <c r="Z1164" s="609" t="s">
        <v>540</v>
      </c>
      <c r="AA1164" s="609" t="s">
        <v>3137</v>
      </c>
    </row>
    <row r="1165" spans="1:27" ht="18">
      <c r="A1165" s="2714"/>
      <c r="B1165" s="371"/>
      <c r="C1165" s="371" t="s">
        <v>2565</v>
      </c>
      <c r="D1165" s="2716"/>
      <c r="F1165" s="293"/>
      <c r="G1165" s="1559" t="s">
        <v>2759</v>
      </c>
      <c r="H1165" s="461"/>
      <c r="I1165" s="461"/>
      <c r="J1165" s="317"/>
      <c r="K1165" s="352">
        <f ca="1">SUMIF($H$1164:$L$1164,"&lt;&gt;√",$H$1163:$L$1163)</f>
        <v>0</v>
      </c>
      <c r="L1165" s="353" t="str">
        <f ca="1">IF(OR(K1165=0,K1165=""),"√","？")</f>
        <v>√</v>
      </c>
      <c r="M1165" s="301"/>
      <c r="N1165" s="391"/>
      <c r="O1165" s="349"/>
      <c r="P1165" s="301"/>
      <c r="S1165" s="364"/>
      <c r="Z1165" s="609" t="s">
        <v>540</v>
      </c>
      <c r="AA1165" s="609" t="s">
        <v>3137</v>
      </c>
    </row>
    <row r="1166" spans="1:27" ht="18">
      <c r="A1166" s="2714"/>
      <c r="B1166" s="371"/>
      <c r="C1166" s="371" t="s">
        <v>2565</v>
      </c>
      <c r="D1166" s="2716"/>
      <c r="F1166" s="293"/>
      <c r="G1166" s="1545"/>
      <c r="H1166" s="461"/>
      <c r="I1166" s="461"/>
      <c r="J1166" s="317"/>
      <c r="K1166" s="317"/>
      <c r="L1166" s="317"/>
      <c r="M1166" s="301"/>
      <c r="N1166" s="391"/>
      <c r="O1166" s="349"/>
      <c r="P1166" s="301"/>
      <c r="S1166" s="364"/>
      <c r="Z1166" s="609" t="s">
        <v>540</v>
      </c>
      <c r="AA1166" s="609" t="s">
        <v>3137</v>
      </c>
    </row>
    <row r="1167" spans="1:27" ht="36">
      <c r="A1167" s="2714">
        <v>122122</v>
      </c>
      <c r="B1167" s="371" t="s">
        <v>6544</v>
      </c>
      <c r="C1167" s="371"/>
      <c r="D1167" s="2716" t="str">
        <f>VLOOKUP($A1167,Sheet_NoteList,2,0)</f>
        <v>期末按组合1计提坏账准备的其他应收款（第二阶段）</v>
      </c>
      <c r="E1167" s="2716" t="s">
        <v>6533</v>
      </c>
      <c r="F1167" s="293"/>
      <c r="G1167" s="372" t="str">
        <f>"("&amp;B1167&amp;")"&amp;D1167</f>
        <v>(3A2.2)期末按组合1计提坏账准备的其他应收款（第二阶段）</v>
      </c>
      <c r="H1167" s="2315">
        <f>$A1167</f>
        <v>122122</v>
      </c>
      <c r="I1167" s="343" t="s">
        <v>5934</v>
      </c>
      <c r="J1167" s="301" t="s">
        <v>5935</v>
      </c>
      <c r="K1167" s="2210">
        <f>H1180</f>
        <v>0</v>
      </c>
      <c r="L1167" s="349"/>
      <c r="M1167" s="301"/>
      <c r="N1167" s="391"/>
      <c r="O1167" s="349"/>
      <c r="P1167" s="301"/>
      <c r="S1167" s="364"/>
      <c r="Z1167" s="609" t="s">
        <v>540</v>
      </c>
      <c r="AA1167" s="609" t="s">
        <v>3137</v>
      </c>
    </row>
    <row r="1168" spans="1:27" ht="0.75" customHeight="1">
      <c r="A1168" s="2714"/>
      <c r="B1168" s="371"/>
      <c r="C1168" s="371"/>
      <c r="D1168" s="2716"/>
      <c r="E1168" s="586"/>
      <c r="F1168" s="586"/>
      <c r="G1168" s="2224" t="s">
        <v>5938</v>
      </c>
      <c r="H1168" s="371" t="s">
        <v>5388</v>
      </c>
      <c r="I1168" s="371" t="s">
        <v>5530</v>
      </c>
      <c r="J1168" s="371" t="s">
        <v>5402</v>
      </c>
      <c r="K1168" s="391"/>
      <c r="L1168" s="349"/>
      <c r="M1168" s="301"/>
      <c r="N1168" s="391"/>
      <c r="O1168" s="349"/>
      <c r="P1168" s="301"/>
      <c r="S1168" s="364"/>
      <c r="Z1168" s="609" t="s">
        <v>540</v>
      </c>
      <c r="AA1168" s="609" t="s">
        <v>3137</v>
      </c>
    </row>
    <row r="1169" spans="1:27" ht="0.75" customHeight="1" thickBot="1">
      <c r="A1169" s="2714"/>
      <c r="B1169" s="371"/>
      <c r="C1169" s="371"/>
      <c r="D1169" s="2716"/>
      <c r="E1169" s="586"/>
      <c r="F1169" s="586"/>
      <c r="G1169" s="2224"/>
      <c r="H1169" s="1617" t="s">
        <v>5472</v>
      </c>
      <c r="I1169" s="371" t="s">
        <v>5377</v>
      </c>
      <c r="J1169" s="371" t="s">
        <v>5378</v>
      </c>
      <c r="K1169" s="391"/>
      <c r="L1169" s="349"/>
      <c r="M1169" s="301"/>
      <c r="N1169" s="391"/>
      <c r="O1169" s="349"/>
      <c r="P1169" s="301"/>
      <c r="S1169" s="364"/>
      <c r="Z1169" s="609" t="s">
        <v>540</v>
      </c>
      <c r="AA1169" s="609" t="s">
        <v>3137</v>
      </c>
    </row>
    <row r="1170" spans="1:27" ht="18" customHeight="1">
      <c r="A1170" s="2714"/>
      <c r="B1170" s="371"/>
      <c r="C1170" s="371"/>
      <c r="D1170" s="2716"/>
      <c r="E1170" s="586" t="s">
        <v>2749</v>
      </c>
      <c r="F1170" s="414"/>
      <c r="G1170" s="3472" t="s">
        <v>5137</v>
      </c>
      <c r="H1170" s="3418" t="str">
        <f>$V$2</f>
        <v>2019年12月31日</v>
      </c>
      <c r="I1170" s="3419"/>
      <c r="J1170" s="3419"/>
      <c r="K1170" s="355" t="s">
        <v>5273</v>
      </c>
      <c r="L1170" s="349"/>
      <c r="M1170" s="301"/>
      <c r="N1170" s="391"/>
      <c r="O1170" s="349"/>
      <c r="P1170" s="301"/>
      <c r="S1170" s="364"/>
      <c r="Z1170" s="609" t="s">
        <v>540</v>
      </c>
      <c r="AA1170" s="609" t="s">
        <v>3137</v>
      </c>
    </row>
    <row r="1171" spans="1:27" ht="18">
      <c r="A1171" s="2714"/>
      <c r="B1171" s="371"/>
      <c r="C1171" s="371"/>
      <c r="D1171" s="2716"/>
      <c r="E1171" s="586" t="s">
        <v>2749</v>
      </c>
      <c r="F1171" s="414"/>
      <c r="G1171" s="3473"/>
      <c r="H1171" s="2294" t="s">
        <v>2861</v>
      </c>
      <c r="I1171" s="2294" t="s">
        <v>2862</v>
      </c>
      <c r="J1171" s="2240" t="s">
        <v>2889</v>
      </c>
      <c r="K1171" s="391"/>
      <c r="L1171" s="349"/>
      <c r="M1171" s="301"/>
      <c r="N1171" s="391"/>
      <c r="O1171" s="349"/>
      <c r="P1171" s="301"/>
      <c r="S1171" s="364"/>
      <c r="Z1171" s="609" t="s">
        <v>540</v>
      </c>
      <c r="AA1171" s="609" t="s">
        <v>3137</v>
      </c>
    </row>
    <row r="1172" spans="1:27" ht="18">
      <c r="A1172" s="2714"/>
      <c r="B1172" s="371">
        <v>101</v>
      </c>
      <c r="C1172" s="371"/>
      <c r="D1172" s="2716">
        <f t="shared" ref="D1172:D1180" si="105">IF(OR(G1172="*",G1172="",G1172=0),0,COUNTIF($G$1172:$G$1180,G1172))</f>
        <v>1</v>
      </c>
      <c r="E1172" s="2721">
        <v>1</v>
      </c>
      <c r="F1172" s="293"/>
      <c r="G1172" s="1474" t="s">
        <v>2938</v>
      </c>
      <c r="H1172" s="2275"/>
      <c r="I1172" s="2275"/>
      <c r="J1172" s="2276"/>
      <c r="K1172" s="391"/>
      <c r="L1172" s="349"/>
      <c r="M1172" s="301"/>
      <c r="N1172" s="391"/>
      <c r="O1172" s="349"/>
      <c r="P1172" s="301"/>
      <c r="S1172" s="364"/>
      <c r="Z1172" s="609" t="s">
        <v>540</v>
      </c>
      <c r="AA1172" s="609" t="s">
        <v>3137</v>
      </c>
    </row>
    <row r="1173" spans="1:27" ht="18">
      <c r="A1173" s="2714"/>
      <c r="B1173" s="371">
        <v>102</v>
      </c>
      <c r="C1173" s="371"/>
      <c r="D1173" s="2716">
        <f t="shared" si="105"/>
        <v>1</v>
      </c>
      <c r="E1173" s="2721">
        <v>1</v>
      </c>
      <c r="F1173" s="293"/>
      <c r="G1173" s="1474" t="s">
        <v>2962</v>
      </c>
      <c r="H1173" s="2275"/>
      <c r="I1173" s="2275"/>
      <c r="J1173" s="2276"/>
      <c r="K1173" s="391"/>
      <c r="L1173" s="349"/>
      <c r="M1173" s="301"/>
      <c r="N1173" s="391"/>
      <c r="O1173" s="349"/>
      <c r="P1173" s="301"/>
      <c r="S1173" s="364"/>
      <c r="Z1173" s="609" t="s">
        <v>540</v>
      </c>
      <c r="AA1173" s="609" t="s">
        <v>3137</v>
      </c>
    </row>
    <row r="1174" spans="1:27" ht="18">
      <c r="A1174" s="2714"/>
      <c r="B1174" s="371">
        <v>103</v>
      </c>
      <c r="C1174" s="371"/>
      <c r="D1174" s="2716">
        <f t="shared" si="105"/>
        <v>1</v>
      </c>
      <c r="E1174" s="2721">
        <v>1</v>
      </c>
      <c r="F1174" s="293"/>
      <c r="G1174" s="1474" t="s">
        <v>2963</v>
      </c>
      <c r="H1174" s="2275"/>
      <c r="I1174" s="2275"/>
      <c r="J1174" s="2276"/>
      <c r="K1174" s="391"/>
      <c r="L1174" s="349"/>
      <c r="M1174" s="301"/>
      <c r="N1174" s="391"/>
      <c r="O1174" s="349"/>
      <c r="P1174" s="301"/>
      <c r="S1174" s="364"/>
      <c r="Z1174" s="609" t="s">
        <v>540</v>
      </c>
      <c r="AA1174" s="609" t="s">
        <v>3137</v>
      </c>
    </row>
    <row r="1175" spans="1:27" ht="18">
      <c r="A1175" s="2714"/>
      <c r="B1175" s="371">
        <v>104</v>
      </c>
      <c r="C1175" s="371" t="s">
        <v>2791</v>
      </c>
      <c r="D1175" s="2716">
        <f t="shared" si="105"/>
        <v>1</v>
      </c>
      <c r="E1175" s="2721">
        <v>1</v>
      </c>
      <c r="F1175" s="293"/>
      <c r="G1175" s="2284" t="s">
        <v>2964</v>
      </c>
      <c r="H1175" s="2275"/>
      <c r="I1175" s="2275"/>
      <c r="J1175" s="2276"/>
      <c r="K1175" s="391"/>
      <c r="L1175" s="349"/>
      <c r="M1175" s="301"/>
      <c r="N1175" s="391"/>
      <c r="O1175" s="349"/>
      <c r="P1175" s="301"/>
      <c r="S1175" s="364"/>
      <c r="Z1175" s="609" t="s">
        <v>540</v>
      </c>
      <c r="AA1175" s="609" t="s">
        <v>3137</v>
      </c>
    </row>
    <row r="1176" spans="1:27" ht="18">
      <c r="A1176" s="2714"/>
      <c r="B1176" s="371">
        <v>105</v>
      </c>
      <c r="C1176" s="371" t="s">
        <v>2791</v>
      </c>
      <c r="D1176" s="2716">
        <f t="shared" si="105"/>
        <v>1</v>
      </c>
      <c r="E1176" s="2721">
        <v>1</v>
      </c>
      <c r="F1176" s="293"/>
      <c r="G1176" s="2284" t="s">
        <v>2965</v>
      </c>
      <c r="H1176" s="2275"/>
      <c r="I1176" s="2275"/>
      <c r="J1176" s="2276"/>
      <c r="K1176" s="391"/>
      <c r="L1176" s="349"/>
      <c r="M1176" s="301"/>
      <c r="N1176" s="391"/>
      <c r="O1176" s="349"/>
      <c r="P1176" s="301"/>
      <c r="S1176" s="364"/>
      <c r="Z1176" s="609" t="s">
        <v>540</v>
      </c>
      <c r="AA1176" s="609" t="s">
        <v>3137</v>
      </c>
    </row>
    <row r="1177" spans="1:27" ht="18">
      <c r="A1177" s="2714"/>
      <c r="B1177" s="371">
        <v>106</v>
      </c>
      <c r="C1177" s="371" t="s">
        <v>2791</v>
      </c>
      <c r="D1177" s="2716">
        <f t="shared" si="105"/>
        <v>1</v>
      </c>
      <c r="E1177" s="2721">
        <v>1</v>
      </c>
      <c r="F1177" s="293"/>
      <c r="G1177" s="2284" t="s">
        <v>2944</v>
      </c>
      <c r="H1177" s="2275"/>
      <c r="I1177" s="2275"/>
      <c r="J1177" s="2276"/>
      <c r="K1177" s="391"/>
      <c r="L1177" s="349"/>
      <c r="M1177" s="301"/>
      <c r="N1177" s="391"/>
      <c r="O1177" s="349"/>
      <c r="P1177" s="301"/>
      <c r="S1177" s="364"/>
      <c r="Z1177" s="609" t="s">
        <v>540</v>
      </c>
      <c r="AA1177" s="609" t="s">
        <v>3137</v>
      </c>
    </row>
    <row r="1178" spans="1:27" ht="18">
      <c r="A1178" s="2714"/>
      <c r="B1178" s="371">
        <v>107</v>
      </c>
      <c r="C1178" s="371" t="s">
        <v>2791</v>
      </c>
      <c r="D1178" s="2716">
        <f t="shared" si="105"/>
        <v>0</v>
      </c>
      <c r="E1178" s="2721">
        <v>1</v>
      </c>
      <c r="F1178" s="293"/>
      <c r="G1178" s="2284" t="s">
        <v>2792</v>
      </c>
      <c r="H1178" s="2275"/>
      <c r="I1178" s="2275"/>
      <c r="J1178" s="2276"/>
      <c r="K1178" s="391"/>
      <c r="L1178" s="349"/>
      <c r="M1178" s="301"/>
      <c r="N1178" s="391"/>
      <c r="O1178" s="349"/>
      <c r="P1178" s="301"/>
      <c r="S1178" s="364"/>
      <c r="Z1178" s="609" t="s">
        <v>540</v>
      </c>
      <c r="AA1178" s="609" t="s">
        <v>3137</v>
      </c>
    </row>
    <row r="1179" spans="1:27" ht="18">
      <c r="A1179" s="2714"/>
      <c r="B1179" s="371">
        <v>108</v>
      </c>
      <c r="C1179" s="371" t="s">
        <v>2791</v>
      </c>
      <c r="D1179" s="2716">
        <f t="shared" si="105"/>
        <v>0</v>
      </c>
      <c r="E1179" s="2721">
        <v>1</v>
      </c>
      <c r="F1179" s="293"/>
      <c r="G1179" s="2284" t="s">
        <v>2792</v>
      </c>
      <c r="H1179" s="2275"/>
      <c r="I1179" s="2275"/>
      <c r="J1179" s="2276"/>
      <c r="K1179" s="391"/>
      <c r="L1179" s="349"/>
      <c r="M1179" s="301"/>
      <c r="N1179" s="391"/>
      <c r="O1179" s="349"/>
      <c r="P1179" s="301"/>
      <c r="S1179" s="364"/>
      <c r="Z1179" s="609" t="s">
        <v>540</v>
      </c>
      <c r="AA1179" s="609" t="s">
        <v>3137</v>
      </c>
    </row>
    <row r="1180" spans="1:27" ht="18.75" thickBot="1">
      <c r="A1180" s="2714"/>
      <c r="B1180" s="371"/>
      <c r="C1180" s="371"/>
      <c r="D1180" s="2716">
        <f t="shared" si="105"/>
        <v>1</v>
      </c>
      <c r="E1180" s="2721" t="s">
        <v>2751</v>
      </c>
      <c r="F1180" s="293"/>
      <c r="G1180" s="2234" t="s">
        <v>2752</v>
      </c>
      <c r="H1180" s="2235">
        <f>SUMPRODUCT($E1171:$E1179,H1171:H1179)</f>
        <v>0</v>
      </c>
      <c r="I1180" s="2235">
        <f>SUMPRODUCT($E1171:$E1179,I1171:I1179)</f>
        <v>0</v>
      </c>
      <c r="J1180" s="2313"/>
      <c r="K1180" s="391"/>
      <c r="L1180" s="349"/>
      <c r="M1180" s="301"/>
      <c r="N1180" s="391"/>
      <c r="O1180" s="349"/>
      <c r="P1180" s="301"/>
      <c r="S1180" s="364"/>
      <c r="Z1180" s="609" t="s">
        <v>540</v>
      </c>
      <c r="AA1180" s="609" t="s">
        <v>3137</v>
      </c>
    </row>
    <row r="1181" spans="1:27" ht="18.75" thickBot="1">
      <c r="A1181" s="2714"/>
      <c r="B1181" s="371"/>
      <c r="C1181" s="371" t="s">
        <v>2755</v>
      </c>
      <c r="D1181" s="2716"/>
      <c r="F1181" s="293"/>
      <c r="G1181" s="376"/>
      <c r="H1181" s="2626" t="s">
        <v>3002</v>
      </c>
      <c r="I1181" s="2253" t="s">
        <v>3002</v>
      </c>
      <c r="J1181" s="393"/>
      <c r="K1181" s="391"/>
      <c r="L1181" s="349"/>
      <c r="M1181" s="301"/>
      <c r="N1181" s="391"/>
      <c r="O1181" s="349"/>
      <c r="P1181" s="301"/>
      <c r="S1181" s="364"/>
      <c r="Z1181" s="609" t="s">
        <v>540</v>
      </c>
      <c r="AA1181" s="609" t="s">
        <v>3137</v>
      </c>
    </row>
    <row r="1182" spans="1:27" ht="18.75" thickTop="1">
      <c r="A1182" s="2714"/>
      <c r="B1182" s="371"/>
      <c r="C1182" s="371" t="s">
        <v>2565</v>
      </c>
      <c r="D1182" s="2716"/>
      <c r="F1182" s="293"/>
      <c r="G1182" s="1549" t="s">
        <v>5367</v>
      </c>
      <c r="H1182" s="1550" t="str">
        <f>G1131</f>
        <v>(3A2)期末处于第二阶段的其他应收款坏账准备（三阶段模型）</v>
      </c>
      <c r="I1182" s="1552"/>
      <c r="J1182" s="1551"/>
      <c r="K1182" s="1553" t="s">
        <v>5368</v>
      </c>
      <c r="L1182" s="349"/>
      <c r="M1182" s="301"/>
      <c r="N1182" s="391"/>
      <c r="O1182" s="349"/>
      <c r="P1182" s="301"/>
      <c r="S1182" s="364"/>
      <c r="Z1182" s="609" t="s">
        <v>540</v>
      </c>
      <c r="AA1182" s="609" t="s">
        <v>3137</v>
      </c>
    </row>
    <row r="1183" spans="1:27" ht="18">
      <c r="A1183" s="2714"/>
      <c r="B1183" s="371"/>
      <c r="C1183" s="371" t="s">
        <v>2565</v>
      </c>
      <c r="D1183" s="2716"/>
      <c r="F1183" s="293"/>
      <c r="G1183" s="604" t="str">
        <f>"注释A:"&amp; G1139</f>
        <v>注释A:组合1</v>
      </c>
      <c r="H1183" s="2252">
        <f ca="1">HYPERLINK("#'"&amp;$G$1&amp;"'!"&amp;ADDRESS(ROW(Notes!H1139),COLUMN(Notes!H1139),4),H1139)</f>
        <v>0</v>
      </c>
      <c r="I1183" s="2252">
        <f ca="1">HYPERLINK("#'"&amp;$G$1&amp;"'!"&amp;ADDRESS(ROW(Notes!J1139),COLUMN(Notes!J1139),4),J1139)</f>
        <v>0</v>
      </c>
      <c r="J1183" s="351"/>
      <c r="K1183" s="2632">
        <f>H1131</f>
        <v>122102</v>
      </c>
      <c r="L1183" s="349"/>
      <c r="M1183" s="301"/>
      <c r="N1183" s="391"/>
      <c r="O1183" s="349"/>
      <c r="P1183" s="301"/>
      <c r="S1183" s="364"/>
      <c r="Z1183" s="609" t="s">
        <v>540</v>
      </c>
      <c r="AA1183" s="609" t="s">
        <v>3137</v>
      </c>
    </row>
    <row r="1184" spans="1:27" ht="18">
      <c r="A1184" s="2714"/>
      <c r="B1184" s="371"/>
      <c r="C1184" s="371" t="s">
        <v>2565</v>
      </c>
      <c r="D1184" s="2716"/>
      <c r="F1184" s="293"/>
      <c r="G1184" s="604" t="str">
        <f>"本注释B:"&amp; G1180</f>
        <v>本注释B:合       计</v>
      </c>
      <c r="H1184" s="456">
        <f>H1180</f>
        <v>0</v>
      </c>
      <c r="I1184" s="456">
        <f>I1180</f>
        <v>0</v>
      </c>
      <c r="J1184" s="351"/>
      <c r="K1184" s="2638">
        <v>122122</v>
      </c>
      <c r="L1184" s="349"/>
      <c r="M1184" s="301"/>
      <c r="N1184" s="391"/>
      <c r="O1184" s="349"/>
      <c r="P1184" s="301"/>
      <c r="S1184" s="364"/>
      <c r="Z1184" s="609" t="s">
        <v>540</v>
      </c>
      <c r="AA1184" s="609" t="s">
        <v>3137</v>
      </c>
    </row>
    <row r="1185" spans="1:27" ht="18.75" thickBot="1">
      <c r="A1185" s="2714"/>
      <c r="B1185" s="371"/>
      <c r="C1185" s="371" t="s">
        <v>2565</v>
      </c>
      <c r="D1185" s="2716"/>
      <c r="F1185" s="293"/>
      <c r="G1185" s="1554" t="s">
        <v>2757</v>
      </c>
      <c r="H1185" s="1531">
        <f ca="1">IF(AND(H1183="",H1184=""),"",ROUND(H1183-H1184,2))</f>
        <v>0</v>
      </c>
      <c r="I1185" s="1531">
        <f ca="1">IF(AND(I1183="",I1184=""),"",ROUND(I1183-I1184,2))</f>
        <v>0</v>
      </c>
      <c r="J1185" s="1555"/>
      <c r="K1185" s="1555"/>
      <c r="L1185" s="349"/>
      <c r="M1185" s="301"/>
      <c r="N1185" s="391"/>
      <c r="O1185" s="349"/>
      <c r="P1185" s="301"/>
      <c r="S1185" s="364"/>
      <c r="Z1185" s="609" t="s">
        <v>540</v>
      </c>
      <c r="AA1185" s="609" t="s">
        <v>3137</v>
      </c>
    </row>
    <row r="1186" spans="1:27" ht="18.75" thickTop="1">
      <c r="A1186" s="2714"/>
      <c r="B1186" s="371"/>
      <c r="C1186" s="371" t="s">
        <v>2565</v>
      </c>
      <c r="D1186" s="2716"/>
      <c r="F1186" s="293"/>
      <c r="G1186" s="1545"/>
      <c r="H1186" s="459" t="str">
        <f ca="1">IF(OR(H1185=0,H1185=""),"√","？")</f>
        <v>√</v>
      </c>
      <c r="I1186" s="459" t="str">
        <f ca="1">IF(OR(I1185=0,I1185=""),"√","？")</f>
        <v>√</v>
      </c>
      <c r="J1186" s="317"/>
      <c r="K1186" s="317"/>
      <c r="L1186" s="349"/>
      <c r="M1186" s="301"/>
      <c r="N1186" s="391"/>
      <c r="O1186" s="349"/>
      <c r="P1186" s="301"/>
      <c r="S1186" s="364"/>
      <c r="Z1186" s="609" t="s">
        <v>540</v>
      </c>
      <c r="AA1186" s="609" t="s">
        <v>3137</v>
      </c>
    </row>
    <row r="1187" spans="1:27" ht="18">
      <c r="A1187" s="2714"/>
      <c r="B1187" s="371"/>
      <c r="C1187" s="371" t="s">
        <v>2565</v>
      </c>
      <c r="D1187" s="2716"/>
      <c r="F1187" s="293"/>
      <c r="G1187" s="1559" t="s">
        <v>2759</v>
      </c>
      <c r="H1187" s="461"/>
      <c r="I1187" s="461"/>
      <c r="J1187" s="317"/>
      <c r="K1187" s="352">
        <f ca="1">SUMIF($H$1186:$K$1186,"&lt;&gt;√",$H$1185:$K$1185)</f>
        <v>0</v>
      </c>
      <c r="L1187" s="2628" t="str">
        <f ca="1">IF(OR(K1187=0,K1187=""),"√","？")</f>
        <v>√</v>
      </c>
      <c r="M1187" s="301"/>
      <c r="N1187" s="391"/>
      <c r="O1187" s="349"/>
      <c r="P1187" s="301"/>
      <c r="S1187" s="364"/>
      <c r="Z1187" s="609" t="s">
        <v>540</v>
      </c>
      <c r="AA1187" s="609" t="s">
        <v>3137</v>
      </c>
    </row>
    <row r="1188" spans="1:27" ht="18">
      <c r="A1188" s="2714"/>
      <c r="B1188" s="371"/>
      <c r="C1188" s="371" t="s">
        <v>2565</v>
      </c>
      <c r="D1188" s="2716"/>
      <c r="F1188" s="293"/>
      <c r="G1188" s="1545"/>
      <c r="H1188" s="461"/>
      <c r="I1188" s="461"/>
      <c r="J1188" s="317"/>
      <c r="K1188" s="317"/>
      <c r="L1188" s="349"/>
      <c r="M1188" s="301"/>
      <c r="N1188" s="391"/>
      <c r="O1188" s="349"/>
      <c r="P1188" s="301"/>
      <c r="S1188" s="364"/>
      <c r="Z1188" s="609" t="s">
        <v>540</v>
      </c>
      <c r="AA1188" s="609" t="s">
        <v>3137</v>
      </c>
    </row>
    <row r="1189" spans="1:27" ht="36">
      <c r="A1189" s="2714">
        <v>122123</v>
      </c>
      <c r="B1189" s="371" t="s">
        <v>6545</v>
      </c>
      <c r="C1189" s="371"/>
      <c r="D1189" s="2716" t="str">
        <f>VLOOKUP($A1189,Sheet_NoteList,2,0)</f>
        <v>期末按组合2计提坏账准备的其他应收款（第二阶段）</v>
      </c>
      <c r="E1189" s="2716" t="s">
        <v>6533</v>
      </c>
      <c r="F1189" s="293"/>
      <c r="G1189" s="372" t="str">
        <f>"("&amp;B1189&amp;")"&amp;D1189</f>
        <v>(3A2.3)期末按组合2计提坏账准备的其他应收款（第二阶段）</v>
      </c>
      <c r="H1189" s="2315">
        <f>$A1189</f>
        <v>122123</v>
      </c>
      <c r="I1189" s="343" t="s">
        <v>5934</v>
      </c>
      <c r="J1189" s="301" t="s">
        <v>5935</v>
      </c>
      <c r="K1189" s="2210">
        <f>H1202</f>
        <v>0</v>
      </c>
      <c r="L1189" s="349"/>
      <c r="M1189" s="301"/>
      <c r="N1189" s="391"/>
      <c r="O1189" s="349"/>
      <c r="P1189" s="301"/>
      <c r="S1189" s="364"/>
      <c r="Z1189" s="609" t="s">
        <v>540</v>
      </c>
      <c r="AA1189" s="609" t="s">
        <v>3137</v>
      </c>
    </row>
    <row r="1190" spans="1:27" ht="0.75" customHeight="1">
      <c r="A1190" s="2714"/>
      <c r="B1190" s="371"/>
      <c r="C1190" s="371"/>
      <c r="D1190" s="2716"/>
      <c r="F1190" s="371"/>
      <c r="G1190" s="405" t="s">
        <v>5939</v>
      </c>
      <c r="H1190" s="371" t="s">
        <v>5388</v>
      </c>
      <c r="I1190" s="371" t="s">
        <v>5530</v>
      </c>
      <c r="J1190" s="371" t="s">
        <v>5402</v>
      </c>
      <c r="K1190" s="391"/>
      <c r="L1190" s="349"/>
      <c r="M1190" s="301"/>
      <c r="N1190" s="391"/>
      <c r="O1190" s="349"/>
      <c r="P1190" s="301"/>
      <c r="S1190" s="364"/>
      <c r="Z1190" s="609" t="s">
        <v>540</v>
      </c>
      <c r="AA1190" s="609" t="s">
        <v>3137</v>
      </c>
    </row>
    <row r="1191" spans="1:27" ht="0.75" customHeight="1" thickBot="1">
      <c r="A1191" s="2714"/>
      <c r="B1191" s="371"/>
      <c r="C1191" s="371"/>
      <c r="D1191" s="2716"/>
      <c r="F1191" s="371"/>
      <c r="G1191" s="405"/>
      <c r="H1191" s="1617" t="s">
        <v>5472</v>
      </c>
      <c r="I1191" s="371" t="s">
        <v>5377</v>
      </c>
      <c r="J1191" s="371" t="s">
        <v>5378</v>
      </c>
      <c r="K1191" s="391"/>
      <c r="L1191" s="349"/>
      <c r="M1191" s="301"/>
      <c r="N1191" s="391"/>
      <c r="O1191" s="349"/>
      <c r="P1191" s="301"/>
      <c r="S1191" s="364"/>
      <c r="Z1191" s="609" t="s">
        <v>540</v>
      </c>
      <c r="AA1191" s="609" t="s">
        <v>3137</v>
      </c>
    </row>
    <row r="1192" spans="1:27" ht="18" customHeight="1">
      <c r="A1192" s="2714"/>
      <c r="B1192" s="371"/>
      <c r="C1192" s="371"/>
      <c r="D1192" s="2716"/>
      <c r="E1192" s="2716" t="s">
        <v>2749</v>
      </c>
      <c r="F1192" s="293"/>
      <c r="G1192" s="3512" t="s">
        <v>5948</v>
      </c>
      <c r="H1192" s="3391" t="str">
        <f>$V$2</f>
        <v>2019年12月31日</v>
      </c>
      <c r="I1192" s="3392"/>
      <c r="J1192" s="3392"/>
      <c r="K1192" s="355" t="s">
        <v>5949</v>
      </c>
      <c r="L1192" s="349"/>
      <c r="M1192" s="301"/>
      <c r="N1192" s="391"/>
      <c r="O1192" s="349"/>
      <c r="P1192" s="301"/>
      <c r="S1192" s="364"/>
      <c r="Z1192" s="609" t="s">
        <v>540</v>
      </c>
      <c r="AA1192" s="609" t="s">
        <v>3137</v>
      </c>
    </row>
    <row r="1193" spans="1:27" ht="18">
      <c r="A1193" s="2714"/>
      <c r="B1193" s="371"/>
      <c r="C1193" s="371"/>
      <c r="D1193" s="2716"/>
      <c r="E1193" s="2716" t="s">
        <v>2749</v>
      </c>
      <c r="F1193" s="293"/>
      <c r="G1193" s="3513"/>
      <c r="H1193" s="2207" t="s">
        <v>2861</v>
      </c>
      <c r="I1193" s="2207" t="s">
        <v>2862</v>
      </c>
      <c r="J1193" s="2208" t="s">
        <v>2889</v>
      </c>
      <c r="K1193" s="391"/>
      <c r="L1193" s="349"/>
      <c r="M1193" s="301"/>
      <c r="N1193" s="391"/>
      <c r="O1193" s="349"/>
      <c r="P1193" s="301"/>
      <c r="S1193" s="364"/>
      <c r="Z1193" s="609" t="s">
        <v>540</v>
      </c>
      <c r="AA1193" s="609" t="s">
        <v>3137</v>
      </c>
    </row>
    <row r="1194" spans="1:27" ht="18">
      <c r="A1194" s="2714"/>
      <c r="B1194" s="371">
        <v>101</v>
      </c>
      <c r="C1194" s="371" t="s">
        <v>2791</v>
      </c>
      <c r="D1194" s="2716">
        <f t="shared" ref="D1194:D1202" si="106">IF(OR(G1194="*",G1194="",G1194=0),0,COUNTIF($G$1194:$G$1202,G1194))</f>
        <v>0</v>
      </c>
      <c r="E1194" s="2721">
        <v>1</v>
      </c>
      <c r="F1194" s="293"/>
      <c r="G1194" s="2213" t="s">
        <v>2792</v>
      </c>
      <c r="H1194" s="1577"/>
      <c r="I1194" s="422"/>
      <c r="J1194" s="388"/>
      <c r="K1194" s="391"/>
      <c r="L1194" s="349"/>
      <c r="M1194" s="301"/>
      <c r="N1194" s="391"/>
      <c r="O1194" s="349"/>
      <c r="P1194" s="301"/>
      <c r="S1194" s="364"/>
      <c r="Z1194" s="609" t="s">
        <v>540</v>
      </c>
      <c r="AA1194" s="609" t="s">
        <v>3137</v>
      </c>
    </row>
    <row r="1195" spans="1:27" ht="18">
      <c r="A1195" s="2714"/>
      <c r="B1195" s="371">
        <v>102</v>
      </c>
      <c r="C1195" s="371" t="s">
        <v>2791</v>
      </c>
      <c r="D1195" s="2716">
        <f t="shared" si="106"/>
        <v>0</v>
      </c>
      <c r="E1195" s="2721">
        <v>1</v>
      </c>
      <c r="F1195" s="293"/>
      <c r="G1195" s="2213" t="s">
        <v>2792</v>
      </c>
      <c r="H1195" s="1577"/>
      <c r="I1195" s="422"/>
      <c r="J1195" s="388"/>
      <c r="K1195" s="391"/>
      <c r="L1195" s="349"/>
      <c r="M1195" s="301"/>
      <c r="N1195" s="391"/>
      <c r="O1195" s="349"/>
      <c r="P1195" s="301"/>
      <c r="S1195" s="364"/>
      <c r="Z1195" s="609" t="s">
        <v>540</v>
      </c>
      <c r="AA1195" s="609" t="s">
        <v>3137</v>
      </c>
    </row>
    <row r="1196" spans="1:27" ht="18">
      <c r="A1196" s="2714"/>
      <c r="B1196" s="371">
        <v>103</v>
      </c>
      <c r="C1196" s="371" t="s">
        <v>2791</v>
      </c>
      <c r="D1196" s="2716">
        <f t="shared" si="106"/>
        <v>0</v>
      </c>
      <c r="E1196" s="2721">
        <v>1</v>
      </c>
      <c r="F1196" s="293"/>
      <c r="G1196" s="2213" t="s">
        <v>2792</v>
      </c>
      <c r="H1196" s="1577"/>
      <c r="I1196" s="422"/>
      <c r="J1196" s="388"/>
      <c r="K1196" s="391"/>
      <c r="L1196" s="349"/>
      <c r="M1196" s="301"/>
      <c r="N1196" s="391"/>
      <c r="O1196" s="349"/>
      <c r="P1196" s="301"/>
      <c r="S1196" s="364"/>
      <c r="Z1196" s="609" t="s">
        <v>540</v>
      </c>
      <c r="AA1196" s="609" t="s">
        <v>3137</v>
      </c>
    </row>
    <row r="1197" spans="1:27" ht="18">
      <c r="A1197" s="2714"/>
      <c r="B1197" s="371">
        <v>104</v>
      </c>
      <c r="C1197" s="371" t="s">
        <v>2791</v>
      </c>
      <c r="D1197" s="2716">
        <f t="shared" si="106"/>
        <v>0</v>
      </c>
      <c r="E1197" s="2721">
        <v>1</v>
      </c>
      <c r="F1197" s="293"/>
      <c r="G1197" s="2213" t="s">
        <v>2792</v>
      </c>
      <c r="H1197" s="1577"/>
      <c r="I1197" s="422"/>
      <c r="J1197" s="388"/>
      <c r="K1197" s="391"/>
      <c r="L1197" s="349"/>
      <c r="M1197" s="301"/>
      <c r="N1197" s="391"/>
      <c r="O1197" s="349"/>
      <c r="P1197" s="301"/>
      <c r="S1197" s="364"/>
      <c r="Z1197" s="609" t="s">
        <v>540</v>
      </c>
      <c r="AA1197" s="609" t="s">
        <v>3137</v>
      </c>
    </row>
    <row r="1198" spans="1:27" ht="18">
      <c r="A1198" s="2714"/>
      <c r="B1198" s="371">
        <v>105</v>
      </c>
      <c r="C1198" s="371" t="s">
        <v>2791</v>
      </c>
      <c r="D1198" s="2716">
        <f t="shared" si="106"/>
        <v>0</v>
      </c>
      <c r="E1198" s="2721">
        <v>1</v>
      </c>
      <c r="F1198" s="293"/>
      <c r="G1198" s="2213" t="s">
        <v>2792</v>
      </c>
      <c r="H1198" s="1577"/>
      <c r="I1198" s="422"/>
      <c r="J1198" s="388"/>
      <c r="K1198" s="391"/>
      <c r="L1198" s="349"/>
      <c r="M1198" s="301"/>
      <c r="N1198" s="391"/>
      <c r="O1198" s="349"/>
      <c r="P1198" s="301"/>
      <c r="S1198" s="364"/>
      <c r="Z1198" s="609" t="s">
        <v>540</v>
      </c>
      <c r="AA1198" s="609" t="s">
        <v>3137</v>
      </c>
    </row>
    <row r="1199" spans="1:27" ht="18">
      <c r="A1199" s="2714"/>
      <c r="B1199" s="371">
        <v>106</v>
      </c>
      <c r="C1199" s="371" t="s">
        <v>2791</v>
      </c>
      <c r="D1199" s="2716">
        <f t="shared" si="106"/>
        <v>0</v>
      </c>
      <c r="E1199" s="2721">
        <v>1</v>
      </c>
      <c r="F1199" s="293"/>
      <c r="G1199" s="2213" t="s">
        <v>2792</v>
      </c>
      <c r="H1199" s="1577"/>
      <c r="I1199" s="422"/>
      <c r="J1199" s="388"/>
      <c r="K1199" s="391"/>
      <c r="L1199" s="349"/>
      <c r="M1199" s="301"/>
      <c r="N1199" s="391"/>
      <c r="O1199" s="349"/>
      <c r="P1199" s="301"/>
      <c r="S1199" s="364"/>
      <c r="Z1199" s="609" t="s">
        <v>540</v>
      </c>
      <c r="AA1199" s="609" t="s">
        <v>3137</v>
      </c>
    </row>
    <row r="1200" spans="1:27" ht="18">
      <c r="A1200" s="2714"/>
      <c r="B1200" s="371">
        <v>107</v>
      </c>
      <c r="C1200" s="371" t="s">
        <v>2791</v>
      </c>
      <c r="D1200" s="2716">
        <f t="shared" si="106"/>
        <v>0</v>
      </c>
      <c r="E1200" s="2721">
        <v>1</v>
      </c>
      <c r="F1200" s="293"/>
      <c r="G1200" s="2213" t="s">
        <v>2792</v>
      </c>
      <c r="H1200" s="1577"/>
      <c r="I1200" s="422"/>
      <c r="J1200" s="388"/>
      <c r="K1200" s="391"/>
      <c r="L1200" s="349"/>
      <c r="M1200" s="301"/>
      <c r="N1200" s="391"/>
      <c r="O1200" s="349"/>
      <c r="P1200" s="301"/>
      <c r="S1200" s="364"/>
      <c r="Z1200" s="609" t="s">
        <v>540</v>
      </c>
      <c r="AA1200" s="609" t="s">
        <v>3137</v>
      </c>
    </row>
    <row r="1201" spans="1:27" ht="18">
      <c r="A1201" s="2714"/>
      <c r="B1201" s="371">
        <v>108</v>
      </c>
      <c r="C1201" s="371" t="s">
        <v>2791</v>
      </c>
      <c r="D1201" s="2716">
        <f t="shared" si="106"/>
        <v>0</v>
      </c>
      <c r="E1201" s="2721">
        <v>1</v>
      </c>
      <c r="F1201" s="293"/>
      <c r="G1201" s="2213" t="s">
        <v>2792</v>
      </c>
      <c r="H1201" s="1577"/>
      <c r="I1201" s="422"/>
      <c r="J1201" s="388"/>
      <c r="K1201" s="391"/>
      <c r="L1201" s="349"/>
      <c r="M1201" s="301"/>
      <c r="N1201" s="391"/>
      <c r="O1201" s="349"/>
      <c r="P1201" s="301"/>
      <c r="S1201" s="364"/>
      <c r="Z1201" s="609" t="s">
        <v>540</v>
      </c>
      <c r="AA1201" s="609" t="s">
        <v>3137</v>
      </c>
    </row>
    <row r="1202" spans="1:27" ht="18.75" thickBot="1">
      <c r="A1202" s="2714"/>
      <c r="B1202" s="371"/>
      <c r="C1202" s="371"/>
      <c r="D1202" s="2716">
        <f t="shared" si="106"/>
        <v>1</v>
      </c>
      <c r="E1202" s="2721" t="s">
        <v>2751</v>
      </c>
      <c r="F1202" s="293"/>
      <c r="G1202" s="1529" t="s">
        <v>2752</v>
      </c>
      <c r="H1202" s="1527">
        <f>SUMPRODUCT($E1193:$E1201,H1193:H1201)</f>
        <v>0</v>
      </c>
      <c r="I1202" s="1527">
        <f>SUMPRODUCT($E1193:$E1201,I1193:I1201)</f>
        <v>0</v>
      </c>
      <c r="J1202" s="1568">
        <f>SUMPRODUCT($E1193:$E1201,J1193:J1201)</f>
        <v>0</v>
      </c>
      <c r="K1202" s="391"/>
      <c r="L1202" s="349"/>
      <c r="M1202" s="301"/>
      <c r="N1202" s="391"/>
      <c r="O1202" s="349"/>
      <c r="P1202" s="301"/>
      <c r="S1202" s="364"/>
      <c r="Z1202" s="609" t="s">
        <v>540</v>
      </c>
      <c r="AA1202" s="609" t="s">
        <v>3137</v>
      </c>
    </row>
    <row r="1203" spans="1:27" ht="18">
      <c r="A1203" s="2714"/>
      <c r="B1203" s="371"/>
      <c r="C1203" s="371" t="s">
        <v>2755</v>
      </c>
      <c r="D1203" s="2716"/>
      <c r="F1203" s="293"/>
      <c r="G1203" s="376"/>
      <c r="H1203" s="1576"/>
      <c r="I1203" s="396"/>
      <c r="J1203" s="393"/>
      <c r="K1203" s="391"/>
      <c r="L1203" s="349"/>
      <c r="M1203" s="301"/>
      <c r="N1203" s="391"/>
      <c r="O1203" s="349"/>
      <c r="P1203" s="301"/>
      <c r="S1203" s="364"/>
      <c r="Z1203" s="609" t="s">
        <v>540</v>
      </c>
      <c r="AA1203" s="609" t="s">
        <v>3137</v>
      </c>
    </row>
    <row r="1204" spans="1:27" ht="36">
      <c r="A1204" s="2714">
        <v>122124</v>
      </c>
      <c r="B1204" s="371" t="s">
        <v>6546</v>
      </c>
      <c r="C1204" s="371"/>
      <c r="D1204" s="2716" t="str">
        <f>VLOOKUP($A1204,Sheet_NoteList,2,0)</f>
        <v>期末按组合3计提坏账准备的其他应收款（第二阶段）</v>
      </c>
      <c r="E1204" s="2716" t="s">
        <v>6531</v>
      </c>
      <c r="F1204" s="293"/>
      <c r="G1204" s="372" t="str">
        <f>"("&amp;B1204&amp;")"&amp;D1204</f>
        <v>(3A2.4)期末按组合3计提坏账准备的其他应收款（第二阶段）</v>
      </c>
      <c r="H1204" s="2315">
        <f>$A1204</f>
        <v>122124</v>
      </c>
      <c r="I1204" s="343" t="s">
        <v>5934</v>
      </c>
      <c r="J1204" s="301" t="s">
        <v>5935</v>
      </c>
      <c r="K1204" s="2210">
        <f>H1217</f>
        <v>0</v>
      </c>
      <c r="L1204" s="349"/>
      <c r="M1204" s="301"/>
      <c r="N1204" s="391"/>
      <c r="O1204" s="349"/>
      <c r="P1204" s="301"/>
      <c r="S1204" s="364"/>
      <c r="Z1204" s="609" t="s">
        <v>540</v>
      </c>
      <c r="AA1204" s="609" t="s">
        <v>3137</v>
      </c>
    </row>
    <row r="1205" spans="1:27" ht="0.75" customHeight="1">
      <c r="A1205" s="2714"/>
      <c r="B1205" s="371"/>
      <c r="C1205" s="371"/>
      <c r="D1205" s="2716"/>
      <c r="F1205" s="371"/>
      <c r="G1205" s="405" t="s">
        <v>5940</v>
      </c>
      <c r="H1205" s="371" t="s">
        <v>5388</v>
      </c>
      <c r="I1205" s="371" t="s">
        <v>5530</v>
      </c>
      <c r="J1205" s="371" t="s">
        <v>5402</v>
      </c>
      <c r="K1205" s="391"/>
      <c r="L1205" s="349"/>
      <c r="M1205" s="301"/>
      <c r="N1205" s="391"/>
      <c r="O1205" s="349"/>
      <c r="P1205" s="301"/>
      <c r="S1205" s="364"/>
      <c r="Z1205" s="609" t="s">
        <v>540</v>
      </c>
      <c r="AA1205" s="609" t="s">
        <v>3137</v>
      </c>
    </row>
    <row r="1206" spans="1:27" ht="0.75" customHeight="1" thickBot="1">
      <c r="A1206" s="2714"/>
      <c r="B1206" s="371"/>
      <c r="C1206" s="371"/>
      <c r="D1206" s="2716"/>
      <c r="F1206" s="371"/>
      <c r="G1206" s="405"/>
      <c r="H1206" s="371" t="s">
        <v>5472</v>
      </c>
      <c r="I1206" s="371" t="s">
        <v>5377</v>
      </c>
      <c r="J1206" s="371" t="s">
        <v>5378</v>
      </c>
      <c r="K1206" s="391"/>
      <c r="L1206" s="349"/>
      <c r="M1206" s="301"/>
      <c r="N1206" s="391"/>
      <c r="O1206" s="349"/>
      <c r="P1206" s="301"/>
      <c r="S1206" s="364"/>
      <c r="Z1206" s="609" t="s">
        <v>540</v>
      </c>
      <c r="AA1206" s="609" t="s">
        <v>3137</v>
      </c>
    </row>
    <row r="1207" spans="1:27" ht="18" customHeight="1">
      <c r="A1207" s="2714"/>
      <c r="B1207" s="371"/>
      <c r="C1207" s="371"/>
      <c r="D1207" s="2716"/>
      <c r="E1207" s="2716" t="s">
        <v>2749</v>
      </c>
      <c r="F1207" s="293"/>
      <c r="G1207" s="3512" t="s">
        <v>5948</v>
      </c>
      <c r="H1207" s="3391" t="str">
        <f>$V$2</f>
        <v>2019年12月31日</v>
      </c>
      <c r="I1207" s="3392"/>
      <c r="J1207" s="3392"/>
      <c r="K1207" s="355" t="s">
        <v>5949</v>
      </c>
      <c r="L1207" s="349"/>
      <c r="M1207" s="301"/>
      <c r="N1207" s="391"/>
      <c r="O1207" s="349"/>
      <c r="P1207" s="301"/>
      <c r="S1207" s="364"/>
      <c r="Z1207" s="609" t="s">
        <v>540</v>
      </c>
      <c r="AA1207" s="609" t="s">
        <v>3137</v>
      </c>
    </row>
    <row r="1208" spans="1:27" ht="18">
      <c r="A1208" s="2714"/>
      <c r="B1208" s="371"/>
      <c r="C1208" s="371"/>
      <c r="D1208" s="2716"/>
      <c r="E1208" s="2716" t="s">
        <v>2749</v>
      </c>
      <c r="F1208" s="293"/>
      <c r="G1208" s="3513"/>
      <c r="H1208" s="2207" t="s">
        <v>2861</v>
      </c>
      <c r="I1208" s="2207" t="s">
        <v>2862</v>
      </c>
      <c r="J1208" s="2208" t="s">
        <v>2889</v>
      </c>
      <c r="K1208" s="391"/>
      <c r="L1208" s="349"/>
      <c r="M1208" s="301"/>
      <c r="N1208" s="391"/>
      <c r="O1208" s="349"/>
      <c r="P1208" s="301"/>
      <c r="S1208" s="364"/>
      <c r="Z1208" s="609" t="s">
        <v>540</v>
      </c>
      <c r="AA1208" s="609" t="s">
        <v>3137</v>
      </c>
    </row>
    <row r="1209" spans="1:27" ht="18">
      <c r="A1209" s="2714"/>
      <c r="B1209" s="371">
        <v>101</v>
      </c>
      <c r="C1209" s="371" t="s">
        <v>2791</v>
      </c>
      <c r="D1209" s="2716">
        <f t="shared" ref="D1209:D1217" si="107">IF(OR(G1209="*",G1209="",G1209=0),0,COUNTIF($G$1209:$G$1217,G1209))</f>
        <v>0</v>
      </c>
      <c r="E1209" s="2721">
        <v>1</v>
      </c>
      <c r="F1209" s="293"/>
      <c r="G1209" s="2213" t="s">
        <v>2792</v>
      </c>
      <c r="H1209" s="1577"/>
      <c r="I1209" s="422"/>
      <c r="J1209" s="388"/>
      <c r="K1209" s="391"/>
      <c r="L1209" s="349"/>
      <c r="M1209" s="301"/>
      <c r="N1209" s="391"/>
      <c r="O1209" s="349"/>
      <c r="P1209" s="301"/>
      <c r="S1209" s="364"/>
      <c r="Z1209" s="609" t="s">
        <v>540</v>
      </c>
      <c r="AA1209" s="609" t="s">
        <v>3137</v>
      </c>
    </row>
    <row r="1210" spans="1:27" ht="18">
      <c r="A1210" s="2714"/>
      <c r="B1210" s="371">
        <v>102</v>
      </c>
      <c r="C1210" s="371" t="s">
        <v>2791</v>
      </c>
      <c r="D1210" s="2716">
        <f t="shared" si="107"/>
        <v>0</v>
      </c>
      <c r="E1210" s="2721">
        <v>1</v>
      </c>
      <c r="F1210" s="293"/>
      <c r="G1210" s="2213" t="s">
        <v>2792</v>
      </c>
      <c r="H1210" s="1577"/>
      <c r="I1210" s="422"/>
      <c r="J1210" s="388"/>
      <c r="K1210" s="391"/>
      <c r="L1210" s="349"/>
      <c r="M1210" s="301"/>
      <c r="N1210" s="391"/>
      <c r="O1210" s="349"/>
      <c r="P1210" s="301"/>
      <c r="S1210" s="364"/>
      <c r="Z1210" s="609" t="s">
        <v>540</v>
      </c>
      <c r="AA1210" s="609" t="s">
        <v>3137</v>
      </c>
    </row>
    <row r="1211" spans="1:27" ht="18">
      <c r="A1211" s="2714"/>
      <c r="B1211" s="371">
        <v>103</v>
      </c>
      <c r="C1211" s="371" t="s">
        <v>2791</v>
      </c>
      <c r="D1211" s="2716">
        <f t="shared" si="107"/>
        <v>0</v>
      </c>
      <c r="E1211" s="2721">
        <v>1</v>
      </c>
      <c r="F1211" s="293"/>
      <c r="G1211" s="2213" t="s">
        <v>2792</v>
      </c>
      <c r="H1211" s="1577"/>
      <c r="I1211" s="422"/>
      <c r="J1211" s="388"/>
      <c r="K1211" s="391"/>
      <c r="L1211" s="349"/>
      <c r="M1211" s="301"/>
      <c r="N1211" s="391"/>
      <c r="O1211" s="349"/>
      <c r="P1211" s="301"/>
      <c r="S1211" s="364"/>
      <c r="Z1211" s="609" t="s">
        <v>540</v>
      </c>
      <c r="AA1211" s="609" t="s">
        <v>3137</v>
      </c>
    </row>
    <row r="1212" spans="1:27" ht="18">
      <c r="A1212" s="2714"/>
      <c r="B1212" s="371">
        <v>104</v>
      </c>
      <c r="C1212" s="371" t="s">
        <v>2791</v>
      </c>
      <c r="D1212" s="2716">
        <f t="shared" si="107"/>
        <v>0</v>
      </c>
      <c r="E1212" s="2721">
        <v>1</v>
      </c>
      <c r="F1212" s="293"/>
      <c r="G1212" s="2213" t="s">
        <v>2792</v>
      </c>
      <c r="H1212" s="1577"/>
      <c r="I1212" s="422"/>
      <c r="J1212" s="388"/>
      <c r="K1212" s="391"/>
      <c r="L1212" s="349"/>
      <c r="M1212" s="301"/>
      <c r="N1212" s="391"/>
      <c r="O1212" s="349"/>
      <c r="P1212" s="301"/>
      <c r="S1212" s="364"/>
      <c r="Z1212" s="609" t="s">
        <v>540</v>
      </c>
      <c r="AA1212" s="609" t="s">
        <v>3137</v>
      </c>
    </row>
    <row r="1213" spans="1:27" ht="18">
      <c r="A1213" s="2714"/>
      <c r="B1213" s="371">
        <v>105</v>
      </c>
      <c r="C1213" s="371" t="s">
        <v>2791</v>
      </c>
      <c r="D1213" s="2716">
        <f t="shared" si="107"/>
        <v>0</v>
      </c>
      <c r="E1213" s="2721">
        <v>1</v>
      </c>
      <c r="F1213" s="293"/>
      <c r="G1213" s="2213" t="s">
        <v>2792</v>
      </c>
      <c r="H1213" s="1577"/>
      <c r="I1213" s="422"/>
      <c r="J1213" s="388"/>
      <c r="K1213" s="391"/>
      <c r="L1213" s="349"/>
      <c r="M1213" s="301"/>
      <c r="N1213" s="391"/>
      <c r="O1213" s="349"/>
      <c r="P1213" s="301"/>
      <c r="S1213" s="364"/>
      <c r="Z1213" s="609" t="s">
        <v>540</v>
      </c>
      <c r="AA1213" s="609" t="s">
        <v>3137</v>
      </c>
    </row>
    <row r="1214" spans="1:27" ht="18">
      <c r="A1214" s="2714"/>
      <c r="B1214" s="371">
        <v>106</v>
      </c>
      <c r="C1214" s="371" t="s">
        <v>2791</v>
      </c>
      <c r="D1214" s="2716">
        <f t="shared" si="107"/>
        <v>0</v>
      </c>
      <c r="E1214" s="2721">
        <v>1</v>
      </c>
      <c r="F1214" s="293"/>
      <c r="G1214" s="2213" t="s">
        <v>2792</v>
      </c>
      <c r="H1214" s="1577"/>
      <c r="I1214" s="422"/>
      <c r="J1214" s="388"/>
      <c r="K1214" s="391"/>
      <c r="L1214" s="349"/>
      <c r="M1214" s="301"/>
      <c r="N1214" s="391"/>
      <c r="O1214" s="349"/>
      <c r="P1214" s="301"/>
      <c r="S1214" s="364"/>
      <c r="Z1214" s="609" t="s">
        <v>540</v>
      </c>
      <c r="AA1214" s="609" t="s">
        <v>3137</v>
      </c>
    </row>
    <row r="1215" spans="1:27" ht="18">
      <c r="A1215" s="2714"/>
      <c r="B1215" s="371">
        <v>107</v>
      </c>
      <c r="C1215" s="371" t="s">
        <v>2791</v>
      </c>
      <c r="D1215" s="2716">
        <f t="shared" si="107"/>
        <v>0</v>
      </c>
      <c r="E1215" s="2721">
        <v>1</v>
      </c>
      <c r="F1215" s="293"/>
      <c r="G1215" s="2213" t="s">
        <v>2792</v>
      </c>
      <c r="H1215" s="1577"/>
      <c r="I1215" s="422"/>
      <c r="J1215" s="388"/>
      <c r="K1215" s="391"/>
      <c r="L1215" s="349"/>
      <c r="M1215" s="301"/>
      <c r="N1215" s="391"/>
      <c r="O1215" s="349"/>
      <c r="P1215" s="301"/>
      <c r="S1215" s="364"/>
      <c r="Z1215" s="609" t="s">
        <v>540</v>
      </c>
      <c r="AA1215" s="609" t="s">
        <v>3137</v>
      </c>
    </row>
    <row r="1216" spans="1:27" ht="18">
      <c r="A1216" s="2714"/>
      <c r="B1216" s="371">
        <v>108</v>
      </c>
      <c r="C1216" s="371" t="s">
        <v>2791</v>
      </c>
      <c r="D1216" s="2716">
        <f t="shared" si="107"/>
        <v>0</v>
      </c>
      <c r="E1216" s="2721">
        <v>1</v>
      </c>
      <c r="F1216" s="293"/>
      <c r="G1216" s="2213" t="s">
        <v>2792</v>
      </c>
      <c r="H1216" s="1577"/>
      <c r="I1216" s="422"/>
      <c r="J1216" s="388"/>
      <c r="K1216" s="391"/>
      <c r="L1216" s="349"/>
      <c r="M1216" s="301"/>
      <c r="N1216" s="391"/>
      <c r="O1216" s="349"/>
      <c r="P1216" s="301"/>
      <c r="S1216" s="364"/>
      <c r="Z1216" s="609" t="s">
        <v>540</v>
      </c>
      <c r="AA1216" s="609" t="s">
        <v>3137</v>
      </c>
    </row>
    <row r="1217" spans="1:29" ht="18.75" thickBot="1">
      <c r="A1217" s="2714"/>
      <c r="B1217" s="371"/>
      <c r="C1217" s="371"/>
      <c r="D1217" s="2716">
        <f t="shared" si="107"/>
        <v>1</v>
      </c>
      <c r="E1217" s="2721" t="s">
        <v>2751</v>
      </c>
      <c r="F1217" s="293"/>
      <c r="G1217" s="1529" t="s">
        <v>2752</v>
      </c>
      <c r="H1217" s="1527">
        <f>SUMPRODUCT($E1208:$E1216,H1208:H1216)</f>
        <v>0</v>
      </c>
      <c r="I1217" s="1527">
        <f>SUMPRODUCT($E1208:$E1216,I1208:I1216)</f>
        <v>0</v>
      </c>
      <c r="J1217" s="1568">
        <f>SUMPRODUCT($E1208:$E1216,J1208:J1216)</f>
        <v>0</v>
      </c>
      <c r="K1217" s="391"/>
      <c r="L1217" s="349"/>
      <c r="M1217" s="301"/>
      <c r="N1217" s="391"/>
      <c r="O1217" s="349"/>
      <c r="P1217" s="301"/>
      <c r="S1217" s="364"/>
      <c r="Z1217" s="609" t="s">
        <v>540</v>
      </c>
      <c r="AA1217" s="609" t="s">
        <v>3137</v>
      </c>
    </row>
    <row r="1218" spans="1:29" ht="18">
      <c r="A1218" s="2714"/>
      <c r="B1218" s="371"/>
      <c r="C1218" s="371" t="s">
        <v>2755</v>
      </c>
      <c r="D1218" s="2716"/>
      <c r="F1218" s="293"/>
      <c r="G1218" s="376"/>
      <c r="H1218" s="1576"/>
      <c r="I1218" s="396"/>
      <c r="J1218" s="393"/>
      <c r="K1218" s="391"/>
      <c r="L1218" s="349"/>
      <c r="M1218" s="301"/>
      <c r="N1218" s="391"/>
      <c r="O1218" s="349"/>
      <c r="P1218" s="301"/>
      <c r="S1218" s="364"/>
      <c r="Z1218" s="609" t="s">
        <v>540</v>
      </c>
      <c r="AA1218" s="609" t="s">
        <v>3137</v>
      </c>
    </row>
    <row r="1219" spans="1:29" ht="36">
      <c r="A1219" s="2714">
        <v>122103</v>
      </c>
      <c r="B1219" s="371" t="s">
        <v>6547</v>
      </c>
      <c r="C1219" s="371"/>
      <c r="D1219" s="2716" t="str">
        <f>VLOOKUP($A1219,Sheet_NoteList,2,0)</f>
        <v>期末处于第三阶段的其他应收款坏账准备（三阶段模型）</v>
      </c>
      <c r="E1219" s="2716" t="s">
        <v>2742</v>
      </c>
      <c r="F1219" s="293"/>
      <c r="G1219" s="372" t="str">
        <f>"("&amp;B1219&amp;")"&amp;D1219</f>
        <v>(3A3)期末处于第三阶段的其他应收款坏账准备（三阶段模型）</v>
      </c>
      <c r="H1219" s="2315">
        <f>$A1219</f>
        <v>122103</v>
      </c>
      <c r="I1219" s="343" t="s">
        <v>2743</v>
      </c>
      <c r="J1219" s="301" t="s">
        <v>2744</v>
      </c>
      <c r="K1219" s="2210">
        <f>K1231</f>
        <v>0</v>
      </c>
      <c r="L1219" s="349"/>
      <c r="M1219" s="301"/>
      <c r="N1219" s="391"/>
      <c r="O1219" s="349"/>
      <c r="P1219" s="301"/>
      <c r="S1219" s="364"/>
      <c r="Z1219" s="609" t="s">
        <v>540</v>
      </c>
      <c r="AA1219" s="609" t="s">
        <v>3137</v>
      </c>
    </row>
    <row r="1220" spans="1:29" ht="0.75" customHeight="1" thickBot="1">
      <c r="A1220" s="2714"/>
      <c r="B1220" s="371"/>
      <c r="C1220" s="371"/>
      <c r="D1220" s="2716"/>
      <c r="E1220" s="586"/>
      <c r="F1220" s="586"/>
      <c r="G1220" s="2224" t="s">
        <v>5905</v>
      </c>
      <c r="H1220" s="371" t="s">
        <v>2747</v>
      </c>
      <c r="I1220" s="371" t="s">
        <v>2947</v>
      </c>
      <c r="J1220" s="371" t="s">
        <v>5926</v>
      </c>
      <c r="K1220" s="547" t="s">
        <v>5932</v>
      </c>
      <c r="L1220" s="547" t="s">
        <v>3145</v>
      </c>
      <c r="M1220" s="433"/>
      <c r="N1220" s="428"/>
      <c r="O1220" s="428"/>
      <c r="P1220" s="433"/>
      <c r="Q1220" s="442"/>
      <c r="R1220" s="443"/>
      <c r="S1220" s="364"/>
      <c r="Z1220" s="609" t="s">
        <v>540</v>
      </c>
      <c r="AA1220" s="609" t="s">
        <v>3137</v>
      </c>
    </row>
    <row r="1221" spans="1:29" ht="36">
      <c r="A1221" s="2714"/>
      <c r="B1221" s="371"/>
      <c r="C1221" s="371"/>
      <c r="D1221" s="2716"/>
      <c r="E1221" s="586" t="s">
        <v>2749</v>
      </c>
      <c r="F1221" s="414"/>
      <c r="G1221" s="2289" t="s">
        <v>5135</v>
      </c>
      <c r="H1221" s="2291" t="s">
        <v>2861</v>
      </c>
      <c r="I1221" s="2291" t="s">
        <v>3148</v>
      </c>
      <c r="J1221" s="2291" t="s">
        <v>2862</v>
      </c>
      <c r="K1221" s="2311" t="s">
        <v>2863</v>
      </c>
      <c r="L1221" s="2312" t="s">
        <v>3147</v>
      </c>
      <c r="M1221" s="355" t="s">
        <v>5273</v>
      </c>
      <c r="N1221" s="434"/>
      <c r="O1221" s="434"/>
      <c r="P1221" s="435"/>
      <c r="Q1221" s="442"/>
      <c r="R1221" s="443"/>
      <c r="S1221" s="364"/>
      <c r="Z1221" s="609" t="s">
        <v>540</v>
      </c>
      <c r="AA1221" s="609" t="s">
        <v>3137</v>
      </c>
    </row>
    <row r="1222" spans="1:29" ht="18">
      <c r="A1222" s="2714"/>
      <c r="B1222" s="371">
        <v>101</v>
      </c>
      <c r="C1222" s="371"/>
      <c r="D1222" s="2716">
        <f t="shared" ref="D1222:D1231" si="108">IF(OR(G1222="*",G1222="",G1222=0),0,COUNTIF($G$1222:$G$1231,G1222))</f>
        <v>1</v>
      </c>
      <c r="E1222" s="2721">
        <v>1</v>
      </c>
      <c r="F1222" s="293"/>
      <c r="G1222" s="1474" t="s">
        <v>2890</v>
      </c>
      <c r="H1222" s="2275">
        <f>SUM(H1223:H1225)</f>
        <v>0</v>
      </c>
      <c r="I1222" s="2298"/>
      <c r="J1222" s="2275">
        <f>SUM(J1223:J1225)</f>
        <v>0</v>
      </c>
      <c r="K1222" s="1476">
        <f t="shared" ref="K1222:K1230" si="109">H1222-J1222</f>
        <v>0</v>
      </c>
      <c r="L1222" s="2276"/>
      <c r="M1222" s="1589" t="str">
        <f ca="1">HYPERLINK("#'"&amp;$G$1&amp;"'!"&amp;ADDRESS(ROW(Notes!H1249),COLUMN(Notes!H1249),4),"* 请勿删除此行！点击往勾稽单元格，F5+Enter返回")</f>
        <v>* 请勿删除此行！点击往勾稽单元格，F5+Enter返回</v>
      </c>
      <c r="N1222" s="2193"/>
      <c r="O1222" s="437"/>
      <c r="P1222" s="438"/>
      <c r="Q1222" s="442"/>
      <c r="R1222" s="443"/>
      <c r="S1222" s="364"/>
      <c r="Z1222" s="609" t="s">
        <v>540</v>
      </c>
      <c r="AA1222" s="609" t="s">
        <v>3137</v>
      </c>
      <c r="AC1222" s="369" t="s">
        <v>6573</v>
      </c>
    </row>
    <row r="1223" spans="1:29" ht="18">
      <c r="A1223" s="2714"/>
      <c r="B1223" s="371">
        <v>102</v>
      </c>
      <c r="C1223" s="371" t="s">
        <v>2791</v>
      </c>
      <c r="D1223" s="2716">
        <f t="shared" si="108"/>
        <v>0</v>
      </c>
      <c r="E1223" s="2721">
        <v>0</v>
      </c>
      <c r="F1223" s="293"/>
      <c r="G1223" s="2284" t="s">
        <v>2792</v>
      </c>
      <c r="H1223" s="2275"/>
      <c r="I1223" s="2298"/>
      <c r="J1223" s="2275"/>
      <c r="K1223" s="1476">
        <f t="shared" si="109"/>
        <v>0</v>
      </c>
      <c r="L1223" s="2276"/>
      <c r="M1223" s="355" t="s">
        <v>6136</v>
      </c>
      <c r="N1223" s="439"/>
      <c r="O1223" s="437"/>
      <c r="P1223" s="438"/>
      <c r="Q1223" s="442"/>
      <c r="R1223" s="443"/>
      <c r="S1223" s="364"/>
      <c r="Z1223" s="609" t="s">
        <v>540</v>
      </c>
      <c r="AA1223" s="609" t="s">
        <v>3137</v>
      </c>
    </row>
    <row r="1224" spans="1:29" ht="18">
      <c r="A1224" s="2714"/>
      <c r="B1224" s="371">
        <v>103</v>
      </c>
      <c r="C1224" s="371" t="s">
        <v>2791</v>
      </c>
      <c r="D1224" s="2716">
        <f t="shared" si="108"/>
        <v>0</v>
      </c>
      <c r="E1224" s="2721">
        <v>0</v>
      </c>
      <c r="F1224" s="293"/>
      <c r="G1224" s="2284" t="s">
        <v>2792</v>
      </c>
      <c r="H1224" s="2275"/>
      <c r="I1224" s="2298"/>
      <c r="J1224" s="2275"/>
      <c r="K1224" s="1476">
        <f t="shared" si="109"/>
        <v>0</v>
      </c>
      <c r="L1224" s="2276"/>
      <c r="M1224" s="438"/>
      <c r="N1224" s="439"/>
      <c r="O1224" s="437"/>
      <c r="P1224" s="438"/>
      <c r="Q1224" s="442"/>
      <c r="R1224" s="443"/>
      <c r="S1224" s="364"/>
      <c r="Z1224" s="609" t="s">
        <v>540</v>
      </c>
      <c r="AA1224" s="609" t="s">
        <v>3137</v>
      </c>
    </row>
    <row r="1225" spans="1:29" ht="18">
      <c r="A1225" s="2714"/>
      <c r="B1225" s="371">
        <v>104</v>
      </c>
      <c r="C1225" s="371" t="s">
        <v>2791</v>
      </c>
      <c r="D1225" s="2716">
        <f t="shared" si="108"/>
        <v>0</v>
      </c>
      <c r="E1225" s="2721">
        <v>0</v>
      </c>
      <c r="F1225" s="293"/>
      <c r="G1225" s="2284" t="s">
        <v>2792</v>
      </c>
      <c r="H1225" s="2275"/>
      <c r="I1225" s="2298"/>
      <c r="J1225" s="2275"/>
      <c r="K1225" s="1476">
        <f t="shared" si="109"/>
        <v>0</v>
      </c>
      <c r="L1225" s="2276"/>
      <c r="M1225" s="438"/>
      <c r="N1225" s="439"/>
      <c r="O1225" s="437"/>
      <c r="P1225" s="438"/>
      <c r="Q1225" s="442"/>
      <c r="R1225" s="443"/>
      <c r="S1225" s="364"/>
      <c r="Z1225" s="609" t="s">
        <v>540</v>
      </c>
      <c r="AA1225" s="609" t="s">
        <v>3137</v>
      </c>
    </row>
    <row r="1226" spans="1:29" ht="18">
      <c r="A1226" s="2714"/>
      <c r="B1226" s="371">
        <v>105</v>
      </c>
      <c r="C1226" s="371"/>
      <c r="D1226" s="2716">
        <f t="shared" si="108"/>
        <v>1</v>
      </c>
      <c r="E1226" s="2721">
        <v>1</v>
      </c>
      <c r="F1226" s="293"/>
      <c r="G1226" s="1474" t="s">
        <v>2892</v>
      </c>
      <c r="H1226" s="2275">
        <f>SUM(H1227:H1229)</f>
        <v>0</v>
      </c>
      <c r="I1226" s="2298"/>
      <c r="J1226" s="2275">
        <f>SUM(J1227:J1229)</f>
        <v>0</v>
      </c>
      <c r="K1226" s="1476">
        <f t="shared" si="109"/>
        <v>0</v>
      </c>
      <c r="L1226" s="2276"/>
      <c r="M1226" s="438"/>
      <c r="N1226" s="439"/>
      <c r="O1226" s="437"/>
      <c r="P1226" s="438"/>
      <c r="Q1226" s="442"/>
      <c r="R1226" s="443"/>
      <c r="S1226" s="364"/>
      <c r="Z1226" s="609" t="s">
        <v>540</v>
      </c>
      <c r="AA1226" s="609" t="s">
        <v>3137</v>
      </c>
    </row>
    <row r="1227" spans="1:29" ht="18">
      <c r="A1227" s="2714"/>
      <c r="B1227" s="371">
        <v>106</v>
      </c>
      <c r="C1227" s="371" t="s">
        <v>2791</v>
      </c>
      <c r="D1227" s="2716">
        <f t="shared" si="108"/>
        <v>1</v>
      </c>
      <c r="E1227" s="2721">
        <v>0</v>
      </c>
      <c r="F1227" s="293"/>
      <c r="G1227" s="2284" t="s">
        <v>5945</v>
      </c>
      <c r="H1227" s="2275"/>
      <c r="I1227" s="2298"/>
      <c r="J1227" s="2275"/>
      <c r="K1227" s="1476">
        <f t="shared" si="109"/>
        <v>0</v>
      </c>
      <c r="L1227" s="2276"/>
      <c r="M1227" s="1589" t="str">
        <f ca="1">HYPERLINK("#'"&amp;$G$1&amp;"'!"&amp;ADDRESS(ROW(Notes!H1271),COLUMN(Notes!H1271),4),"* 请勿删除此行！点击往勾稽单元格，F5+Enter返回")</f>
        <v>* 请勿删除此行！点击往勾稽单元格，F5+Enter返回</v>
      </c>
      <c r="N1227" s="439"/>
      <c r="O1227" s="437"/>
      <c r="P1227" s="438"/>
      <c r="Q1227" s="442"/>
      <c r="R1227" s="443"/>
      <c r="S1227" s="364"/>
      <c r="Z1227" s="609" t="s">
        <v>540</v>
      </c>
      <c r="AA1227" s="609" t="s">
        <v>3137</v>
      </c>
      <c r="AC1227" s="369" t="s">
        <v>6573</v>
      </c>
    </row>
    <row r="1228" spans="1:29" ht="18">
      <c r="A1228" s="2714"/>
      <c r="B1228" s="371">
        <v>107</v>
      </c>
      <c r="C1228" s="371" t="s">
        <v>2791</v>
      </c>
      <c r="D1228" s="2716">
        <f t="shared" si="108"/>
        <v>1</v>
      </c>
      <c r="E1228" s="2721">
        <v>0</v>
      </c>
      <c r="F1228" s="293"/>
      <c r="G1228" s="2284" t="s">
        <v>2894</v>
      </c>
      <c r="H1228" s="2275"/>
      <c r="I1228" s="2298"/>
      <c r="J1228" s="2275"/>
      <c r="K1228" s="1476">
        <f t="shared" si="109"/>
        <v>0</v>
      </c>
      <c r="L1228" s="2276"/>
      <c r="M1228" s="438"/>
      <c r="N1228" s="439"/>
      <c r="O1228" s="437"/>
      <c r="P1228" s="438"/>
      <c r="Q1228" s="442"/>
      <c r="R1228" s="443"/>
      <c r="S1228" s="364"/>
      <c r="Z1228" s="609" t="s">
        <v>540</v>
      </c>
      <c r="AA1228" s="609" t="s">
        <v>3137</v>
      </c>
    </row>
    <row r="1229" spans="1:29" ht="18">
      <c r="A1229" s="2714"/>
      <c r="B1229" s="371">
        <v>108</v>
      </c>
      <c r="C1229" s="371" t="s">
        <v>6532</v>
      </c>
      <c r="D1229" s="2716">
        <f t="shared" si="108"/>
        <v>1</v>
      </c>
      <c r="E1229" s="2721">
        <v>0</v>
      </c>
      <c r="F1229" s="293"/>
      <c r="G1229" s="2284" t="s">
        <v>5946</v>
      </c>
      <c r="H1229" s="2275"/>
      <c r="I1229" s="2298"/>
      <c r="J1229" s="2275"/>
      <c r="K1229" s="1476">
        <f t="shared" ref="K1229" si="110">H1229-J1229</f>
        <v>0</v>
      </c>
      <c r="L1229" s="2276"/>
      <c r="M1229" s="438"/>
      <c r="N1229" s="439"/>
      <c r="O1229" s="437"/>
      <c r="P1229" s="438"/>
      <c r="Q1229" s="442"/>
      <c r="R1229" s="443"/>
      <c r="S1229" s="364"/>
      <c r="Z1229" s="609" t="s">
        <v>540</v>
      </c>
      <c r="AA1229" s="609" t="s">
        <v>3137</v>
      </c>
    </row>
    <row r="1230" spans="1:29" ht="18">
      <c r="A1230" s="2714"/>
      <c r="B1230" s="371">
        <v>109</v>
      </c>
      <c r="C1230" s="371" t="s">
        <v>2791</v>
      </c>
      <c r="D1230" s="2716">
        <f t="shared" si="108"/>
        <v>0</v>
      </c>
      <c r="E1230" s="2721">
        <v>0</v>
      </c>
      <c r="F1230" s="293"/>
      <c r="G1230" s="2284" t="s">
        <v>2792</v>
      </c>
      <c r="H1230" s="2275"/>
      <c r="I1230" s="2298"/>
      <c r="J1230" s="2275"/>
      <c r="K1230" s="1476">
        <f t="shared" si="109"/>
        <v>0</v>
      </c>
      <c r="L1230" s="2276"/>
      <c r="M1230" s="438"/>
      <c r="N1230" s="439"/>
      <c r="O1230" s="437"/>
      <c r="P1230" s="438"/>
      <c r="Q1230" s="442"/>
      <c r="R1230" s="443"/>
      <c r="S1230" s="364"/>
      <c r="Z1230" s="609" t="s">
        <v>540</v>
      </c>
      <c r="AA1230" s="609" t="s">
        <v>3137</v>
      </c>
    </row>
    <row r="1231" spans="1:29" ht="18.75" thickBot="1">
      <c r="A1231" s="2714"/>
      <c r="B1231" s="371"/>
      <c r="C1231" s="371"/>
      <c r="D1231" s="2716">
        <f t="shared" si="108"/>
        <v>1</v>
      </c>
      <c r="E1231" s="2721" t="s">
        <v>2751</v>
      </c>
      <c r="F1231" s="293"/>
      <c r="G1231" s="2234" t="s">
        <v>2752</v>
      </c>
      <c r="H1231" s="2235">
        <f>SUMPRODUCT($E1221:$E1230,H1221:H1230)</f>
        <v>0</v>
      </c>
      <c r="I1231" s="2242">
        <f>SUMPRODUCT($E1221:$E1230,I1221:I1230)</f>
        <v>0</v>
      </c>
      <c r="J1231" s="2235">
        <f>SUMPRODUCT($E1221:$E1230,J1221:J1230)</f>
        <v>0</v>
      </c>
      <c r="K1231" s="2235">
        <f>SUMPRODUCT($E1221:$E1230,K1221:K1230)</f>
        <v>0</v>
      </c>
      <c r="L1231" s="2244"/>
      <c r="M1231" s="1597" t="str">
        <f ca="1">HYPERLINK("#'"&amp;$G$1&amp;"'!"&amp;ADDRESS(ROW(Notes!L1032),COLUMN(Notes!L1032),4),"* 请勿删除此行！点击往勾稽单元格，F5+Enter返回")</f>
        <v>* 请勿删除此行！点击往勾稽单元格，F5+Enter返回</v>
      </c>
      <c r="N1231" s="439"/>
      <c r="O1231" s="437"/>
      <c r="P1231" s="440"/>
      <c r="Q1231" s="442"/>
      <c r="R1231" s="443"/>
      <c r="S1231" s="364"/>
      <c r="Z1231" s="609" t="s">
        <v>540</v>
      </c>
      <c r="AA1231" s="609" t="s">
        <v>3137</v>
      </c>
      <c r="AC1231" s="369" t="s">
        <v>6573</v>
      </c>
    </row>
    <row r="1232" spans="1:29" ht="18">
      <c r="A1232" s="2714"/>
      <c r="B1232" s="371"/>
      <c r="C1232" s="371" t="s">
        <v>2755</v>
      </c>
      <c r="D1232" s="2716"/>
      <c r="F1232" s="293"/>
      <c r="G1232" s="376"/>
      <c r="H1232" s="315"/>
      <c r="I1232" s="432"/>
      <c r="J1232" s="315"/>
      <c r="K1232" s="423"/>
      <c r="L1232" s="393"/>
      <c r="M1232" s="425"/>
      <c r="N1232" s="426"/>
      <c r="O1232" s="427"/>
      <c r="P1232" s="425"/>
      <c r="Q1232" s="442"/>
      <c r="R1232" s="443"/>
      <c r="S1232" s="364"/>
      <c r="Z1232" s="609" t="s">
        <v>540</v>
      </c>
      <c r="AA1232" s="609" t="s">
        <v>3137</v>
      </c>
    </row>
    <row r="1233" spans="1:27" ht="36">
      <c r="A1233" s="2714">
        <v>122131</v>
      </c>
      <c r="B1233" s="371" t="s">
        <v>6548</v>
      </c>
      <c r="C1233" s="371"/>
      <c r="D1233" s="2716" t="str">
        <f>VLOOKUP($A1233,Sheet_NoteList,2,0)</f>
        <v>期末按单项计提坏账准备的其他应收款（第三阶段）</v>
      </c>
      <c r="E1233" s="2716" t="s">
        <v>6531</v>
      </c>
      <c r="F1233" s="293"/>
      <c r="G1233" s="372" t="str">
        <f>"("&amp;B1233&amp;")"&amp;D1233</f>
        <v>(3A3.1)期末按单项计提坏账准备的其他应收款（第三阶段）</v>
      </c>
      <c r="H1233" s="2315">
        <f>$A1233</f>
        <v>122131</v>
      </c>
      <c r="I1233" s="343" t="s">
        <v>5934</v>
      </c>
      <c r="J1233" s="301" t="s">
        <v>5935</v>
      </c>
      <c r="K1233" s="2210">
        <f>H1246</f>
        <v>0</v>
      </c>
      <c r="L1233" s="349"/>
      <c r="M1233" s="301"/>
      <c r="N1233" s="391"/>
      <c r="O1233" s="349"/>
      <c r="P1233" s="301"/>
      <c r="S1233" s="364"/>
      <c r="Z1233" s="609" t="s">
        <v>540</v>
      </c>
      <c r="AA1233" s="609" t="s">
        <v>3137</v>
      </c>
    </row>
    <row r="1234" spans="1:27" ht="0.75" customHeight="1">
      <c r="A1234" s="2714"/>
      <c r="B1234" s="371"/>
      <c r="C1234" s="371"/>
      <c r="D1234" s="2716"/>
      <c r="E1234" s="586"/>
      <c r="F1234" s="586"/>
      <c r="G1234" s="2224" t="s">
        <v>5941</v>
      </c>
      <c r="H1234" s="371" t="s">
        <v>5474</v>
      </c>
      <c r="I1234" s="371" t="s">
        <v>5475</v>
      </c>
      <c r="J1234" s="371" t="s">
        <v>5476</v>
      </c>
      <c r="K1234" s="371" t="s">
        <v>5477</v>
      </c>
      <c r="L1234" s="349"/>
      <c r="M1234" s="301"/>
      <c r="N1234" s="391"/>
      <c r="O1234" s="349"/>
      <c r="P1234" s="301"/>
      <c r="S1234" s="364"/>
      <c r="Z1234" s="609" t="s">
        <v>540</v>
      </c>
      <c r="AA1234" s="609" t="s">
        <v>3137</v>
      </c>
    </row>
    <row r="1235" spans="1:27" ht="0.75" customHeight="1" thickBot="1">
      <c r="A1235" s="2714"/>
      <c r="B1235" s="371"/>
      <c r="C1235" s="371"/>
      <c r="D1235" s="2716"/>
      <c r="E1235" s="586"/>
      <c r="F1235" s="586"/>
      <c r="G1235" s="2224"/>
      <c r="H1235" s="371" t="s">
        <v>5472</v>
      </c>
      <c r="I1235" s="371" t="s">
        <v>5377</v>
      </c>
      <c r="J1235" s="371" t="s">
        <v>5473</v>
      </c>
      <c r="K1235" s="371" t="s">
        <v>5387</v>
      </c>
      <c r="L1235" s="349"/>
      <c r="M1235" s="301"/>
      <c r="N1235" s="391"/>
      <c r="O1235" s="349"/>
      <c r="P1235" s="301"/>
      <c r="S1235" s="364"/>
      <c r="Z1235" s="609" t="s">
        <v>540</v>
      </c>
      <c r="AA1235" s="609" t="s">
        <v>3137</v>
      </c>
    </row>
    <row r="1236" spans="1:27" ht="18" customHeight="1">
      <c r="A1236" s="2714"/>
      <c r="B1236" s="371"/>
      <c r="C1236" s="371"/>
      <c r="D1236" s="2716"/>
      <c r="E1236" s="586" t="s">
        <v>2749</v>
      </c>
      <c r="F1236" s="414"/>
      <c r="G1236" s="3472" t="s">
        <v>6003</v>
      </c>
      <c r="H1236" s="3418" t="str">
        <f>$V$2</f>
        <v>2019年12月31日</v>
      </c>
      <c r="I1236" s="3419"/>
      <c r="J1236" s="3419"/>
      <c r="K1236" s="3419"/>
      <c r="L1236" s="355" t="s">
        <v>5273</v>
      </c>
      <c r="M1236" s="301"/>
      <c r="N1236" s="391"/>
      <c r="O1236" s="349"/>
      <c r="P1236" s="301"/>
      <c r="S1236" s="364"/>
      <c r="Z1236" s="609" t="s">
        <v>540</v>
      </c>
      <c r="AA1236" s="609" t="s">
        <v>3137</v>
      </c>
    </row>
    <row r="1237" spans="1:27" ht="18">
      <c r="A1237" s="2714"/>
      <c r="B1237" s="371"/>
      <c r="C1237" s="371"/>
      <c r="D1237" s="2716"/>
      <c r="E1237" s="586" t="s">
        <v>2749</v>
      </c>
      <c r="F1237" s="414"/>
      <c r="G1237" s="3473"/>
      <c r="H1237" s="2294" t="s">
        <v>2861</v>
      </c>
      <c r="I1237" s="2294" t="s">
        <v>2862</v>
      </c>
      <c r="J1237" s="2294" t="s">
        <v>3001</v>
      </c>
      <c r="K1237" s="2240" t="s">
        <v>2899</v>
      </c>
      <c r="L1237" s="349"/>
      <c r="M1237" s="301"/>
      <c r="N1237" s="391"/>
      <c r="O1237" s="349"/>
      <c r="P1237" s="301"/>
      <c r="S1237" s="364"/>
      <c r="Z1237" s="609" t="s">
        <v>540</v>
      </c>
      <c r="AA1237" s="609" t="s">
        <v>3137</v>
      </c>
    </row>
    <row r="1238" spans="1:27" ht="18">
      <c r="A1238" s="2714"/>
      <c r="B1238" s="371">
        <v>101</v>
      </c>
      <c r="C1238" s="371" t="s">
        <v>2791</v>
      </c>
      <c r="D1238" s="2716">
        <f t="shared" ref="D1238:D1246" si="111">IF(OR(G1238="*",G1238="",G1238=0),0,COUNTIF($G$1238:$G$1246,G1238))</f>
        <v>0</v>
      </c>
      <c r="E1238" s="2721">
        <v>1</v>
      </c>
      <c r="F1238" s="293"/>
      <c r="G1238" s="2284" t="s">
        <v>2792</v>
      </c>
      <c r="H1238" s="2275"/>
      <c r="I1238" s="2275"/>
      <c r="J1238" s="2298"/>
      <c r="K1238" s="2276"/>
      <c r="L1238" s="349"/>
      <c r="M1238" s="301"/>
      <c r="N1238" s="391"/>
      <c r="O1238" s="349"/>
      <c r="P1238" s="301"/>
      <c r="S1238" s="364"/>
      <c r="Z1238" s="609" t="s">
        <v>540</v>
      </c>
      <c r="AA1238" s="609" t="s">
        <v>3137</v>
      </c>
    </row>
    <row r="1239" spans="1:27" ht="18">
      <c r="A1239" s="2714"/>
      <c r="B1239" s="371">
        <v>102</v>
      </c>
      <c r="C1239" s="371" t="s">
        <v>2791</v>
      </c>
      <c r="D1239" s="2716">
        <f t="shared" si="111"/>
        <v>0</v>
      </c>
      <c r="E1239" s="2721">
        <v>1</v>
      </c>
      <c r="F1239" s="293"/>
      <c r="G1239" s="2284" t="s">
        <v>2792</v>
      </c>
      <c r="H1239" s="2275"/>
      <c r="I1239" s="2275"/>
      <c r="J1239" s="2298"/>
      <c r="K1239" s="2276"/>
      <c r="L1239" s="349"/>
      <c r="M1239" s="301"/>
      <c r="N1239" s="391"/>
      <c r="O1239" s="349"/>
      <c r="P1239" s="301"/>
      <c r="S1239" s="364"/>
      <c r="Z1239" s="609" t="s">
        <v>540</v>
      </c>
      <c r="AA1239" s="609" t="s">
        <v>3137</v>
      </c>
    </row>
    <row r="1240" spans="1:27" ht="18">
      <c r="A1240" s="2714"/>
      <c r="B1240" s="371">
        <v>103</v>
      </c>
      <c r="C1240" s="371" t="s">
        <v>2791</v>
      </c>
      <c r="D1240" s="2716">
        <f t="shared" si="111"/>
        <v>0</v>
      </c>
      <c r="E1240" s="2721">
        <v>1</v>
      </c>
      <c r="F1240" s="293"/>
      <c r="G1240" s="2284" t="s">
        <v>2792</v>
      </c>
      <c r="H1240" s="2275"/>
      <c r="I1240" s="2275"/>
      <c r="J1240" s="2298"/>
      <c r="K1240" s="2276"/>
      <c r="L1240" s="349"/>
      <c r="M1240" s="301"/>
      <c r="N1240" s="391"/>
      <c r="O1240" s="349"/>
      <c r="P1240" s="301"/>
      <c r="S1240" s="364"/>
      <c r="Z1240" s="609" t="s">
        <v>540</v>
      </c>
      <c r="AA1240" s="609" t="s">
        <v>3137</v>
      </c>
    </row>
    <row r="1241" spans="1:27" ht="18">
      <c r="A1241" s="2714"/>
      <c r="B1241" s="371">
        <v>104</v>
      </c>
      <c r="C1241" s="371" t="s">
        <v>2791</v>
      </c>
      <c r="D1241" s="2716">
        <f t="shared" si="111"/>
        <v>0</v>
      </c>
      <c r="E1241" s="2721">
        <v>1</v>
      </c>
      <c r="F1241" s="293"/>
      <c r="G1241" s="2284" t="s">
        <v>2792</v>
      </c>
      <c r="H1241" s="2275"/>
      <c r="I1241" s="2275"/>
      <c r="J1241" s="2298"/>
      <c r="K1241" s="2276"/>
      <c r="L1241" s="349"/>
      <c r="M1241" s="301"/>
      <c r="N1241" s="391"/>
      <c r="O1241" s="349"/>
      <c r="P1241" s="301"/>
      <c r="S1241" s="364"/>
      <c r="Z1241" s="609" t="s">
        <v>540</v>
      </c>
      <c r="AA1241" s="609" t="s">
        <v>3137</v>
      </c>
    </row>
    <row r="1242" spans="1:27" ht="18">
      <c r="A1242" s="2714"/>
      <c r="B1242" s="371">
        <v>105</v>
      </c>
      <c r="C1242" s="371" t="s">
        <v>2791</v>
      </c>
      <c r="D1242" s="2716">
        <f t="shared" si="111"/>
        <v>0</v>
      </c>
      <c r="E1242" s="2721">
        <v>1</v>
      </c>
      <c r="F1242" s="293"/>
      <c r="G1242" s="2284" t="s">
        <v>2792</v>
      </c>
      <c r="H1242" s="2275"/>
      <c r="I1242" s="2275"/>
      <c r="J1242" s="2298"/>
      <c r="K1242" s="2276"/>
      <c r="L1242" s="349"/>
      <c r="M1242" s="301"/>
      <c r="N1242" s="391"/>
      <c r="O1242" s="349"/>
      <c r="P1242" s="301"/>
      <c r="S1242" s="364"/>
      <c r="Z1242" s="609" t="s">
        <v>540</v>
      </c>
      <c r="AA1242" s="609" t="s">
        <v>3137</v>
      </c>
    </row>
    <row r="1243" spans="1:27" ht="18">
      <c r="A1243" s="2714"/>
      <c r="B1243" s="371">
        <v>106</v>
      </c>
      <c r="C1243" s="371" t="s">
        <v>2791</v>
      </c>
      <c r="D1243" s="2716">
        <f t="shared" si="111"/>
        <v>0</v>
      </c>
      <c r="E1243" s="2721">
        <v>1</v>
      </c>
      <c r="F1243" s="293"/>
      <c r="G1243" s="2284" t="s">
        <v>2792</v>
      </c>
      <c r="H1243" s="2275"/>
      <c r="I1243" s="2275"/>
      <c r="J1243" s="2298"/>
      <c r="K1243" s="2276"/>
      <c r="L1243" s="349"/>
      <c r="M1243" s="301"/>
      <c r="N1243" s="391"/>
      <c r="O1243" s="349"/>
      <c r="P1243" s="301"/>
      <c r="S1243" s="364"/>
      <c r="Z1243" s="609" t="s">
        <v>540</v>
      </c>
      <c r="AA1243" s="609" t="s">
        <v>3137</v>
      </c>
    </row>
    <row r="1244" spans="1:27" ht="18">
      <c r="A1244" s="2714"/>
      <c r="B1244" s="371">
        <v>107</v>
      </c>
      <c r="C1244" s="371" t="s">
        <v>2791</v>
      </c>
      <c r="D1244" s="2716">
        <f t="shared" si="111"/>
        <v>0</v>
      </c>
      <c r="E1244" s="2721">
        <v>1</v>
      </c>
      <c r="F1244" s="293"/>
      <c r="G1244" s="2284" t="s">
        <v>2792</v>
      </c>
      <c r="H1244" s="2275"/>
      <c r="I1244" s="2275"/>
      <c r="J1244" s="2298"/>
      <c r="K1244" s="2276"/>
      <c r="L1244" s="349"/>
      <c r="M1244" s="301"/>
      <c r="N1244" s="391"/>
      <c r="O1244" s="349"/>
      <c r="P1244" s="301"/>
      <c r="S1244" s="364"/>
      <c r="Z1244" s="609" t="s">
        <v>540</v>
      </c>
      <c r="AA1244" s="609" t="s">
        <v>3137</v>
      </c>
    </row>
    <row r="1245" spans="1:27" ht="18">
      <c r="A1245" s="2714"/>
      <c r="B1245" s="371">
        <v>108</v>
      </c>
      <c r="C1245" s="371" t="s">
        <v>2791</v>
      </c>
      <c r="D1245" s="2716">
        <f t="shared" si="111"/>
        <v>0</v>
      </c>
      <c r="E1245" s="2721">
        <v>1</v>
      </c>
      <c r="F1245" s="293"/>
      <c r="G1245" s="2284" t="s">
        <v>2792</v>
      </c>
      <c r="H1245" s="2275"/>
      <c r="I1245" s="2275"/>
      <c r="J1245" s="2298"/>
      <c r="K1245" s="2276"/>
      <c r="L1245" s="349"/>
      <c r="M1245" s="301"/>
      <c r="N1245" s="391"/>
      <c r="O1245" s="349"/>
      <c r="P1245" s="301"/>
      <c r="S1245" s="364"/>
      <c r="Z1245" s="609" t="s">
        <v>540</v>
      </c>
      <c r="AA1245" s="609" t="s">
        <v>3137</v>
      </c>
    </row>
    <row r="1246" spans="1:27" ht="18.75" thickBot="1">
      <c r="A1246" s="2714"/>
      <c r="B1246" s="371"/>
      <c r="C1246" s="371"/>
      <c r="D1246" s="2716">
        <f t="shared" si="111"/>
        <v>1</v>
      </c>
      <c r="E1246" s="2721" t="s">
        <v>2751</v>
      </c>
      <c r="F1246" s="293"/>
      <c r="G1246" s="2234" t="s">
        <v>2752</v>
      </c>
      <c r="H1246" s="2235">
        <f>SUMPRODUCT($E1237:$E1245,H1237:H1245)</f>
        <v>0</v>
      </c>
      <c r="I1246" s="2235">
        <f>SUMPRODUCT($E1237:$E1245,I1237:I1245)</f>
        <v>0</v>
      </c>
      <c r="J1246" s="2241"/>
      <c r="K1246" s="2244"/>
      <c r="L1246" s="349"/>
      <c r="M1246" s="301"/>
      <c r="N1246" s="391"/>
      <c r="O1246" s="349"/>
      <c r="P1246" s="301"/>
      <c r="S1246" s="364"/>
      <c r="Z1246" s="609" t="s">
        <v>540</v>
      </c>
      <c r="AA1246" s="609" t="s">
        <v>3137</v>
      </c>
    </row>
    <row r="1247" spans="1:27" ht="18.75" thickBot="1">
      <c r="A1247" s="2714"/>
      <c r="B1247" s="371"/>
      <c r="C1247" s="371" t="s">
        <v>2755</v>
      </c>
      <c r="D1247" s="2716"/>
      <c r="F1247" s="293"/>
      <c r="G1247" s="376"/>
      <c r="H1247" s="2626" t="s">
        <v>3002</v>
      </c>
      <c r="I1247" s="2253" t="s">
        <v>3002</v>
      </c>
      <c r="J1247" s="393"/>
      <c r="K1247" s="392"/>
      <c r="L1247" s="349"/>
      <c r="M1247" s="301"/>
      <c r="N1247" s="391"/>
      <c r="O1247" s="349"/>
      <c r="P1247" s="301"/>
      <c r="S1247" s="364"/>
      <c r="Z1247" s="609" t="s">
        <v>540</v>
      </c>
      <c r="AA1247" s="609" t="s">
        <v>3137</v>
      </c>
    </row>
    <row r="1248" spans="1:27" ht="18.75" thickTop="1">
      <c r="A1248" s="2714"/>
      <c r="B1248" s="371"/>
      <c r="C1248" s="371" t="s">
        <v>2565</v>
      </c>
      <c r="D1248" s="2716"/>
      <c r="F1248" s="293"/>
      <c r="G1248" s="1549" t="s">
        <v>5367</v>
      </c>
      <c r="H1248" s="1550" t="str">
        <f>G1219</f>
        <v>(3A3)期末处于第三阶段的其他应收款坏账准备（三阶段模型）</v>
      </c>
      <c r="I1248" s="1552"/>
      <c r="J1248" s="1551"/>
      <c r="K1248" s="1551"/>
      <c r="L1248" s="1553" t="s">
        <v>5368</v>
      </c>
      <c r="M1248" s="301"/>
      <c r="N1248" s="391"/>
      <c r="O1248" s="349"/>
      <c r="P1248" s="301"/>
      <c r="S1248" s="364"/>
      <c r="Z1248" s="609" t="s">
        <v>540</v>
      </c>
      <c r="AA1248" s="609" t="s">
        <v>3137</v>
      </c>
    </row>
    <row r="1249" spans="1:27" ht="18">
      <c r="A1249" s="2714"/>
      <c r="B1249" s="371"/>
      <c r="C1249" s="371" t="s">
        <v>2565</v>
      </c>
      <c r="D1249" s="2716"/>
      <c r="F1249" s="293"/>
      <c r="G1249" s="604" t="str">
        <f>"注释A:"&amp; G1222</f>
        <v>注释A:按单项计提坏账准备</v>
      </c>
      <c r="H1249" s="2252">
        <f ca="1">HYPERLINK("#'"&amp;$G$1&amp;"'!"&amp;ADDRESS(ROW(Notes!H1222),COLUMN(Notes!H1222),4),H1222)</f>
        <v>0</v>
      </c>
      <c r="I1249" s="2252">
        <f ca="1">HYPERLINK("#'"&amp;$G$1&amp;"'!"&amp;ADDRESS(ROW(Notes!J1222),COLUMN(Notes!J1222),4),J1222)</f>
        <v>0</v>
      </c>
      <c r="J1249" s="351"/>
      <c r="K1249" s="351"/>
      <c r="L1249" s="2632">
        <f>H1219</f>
        <v>122103</v>
      </c>
      <c r="M1249" s="301"/>
      <c r="N1249" s="391"/>
      <c r="O1249" s="349"/>
      <c r="P1249" s="301"/>
      <c r="S1249" s="364"/>
      <c r="Z1249" s="609" t="s">
        <v>540</v>
      </c>
      <c r="AA1249" s="609" t="s">
        <v>3137</v>
      </c>
    </row>
    <row r="1250" spans="1:27" ht="18">
      <c r="A1250" s="2714"/>
      <c r="B1250" s="371"/>
      <c r="C1250" s="371" t="s">
        <v>2565</v>
      </c>
      <c r="D1250" s="2716"/>
      <c r="F1250" s="293"/>
      <c r="G1250" s="604" t="str">
        <f>"本注释B:"&amp; G1246</f>
        <v>本注释B:合       计</v>
      </c>
      <c r="H1250" s="456">
        <f>H1246</f>
        <v>0</v>
      </c>
      <c r="I1250" s="456">
        <f>I1246</f>
        <v>0</v>
      </c>
      <c r="J1250" s="351"/>
      <c r="K1250" s="351"/>
      <c r="L1250" s="2638">
        <v>122131</v>
      </c>
      <c r="M1250" s="301"/>
      <c r="N1250" s="391"/>
      <c r="O1250" s="349"/>
      <c r="P1250" s="301"/>
      <c r="S1250" s="364"/>
      <c r="Z1250" s="609" t="s">
        <v>540</v>
      </c>
      <c r="AA1250" s="609" t="s">
        <v>3137</v>
      </c>
    </row>
    <row r="1251" spans="1:27" ht="18.75" thickBot="1">
      <c r="A1251" s="2714"/>
      <c r="B1251" s="371"/>
      <c r="C1251" s="371" t="s">
        <v>2565</v>
      </c>
      <c r="D1251" s="2716"/>
      <c r="F1251" s="293"/>
      <c r="G1251" s="1554" t="s">
        <v>2757</v>
      </c>
      <c r="H1251" s="1531">
        <f ca="1">IF(AND(H1249="",H1250=""),"",ROUND(H1249-H1250,2))</f>
        <v>0</v>
      </c>
      <c r="I1251" s="1531">
        <f ca="1">IF(AND(I1249="",I1250=""),"",ROUND(I1249-I1250,2))</f>
        <v>0</v>
      </c>
      <c r="J1251" s="1555"/>
      <c r="K1251" s="1555"/>
      <c r="L1251" s="1555"/>
      <c r="M1251" s="301"/>
      <c r="N1251" s="391"/>
      <c r="O1251" s="349"/>
      <c r="P1251" s="301"/>
      <c r="S1251" s="364"/>
      <c r="Z1251" s="609" t="s">
        <v>540</v>
      </c>
      <c r="AA1251" s="609" t="s">
        <v>3137</v>
      </c>
    </row>
    <row r="1252" spans="1:27" ht="18.75" thickTop="1">
      <c r="A1252" s="2714"/>
      <c r="B1252" s="371"/>
      <c r="C1252" s="371" t="s">
        <v>2565</v>
      </c>
      <c r="D1252" s="2716"/>
      <c r="F1252" s="293"/>
      <c r="G1252" s="1545"/>
      <c r="H1252" s="459" t="str">
        <f ca="1">IF(OR(H1251=0,H1251=""),"√","？")</f>
        <v>√</v>
      </c>
      <c r="I1252" s="459" t="str">
        <f ca="1">IF(OR(I1251=0,I1251=""),"√","？")</f>
        <v>√</v>
      </c>
      <c r="J1252" s="317"/>
      <c r="K1252" s="317"/>
      <c r="L1252" s="317"/>
      <c r="M1252" s="301"/>
      <c r="N1252" s="391"/>
      <c r="O1252" s="349"/>
      <c r="P1252" s="301"/>
      <c r="S1252" s="364"/>
      <c r="Z1252" s="609" t="s">
        <v>540</v>
      </c>
      <c r="AA1252" s="609" t="s">
        <v>3137</v>
      </c>
    </row>
    <row r="1253" spans="1:27" ht="18">
      <c r="A1253" s="2714"/>
      <c r="B1253" s="371"/>
      <c r="C1253" s="371" t="s">
        <v>2565</v>
      </c>
      <c r="D1253" s="2716"/>
      <c r="F1253" s="293"/>
      <c r="G1253" s="1559" t="s">
        <v>2759</v>
      </c>
      <c r="H1253" s="461"/>
      <c r="I1253" s="461"/>
      <c r="J1253" s="317"/>
      <c r="K1253" s="352">
        <f ca="1">SUMIF($H$1252:$L$1252,"&lt;&gt;√",$H$1251:$L$1251)</f>
        <v>0</v>
      </c>
      <c r="L1253" s="353" t="str">
        <f ca="1">IF(OR(K1253=0,K1253=""),"√","？")</f>
        <v>√</v>
      </c>
      <c r="M1253" s="301"/>
      <c r="N1253" s="391"/>
      <c r="O1253" s="349"/>
      <c r="P1253" s="301"/>
      <c r="S1253" s="364"/>
      <c r="Z1253" s="609" t="s">
        <v>540</v>
      </c>
      <c r="AA1253" s="609" t="s">
        <v>3137</v>
      </c>
    </row>
    <row r="1254" spans="1:27" ht="18">
      <c r="A1254" s="2714"/>
      <c r="B1254" s="371"/>
      <c r="C1254" s="371" t="s">
        <v>2565</v>
      </c>
      <c r="D1254" s="2716"/>
      <c r="F1254" s="293"/>
      <c r="G1254" s="1545"/>
      <c r="H1254" s="461"/>
      <c r="I1254" s="461"/>
      <c r="J1254" s="317"/>
      <c r="K1254" s="317"/>
      <c r="L1254" s="317"/>
      <c r="M1254" s="301"/>
      <c r="N1254" s="391"/>
      <c r="O1254" s="349"/>
      <c r="P1254" s="301"/>
      <c r="S1254" s="364"/>
      <c r="Z1254" s="609" t="s">
        <v>540</v>
      </c>
      <c r="AA1254" s="609" t="s">
        <v>3137</v>
      </c>
    </row>
    <row r="1255" spans="1:27" ht="36">
      <c r="A1255" s="2714">
        <v>122132</v>
      </c>
      <c r="B1255" s="371" t="s">
        <v>6549</v>
      </c>
      <c r="C1255" s="371"/>
      <c r="D1255" s="2716" t="str">
        <f>VLOOKUP($A1255,Sheet_NoteList,2,0)</f>
        <v>期末按组合1计提坏账准备的其他应收款（第三阶段）</v>
      </c>
      <c r="E1255" s="2716" t="s">
        <v>6533</v>
      </c>
      <c r="F1255" s="293"/>
      <c r="G1255" s="372" t="str">
        <f>"("&amp;B1255&amp;")"&amp;D1255</f>
        <v>(3A3.2)期末按组合1计提坏账准备的其他应收款（第三阶段）</v>
      </c>
      <c r="H1255" s="2315">
        <f>$A1255</f>
        <v>122132</v>
      </c>
      <c r="I1255" s="343" t="s">
        <v>5934</v>
      </c>
      <c r="J1255" s="301" t="s">
        <v>5935</v>
      </c>
      <c r="K1255" s="2210">
        <f>H1268</f>
        <v>0</v>
      </c>
      <c r="L1255" s="349"/>
      <c r="M1255" s="301"/>
      <c r="N1255" s="391"/>
      <c r="O1255" s="349"/>
      <c r="P1255" s="301"/>
      <c r="S1255" s="364"/>
      <c r="Z1255" s="609" t="s">
        <v>540</v>
      </c>
      <c r="AA1255" s="609" t="s">
        <v>3137</v>
      </c>
    </row>
    <row r="1256" spans="1:27" ht="0.75" customHeight="1">
      <c r="A1256" s="2714"/>
      <c r="B1256" s="371"/>
      <c r="C1256" s="371"/>
      <c r="D1256" s="2716"/>
      <c r="E1256" s="586"/>
      <c r="F1256" s="586"/>
      <c r="G1256" s="2224" t="s">
        <v>5942</v>
      </c>
      <c r="H1256" s="371" t="s">
        <v>5388</v>
      </c>
      <c r="I1256" s="371" t="s">
        <v>5530</v>
      </c>
      <c r="J1256" s="371" t="s">
        <v>5402</v>
      </c>
      <c r="K1256" s="391"/>
      <c r="L1256" s="349"/>
      <c r="M1256" s="301"/>
      <c r="N1256" s="391"/>
      <c r="O1256" s="349"/>
      <c r="P1256" s="301"/>
      <c r="S1256" s="364"/>
      <c r="Z1256" s="609" t="s">
        <v>540</v>
      </c>
      <c r="AA1256" s="609" t="s">
        <v>3137</v>
      </c>
    </row>
    <row r="1257" spans="1:27" ht="0.75" customHeight="1" thickBot="1">
      <c r="A1257" s="2714"/>
      <c r="B1257" s="371"/>
      <c r="C1257" s="371"/>
      <c r="D1257" s="2716"/>
      <c r="E1257" s="586"/>
      <c r="F1257" s="586"/>
      <c r="G1257" s="2224"/>
      <c r="H1257" s="1617" t="s">
        <v>5472</v>
      </c>
      <c r="I1257" s="371" t="s">
        <v>5377</v>
      </c>
      <c r="J1257" s="371" t="s">
        <v>5378</v>
      </c>
      <c r="K1257" s="391"/>
      <c r="L1257" s="349"/>
      <c r="M1257" s="301"/>
      <c r="N1257" s="391"/>
      <c r="O1257" s="349"/>
      <c r="P1257" s="301"/>
      <c r="S1257" s="364"/>
      <c r="Z1257" s="609" t="s">
        <v>540</v>
      </c>
      <c r="AA1257" s="609" t="s">
        <v>3137</v>
      </c>
    </row>
    <row r="1258" spans="1:27" ht="18" customHeight="1">
      <c r="A1258" s="2714"/>
      <c r="B1258" s="371"/>
      <c r="C1258" s="371"/>
      <c r="D1258" s="2716"/>
      <c r="E1258" s="586" t="s">
        <v>2749</v>
      </c>
      <c r="F1258" s="414"/>
      <c r="G1258" s="3472" t="s">
        <v>5137</v>
      </c>
      <c r="H1258" s="3418" t="str">
        <f>$V$2</f>
        <v>2019年12月31日</v>
      </c>
      <c r="I1258" s="3419"/>
      <c r="J1258" s="3419"/>
      <c r="K1258" s="355" t="s">
        <v>5273</v>
      </c>
      <c r="L1258" s="349"/>
      <c r="M1258" s="301"/>
      <c r="N1258" s="391"/>
      <c r="O1258" s="349"/>
      <c r="P1258" s="301"/>
      <c r="S1258" s="364"/>
      <c r="Z1258" s="609" t="s">
        <v>540</v>
      </c>
      <c r="AA1258" s="609" t="s">
        <v>3137</v>
      </c>
    </row>
    <row r="1259" spans="1:27" ht="18">
      <c r="A1259" s="2714"/>
      <c r="B1259" s="371"/>
      <c r="C1259" s="371"/>
      <c r="D1259" s="2716"/>
      <c r="E1259" s="586" t="s">
        <v>2749</v>
      </c>
      <c r="F1259" s="414"/>
      <c r="G1259" s="3473"/>
      <c r="H1259" s="2294" t="s">
        <v>2861</v>
      </c>
      <c r="I1259" s="2294" t="s">
        <v>2862</v>
      </c>
      <c r="J1259" s="2240" t="s">
        <v>2889</v>
      </c>
      <c r="K1259" s="391"/>
      <c r="L1259" s="349"/>
      <c r="M1259" s="301"/>
      <c r="N1259" s="391"/>
      <c r="O1259" s="349"/>
      <c r="P1259" s="301"/>
      <c r="S1259" s="364"/>
      <c r="Z1259" s="609" t="s">
        <v>540</v>
      </c>
      <c r="AA1259" s="609" t="s">
        <v>3137</v>
      </c>
    </row>
    <row r="1260" spans="1:27" ht="18">
      <c r="A1260" s="2714"/>
      <c r="B1260" s="371">
        <v>101</v>
      </c>
      <c r="C1260" s="371"/>
      <c r="D1260" s="2716">
        <f t="shared" ref="D1260:D1268" si="112">IF(OR(G1260="*",G1260="",G1260=0),0,COUNTIF($G$1260:$G$1268,G1260))</f>
        <v>1</v>
      </c>
      <c r="E1260" s="2721">
        <v>1</v>
      </c>
      <c r="F1260" s="293"/>
      <c r="G1260" s="1474" t="s">
        <v>2938</v>
      </c>
      <c r="H1260" s="2275"/>
      <c r="I1260" s="2275"/>
      <c r="J1260" s="2276"/>
      <c r="K1260" s="391"/>
      <c r="L1260" s="349"/>
      <c r="M1260" s="301"/>
      <c r="N1260" s="391"/>
      <c r="O1260" s="349"/>
      <c r="P1260" s="301"/>
      <c r="S1260" s="364"/>
      <c r="Z1260" s="609" t="s">
        <v>540</v>
      </c>
      <c r="AA1260" s="609" t="s">
        <v>3137</v>
      </c>
    </row>
    <row r="1261" spans="1:27" ht="18">
      <c r="A1261" s="2714"/>
      <c r="B1261" s="371">
        <v>102</v>
      </c>
      <c r="C1261" s="371"/>
      <c r="D1261" s="2716">
        <f t="shared" si="112"/>
        <v>1</v>
      </c>
      <c r="E1261" s="2721">
        <v>1</v>
      </c>
      <c r="F1261" s="293"/>
      <c r="G1261" s="1474" t="s">
        <v>2962</v>
      </c>
      <c r="H1261" s="2275"/>
      <c r="I1261" s="2275"/>
      <c r="J1261" s="2276"/>
      <c r="K1261" s="391"/>
      <c r="L1261" s="349"/>
      <c r="M1261" s="301"/>
      <c r="N1261" s="391"/>
      <c r="O1261" s="349"/>
      <c r="P1261" s="301"/>
      <c r="S1261" s="364"/>
      <c r="Z1261" s="609" t="s">
        <v>540</v>
      </c>
      <c r="AA1261" s="609" t="s">
        <v>3137</v>
      </c>
    </row>
    <row r="1262" spans="1:27" ht="18">
      <c r="A1262" s="2714"/>
      <c r="B1262" s="371">
        <v>103</v>
      </c>
      <c r="C1262" s="371"/>
      <c r="D1262" s="2716">
        <f t="shared" si="112"/>
        <v>1</v>
      </c>
      <c r="E1262" s="2721">
        <v>1</v>
      </c>
      <c r="F1262" s="293"/>
      <c r="G1262" s="1474" t="s">
        <v>2963</v>
      </c>
      <c r="H1262" s="2275"/>
      <c r="I1262" s="2275"/>
      <c r="J1262" s="2276"/>
      <c r="K1262" s="391"/>
      <c r="L1262" s="349"/>
      <c r="M1262" s="301"/>
      <c r="N1262" s="391"/>
      <c r="O1262" s="349"/>
      <c r="P1262" s="301"/>
      <c r="S1262" s="364"/>
      <c r="Z1262" s="609" t="s">
        <v>540</v>
      </c>
      <c r="AA1262" s="609" t="s">
        <v>3137</v>
      </c>
    </row>
    <row r="1263" spans="1:27" ht="18">
      <c r="A1263" s="2714"/>
      <c r="B1263" s="371">
        <v>104</v>
      </c>
      <c r="C1263" s="371" t="s">
        <v>2791</v>
      </c>
      <c r="D1263" s="2716">
        <f t="shared" si="112"/>
        <v>1</v>
      </c>
      <c r="E1263" s="2721">
        <v>1</v>
      </c>
      <c r="F1263" s="293"/>
      <c r="G1263" s="2284" t="s">
        <v>2964</v>
      </c>
      <c r="H1263" s="2275"/>
      <c r="I1263" s="2275"/>
      <c r="J1263" s="2276"/>
      <c r="K1263" s="391"/>
      <c r="L1263" s="349"/>
      <c r="M1263" s="301"/>
      <c r="N1263" s="391"/>
      <c r="O1263" s="349"/>
      <c r="P1263" s="301"/>
      <c r="S1263" s="364"/>
      <c r="Z1263" s="609" t="s">
        <v>540</v>
      </c>
      <c r="AA1263" s="609" t="s">
        <v>3137</v>
      </c>
    </row>
    <row r="1264" spans="1:27" ht="18">
      <c r="A1264" s="2714"/>
      <c r="B1264" s="371">
        <v>105</v>
      </c>
      <c r="C1264" s="371" t="s">
        <v>2791</v>
      </c>
      <c r="D1264" s="2716">
        <f t="shared" si="112"/>
        <v>1</v>
      </c>
      <c r="E1264" s="2721">
        <v>1</v>
      </c>
      <c r="F1264" s="293"/>
      <c r="G1264" s="2284" t="s">
        <v>2965</v>
      </c>
      <c r="H1264" s="2275"/>
      <c r="I1264" s="2275"/>
      <c r="J1264" s="2276"/>
      <c r="K1264" s="391"/>
      <c r="L1264" s="349"/>
      <c r="M1264" s="301"/>
      <c r="N1264" s="391"/>
      <c r="O1264" s="349"/>
      <c r="P1264" s="301"/>
      <c r="S1264" s="364"/>
      <c r="Z1264" s="609" t="s">
        <v>540</v>
      </c>
      <c r="AA1264" s="609" t="s">
        <v>3137</v>
      </c>
    </row>
    <row r="1265" spans="1:27" ht="18">
      <c r="A1265" s="2714"/>
      <c r="B1265" s="371">
        <v>106</v>
      </c>
      <c r="C1265" s="371" t="s">
        <v>2791</v>
      </c>
      <c r="D1265" s="2716">
        <f t="shared" si="112"/>
        <v>1</v>
      </c>
      <c r="E1265" s="2721">
        <v>1</v>
      </c>
      <c r="F1265" s="293"/>
      <c r="G1265" s="2284" t="s">
        <v>2944</v>
      </c>
      <c r="H1265" s="2275"/>
      <c r="I1265" s="2275"/>
      <c r="J1265" s="2276"/>
      <c r="K1265" s="391"/>
      <c r="L1265" s="349"/>
      <c r="M1265" s="301"/>
      <c r="N1265" s="391"/>
      <c r="O1265" s="349"/>
      <c r="P1265" s="301"/>
      <c r="S1265" s="364"/>
      <c r="Z1265" s="609" t="s">
        <v>540</v>
      </c>
      <c r="AA1265" s="609" t="s">
        <v>3137</v>
      </c>
    </row>
    <row r="1266" spans="1:27" ht="18">
      <c r="A1266" s="2714"/>
      <c r="B1266" s="371">
        <v>107</v>
      </c>
      <c r="C1266" s="371" t="s">
        <v>2791</v>
      </c>
      <c r="D1266" s="2716">
        <f t="shared" si="112"/>
        <v>0</v>
      </c>
      <c r="E1266" s="2721">
        <v>1</v>
      </c>
      <c r="F1266" s="293"/>
      <c r="G1266" s="2284" t="s">
        <v>2792</v>
      </c>
      <c r="H1266" s="2275"/>
      <c r="I1266" s="2275"/>
      <c r="J1266" s="2276"/>
      <c r="K1266" s="391"/>
      <c r="L1266" s="349"/>
      <c r="M1266" s="301"/>
      <c r="N1266" s="391"/>
      <c r="O1266" s="349"/>
      <c r="P1266" s="301"/>
      <c r="S1266" s="364"/>
      <c r="Z1266" s="609" t="s">
        <v>540</v>
      </c>
      <c r="AA1266" s="609" t="s">
        <v>3137</v>
      </c>
    </row>
    <row r="1267" spans="1:27" ht="18">
      <c r="A1267" s="2714"/>
      <c r="B1267" s="371">
        <v>108</v>
      </c>
      <c r="C1267" s="371" t="s">
        <v>2791</v>
      </c>
      <c r="D1267" s="2716">
        <f t="shared" si="112"/>
        <v>0</v>
      </c>
      <c r="E1267" s="2721">
        <v>1</v>
      </c>
      <c r="F1267" s="293"/>
      <c r="G1267" s="2284" t="s">
        <v>2792</v>
      </c>
      <c r="H1267" s="2275"/>
      <c r="I1267" s="2275"/>
      <c r="J1267" s="2276"/>
      <c r="K1267" s="391"/>
      <c r="L1267" s="349"/>
      <c r="M1267" s="301"/>
      <c r="N1267" s="391"/>
      <c r="O1267" s="349"/>
      <c r="P1267" s="301"/>
      <c r="S1267" s="364"/>
      <c r="Z1267" s="609" t="s">
        <v>540</v>
      </c>
      <c r="AA1267" s="609" t="s">
        <v>3137</v>
      </c>
    </row>
    <row r="1268" spans="1:27" ht="18.75" thickBot="1">
      <c r="A1268" s="2714"/>
      <c r="B1268" s="371"/>
      <c r="C1268" s="371"/>
      <c r="D1268" s="2716">
        <f t="shared" si="112"/>
        <v>1</v>
      </c>
      <c r="E1268" s="2721" t="s">
        <v>2751</v>
      </c>
      <c r="F1268" s="293"/>
      <c r="G1268" s="2234" t="s">
        <v>2752</v>
      </c>
      <c r="H1268" s="2235">
        <f>SUMPRODUCT($E1259:$E1267,H1259:H1267)</f>
        <v>0</v>
      </c>
      <c r="I1268" s="2235">
        <f>SUMPRODUCT($E1259:$E1267,I1259:I1267)</f>
        <v>0</v>
      </c>
      <c r="J1268" s="2244"/>
      <c r="K1268" s="391"/>
      <c r="L1268" s="349"/>
      <c r="M1268" s="301"/>
      <c r="N1268" s="391"/>
      <c r="O1268" s="349"/>
      <c r="P1268" s="301"/>
      <c r="S1268" s="364"/>
      <c r="Z1268" s="609" t="s">
        <v>540</v>
      </c>
      <c r="AA1268" s="609" t="s">
        <v>3137</v>
      </c>
    </row>
    <row r="1269" spans="1:27" ht="18.75" thickBot="1">
      <c r="A1269" s="2714"/>
      <c r="B1269" s="371"/>
      <c r="C1269" s="371" t="s">
        <v>2755</v>
      </c>
      <c r="D1269" s="2716"/>
      <c r="F1269" s="293"/>
      <c r="G1269" s="376"/>
      <c r="H1269" s="2626" t="s">
        <v>3002</v>
      </c>
      <c r="I1269" s="2253" t="s">
        <v>3002</v>
      </c>
      <c r="J1269" s="393"/>
      <c r="K1269" s="391"/>
      <c r="L1269" s="349"/>
      <c r="M1269" s="301"/>
      <c r="N1269" s="391"/>
      <c r="O1269" s="349"/>
      <c r="P1269" s="301"/>
      <c r="S1269" s="364"/>
      <c r="Z1269" s="609" t="s">
        <v>540</v>
      </c>
      <c r="AA1269" s="609" t="s">
        <v>3137</v>
      </c>
    </row>
    <row r="1270" spans="1:27" ht="18.75" thickTop="1">
      <c r="A1270" s="2714"/>
      <c r="B1270" s="371"/>
      <c r="C1270" s="371" t="s">
        <v>2565</v>
      </c>
      <c r="D1270" s="2716"/>
      <c r="F1270" s="293"/>
      <c r="G1270" s="1549" t="s">
        <v>5367</v>
      </c>
      <c r="H1270" s="1550" t="str">
        <f>G1219</f>
        <v>(3A3)期末处于第三阶段的其他应收款坏账准备（三阶段模型）</v>
      </c>
      <c r="I1270" s="1552"/>
      <c r="J1270" s="1551"/>
      <c r="K1270" s="1553" t="s">
        <v>5368</v>
      </c>
      <c r="L1270" s="349"/>
      <c r="M1270" s="301"/>
      <c r="N1270" s="391"/>
      <c r="O1270" s="349"/>
      <c r="P1270" s="301"/>
      <c r="S1270" s="364"/>
      <c r="Z1270" s="609" t="s">
        <v>540</v>
      </c>
      <c r="AA1270" s="609" t="s">
        <v>3137</v>
      </c>
    </row>
    <row r="1271" spans="1:27" ht="18">
      <c r="A1271" s="2714"/>
      <c r="B1271" s="371"/>
      <c r="C1271" s="371" t="s">
        <v>2565</v>
      </c>
      <c r="D1271" s="2716"/>
      <c r="F1271" s="293"/>
      <c r="G1271" s="604" t="str">
        <f>"注释A:"&amp; G1227</f>
        <v>注释A:组合1</v>
      </c>
      <c r="H1271" s="2252">
        <f ca="1">HYPERLINK("#'"&amp;$G$1&amp;"'!"&amp;ADDRESS(ROW(Notes!H1227),COLUMN(Notes!H1227),4),H1227)</f>
        <v>0</v>
      </c>
      <c r="I1271" s="2252">
        <f ca="1">HYPERLINK("#'"&amp;$G$1&amp;"'!"&amp;ADDRESS(ROW(Notes!J1227),COLUMN(Notes!J1227),4),J1227)</f>
        <v>0</v>
      </c>
      <c r="J1271" s="351"/>
      <c r="K1271" s="2632">
        <f>H1219</f>
        <v>122103</v>
      </c>
      <c r="L1271" s="349"/>
      <c r="M1271" s="301"/>
      <c r="N1271" s="391"/>
      <c r="O1271" s="349"/>
      <c r="P1271" s="301"/>
      <c r="S1271" s="364"/>
      <c r="Z1271" s="609" t="s">
        <v>540</v>
      </c>
      <c r="AA1271" s="609" t="s">
        <v>3137</v>
      </c>
    </row>
    <row r="1272" spans="1:27" ht="18">
      <c r="A1272" s="2714"/>
      <c r="B1272" s="371"/>
      <c r="C1272" s="371" t="s">
        <v>2565</v>
      </c>
      <c r="D1272" s="2716"/>
      <c r="F1272" s="293"/>
      <c r="G1272" s="604" t="str">
        <f>"本注释B:"&amp; G1268</f>
        <v>本注释B:合       计</v>
      </c>
      <c r="H1272" s="456">
        <f>H1268</f>
        <v>0</v>
      </c>
      <c r="I1272" s="456">
        <f>I1268</f>
        <v>0</v>
      </c>
      <c r="J1272" s="351"/>
      <c r="K1272" s="2638">
        <v>122132</v>
      </c>
      <c r="L1272" s="349"/>
      <c r="M1272" s="301"/>
      <c r="N1272" s="391"/>
      <c r="O1272" s="349"/>
      <c r="P1272" s="301"/>
      <c r="S1272" s="364"/>
      <c r="Z1272" s="609" t="s">
        <v>540</v>
      </c>
      <c r="AA1272" s="609" t="s">
        <v>3137</v>
      </c>
    </row>
    <row r="1273" spans="1:27" ht="18.75" thickBot="1">
      <c r="A1273" s="2714"/>
      <c r="B1273" s="371"/>
      <c r="C1273" s="371" t="s">
        <v>2565</v>
      </c>
      <c r="D1273" s="2716"/>
      <c r="F1273" s="293"/>
      <c r="G1273" s="1554" t="s">
        <v>2757</v>
      </c>
      <c r="H1273" s="1531">
        <f ca="1">IF(AND(H1271="",H1272=""),"",ROUND(H1271-H1272,2))</f>
        <v>0</v>
      </c>
      <c r="I1273" s="1531">
        <f ca="1">IF(AND(I1271="",I1272=""),"",ROUND(I1271-I1272,2))</f>
        <v>0</v>
      </c>
      <c r="J1273" s="1555"/>
      <c r="K1273" s="1555"/>
      <c r="L1273" s="349"/>
      <c r="M1273" s="301"/>
      <c r="N1273" s="391"/>
      <c r="O1273" s="349"/>
      <c r="P1273" s="301"/>
      <c r="S1273" s="364"/>
      <c r="Z1273" s="609" t="s">
        <v>540</v>
      </c>
      <c r="AA1273" s="609" t="s">
        <v>3137</v>
      </c>
    </row>
    <row r="1274" spans="1:27" ht="18.75" thickTop="1">
      <c r="A1274" s="2714"/>
      <c r="B1274" s="371"/>
      <c r="C1274" s="371" t="s">
        <v>2565</v>
      </c>
      <c r="D1274" s="2716"/>
      <c r="F1274" s="293"/>
      <c r="G1274" s="1545"/>
      <c r="H1274" s="459" t="str">
        <f ca="1">IF(OR(H1273=0,H1273=""),"√","？")</f>
        <v>√</v>
      </c>
      <c r="I1274" s="459" t="str">
        <f ca="1">IF(OR(I1273=0,I1273=""),"√","？")</f>
        <v>√</v>
      </c>
      <c r="J1274" s="317"/>
      <c r="K1274" s="317"/>
      <c r="L1274" s="349"/>
      <c r="M1274" s="301"/>
      <c r="N1274" s="391"/>
      <c r="O1274" s="349"/>
      <c r="P1274" s="301"/>
      <c r="S1274" s="364"/>
      <c r="Z1274" s="609" t="s">
        <v>540</v>
      </c>
      <c r="AA1274" s="609" t="s">
        <v>3137</v>
      </c>
    </row>
    <row r="1275" spans="1:27" ht="18">
      <c r="A1275" s="2714"/>
      <c r="B1275" s="371"/>
      <c r="C1275" s="371" t="s">
        <v>2565</v>
      </c>
      <c r="D1275" s="2716"/>
      <c r="F1275" s="293"/>
      <c r="G1275" s="1559" t="s">
        <v>2759</v>
      </c>
      <c r="H1275" s="461"/>
      <c r="I1275" s="461"/>
      <c r="J1275" s="317"/>
      <c r="K1275" s="352">
        <f ca="1">SUMIF($H$1274:$K$1274,"&lt;&gt;√",$H$1273:$K$1273)</f>
        <v>0</v>
      </c>
      <c r="L1275" s="2628" t="str">
        <f ca="1">IF(OR(K1275=0,K1275=""),"√","？")</f>
        <v>√</v>
      </c>
      <c r="M1275" s="301"/>
      <c r="N1275" s="391"/>
      <c r="O1275" s="349"/>
      <c r="P1275" s="301"/>
      <c r="S1275" s="364"/>
      <c r="Z1275" s="609" t="s">
        <v>540</v>
      </c>
      <c r="AA1275" s="609" t="s">
        <v>3137</v>
      </c>
    </row>
    <row r="1276" spans="1:27" ht="18">
      <c r="A1276" s="2714"/>
      <c r="B1276" s="371"/>
      <c r="C1276" s="371" t="s">
        <v>2565</v>
      </c>
      <c r="D1276" s="2716"/>
      <c r="F1276" s="293"/>
      <c r="G1276" s="1545"/>
      <c r="H1276" s="461"/>
      <c r="I1276" s="461"/>
      <c r="J1276" s="317"/>
      <c r="K1276" s="317"/>
      <c r="L1276" s="349"/>
      <c r="M1276" s="301"/>
      <c r="N1276" s="391"/>
      <c r="O1276" s="349"/>
      <c r="P1276" s="301"/>
      <c r="S1276" s="364"/>
      <c r="Z1276" s="609" t="s">
        <v>540</v>
      </c>
      <c r="AA1276" s="609" t="s">
        <v>3137</v>
      </c>
    </row>
    <row r="1277" spans="1:27" ht="36">
      <c r="A1277" s="2714">
        <v>122133</v>
      </c>
      <c r="B1277" s="371" t="s">
        <v>6550</v>
      </c>
      <c r="C1277" s="371"/>
      <c r="D1277" s="2716" t="str">
        <f>VLOOKUP($A1277,Sheet_NoteList,2,0)</f>
        <v>期末按组合2计提坏账准备的其他应收款（第三阶段）</v>
      </c>
      <c r="E1277" s="2716" t="s">
        <v>6533</v>
      </c>
      <c r="F1277" s="293"/>
      <c r="G1277" s="372" t="str">
        <f>"("&amp;B1277&amp;")"&amp;D1277</f>
        <v>(3A3.3)期末按组合2计提坏账准备的其他应收款（第三阶段）</v>
      </c>
      <c r="H1277" s="2315">
        <f>$A1277</f>
        <v>122133</v>
      </c>
      <c r="I1277" s="343" t="s">
        <v>5934</v>
      </c>
      <c r="J1277" s="301" t="s">
        <v>5935</v>
      </c>
      <c r="K1277" s="2210">
        <f>H1290</f>
        <v>0</v>
      </c>
      <c r="L1277" s="349">
        <f>IF($I1277="适用",IF(ROUND(K$987-K1277,2)=0,"F/S",ROUND(K$987-K1277,2)),"#N/A")</f>
        <v>2208147.21</v>
      </c>
      <c r="M1277" s="301" t="s">
        <v>5936</v>
      </c>
      <c r="N1277" s="2210">
        <f>I1290</f>
        <v>0</v>
      </c>
      <c r="O1277" s="349">
        <f>IF($I1277="适用",IF(ROUND(N$987-N1277,2)=0,"F/S",ROUND(N$987-N1277,2)),"#N/A")</f>
        <v>328019.46999999997</v>
      </c>
      <c r="P1277" s="301"/>
      <c r="S1277" s="364"/>
      <c r="Z1277" s="609" t="s">
        <v>540</v>
      </c>
      <c r="AA1277" s="609" t="s">
        <v>3137</v>
      </c>
    </row>
    <row r="1278" spans="1:27" ht="0.75" customHeight="1">
      <c r="A1278" s="2714"/>
      <c r="B1278" s="371"/>
      <c r="C1278" s="371"/>
      <c r="D1278" s="2716"/>
      <c r="F1278" s="371"/>
      <c r="G1278" s="405" t="s">
        <v>5943</v>
      </c>
      <c r="H1278" s="371" t="s">
        <v>5388</v>
      </c>
      <c r="I1278" s="371" t="s">
        <v>5530</v>
      </c>
      <c r="J1278" s="371" t="s">
        <v>5402</v>
      </c>
      <c r="K1278" s="391"/>
      <c r="L1278" s="349"/>
      <c r="M1278" s="301"/>
      <c r="N1278" s="391"/>
      <c r="O1278" s="349"/>
      <c r="P1278" s="301"/>
      <c r="S1278" s="364"/>
      <c r="Z1278" s="609" t="s">
        <v>540</v>
      </c>
      <c r="AA1278" s="609" t="s">
        <v>3137</v>
      </c>
    </row>
    <row r="1279" spans="1:27" ht="0.75" customHeight="1" thickBot="1">
      <c r="A1279" s="2714"/>
      <c r="B1279" s="371"/>
      <c r="C1279" s="371"/>
      <c r="D1279" s="2716"/>
      <c r="F1279" s="371"/>
      <c r="G1279" s="405"/>
      <c r="H1279" s="1617" t="s">
        <v>5472</v>
      </c>
      <c r="I1279" s="371" t="s">
        <v>5377</v>
      </c>
      <c r="J1279" s="371" t="s">
        <v>5378</v>
      </c>
      <c r="K1279" s="391"/>
      <c r="L1279" s="349"/>
      <c r="M1279" s="301"/>
      <c r="N1279" s="391"/>
      <c r="O1279" s="349"/>
      <c r="P1279" s="301"/>
      <c r="S1279" s="364"/>
      <c r="Z1279" s="609" t="s">
        <v>540</v>
      </c>
      <c r="AA1279" s="609" t="s">
        <v>3137</v>
      </c>
    </row>
    <row r="1280" spans="1:27" ht="18" customHeight="1">
      <c r="A1280" s="2714"/>
      <c r="B1280" s="371"/>
      <c r="C1280" s="371"/>
      <c r="D1280" s="2716"/>
      <c r="E1280" s="2716" t="s">
        <v>2749</v>
      </c>
      <c r="F1280" s="293"/>
      <c r="G1280" s="3512" t="s">
        <v>5948</v>
      </c>
      <c r="H1280" s="3391" t="str">
        <f>$V$2</f>
        <v>2019年12月31日</v>
      </c>
      <c r="I1280" s="3392"/>
      <c r="J1280" s="3392"/>
      <c r="K1280" s="355" t="s">
        <v>5949</v>
      </c>
      <c r="L1280" s="349"/>
      <c r="M1280" s="301"/>
      <c r="N1280" s="391"/>
      <c r="O1280" s="349"/>
      <c r="P1280" s="301"/>
      <c r="S1280" s="364"/>
      <c r="Z1280" s="609" t="s">
        <v>540</v>
      </c>
      <c r="AA1280" s="609" t="s">
        <v>3137</v>
      </c>
    </row>
    <row r="1281" spans="1:27" ht="18">
      <c r="A1281" s="2714"/>
      <c r="B1281" s="371"/>
      <c r="C1281" s="371"/>
      <c r="D1281" s="2716"/>
      <c r="E1281" s="2716" t="s">
        <v>2749</v>
      </c>
      <c r="F1281" s="293"/>
      <c r="G1281" s="3513"/>
      <c r="H1281" s="2207" t="s">
        <v>2861</v>
      </c>
      <c r="I1281" s="2207" t="s">
        <v>2862</v>
      </c>
      <c r="J1281" s="2208" t="s">
        <v>2889</v>
      </c>
      <c r="K1281" s="391"/>
      <c r="L1281" s="349"/>
      <c r="M1281" s="301"/>
      <c r="N1281" s="391"/>
      <c r="O1281" s="349"/>
      <c r="P1281" s="301"/>
      <c r="S1281" s="364"/>
      <c r="Z1281" s="609" t="s">
        <v>540</v>
      </c>
      <c r="AA1281" s="609" t="s">
        <v>3137</v>
      </c>
    </row>
    <row r="1282" spans="1:27" ht="18">
      <c r="A1282" s="2714"/>
      <c r="B1282" s="371">
        <v>101</v>
      </c>
      <c r="C1282" s="371" t="s">
        <v>2791</v>
      </c>
      <c r="D1282" s="2716">
        <f t="shared" ref="D1282:D1290" si="113">IF(OR(G1282="*",G1282="",G1282=0),0,COUNTIF($G$1282:$G$1290,G1282))</f>
        <v>0</v>
      </c>
      <c r="E1282" s="2721">
        <v>1</v>
      </c>
      <c r="F1282" s="293"/>
      <c r="G1282" s="2213" t="s">
        <v>2792</v>
      </c>
      <c r="H1282" s="1577"/>
      <c r="I1282" s="422"/>
      <c r="J1282" s="388"/>
      <c r="K1282" s="391"/>
      <c r="L1282" s="349"/>
      <c r="M1282" s="301"/>
      <c r="N1282" s="391"/>
      <c r="O1282" s="349"/>
      <c r="P1282" s="301"/>
      <c r="S1282" s="364"/>
      <c r="Z1282" s="609" t="s">
        <v>540</v>
      </c>
      <c r="AA1282" s="609" t="s">
        <v>3137</v>
      </c>
    </row>
    <row r="1283" spans="1:27" ht="18">
      <c r="A1283" s="2714"/>
      <c r="B1283" s="371">
        <v>102</v>
      </c>
      <c r="C1283" s="371" t="s">
        <v>2791</v>
      </c>
      <c r="D1283" s="2716">
        <f t="shared" si="113"/>
        <v>0</v>
      </c>
      <c r="E1283" s="2721">
        <v>1</v>
      </c>
      <c r="F1283" s="293"/>
      <c r="G1283" s="2213" t="s">
        <v>2792</v>
      </c>
      <c r="H1283" s="1577"/>
      <c r="I1283" s="422"/>
      <c r="J1283" s="388"/>
      <c r="K1283" s="391"/>
      <c r="L1283" s="349"/>
      <c r="M1283" s="301"/>
      <c r="N1283" s="391"/>
      <c r="O1283" s="349"/>
      <c r="P1283" s="301"/>
      <c r="S1283" s="364"/>
      <c r="Z1283" s="609" t="s">
        <v>540</v>
      </c>
      <c r="AA1283" s="609" t="s">
        <v>3137</v>
      </c>
    </row>
    <row r="1284" spans="1:27" ht="18">
      <c r="A1284" s="2714"/>
      <c r="B1284" s="371">
        <v>103</v>
      </c>
      <c r="C1284" s="371" t="s">
        <v>2791</v>
      </c>
      <c r="D1284" s="2716">
        <f t="shared" si="113"/>
        <v>0</v>
      </c>
      <c r="E1284" s="2721">
        <v>1</v>
      </c>
      <c r="F1284" s="293"/>
      <c r="G1284" s="2213" t="s">
        <v>2792</v>
      </c>
      <c r="H1284" s="1577"/>
      <c r="I1284" s="422"/>
      <c r="J1284" s="388"/>
      <c r="K1284" s="391"/>
      <c r="L1284" s="349"/>
      <c r="M1284" s="301"/>
      <c r="N1284" s="391"/>
      <c r="O1284" s="349"/>
      <c r="P1284" s="301"/>
      <c r="S1284" s="364"/>
      <c r="Z1284" s="609" t="s">
        <v>540</v>
      </c>
      <c r="AA1284" s="609" t="s">
        <v>3137</v>
      </c>
    </row>
    <row r="1285" spans="1:27" ht="18">
      <c r="A1285" s="2714"/>
      <c r="B1285" s="371">
        <v>104</v>
      </c>
      <c r="C1285" s="371" t="s">
        <v>2791</v>
      </c>
      <c r="D1285" s="2716">
        <f t="shared" si="113"/>
        <v>0</v>
      </c>
      <c r="E1285" s="2721">
        <v>1</v>
      </c>
      <c r="F1285" s="293"/>
      <c r="G1285" s="2213" t="s">
        <v>2792</v>
      </c>
      <c r="H1285" s="1577"/>
      <c r="I1285" s="422"/>
      <c r="J1285" s="388"/>
      <c r="K1285" s="391"/>
      <c r="L1285" s="349"/>
      <c r="M1285" s="301"/>
      <c r="N1285" s="391"/>
      <c r="O1285" s="349"/>
      <c r="P1285" s="301"/>
      <c r="S1285" s="364"/>
      <c r="Z1285" s="609" t="s">
        <v>540</v>
      </c>
      <c r="AA1285" s="609" t="s">
        <v>3137</v>
      </c>
    </row>
    <row r="1286" spans="1:27" ht="18">
      <c r="A1286" s="2714"/>
      <c r="B1286" s="371">
        <v>105</v>
      </c>
      <c r="C1286" s="371" t="s">
        <v>2791</v>
      </c>
      <c r="D1286" s="2716">
        <f t="shared" si="113"/>
        <v>0</v>
      </c>
      <c r="E1286" s="2721">
        <v>1</v>
      </c>
      <c r="F1286" s="293"/>
      <c r="G1286" s="2213" t="s">
        <v>2792</v>
      </c>
      <c r="H1286" s="1577"/>
      <c r="I1286" s="422"/>
      <c r="J1286" s="388"/>
      <c r="K1286" s="391"/>
      <c r="L1286" s="349"/>
      <c r="M1286" s="301"/>
      <c r="N1286" s="391"/>
      <c r="O1286" s="349"/>
      <c r="P1286" s="301"/>
      <c r="S1286" s="364"/>
      <c r="Z1286" s="609" t="s">
        <v>540</v>
      </c>
      <c r="AA1286" s="609" t="s">
        <v>3137</v>
      </c>
    </row>
    <row r="1287" spans="1:27" ht="18">
      <c r="A1287" s="2714"/>
      <c r="B1287" s="371">
        <v>106</v>
      </c>
      <c r="C1287" s="371" t="s">
        <v>2791</v>
      </c>
      <c r="D1287" s="2716">
        <f t="shared" si="113"/>
        <v>0</v>
      </c>
      <c r="E1287" s="2721">
        <v>1</v>
      </c>
      <c r="F1287" s="293"/>
      <c r="G1287" s="2213" t="s">
        <v>2792</v>
      </c>
      <c r="H1287" s="1577"/>
      <c r="I1287" s="422"/>
      <c r="J1287" s="388"/>
      <c r="K1287" s="391"/>
      <c r="L1287" s="349"/>
      <c r="M1287" s="301"/>
      <c r="N1287" s="391"/>
      <c r="O1287" s="349"/>
      <c r="P1287" s="301"/>
      <c r="S1287" s="364"/>
      <c r="Z1287" s="609" t="s">
        <v>540</v>
      </c>
      <c r="AA1287" s="609" t="s">
        <v>3137</v>
      </c>
    </row>
    <row r="1288" spans="1:27" ht="18">
      <c r="A1288" s="2714"/>
      <c r="B1288" s="371">
        <v>107</v>
      </c>
      <c r="C1288" s="371" t="s">
        <v>2791</v>
      </c>
      <c r="D1288" s="2716">
        <f t="shared" si="113"/>
        <v>0</v>
      </c>
      <c r="E1288" s="2721">
        <v>1</v>
      </c>
      <c r="F1288" s="293"/>
      <c r="G1288" s="2213" t="s">
        <v>2792</v>
      </c>
      <c r="H1288" s="1577"/>
      <c r="I1288" s="422"/>
      <c r="J1288" s="388"/>
      <c r="K1288" s="391"/>
      <c r="L1288" s="349"/>
      <c r="M1288" s="301"/>
      <c r="N1288" s="391"/>
      <c r="O1288" s="349"/>
      <c r="P1288" s="301"/>
      <c r="S1288" s="364"/>
      <c r="Z1288" s="609" t="s">
        <v>540</v>
      </c>
      <c r="AA1288" s="609" t="s">
        <v>3137</v>
      </c>
    </row>
    <row r="1289" spans="1:27" ht="18">
      <c r="A1289" s="2714"/>
      <c r="B1289" s="371">
        <v>108</v>
      </c>
      <c r="C1289" s="371" t="s">
        <v>2791</v>
      </c>
      <c r="D1289" s="2716">
        <f t="shared" si="113"/>
        <v>0</v>
      </c>
      <c r="E1289" s="2721">
        <v>1</v>
      </c>
      <c r="F1289" s="293"/>
      <c r="G1289" s="2213" t="s">
        <v>2792</v>
      </c>
      <c r="H1289" s="1577"/>
      <c r="I1289" s="422"/>
      <c r="J1289" s="388"/>
      <c r="K1289" s="391"/>
      <c r="L1289" s="349"/>
      <c r="M1289" s="301"/>
      <c r="N1289" s="391"/>
      <c r="O1289" s="349"/>
      <c r="P1289" s="301"/>
      <c r="S1289" s="364"/>
      <c r="Z1289" s="609" t="s">
        <v>540</v>
      </c>
      <c r="AA1289" s="609" t="s">
        <v>3137</v>
      </c>
    </row>
    <row r="1290" spans="1:27" ht="18.75" thickBot="1">
      <c r="A1290" s="2714"/>
      <c r="B1290" s="371"/>
      <c r="C1290" s="371"/>
      <c r="D1290" s="2716">
        <f t="shared" si="113"/>
        <v>1</v>
      </c>
      <c r="E1290" s="2721" t="s">
        <v>2751</v>
      </c>
      <c r="F1290" s="293"/>
      <c r="G1290" s="1529" t="s">
        <v>2752</v>
      </c>
      <c r="H1290" s="1527">
        <f>SUMPRODUCT($E1281:$E1289,H1281:H1289)</f>
        <v>0</v>
      </c>
      <c r="I1290" s="1527">
        <f>SUMPRODUCT($E1281:$E1289,I1281:I1289)</f>
        <v>0</v>
      </c>
      <c r="J1290" s="2209"/>
      <c r="K1290" s="391"/>
      <c r="L1290" s="349"/>
      <c r="M1290" s="301"/>
      <c r="N1290" s="391"/>
      <c r="O1290" s="349"/>
      <c r="P1290" s="301"/>
      <c r="S1290" s="364"/>
      <c r="Z1290" s="609" t="s">
        <v>540</v>
      </c>
      <c r="AA1290" s="609" t="s">
        <v>3137</v>
      </c>
    </row>
    <row r="1291" spans="1:27" ht="18">
      <c r="A1291" s="2714"/>
      <c r="B1291" s="371"/>
      <c r="C1291" s="371" t="s">
        <v>2755</v>
      </c>
      <c r="D1291" s="2716"/>
      <c r="F1291" s="293"/>
      <c r="G1291" s="376"/>
      <c r="H1291" s="1576"/>
      <c r="I1291" s="396"/>
      <c r="J1291" s="393"/>
      <c r="K1291" s="391"/>
      <c r="L1291" s="349"/>
      <c r="M1291" s="301"/>
      <c r="N1291" s="391"/>
      <c r="O1291" s="349"/>
      <c r="P1291" s="301"/>
      <c r="S1291" s="364"/>
      <c r="Z1291" s="609" t="s">
        <v>540</v>
      </c>
      <c r="AA1291" s="609" t="s">
        <v>3137</v>
      </c>
    </row>
    <row r="1292" spans="1:27" ht="36">
      <c r="A1292" s="2714">
        <v>122134</v>
      </c>
      <c r="B1292" s="371" t="s">
        <v>6551</v>
      </c>
      <c r="C1292" s="371"/>
      <c r="D1292" s="2716" t="str">
        <f>VLOOKUP($A1292,Sheet_NoteList,2,0)</f>
        <v>期末按组合3计提坏账准备的其他应收款（第三阶段）</v>
      </c>
      <c r="E1292" s="2716" t="s">
        <v>6531</v>
      </c>
      <c r="F1292" s="293"/>
      <c r="G1292" s="372" t="str">
        <f>"("&amp;B1292&amp;")"&amp;D1292</f>
        <v>(3A3.4)期末按组合3计提坏账准备的其他应收款（第三阶段）</v>
      </c>
      <c r="H1292" s="2315">
        <f>$A1292</f>
        <v>122134</v>
      </c>
      <c r="I1292" s="343" t="s">
        <v>5934</v>
      </c>
      <c r="J1292" s="301" t="s">
        <v>5935</v>
      </c>
      <c r="K1292" s="2210">
        <f>H1305</f>
        <v>0</v>
      </c>
      <c r="L1292" s="349">
        <f>IF($I1292="适用",IF(ROUND(K$987-K1292,2)=0,"F/S",ROUND(K$987-K1292,2)),"#N/A")</f>
        <v>2208147.21</v>
      </c>
      <c r="M1292" s="301" t="s">
        <v>5936</v>
      </c>
      <c r="N1292" s="2210">
        <f>I1305</f>
        <v>0</v>
      </c>
      <c r="O1292" s="349">
        <f>IF($I1292="适用",IF(ROUND(N$987-N1292,2)=0,"F/S",ROUND(N$987-N1292,2)),"#N/A")</f>
        <v>328019.46999999997</v>
      </c>
      <c r="P1292" s="301"/>
      <c r="S1292" s="364"/>
      <c r="Z1292" s="609" t="s">
        <v>540</v>
      </c>
      <c r="AA1292" s="609" t="s">
        <v>3137</v>
      </c>
    </row>
    <row r="1293" spans="1:27" ht="0.75" customHeight="1">
      <c r="A1293" s="2714"/>
      <c r="B1293" s="371"/>
      <c r="C1293" s="371"/>
      <c r="D1293" s="2716"/>
      <c r="F1293" s="371"/>
      <c r="G1293" s="405" t="s">
        <v>5944</v>
      </c>
      <c r="H1293" s="371" t="s">
        <v>5388</v>
      </c>
      <c r="I1293" s="371" t="s">
        <v>5530</v>
      </c>
      <c r="J1293" s="371" t="s">
        <v>5402</v>
      </c>
      <c r="K1293" s="391"/>
      <c r="L1293" s="349"/>
      <c r="M1293" s="301"/>
      <c r="N1293" s="391"/>
      <c r="O1293" s="349"/>
      <c r="P1293" s="301"/>
      <c r="S1293" s="364"/>
      <c r="Z1293" s="609" t="s">
        <v>540</v>
      </c>
      <c r="AA1293" s="609" t="s">
        <v>3137</v>
      </c>
    </row>
    <row r="1294" spans="1:27" ht="0.75" customHeight="1" thickBot="1">
      <c r="A1294" s="2714"/>
      <c r="B1294" s="371"/>
      <c r="C1294" s="371"/>
      <c r="D1294" s="2716"/>
      <c r="F1294" s="371"/>
      <c r="G1294" s="405"/>
      <c r="H1294" s="371" t="s">
        <v>5472</v>
      </c>
      <c r="I1294" s="371" t="s">
        <v>5377</v>
      </c>
      <c r="J1294" s="371" t="s">
        <v>5378</v>
      </c>
      <c r="K1294" s="391"/>
      <c r="L1294" s="349"/>
      <c r="M1294" s="301"/>
      <c r="N1294" s="391"/>
      <c r="O1294" s="349"/>
      <c r="P1294" s="301"/>
      <c r="S1294" s="364"/>
      <c r="Z1294" s="609" t="s">
        <v>540</v>
      </c>
      <c r="AA1294" s="609" t="s">
        <v>3137</v>
      </c>
    </row>
    <row r="1295" spans="1:27" ht="18" customHeight="1">
      <c r="A1295" s="2714"/>
      <c r="B1295" s="371"/>
      <c r="C1295" s="371"/>
      <c r="D1295" s="2716"/>
      <c r="E1295" s="2716" t="s">
        <v>2749</v>
      </c>
      <c r="F1295" s="293"/>
      <c r="G1295" s="3512" t="s">
        <v>5948</v>
      </c>
      <c r="H1295" s="3391" t="str">
        <f>$V$2</f>
        <v>2019年12月31日</v>
      </c>
      <c r="I1295" s="3392"/>
      <c r="J1295" s="3392"/>
      <c r="K1295" s="355" t="s">
        <v>5949</v>
      </c>
      <c r="L1295" s="349"/>
      <c r="M1295" s="301"/>
      <c r="N1295" s="391"/>
      <c r="O1295" s="349"/>
      <c r="P1295" s="301"/>
      <c r="S1295" s="364"/>
      <c r="Z1295" s="609" t="s">
        <v>540</v>
      </c>
      <c r="AA1295" s="609" t="s">
        <v>3137</v>
      </c>
    </row>
    <row r="1296" spans="1:27" ht="18">
      <c r="A1296" s="2714"/>
      <c r="B1296" s="371"/>
      <c r="C1296" s="371"/>
      <c r="D1296" s="2716"/>
      <c r="E1296" s="2716" t="s">
        <v>2749</v>
      </c>
      <c r="F1296" s="293"/>
      <c r="G1296" s="3513"/>
      <c r="H1296" s="2207" t="s">
        <v>2861</v>
      </c>
      <c r="I1296" s="2207" t="s">
        <v>2862</v>
      </c>
      <c r="J1296" s="2208" t="s">
        <v>2889</v>
      </c>
      <c r="K1296" s="391"/>
      <c r="L1296" s="349"/>
      <c r="M1296" s="301"/>
      <c r="N1296" s="391"/>
      <c r="O1296" s="349"/>
      <c r="P1296" s="301"/>
      <c r="S1296" s="364"/>
      <c r="Z1296" s="609" t="s">
        <v>540</v>
      </c>
      <c r="AA1296" s="609" t="s">
        <v>3137</v>
      </c>
    </row>
    <row r="1297" spans="1:29" ht="18">
      <c r="A1297" s="2714"/>
      <c r="B1297" s="371">
        <v>101</v>
      </c>
      <c r="C1297" s="371" t="s">
        <v>2791</v>
      </c>
      <c r="D1297" s="2716">
        <f t="shared" ref="D1297:D1305" si="114">IF(OR(G1297="*",G1297="",G1297=0),0,COUNTIF($G$1297:$G$1305,G1297))</f>
        <v>0</v>
      </c>
      <c r="E1297" s="2721">
        <v>1</v>
      </c>
      <c r="F1297" s="293"/>
      <c r="G1297" s="2213" t="s">
        <v>2792</v>
      </c>
      <c r="H1297" s="1577"/>
      <c r="I1297" s="422"/>
      <c r="J1297" s="388"/>
      <c r="K1297" s="391"/>
      <c r="L1297" s="349"/>
      <c r="M1297" s="301"/>
      <c r="N1297" s="391"/>
      <c r="O1297" s="349"/>
      <c r="P1297" s="301"/>
      <c r="S1297" s="364"/>
      <c r="Z1297" s="609" t="s">
        <v>540</v>
      </c>
      <c r="AA1297" s="609" t="s">
        <v>3137</v>
      </c>
    </row>
    <row r="1298" spans="1:29" ht="18">
      <c r="A1298" s="2714"/>
      <c r="B1298" s="371">
        <v>102</v>
      </c>
      <c r="C1298" s="371" t="s">
        <v>2791</v>
      </c>
      <c r="D1298" s="2716">
        <f t="shared" si="114"/>
        <v>0</v>
      </c>
      <c r="E1298" s="2721">
        <v>1</v>
      </c>
      <c r="F1298" s="293"/>
      <c r="G1298" s="2213" t="s">
        <v>2792</v>
      </c>
      <c r="H1298" s="1577"/>
      <c r="I1298" s="422"/>
      <c r="J1298" s="388"/>
      <c r="K1298" s="391"/>
      <c r="L1298" s="349"/>
      <c r="M1298" s="301"/>
      <c r="N1298" s="391"/>
      <c r="O1298" s="349"/>
      <c r="P1298" s="301"/>
      <c r="S1298" s="364"/>
      <c r="Z1298" s="609" t="s">
        <v>540</v>
      </c>
      <c r="AA1298" s="609" t="s">
        <v>3137</v>
      </c>
    </row>
    <row r="1299" spans="1:29" ht="18">
      <c r="A1299" s="2714"/>
      <c r="B1299" s="371">
        <v>103</v>
      </c>
      <c r="C1299" s="371" t="s">
        <v>2791</v>
      </c>
      <c r="D1299" s="2716">
        <f t="shared" si="114"/>
        <v>0</v>
      </c>
      <c r="E1299" s="2721">
        <v>1</v>
      </c>
      <c r="F1299" s="293"/>
      <c r="G1299" s="2213" t="s">
        <v>2792</v>
      </c>
      <c r="H1299" s="1577"/>
      <c r="I1299" s="422"/>
      <c r="J1299" s="388"/>
      <c r="K1299" s="391"/>
      <c r="L1299" s="349"/>
      <c r="M1299" s="301"/>
      <c r="N1299" s="391"/>
      <c r="O1299" s="349"/>
      <c r="P1299" s="301"/>
      <c r="S1299" s="364"/>
      <c r="Z1299" s="609" t="s">
        <v>540</v>
      </c>
      <c r="AA1299" s="609" t="s">
        <v>3137</v>
      </c>
    </row>
    <row r="1300" spans="1:29" ht="18">
      <c r="A1300" s="2714"/>
      <c r="B1300" s="371">
        <v>104</v>
      </c>
      <c r="C1300" s="371" t="s">
        <v>2791</v>
      </c>
      <c r="D1300" s="2716">
        <f t="shared" si="114"/>
        <v>0</v>
      </c>
      <c r="E1300" s="2721">
        <v>1</v>
      </c>
      <c r="F1300" s="293"/>
      <c r="G1300" s="2213" t="s">
        <v>2792</v>
      </c>
      <c r="H1300" s="1577"/>
      <c r="I1300" s="422"/>
      <c r="J1300" s="388"/>
      <c r="K1300" s="391"/>
      <c r="L1300" s="349"/>
      <c r="M1300" s="301"/>
      <c r="N1300" s="391"/>
      <c r="O1300" s="349"/>
      <c r="P1300" s="301"/>
      <c r="S1300" s="364"/>
      <c r="Z1300" s="609" t="s">
        <v>540</v>
      </c>
      <c r="AA1300" s="609" t="s">
        <v>3137</v>
      </c>
    </row>
    <row r="1301" spans="1:29" ht="18">
      <c r="A1301" s="2714"/>
      <c r="B1301" s="371">
        <v>105</v>
      </c>
      <c r="C1301" s="371" t="s">
        <v>2791</v>
      </c>
      <c r="D1301" s="2716">
        <f t="shared" si="114"/>
        <v>0</v>
      </c>
      <c r="E1301" s="2721">
        <v>1</v>
      </c>
      <c r="F1301" s="293"/>
      <c r="G1301" s="2213" t="s">
        <v>2792</v>
      </c>
      <c r="H1301" s="1577"/>
      <c r="I1301" s="422"/>
      <c r="J1301" s="388"/>
      <c r="K1301" s="391"/>
      <c r="L1301" s="349"/>
      <c r="M1301" s="301"/>
      <c r="N1301" s="391"/>
      <c r="O1301" s="349"/>
      <c r="P1301" s="301"/>
      <c r="S1301" s="364"/>
      <c r="Z1301" s="609" t="s">
        <v>540</v>
      </c>
      <c r="AA1301" s="609" t="s">
        <v>3137</v>
      </c>
    </row>
    <row r="1302" spans="1:29" ht="18">
      <c r="A1302" s="2714"/>
      <c r="B1302" s="371">
        <v>106</v>
      </c>
      <c r="C1302" s="371" t="s">
        <v>2791</v>
      </c>
      <c r="D1302" s="2716">
        <f t="shared" si="114"/>
        <v>0</v>
      </c>
      <c r="E1302" s="2721">
        <v>1</v>
      </c>
      <c r="F1302" s="293"/>
      <c r="G1302" s="2213" t="s">
        <v>2792</v>
      </c>
      <c r="H1302" s="1577"/>
      <c r="I1302" s="422"/>
      <c r="J1302" s="388"/>
      <c r="K1302" s="391"/>
      <c r="L1302" s="349"/>
      <c r="M1302" s="301"/>
      <c r="N1302" s="391"/>
      <c r="O1302" s="349"/>
      <c r="P1302" s="301"/>
      <c r="S1302" s="364"/>
      <c r="Z1302" s="609" t="s">
        <v>540</v>
      </c>
      <c r="AA1302" s="609" t="s">
        <v>3137</v>
      </c>
    </row>
    <row r="1303" spans="1:29" ht="18">
      <c r="A1303" s="2714"/>
      <c r="B1303" s="371">
        <v>107</v>
      </c>
      <c r="C1303" s="371" t="s">
        <v>2791</v>
      </c>
      <c r="D1303" s="2716">
        <f t="shared" si="114"/>
        <v>0</v>
      </c>
      <c r="E1303" s="2721">
        <v>1</v>
      </c>
      <c r="F1303" s="293"/>
      <c r="G1303" s="2213" t="s">
        <v>2792</v>
      </c>
      <c r="H1303" s="1577"/>
      <c r="I1303" s="422"/>
      <c r="J1303" s="388"/>
      <c r="K1303" s="391"/>
      <c r="L1303" s="349"/>
      <c r="M1303" s="301"/>
      <c r="N1303" s="391"/>
      <c r="O1303" s="349"/>
      <c r="P1303" s="301"/>
      <c r="S1303" s="364"/>
      <c r="Z1303" s="609" t="s">
        <v>540</v>
      </c>
      <c r="AA1303" s="609" t="s">
        <v>3137</v>
      </c>
    </row>
    <row r="1304" spans="1:29" ht="18">
      <c r="A1304" s="2714"/>
      <c r="B1304" s="371">
        <v>108</v>
      </c>
      <c r="C1304" s="371" t="s">
        <v>2791</v>
      </c>
      <c r="D1304" s="2716">
        <f t="shared" si="114"/>
        <v>0</v>
      </c>
      <c r="E1304" s="2721">
        <v>1</v>
      </c>
      <c r="F1304" s="293"/>
      <c r="G1304" s="2213" t="s">
        <v>2792</v>
      </c>
      <c r="H1304" s="1577"/>
      <c r="I1304" s="422"/>
      <c r="J1304" s="388"/>
      <c r="K1304" s="391"/>
      <c r="L1304" s="349"/>
      <c r="M1304" s="301"/>
      <c r="N1304" s="391"/>
      <c r="O1304" s="349"/>
      <c r="P1304" s="301"/>
      <c r="S1304" s="364"/>
      <c r="Z1304" s="609" t="s">
        <v>540</v>
      </c>
      <c r="AA1304" s="609" t="s">
        <v>3137</v>
      </c>
    </row>
    <row r="1305" spans="1:29" ht="18.75" thickBot="1">
      <c r="A1305" s="2714"/>
      <c r="B1305" s="371"/>
      <c r="C1305" s="371"/>
      <c r="D1305" s="2716">
        <f t="shared" si="114"/>
        <v>1</v>
      </c>
      <c r="E1305" s="2721" t="s">
        <v>2751</v>
      </c>
      <c r="F1305" s="293"/>
      <c r="G1305" s="1529" t="s">
        <v>2752</v>
      </c>
      <c r="H1305" s="1527">
        <f>SUMPRODUCT($E1296:$E1304,H1296:H1304)</f>
        <v>0</v>
      </c>
      <c r="I1305" s="1527">
        <f>SUMPRODUCT($E1296:$E1304,I1296:I1304)</f>
        <v>0</v>
      </c>
      <c r="J1305" s="2209"/>
      <c r="K1305" s="391"/>
      <c r="L1305" s="349"/>
      <c r="M1305" s="301"/>
      <c r="N1305" s="391"/>
      <c r="O1305" s="349"/>
      <c r="P1305" s="301"/>
      <c r="S1305" s="364"/>
      <c r="Z1305" s="609" t="s">
        <v>540</v>
      </c>
      <c r="AA1305" s="609" t="s">
        <v>3137</v>
      </c>
    </row>
    <row r="1306" spans="1:29" ht="18">
      <c r="A1306" s="2714"/>
      <c r="B1306" s="371"/>
      <c r="C1306" s="371" t="s">
        <v>2755</v>
      </c>
      <c r="D1306" s="2716"/>
      <c r="F1306" s="293"/>
      <c r="G1306" s="376"/>
      <c r="H1306" s="1576"/>
      <c r="I1306" s="396"/>
      <c r="J1306" s="393"/>
      <c r="K1306" s="391"/>
      <c r="L1306" s="349"/>
      <c r="M1306" s="301"/>
      <c r="N1306" s="391"/>
      <c r="O1306" s="349"/>
      <c r="P1306" s="301"/>
      <c r="S1306" s="364"/>
      <c r="Z1306" s="609" t="s">
        <v>540</v>
      </c>
      <c r="AA1306" s="609" t="s">
        <v>3137</v>
      </c>
    </row>
    <row r="1307" spans="1:29" ht="36">
      <c r="A1307" s="2714" t="s">
        <v>558</v>
      </c>
      <c r="B1307" s="371" t="s">
        <v>6552</v>
      </c>
      <c r="C1307" s="371"/>
      <c r="D1307" s="2716" t="str">
        <f>VLOOKUP($A1307,Sheet_NoteList,2,0)</f>
        <v>其他应收款按坏账计提方法分类披露（已发生损失模型）</v>
      </c>
      <c r="E1307" s="2716" t="s">
        <v>2742</v>
      </c>
      <c r="F1307" s="293"/>
      <c r="G1307" s="372" t="str">
        <f>"("&amp;B1307&amp;")"&amp;D1307</f>
        <v>(3B)其他应收款按坏账计提方法分类披露（已发生损失模型）</v>
      </c>
      <c r="H1307" s="1517" t="str">
        <f>$A1307</f>
        <v>1221t</v>
      </c>
      <c r="I1307" s="343" t="s">
        <v>2743</v>
      </c>
      <c r="J1307" s="301"/>
      <c r="K1307" s="391"/>
      <c r="L1307" s="349"/>
      <c r="M1307" s="301" t="s">
        <v>2745</v>
      </c>
      <c r="N1307" s="2210">
        <f>L1317</f>
        <v>0</v>
      </c>
      <c r="O1307" s="349">
        <f>IF($I1307="适用",IF(ROUND(N$987-N1307,2)=0,"F/S",ROUND(N$987-N1307,2)),"#N/A")</f>
        <v>328019.46999999997</v>
      </c>
      <c r="P1307" s="301"/>
      <c r="S1307" s="364"/>
      <c r="Z1307" s="609" t="s">
        <v>540</v>
      </c>
      <c r="AA1307" s="609" t="s">
        <v>3137</v>
      </c>
    </row>
    <row r="1308" spans="1:29" ht="0.75" customHeight="1">
      <c r="A1308" s="2714"/>
      <c r="B1308" s="371"/>
      <c r="C1308" s="371"/>
      <c r="D1308" s="2716"/>
      <c r="E1308" s="586"/>
      <c r="F1308" s="586"/>
      <c r="G1308" s="2224" t="s">
        <v>3149</v>
      </c>
      <c r="H1308" s="371" t="s">
        <v>5390</v>
      </c>
      <c r="I1308" s="371" t="s">
        <v>5408</v>
      </c>
      <c r="J1308" s="371" t="s">
        <v>5392</v>
      </c>
      <c r="K1308" s="547" t="s">
        <v>5393</v>
      </c>
      <c r="L1308" s="547" t="s">
        <v>5394</v>
      </c>
      <c r="M1308" s="433"/>
      <c r="N1308" s="428"/>
      <c r="O1308" s="428"/>
      <c r="P1308" s="433"/>
      <c r="Q1308" s="442"/>
      <c r="R1308" s="443"/>
      <c r="S1308" s="364"/>
      <c r="Z1308" s="609" t="s">
        <v>540</v>
      </c>
      <c r="AA1308" s="609" t="s">
        <v>3137</v>
      </c>
    </row>
    <row r="1309" spans="1:29" ht="0.75" customHeight="1" thickBot="1">
      <c r="A1309" s="2714"/>
      <c r="B1309" s="371"/>
      <c r="C1309" s="371"/>
      <c r="D1309" s="2716"/>
      <c r="E1309" s="586"/>
      <c r="F1309" s="586"/>
      <c r="G1309" s="2224"/>
      <c r="H1309" s="371" t="s">
        <v>5395</v>
      </c>
      <c r="I1309" s="371" t="s">
        <v>5396</v>
      </c>
      <c r="J1309" s="371" t="s">
        <v>5397</v>
      </c>
      <c r="K1309" s="547" t="s">
        <v>5398</v>
      </c>
      <c r="L1309" s="547" t="s">
        <v>5399</v>
      </c>
      <c r="M1309" s="433"/>
      <c r="N1309" s="428"/>
      <c r="O1309" s="428"/>
      <c r="P1309" s="433"/>
      <c r="Q1309" s="442"/>
      <c r="R1309" s="443"/>
      <c r="S1309" s="364"/>
      <c r="Z1309" s="609" t="s">
        <v>540</v>
      </c>
      <c r="AA1309" s="609" t="s">
        <v>3137</v>
      </c>
    </row>
    <row r="1310" spans="1:29" ht="18" customHeight="1">
      <c r="A1310" s="2714"/>
      <c r="B1310" s="371"/>
      <c r="C1310" s="371"/>
      <c r="D1310" s="2716"/>
      <c r="E1310" s="586" t="s">
        <v>2749</v>
      </c>
      <c r="F1310" s="414"/>
      <c r="G1310" s="3472" t="s">
        <v>6004</v>
      </c>
      <c r="H1310" s="3418" t="str">
        <f>$V$3</f>
        <v>2018年12月31日</v>
      </c>
      <c r="I1310" s="3419"/>
      <c r="J1310" s="3419"/>
      <c r="K1310" s="3419"/>
      <c r="L1310" s="3419"/>
      <c r="M1310" s="355" t="s">
        <v>5273</v>
      </c>
      <c r="N1310" s="428"/>
      <c r="O1310" s="428"/>
      <c r="P1310" s="433"/>
      <c r="Q1310" s="442"/>
      <c r="R1310" s="443"/>
      <c r="S1310" s="364"/>
      <c r="Z1310" s="609" t="s">
        <v>540</v>
      </c>
      <c r="AA1310" s="609" t="s">
        <v>3137</v>
      </c>
    </row>
    <row r="1311" spans="1:29" ht="18">
      <c r="A1311" s="2714"/>
      <c r="B1311" s="371"/>
      <c r="C1311" s="371"/>
      <c r="D1311" s="2716"/>
      <c r="E1311" s="586" t="s">
        <v>2749</v>
      </c>
      <c r="F1311" s="414"/>
      <c r="G1311" s="3473"/>
      <c r="H1311" s="2294" t="s">
        <v>6005</v>
      </c>
      <c r="I1311" s="2294" t="s">
        <v>2888</v>
      </c>
      <c r="J1311" s="2294" t="s">
        <v>6006</v>
      </c>
      <c r="K1311" s="2239" t="s">
        <v>2889</v>
      </c>
      <c r="L1311" s="2240" t="s">
        <v>6007</v>
      </c>
      <c r="M1311" s="435"/>
      <c r="N1311" s="434"/>
      <c r="O1311" s="434"/>
      <c r="P1311" s="435"/>
      <c r="Q1311" s="442"/>
      <c r="R1311" s="443"/>
      <c r="S1311" s="364"/>
      <c r="Z1311" s="609" t="s">
        <v>540</v>
      </c>
      <c r="AA1311" s="609" t="s">
        <v>3137</v>
      </c>
    </row>
    <row r="1312" spans="1:29" ht="28.5" customHeight="1">
      <c r="A1312" s="2714"/>
      <c r="B1312" s="371">
        <v>101</v>
      </c>
      <c r="C1312" s="371"/>
      <c r="D1312" s="2716">
        <f t="shared" ref="D1312:D1317" si="115">IF(OR(G1312="*",G1312="",G1312=0),0,COUNTIF($G$1312:$G$1317,G1312))</f>
        <v>1</v>
      </c>
      <c r="E1312" s="2721">
        <v>1</v>
      </c>
      <c r="F1312" s="293"/>
      <c r="G1312" s="1474" t="s">
        <v>3154</v>
      </c>
      <c r="H1312" s="2275"/>
      <c r="I1312" s="2298"/>
      <c r="J1312" s="2275"/>
      <c r="K1312" s="2298"/>
      <c r="L1312" s="1477">
        <f>H1312-J1312</f>
        <v>0</v>
      </c>
      <c r="M1312" s="1533" t="str">
        <f ca="1">HYPERLINK("#'"&amp;$G$1&amp;"'!"&amp;ADDRESS(ROW(Notes!H1342),COLUMN(Notes!H1342),4),"* 请勿删除此行！点击往勾稽单元格，F5+Enter返回")</f>
        <v>* 请勿删除此行！点击往勾稽单元格，F5+Enter返回</v>
      </c>
      <c r="N1312" s="439"/>
      <c r="O1312" s="437"/>
      <c r="P1312" s="438"/>
      <c r="Q1312" s="442"/>
      <c r="R1312" s="443"/>
      <c r="S1312" s="364"/>
      <c r="Z1312" s="609" t="s">
        <v>540</v>
      </c>
      <c r="AA1312" s="609" t="s">
        <v>3137</v>
      </c>
      <c r="AC1312" s="369" t="s">
        <v>6573</v>
      </c>
    </row>
    <row r="1313" spans="1:27" ht="28.5" customHeight="1">
      <c r="A1313" s="2714"/>
      <c r="B1313" s="371">
        <v>102</v>
      </c>
      <c r="C1313" s="371"/>
      <c r="D1313" s="2716">
        <f t="shared" si="115"/>
        <v>1</v>
      </c>
      <c r="E1313" s="2721">
        <v>1</v>
      </c>
      <c r="F1313" s="293"/>
      <c r="G1313" s="1474" t="s">
        <v>3155</v>
      </c>
      <c r="H1313" s="2275"/>
      <c r="I1313" s="2298"/>
      <c r="J1313" s="2275"/>
      <c r="K1313" s="2298"/>
      <c r="L1313" s="1477">
        <f t="shared" ref="L1313:L1316" si="116">H1313-J1313</f>
        <v>0</v>
      </c>
      <c r="M1313" s="438"/>
      <c r="N1313" s="439"/>
      <c r="O1313" s="437"/>
      <c r="P1313" s="438"/>
      <c r="Q1313" s="442"/>
      <c r="R1313" s="443"/>
      <c r="S1313" s="364"/>
      <c r="Z1313" s="609" t="s">
        <v>540</v>
      </c>
      <c r="AA1313" s="609" t="s">
        <v>3137</v>
      </c>
    </row>
    <row r="1314" spans="1:27" ht="28.5" customHeight="1">
      <c r="A1314" s="2714"/>
      <c r="B1314" s="371">
        <v>103</v>
      </c>
      <c r="C1314" s="371"/>
      <c r="D1314" s="2716">
        <f t="shared" si="115"/>
        <v>1</v>
      </c>
      <c r="E1314" s="2721">
        <v>1</v>
      </c>
      <c r="F1314" s="293"/>
      <c r="G1314" s="1474" t="s">
        <v>3156</v>
      </c>
      <c r="H1314" s="2275"/>
      <c r="I1314" s="2298"/>
      <c r="J1314" s="2275"/>
      <c r="K1314" s="2298"/>
      <c r="L1314" s="1477">
        <f t="shared" si="116"/>
        <v>0</v>
      </c>
      <c r="M1314" s="438"/>
      <c r="N1314" s="439"/>
      <c r="O1314" s="437"/>
      <c r="P1314" s="438"/>
      <c r="Q1314" s="442"/>
      <c r="R1314" s="443"/>
      <c r="S1314" s="364"/>
      <c r="Z1314" s="609" t="s">
        <v>540</v>
      </c>
      <c r="AA1314" s="609" t="s">
        <v>3137</v>
      </c>
    </row>
    <row r="1315" spans="1:27" ht="18">
      <c r="A1315" s="2714"/>
      <c r="B1315" s="371">
        <v>104</v>
      </c>
      <c r="C1315" s="371" t="s">
        <v>2791</v>
      </c>
      <c r="D1315" s="2716">
        <f t="shared" si="115"/>
        <v>0</v>
      </c>
      <c r="E1315" s="2721">
        <v>1</v>
      </c>
      <c r="F1315" s="293"/>
      <c r="G1315" s="2284" t="s">
        <v>2792</v>
      </c>
      <c r="H1315" s="2275"/>
      <c r="I1315" s="2298"/>
      <c r="J1315" s="2275"/>
      <c r="K1315" s="2298"/>
      <c r="L1315" s="1477">
        <f t="shared" si="116"/>
        <v>0</v>
      </c>
      <c r="M1315" s="438"/>
      <c r="N1315" s="439"/>
      <c r="O1315" s="437"/>
      <c r="P1315" s="438"/>
      <c r="Q1315" s="442"/>
      <c r="R1315" s="443"/>
      <c r="S1315" s="364"/>
      <c r="Z1315" s="609" t="s">
        <v>540</v>
      </c>
      <c r="AA1315" s="609" t="s">
        <v>3137</v>
      </c>
    </row>
    <row r="1316" spans="1:27" ht="18">
      <c r="A1316" s="2714"/>
      <c r="B1316" s="371">
        <v>105</v>
      </c>
      <c r="C1316" s="371" t="s">
        <v>2791</v>
      </c>
      <c r="D1316" s="2716">
        <f t="shared" si="115"/>
        <v>0</v>
      </c>
      <c r="E1316" s="2721">
        <v>1</v>
      </c>
      <c r="F1316" s="293"/>
      <c r="G1316" s="2284" t="s">
        <v>2792</v>
      </c>
      <c r="H1316" s="2275"/>
      <c r="I1316" s="2298"/>
      <c r="J1316" s="2275"/>
      <c r="K1316" s="2298"/>
      <c r="L1316" s="1477">
        <f t="shared" si="116"/>
        <v>0</v>
      </c>
      <c r="M1316" s="438"/>
      <c r="N1316" s="439"/>
      <c r="O1316" s="437"/>
      <c r="P1316" s="438"/>
      <c r="Q1316" s="442"/>
      <c r="R1316" s="443"/>
      <c r="S1316" s="364"/>
      <c r="Z1316" s="609" t="s">
        <v>540</v>
      </c>
      <c r="AA1316" s="609" t="s">
        <v>3137</v>
      </c>
    </row>
    <row r="1317" spans="1:27" ht="18.75" thickBot="1">
      <c r="A1317" s="2714"/>
      <c r="B1317" s="371"/>
      <c r="C1317" s="371"/>
      <c r="D1317" s="2716">
        <f t="shared" si="115"/>
        <v>1</v>
      </c>
      <c r="E1317" s="2721" t="s">
        <v>2751</v>
      </c>
      <c r="F1317" s="293"/>
      <c r="G1317" s="2234" t="s">
        <v>2752</v>
      </c>
      <c r="H1317" s="2235">
        <f>SUMPRODUCT($E1311:$E1316,H1311:H1316)</f>
        <v>0</v>
      </c>
      <c r="I1317" s="2242">
        <f>SUMPRODUCT($E1311:$E1316,I1311:I1316)</f>
        <v>0</v>
      </c>
      <c r="J1317" s="2235">
        <f>SUMPRODUCT($E1311:$E1316,J1311:J1316)</f>
        <v>0</v>
      </c>
      <c r="K1317" s="2241"/>
      <c r="L1317" s="2236">
        <f>SUMPRODUCT($E1311:$E1316,L1311:L1316)</f>
        <v>0</v>
      </c>
      <c r="M1317" s="440"/>
      <c r="N1317" s="439"/>
      <c r="O1317" s="437"/>
      <c r="P1317" s="440"/>
      <c r="Q1317" s="442"/>
      <c r="R1317" s="443"/>
      <c r="S1317" s="364"/>
      <c r="Z1317" s="609" t="s">
        <v>540</v>
      </c>
      <c r="AA1317" s="609" t="s">
        <v>3137</v>
      </c>
    </row>
    <row r="1318" spans="1:27" ht="18.75" thickBot="1">
      <c r="A1318" s="2714"/>
      <c r="B1318" s="371"/>
      <c r="C1318" s="371" t="s">
        <v>2755</v>
      </c>
      <c r="D1318" s="2716"/>
      <c r="F1318" s="293"/>
      <c r="G1318" s="376"/>
      <c r="H1318" s="527" t="s">
        <v>3002</v>
      </c>
      <c r="I1318" s="432"/>
      <c r="J1318" s="527" t="s">
        <v>3002</v>
      </c>
      <c r="K1318" s="392"/>
      <c r="L1318" s="527" t="s">
        <v>3002</v>
      </c>
      <c r="M1318" s="425"/>
      <c r="N1318" s="426"/>
      <c r="O1318" s="427"/>
      <c r="P1318" s="425"/>
      <c r="Q1318" s="442"/>
      <c r="R1318" s="443"/>
      <c r="S1318" s="364"/>
      <c r="Z1318" s="609" t="s">
        <v>540</v>
      </c>
      <c r="AA1318" s="609" t="s">
        <v>3137</v>
      </c>
    </row>
    <row r="1319" spans="1:27" ht="18.75" thickTop="1">
      <c r="A1319" s="2714"/>
      <c r="B1319" s="371"/>
      <c r="C1319" s="371" t="s">
        <v>2565</v>
      </c>
      <c r="D1319" s="2716"/>
      <c r="F1319" s="293"/>
      <c r="G1319" s="1549" t="s">
        <v>5367</v>
      </c>
      <c r="H1319" s="1550" t="str">
        <f>G988</f>
        <v>(1)其他应收款按账龄披露</v>
      </c>
      <c r="I1319" s="1551"/>
      <c r="J1319" s="1552"/>
      <c r="K1319" s="1551"/>
      <c r="L1319" s="1552"/>
      <c r="M1319" s="1553" t="s">
        <v>5368</v>
      </c>
      <c r="N1319" s="426"/>
      <c r="O1319" s="427"/>
      <c r="P1319" s="425"/>
      <c r="Q1319" s="442"/>
      <c r="R1319" s="442"/>
      <c r="S1319" s="364"/>
      <c r="Z1319" s="609" t="s">
        <v>540</v>
      </c>
      <c r="AA1319" s="609" t="s">
        <v>3137</v>
      </c>
    </row>
    <row r="1320" spans="1:27" ht="18">
      <c r="A1320" s="2714"/>
      <c r="B1320" s="371"/>
      <c r="C1320" s="371" t="s">
        <v>2565</v>
      </c>
      <c r="D1320" s="2716"/>
      <c r="F1320" s="293"/>
      <c r="G1320" s="604" t="str">
        <f>"注释A:"&amp; ""</f>
        <v>注释A:</v>
      </c>
      <c r="H1320" s="2252">
        <f ca="1">HYPERLINK("#'"&amp;$G$1&amp;"'!"&amp;ADDRESS(ROW(Notes!I1002),COLUMN(Notes!I1002),4),I1002)</f>
        <v>347257.59</v>
      </c>
      <c r="I1320" s="351"/>
      <c r="J1320" s="2252">
        <f ca="1">HYPERLINK("#'"&amp;$G$1&amp;"'!"&amp;ADDRESS(ROW(Notes!I1003),COLUMN(Notes!I1003),4),I1003)</f>
        <v>19238.12</v>
      </c>
      <c r="K1320" s="351"/>
      <c r="L1320" s="2252">
        <f ca="1">HYPERLINK("#'"&amp;$G$1&amp;"'!"&amp;ADDRESS(ROW(Notes!I1004),COLUMN(Notes!I1004),4),I1004)</f>
        <v>328019.46999999997</v>
      </c>
      <c r="M1320" s="2251" t="str">
        <f>H988</f>
        <v>1221j</v>
      </c>
      <c r="N1320" s="426"/>
      <c r="O1320" s="427"/>
      <c r="P1320" s="425"/>
      <c r="Q1320" s="442"/>
      <c r="R1320" s="442"/>
      <c r="S1320" s="364"/>
      <c r="Z1320" s="609" t="s">
        <v>540</v>
      </c>
      <c r="AA1320" s="609" t="s">
        <v>3137</v>
      </c>
    </row>
    <row r="1321" spans="1:27" ht="18">
      <c r="A1321" s="2714"/>
      <c r="B1321" s="371"/>
      <c r="C1321" s="371" t="s">
        <v>2565</v>
      </c>
      <c r="D1321" s="2716"/>
      <c r="F1321" s="293"/>
      <c r="G1321" s="604" t="str">
        <f>"本注释B:"&amp; G1317</f>
        <v>本注释B:合       计</v>
      </c>
      <c r="H1321" s="456">
        <f>H1317</f>
        <v>0</v>
      </c>
      <c r="I1321" s="351"/>
      <c r="J1321" s="456">
        <f>J1317</f>
        <v>0</v>
      </c>
      <c r="K1321" s="351"/>
      <c r="L1321" s="456">
        <f>L1317</f>
        <v>0</v>
      </c>
      <c r="M1321" s="1544" t="s">
        <v>558</v>
      </c>
      <c r="N1321" s="426"/>
      <c r="O1321" s="427"/>
      <c r="P1321" s="425"/>
      <c r="Q1321" s="442"/>
      <c r="R1321" s="442"/>
      <c r="S1321" s="364"/>
      <c r="Z1321" s="609" t="s">
        <v>540</v>
      </c>
      <c r="AA1321" s="609" t="s">
        <v>3137</v>
      </c>
    </row>
    <row r="1322" spans="1:27" ht="18.75" thickBot="1">
      <c r="A1322" s="2714"/>
      <c r="B1322" s="371"/>
      <c r="C1322" s="371" t="s">
        <v>2565</v>
      </c>
      <c r="D1322" s="2716"/>
      <c r="F1322" s="293"/>
      <c r="G1322" s="1554" t="s">
        <v>2757</v>
      </c>
      <c r="H1322" s="1531">
        <f ca="1">IF(AND(H1320="",H1321=""),"",ROUND(H1320-H1321,2))</f>
        <v>347257.59</v>
      </c>
      <c r="I1322" s="1555"/>
      <c r="J1322" s="1531">
        <f ca="1">IF(AND(J1320="",J1321=""),"",ROUND(J1320-J1321,2))</f>
        <v>19238.12</v>
      </c>
      <c r="K1322" s="1555"/>
      <c r="L1322" s="1531">
        <f ca="1">IF(AND(L1320="",L1321=""),"",ROUND(L1320-L1321,2))</f>
        <v>328019.46999999997</v>
      </c>
      <c r="M1322" s="1556"/>
      <c r="N1322" s="426"/>
      <c r="O1322" s="427"/>
      <c r="P1322" s="425"/>
      <c r="Q1322" s="442"/>
      <c r="R1322" s="442"/>
      <c r="S1322" s="364"/>
      <c r="Z1322" s="609" t="s">
        <v>540</v>
      </c>
      <c r="AA1322" s="609" t="s">
        <v>3137</v>
      </c>
    </row>
    <row r="1323" spans="1:27" ht="18.75" thickTop="1">
      <c r="A1323" s="2714"/>
      <c r="B1323" s="371"/>
      <c r="C1323" s="371" t="s">
        <v>2565</v>
      </c>
      <c r="D1323" s="2716"/>
      <c r="F1323" s="293"/>
      <c r="G1323" s="1545"/>
      <c r="H1323" s="459" t="str">
        <f ca="1">IF(OR(H1322=0,H1322=""),"√","？")</f>
        <v>？</v>
      </c>
      <c r="I1323" s="317"/>
      <c r="J1323" s="459" t="str">
        <f ca="1">IF(OR(J1322=0,J1322=""),"√","？")</f>
        <v>？</v>
      </c>
      <c r="K1323" s="317"/>
      <c r="L1323" s="459" t="str">
        <f ca="1">IF(OR(L1322=0,L1322=""),"√","？")</f>
        <v>？</v>
      </c>
      <c r="M1323" s="1547"/>
      <c r="N1323" s="426"/>
      <c r="O1323" s="427"/>
      <c r="P1323" s="425"/>
      <c r="Q1323" s="442"/>
      <c r="R1323" s="442"/>
      <c r="S1323" s="364"/>
      <c r="Z1323" s="609" t="s">
        <v>540</v>
      </c>
      <c r="AA1323" s="609" t="s">
        <v>3137</v>
      </c>
    </row>
    <row r="1324" spans="1:27" ht="18">
      <c r="A1324" s="2714"/>
      <c r="B1324" s="371"/>
      <c r="C1324" s="371" t="s">
        <v>2565</v>
      </c>
      <c r="D1324" s="2716"/>
      <c r="F1324" s="293"/>
      <c r="G1324" s="1559" t="s">
        <v>2759</v>
      </c>
      <c r="H1324" s="461"/>
      <c r="I1324" s="317"/>
      <c r="J1324" s="461"/>
      <c r="K1324" s="352">
        <f ca="1">SUMIF($H$1323:$M$1323,"&lt;&gt;√",$H$1322:$M$1322)</f>
        <v>694515.18</v>
      </c>
      <c r="L1324" s="353" t="str">
        <f ca="1">IF(OR(K1324=0,K1324=""),"√","？")</f>
        <v>？</v>
      </c>
      <c r="M1324" s="1547"/>
      <c r="N1324" s="426"/>
      <c r="O1324" s="427"/>
      <c r="P1324" s="425"/>
      <c r="Q1324" s="442"/>
      <c r="R1324" s="442"/>
      <c r="S1324" s="364"/>
      <c r="Z1324" s="609" t="s">
        <v>540</v>
      </c>
      <c r="AA1324" s="609" t="s">
        <v>3137</v>
      </c>
    </row>
    <row r="1325" spans="1:27" ht="18">
      <c r="A1325" s="2714"/>
      <c r="B1325" s="371"/>
      <c r="C1325" s="371" t="s">
        <v>2565</v>
      </c>
      <c r="D1325" s="2716"/>
      <c r="F1325" s="293"/>
      <c r="G1325" s="1545"/>
      <c r="H1325" s="461"/>
      <c r="I1325" s="317"/>
      <c r="J1325" s="461"/>
      <c r="K1325" s="317"/>
      <c r="L1325" s="461"/>
      <c r="M1325" s="1547"/>
      <c r="N1325" s="426"/>
      <c r="O1325" s="427"/>
      <c r="P1325" s="425"/>
      <c r="Q1325" s="442"/>
      <c r="R1325" s="442"/>
      <c r="S1325" s="364"/>
      <c r="Z1325" s="609" t="s">
        <v>540</v>
      </c>
      <c r="AA1325" s="609" t="s">
        <v>3137</v>
      </c>
    </row>
    <row r="1326" spans="1:27" ht="48">
      <c r="A1326" s="2714" t="s">
        <v>569</v>
      </c>
      <c r="B1326" s="371" t="s">
        <v>6553</v>
      </c>
      <c r="C1326" s="371"/>
      <c r="D1326" s="2716" t="str">
        <f>VLOOKUP($A1326,Sheet_NoteList,2,0)</f>
        <v>上期末按单项金额重大并单项计提坏账准备的其他应收款（已发生损失模型）</v>
      </c>
      <c r="E1326" s="2716" t="s">
        <v>2742</v>
      </c>
      <c r="F1326" s="293"/>
      <c r="G1326" s="372" t="str">
        <f>"("&amp;B1326&amp;")"&amp;D1326</f>
        <v>(3B1)上期末按单项金额重大并单项计提坏账准备的其他应收款（已发生损失模型）</v>
      </c>
      <c r="H1326" s="1517" t="str">
        <f>$A1326</f>
        <v>1221v</v>
      </c>
      <c r="I1326" s="343" t="s">
        <v>2743</v>
      </c>
      <c r="J1326" s="301"/>
      <c r="K1326" s="391"/>
      <c r="L1326" s="349"/>
      <c r="M1326" s="301" t="s">
        <v>2745</v>
      </c>
      <c r="N1326" s="2210">
        <f>H1339</f>
        <v>0</v>
      </c>
      <c r="O1326" s="349"/>
      <c r="P1326" s="301"/>
      <c r="S1326" s="364"/>
      <c r="Z1326" s="609" t="s">
        <v>540</v>
      </c>
      <c r="AA1326" s="609" t="s">
        <v>3137</v>
      </c>
    </row>
    <row r="1327" spans="1:27" ht="0.75" customHeight="1">
      <c r="A1327" s="2714"/>
      <c r="B1327" s="371"/>
      <c r="C1327" s="371"/>
      <c r="D1327" s="2716"/>
      <c r="E1327" s="586"/>
      <c r="F1327" s="586"/>
      <c r="G1327" s="2224" t="s">
        <v>3158</v>
      </c>
      <c r="H1327" s="371" t="s">
        <v>2747</v>
      </c>
      <c r="I1327" s="371" t="s">
        <v>2748</v>
      </c>
      <c r="J1327" s="547" t="s">
        <v>2957</v>
      </c>
      <c r="K1327" s="547" t="s">
        <v>2898</v>
      </c>
      <c r="L1327" s="428"/>
      <c r="M1327" s="433"/>
      <c r="N1327" s="428"/>
      <c r="O1327" s="428"/>
      <c r="P1327" s="433"/>
      <c r="Q1327" s="442"/>
      <c r="R1327" s="443"/>
      <c r="S1327" s="364"/>
      <c r="Z1327" s="609" t="s">
        <v>540</v>
      </c>
      <c r="AA1327" s="609" t="s">
        <v>3137</v>
      </c>
    </row>
    <row r="1328" spans="1:27" ht="0.75" customHeight="1" thickBot="1">
      <c r="A1328" s="2714"/>
      <c r="B1328" s="371"/>
      <c r="C1328" s="371"/>
      <c r="D1328" s="2716"/>
      <c r="E1328" s="586"/>
      <c r="F1328" s="586"/>
      <c r="G1328" s="2224"/>
      <c r="H1328" s="371" t="s">
        <v>3159</v>
      </c>
      <c r="I1328" s="371" t="s">
        <v>2859</v>
      </c>
      <c r="J1328" s="371" t="s">
        <v>3160</v>
      </c>
      <c r="K1328" s="547" t="s">
        <v>2999</v>
      </c>
      <c r="L1328" s="428"/>
      <c r="M1328" s="433"/>
      <c r="N1328" s="428"/>
      <c r="O1328" s="428"/>
      <c r="P1328" s="433"/>
      <c r="Q1328" s="442"/>
      <c r="R1328" s="443"/>
      <c r="S1328" s="364"/>
      <c r="Z1328" s="609" t="s">
        <v>540</v>
      </c>
      <c r="AA1328" s="609" t="s">
        <v>3137</v>
      </c>
    </row>
    <row r="1329" spans="1:27" ht="18" customHeight="1">
      <c r="A1329" s="2714"/>
      <c r="B1329" s="371"/>
      <c r="C1329" s="371"/>
      <c r="D1329" s="2716"/>
      <c r="E1329" s="586" t="s">
        <v>2749</v>
      </c>
      <c r="F1329" s="414"/>
      <c r="G1329" s="3472" t="s">
        <v>3161</v>
      </c>
      <c r="H1329" s="3418" t="str">
        <f>$V$3</f>
        <v>2018年12月31日</v>
      </c>
      <c r="I1329" s="3419"/>
      <c r="J1329" s="3419"/>
      <c r="K1329" s="3419"/>
      <c r="L1329" s="355" t="s">
        <v>5273</v>
      </c>
      <c r="M1329" s="435"/>
      <c r="N1329" s="434"/>
      <c r="O1329" s="434"/>
      <c r="P1329" s="435"/>
      <c r="Q1329" s="442"/>
      <c r="R1329" s="443"/>
      <c r="S1329" s="364"/>
      <c r="Z1329" s="609" t="s">
        <v>540</v>
      </c>
      <c r="AA1329" s="609" t="s">
        <v>3137</v>
      </c>
    </row>
    <row r="1330" spans="1:27" ht="18">
      <c r="A1330" s="2714"/>
      <c r="B1330" s="371"/>
      <c r="C1330" s="371"/>
      <c r="D1330" s="2716"/>
      <c r="E1330" s="586" t="s">
        <v>2749</v>
      </c>
      <c r="F1330" s="414"/>
      <c r="G1330" s="3473"/>
      <c r="H1330" s="2294" t="s">
        <v>2861</v>
      </c>
      <c r="I1330" s="2294" t="s">
        <v>2862</v>
      </c>
      <c r="J1330" s="2239" t="s">
        <v>2889</v>
      </c>
      <c r="K1330" s="2280" t="s">
        <v>2899</v>
      </c>
      <c r="L1330" s="526"/>
      <c r="M1330" s="435"/>
      <c r="N1330" s="434"/>
      <c r="O1330" s="434"/>
      <c r="P1330" s="435"/>
      <c r="Q1330" s="442"/>
      <c r="R1330" s="443"/>
      <c r="S1330" s="364"/>
      <c r="Z1330" s="609" t="s">
        <v>540</v>
      </c>
      <c r="AA1330" s="609" t="s">
        <v>3137</v>
      </c>
    </row>
    <row r="1331" spans="1:27" ht="18">
      <c r="A1331" s="2714"/>
      <c r="B1331" s="371">
        <v>101</v>
      </c>
      <c r="C1331" s="371" t="s">
        <v>2791</v>
      </c>
      <c r="D1331" s="2716">
        <f t="shared" ref="D1331:D1339" si="117">IF(OR(G1331="*",G1331="",G1331=0),0,COUNTIF($G$1331:$G$1339,G1331))</f>
        <v>0</v>
      </c>
      <c r="E1331" s="2721">
        <v>1</v>
      </c>
      <c r="F1331" s="293"/>
      <c r="G1331" s="2284" t="s">
        <v>2792</v>
      </c>
      <c r="H1331" s="2275"/>
      <c r="I1331" s="2275"/>
      <c r="J1331" s="2298"/>
      <c r="K1331" s="2276"/>
      <c r="L1331" s="437"/>
      <c r="M1331" s="438"/>
      <c r="N1331" s="439"/>
      <c r="O1331" s="437"/>
      <c r="P1331" s="438"/>
      <c r="Q1331" s="442"/>
      <c r="R1331" s="443"/>
      <c r="S1331" s="364"/>
      <c r="Z1331" s="609" t="s">
        <v>540</v>
      </c>
      <c r="AA1331" s="609" t="s">
        <v>3137</v>
      </c>
    </row>
    <row r="1332" spans="1:27" ht="18">
      <c r="A1332" s="2714"/>
      <c r="B1332" s="371">
        <v>102</v>
      </c>
      <c r="C1332" s="371" t="s">
        <v>2791</v>
      </c>
      <c r="D1332" s="2716">
        <f t="shared" si="117"/>
        <v>0</v>
      </c>
      <c r="E1332" s="2721">
        <v>1</v>
      </c>
      <c r="F1332" s="293"/>
      <c r="G1332" s="2284" t="s">
        <v>2792</v>
      </c>
      <c r="H1332" s="2275"/>
      <c r="I1332" s="2275"/>
      <c r="J1332" s="2298"/>
      <c r="K1332" s="2276"/>
      <c r="L1332" s="437"/>
      <c r="M1332" s="438"/>
      <c r="N1332" s="439"/>
      <c r="O1332" s="437"/>
      <c r="P1332" s="438"/>
      <c r="Q1332" s="442"/>
      <c r="R1332" s="443"/>
      <c r="S1332" s="364"/>
      <c r="Z1332" s="609" t="s">
        <v>540</v>
      </c>
      <c r="AA1332" s="609" t="s">
        <v>3137</v>
      </c>
    </row>
    <row r="1333" spans="1:27" ht="18">
      <c r="A1333" s="2714"/>
      <c r="B1333" s="371">
        <v>103</v>
      </c>
      <c r="C1333" s="371" t="s">
        <v>2791</v>
      </c>
      <c r="D1333" s="2716">
        <f t="shared" si="117"/>
        <v>0</v>
      </c>
      <c r="E1333" s="2721">
        <v>1</v>
      </c>
      <c r="F1333" s="293"/>
      <c r="G1333" s="2284" t="s">
        <v>2792</v>
      </c>
      <c r="H1333" s="2275"/>
      <c r="I1333" s="2275"/>
      <c r="J1333" s="2298"/>
      <c r="K1333" s="2276"/>
      <c r="L1333" s="437"/>
      <c r="M1333" s="438"/>
      <c r="N1333" s="439"/>
      <c r="O1333" s="437"/>
      <c r="P1333" s="438"/>
      <c r="Q1333" s="442"/>
      <c r="R1333" s="443"/>
      <c r="S1333" s="364"/>
      <c r="Z1333" s="609" t="s">
        <v>540</v>
      </c>
      <c r="AA1333" s="609" t="s">
        <v>3137</v>
      </c>
    </row>
    <row r="1334" spans="1:27" ht="18">
      <c r="A1334" s="2714"/>
      <c r="B1334" s="371">
        <v>104</v>
      </c>
      <c r="C1334" s="371" t="s">
        <v>2791</v>
      </c>
      <c r="D1334" s="2716">
        <f t="shared" si="117"/>
        <v>0</v>
      </c>
      <c r="E1334" s="2721">
        <v>1</v>
      </c>
      <c r="F1334" s="293"/>
      <c r="G1334" s="2284" t="s">
        <v>2792</v>
      </c>
      <c r="H1334" s="2275"/>
      <c r="I1334" s="2275"/>
      <c r="J1334" s="2298"/>
      <c r="K1334" s="2276"/>
      <c r="L1334" s="437"/>
      <c r="M1334" s="438"/>
      <c r="N1334" s="439"/>
      <c r="O1334" s="437"/>
      <c r="P1334" s="438"/>
      <c r="Q1334" s="442"/>
      <c r="R1334" s="443"/>
      <c r="S1334" s="364"/>
      <c r="Z1334" s="609" t="s">
        <v>540</v>
      </c>
      <c r="AA1334" s="609" t="s">
        <v>3137</v>
      </c>
    </row>
    <row r="1335" spans="1:27" ht="18">
      <c r="A1335" s="2714"/>
      <c r="B1335" s="371">
        <v>105</v>
      </c>
      <c r="C1335" s="371" t="s">
        <v>2791</v>
      </c>
      <c r="D1335" s="2716">
        <f t="shared" si="117"/>
        <v>0</v>
      </c>
      <c r="E1335" s="2721">
        <v>1</v>
      </c>
      <c r="F1335" s="293"/>
      <c r="G1335" s="2284" t="s">
        <v>2792</v>
      </c>
      <c r="H1335" s="2275"/>
      <c r="I1335" s="2275"/>
      <c r="J1335" s="2298"/>
      <c r="K1335" s="2276"/>
      <c r="L1335" s="437"/>
      <c r="M1335" s="438"/>
      <c r="N1335" s="439"/>
      <c r="O1335" s="437"/>
      <c r="P1335" s="438"/>
      <c r="Q1335" s="442"/>
      <c r="R1335" s="443"/>
      <c r="S1335" s="364"/>
      <c r="Z1335" s="609" t="s">
        <v>540</v>
      </c>
      <c r="AA1335" s="609" t="s">
        <v>3137</v>
      </c>
    </row>
    <row r="1336" spans="1:27" ht="18">
      <c r="A1336" s="2714"/>
      <c r="B1336" s="371">
        <v>106</v>
      </c>
      <c r="C1336" s="371" t="s">
        <v>2791</v>
      </c>
      <c r="D1336" s="2716">
        <f t="shared" si="117"/>
        <v>0</v>
      </c>
      <c r="E1336" s="2721">
        <v>1</v>
      </c>
      <c r="F1336" s="293"/>
      <c r="G1336" s="2284" t="s">
        <v>2792</v>
      </c>
      <c r="H1336" s="2275"/>
      <c r="I1336" s="2275"/>
      <c r="J1336" s="2298"/>
      <c r="K1336" s="2276"/>
      <c r="L1336" s="437"/>
      <c r="M1336" s="438"/>
      <c r="N1336" s="439"/>
      <c r="O1336" s="437"/>
      <c r="P1336" s="438"/>
      <c r="Q1336" s="442"/>
      <c r="R1336" s="443"/>
      <c r="S1336" s="364"/>
      <c r="Z1336" s="609" t="s">
        <v>540</v>
      </c>
      <c r="AA1336" s="609" t="s">
        <v>3137</v>
      </c>
    </row>
    <row r="1337" spans="1:27" ht="18">
      <c r="A1337" s="2714"/>
      <c r="B1337" s="371">
        <v>107</v>
      </c>
      <c r="C1337" s="371" t="s">
        <v>2791</v>
      </c>
      <c r="D1337" s="2716">
        <f t="shared" si="117"/>
        <v>0</v>
      </c>
      <c r="E1337" s="2721">
        <v>1</v>
      </c>
      <c r="F1337" s="293"/>
      <c r="G1337" s="2284" t="s">
        <v>2792</v>
      </c>
      <c r="H1337" s="2275"/>
      <c r="I1337" s="2275"/>
      <c r="J1337" s="2298"/>
      <c r="K1337" s="2276"/>
      <c r="L1337" s="437"/>
      <c r="M1337" s="438"/>
      <c r="N1337" s="439"/>
      <c r="O1337" s="437"/>
      <c r="P1337" s="438"/>
      <c r="Q1337" s="442"/>
      <c r="R1337" s="443"/>
      <c r="S1337" s="364"/>
      <c r="Z1337" s="609" t="s">
        <v>540</v>
      </c>
      <c r="AA1337" s="609" t="s">
        <v>3137</v>
      </c>
    </row>
    <row r="1338" spans="1:27" ht="18">
      <c r="A1338" s="2714"/>
      <c r="B1338" s="371">
        <v>108</v>
      </c>
      <c r="C1338" s="371" t="s">
        <v>2791</v>
      </c>
      <c r="D1338" s="2716">
        <f t="shared" si="117"/>
        <v>0</v>
      </c>
      <c r="E1338" s="2721">
        <v>1</v>
      </c>
      <c r="F1338" s="293"/>
      <c r="G1338" s="2284" t="s">
        <v>2792</v>
      </c>
      <c r="H1338" s="2275"/>
      <c r="I1338" s="2275"/>
      <c r="J1338" s="2298"/>
      <c r="K1338" s="2276"/>
      <c r="L1338" s="437"/>
      <c r="M1338" s="438"/>
      <c r="N1338" s="439"/>
      <c r="O1338" s="437"/>
      <c r="P1338" s="438"/>
      <c r="Q1338" s="442"/>
      <c r="R1338" s="443"/>
      <c r="S1338" s="364"/>
      <c r="Z1338" s="609" t="s">
        <v>540</v>
      </c>
      <c r="AA1338" s="609" t="s">
        <v>3137</v>
      </c>
    </row>
    <row r="1339" spans="1:27" ht="18.75" thickBot="1">
      <c r="A1339" s="2714"/>
      <c r="B1339" s="371"/>
      <c r="C1339" s="371"/>
      <c r="D1339" s="2716">
        <f t="shared" si="117"/>
        <v>1</v>
      </c>
      <c r="E1339" s="2721" t="s">
        <v>2751</v>
      </c>
      <c r="F1339" s="293"/>
      <c r="G1339" s="2234" t="s">
        <v>2752</v>
      </c>
      <c r="H1339" s="2235">
        <f>SUMPRODUCT($E1330:$E1338,H1330:H1338)</f>
        <v>0</v>
      </c>
      <c r="I1339" s="2235">
        <f>SUMPRODUCT($E1330:$E1338,I1330:I1338)</f>
        <v>0</v>
      </c>
      <c r="J1339" s="2242"/>
      <c r="K1339" s="2244"/>
      <c r="L1339" s="437"/>
      <c r="M1339" s="440"/>
      <c r="N1339" s="439"/>
      <c r="O1339" s="437"/>
      <c r="P1339" s="440"/>
      <c r="Q1339" s="442"/>
      <c r="R1339" s="443"/>
      <c r="S1339" s="364"/>
      <c r="Z1339" s="609" t="s">
        <v>540</v>
      </c>
      <c r="AA1339" s="609" t="s">
        <v>3137</v>
      </c>
    </row>
    <row r="1340" spans="1:27" ht="18.75" thickBot="1">
      <c r="A1340" s="2714"/>
      <c r="B1340" s="371"/>
      <c r="C1340" s="371" t="s">
        <v>2755</v>
      </c>
      <c r="D1340" s="2716"/>
      <c r="F1340" s="293"/>
      <c r="G1340" s="376"/>
      <c r="H1340" s="527" t="s">
        <v>3002</v>
      </c>
      <c r="I1340" s="2253" t="s">
        <v>3002</v>
      </c>
      <c r="J1340" s="393"/>
      <c r="K1340" s="392"/>
      <c r="L1340" s="427"/>
      <c r="M1340" s="425"/>
      <c r="N1340" s="426"/>
      <c r="O1340" s="427"/>
      <c r="P1340" s="425"/>
      <c r="Q1340" s="442"/>
      <c r="R1340" s="443"/>
      <c r="S1340" s="364"/>
      <c r="Z1340" s="609" t="s">
        <v>540</v>
      </c>
      <c r="AA1340" s="609" t="s">
        <v>3137</v>
      </c>
    </row>
    <row r="1341" spans="1:27" ht="18.75" thickTop="1">
      <c r="A1341" s="2714"/>
      <c r="B1341" s="371"/>
      <c r="C1341" s="371" t="s">
        <v>2565</v>
      </c>
      <c r="D1341" s="2716"/>
      <c r="F1341" s="293"/>
      <c r="G1341" s="1549" t="s">
        <v>5367</v>
      </c>
      <c r="H1341" s="1550" t="str">
        <f>G1307</f>
        <v>(3B)其他应收款按坏账计提方法分类披露（已发生损失模型）</v>
      </c>
      <c r="I1341" s="1552"/>
      <c r="J1341" s="1551"/>
      <c r="K1341" s="1551"/>
      <c r="L1341" s="1553" t="s">
        <v>5368</v>
      </c>
      <c r="M1341" s="425"/>
      <c r="N1341" s="426"/>
      <c r="O1341" s="427"/>
      <c r="P1341" s="425"/>
      <c r="Q1341" s="442"/>
      <c r="R1341" s="442"/>
      <c r="S1341" s="364"/>
      <c r="Z1341" s="609" t="s">
        <v>540</v>
      </c>
      <c r="AA1341" s="609" t="s">
        <v>3137</v>
      </c>
    </row>
    <row r="1342" spans="1:27" ht="24">
      <c r="A1342" s="2714"/>
      <c r="B1342" s="371"/>
      <c r="C1342" s="371" t="s">
        <v>2565</v>
      </c>
      <c r="D1342" s="2716"/>
      <c r="F1342" s="293"/>
      <c r="G1342" s="604" t="str">
        <f>"注释A:"&amp; G1312</f>
        <v>注释A:单项金额重大并单独计提坏账准备的其他应收款</v>
      </c>
      <c r="H1342" s="2252">
        <f ca="1">HYPERLINK("#'"&amp;$G$1&amp;"'!"&amp;ADDRESS(ROW(Notes!H1312),COLUMN(Notes!H1312),4),H1312)</f>
        <v>0</v>
      </c>
      <c r="I1342" s="2252">
        <f ca="1">HYPERLINK("#'"&amp;$G$1&amp;"'!"&amp;ADDRESS(ROW(Notes!J1312),COLUMN(Notes!J1312),4),J1312)</f>
        <v>0</v>
      </c>
      <c r="J1342" s="351"/>
      <c r="K1342" s="351"/>
      <c r="L1342" s="2636" t="str">
        <f>H1307</f>
        <v>1221t</v>
      </c>
      <c r="M1342" s="425"/>
      <c r="N1342" s="426"/>
      <c r="O1342" s="427"/>
      <c r="P1342" s="425"/>
      <c r="Q1342" s="442"/>
      <c r="R1342" s="442"/>
      <c r="S1342" s="364"/>
      <c r="Z1342" s="609" t="s">
        <v>540</v>
      </c>
      <c r="AA1342" s="609" t="s">
        <v>3137</v>
      </c>
    </row>
    <row r="1343" spans="1:27" ht="18">
      <c r="A1343" s="2714"/>
      <c r="B1343" s="371"/>
      <c r="C1343" s="371" t="s">
        <v>2565</v>
      </c>
      <c r="D1343" s="2716"/>
      <c r="F1343" s="293"/>
      <c r="G1343" s="604" t="str">
        <f>"本注释B:"&amp; G1339</f>
        <v>本注释B:合       计</v>
      </c>
      <c r="H1343" s="456">
        <f>H1339</f>
        <v>0</v>
      </c>
      <c r="I1343" s="456">
        <f>I1339</f>
        <v>0</v>
      </c>
      <c r="J1343" s="351"/>
      <c r="K1343" s="351"/>
      <c r="L1343" s="2639" t="s">
        <v>569</v>
      </c>
      <c r="M1343" s="425"/>
      <c r="N1343" s="426"/>
      <c r="O1343" s="427"/>
      <c r="P1343" s="425"/>
      <c r="Q1343" s="442"/>
      <c r="R1343" s="442"/>
      <c r="S1343" s="364"/>
      <c r="Z1343" s="609" t="s">
        <v>540</v>
      </c>
      <c r="AA1343" s="609" t="s">
        <v>3137</v>
      </c>
    </row>
    <row r="1344" spans="1:27" ht="18.75" thickBot="1">
      <c r="A1344" s="2714"/>
      <c r="B1344" s="371"/>
      <c r="C1344" s="371" t="s">
        <v>2565</v>
      </c>
      <c r="D1344" s="2716"/>
      <c r="F1344" s="293"/>
      <c r="G1344" s="1554" t="s">
        <v>2757</v>
      </c>
      <c r="H1344" s="1531">
        <f ca="1">IF(AND(H1342="",H1343=""),"",ROUND(H1342-H1343,2))</f>
        <v>0</v>
      </c>
      <c r="I1344" s="1531">
        <f ca="1">IF(AND(I1342="",I1343=""),"",ROUND(I1342-I1343,2))</f>
        <v>0</v>
      </c>
      <c r="J1344" s="1555"/>
      <c r="K1344" s="1555"/>
      <c r="L1344" s="1556"/>
      <c r="M1344" s="425"/>
      <c r="N1344" s="426"/>
      <c r="O1344" s="427"/>
      <c r="P1344" s="425"/>
      <c r="Q1344" s="442"/>
      <c r="R1344" s="442"/>
      <c r="S1344" s="364"/>
      <c r="Z1344" s="609" t="s">
        <v>540</v>
      </c>
      <c r="AA1344" s="609" t="s">
        <v>3137</v>
      </c>
    </row>
    <row r="1345" spans="1:27" ht="18.75" thickTop="1">
      <c r="A1345" s="2714"/>
      <c r="B1345" s="371"/>
      <c r="C1345" s="371" t="s">
        <v>2565</v>
      </c>
      <c r="D1345" s="2716"/>
      <c r="F1345" s="293"/>
      <c r="G1345" s="1545"/>
      <c r="H1345" s="459" t="str">
        <f ca="1">IF(OR(H1344=0,H1344=""),"√","？")</f>
        <v>√</v>
      </c>
      <c r="I1345" s="459" t="str">
        <f ca="1">IF(OR(I1344=0,I1344=""),"√","？")</f>
        <v>√</v>
      </c>
      <c r="J1345" s="317"/>
      <c r="K1345" s="317"/>
      <c r="L1345" s="1547"/>
      <c r="M1345" s="425"/>
      <c r="N1345" s="426"/>
      <c r="O1345" s="427"/>
      <c r="P1345" s="425"/>
      <c r="Q1345" s="442"/>
      <c r="R1345" s="442"/>
      <c r="S1345" s="364"/>
      <c r="Z1345" s="609" t="s">
        <v>540</v>
      </c>
      <c r="AA1345" s="609" t="s">
        <v>3137</v>
      </c>
    </row>
    <row r="1346" spans="1:27" ht="18">
      <c r="A1346" s="2714"/>
      <c r="B1346" s="371"/>
      <c r="C1346" s="371" t="s">
        <v>2565</v>
      </c>
      <c r="D1346" s="2716"/>
      <c r="F1346" s="293"/>
      <c r="G1346" s="1559" t="s">
        <v>2759</v>
      </c>
      <c r="H1346" s="461"/>
      <c r="I1346" s="461"/>
      <c r="J1346" s="317"/>
      <c r="K1346" s="352">
        <f ca="1">SUMIF($H$1345:$L$1345,"&lt;&gt;√",$H$1344:$L$1344)</f>
        <v>0</v>
      </c>
      <c r="L1346" s="2254" t="str">
        <f ca="1">IF(OR(K1346=0,K1346=""),"√","？")</f>
        <v>√</v>
      </c>
      <c r="M1346" s="425"/>
      <c r="N1346" s="426"/>
      <c r="O1346" s="427"/>
      <c r="P1346" s="425"/>
      <c r="Q1346" s="442"/>
      <c r="R1346" s="442"/>
      <c r="S1346" s="364"/>
      <c r="Z1346" s="609" t="s">
        <v>540</v>
      </c>
      <c r="AA1346" s="609" t="s">
        <v>3137</v>
      </c>
    </row>
    <row r="1347" spans="1:27" ht="18">
      <c r="A1347" s="2714"/>
      <c r="B1347" s="371"/>
      <c r="C1347" s="371" t="s">
        <v>2565</v>
      </c>
      <c r="D1347" s="2716"/>
      <c r="F1347" s="293"/>
      <c r="G1347" s="1545"/>
      <c r="H1347" s="461"/>
      <c r="I1347" s="461"/>
      <c r="J1347" s="317"/>
      <c r="K1347" s="317"/>
      <c r="L1347" s="1547"/>
      <c r="M1347" s="425"/>
      <c r="N1347" s="426"/>
      <c r="O1347" s="427"/>
      <c r="P1347" s="425"/>
      <c r="Q1347" s="442"/>
      <c r="R1347" s="442"/>
      <c r="S1347" s="364"/>
      <c r="Z1347" s="609" t="s">
        <v>540</v>
      </c>
      <c r="AA1347" s="609" t="s">
        <v>3137</v>
      </c>
    </row>
    <row r="1348" spans="1:27" ht="36">
      <c r="A1348" s="2714" t="s">
        <v>575</v>
      </c>
      <c r="B1348" s="2717" t="s">
        <v>6554</v>
      </c>
      <c r="C1348" s="371"/>
      <c r="D1348" s="2716" t="str">
        <f>VLOOKUP($A1348,Sheet_NoteList,2,0)</f>
        <v>上期末组合中按账龄分析法计提坏账准备的其他应收款（已发生损失模型）</v>
      </c>
      <c r="E1348" s="2716" t="s">
        <v>2742</v>
      </c>
      <c r="F1348" s="293"/>
      <c r="G1348" s="372" t="str">
        <f>"("&amp;B1348&amp;")"&amp;D1348</f>
        <v>(3B2)上期末组合中按账龄分析法计提坏账准备的其他应收款（已发生损失模型）</v>
      </c>
      <c r="H1348" s="1517" t="str">
        <f>$A1348</f>
        <v>1221w</v>
      </c>
      <c r="I1348" s="343" t="s">
        <v>2743</v>
      </c>
      <c r="J1348" s="301"/>
      <c r="K1348" s="391"/>
      <c r="L1348" s="349"/>
      <c r="M1348" s="301" t="s">
        <v>2745</v>
      </c>
      <c r="N1348" s="2210">
        <f>I1363</f>
        <v>0</v>
      </c>
      <c r="O1348" s="349"/>
      <c r="P1348" s="301"/>
      <c r="S1348" s="364"/>
      <c r="Z1348" s="609" t="s">
        <v>540</v>
      </c>
      <c r="AA1348" s="609" t="s">
        <v>3137</v>
      </c>
    </row>
    <row r="1349" spans="1:27" ht="0.75" customHeight="1">
      <c r="A1349" s="2714"/>
      <c r="B1349" s="371"/>
      <c r="C1349" s="371"/>
      <c r="D1349" s="2716"/>
      <c r="E1349" s="586"/>
      <c r="F1349" s="586"/>
      <c r="G1349" s="2224" t="s">
        <v>3162</v>
      </c>
      <c r="H1349" s="371" t="s">
        <v>5409</v>
      </c>
      <c r="I1349" s="371" t="s">
        <v>5410</v>
      </c>
      <c r="J1349" s="547" t="s">
        <v>5411</v>
      </c>
      <c r="K1349" s="428"/>
      <c r="L1349" s="428"/>
      <c r="M1349" s="433"/>
      <c r="N1349" s="428"/>
      <c r="O1349" s="428"/>
      <c r="P1349" s="433"/>
      <c r="Q1349" s="442"/>
      <c r="R1349" s="443"/>
      <c r="S1349" s="364"/>
      <c r="Z1349" s="609" t="s">
        <v>540</v>
      </c>
      <c r="AA1349" s="609" t="s">
        <v>3137</v>
      </c>
    </row>
    <row r="1350" spans="1:27" ht="0.75" customHeight="1" thickBot="1">
      <c r="A1350" s="2714"/>
      <c r="B1350" s="371"/>
      <c r="C1350" s="371"/>
      <c r="D1350" s="2716"/>
      <c r="E1350" s="586"/>
      <c r="F1350" s="586"/>
      <c r="G1350" s="2224"/>
      <c r="H1350" s="371" t="s">
        <v>5412</v>
      </c>
      <c r="I1350" s="371" t="s">
        <v>5413</v>
      </c>
      <c r="J1350" s="371" t="s">
        <v>5414</v>
      </c>
      <c r="K1350" s="428"/>
      <c r="L1350" s="428"/>
      <c r="M1350" s="433"/>
      <c r="N1350" s="428"/>
      <c r="O1350" s="428"/>
      <c r="P1350" s="433"/>
      <c r="Q1350" s="442"/>
      <c r="R1350" s="443"/>
      <c r="S1350" s="364"/>
      <c r="Z1350" s="609" t="s">
        <v>540</v>
      </c>
      <c r="AA1350" s="609" t="s">
        <v>3137</v>
      </c>
    </row>
    <row r="1351" spans="1:27" ht="18" customHeight="1">
      <c r="A1351" s="2714"/>
      <c r="B1351" s="371"/>
      <c r="C1351" s="371"/>
      <c r="D1351" s="2716"/>
      <c r="E1351" s="586" t="s">
        <v>2749</v>
      </c>
      <c r="F1351" s="414"/>
      <c r="G1351" s="3472" t="s">
        <v>6008</v>
      </c>
      <c r="H1351" s="3418" t="str">
        <f>$V$3</f>
        <v>2018年12月31日</v>
      </c>
      <c r="I1351" s="3419"/>
      <c r="J1351" s="3419"/>
      <c r="K1351" s="355" t="s">
        <v>5273</v>
      </c>
      <c r="L1351" s="428"/>
      <c r="M1351" s="433"/>
      <c r="N1351" s="428"/>
      <c r="O1351" s="428"/>
      <c r="P1351" s="433"/>
      <c r="Q1351" s="442"/>
      <c r="R1351" s="443"/>
      <c r="S1351" s="364"/>
      <c r="Z1351" s="609" t="s">
        <v>540</v>
      </c>
      <c r="AA1351" s="609" t="s">
        <v>3137</v>
      </c>
    </row>
    <row r="1352" spans="1:27" ht="18">
      <c r="A1352" s="2714"/>
      <c r="B1352" s="371"/>
      <c r="C1352" s="371"/>
      <c r="D1352" s="2716"/>
      <c r="E1352" s="586" t="s">
        <v>2749</v>
      </c>
      <c r="F1352" s="414"/>
      <c r="G1352" s="3473"/>
      <c r="H1352" s="2294" t="s">
        <v>2861</v>
      </c>
      <c r="I1352" s="2294" t="s">
        <v>2862</v>
      </c>
      <c r="J1352" s="2314" t="s">
        <v>3163</v>
      </c>
      <c r="K1352" s="434"/>
      <c r="L1352" s="434"/>
      <c r="M1352" s="435"/>
      <c r="N1352" s="434"/>
      <c r="O1352" s="434"/>
      <c r="P1352" s="435"/>
      <c r="Q1352" s="442"/>
      <c r="R1352" s="443"/>
      <c r="S1352" s="364"/>
      <c r="Z1352" s="609" t="s">
        <v>540</v>
      </c>
      <c r="AA1352" s="609" t="s">
        <v>3137</v>
      </c>
    </row>
    <row r="1353" spans="1:27" ht="18">
      <c r="A1353" s="2714"/>
      <c r="B1353" s="371">
        <v>101</v>
      </c>
      <c r="C1353" s="371"/>
      <c r="D1353" s="2716">
        <f t="shared" ref="D1353:D1363" si="118">IF(OR(G1353="*",G1353="",G1353=0),0,COUNTIF($G$1353:$G$1363,G1353))</f>
        <v>1</v>
      </c>
      <c r="E1353" s="2721" t="s">
        <v>6534</v>
      </c>
      <c r="F1353" s="293"/>
      <c r="G1353" s="1474" t="s">
        <v>2938</v>
      </c>
      <c r="H1353" s="2275"/>
      <c r="I1353" s="2275"/>
      <c r="J1353" s="2276"/>
      <c r="K1353" s="439"/>
      <c r="L1353" s="437"/>
      <c r="M1353" s="438"/>
      <c r="N1353" s="439"/>
      <c r="O1353" s="437"/>
      <c r="P1353" s="438"/>
      <c r="Q1353" s="442"/>
      <c r="R1353" s="443"/>
      <c r="S1353" s="364"/>
      <c r="Z1353" s="609" t="s">
        <v>540</v>
      </c>
      <c r="AA1353" s="609" t="s">
        <v>3137</v>
      </c>
    </row>
    <row r="1354" spans="1:27" ht="18">
      <c r="A1354" s="2714"/>
      <c r="B1354" s="371">
        <v>101.001</v>
      </c>
      <c r="C1354" s="371" t="s">
        <v>2791</v>
      </c>
      <c r="D1354" s="2716">
        <f t="shared" si="118"/>
        <v>1</v>
      </c>
      <c r="E1354" s="2721" t="s">
        <v>2937</v>
      </c>
      <c r="F1354" s="293"/>
      <c r="G1354" s="2284" t="s">
        <v>5132</v>
      </c>
      <c r="H1354" s="2275"/>
      <c r="I1354" s="2275"/>
      <c r="J1354" s="2276"/>
      <c r="K1354" s="355" t="s">
        <v>5133</v>
      </c>
      <c r="L1354" s="437"/>
      <c r="M1354" s="438"/>
      <c r="N1354" s="439"/>
      <c r="O1354" s="437"/>
      <c r="P1354" s="438"/>
      <c r="Q1354" s="442"/>
      <c r="R1354" s="443"/>
      <c r="S1354" s="364"/>
      <c r="Z1354" s="609" t="s">
        <v>540</v>
      </c>
      <c r="AA1354" s="609" t="s">
        <v>3137</v>
      </c>
    </row>
    <row r="1355" spans="1:27" ht="18">
      <c r="A1355" s="2714"/>
      <c r="B1355" s="371">
        <v>101.002</v>
      </c>
      <c r="C1355" s="371" t="s">
        <v>2791</v>
      </c>
      <c r="D1355" s="2716">
        <f t="shared" si="118"/>
        <v>0</v>
      </c>
      <c r="E1355" s="2721" t="s">
        <v>2937</v>
      </c>
      <c r="F1355" s="293"/>
      <c r="G1355" s="2284" t="s">
        <v>2792</v>
      </c>
      <c r="H1355" s="2275"/>
      <c r="I1355" s="2275"/>
      <c r="J1355" s="2276"/>
      <c r="K1355" s="439"/>
      <c r="L1355" s="437"/>
      <c r="M1355" s="438"/>
      <c r="N1355" s="439"/>
      <c r="O1355" s="437"/>
      <c r="P1355" s="438"/>
      <c r="Q1355" s="442"/>
      <c r="R1355" s="443"/>
      <c r="S1355" s="364"/>
      <c r="Z1355" s="609" t="s">
        <v>540</v>
      </c>
      <c r="AA1355" s="609" t="s">
        <v>3137</v>
      </c>
    </row>
    <row r="1356" spans="1:27" ht="18">
      <c r="A1356" s="2714"/>
      <c r="B1356" s="371">
        <v>101.999</v>
      </c>
      <c r="C1356" s="371" t="s">
        <v>2793</v>
      </c>
      <c r="D1356" s="2716">
        <f t="shared" si="118"/>
        <v>1</v>
      </c>
      <c r="E1356" s="2721">
        <v>1</v>
      </c>
      <c r="F1356" s="293"/>
      <c r="G1356" s="1474" t="s">
        <v>2937</v>
      </c>
      <c r="H1356" s="1476">
        <f>SUMIF($E$1352:$E$1361,$G1356,H$1352:H$1361)</f>
        <v>0</v>
      </c>
      <c r="I1356" s="1476">
        <f>SUMIF($E$1352:$E$1361,$G1356,I$1352:I$1361)</f>
        <v>0</v>
      </c>
      <c r="J1356" s="2276"/>
      <c r="K1356" s="439"/>
      <c r="L1356" s="437"/>
      <c r="M1356" s="438"/>
      <c r="N1356" s="439"/>
      <c r="O1356" s="437"/>
      <c r="P1356" s="438"/>
      <c r="Q1356" s="442"/>
      <c r="R1356" s="443"/>
      <c r="S1356" s="364"/>
      <c r="Z1356" s="609" t="s">
        <v>540</v>
      </c>
      <c r="AA1356" s="609" t="s">
        <v>3137</v>
      </c>
    </row>
    <row r="1357" spans="1:27" ht="18">
      <c r="A1357" s="2714"/>
      <c r="B1357" s="371">
        <v>102</v>
      </c>
      <c r="C1357" s="371"/>
      <c r="D1357" s="2716">
        <f t="shared" si="118"/>
        <v>1</v>
      </c>
      <c r="E1357" s="2721">
        <v>1</v>
      </c>
      <c r="F1357" s="293"/>
      <c r="G1357" s="1474" t="s">
        <v>2940</v>
      </c>
      <c r="H1357" s="2275"/>
      <c r="I1357" s="2275"/>
      <c r="J1357" s="2276"/>
      <c r="K1357" s="439"/>
      <c r="L1357" s="437"/>
      <c r="M1357" s="438"/>
      <c r="N1357" s="439"/>
      <c r="O1357" s="437"/>
      <c r="P1357" s="438"/>
      <c r="Q1357" s="442"/>
      <c r="R1357" s="443"/>
      <c r="S1357" s="364"/>
      <c r="Z1357" s="609" t="s">
        <v>540</v>
      </c>
      <c r="AA1357" s="609" t="s">
        <v>3137</v>
      </c>
    </row>
    <row r="1358" spans="1:27" ht="18">
      <c r="A1358" s="2714"/>
      <c r="B1358" s="371">
        <v>103</v>
      </c>
      <c r="C1358" s="371"/>
      <c r="D1358" s="2716">
        <f t="shared" si="118"/>
        <v>1</v>
      </c>
      <c r="E1358" s="2721">
        <v>1</v>
      </c>
      <c r="F1358" s="293"/>
      <c r="G1358" s="1474" t="s">
        <v>2941</v>
      </c>
      <c r="H1358" s="2275"/>
      <c r="I1358" s="2275"/>
      <c r="J1358" s="2276"/>
      <c r="K1358" s="439"/>
      <c r="L1358" s="437"/>
      <c r="M1358" s="438"/>
      <c r="N1358" s="439"/>
      <c r="O1358" s="437"/>
      <c r="P1358" s="438"/>
      <c r="Q1358" s="442"/>
      <c r="R1358" s="443"/>
      <c r="S1358" s="364"/>
      <c r="Z1358" s="609" t="s">
        <v>540</v>
      </c>
      <c r="AA1358" s="609" t="s">
        <v>3137</v>
      </c>
    </row>
    <row r="1359" spans="1:27" ht="18">
      <c r="A1359" s="2714"/>
      <c r="B1359" s="371">
        <v>104</v>
      </c>
      <c r="C1359" s="371" t="s">
        <v>2791</v>
      </c>
      <c r="D1359" s="2716">
        <f t="shared" si="118"/>
        <v>1</v>
      </c>
      <c r="E1359" s="2721">
        <v>1</v>
      </c>
      <c r="F1359" s="293"/>
      <c r="G1359" s="2284" t="s">
        <v>2942</v>
      </c>
      <c r="H1359" s="2275"/>
      <c r="I1359" s="2275"/>
      <c r="J1359" s="2276"/>
      <c r="K1359" s="439"/>
      <c r="L1359" s="437"/>
      <c r="M1359" s="438"/>
      <c r="N1359" s="439"/>
      <c r="O1359" s="437"/>
      <c r="P1359" s="438"/>
      <c r="Q1359" s="442"/>
      <c r="R1359" s="443"/>
      <c r="S1359" s="364"/>
      <c r="Z1359" s="609" t="s">
        <v>540</v>
      </c>
      <c r="AA1359" s="609" t="s">
        <v>3137</v>
      </c>
    </row>
    <row r="1360" spans="1:27" ht="18">
      <c r="A1360" s="2714"/>
      <c r="B1360" s="371">
        <v>105</v>
      </c>
      <c r="C1360" s="371" t="s">
        <v>2791</v>
      </c>
      <c r="D1360" s="2716">
        <f t="shared" si="118"/>
        <v>1</v>
      </c>
      <c r="E1360" s="2721">
        <v>1</v>
      </c>
      <c r="F1360" s="293"/>
      <c r="G1360" s="2284" t="s">
        <v>2943</v>
      </c>
      <c r="H1360" s="2275"/>
      <c r="I1360" s="2275"/>
      <c r="J1360" s="2276"/>
      <c r="K1360" s="439"/>
      <c r="L1360" s="437"/>
      <c r="M1360" s="438"/>
      <c r="N1360" s="439"/>
      <c r="O1360" s="437"/>
      <c r="P1360" s="438"/>
      <c r="Q1360" s="442"/>
      <c r="R1360" s="443"/>
      <c r="S1360" s="364"/>
      <c r="Z1360" s="609" t="s">
        <v>540</v>
      </c>
      <c r="AA1360" s="609" t="s">
        <v>3137</v>
      </c>
    </row>
    <row r="1361" spans="1:31" ht="18">
      <c r="A1361" s="2714"/>
      <c r="B1361" s="371">
        <v>106</v>
      </c>
      <c r="C1361" s="371" t="s">
        <v>2791</v>
      </c>
      <c r="D1361" s="2716">
        <f t="shared" si="118"/>
        <v>1</v>
      </c>
      <c r="E1361" s="2721">
        <v>1</v>
      </c>
      <c r="F1361" s="293"/>
      <c r="G1361" s="2284" t="s">
        <v>2944</v>
      </c>
      <c r="H1361" s="2275"/>
      <c r="I1361" s="2275"/>
      <c r="J1361" s="2276"/>
      <c r="K1361" s="439"/>
      <c r="L1361" s="437"/>
      <c r="M1361" s="438"/>
      <c r="N1361" s="439"/>
      <c r="O1361" s="437"/>
      <c r="P1361" s="438"/>
      <c r="Q1361" s="442"/>
      <c r="R1361" s="443"/>
      <c r="S1361" s="364"/>
      <c r="Z1361" s="609" t="s">
        <v>540</v>
      </c>
      <c r="AA1361" s="609" t="s">
        <v>3137</v>
      </c>
    </row>
    <row r="1362" spans="1:31" ht="18">
      <c r="A1362" s="2714"/>
      <c r="B1362" s="371">
        <v>107</v>
      </c>
      <c r="C1362" s="371" t="s">
        <v>6532</v>
      </c>
      <c r="D1362" s="2716">
        <f t="shared" si="118"/>
        <v>0</v>
      </c>
      <c r="E1362" s="2721">
        <v>1</v>
      </c>
      <c r="F1362" s="293"/>
      <c r="G1362" s="2284" t="s">
        <v>2792</v>
      </c>
      <c r="H1362" s="2275"/>
      <c r="I1362" s="2275"/>
      <c r="J1362" s="2276"/>
      <c r="K1362" s="439"/>
      <c r="L1362" s="437"/>
      <c r="M1362" s="438"/>
      <c r="N1362" s="439"/>
      <c r="O1362" s="437"/>
      <c r="P1362" s="438"/>
      <c r="Q1362" s="442"/>
      <c r="R1362" s="443"/>
      <c r="S1362" s="364"/>
      <c r="Z1362" s="609" t="s">
        <v>540</v>
      </c>
      <c r="AA1362" s="609" t="s">
        <v>3137</v>
      </c>
    </row>
    <row r="1363" spans="1:31" ht="18.75" thickBot="1">
      <c r="A1363" s="2714"/>
      <c r="B1363" s="371"/>
      <c r="C1363" s="371"/>
      <c r="D1363" s="2716">
        <f t="shared" si="118"/>
        <v>1</v>
      </c>
      <c r="E1363" s="2721" t="s">
        <v>2751</v>
      </c>
      <c r="F1363" s="293"/>
      <c r="G1363" s="2234" t="s">
        <v>5141</v>
      </c>
      <c r="H1363" s="2235">
        <f>SUMPRODUCT($E1352:$E1362,H1352:H1362)</f>
        <v>0</v>
      </c>
      <c r="I1363" s="2235">
        <f>SUMPRODUCT($E1352:$E1362,I1352:I1362)</f>
        <v>0</v>
      </c>
      <c r="J1363" s="2244"/>
      <c r="K1363" s="439"/>
      <c r="L1363" s="437"/>
      <c r="M1363" s="440"/>
      <c r="N1363" s="439"/>
      <c r="O1363" s="437"/>
      <c r="P1363" s="440"/>
      <c r="Q1363" s="442"/>
      <c r="R1363" s="443"/>
      <c r="S1363" s="364"/>
      <c r="Z1363" s="609" t="s">
        <v>540</v>
      </c>
      <c r="AA1363" s="609" t="s">
        <v>3137</v>
      </c>
    </row>
    <row r="1364" spans="1:31" ht="18">
      <c r="A1364" s="2714"/>
      <c r="B1364" s="371"/>
      <c r="C1364" s="371" t="s">
        <v>2755</v>
      </c>
      <c r="D1364" s="2716"/>
      <c r="F1364" s="293"/>
      <c r="G1364" s="376"/>
      <c r="H1364" s="315"/>
      <c r="I1364" s="396"/>
      <c r="J1364" s="393"/>
      <c r="K1364" s="426"/>
      <c r="L1364" s="427"/>
      <c r="M1364" s="425"/>
      <c r="N1364" s="426"/>
      <c r="O1364" s="427"/>
      <c r="P1364" s="425"/>
      <c r="Q1364" s="442"/>
      <c r="R1364" s="443"/>
      <c r="S1364" s="364"/>
      <c r="Z1364" s="609" t="s">
        <v>540</v>
      </c>
      <c r="AA1364" s="609" t="s">
        <v>3137</v>
      </c>
    </row>
    <row r="1365" spans="1:31" ht="18" hidden="1">
      <c r="A1365" s="2714" t="s">
        <v>619</v>
      </c>
      <c r="B1365" s="371">
        <v>1</v>
      </c>
      <c r="C1365" s="371"/>
      <c r="D1365" s="2716" t="str">
        <f>VLOOKUP($A1365,Sheet_NoteList,2,0)</f>
        <v>其他应收款按种类列示</v>
      </c>
      <c r="E1365" s="2716" t="s">
        <v>6608</v>
      </c>
      <c r="F1365" s="294"/>
      <c r="G1365" s="307" t="str">
        <f>"("&amp;B1365&amp;")"&amp;D1365</f>
        <v>(1)其他应收款按种类列示</v>
      </c>
      <c r="H1365" s="1517" t="str">
        <f>$A1365</f>
        <v>1221a</v>
      </c>
      <c r="I1365" s="343" t="s">
        <v>6611</v>
      </c>
      <c r="J1365" s="301" t="s">
        <v>6614</v>
      </c>
      <c r="K1365" s="344">
        <f>L1378</f>
        <v>0</v>
      </c>
      <c r="L1365" s="345" t="str">
        <f>IF($I1365="适用",IF(ROUND($K987-K1365,2)=0,"F/S",ROUND($K987-K1365,2)),"#N/A")</f>
        <v>#N/A</v>
      </c>
      <c r="M1365" s="301" t="s">
        <v>6615</v>
      </c>
      <c r="N1365" s="344">
        <f>N1387</f>
        <v>0</v>
      </c>
      <c r="O1365" s="315"/>
      <c r="P1365" s="301"/>
      <c r="Q1365" s="290" t="str">
        <f>IF($I1365="不适用","",IF(ROUND(SUM($H$1370:$L$1378),2)=0,"请输入",""))</f>
        <v/>
      </c>
      <c r="S1365" s="364"/>
      <c r="Z1365" s="609" t="s">
        <v>540</v>
      </c>
      <c r="AA1365" s="609" t="s">
        <v>3137</v>
      </c>
      <c r="AE1365" s="369" t="s">
        <v>2761</v>
      </c>
    </row>
    <row r="1366" spans="1:31" ht="0.75" hidden="1" customHeight="1">
      <c r="A1366" s="2714"/>
      <c r="B1366" s="371"/>
      <c r="C1366" s="371"/>
      <c r="D1366" s="371"/>
      <c r="F1366" s="304"/>
      <c r="G1366" s="304" t="s">
        <v>3140</v>
      </c>
      <c r="H1366" s="304" t="s">
        <v>2882</v>
      </c>
      <c r="I1366" s="304" t="s">
        <v>2883</v>
      </c>
      <c r="J1366" s="304" t="s">
        <v>2884</v>
      </c>
      <c r="K1366" s="304" t="s">
        <v>2885</v>
      </c>
      <c r="L1366" s="304" t="s">
        <v>2886</v>
      </c>
      <c r="M1366" s="291"/>
      <c r="N1366" s="291"/>
      <c r="O1366" s="291"/>
      <c r="P1366" s="291"/>
      <c r="S1366" s="364"/>
      <c r="Z1366" s="609" t="s">
        <v>540</v>
      </c>
      <c r="AA1366" s="609" t="s">
        <v>3137</v>
      </c>
      <c r="AE1366" s="369" t="s">
        <v>2761</v>
      </c>
    </row>
    <row r="1367" spans="1:31" ht="0.75" hidden="1" customHeight="1" thickBot="1">
      <c r="A1367" s="2714"/>
      <c r="B1367" s="371"/>
      <c r="C1367" s="371"/>
      <c r="D1367" s="371"/>
      <c r="F1367" s="304"/>
      <c r="G1367" s="304"/>
      <c r="H1367" s="304" t="s">
        <v>2968</v>
      </c>
      <c r="I1367" s="304" t="s">
        <v>2969</v>
      </c>
      <c r="J1367" s="304" t="s">
        <v>2970</v>
      </c>
      <c r="K1367" s="304" t="s">
        <v>2971</v>
      </c>
      <c r="L1367" s="304" t="s">
        <v>2972</v>
      </c>
      <c r="M1367" s="291"/>
      <c r="N1367" s="291"/>
      <c r="O1367" s="291"/>
      <c r="P1367" s="291"/>
      <c r="S1367" s="364"/>
      <c r="Z1367" s="609" t="s">
        <v>540</v>
      </c>
      <c r="AA1367" s="609" t="s">
        <v>3137</v>
      </c>
      <c r="AE1367" s="369" t="s">
        <v>2761</v>
      </c>
    </row>
    <row r="1368" spans="1:31" ht="18" hidden="1">
      <c r="A1368" s="2714"/>
      <c r="B1368" s="371"/>
      <c r="C1368" s="371"/>
      <c r="D1368" s="371"/>
      <c r="E1368" s="2716" t="s">
        <v>2749</v>
      </c>
      <c r="F1368" s="294"/>
      <c r="G1368" s="3514" t="s">
        <v>2973</v>
      </c>
      <c r="H1368" s="3461" t="s">
        <v>2775</v>
      </c>
      <c r="I1368" s="3462"/>
      <c r="J1368" s="3462"/>
      <c r="K1368" s="3462"/>
      <c r="L1368" s="3463"/>
      <c r="M1368" s="424" t="s">
        <v>5990</v>
      </c>
      <c r="N1368" s="291"/>
      <c r="O1368" s="291"/>
      <c r="P1368" s="291"/>
      <c r="S1368" s="364"/>
      <c r="Z1368" s="609" t="s">
        <v>540</v>
      </c>
      <c r="AA1368" s="609" t="s">
        <v>3137</v>
      </c>
      <c r="AE1368" s="369" t="s">
        <v>2761</v>
      </c>
    </row>
    <row r="1369" spans="1:31" ht="24.75" hidden="1">
      <c r="A1369" s="2714"/>
      <c r="B1369" s="371"/>
      <c r="C1369" s="371"/>
      <c r="D1369" s="371"/>
      <c r="E1369" s="2716" t="s">
        <v>2749</v>
      </c>
      <c r="F1369" s="294"/>
      <c r="G1369" s="3515"/>
      <c r="H1369" s="2574" t="s">
        <v>6128</v>
      </c>
      <c r="I1369" s="2575" t="s">
        <v>6125</v>
      </c>
      <c r="J1369" s="451" t="s">
        <v>2974</v>
      </c>
      <c r="K1369" s="467" t="s">
        <v>2975</v>
      </c>
      <c r="L1369" s="468" t="s">
        <v>2994</v>
      </c>
      <c r="M1369" s="291"/>
      <c r="N1369" s="291"/>
      <c r="O1369" s="291"/>
      <c r="P1369" s="291"/>
      <c r="S1369" s="364"/>
      <c r="Z1369" s="609" t="s">
        <v>540</v>
      </c>
      <c r="AA1369" s="609" t="s">
        <v>3137</v>
      </c>
      <c r="AE1369" s="369" t="s">
        <v>2761</v>
      </c>
    </row>
    <row r="1370" spans="1:31" ht="24" hidden="1">
      <c r="A1370" s="2714"/>
      <c r="B1370" s="371">
        <v>101</v>
      </c>
      <c r="C1370" s="371"/>
      <c r="D1370" s="2716">
        <f t="shared" ref="D1370:D1378" si="119">IF(OR(G1370="*",G1370="",G1370=0),0,COUNTIF($G$1370:$G$1378,G1370))</f>
        <v>1</v>
      </c>
      <c r="E1370" s="2721">
        <v>1</v>
      </c>
      <c r="F1370" s="294"/>
      <c r="G1370" s="380" t="s">
        <v>3141</v>
      </c>
      <c r="H1370" s="383"/>
      <c r="I1370" s="469" t="str">
        <f>IF(H$1378*H1370=0,"",ROUND(H1370*100/H$1378,2))</f>
        <v/>
      </c>
      <c r="J1370" s="383"/>
      <c r="K1370" s="469" t="str">
        <f>IF(H1370*J1370=0,"",ROUND(J1370*100/H1370,2))</f>
        <v/>
      </c>
      <c r="L1370" s="401">
        <f>H1370-J1370</f>
        <v>0</v>
      </c>
      <c r="M1370" s="1533" t="str">
        <f ca="1">HYPERLINK("#'"&amp;$G$1&amp;"'!"&amp;ADDRESS(ROW(Notes!H1422),COLUMN(Notes!H1422),4),"* 请勿删除此行！点击往勾稽单元格，F5+Enter返回")</f>
        <v>* 请勿删除此行！点击往勾稽单元格，F5+Enter返回</v>
      </c>
      <c r="N1370" s="291"/>
      <c r="O1370" s="291"/>
      <c r="P1370" s="291"/>
      <c r="S1370" s="364"/>
      <c r="Z1370" s="609" t="s">
        <v>540</v>
      </c>
      <c r="AA1370" s="609" t="s">
        <v>3137</v>
      </c>
      <c r="AC1370" s="369" t="s">
        <v>6573</v>
      </c>
      <c r="AE1370" s="369" t="s">
        <v>2761</v>
      </c>
    </row>
    <row r="1371" spans="1:31" ht="24" hidden="1">
      <c r="A1371" s="2714"/>
      <c r="B1371" s="371">
        <v>102</v>
      </c>
      <c r="C1371" s="371"/>
      <c r="D1371" s="2716">
        <f t="shared" si="119"/>
        <v>1</v>
      </c>
      <c r="E1371" s="2721" t="s">
        <v>41</v>
      </c>
      <c r="F1371" s="294"/>
      <c r="G1371" s="380" t="s">
        <v>3142</v>
      </c>
      <c r="H1371" s="383"/>
      <c r="I1371" s="469" t="s">
        <v>19</v>
      </c>
      <c r="J1371" s="383"/>
      <c r="K1371" s="469"/>
      <c r="L1371" s="401"/>
      <c r="M1371" s="291"/>
      <c r="N1371" s="291"/>
      <c r="O1371" s="291"/>
      <c r="P1371" s="291"/>
      <c r="S1371" s="364"/>
      <c r="Z1371" s="609" t="s">
        <v>540</v>
      </c>
      <c r="AA1371" s="609" t="s">
        <v>3137</v>
      </c>
      <c r="AE1371" s="369" t="s">
        <v>2761</v>
      </c>
    </row>
    <row r="1372" spans="1:31" ht="18" hidden="1">
      <c r="A1372" s="2714"/>
      <c r="B1372" s="371">
        <v>102.001</v>
      </c>
      <c r="C1372" s="371" t="s">
        <v>2791</v>
      </c>
      <c r="D1372" s="2716">
        <f t="shared" si="119"/>
        <v>1</v>
      </c>
      <c r="E1372" s="2721" t="s">
        <v>2978</v>
      </c>
      <c r="F1372" s="294"/>
      <c r="G1372" s="409" t="s">
        <v>2979</v>
      </c>
      <c r="H1372" s="383"/>
      <c r="I1372" s="469" t="str">
        <f>IF(H$1378*H1372=0,"",ROUND(H1372*100/H$1378,2))</f>
        <v/>
      </c>
      <c r="J1372" s="383"/>
      <c r="K1372" s="469" t="str">
        <f t="shared" ref="K1372:K1378" si="120">IF(H1372*J1372=0,"",ROUND(J1372*100/H1372,2))</f>
        <v/>
      </c>
      <c r="L1372" s="401">
        <f>H1372-J1372</f>
        <v>0</v>
      </c>
      <c r="M1372" s="1533" t="str">
        <f ca="1">HYPERLINK("#'"&amp;$G$1&amp;"'!"&amp;ADDRESS(ROW(Notes!H1443),COLUMN(Notes!H1443),4),"* 请勿删除此行！点击往勾稽单元格，F5+Enter返回")</f>
        <v>* 请勿删除此行！点击往勾稽单元格，F5+Enter返回</v>
      </c>
      <c r="N1372" s="291"/>
      <c r="O1372" s="291"/>
      <c r="P1372" s="291"/>
      <c r="S1372" s="364"/>
      <c r="Z1372" s="609" t="s">
        <v>540</v>
      </c>
      <c r="AA1372" s="609" t="s">
        <v>3137</v>
      </c>
      <c r="AC1372" s="369" t="s">
        <v>6573</v>
      </c>
      <c r="AE1372" s="369" t="s">
        <v>2761</v>
      </c>
    </row>
    <row r="1373" spans="1:31" ht="18" hidden="1">
      <c r="A1373" s="2714"/>
      <c r="B1373" s="371">
        <v>102.002</v>
      </c>
      <c r="C1373" s="371" t="s">
        <v>2791</v>
      </c>
      <c r="D1373" s="2716">
        <f t="shared" si="119"/>
        <v>1</v>
      </c>
      <c r="E1373" s="2721" t="s">
        <v>2978</v>
      </c>
      <c r="F1373" s="294"/>
      <c r="G1373" s="409" t="s">
        <v>2980</v>
      </c>
      <c r="H1373" s="383"/>
      <c r="I1373" s="469" t="str">
        <f>IF(H$1378*H1373=0,"",ROUND(H1373*100/H$1378,2))</f>
        <v/>
      </c>
      <c r="J1373" s="383"/>
      <c r="K1373" s="469" t="str">
        <f t="shared" si="120"/>
        <v/>
      </c>
      <c r="L1373" s="401">
        <f>H1373-J1373</f>
        <v>0</v>
      </c>
      <c r="M1373" s="291"/>
      <c r="N1373" s="291"/>
      <c r="O1373" s="291"/>
      <c r="P1373" s="291"/>
      <c r="S1373" s="364"/>
      <c r="Z1373" s="609" t="s">
        <v>540</v>
      </c>
      <c r="AA1373" s="609" t="s">
        <v>3137</v>
      </c>
      <c r="AE1373" s="369" t="s">
        <v>2761</v>
      </c>
    </row>
    <row r="1374" spans="1:31" ht="18" hidden="1">
      <c r="A1374" s="2714"/>
      <c r="B1374" s="371">
        <v>102.003</v>
      </c>
      <c r="C1374" s="371" t="s">
        <v>2791</v>
      </c>
      <c r="D1374" s="2716">
        <f t="shared" si="119"/>
        <v>0</v>
      </c>
      <c r="E1374" s="2721" t="s">
        <v>2978</v>
      </c>
      <c r="F1374" s="294"/>
      <c r="G1374" s="409" t="s">
        <v>2792</v>
      </c>
      <c r="H1374" s="383"/>
      <c r="I1374" s="469" t="str">
        <f>IF(H$1378*H1374=0,"",ROUND(H1374*100/H$1378,2))</f>
        <v/>
      </c>
      <c r="J1374" s="383"/>
      <c r="K1374" s="469" t="str">
        <f t="shared" si="120"/>
        <v/>
      </c>
      <c r="L1374" s="401">
        <f>H1374-J1374</f>
        <v>0</v>
      </c>
      <c r="M1374" s="291"/>
      <c r="N1374" s="291"/>
      <c r="O1374" s="291"/>
      <c r="P1374" s="291"/>
      <c r="S1374" s="364"/>
      <c r="Z1374" s="609" t="s">
        <v>540</v>
      </c>
      <c r="AA1374" s="609" t="s">
        <v>3137</v>
      </c>
      <c r="AE1374" s="369" t="s">
        <v>2761</v>
      </c>
    </row>
    <row r="1375" spans="1:31" ht="18" hidden="1">
      <c r="A1375" s="2714"/>
      <c r="B1375" s="371">
        <v>102.999</v>
      </c>
      <c r="C1375" s="371" t="s">
        <v>2793</v>
      </c>
      <c r="D1375" s="2716">
        <f t="shared" si="119"/>
        <v>1</v>
      </c>
      <c r="E1375" s="2721">
        <v>1</v>
      </c>
      <c r="F1375" s="294"/>
      <c r="G1375" s="380" t="s">
        <v>2978</v>
      </c>
      <c r="H1375" s="381">
        <f>SUMIF($E$1370:$E$1378,$G1375,H$1370:H$1378)</f>
        <v>0</v>
      </c>
      <c r="I1375" s="381">
        <f>SUMIF($E$1370:$E$1378,$G1375,I$1370:I$1378)</f>
        <v>0</v>
      </c>
      <c r="J1375" s="381">
        <f>SUMIF($E$1370:$E$1378,$G1375,J$1370:J$1378)</f>
        <v>0</v>
      </c>
      <c r="K1375" s="469" t="str">
        <f t="shared" si="120"/>
        <v/>
      </c>
      <c r="L1375" s="400">
        <f>SUMIF($E$1370:$E$1378,$G1375,L$1370:L$1378)</f>
        <v>0</v>
      </c>
      <c r="M1375" s="291"/>
      <c r="N1375" s="291"/>
      <c r="O1375" s="291"/>
      <c r="P1375" s="291"/>
      <c r="S1375" s="364"/>
      <c r="Z1375" s="609" t="s">
        <v>540</v>
      </c>
      <c r="AA1375" s="609" t="s">
        <v>3137</v>
      </c>
      <c r="AE1375" s="369" t="s">
        <v>2761</v>
      </c>
    </row>
    <row r="1376" spans="1:31" ht="24" hidden="1">
      <c r="A1376" s="2714"/>
      <c r="B1376" s="371">
        <v>103</v>
      </c>
      <c r="C1376" s="371"/>
      <c r="D1376" s="2716">
        <f t="shared" si="119"/>
        <v>1</v>
      </c>
      <c r="E1376" s="2721">
        <v>1</v>
      </c>
      <c r="F1376" s="294"/>
      <c r="G1376" s="380" t="s">
        <v>3143</v>
      </c>
      <c r="H1376" s="383"/>
      <c r="I1376" s="469" t="str">
        <f>IF(H$1378*H1376=0,"",ROUND(H1376*100/H$1378,2))</f>
        <v/>
      </c>
      <c r="J1376" s="383"/>
      <c r="K1376" s="469" t="str">
        <f t="shared" si="120"/>
        <v/>
      </c>
      <c r="L1376" s="401">
        <f>H1376-J1376</f>
        <v>0</v>
      </c>
      <c r="M1376" s="291"/>
      <c r="N1376" s="291"/>
      <c r="O1376" s="291"/>
      <c r="P1376" s="291"/>
      <c r="S1376" s="364"/>
      <c r="Z1376" s="609" t="s">
        <v>540</v>
      </c>
      <c r="AA1376" s="609" t="s">
        <v>3137</v>
      </c>
      <c r="AE1376" s="369" t="s">
        <v>2761</v>
      </c>
    </row>
    <row r="1377" spans="1:31" ht="18" hidden="1">
      <c r="A1377" s="2714"/>
      <c r="B1377" s="371">
        <v>104</v>
      </c>
      <c r="C1377" s="371" t="s">
        <v>2791</v>
      </c>
      <c r="D1377" s="2716">
        <f t="shared" si="119"/>
        <v>0</v>
      </c>
      <c r="E1377" s="2721">
        <v>1</v>
      </c>
      <c r="F1377" s="294"/>
      <c r="G1377" s="409" t="s">
        <v>2792</v>
      </c>
      <c r="H1377" s="383"/>
      <c r="I1377" s="469" t="str">
        <f>IF(H$1378*H1377=0,"",ROUND(H1377*100/H$1378,2))</f>
        <v/>
      </c>
      <c r="J1377" s="383"/>
      <c r="K1377" s="469" t="str">
        <f t="shared" si="120"/>
        <v/>
      </c>
      <c r="L1377" s="401">
        <f>H1377-J1377</f>
        <v>0</v>
      </c>
      <c r="M1377" s="291"/>
      <c r="N1377" s="291"/>
      <c r="O1377" s="291"/>
      <c r="P1377" s="291"/>
      <c r="S1377" s="364"/>
      <c r="Z1377" s="609" t="s">
        <v>540</v>
      </c>
      <c r="AA1377" s="609" t="s">
        <v>3137</v>
      </c>
      <c r="AE1377" s="369" t="s">
        <v>2761</v>
      </c>
    </row>
    <row r="1378" spans="1:31" ht="18.75" hidden="1" thickBot="1">
      <c r="A1378" s="2714"/>
      <c r="B1378" s="371"/>
      <c r="C1378" s="371"/>
      <c r="D1378" s="2716">
        <f t="shared" si="119"/>
        <v>1</v>
      </c>
      <c r="E1378" s="2721" t="s">
        <v>2751</v>
      </c>
      <c r="F1378" s="294"/>
      <c r="G1378" s="452" t="s">
        <v>2752</v>
      </c>
      <c r="H1378" s="453">
        <f>SUMPRODUCT($E1369:$E1377,H1369:H1377)</f>
        <v>0</v>
      </c>
      <c r="I1378" s="453">
        <f>SUMPRODUCT($E1369:$E1377,I1369:I1377)</f>
        <v>0</v>
      </c>
      <c r="J1378" s="453">
        <f>SUMPRODUCT($E1369:$E1377,J1369:J1377)</f>
        <v>0</v>
      </c>
      <c r="K1378" s="470" t="str">
        <f t="shared" si="120"/>
        <v/>
      </c>
      <c r="L1378" s="471">
        <f>SUMPRODUCT($E1369:$E1377,L1369:L1377)</f>
        <v>0</v>
      </c>
      <c r="M1378" s="357"/>
      <c r="N1378" s="291"/>
      <c r="O1378" s="291"/>
      <c r="P1378" s="291"/>
      <c r="S1378" s="364"/>
      <c r="Z1378" s="609" t="s">
        <v>540</v>
      </c>
      <c r="AA1378" s="609" t="s">
        <v>3137</v>
      </c>
      <c r="AC1378" s="369" t="s">
        <v>2794</v>
      </c>
      <c r="AE1378" s="369" t="s">
        <v>2761</v>
      </c>
    </row>
    <row r="1379" spans="1:31" ht="18" hidden="1">
      <c r="A1379" s="2714"/>
      <c r="B1379" s="371"/>
      <c r="C1379" s="371" t="s">
        <v>2755</v>
      </c>
      <c r="D1379" s="371"/>
      <c r="F1379" s="294"/>
      <c r="G1379" s="301"/>
      <c r="H1379" s="527" t="s">
        <v>3002</v>
      </c>
      <c r="I1379" s="393"/>
      <c r="J1379" s="527" t="s">
        <v>3002</v>
      </c>
      <c r="K1379" s="393"/>
      <c r="L1379" s="527" t="s">
        <v>3002</v>
      </c>
      <c r="M1379" s="291"/>
      <c r="N1379" s="291"/>
      <c r="O1379" s="291"/>
      <c r="P1379" s="291"/>
      <c r="S1379" s="364"/>
      <c r="Z1379" s="609" t="s">
        <v>540</v>
      </c>
      <c r="AA1379" s="609" t="s">
        <v>3137</v>
      </c>
      <c r="AE1379" s="369" t="s">
        <v>2761</v>
      </c>
    </row>
    <row r="1380" spans="1:31" ht="18.75" hidden="1" thickTop="1">
      <c r="A1380" s="2714"/>
      <c r="B1380" s="371"/>
      <c r="C1380" s="371" t="s">
        <v>2565</v>
      </c>
      <c r="D1380" s="371"/>
      <c r="F1380" s="294"/>
      <c r="G1380" s="1561" t="s">
        <v>5367</v>
      </c>
      <c r="H1380" s="1550" t="str">
        <f>G1013</f>
        <v>(2)其他应收款按款项性质分类情况</v>
      </c>
      <c r="I1380" s="1551"/>
      <c r="J1380" s="1552"/>
      <c r="K1380" s="1551"/>
      <c r="L1380" s="1552"/>
      <c r="M1380" s="1553" t="s">
        <v>5368</v>
      </c>
      <c r="N1380" s="291"/>
      <c r="O1380" s="291"/>
      <c r="P1380" s="291"/>
      <c r="S1380" s="364"/>
      <c r="Z1380" s="609" t="s">
        <v>540</v>
      </c>
      <c r="AA1380" s="609" t="s">
        <v>3137</v>
      </c>
    </row>
    <row r="1381" spans="1:31" ht="18" hidden="1">
      <c r="A1381" s="2714"/>
      <c r="B1381" s="371"/>
      <c r="C1381" s="371" t="s">
        <v>2565</v>
      </c>
      <c r="D1381" s="371"/>
      <c r="F1381" s="294"/>
      <c r="G1381" s="316" t="str">
        <f>"注释A:"&amp; ""</f>
        <v>注释A:</v>
      </c>
      <c r="H1381" s="2252">
        <f ca="1">HYPERLINK("#'"&amp;$G$1&amp;"'!"&amp;ADDRESS(ROW(Notes!H1023),COLUMN(Notes!H1023),4),H1023)</f>
        <v>2219135.13</v>
      </c>
      <c r="I1381" s="351"/>
      <c r="J1381" s="2252">
        <f ca="1">HYPERLINK("#'"&amp;$G$1&amp;"'!"&amp;ADDRESS(ROW(Notes!H1024),COLUMN(Notes!H1024),4),H1024)</f>
        <v>10987.92</v>
      </c>
      <c r="K1381" s="351"/>
      <c r="L1381" s="2252">
        <f ca="1">HYPERLINK("#'"&amp;$G$1&amp;"'!"&amp;ADDRESS(ROW(Notes!H1025),COLUMN(Notes!H1025),4),H1025)</f>
        <v>2208147.21</v>
      </c>
      <c r="M1381" s="2632" t="str">
        <f>H1013</f>
        <v>1221l</v>
      </c>
      <c r="N1381" s="291"/>
      <c r="O1381" s="291"/>
      <c r="P1381" s="291"/>
      <c r="S1381" s="364"/>
      <c r="Z1381" s="609" t="s">
        <v>540</v>
      </c>
      <c r="AA1381" s="609" t="s">
        <v>3137</v>
      </c>
    </row>
    <row r="1382" spans="1:31" ht="18" hidden="1">
      <c r="A1382" s="2714"/>
      <c r="B1382" s="371"/>
      <c r="C1382" s="371" t="s">
        <v>2565</v>
      </c>
      <c r="D1382" s="371"/>
      <c r="F1382" s="294"/>
      <c r="G1382" s="316" t="str">
        <f>"本注释B:"&amp; G1378</f>
        <v>本注释B:合       计</v>
      </c>
      <c r="H1382" s="456">
        <f>H1378</f>
        <v>0</v>
      </c>
      <c r="I1382" s="351"/>
      <c r="J1382" s="456">
        <f>J1378</f>
        <v>0</v>
      </c>
      <c r="K1382" s="351"/>
      <c r="L1382" s="456">
        <f>L1378</f>
        <v>0</v>
      </c>
      <c r="M1382" s="2638" t="s">
        <v>619</v>
      </c>
      <c r="N1382" s="291"/>
      <c r="O1382" s="291"/>
      <c r="P1382" s="291"/>
      <c r="S1382" s="364"/>
      <c r="Z1382" s="609" t="s">
        <v>540</v>
      </c>
      <c r="AA1382" s="609" t="s">
        <v>3137</v>
      </c>
    </row>
    <row r="1383" spans="1:31" ht="18.75" hidden="1" thickBot="1">
      <c r="A1383" s="2714"/>
      <c r="B1383" s="371"/>
      <c r="C1383" s="371" t="s">
        <v>2565</v>
      </c>
      <c r="D1383" s="371"/>
      <c r="F1383" s="294"/>
      <c r="G1383" s="1562" t="s">
        <v>2757</v>
      </c>
      <c r="H1383" s="1531">
        <f ca="1">IF(AND(H1381="",H1382=""),"",ROUND(H1381-H1382,2))</f>
        <v>2219135.13</v>
      </c>
      <c r="I1383" s="1555"/>
      <c r="J1383" s="1531">
        <f ca="1">IF(AND(J1381="",J1382=""),"",ROUND(J1381-J1382,2))</f>
        <v>10987.92</v>
      </c>
      <c r="K1383" s="1555"/>
      <c r="L1383" s="1531">
        <f ca="1">IF(AND(L1381="",L1382=""),"",ROUND(L1381-L1382,2))</f>
        <v>2208147.21</v>
      </c>
      <c r="M1383" s="1555"/>
      <c r="N1383" s="291"/>
      <c r="O1383" s="291"/>
      <c r="P1383" s="291"/>
      <c r="S1383" s="364"/>
      <c r="Z1383" s="609" t="s">
        <v>540</v>
      </c>
      <c r="AA1383" s="609" t="s">
        <v>3137</v>
      </c>
    </row>
    <row r="1384" spans="1:31" ht="18" hidden="1">
      <c r="A1384" s="2714"/>
      <c r="B1384" s="371"/>
      <c r="C1384" s="371" t="s">
        <v>2565</v>
      </c>
      <c r="D1384" s="371"/>
      <c r="F1384" s="294"/>
      <c r="G1384" s="354"/>
      <c r="H1384" s="459" t="str">
        <f ca="1">IF(OR(H1383=0,H1383=""),"√","？")</f>
        <v>？</v>
      </c>
      <c r="I1384" s="317"/>
      <c r="J1384" s="459" t="str">
        <f ca="1">IF(OR(J1383=0,J1383=""),"√","？")</f>
        <v>？</v>
      </c>
      <c r="K1384" s="317"/>
      <c r="L1384" s="459" t="str">
        <f ca="1">IF(OR(L1383=0,L1383=""),"√","？")</f>
        <v>？</v>
      </c>
      <c r="M1384" s="354"/>
      <c r="N1384" s="291"/>
      <c r="O1384" s="291"/>
      <c r="P1384" s="291"/>
      <c r="S1384" s="364"/>
      <c r="Z1384" s="609" t="s">
        <v>540</v>
      </c>
      <c r="AA1384" s="609" t="s">
        <v>3137</v>
      </c>
    </row>
    <row r="1385" spans="1:31" ht="18" hidden="1">
      <c r="A1385" s="2714"/>
      <c r="B1385" s="371"/>
      <c r="C1385" s="371" t="s">
        <v>2565</v>
      </c>
      <c r="D1385" s="371"/>
      <c r="F1385" s="294"/>
      <c r="G1385" s="460" t="s">
        <v>2759</v>
      </c>
      <c r="H1385" s="461"/>
      <c r="I1385" s="317"/>
      <c r="J1385" s="461"/>
      <c r="K1385" s="352">
        <f ca="1">SUMIF($H$1384:$M$1384,"&lt;&gt;√",$H$1383:$M$1383)</f>
        <v>4438270.26</v>
      </c>
      <c r="L1385" s="353" t="str">
        <f ca="1">IF(OR(K1385=0,K1385=""),"√","？")</f>
        <v>？</v>
      </c>
      <c r="M1385" s="354"/>
      <c r="N1385" s="291"/>
      <c r="O1385" s="291"/>
      <c r="P1385" s="291"/>
      <c r="S1385" s="364"/>
      <c r="Z1385" s="609" t="s">
        <v>540</v>
      </c>
      <c r="AA1385" s="609" t="s">
        <v>3137</v>
      </c>
    </row>
    <row r="1386" spans="1:31" ht="18" hidden="1">
      <c r="A1386" s="2714"/>
      <c r="B1386" s="371"/>
      <c r="C1386" s="371" t="s">
        <v>2565</v>
      </c>
      <c r="D1386" s="371"/>
      <c r="F1386" s="294"/>
      <c r="G1386" s="354"/>
      <c r="H1386" s="461"/>
      <c r="I1386" s="317"/>
      <c r="J1386" s="461"/>
      <c r="K1386" s="317"/>
      <c r="L1386" s="461"/>
      <c r="M1386" s="354"/>
      <c r="N1386" s="291"/>
      <c r="O1386" s="291"/>
      <c r="P1386" s="291"/>
      <c r="S1386" s="364"/>
      <c r="Z1386" s="609" t="s">
        <v>540</v>
      </c>
      <c r="AA1386" s="609" t="s">
        <v>3137</v>
      </c>
    </row>
    <row r="1387" spans="1:31" ht="24" hidden="1">
      <c r="A1387" s="2714" t="s">
        <v>625</v>
      </c>
      <c r="B1387" s="371">
        <v>3</v>
      </c>
      <c r="C1387" s="371"/>
      <c r="D1387" s="2716" t="str">
        <f>VLOOKUP($A1387,Sheet_NoteList,2,0)</f>
        <v>其他应收款按种类列示（续）</v>
      </c>
      <c r="E1387" s="2716" t="s">
        <v>6608</v>
      </c>
      <c r="F1387" s="294"/>
      <c r="G1387" s="372" t="str">
        <f>"("&amp;B1387&amp;")"&amp;D1387</f>
        <v>(3)其他应收款按种类列示（续）</v>
      </c>
      <c r="H1387" s="1517" t="str">
        <f>$A1387</f>
        <v>1221b</v>
      </c>
      <c r="I1387" s="343" t="s">
        <v>6611</v>
      </c>
      <c r="J1387" s="301" t="s">
        <v>6615</v>
      </c>
      <c r="K1387" s="423"/>
      <c r="L1387" s="315"/>
      <c r="M1387" s="301" t="s">
        <v>6623</v>
      </c>
      <c r="N1387" s="344">
        <f>L1400</f>
        <v>0</v>
      </c>
      <c r="O1387" s="345" t="str">
        <f>IF($I1387="适用",IF(ROUND(N$987-N1387,2)=0,"F/S",ROUND($N$987-N1387,2)),"#N/A")</f>
        <v>#N/A</v>
      </c>
      <c r="P1387" s="301"/>
      <c r="Q1387" s="290" t="str">
        <f>IF($I1387="不适用","",IF(ROUND(SUM($H$1392:$L$1400),2)=0,"请输入",""))</f>
        <v/>
      </c>
      <c r="S1387" s="364"/>
      <c r="Z1387" s="609" t="s">
        <v>540</v>
      </c>
      <c r="AA1387" s="609" t="s">
        <v>3137</v>
      </c>
      <c r="AE1387" s="369" t="s">
        <v>2761</v>
      </c>
    </row>
    <row r="1388" spans="1:31" ht="0.75" hidden="1" customHeight="1">
      <c r="A1388" s="2714"/>
      <c r="B1388" s="371"/>
      <c r="C1388" s="371"/>
      <c r="D1388" s="371"/>
      <c r="F1388" s="304"/>
      <c r="G1388" s="304" t="s">
        <v>3144</v>
      </c>
      <c r="H1388" s="304" t="s">
        <v>2984</v>
      </c>
      <c r="I1388" s="304" t="s">
        <v>2985</v>
      </c>
      <c r="J1388" s="304" t="s">
        <v>2986</v>
      </c>
      <c r="K1388" s="304" t="s">
        <v>2987</v>
      </c>
      <c r="L1388" s="304" t="s">
        <v>2988</v>
      </c>
      <c r="M1388" s="291"/>
      <c r="N1388" s="291"/>
      <c r="O1388" s="291"/>
      <c r="P1388" s="291"/>
      <c r="S1388" s="364"/>
      <c r="Z1388" s="609" t="s">
        <v>540</v>
      </c>
      <c r="AA1388" s="609" t="s">
        <v>3137</v>
      </c>
      <c r="AE1388" s="369" t="s">
        <v>2761</v>
      </c>
    </row>
    <row r="1389" spans="1:31" ht="0.75" hidden="1" customHeight="1" thickBot="1">
      <c r="A1389" s="2714"/>
      <c r="B1389" s="371"/>
      <c r="C1389" s="371"/>
      <c r="D1389" s="371"/>
      <c r="F1389" s="304"/>
      <c r="G1389" s="304"/>
      <c r="H1389" s="304" t="s">
        <v>2989</v>
      </c>
      <c r="I1389" s="304" t="s">
        <v>2990</v>
      </c>
      <c r="J1389" s="304" t="s">
        <v>2991</v>
      </c>
      <c r="K1389" s="304" t="s">
        <v>2992</v>
      </c>
      <c r="L1389" s="304" t="s">
        <v>2993</v>
      </c>
      <c r="M1389" s="291"/>
      <c r="N1389" s="291"/>
      <c r="O1389" s="291"/>
      <c r="P1389" s="291"/>
      <c r="S1389" s="364"/>
      <c r="Z1389" s="609" t="s">
        <v>540</v>
      </c>
      <c r="AA1389" s="609" t="s">
        <v>3137</v>
      </c>
      <c r="AE1389" s="369" t="s">
        <v>2761</v>
      </c>
    </row>
    <row r="1390" spans="1:31" ht="18" hidden="1">
      <c r="A1390" s="2714"/>
      <c r="B1390" s="371"/>
      <c r="C1390" s="371"/>
      <c r="D1390" s="371"/>
      <c r="E1390" s="2716" t="s">
        <v>2749</v>
      </c>
      <c r="F1390" s="294"/>
      <c r="G1390" s="3514" t="s">
        <v>2973</v>
      </c>
      <c r="H1390" s="3461" t="s">
        <v>2776</v>
      </c>
      <c r="I1390" s="3462"/>
      <c r="J1390" s="3462"/>
      <c r="K1390" s="3462"/>
      <c r="L1390" s="3463"/>
      <c r="M1390" s="424" t="s">
        <v>5990</v>
      </c>
      <c r="N1390" s="291"/>
      <c r="O1390" s="291"/>
      <c r="P1390" s="291"/>
      <c r="S1390" s="364"/>
      <c r="Z1390" s="609" t="s">
        <v>540</v>
      </c>
      <c r="AA1390" s="609" t="s">
        <v>3137</v>
      </c>
      <c r="AE1390" s="369" t="s">
        <v>2761</v>
      </c>
    </row>
    <row r="1391" spans="1:31" ht="24.75" hidden="1">
      <c r="A1391" s="2714"/>
      <c r="B1391" s="371"/>
      <c r="C1391" s="371"/>
      <c r="D1391" s="371"/>
      <c r="E1391" s="2716" t="s">
        <v>2749</v>
      </c>
      <c r="F1391" s="294"/>
      <c r="G1391" s="3515"/>
      <c r="H1391" s="451" t="s">
        <v>2861</v>
      </c>
      <c r="I1391" s="467" t="s">
        <v>6126</v>
      </c>
      <c r="J1391" s="451" t="s">
        <v>2974</v>
      </c>
      <c r="K1391" s="467" t="s">
        <v>2975</v>
      </c>
      <c r="L1391" s="468" t="s">
        <v>2994</v>
      </c>
      <c r="M1391" s="291"/>
      <c r="N1391" s="291"/>
      <c r="O1391" s="291"/>
      <c r="P1391" s="291"/>
      <c r="S1391" s="364"/>
      <c r="Z1391" s="609" t="s">
        <v>540</v>
      </c>
      <c r="AA1391" s="609" t="s">
        <v>3137</v>
      </c>
      <c r="AE1391" s="369" t="s">
        <v>2761</v>
      </c>
    </row>
    <row r="1392" spans="1:31" ht="24" hidden="1">
      <c r="A1392" s="2714"/>
      <c r="B1392" s="371">
        <v>101</v>
      </c>
      <c r="C1392" s="371"/>
      <c r="D1392" s="2716">
        <f t="shared" ref="D1392:D1400" si="121">IF(OR(G1392="*",G1392="",G1392=0),0,COUNTIF($G$1392:$G$1400,G1392))</f>
        <v>1</v>
      </c>
      <c r="E1392" s="2721">
        <v>1</v>
      </c>
      <c r="F1392" s="294"/>
      <c r="G1392" s="380" t="s">
        <v>3141</v>
      </c>
      <c r="H1392" s="383"/>
      <c r="I1392" s="469" t="str">
        <f>IF(H$1400*H1392=0,"",ROUND(H1392*100/H$1400,2))</f>
        <v/>
      </c>
      <c r="J1392" s="383"/>
      <c r="K1392" s="469" t="str">
        <f>IF(H1392*J1392=0,"",ROUND(J1392*100/H1392,2))</f>
        <v/>
      </c>
      <c r="L1392" s="401">
        <f>H1392-J1392</f>
        <v>0</v>
      </c>
      <c r="M1392" s="291"/>
      <c r="N1392" s="291"/>
      <c r="O1392" s="291"/>
      <c r="P1392" s="291"/>
      <c r="S1392" s="364"/>
      <c r="Z1392" s="609" t="s">
        <v>540</v>
      </c>
      <c r="AA1392" s="609" t="s">
        <v>3137</v>
      </c>
      <c r="AE1392" s="369" t="s">
        <v>2761</v>
      </c>
    </row>
    <row r="1393" spans="1:31" ht="24" hidden="1">
      <c r="A1393" s="2714"/>
      <c r="B1393" s="371">
        <v>102</v>
      </c>
      <c r="C1393" s="371"/>
      <c r="D1393" s="2716">
        <f t="shared" si="121"/>
        <v>1</v>
      </c>
      <c r="E1393" s="2721" t="s">
        <v>41</v>
      </c>
      <c r="F1393" s="294"/>
      <c r="G1393" s="380" t="s">
        <v>3142</v>
      </c>
      <c r="H1393" s="383"/>
      <c r="I1393" s="469"/>
      <c r="J1393" s="383"/>
      <c r="K1393" s="469"/>
      <c r="L1393" s="401"/>
      <c r="M1393" s="291"/>
      <c r="N1393" s="291"/>
      <c r="O1393" s="291"/>
      <c r="P1393" s="291"/>
      <c r="S1393" s="364"/>
      <c r="Z1393" s="609" t="s">
        <v>540</v>
      </c>
      <c r="AA1393" s="609" t="s">
        <v>3137</v>
      </c>
      <c r="AE1393" s="369" t="s">
        <v>2761</v>
      </c>
    </row>
    <row r="1394" spans="1:31" ht="18" hidden="1">
      <c r="A1394" s="2714"/>
      <c r="B1394" s="371">
        <v>102.001</v>
      </c>
      <c r="C1394" s="371" t="s">
        <v>2791</v>
      </c>
      <c r="D1394" s="2716">
        <f t="shared" si="121"/>
        <v>1</v>
      </c>
      <c r="E1394" s="2721" t="s">
        <v>2978</v>
      </c>
      <c r="F1394" s="294"/>
      <c r="G1394" s="409" t="s">
        <v>2979</v>
      </c>
      <c r="H1394" s="383"/>
      <c r="I1394" s="469" t="str">
        <f>IF(H$1400*H1394=0,"",ROUND(H1394*100/H$1400,2))</f>
        <v/>
      </c>
      <c r="J1394" s="383"/>
      <c r="K1394" s="469" t="str">
        <f t="shared" ref="K1394:K1400" si="122">IF(H1394*J1394=0,"",ROUND(J1394*100/H1394,2))</f>
        <v/>
      </c>
      <c r="L1394" s="401">
        <f>H1394-J1394</f>
        <v>0</v>
      </c>
      <c r="M1394" s="357"/>
      <c r="N1394" s="291"/>
      <c r="O1394" s="291"/>
      <c r="P1394" s="291"/>
      <c r="S1394" s="364"/>
      <c r="Z1394" s="609" t="s">
        <v>540</v>
      </c>
      <c r="AA1394" s="609" t="s">
        <v>3137</v>
      </c>
      <c r="AC1394" s="369" t="s">
        <v>2794</v>
      </c>
      <c r="AE1394" s="369" t="s">
        <v>2761</v>
      </c>
    </row>
    <row r="1395" spans="1:31" ht="18" hidden="1">
      <c r="A1395" s="2714"/>
      <c r="B1395" s="371">
        <v>102.002</v>
      </c>
      <c r="C1395" s="371" t="s">
        <v>2791</v>
      </c>
      <c r="D1395" s="2716">
        <f t="shared" si="121"/>
        <v>1</v>
      </c>
      <c r="E1395" s="2721" t="s">
        <v>2978</v>
      </c>
      <c r="F1395" s="294"/>
      <c r="G1395" s="409" t="s">
        <v>2980</v>
      </c>
      <c r="H1395" s="383"/>
      <c r="I1395" s="469" t="str">
        <f>IF(H$1400*H1395=0,"",ROUND(H1395*100/H$1400,2))</f>
        <v/>
      </c>
      <c r="J1395" s="383"/>
      <c r="K1395" s="469" t="str">
        <f t="shared" si="122"/>
        <v/>
      </c>
      <c r="L1395" s="401">
        <f>H1395-J1395</f>
        <v>0</v>
      </c>
      <c r="M1395" s="291"/>
      <c r="N1395" s="291"/>
      <c r="O1395" s="291"/>
      <c r="P1395" s="291"/>
      <c r="S1395" s="364"/>
      <c r="Z1395" s="609" t="s">
        <v>540</v>
      </c>
      <c r="AA1395" s="609" t="s">
        <v>3137</v>
      </c>
      <c r="AE1395" s="369" t="s">
        <v>2761</v>
      </c>
    </row>
    <row r="1396" spans="1:31" ht="18" hidden="1">
      <c r="A1396" s="2714"/>
      <c r="B1396" s="371">
        <v>102.003</v>
      </c>
      <c r="C1396" s="371" t="s">
        <v>2791</v>
      </c>
      <c r="D1396" s="2716">
        <f t="shared" si="121"/>
        <v>0</v>
      </c>
      <c r="E1396" s="2721" t="s">
        <v>2978</v>
      </c>
      <c r="F1396" s="294"/>
      <c r="G1396" s="409" t="s">
        <v>2792</v>
      </c>
      <c r="H1396" s="383"/>
      <c r="I1396" s="469" t="str">
        <f>IF(H$1400*H1396=0,"",ROUND(H1396*100/H$1400,2))</f>
        <v/>
      </c>
      <c r="J1396" s="383"/>
      <c r="K1396" s="469" t="str">
        <f t="shared" si="122"/>
        <v/>
      </c>
      <c r="L1396" s="401">
        <f>H1396-J1396</f>
        <v>0</v>
      </c>
      <c r="M1396" s="291"/>
      <c r="N1396" s="291"/>
      <c r="O1396" s="291"/>
      <c r="P1396" s="291"/>
      <c r="S1396" s="364"/>
      <c r="Z1396" s="609" t="s">
        <v>540</v>
      </c>
      <c r="AA1396" s="609" t="s">
        <v>3137</v>
      </c>
      <c r="AE1396" s="369" t="s">
        <v>2761</v>
      </c>
    </row>
    <row r="1397" spans="1:31" ht="18" hidden="1">
      <c r="A1397" s="2714"/>
      <c r="B1397" s="371">
        <v>102.999</v>
      </c>
      <c r="C1397" s="371" t="s">
        <v>2793</v>
      </c>
      <c r="D1397" s="2716">
        <f t="shared" si="121"/>
        <v>1</v>
      </c>
      <c r="E1397" s="2721">
        <v>1</v>
      </c>
      <c r="F1397" s="294"/>
      <c r="G1397" s="380" t="s">
        <v>2978</v>
      </c>
      <c r="H1397" s="381">
        <f>SUMIF($E$1392:$E$1400,$G1397,H$1392:H$1400)</f>
        <v>0</v>
      </c>
      <c r="I1397" s="381">
        <f>SUMIF($E$1392:$E$1400,$G1397,I$1392:I$1400)</f>
        <v>0</v>
      </c>
      <c r="J1397" s="381">
        <f>SUMIF($E$1392:$E$1400,$G1397,J$1392:J$1400)</f>
        <v>0</v>
      </c>
      <c r="K1397" s="469" t="str">
        <f t="shared" si="122"/>
        <v/>
      </c>
      <c r="L1397" s="400">
        <f>SUMIF($E$1392:$E$1400,$G1397,L$1392:L$1400)</f>
        <v>0</v>
      </c>
      <c r="M1397" s="291"/>
      <c r="N1397" s="291"/>
      <c r="O1397" s="291"/>
      <c r="P1397" s="291"/>
      <c r="S1397" s="364"/>
      <c r="Z1397" s="609" t="s">
        <v>540</v>
      </c>
      <c r="AA1397" s="609" t="s">
        <v>3137</v>
      </c>
      <c r="AE1397" s="369" t="s">
        <v>2761</v>
      </c>
    </row>
    <row r="1398" spans="1:31" ht="24" hidden="1">
      <c r="A1398" s="2714"/>
      <c r="B1398" s="371">
        <v>103</v>
      </c>
      <c r="C1398" s="371"/>
      <c r="D1398" s="2716">
        <f t="shared" si="121"/>
        <v>1</v>
      </c>
      <c r="E1398" s="2721">
        <v>1</v>
      </c>
      <c r="F1398" s="294"/>
      <c r="G1398" s="380" t="s">
        <v>3143</v>
      </c>
      <c r="H1398" s="383"/>
      <c r="I1398" s="469" t="str">
        <f>IF(H$1400*H1398=0,"",ROUND(H1398*100/H$1400,2))</f>
        <v/>
      </c>
      <c r="J1398" s="383"/>
      <c r="K1398" s="469" t="str">
        <f t="shared" si="122"/>
        <v/>
      </c>
      <c r="L1398" s="401">
        <f>H1398-J1398</f>
        <v>0</v>
      </c>
      <c r="M1398" s="291"/>
      <c r="N1398" s="291"/>
      <c r="O1398" s="291"/>
      <c r="P1398" s="291"/>
      <c r="S1398" s="364"/>
      <c r="Z1398" s="609" t="s">
        <v>540</v>
      </c>
      <c r="AA1398" s="609" t="s">
        <v>3137</v>
      </c>
      <c r="AE1398" s="369" t="s">
        <v>2761</v>
      </c>
    </row>
    <row r="1399" spans="1:31" ht="18" hidden="1">
      <c r="A1399" s="2714"/>
      <c r="B1399" s="371">
        <v>104</v>
      </c>
      <c r="C1399" s="371" t="s">
        <v>2791</v>
      </c>
      <c r="D1399" s="2716">
        <f t="shared" si="121"/>
        <v>0</v>
      </c>
      <c r="E1399" s="2721">
        <v>1</v>
      </c>
      <c r="F1399" s="294"/>
      <c r="G1399" s="409" t="s">
        <v>2792</v>
      </c>
      <c r="H1399" s="383"/>
      <c r="I1399" s="469" t="str">
        <f>IF(H$1400*H1399=0,"",ROUND(H1399*100/H$1400,2))</f>
        <v/>
      </c>
      <c r="J1399" s="383"/>
      <c r="K1399" s="469" t="str">
        <f t="shared" si="122"/>
        <v/>
      </c>
      <c r="L1399" s="401">
        <f>H1399-J1399</f>
        <v>0</v>
      </c>
      <c r="M1399" s="291"/>
      <c r="N1399" s="291"/>
      <c r="O1399" s="291"/>
      <c r="P1399" s="291"/>
      <c r="S1399" s="364"/>
      <c r="Z1399" s="609" t="s">
        <v>540</v>
      </c>
      <c r="AA1399" s="609" t="s">
        <v>3137</v>
      </c>
      <c r="AE1399" s="369" t="s">
        <v>2761</v>
      </c>
    </row>
    <row r="1400" spans="1:31" ht="18.75" hidden="1" thickBot="1">
      <c r="A1400" s="2714"/>
      <c r="B1400" s="371"/>
      <c r="C1400" s="371"/>
      <c r="D1400" s="2716">
        <f t="shared" si="121"/>
        <v>1</v>
      </c>
      <c r="E1400" s="2721" t="s">
        <v>2751</v>
      </c>
      <c r="F1400" s="294"/>
      <c r="G1400" s="452" t="s">
        <v>2752</v>
      </c>
      <c r="H1400" s="453">
        <f>SUMPRODUCT($E1391:$E1399,H1391:H1399)</f>
        <v>0</v>
      </c>
      <c r="I1400" s="453">
        <f>SUMPRODUCT($E1391:$E1399,I1391:I1399)</f>
        <v>0</v>
      </c>
      <c r="J1400" s="453">
        <f>SUMPRODUCT($E1391:$E1399,J1391:J1399)</f>
        <v>0</v>
      </c>
      <c r="K1400" s="470" t="str">
        <f t="shared" si="122"/>
        <v/>
      </c>
      <c r="L1400" s="471">
        <f>SUMPRODUCT($E1391:$E1399,L1391:L1399)</f>
        <v>0</v>
      </c>
      <c r="M1400" s="357"/>
      <c r="N1400" s="291"/>
      <c r="O1400" s="291"/>
      <c r="P1400" s="291"/>
      <c r="S1400" s="364"/>
      <c r="Z1400" s="609" t="s">
        <v>540</v>
      </c>
      <c r="AA1400" s="609" t="s">
        <v>3137</v>
      </c>
      <c r="AC1400" s="369" t="s">
        <v>2794</v>
      </c>
      <c r="AE1400" s="369" t="s">
        <v>2761</v>
      </c>
    </row>
    <row r="1401" spans="1:31" ht="18" hidden="1">
      <c r="A1401" s="2714"/>
      <c r="B1401" s="371"/>
      <c r="C1401" s="371" t="s">
        <v>2755</v>
      </c>
      <c r="D1401" s="2716"/>
      <c r="E1401" s="2721"/>
      <c r="F1401" s="294"/>
      <c r="G1401" s="357"/>
      <c r="H1401" s="2634" t="s">
        <v>3002</v>
      </c>
      <c r="I1401" s="357"/>
      <c r="J1401" s="2634" t="s">
        <v>3002</v>
      </c>
      <c r="K1401" s="357"/>
      <c r="L1401" s="2634" t="s">
        <v>3002</v>
      </c>
      <c r="M1401" s="357"/>
      <c r="N1401" s="291"/>
      <c r="O1401" s="291"/>
      <c r="P1401" s="291"/>
      <c r="S1401" s="364"/>
      <c r="Z1401" s="609" t="s">
        <v>540</v>
      </c>
      <c r="AA1401" s="609" t="s">
        <v>3137</v>
      </c>
      <c r="AE1401" s="369" t="s">
        <v>2761</v>
      </c>
    </row>
    <row r="1402" spans="1:31" ht="18.75" hidden="1" thickTop="1">
      <c r="A1402" s="2714"/>
      <c r="B1402" s="371"/>
      <c r="C1402" s="371" t="s">
        <v>2565</v>
      </c>
      <c r="D1402" s="2716"/>
      <c r="E1402" s="2721"/>
      <c r="F1402" s="294"/>
      <c r="G1402" s="1561" t="s">
        <v>5367</v>
      </c>
      <c r="H1402" s="1550" t="str">
        <f>G1013</f>
        <v>(2)其他应收款按款项性质分类情况</v>
      </c>
      <c r="I1402" s="2642"/>
      <c r="J1402" s="2643"/>
      <c r="K1402" s="2642"/>
      <c r="L1402" s="2643"/>
      <c r="M1402" s="1553" t="s">
        <v>5368</v>
      </c>
      <c r="N1402" s="291"/>
      <c r="O1402" s="291"/>
      <c r="P1402" s="291"/>
      <c r="S1402" s="364"/>
      <c r="Z1402" s="609" t="s">
        <v>540</v>
      </c>
      <c r="AA1402" s="609" t="s">
        <v>3137</v>
      </c>
    </row>
    <row r="1403" spans="1:31" ht="18" hidden="1">
      <c r="A1403" s="2714"/>
      <c r="B1403" s="371"/>
      <c r="C1403" s="371" t="s">
        <v>2565</v>
      </c>
      <c r="D1403" s="2716"/>
      <c r="E1403" s="2721"/>
      <c r="F1403" s="294"/>
      <c r="G1403" s="604" t="str">
        <f>"注释A:"&amp; ""</f>
        <v>注释A:</v>
      </c>
      <c r="H1403" s="2252">
        <f ca="1">HYPERLINK("#'"&amp;$G$1&amp;"'!"&amp;ADDRESS(ROW(Notes!I1023),COLUMN(Notes!I1023),4),I1023)</f>
        <v>347257.59</v>
      </c>
      <c r="I1403" s="2644"/>
      <c r="J1403" s="2252">
        <f ca="1">HYPERLINK("#'"&amp;$G$1&amp;"'!"&amp;ADDRESS(ROW(Notes!I1024),COLUMN(Notes!I1024),4),I1024)</f>
        <v>19238.12</v>
      </c>
      <c r="K1403" s="2644"/>
      <c r="L1403" s="2252">
        <f ca="1">HYPERLINK("#'"&amp;$G$1&amp;"'!"&amp;ADDRESS(ROW(Notes!I1025),COLUMN(Notes!I1025),4),I1025)</f>
        <v>328019.46999999997</v>
      </c>
      <c r="M1403" s="2632" t="str">
        <f>H1013</f>
        <v>1221l</v>
      </c>
      <c r="N1403" s="291"/>
      <c r="O1403" s="291"/>
      <c r="P1403" s="291"/>
      <c r="S1403" s="364"/>
      <c r="Z1403" s="609" t="s">
        <v>540</v>
      </c>
      <c r="AA1403" s="609" t="s">
        <v>3137</v>
      </c>
    </row>
    <row r="1404" spans="1:31" ht="18" hidden="1">
      <c r="A1404" s="2714"/>
      <c r="B1404" s="371"/>
      <c r="C1404" s="371" t="s">
        <v>2565</v>
      </c>
      <c r="D1404" s="2716"/>
      <c r="E1404" s="2721"/>
      <c r="F1404" s="294"/>
      <c r="G1404" s="604" t="str">
        <f>"本注释B:"&amp; G1400</f>
        <v>本注释B:合       计</v>
      </c>
      <c r="H1404" s="456">
        <f>H1400</f>
        <v>0</v>
      </c>
      <c r="I1404" s="2644"/>
      <c r="J1404" s="456">
        <f>J1400</f>
        <v>0</v>
      </c>
      <c r="K1404" s="2644"/>
      <c r="L1404" s="456">
        <f>L1400</f>
        <v>0</v>
      </c>
      <c r="M1404" s="2638" t="s">
        <v>625</v>
      </c>
      <c r="N1404" s="291"/>
      <c r="O1404" s="291"/>
      <c r="P1404" s="291"/>
      <c r="S1404" s="364"/>
      <c r="Z1404" s="609" t="s">
        <v>540</v>
      </c>
      <c r="AA1404" s="609" t="s">
        <v>3137</v>
      </c>
    </row>
    <row r="1405" spans="1:31" ht="18.75" hidden="1" thickBot="1">
      <c r="A1405" s="2714"/>
      <c r="B1405" s="371"/>
      <c r="C1405" s="371" t="s">
        <v>2565</v>
      </c>
      <c r="D1405" s="2716"/>
      <c r="E1405" s="2721"/>
      <c r="F1405" s="294"/>
      <c r="G1405" s="1562" t="s">
        <v>2757</v>
      </c>
      <c r="H1405" s="1531">
        <f ca="1">IF(AND(H1403="",H1404=""),"",ROUND(H1403-H1404,2))</f>
        <v>347257.59</v>
      </c>
      <c r="I1405" s="2645"/>
      <c r="J1405" s="1531">
        <f ca="1">IF(AND(J1403="",J1404=""),"",ROUND(J1403-J1404,2))</f>
        <v>19238.12</v>
      </c>
      <c r="K1405" s="2645"/>
      <c r="L1405" s="1531">
        <f ca="1">IF(AND(L1403="",L1404=""),"",ROUND(L1403-L1404,2))</f>
        <v>328019.46999999997</v>
      </c>
      <c r="M1405" s="2645"/>
      <c r="N1405" s="291"/>
      <c r="O1405" s="291"/>
      <c r="P1405" s="291"/>
      <c r="S1405" s="364"/>
      <c r="Z1405" s="609" t="s">
        <v>540</v>
      </c>
      <c r="AA1405" s="609" t="s">
        <v>3137</v>
      </c>
    </row>
    <row r="1406" spans="1:31" ht="18" hidden="1">
      <c r="A1406" s="2714"/>
      <c r="B1406" s="371"/>
      <c r="C1406" s="371" t="s">
        <v>2565</v>
      </c>
      <c r="D1406" s="2716"/>
      <c r="E1406" s="2721"/>
      <c r="F1406" s="294"/>
      <c r="G1406" s="2640"/>
      <c r="H1406" s="459" t="str">
        <f ca="1">IF(OR(H1405=0,H1405=""),"√","？")</f>
        <v>？</v>
      </c>
      <c r="I1406" s="2640"/>
      <c r="J1406" s="459" t="str">
        <f ca="1">IF(OR(J1405=0,J1405=""),"√","？")</f>
        <v>？</v>
      </c>
      <c r="K1406" s="2640"/>
      <c r="L1406" s="459" t="str">
        <f ca="1">IF(OR(L1405=0,L1405=""),"√","？")</f>
        <v>？</v>
      </c>
      <c r="M1406" s="2640"/>
      <c r="N1406" s="291"/>
      <c r="O1406" s="291"/>
      <c r="P1406" s="291"/>
      <c r="S1406" s="364"/>
      <c r="Z1406" s="609" t="s">
        <v>540</v>
      </c>
      <c r="AA1406" s="609" t="s">
        <v>3137</v>
      </c>
    </row>
    <row r="1407" spans="1:31" ht="18" hidden="1">
      <c r="A1407" s="2714"/>
      <c r="B1407" s="371"/>
      <c r="C1407" s="371" t="s">
        <v>2565</v>
      </c>
      <c r="D1407" s="2716"/>
      <c r="E1407" s="2721"/>
      <c r="F1407" s="294"/>
      <c r="G1407" s="460" t="s">
        <v>2759</v>
      </c>
      <c r="H1407" s="2641"/>
      <c r="I1407" s="2640"/>
      <c r="J1407" s="2641"/>
      <c r="K1407" s="2646">
        <f ca="1">SUMIF($H$1406:$M$1406,"&lt;&gt;√",$H$1405:$M$1405)</f>
        <v>694515.18</v>
      </c>
      <c r="L1407" s="353" t="str">
        <f ca="1">IF(OR(K1407=0,K1407=""),"√","？")</f>
        <v>？</v>
      </c>
      <c r="M1407" s="2640"/>
      <c r="N1407" s="291"/>
      <c r="O1407" s="291"/>
      <c r="P1407" s="291"/>
      <c r="S1407" s="364"/>
      <c r="Z1407" s="609" t="s">
        <v>540</v>
      </c>
      <c r="AA1407" s="609" t="s">
        <v>3137</v>
      </c>
    </row>
    <row r="1408" spans="1:31" ht="18" hidden="1">
      <c r="A1408" s="2714"/>
      <c r="B1408" s="371"/>
      <c r="C1408" s="371" t="s">
        <v>2565</v>
      </c>
      <c r="D1408" s="2716"/>
      <c r="E1408" s="2721"/>
      <c r="F1408" s="294"/>
      <c r="G1408" s="2640"/>
      <c r="H1408" s="2641"/>
      <c r="I1408" s="2640"/>
      <c r="J1408" s="2641"/>
      <c r="K1408" s="2640"/>
      <c r="L1408" s="2641"/>
      <c r="M1408" s="2640"/>
      <c r="N1408" s="291"/>
      <c r="O1408" s="291"/>
      <c r="P1408" s="291"/>
      <c r="S1408" s="364"/>
      <c r="Z1408" s="609" t="s">
        <v>540</v>
      </c>
      <c r="AA1408" s="609" t="s">
        <v>3137</v>
      </c>
    </row>
    <row r="1409" spans="1:31" ht="36" hidden="1">
      <c r="A1409" s="2714" t="s">
        <v>561</v>
      </c>
      <c r="B1409" s="371">
        <v>4</v>
      </c>
      <c r="C1409" s="371"/>
      <c r="D1409" s="2716" t="str">
        <f>VLOOKUP($A1409,Sheet_NoteList,2,0)</f>
        <v>期末单项金额重大并单项计提坏账准备的其他应收款</v>
      </c>
      <c r="E1409" s="2716" t="s">
        <v>6608</v>
      </c>
      <c r="F1409" s="294"/>
      <c r="G1409" s="372" t="str">
        <f>"("&amp;B1409&amp;")"&amp;D1409</f>
        <v>(4)期末单项金额重大并单项计提坏账准备的其他应收款</v>
      </c>
      <c r="H1409" s="1517" t="str">
        <f>$A1409</f>
        <v>1221g</v>
      </c>
      <c r="I1409" s="343" t="s">
        <v>6611</v>
      </c>
      <c r="J1409" s="301" t="s">
        <v>6614</v>
      </c>
      <c r="K1409" s="344">
        <f>H1419</f>
        <v>0</v>
      </c>
      <c r="L1409" s="345"/>
      <c r="M1409" s="301" t="s">
        <v>6615</v>
      </c>
      <c r="N1409" s="423"/>
      <c r="O1409" s="345"/>
      <c r="P1409" s="301"/>
      <c r="Q1409" s="290" t="str">
        <f>IF($I1409="不适用","",IF(ROUND(SUM($H$1414:$K$1419),2)=0,"请输入",""))</f>
        <v/>
      </c>
      <c r="S1409" s="364"/>
      <c r="Z1409" s="609" t="s">
        <v>540</v>
      </c>
      <c r="AA1409" s="609" t="s">
        <v>3137</v>
      </c>
      <c r="AE1409" s="369" t="s">
        <v>2761</v>
      </c>
    </row>
    <row r="1410" spans="1:31" ht="0.75" hidden="1" customHeight="1">
      <c r="A1410" s="2714"/>
      <c r="B1410" s="371"/>
      <c r="C1410" s="371"/>
      <c r="D1410" s="371"/>
      <c r="F1410" s="293"/>
      <c r="G1410" s="293" t="s">
        <v>3157</v>
      </c>
      <c r="H1410" s="293" t="s">
        <v>2849</v>
      </c>
      <c r="I1410" s="293" t="s">
        <v>2996</v>
      </c>
      <c r="J1410" s="293" t="s">
        <v>2997</v>
      </c>
      <c r="K1410" s="293" t="s">
        <v>5477</v>
      </c>
      <c r="L1410" s="472"/>
      <c r="M1410" s="472"/>
      <c r="N1410" s="472"/>
      <c r="O1410" s="472"/>
      <c r="P1410" s="442"/>
      <c r="Q1410" s="442"/>
      <c r="R1410" s="443"/>
      <c r="S1410" s="364"/>
      <c r="Z1410" s="609" t="s">
        <v>540</v>
      </c>
      <c r="AA1410" s="609" t="s">
        <v>3137</v>
      </c>
      <c r="AE1410" s="369" t="s">
        <v>2761</v>
      </c>
    </row>
    <row r="1411" spans="1:31" ht="0.75" hidden="1" customHeight="1" thickBot="1">
      <c r="A1411" s="2714"/>
      <c r="B1411" s="371"/>
      <c r="C1411" s="371"/>
      <c r="D1411" s="371"/>
      <c r="F1411" s="293"/>
      <c r="G1411" s="293"/>
      <c r="H1411" s="293" t="s">
        <v>5480</v>
      </c>
      <c r="I1411" s="293" t="s">
        <v>5481</v>
      </c>
      <c r="J1411" s="293" t="s">
        <v>5482</v>
      </c>
      <c r="K1411" s="293" t="s">
        <v>5483</v>
      </c>
      <c r="L1411" s="472"/>
      <c r="M1411" s="472"/>
      <c r="N1411" s="472"/>
      <c r="O1411" s="472"/>
      <c r="P1411" s="442"/>
      <c r="Q1411" s="442"/>
      <c r="R1411" s="443"/>
      <c r="S1411" s="364"/>
      <c r="Z1411" s="609" t="s">
        <v>540</v>
      </c>
      <c r="AA1411" s="609" t="s">
        <v>3137</v>
      </c>
      <c r="AE1411" s="369" t="s">
        <v>2761</v>
      </c>
    </row>
    <row r="1412" spans="1:31" ht="18" hidden="1" customHeight="1">
      <c r="A1412" s="2714"/>
      <c r="B1412" s="371"/>
      <c r="C1412" s="371"/>
      <c r="D1412" s="371"/>
      <c r="E1412" s="2716" t="s">
        <v>2749</v>
      </c>
      <c r="F1412" s="293"/>
      <c r="G1412" s="3510" t="s">
        <v>5479</v>
      </c>
      <c r="H1412" s="3458" t="s">
        <v>5478</v>
      </c>
      <c r="I1412" s="3458"/>
      <c r="J1412" s="3458"/>
      <c r="K1412" s="3459"/>
      <c r="L1412" s="424" t="s">
        <v>5990</v>
      </c>
      <c r="M1412" s="2195"/>
      <c r="N1412" s="472"/>
      <c r="O1412" s="472"/>
      <c r="P1412" s="442"/>
      <c r="Q1412" s="442"/>
      <c r="R1412" s="443"/>
      <c r="S1412" s="364"/>
      <c r="Z1412" s="609" t="s">
        <v>540</v>
      </c>
      <c r="AA1412" s="609" t="s">
        <v>3137</v>
      </c>
      <c r="AE1412" s="369" t="s">
        <v>2761</v>
      </c>
    </row>
    <row r="1413" spans="1:31" ht="18" hidden="1">
      <c r="A1413" s="2714"/>
      <c r="B1413" s="371"/>
      <c r="C1413" s="371"/>
      <c r="D1413" s="371"/>
      <c r="E1413" s="2716" t="s">
        <v>2749</v>
      </c>
      <c r="F1413" s="294"/>
      <c r="G1413" s="3511"/>
      <c r="H1413" s="358" t="s">
        <v>2861</v>
      </c>
      <c r="I1413" s="318" t="s">
        <v>2862</v>
      </c>
      <c r="J1413" s="318" t="s">
        <v>3001</v>
      </c>
      <c r="K1413" s="359" t="s">
        <v>2899</v>
      </c>
      <c r="L1413" s="472"/>
      <c r="M1413" s="472"/>
      <c r="N1413" s="472"/>
      <c r="O1413" s="472"/>
      <c r="P1413" s="442"/>
      <c r="Q1413" s="442"/>
      <c r="R1413" s="443"/>
      <c r="S1413" s="364"/>
      <c r="Z1413" s="609" t="s">
        <v>540</v>
      </c>
      <c r="AA1413" s="609" t="s">
        <v>3137</v>
      </c>
      <c r="AE1413" s="369" t="s">
        <v>2761</v>
      </c>
    </row>
    <row r="1414" spans="1:31" ht="18" hidden="1">
      <c r="A1414" s="2714"/>
      <c r="B1414" s="371">
        <v>101</v>
      </c>
      <c r="C1414" s="371" t="s">
        <v>2791</v>
      </c>
      <c r="D1414" s="2716">
        <f t="shared" ref="D1414:D1419" si="123">IF(OR(G1414="*",G1414="",G1414=0),0,COUNTIF($G$1414:$G$1419,G1414))</f>
        <v>0</v>
      </c>
      <c r="E1414" s="2721">
        <v>1</v>
      </c>
      <c r="F1414" s="294"/>
      <c r="G1414" s="319" t="s">
        <v>2792</v>
      </c>
      <c r="H1414" s="309"/>
      <c r="I1414" s="309"/>
      <c r="J1414" s="360" t="str">
        <f t="shared" ref="J1414:J1419" si="124">IF(H1414*I1414=0,"",ROUND(I1414*100/H1414,2))</f>
        <v/>
      </c>
      <c r="K1414" s="388"/>
      <c r="L1414" s="472"/>
      <c r="M1414" s="472"/>
      <c r="N1414" s="472"/>
      <c r="O1414" s="472"/>
      <c r="P1414" s="442"/>
      <c r="Q1414" s="442"/>
      <c r="R1414" s="443"/>
      <c r="S1414" s="364"/>
      <c r="Z1414" s="609" t="s">
        <v>540</v>
      </c>
      <c r="AA1414" s="609" t="s">
        <v>3137</v>
      </c>
      <c r="AE1414" s="369" t="s">
        <v>2761</v>
      </c>
    </row>
    <row r="1415" spans="1:31" ht="18" hidden="1">
      <c r="A1415" s="2714"/>
      <c r="B1415" s="371">
        <v>102</v>
      </c>
      <c r="C1415" s="371" t="s">
        <v>2791</v>
      </c>
      <c r="D1415" s="2716">
        <f t="shared" si="123"/>
        <v>0</v>
      </c>
      <c r="E1415" s="2721">
        <v>1</v>
      </c>
      <c r="F1415" s="294"/>
      <c r="G1415" s="319" t="s">
        <v>2792</v>
      </c>
      <c r="H1415" s="309"/>
      <c r="I1415" s="309"/>
      <c r="J1415" s="360" t="str">
        <f t="shared" si="124"/>
        <v/>
      </c>
      <c r="K1415" s="388"/>
      <c r="L1415" s="472"/>
      <c r="M1415" s="472"/>
      <c r="N1415" s="472"/>
      <c r="O1415" s="472"/>
      <c r="P1415" s="442"/>
      <c r="Q1415" s="442"/>
      <c r="R1415" s="443"/>
      <c r="S1415" s="364"/>
      <c r="Z1415" s="609" t="s">
        <v>540</v>
      </c>
      <c r="AA1415" s="609" t="s">
        <v>3137</v>
      </c>
      <c r="AE1415" s="369" t="s">
        <v>2761</v>
      </c>
    </row>
    <row r="1416" spans="1:31" ht="18" hidden="1">
      <c r="A1416" s="2714"/>
      <c r="B1416" s="371">
        <v>103</v>
      </c>
      <c r="C1416" s="371" t="s">
        <v>2791</v>
      </c>
      <c r="D1416" s="2716">
        <f t="shared" si="123"/>
        <v>0</v>
      </c>
      <c r="E1416" s="2721">
        <v>1</v>
      </c>
      <c r="F1416" s="294"/>
      <c r="G1416" s="319" t="s">
        <v>2792</v>
      </c>
      <c r="H1416" s="309"/>
      <c r="I1416" s="309"/>
      <c r="J1416" s="360" t="str">
        <f t="shared" si="124"/>
        <v/>
      </c>
      <c r="K1416" s="388"/>
      <c r="L1416" s="472"/>
      <c r="M1416" s="472"/>
      <c r="N1416" s="472"/>
      <c r="O1416" s="472"/>
      <c r="P1416" s="442"/>
      <c r="Q1416" s="442"/>
      <c r="R1416" s="443"/>
      <c r="S1416" s="364"/>
      <c r="Z1416" s="609" t="s">
        <v>540</v>
      </c>
      <c r="AA1416" s="609" t="s">
        <v>3137</v>
      </c>
      <c r="AE1416" s="369" t="s">
        <v>2761</v>
      </c>
    </row>
    <row r="1417" spans="1:31" ht="18" hidden="1">
      <c r="A1417" s="2714"/>
      <c r="B1417" s="371">
        <v>104</v>
      </c>
      <c r="C1417" s="371" t="s">
        <v>2791</v>
      </c>
      <c r="D1417" s="2716">
        <f t="shared" si="123"/>
        <v>0</v>
      </c>
      <c r="E1417" s="2721">
        <v>1</v>
      </c>
      <c r="F1417" s="294"/>
      <c r="G1417" s="319" t="s">
        <v>2792</v>
      </c>
      <c r="H1417" s="309"/>
      <c r="I1417" s="309"/>
      <c r="J1417" s="360" t="str">
        <f t="shared" si="124"/>
        <v/>
      </c>
      <c r="K1417" s="388"/>
      <c r="L1417" s="472"/>
      <c r="M1417" s="472"/>
      <c r="N1417" s="472"/>
      <c r="O1417" s="472"/>
      <c r="P1417" s="442"/>
      <c r="Q1417" s="442"/>
      <c r="R1417" s="443"/>
      <c r="S1417" s="364"/>
      <c r="Z1417" s="609" t="s">
        <v>540</v>
      </c>
      <c r="AA1417" s="609" t="s">
        <v>3137</v>
      </c>
      <c r="AE1417" s="369" t="s">
        <v>2761</v>
      </c>
    </row>
    <row r="1418" spans="1:31" ht="18" hidden="1">
      <c r="A1418" s="2714"/>
      <c r="B1418" s="371">
        <v>105</v>
      </c>
      <c r="C1418" s="371" t="s">
        <v>2791</v>
      </c>
      <c r="D1418" s="2716">
        <f t="shared" si="123"/>
        <v>0</v>
      </c>
      <c r="E1418" s="2721">
        <v>1</v>
      </c>
      <c r="F1418" s="294"/>
      <c r="G1418" s="319" t="s">
        <v>2792</v>
      </c>
      <c r="H1418" s="309"/>
      <c r="I1418" s="309"/>
      <c r="J1418" s="360" t="str">
        <f t="shared" si="124"/>
        <v/>
      </c>
      <c r="K1418" s="388"/>
      <c r="L1418" s="472"/>
      <c r="M1418" s="472"/>
      <c r="N1418" s="472"/>
      <c r="O1418" s="472"/>
      <c r="P1418" s="442"/>
      <c r="Q1418" s="442"/>
      <c r="R1418" s="443"/>
      <c r="S1418" s="364"/>
      <c r="Z1418" s="609" t="s">
        <v>540</v>
      </c>
      <c r="AA1418" s="609" t="s">
        <v>3137</v>
      </c>
      <c r="AE1418" s="369" t="s">
        <v>2761</v>
      </c>
    </row>
    <row r="1419" spans="1:31" ht="18.75" hidden="1" thickBot="1">
      <c r="A1419" s="2714"/>
      <c r="B1419" s="371"/>
      <c r="C1419" s="371"/>
      <c r="D1419" s="2716">
        <f t="shared" si="123"/>
        <v>1</v>
      </c>
      <c r="E1419" s="2721" t="s">
        <v>3032</v>
      </c>
      <c r="F1419" s="294"/>
      <c r="G1419" s="310" t="s">
        <v>2752</v>
      </c>
      <c r="H1419" s="311">
        <f>SUMPRODUCT($E1413:$E1418,H1413:H1418)</f>
        <v>0</v>
      </c>
      <c r="I1419" s="311">
        <f>SUMPRODUCT($E1413:$E1418,I1413:I1418)</f>
        <v>0</v>
      </c>
      <c r="J1419" s="466" t="str">
        <f t="shared" si="124"/>
        <v/>
      </c>
      <c r="K1419" s="447"/>
      <c r="L1419" s="472"/>
      <c r="M1419" s="472"/>
      <c r="N1419" s="472"/>
      <c r="O1419" s="472"/>
      <c r="P1419" s="442"/>
      <c r="Q1419" s="442"/>
      <c r="R1419" s="443"/>
      <c r="S1419" s="364"/>
      <c r="Z1419" s="609" t="s">
        <v>540</v>
      </c>
      <c r="AA1419" s="609" t="s">
        <v>3137</v>
      </c>
      <c r="AE1419" s="369" t="s">
        <v>2761</v>
      </c>
    </row>
    <row r="1420" spans="1:31" ht="18" hidden="1">
      <c r="A1420" s="2714"/>
      <c r="B1420" s="371"/>
      <c r="C1420" s="371" t="s">
        <v>2755</v>
      </c>
      <c r="D1420" s="371"/>
      <c r="F1420" s="294"/>
      <c r="G1420" s="301"/>
      <c r="H1420" s="527" t="s">
        <v>3002</v>
      </c>
      <c r="I1420" s="527" t="s">
        <v>3002</v>
      </c>
      <c r="J1420" s="393"/>
      <c r="K1420" s="393"/>
      <c r="L1420" s="472"/>
      <c r="M1420" s="472"/>
      <c r="N1420" s="472"/>
      <c r="O1420" s="472"/>
      <c r="P1420" s="442"/>
      <c r="Q1420" s="442"/>
      <c r="R1420" s="443"/>
      <c r="S1420" s="364"/>
      <c r="Z1420" s="609" t="s">
        <v>540</v>
      </c>
      <c r="AA1420" s="609" t="s">
        <v>3137</v>
      </c>
      <c r="AE1420" s="369" t="s">
        <v>2761</v>
      </c>
    </row>
    <row r="1421" spans="1:31" ht="18.75" hidden="1" thickTop="1">
      <c r="A1421" s="2714"/>
      <c r="B1421" s="371"/>
      <c r="C1421" s="371" t="s">
        <v>2565</v>
      </c>
      <c r="D1421" s="371"/>
      <c r="F1421" s="294"/>
      <c r="G1421" s="1561" t="s">
        <v>5367</v>
      </c>
      <c r="H1421" s="1550" t="str">
        <f>G1365</f>
        <v>(1)其他应收款按种类列示</v>
      </c>
      <c r="I1421" s="1552"/>
      <c r="J1421" s="1551"/>
      <c r="K1421" s="1551"/>
      <c r="L1421" s="1553" t="s">
        <v>5368</v>
      </c>
      <c r="M1421" s="472"/>
      <c r="N1421" s="472"/>
      <c r="O1421" s="472"/>
      <c r="P1421" s="442"/>
      <c r="Q1421" s="442"/>
      <c r="R1421" s="442"/>
      <c r="S1421" s="364"/>
      <c r="Z1421" s="609" t="s">
        <v>540</v>
      </c>
      <c r="AA1421" s="609" t="s">
        <v>3137</v>
      </c>
    </row>
    <row r="1422" spans="1:31" ht="24" hidden="1">
      <c r="A1422" s="2714"/>
      <c r="B1422" s="371"/>
      <c r="C1422" s="371" t="s">
        <v>2565</v>
      </c>
      <c r="D1422" s="371"/>
      <c r="F1422" s="294"/>
      <c r="G1422" s="316" t="str">
        <f>"注释A:"&amp; G1370</f>
        <v>注释A:单项金额重大并单项计提坏账准备的其他应收款</v>
      </c>
      <c r="H1422" s="2252">
        <f ca="1">HYPERLINK("#'"&amp;$G$1&amp;"'!"&amp;ADDRESS(ROW(Notes!H1370),COLUMN(Notes!H1370),4),H1370)</f>
        <v>0</v>
      </c>
      <c r="I1422" s="2252">
        <f ca="1">HYPERLINK("#'"&amp;$G$1&amp;"'!"&amp;ADDRESS(ROW(Notes!J1370),COLUMN(Notes!J1370),4),J1370)</f>
        <v>0</v>
      </c>
      <c r="J1422" s="351"/>
      <c r="K1422" s="351"/>
      <c r="L1422" s="2636" t="str">
        <f>H1365</f>
        <v>1221a</v>
      </c>
      <c r="M1422" s="472"/>
      <c r="N1422" s="472"/>
      <c r="O1422" s="472"/>
      <c r="P1422" s="442"/>
      <c r="Q1422" s="442"/>
      <c r="R1422" s="442"/>
      <c r="S1422" s="364"/>
      <c r="Z1422" s="609" t="s">
        <v>540</v>
      </c>
      <c r="AA1422" s="609" t="s">
        <v>3137</v>
      </c>
    </row>
    <row r="1423" spans="1:31" ht="18" hidden="1">
      <c r="A1423" s="2714"/>
      <c r="B1423" s="371"/>
      <c r="C1423" s="371" t="s">
        <v>2565</v>
      </c>
      <c r="D1423" s="371"/>
      <c r="F1423" s="294"/>
      <c r="G1423" s="316" t="str">
        <f>"本注释B:"&amp; G1419</f>
        <v>本注释B:合       计</v>
      </c>
      <c r="H1423" s="456">
        <f>H1419</f>
        <v>0</v>
      </c>
      <c r="I1423" s="456">
        <f>I1419</f>
        <v>0</v>
      </c>
      <c r="J1423" s="351"/>
      <c r="K1423" s="351"/>
      <c r="L1423" s="2639" t="s">
        <v>561</v>
      </c>
      <c r="M1423" s="472"/>
      <c r="N1423" s="472"/>
      <c r="O1423" s="472"/>
      <c r="P1423" s="442"/>
      <c r="Q1423" s="442"/>
      <c r="R1423" s="442"/>
      <c r="S1423" s="364"/>
      <c r="Z1423" s="609" t="s">
        <v>540</v>
      </c>
      <c r="AA1423" s="609" t="s">
        <v>3137</v>
      </c>
    </row>
    <row r="1424" spans="1:31" ht="18.75" hidden="1" thickBot="1">
      <c r="A1424" s="2714"/>
      <c r="B1424" s="371"/>
      <c r="C1424" s="371" t="s">
        <v>2565</v>
      </c>
      <c r="D1424" s="371"/>
      <c r="F1424" s="294"/>
      <c r="G1424" s="1562" t="s">
        <v>2757</v>
      </c>
      <c r="H1424" s="1531">
        <f ca="1">IF(AND(H1422="",H1423=""),"",ROUND(H1422-H1423,2))</f>
        <v>0</v>
      </c>
      <c r="I1424" s="1531">
        <f ca="1">IF(AND(I1422="",I1423=""),"",ROUND(I1422-I1423,2))</f>
        <v>0</v>
      </c>
      <c r="J1424" s="1555"/>
      <c r="K1424" s="1555"/>
      <c r="L1424" s="1556"/>
      <c r="M1424" s="472"/>
      <c r="N1424" s="472"/>
      <c r="O1424" s="472"/>
      <c r="P1424" s="442"/>
      <c r="Q1424" s="442"/>
      <c r="R1424" s="442"/>
      <c r="S1424" s="364"/>
      <c r="Z1424" s="609" t="s">
        <v>540</v>
      </c>
      <c r="AA1424" s="609" t="s">
        <v>3137</v>
      </c>
    </row>
    <row r="1425" spans="1:31" ht="18" hidden="1">
      <c r="A1425" s="2714"/>
      <c r="B1425" s="371"/>
      <c r="C1425" s="371" t="s">
        <v>2565</v>
      </c>
      <c r="D1425" s="371"/>
      <c r="F1425" s="294"/>
      <c r="G1425" s="354"/>
      <c r="H1425" s="459" t="str">
        <f ca="1">IF(OR(H1424=0,H1424=""),"√","？")</f>
        <v>√</v>
      </c>
      <c r="I1425" s="459" t="str">
        <f ca="1">IF(OR(I1424=0,I1424=""),"√","？")</f>
        <v>√</v>
      </c>
      <c r="J1425" s="317"/>
      <c r="K1425" s="317"/>
      <c r="L1425" s="1546"/>
      <c r="M1425" s="472"/>
      <c r="N1425" s="472"/>
      <c r="O1425" s="472"/>
      <c r="P1425" s="442"/>
      <c r="Q1425" s="442"/>
      <c r="R1425" s="442"/>
      <c r="S1425" s="364"/>
      <c r="Z1425" s="609" t="s">
        <v>540</v>
      </c>
      <c r="AA1425" s="609" t="s">
        <v>3137</v>
      </c>
    </row>
    <row r="1426" spans="1:31" ht="18" hidden="1">
      <c r="A1426" s="2714"/>
      <c r="B1426" s="371"/>
      <c r="C1426" s="371" t="s">
        <v>2565</v>
      </c>
      <c r="D1426" s="371"/>
      <c r="F1426" s="294"/>
      <c r="G1426" s="460" t="s">
        <v>2759</v>
      </c>
      <c r="H1426" s="461"/>
      <c r="I1426" s="461"/>
      <c r="J1426" s="317"/>
      <c r="K1426" s="352">
        <f ca="1">SUMIF($H$1425:$L$1425,"&lt;&gt;√",$H$1424:$L$1424)</f>
        <v>0</v>
      </c>
      <c r="L1426" s="2254" t="str">
        <f ca="1">IF(OR(K1426=0,K1426=""),"√","？")</f>
        <v>√</v>
      </c>
      <c r="M1426" s="472"/>
      <c r="N1426" s="472"/>
      <c r="O1426" s="472"/>
      <c r="P1426" s="442"/>
      <c r="Q1426" s="442"/>
      <c r="R1426" s="442"/>
      <c r="S1426" s="364"/>
      <c r="Z1426" s="609" t="s">
        <v>540</v>
      </c>
      <c r="AA1426" s="609" t="s">
        <v>3137</v>
      </c>
    </row>
    <row r="1427" spans="1:31" ht="18" hidden="1">
      <c r="A1427" s="2714"/>
      <c r="B1427" s="371"/>
      <c r="C1427" s="371" t="s">
        <v>2565</v>
      </c>
      <c r="D1427" s="371"/>
      <c r="F1427" s="294"/>
      <c r="G1427" s="354"/>
      <c r="H1427" s="461"/>
      <c r="I1427" s="461"/>
      <c r="J1427" s="317"/>
      <c r="K1427" s="317"/>
      <c r="L1427" s="1546"/>
      <c r="M1427" s="472"/>
      <c r="N1427" s="472"/>
      <c r="O1427" s="472"/>
      <c r="P1427" s="442"/>
      <c r="Q1427" s="442"/>
      <c r="R1427" s="442"/>
      <c r="S1427" s="364"/>
      <c r="Z1427" s="609" t="s">
        <v>540</v>
      </c>
      <c r="AA1427" s="609" t="s">
        <v>3137</v>
      </c>
    </row>
    <row r="1428" spans="1:31" ht="24" hidden="1">
      <c r="A1428" s="2714" t="s">
        <v>635</v>
      </c>
      <c r="B1428" s="371">
        <v>5</v>
      </c>
      <c r="C1428" s="371"/>
      <c r="D1428" s="2716" t="str">
        <f>VLOOKUP($A1428,Sheet_NoteList,2,0)</f>
        <v>组合中按账龄分析法计提坏账准备的其他应收款</v>
      </c>
      <c r="E1428" s="2716" t="s">
        <v>6608</v>
      </c>
      <c r="F1428" s="294"/>
      <c r="G1428" s="372" t="str">
        <f>"("&amp;B1428&amp;")"&amp;D1428</f>
        <v>(5)组合中按账龄分析法计提坏账准备的其他应收款</v>
      </c>
      <c r="H1428" s="1517" t="str">
        <f>$A1428</f>
        <v>1221d</v>
      </c>
      <c r="I1428" s="343" t="s">
        <v>6625</v>
      </c>
      <c r="J1428" s="301" t="s">
        <v>6624</v>
      </c>
      <c r="K1428" s="344">
        <f>L1440</f>
        <v>0</v>
      </c>
      <c r="L1428" s="345" t="str">
        <f>IF($I1428="适用",IF(ROUND(K987-K1428,2)&gt;=0,"","#Logical!"),"#N/A")</f>
        <v>#N/A</v>
      </c>
      <c r="M1428" s="301" t="s">
        <v>6615</v>
      </c>
      <c r="N1428" s="344"/>
      <c r="O1428" s="345"/>
      <c r="P1428" s="301"/>
      <c r="Q1428" s="290" t="str">
        <f>IF($I1428="不适用","",IF(ROUND(SUM($H$1433:$Q$1440),2)=0,"请输入",""))</f>
        <v/>
      </c>
      <c r="R1428" s="367"/>
      <c r="S1428" s="364"/>
      <c r="Z1428" s="609" t="s">
        <v>540</v>
      </c>
      <c r="AA1428" s="609" t="s">
        <v>3137</v>
      </c>
      <c r="AE1428" s="369" t="s">
        <v>2761</v>
      </c>
    </row>
    <row r="1429" spans="1:31" ht="0.75" hidden="1" customHeight="1">
      <c r="A1429" s="2714"/>
      <c r="B1429" s="371"/>
      <c r="C1429" s="371"/>
      <c r="D1429" s="371"/>
      <c r="E1429" s="586"/>
      <c r="F1429" s="586"/>
      <c r="G1429" s="586" t="s">
        <v>3168</v>
      </c>
      <c r="H1429" s="371" t="s">
        <v>2882</v>
      </c>
      <c r="I1429" s="371" t="s">
        <v>3102</v>
      </c>
      <c r="J1429" s="371" t="s">
        <v>2884</v>
      </c>
      <c r="K1429" s="371" t="s">
        <v>2885</v>
      </c>
      <c r="L1429" s="371" t="s">
        <v>2886</v>
      </c>
      <c r="M1429" s="1604"/>
      <c r="N1429" s="1604"/>
      <c r="O1429" s="1604"/>
      <c r="P1429" s="1604"/>
      <c r="Q1429" s="1604"/>
      <c r="R1429" s="1604"/>
      <c r="S1429" s="364"/>
      <c r="Z1429" s="609" t="s">
        <v>540</v>
      </c>
      <c r="AA1429" s="609" t="s">
        <v>3137</v>
      </c>
      <c r="AE1429" s="369" t="s">
        <v>2761</v>
      </c>
    </row>
    <row r="1430" spans="1:31" ht="0.75" hidden="1" customHeight="1" thickBot="1">
      <c r="A1430" s="2714"/>
      <c r="B1430" s="371"/>
      <c r="C1430" s="371"/>
      <c r="D1430" s="371"/>
      <c r="E1430" s="586"/>
      <c r="F1430" s="586"/>
      <c r="G1430" s="586"/>
      <c r="H1430" s="371" t="s">
        <v>3103</v>
      </c>
      <c r="I1430" s="371" t="s">
        <v>3104</v>
      </c>
      <c r="J1430" s="371" t="s">
        <v>2856</v>
      </c>
      <c r="K1430" s="371" t="s">
        <v>3099</v>
      </c>
      <c r="L1430" s="371" t="s">
        <v>2972</v>
      </c>
      <c r="M1430" s="1604"/>
      <c r="N1430" s="1604"/>
      <c r="O1430" s="1604"/>
      <c r="P1430" s="1604"/>
      <c r="Q1430" s="1604"/>
      <c r="R1430" s="1604"/>
      <c r="S1430" s="364"/>
      <c r="Z1430" s="609" t="s">
        <v>540</v>
      </c>
      <c r="AA1430" s="609" t="s">
        <v>3137</v>
      </c>
      <c r="AE1430" s="369" t="s">
        <v>2761</v>
      </c>
    </row>
    <row r="1431" spans="1:31" ht="18" hidden="1">
      <c r="A1431" s="2714"/>
      <c r="B1431" s="371"/>
      <c r="C1431" s="371"/>
      <c r="D1431" s="371"/>
      <c r="E1431" s="586" t="s">
        <v>2749</v>
      </c>
      <c r="F1431" s="363"/>
      <c r="G1431" s="3474" t="s">
        <v>6417</v>
      </c>
      <c r="H1431" s="3458" t="s">
        <v>2775</v>
      </c>
      <c r="I1431" s="3458"/>
      <c r="J1431" s="3458"/>
      <c r="K1431" s="3458"/>
      <c r="L1431" s="3459"/>
      <c r="M1431" s="424" t="s">
        <v>5990</v>
      </c>
      <c r="N1431" s="1604"/>
      <c r="O1431" s="1604"/>
      <c r="P1431" s="1604"/>
      <c r="Q1431" s="1604"/>
      <c r="R1431" s="1604"/>
      <c r="S1431" s="364"/>
      <c r="Z1431" s="609" t="s">
        <v>540</v>
      </c>
      <c r="AA1431" s="609" t="s">
        <v>3137</v>
      </c>
      <c r="AE1431" s="369" t="s">
        <v>2761</v>
      </c>
    </row>
    <row r="1432" spans="1:31" ht="18" hidden="1">
      <c r="A1432" s="2714"/>
      <c r="B1432" s="371"/>
      <c r="C1432" s="371"/>
      <c r="D1432" s="371"/>
      <c r="E1432" s="586" t="s">
        <v>2749</v>
      </c>
      <c r="F1432" s="363"/>
      <c r="G1432" s="3475"/>
      <c r="H1432" s="2547" t="s">
        <v>2887</v>
      </c>
      <c r="I1432" s="2547" t="s">
        <v>3107</v>
      </c>
      <c r="J1432" s="2547" t="s">
        <v>2862</v>
      </c>
      <c r="K1432" s="2547" t="s">
        <v>3001</v>
      </c>
      <c r="L1432" s="2576" t="s">
        <v>2994</v>
      </c>
      <c r="M1432" s="1604"/>
      <c r="N1432" s="1604"/>
      <c r="O1432" s="1604"/>
      <c r="P1432" s="1604"/>
      <c r="Q1432" s="1604"/>
      <c r="R1432" s="1604"/>
      <c r="S1432" s="364"/>
      <c r="Z1432" s="609" t="s">
        <v>540</v>
      </c>
      <c r="AA1432" s="609" t="s">
        <v>3137</v>
      </c>
      <c r="AE1432" s="369" t="s">
        <v>2761</v>
      </c>
    </row>
    <row r="1433" spans="1:31" ht="18" hidden="1">
      <c r="A1433" s="2714"/>
      <c r="B1433" s="371">
        <v>101</v>
      </c>
      <c r="C1433" s="371" t="s">
        <v>2791</v>
      </c>
      <c r="D1433" s="2716">
        <f t="shared" ref="D1433:D1440" si="125">IF(OR(G1433="*",G1433="",G1433=0),0,COUNTIF($G$1433:$G$1440,G1433))</f>
        <v>1</v>
      </c>
      <c r="E1433" s="2721">
        <v>1</v>
      </c>
      <c r="F1433" s="294"/>
      <c r="G1433" s="2548" t="s">
        <v>2938</v>
      </c>
      <c r="H1433" s="2275"/>
      <c r="I1433" s="2265" t="str">
        <f t="shared" ref="I1433:I1439" si="126">IF(H$1440*H1433=0,"",ROUND(H1433*100/H$1440,2))</f>
        <v/>
      </c>
      <c r="J1433" s="2275"/>
      <c r="K1433" s="2265" t="str">
        <f>IF(H1433*J1433=0,"",ROUND(J1433*100/H1433,2))</f>
        <v/>
      </c>
      <c r="L1433" s="1477">
        <f>H1433-J1433</f>
        <v>0</v>
      </c>
      <c r="M1433" s="1604"/>
      <c r="N1433" s="1604"/>
      <c r="O1433" s="1604"/>
      <c r="P1433" s="1604"/>
      <c r="Q1433" s="1604"/>
      <c r="R1433" s="1604"/>
      <c r="S1433" s="364"/>
      <c r="Z1433" s="609" t="s">
        <v>540</v>
      </c>
      <c r="AA1433" s="609" t="s">
        <v>3137</v>
      </c>
      <c r="AE1433" s="369" t="s">
        <v>2761</v>
      </c>
    </row>
    <row r="1434" spans="1:31" ht="18" hidden="1">
      <c r="A1434" s="2714"/>
      <c r="B1434" s="371">
        <v>102</v>
      </c>
      <c r="C1434" s="371" t="s">
        <v>2791</v>
      </c>
      <c r="D1434" s="2716">
        <f t="shared" si="125"/>
        <v>1</v>
      </c>
      <c r="E1434" s="2721">
        <v>1</v>
      </c>
      <c r="F1434" s="294"/>
      <c r="G1434" s="2548" t="s">
        <v>3170</v>
      </c>
      <c r="H1434" s="2275"/>
      <c r="I1434" s="2265" t="str">
        <f t="shared" si="126"/>
        <v/>
      </c>
      <c r="J1434" s="2275"/>
      <c r="K1434" s="2265" t="str">
        <f t="shared" ref="K1434:K1440" si="127">IF(H1434*J1434=0,"",ROUND(J1434*100/H1434,2))</f>
        <v/>
      </c>
      <c r="L1434" s="1477">
        <f t="shared" ref="L1434:L1439" si="128">H1434-J1434</f>
        <v>0</v>
      </c>
      <c r="M1434" s="1604"/>
      <c r="N1434" s="1604"/>
      <c r="O1434" s="1604"/>
      <c r="P1434" s="1604"/>
      <c r="Q1434" s="1604"/>
      <c r="R1434" s="1604"/>
      <c r="S1434" s="364"/>
      <c r="Z1434" s="609" t="s">
        <v>540</v>
      </c>
      <c r="AA1434" s="609" t="s">
        <v>3137</v>
      </c>
      <c r="AE1434" s="369" t="s">
        <v>2761</v>
      </c>
    </row>
    <row r="1435" spans="1:31" ht="18" hidden="1">
      <c r="A1435" s="2714"/>
      <c r="B1435" s="371">
        <v>103</v>
      </c>
      <c r="C1435" s="371" t="s">
        <v>2791</v>
      </c>
      <c r="D1435" s="2716">
        <f t="shared" si="125"/>
        <v>1</v>
      </c>
      <c r="E1435" s="2721">
        <v>1</v>
      </c>
      <c r="F1435" s="294"/>
      <c r="G1435" s="2548" t="s">
        <v>3171</v>
      </c>
      <c r="H1435" s="2275"/>
      <c r="I1435" s="2265" t="str">
        <f t="shared" si="126"/>
        <v/>
      </c>
      <c r="J1435" s="2275"/>
      <c r="K1435" s="2265" t="str">
        <f t="shared" si="127"/>
        <v/>
      </c>
      <c r="L1435" s="1477">
        <f t="shared" si="128"/>
        <v>0</v>
      </c>
      <c r="M1435" s="1604"/>
      <c r="N1435" s="1604"/>
      <c r="O1435" s="1604"/>
      <c r="P1435" s="1604"/>
      <c r="Q1435" s="1604"/>
      <c r="R1435" s="1604"/>
      <c r="S1435" s="364"/>
      <c r="Z1435" s="609" t="s">
        <v>540</v>
      </c>
      <c r="AA1435" s="609" t="s">
        <v>3137</v>
      </c>
      <c r="AE1435" s="369" t="s">
        <v>2761</v>
      </c>
    </row>
    <row r="1436" spans="1:31" ht="18" hidden="1">
      <c r="A1436" s="2714"/>
      <c r="B1436" s="371">
        <v>104</v>
      </c>
      <c r="C1436" s="371" t="s">
        <v>2791</v>
      </c>
      <c r="D1436" s="2716">
        <f t="shared" si="125"/>
        <v>1</v>
      </c>
      <c r="E1436" s="2721">
        <v>1</v>
      </c>
      <c r="F1436" s="294"/>
      <c r="G1436" s="2548" t="s">
        <v>3172</v>
      </c>
      <c r="H1436" s="2275"/>
      <c r="I1436" s="2265" t="str">
        <f t="shared" si="126"/>
        <v/>
      </c>
      <c r="J1436" s="2275"/>
      <c r="K1436" s="2265" t="str">
        <f t="shared" si="127"/>
        <v/>
      </c>
      <c r="L1436" s="1477">
        <f t="shared" si="128"/>
        <v>0</v>
      </c>
      <c r="M1436" s="1604"/>
      <c r="N1436" s="1604"/>
      <c r="O1436" s="1604"/>
      <c r="P1436" s="1604"/>
      <c r="Q1436" s="1604"/>
      <c r="R1436" s="1604"/>
      <c r="S1436" s="364"/>
      <c r="Z1436" s="609" t="s">
        <v>540</v>
      </c>
      <c r="AA1436" s="609" t="s">
        <v>3137</v>
      </c>
      <c r="AE1436" s="369" t="s">
        <v>2761</v>
      </c>
    </row>
    <row r="1437" spans="1:31" ht="18" hidden="1">
      <c r="A1437" s="2714"/>
      <c r="B1437" s="371">
        <v>105</v>
      </c>
      <c r="C1437" s="371" t="s">
        <v>2791</v>
      </c>
      <c r="D1437" s="2716">
        <f t="shared" si="125"/>
        <v>1</v>
      </c>
      <c r="E1437" s="2721">
        <v>1</v>
      </c>
      <c r="F1437" s="294"/>
      <c r="G1437" s="2548" t="s">
        <v>3173</v>
      </c>
      <c r="H1437" s="2275"/>
      <c r="I1437" s="2265" t="str">
        <f t="shared" si="126"/>
        <v/>
      </c>
      <c r="J1437" s="2275"/>
      <c r="K1437" s="2265" t="str">
        <f t="shared" si="127"/>
        <v/>
      </c>
      <c r="L1437" s="1477">
        <f t="shared" si="128"/>
        <v>0</v>
      </c>
      <c r="M1437" s="1604"/>
      <c r="N1437" s="1604"/>
      <c r="O1437" s="1604"/>
      <c r="P1437" s="1604"/>
      <c r="Q1437" s="1604"/>
      <c r="R1437" s="1604"/>
      <c r="S1437" s="364"/>
      <c r="Z1437" s="609" t="s">
        <v>540</v>
      </c>
      <c r="AA1437" s="609" t="s">
        <v>3137</v>
      </c>
      <c r="AE1437" s="369" t="s">
        <v>2761</v>
      </c>
    </row>
    <row r="1438" spans="1:31" ht="18" hidden="1">
      <c r="A1438" s="2714"/>
      <c r="B1438" s="371">
        <v>106</v>
      </c>
      <c r="C1438" s="371" t="s">
        <v>2791</v>
      </c>
      <c r="D1438" s="2716">
        <f t="shared" si="125"/>
        <v>1</v>
      </c>
      <c r="E1438" s="2721">
        <v>1</v>
      </c>
      <c r="F1438" s="294"/>
      <c r="G1438" s="2548" t="s">
        <v>2944</v>
      </c>
      <c r="H1438" s="2275"/>
      <c r="I1438" s="2265" t="str">
        <f t="shared" si="126"/>
        <v/>
      </c>
      <c r="J1438" s="2275"/>
      <c r="K1438" s="2265" t="str">
        <f t="shared" si="127"/>
        <v/>
      </c>
      <c r="L1438" s="1477">
        <f t="shared" si="128"/>
        <v>0</v>
      </c>
      <c r="M1438" s="1604"/>
      <c r="N1438" s="1604"/>
      <c r="O1438" s="1604"/>
      <c r="P1438" s="1604"/>
      <c r="Q1438" s="1604"/>
      <c r="R1438" s="1604"/>
      <c r="S1438" s="364"/>
      <c r="Z1438" s="609" t="s">
        <v>540</v>
      </c>
      <c r="AA1438" s="609" t="s">
        <v>3137</v>
      </c>
      <c r="AE1438" s="369" t="s">
        <v>2761</v>
      </c>
    </row>
    <row r="1439" spans="1:31" ht="18" hidden="1">
      <c r="A1439" s="2714"/>
      <c r="B1439" s="371">
        <v>107</v>
      </c>
      <c r="C1439" s="371" t="s">
        <v>2791</v>
      </c>
      <c r="D1439" s="2716">
        <f t="shared" si="125"/>
        <v>0</v>
      </c>
      <c r="E1439" s="2721">
        <v>1</v>
      </c>
      <c r="F1439" s="294"/>
      <c r="G1439" s="2548" t="s">
        <v>2792</v>
      </c>
      <c r="H1439" s="2275"/>
      <c r="I1439" s="2265" t="str">
        <f t="shared" si="126"/>
        <v/>
      </c>
      <c r="J1439" s="2275"/>
      <c r="K1439" s="2265" t="str">
        <f t="shared" si="127"/>
        <v/>
      </c>
      <c r="L1439" s="1477">
        <f t="shared" si="128"/>
        <v>0</v>
      </c>
      <c r="M1439" s="1604"/>
      <c r="N1439" s="1604"/>
      <c r="O1439" s="1604"/>
      <c r="P1439" s="1604"/>
      <c r="Q1439" s="1604"/>
      <c r="R1439" s="1604"/>
      <c r="S1439" s="364"/>
      <c r="Z1439" s="609" t="s">
        <v>540</v>
      </c>
      <c r="AA1439" s="609" t="s">
        <v>3137</v>
      </c>
      <c r="AE1439" s="369" t="s">
        <v>2761</v>
      </c>
    </row>
    <row r="1440" spans="1:31" ht="18.75" hidden="1" thickBot="1">
      <c r="A1440" s="2714"/>
      <c r="B1440" s="371"/>
      <c r="C1440" s="371"/>
      <c r="D1440" s="2716">
        <f t="shared" si="125"/>
        <v>1</v>
      </c>
      <c r="E1440" s="2721" t="s">
        <v>2751</v>
      </c>
      <c r="F1440" s="294"/>
      <c r="G1440" s="310" t="s">
        <v>6416</v>
      </c>
      <c r="H1440" s="1481">
        <f>SUMPRODUCT($E1432:$E1439,H1432:H1439)</f>
        <v>0</v>
      </c>
      <c r="I1440" s="2440">
        <f>SUMPRODUCT($E1432:$E1439,I1432:I1439)</f>
        <v>0</v>
      </c>
      <c r="J1440" s="1481">
        <f>SUMPRODUCT($E1432:$E1439,J1432:J1439)</f>
        <v>0</v>
      </c>
      <c r="K1440" s="2440" t="str">
        <f t="shared" si="127"/>
        <v/>
      </c>
      <c r="L1440" s="1482">
        <f>SUMPRODUCT($E1432:$E1439,L1432:L1439)</f>
        <v>0</v>
      </c>
      <c r="M1440" s="1604"/>
      <c r="N1440" s="1604"/>
      <c r="O1440" s="1604"/>
      <c r="P1440" s="1604"/>
      <c r="Q1440" s="1604"/>
      <c r="R1440" s="1604"/>
      <c r="S1440" s="364"/>
      <c r="Z1440" s="609" t="s">
        <v>540</v>
      </c>
      <c r="AA1440" s="609" t="s">
        <v>3137</v>
      </c>
      <c r="AC1440" s="369" t="s">
        <v>2794</v>
      </c>
      <c r="AE1440" s="369" t="s">
        <v>2761</v>
      </c>
    </row>
    <row r="1441" spans="1:31" ht="18" hidden="1">
      <c r="A1441" s="2714"/>
      <c r="B1441" s="371"/>
      <c r="C1441" s="371" t="s">
        <v>2755</v>
      </c>
      <c r="D1441" s="371"/>
      <c r="F1441" s="294"/>
      <c r="G1441" s="301"/>
      <c r="H1441" s="527" t="s">
        <v>3002</v>
      </c>
      <c r="I1441" s="393"/>
      <c r="J1441" s="527" t="s">
        <v>3002</v>
      </c>
      <c r="K1441" s="393"/>
      <c r="L1441" s="315"/>
      <c r="M1441" s="1604"/>
      <c r="N1441" s="1604"/>
      <c r="O1441" s="1604"/>
      <c r="P1441" s="1604"/>
      <c r="Q1441" s="1604"/>
      <c r="R1441" s="1604"/>
      <c r="S1441" s="364"/>
      <c r="Z1441" s="609" t="s">
        <v>540</v>
      </c>
      <c r="AA1441" s="609" t="s">
        <v>3137</v>
      </c>
      <c r="AE1441" s="369" t="s">
        <v>2761</v>
      </c>
    </row>
    <row r="1442" spans="1:31" ht="18.75" hidden="1" thickTop="1">
      <c r="A1442" s="2714"/>
      <c r="B1442" s="371"/>
      <c r="C1442" s="371" t="s">
        <v>2565</v>
      </c>
      <c r="D1442" s="371"/>
      <c r="F1442" s="294"/>
      <c r="G1442" s="1561" t="s">
        <v>5367</v>
      </c>
      <c r="H1442" s="1550" t="str">
        <f>G1365</f>
        <v>(1)其他应收款按种类列示</v>
      </c>
      <c r="I1442" s="1551"/>
      <c r="J1442" s="1552"/>
      <c r="K1442" s="1551"/>
      <c r="L1442" s="1551"/>
      <c r="M1442" s="1553" t="s">
        <v>5368</v>
      </c>
      <c r="N1442" s="1604"/>
      <c r="O1442" s="1604"/>
      <c r="P1442" s="1604"/>
      <c r="Q1442" s="1604"/>
      <c r="R1442" s="1604"/>
      <c r="S1442" s="364"/>
      <c r="Z1442" s="609" t="s">
        <v>540</v>
      </c>
      <c r="AA1442" s="609" t="s">
        <v>3137</v>
      </c>
    </row>
    <row r="1443" spans="1:31" ht="18" hidden="1">
      <c r="A1443" s="2714"/>
      <c r="B1443" s="371"/>
      <c r="C1443" s="371" t="s">
        <v>2565</v>
      </c>
      <c r="D1443" s="371"/>
      <c r="F1443" s="294"/>
      <c r="G1443" s="316" t="str">
        <f>"注释A:"&amp; G1372</f>
        <v>注释A:账龄组合</v>
      </c>
      <c r="H1443" s="2252">
        <f ca="1">HYPERLINK("#'"&amp;$G$1&amp;"'!"&amp;ADDRESS(ROW(Notes!H1372),COLUMN(Notes!H1372),4),H1372)</f>
        <v>0</v>
      </c>
      <c r="I1443" s="351"/>
      <c r="J1443" s="2252">
        <f ca="1">HYPERLINK("#'"&amp;$G$1&amp;"'!"&amp;ADDRESS(ROW(Notes!J1372),COLUMN(Notes!J1372),4),J1372)</f>
        <v>0</v>
      </c>
      <c r="K1443" s="351"/>
      <c r="L1443" s="351"/>
      <c r="M1443" s="2650" t="str">
        <f>H1365</f>
        <v>1221a</v>
      </c>
      <c r="N1443" s="1604"/>
      <c r="O1443" s="1604"/>
      <c r="P1443" s="1604"/>
      <c r="Q1443" s="1604"/>
      <c r="R1443" s="1604"/>
      <c r="S1443" s="364"/>
      <c r="Z1443" s="609" t="s">
        <v>540</v>
      </c>
      <c r="AA1443" s="609" t="s">
        <v>3137</v>
      </c>
    </row>
    <row r="1444" spans="1:31" ht="18" hidden="1">
      <c r="A1444" s="2714"/>
      <c r="B1444" s="371"/>
      <c r="C1444" s="371" t="s">
        <v>2565</v>
      </c>
      <c r="D1444" s="371"/>
      <c r="F1444" s="294"/>
      <c r="G1444" s="316" t="str">
        <f>"本注释B:"&amp; G1440</f>
        <v>本注释B:合       计</v>
      </c>
      <c r="H1444" s="456">
        <f>H1440</f>
        <v>0</v>
      </c>
      <c r="I1444" s="351"/>
      <c r="J1444" s="456">
        <f>J1440</f>
        <v>0</v>
      </c>
      <c r="K1444" s="351"/>
      <c r="L1444" s="351"/>
      <c r="M1444" s="2649" t="s">
        <v>635</v>
      </c>
      <c r="N1444" s="1604"/>
      <c r="O1444" s="1604"/>
      <c r="P1444" s="1604"/>
      <c r="Q1444" s="1604"/>
      <c r="R1444" s="1604"/>
      <c r="S1444" s="364"/>
      <c r="Z1444" s="609" t="s">
        <v>540</v>
      </c>
      <c r="AA1444" s="609" t="s">
        <v>3137</v>
      </c>
    </row>
    <row r="1445" spans="1:31" ht="18.75" hidden="1" thickBot="1">
      <c r="A1445" s="2714"/>
      <c r="B1445" s="371"/>
      <c r="C1445" s="371" t="s">
        <v>2565</v>
      </c>
      <c r="D1445" s="371"/>
      <c r="F1445" s="294"/>
      <c r="G1445" s="1562" t="s">
        <v>2757</v>
      </c>
      <c r="H1445" s="1531">
        <f ca="1">IF(AND(H1443="",H1444=""),"",ROUND(H1443-H1444,2))</f>
        <v>0</v>
      </c>
      <c r="I1445" s="1555"/>
      <c r="J1445" s="1531">
        <f ca="1">IF(AND(J1443="",J1444=""),"",ROUND(J1443-J1444,2))</f>
        <v>0</v>
      </c>
      <c r="K1445" s="1555"/>
      <c r="L1445" s="1555"/>
      <c r="M1445" s="1556"/>
      <c r="N1445" s="1604"/>
      <c r="O1445" s="1604"/>
      <c r="P1445" s="1604"/>
      <c r="Q1445" s="1604"/>
      <c r="R1445" s="1604"/>
      <c r="S1445" s="364"/>
      <c r="Z1445" s="609" t="s">
        <v>540</v>
      </c>
      <c r="AA1445" s="609" t="s">
        <v>3137</v>
      </c>
    </row>
    <row r="1446" spans="1:31" ht="18" hidden="1">
      <c r="A1446" s="2714"/>
      <c r="B1446" s="371"/>
      <c r="C1446" s="371" t="s">
        <v>2565</v>
      </c>
      <c r="D1446" s="371"/>
      <c r="F1446" s="294"/>
      <c r="G1446" s="354"/>
      <c r="H1446" s="459" t="str">
        <f ca="1">IF(OR(H1445=0,H1445=""),"√","？")</f>
        <v>√</v>
      </c>
      <c r="I1446" s="317"/>
      <c r="J1446" s="459" t="str">
        <f ca="1">IF(OR(J1445=0,J1445=""),"√","？")</f>
        <v>√</v>
      </c>
      <c r="K1446" s="317"/>
      <c r="L1446" s="317"/>
      <c r="M1446" s="2647"/>
      <c r="N1446" s="1604"/>
      <c r="O1446" s="1604"/>
      <c r="P1446" s="1604"/>
      <c r="Q1446" s="1604"/>
      <c r="R1446" s="1604"/>
      <c r="S1446" s="364"/>
      <c r="Z1446" s="609" t="s">
        <v>540</v>
      </c>
      <c r="AA1446" s="609" t="s">
        <v>3137</v>
      </c>
    </row>
    <row r="1447" spans="1:31" ht="18" hidden="1">
      <c r="A1447" s="2714"/>
      <c r="B1447" s="371"/>
      <c r="C1447" s="371" t="s">
        <v>2565</v>
      </c>
      <c r="D1447" s="371"/>
      <c r="F1447" s="294"/>
      <c r="G1447" s="460" t="s">
        <v>2759</v>
      </c>
      <c r="H1447" s="461"/>
      <c r="I1447" s="317"/>
      <c r="J1447" s="461"/>
      <c r="K1447" s="352">
        <f ca="1">SUMIF($H$1446:$M$1446,"&lt;&gt;√",$H$1445:$M$1445)</f>
        <v>0</v>
      </c>
      <c r="L1447" s="353" t="str">
        <f ca="1">IF(OR(K1447=0,K1447=""),"√","？")</f>
        <v>√</v>
      </c>
      <c r="M1447" s="2647"/>
      <c r="N1447" s="1604"/>
      <c r="O1447" s="1604"/>
      <c r="P1447" s="1604"/>
      <c r="Q1447" s="1604"/>
      <c r="R1447" s="1604"/>
      <c r="S1447" s="364"/>
      <c r="Z1447" s="609" t="s">
        <v>540</v>
      </c>
      <c r="AA1447" s="609" t="s">
        <v>3137</v>
      </c>
    </row>
    <row r="1448" spans="1:31" ht="18" hidden="1">
      <c r="A1448" s="2714"/>
      <c r="B1448" s="371"/>
      <c r="C1448" s="371" t="s">
        <v>2565</v>
      </c>
      <c r="D1448" s="371"/>
      <c r="F1448" s="294"/>
      <c r="G1448" s="354"/>
      <c r="H1448" s="461"/>
      <c r="I1448" s="317"/>
      <c r="J1448" s="461"/>
      <c r="K1448" s="317"/>
      <c r="L1448" s="317"/>
      <c r="M1448" s="2647"/>
      <c r="N1448" s="1604"/>
      <c r="O1448" s="1604"/>
      <c r="P1448" s="1604"/>
      <c r="Q1448" s="1604"/>
      <c r="R1448" s="1604"/>
      <c r="S1448" s="364"/>
      <c r="Z1448" s="609" t="s">
        <v>540</v>
      </c>
      <c r="AA1448" s="609" t="s">
        <v>3137</v>
      </c>
    </row>
    <row r="1449" spans="1:31" ht="36" hidden="1">
      <c r="A1449" s="2714" t="s">
        <v>641</v>
      </c>
      <c r="B1449" s="371">
        <v>6</v>
      </c>
      <c r="C1449" s="371"/>
      <c r="D1449" s="2716" t="str">
        <f>VLOOKUP($A1449,Sheet_NoteList,2,0)</f>
        <v>组合中采用余额百分比法计提坏账准备的其他应收款</v>
      </c>
      <c r="E1449" s="2716" t="s">
        <v>6622</v>
      </c>
      <c r="F1449" s="294"/>
      <c r="G1449" s="372" t="str">
        <f>"("&amp;B1449&amp;")"&amp;D1449</f>
        <v>(6)组合中采用余额百分比法计提坏账准备的其他应收款</v>
      </c>
      <c r="H1449" s="1517" t="str">
        <f>$A1449</f>
        <v>1221e</v>
      </c>
      <c r="I1449" s="343" t="s">
        <v>6616</v>
      </c>
      <c r="J1449" s="301" t="s">
        <v>6614</v>
      </c>
      <c r="K1449" s="344">
        <f>H1457-I1457</f>
        <v>0</v>
      </c>
      <c r="L1449" s="345" t="str">
        <f>IF($I1449="适用",IF(ROUND(K987-K1449,2)&gt;=0,"","#Logical!"),"#N/A")</f>
        <v>#N/A</v>
      </c>
      <c r="M1449" s="301" t="s">
        <v>6615</v>
      </c>
      <c r="N1449" s="423"/>
      <c r="O1449" s="345" t="str">
        <f>IF(ROUND(N1378-N1449,2)&gt;=0,"","#Logical!")</f>
        <v/>
      </c>
      <c r="P1449" s="301"/>
      <c r="Q1449" s="290" t="str">
        <f>IF($I1449="不适用","",IF(ROUND(SUM($H$1452:$K$1457),2)=0,"请输入",""))</f>
        <v/>
      </c>
      <c r="S1449" s="364"/>
      <c r="Z1449" s="609" t="s">
        <v>540</v>
      </c>
      <c r="AA1449" s="609" t="s">
        <v>3137</v>
      </c>
      <c r="AE1449" s="369" t="s">
        <v>2761</v>
      </c>
    </row>
    <row r="1450" spans="1:31" ht="0.75" hidden="1" customHeight="1" thickBot="1">
      <c r="A1450" s="2714"/>
      <c r="B1450" s="371"/>
      <c r="C1450" s="371"/>
      <c r="D1450" s="371"/>
      <c r="E1450" s="586"/>
      <c r="F1450" s="518"/>
      <c r="G1450" s="518" t="s">
        <v>3174</v>
      </c>
      <c r="H1450" s="304" t="s">
        <v>2849</v>
      </c>
      <c r="I1450" s="304" t="s">
        <v>2996</v>
      </c>
      <c r="J1450" s="304" t="s">
        <v>2997</v>
      </c>
      <c r="K1450" s="304" t="s">
        <v>3007</v>
      </c>
      <c r="M1450" s="291"/>
      <c r="N1450" s="291"/>
      <c r="O1450" s="291"/>
      <c r="S1450" s="364"/>
      <c r="Z1450" s="609" t="s">
        <v>540</v>
      </c>
      <c r="AA1450" s="609" t="s">
        <v>3137</v>
      </c>
      <c r="AE1450" s="369" t="s">
        <v>2761</v>
      </c>
    </row>
    <row r="1451" spans="1:31" ht="18" hidden="1">
      <c r="A1451" s="2714"/>
      <c r="B1451" s="371"/>
      <c r="C1451" s="371"/>
      <c r="D1451" s="371"/>
      <c r="E1451" s="586" t="s">
        <v>2749</v>
      </c>
      <c r="F1451" s="363"/>
      <c r="G1451" s="2288" t="s">
        <v>3008</v>
      </c>
      <c r="H1451" s="2290" t="s">
        <v>2861</v>
      </c>
      <c r="I1451" s="2290" t="s">
        <v>2862</v>
      </c>
      <c r="J1451" s="2290" t="s">
        <v>3001</v>
      </c>
      <c r="K1451" s="2281" t="s">
        <v>2994</v>
      </c>
      <c r="L1451" s="424" t="s">
        <v>5990</v>
      </c>
      <c r="M1451" s="291"/>
      <c r="N1451" s="291"/>
      <c r="O1451" s="291"/>
      <c r="S1451" s="364"/>
      <c r="Z1451" s="609" t="s">
        <v>540</v>
      </c>
      <c r="AA1451" s="609" t="s">
        <v>3137</v>
      </c>
      <c r="AE1451" s="369" t="s">
        <v>2761</v>
      </c>
    </row>
    <row r="1452" spans="1:31" ht="18" hidden="1">
      <c r="A1452" s="2714"/>
      <c r="B1452" s="371">
        <v>101</v>
      </c>
      <c r="C1452" s="371" t="s">
        <v>2791</v>
      </c>
      <c r="D1452" s="2716">
        <f t="shared" ref="D1452:D1457" si="129">IF(OR(G1452="*",G1452="",G1452=0),0,COUNTIF($G$1452:$G$1457,G1452))</f>
        <v>1</v>
      </c>
      <c r="E1452" s="2721">
        <v>1</v>
      </c>
      <c r="F1452" s="294"/>
      <c r="G1452" s="2284" t="s">
        <v>3009</v>
      </c>
      <c r="H1452" s="2275"/>
      <c r="I1452" s="2275"/>
      <c r="J1452" s="2265" t="str">
        <f t="shared" ref="J1452:J1457" si="130">IF(H1452*I1452=0,"",ROUND(I1452*100/H1452,2))</f>
        <v/>
      </c>
      <c r="K1452" s="1477">
        <f>H1452-I1452</f>
        <v>0</v>
      </c>
      <c r="L1452" s="355" t="s">
        <v>6176</v>
      </c>
      <c r="M1452" s="291"/>
      <c r="N1452" s="291"/>
      <c r="O1452" s="291"/>
      <c r="S1452" s="364"/>
      <c r="Z1452" s="609" t="s">
        <v>540</v>
      </c>
      <c r="AA1452" s="609" t="s">
        <v>3137</v>
      </c>
      <c r="AE1452" s="369" t="s">
        <v>2761</v>
      </c>
    </row>
    <row r="1453" spans="1:31" ht="18" hidden="1">
      <c r="A1453" s="2714"/>
      <c r="B1453" s="371">
        <v>102</v>
      </c>
      <c r="C1453" s="371" t="s">
        <v>2791</v>
      </c>
      <c r="D1453" s="2716">
        <f t="shared" si="129"/>
        <v>1</v>
      </c>
      <c r="E1453" s="2721">
        <v>1</v>
      </c>
      <c r="F1453" s="294"/>
      <c r="G1453" s="2284" t="s">
        <v>3010</v>
      </c>
      <c r="H1453" s="2275"/>
      <c r="I1453" s="2275"/>
      <c r="J1453" s="2265" t="str">
        <f t="shared" si="130"/>
        <v/>
      </c>
      <c r="K1453" s="1477">
        <f>H1453-I1453</f>
        <v>0</v>
      </c>
      <c r="M1453" s="291"/>
      <c r="N1453" s="291"/>
      <c r="O1453" s="291"/>
      <c r="S1453" s="364"/>
      <c r="Z1453" s="609" t="s">
        <v>540</v>
      </c>
      <c r="AA1453" s="609" t="s">
        <v>3137</v>
      </c>
      <c r="AE1453" s="369" t="s">
        <v>2761</v>
      </c>
    </row>
    <row r="1454" spans="1:31" ht="18" hidden="1">
      <c r="A1454" s="2714"/>
      <c r="B1454" s="371">
        <v>103</v>
      </c>
      <c r="C1454" s="371" t="s">
        <v>2791</v>
      </c>
      <c r="D1454" s="2716">
        <f t="shared" si="129"/>
        <v>1</v>
      </c>
      <c r="E1454" s="2721">
        <v>1</v>
      </c>
      <c r="F1454" s="294"/>
      <c r="G1454" s="2284" t="s">
        <v>3011</v>
      </c>
      <c r="H1454" s="2275"/>
      <c r="I1454" s="2275"/>
      <c r="J1454" s="2265" t="str">
        <f t="shared" si="130"/>
        <v/>
      </c>
      <c r="K1454" s="1477">
        <f>H1454-I1454</f>
        <v>0</v>
      </c>
      <c r="M1454" s="291"/>
      <c r="N1454" s="291"/>
      <c r="O1454" s="291"/>
      <c r="S1454" s="364"/>
      <c r="Z1454" s="609" t="s">
        <v>540</v>
      </c>
      <c r="AA1454" s="609" t="s">
        <v>3137</v>
      </c>
      <c r="AE1454" s="369" t="s">
        <v>2761</v>
      </c>
    </row>
    <row r="1455" spans="1:31" ht="18" hidden="1">
      <c r="A1455" s="2714"/>
      <c r="B1455" s="371">
        <v>104</v>
      </c>
      <c r="C1455" s="371" t="s">
        <v>2791</v>
      </c>
      <c r="D1455" s="2716">
        <f t="shared" si="129"/>
        <v>1</v>
      </c>
      <c r="E1455" s="2721">
        <v>1</v>
      </c>
      <c r="F1455" s="294"/>
      <c r="G1455" s="2284" t="s">
        <v>3012</v>
      </c>
      <c r="H1455" s="2275"/>
      <c r="I1455" s="2275"/>
      <c r="J1455" s="2265" t="str">
        <f t="shared" si="130"/>
        <v/>
      </c>
      <c r="K1455" s="1477">
        <f>H1455-I1455</f>
        <v>0</v>
      </c>
      <c r="M1455" s="291"/>
      <c r="N1455" s="291"/>
      <c r="O1455" s="291"/>
      <c r="S1455" s="364"/>
      <c r="Z1455" s="609" t="s">
        <v>540</v>
      </c>
      <c r="AA1455" s="609" t="s">
        <v>3137</v>
      </c>
      <c r="AE1455" s="369" t="s">
        <v>2761</v>
      </c>
    </row>
    <row r="1456" spans="1:31" ht="18" hidden="1">
      <c r="A1456" s="2714"/>
      <c r="B1456" s="371">
        <v>105</v>
      </c>
      <c r="C1456" s="371" t="s">
        <v>2791</v>
      </c>
      <c r="D1456" s="2716">
        <f t="shared" si="129"/>
        <v>1</v>
      </c>
      <c r="E1456" s="2721">
        <v>1</v>
      </c>
      <c r="F1456" s="294"/>
      <c r="G1456" s="2284" t="s">
        <v>3013</v>
      </c>
      <c r="H1456" s="2275"/>
      <c r="I1456" s="2275"/>
      <c r="J1456" s="2265" t="str">
        <f t="shared" si="130"/>
        <v/>
      </c>
      <c r="K1456" s="1477">
        <f>H1456-I1456</f>
        <v>0</v>
      </c>
      <c r="M1456" s="291"/>
      <c r="N1456" s="291"/>
      <c r="O1456" s="291"/>
      <c r="S1456" s="364"/>
      <c r="Z1456" s="609" t="s">
        <v>540</v>
      </c>
      <c r="AA1456" s="609" t="s">
        <v>3137</v>
      </c>
      <c r="AE1456" s="369" t="s">
        <v>2761</v>
      </c>
    </row>
    <row r="1457" spans="1:31" ht="18.75" hidden="1" thickBot="1">
      <c r="A1457" s="2714"/>
      <c r="B1457" s="371"/>
      <c r="C1457" s="371"/>
      <c r="D1457" s="2716">
        <f t="shared" si="129"/>
        <v>1</v>
      </c>
      <c r="E1457" s="2721" t="s">
        <v>2751</v>
      </c>
      <c r="F1457" s="294"/>
      <c r="G1457" s="1529" t="s">
        <v>2752</v>
      </c>
      <c r="H1457" s="1527">
        <f>SUMPRODUCT($E1451:$E1456,H1451:H1456)</f>
        <v>0</v>
      </c>
      <c r="I1457" s="1527">
        <f>SUMPRODUCT($E1451:$E1456,I1451:I1456)</f>
        <v>0</v>
      </c>
      <c r="J1457" s="1567" t="str">
        <f t="shared" si="130"/>
        <v/>
      </c>
      <c r="K1457" s="1528">
        <f>SUMPRODUCT($E1451:$E1456,K1451:K1456)</f>
        <v>0</v>
      </c>
      <c r="M1457" s="291"/>
      <c r="N1457" s="291"/>
      <c r="O1457" s="291"/>
      <c r="S1457" s="364"/>
      <c r="Z1457" s="609" t="s">
        <v>540</v>
      </c>
      <c r="AA1457" s="609" t="s">
        <v>3137</v>
      </c>
      <c r="AE1457" s="369" t="s">
        <v>2761</v>
      </c>
    </row>
    <row r="1458" spans="1:31" ht="18" hidden="1">
      <c r="A1458" s="2714"/>
      <c r="B1458" s="371"/>
      <c r="C1458" s="371" t="s">
        <v>2755</v>
      </c>
      <c r="D1458" s="371"/>
      <c r="F1458" s="294"/>
      <c r="G1458" s="301"/>
      <c r="H1458" s="315"/>
      <c r="I1458" s="315"/>
      <c r="J1458" s="393"/>
      <c r="K1458" s="315"/>
      <c r="L1458" s="291"/>
      <c r="M1458" s="291"/>
      <c r="N1458" s="291"/>
      <c r="O1458" s="291"/>
      <c r="S1458" s="364"/>
      <c r="Z1458" s="609" t="s">
        <v>540</v>
      </c>
      <c r="AA1458" s="609" t="s">
        <v>3137</v>
      </c>
      <c r="AE1458" s="369" t="s">
        <v>2761</v>
      </c>
    </row>
    <row r="1459" spans="1:31" ht="24" hidden="1">
      <c r="A1459" s="2714" t="s">
        <v>647</v>
      </c>
      <c r="B1459" s="371">
        <v>7</v>
      </c>
      <c r="C1459" s="371"/>
      <c r="D1459" s="2716" t="str">
        <f>VLOOKUP($A1459,Sheet_NoteList,2,0)</f>
        <v>组合中采用其他方法计提坏账准备的其他应收款</v>
      </c>
      <c r="E1459" s="2716" t="s">
        <v>6613</v>
      </c>
      <c r="F1459" s="294"/>
      <c r="G1459" s="372" t="str">
        <f>"("&amp;B1459&amp;")"&amp;D1459</f>
        <v>(7)组合中采用其他方法计提坏账准备的其他应收款</v>
      </c>
      <c r="H1459" s="1517" t="str">
        <f>$A1459</f>
        <v>1221f</v>
      </c>
      <c r="I1459" s="343" t="s">
        <v>6611</v>
      </c>
      <c r="J1459" s="301" t="s">
        <v>6609</v>
      </c>
      <c r="K1459" s="344">
        <f>J1467</f>
        <v>0</v>
      </c>
      <c r="L1459" s="345" t="str">
        <f>IF($I1459="适用",IF(ROUND(K$987-K1459,2)&gt;=0,"","#Logical!"),"#N/A")</f>
        <v>#N/A</v>
      </c>
      <c r="M1459" s="301" t="s">
        <v>6615</v>
      </c>
      <c r="N1459" s="423"/>
      <c r="O1459" s="345"/>
      <c r="P1459" s="301"/>
      <c r="Q1459" s="290" t="str">
        <f>IF($I1459="不适用","",IF(ROUND(SUM($H$1462:$L$1467),2)=0,"请输入",""))</f>
        <v/>
      </c>
      <c r="S1459" s="364"/>
      <c r="Z1459" s="609" t="s">
        <v>540</v>
      </c>
      <c r="AA1459" s="609" t="s">
        <v>3137</v>
      </c>
      <c r="AE1459" s="369" t="s">
        <v>2761</v>
      </c>
    </row>
    <row r="1460" spans="1:31" ht="0.75" hidden="1" customHeight="1" thickBot="1">
      <c r="A1460" s="2714"/>
      <c r="B1460" s="371"/>
      <c r="C1460" s="371"/>
      <c r="D1460" s="371"/>
      <c r="E1460" s="586"/>
      <c r="F1460" s="518"/>
      <c r="G1460" s="518" t="s">
        <v>3175</v>
      </c>
      <c r="H1460" s="304" t="s">
        <v>2849</v>
      </c>
      <c r="I1460" s="304" t="s">
        <v>2996</v>
      </c>
      <c r="J1460" s="304" t="s">
        <v>3015</v>
      </c>
      <c r="K1460" s="304" t="s">
        <v>3016</v>
      </c>
      <c r="L1460" s="304" t="s">
        <v>3017</v>
      </c>
      <c r="M1460" s="291"/>
      <c r="N1460" s="291"/>
      <c r="S1460" s="364"/>
      <c r="Z1460" s="609" t="s">
        <v>540</v>
      </c>
      <c r="AA1460" s="609" t="s">
        <v>3137</v>
      </c>
      <c r="AE1460" s="369" t="s">
        <v>2761</v>
      </c>
    </row>
    <row r="1461" spans="1:31" ht="18" hidden="1">
      <c r="A1461" s="2714"/>
      <c r="B1461" s="371"/>
      <c r="C1461" s="371"/>
      <c r="D1461" s="371"/>
      <c r="E1461" s="586" t="s">
        <v>2749</v>
      </c>
      <c r="F1461" s="363"/>
      <c r="G1461" s="2288" t="s">
        <v>3008</v>
      </c>
      <c r="H1461" s="2290" t="s">
        <v>2861</v>
      </c>
      <c r="I1461" s="2290" t="s">
        <v>2862</v>
      </c>
      <c r="J1461" s="2290" t="s">
        <v>2994</v>
      </c>
      <c r="K1461" s="2290" t="s">
        <v>3001</v>
      </c>
      <c r="L1461" s="2281" t="s">
        <v>2899</v>
      </c>
      <c r="M1461" s="424" t="s">
        <v>5990</v>
      </c>
      <c r="N1461" s="291"/>
      <c r="S1461" s="364"/>
      <c r="Z1461" s="609" t="s">
        <v>540</v>
      </c>
      <c r="AA1461" s="609" t="s">
        <v>3137</v>
      </c>
      <c r="AE1461" s="369" t="s">
        <v>2761</v>
      </c>
    </row>
    <row r="1462" spans="1:31" ht="18" hidden="1">
      <c r="A1462" s="2714"/>
      <c r="B1462" s="371">
        <v>101</v>
      </c>
      <c r="C1462" s="371" t="s">
        <v>2791</v>
      </c>
      <c r="D1462" s="2716">
        <f t="shared" ref="D1462:D1467" si="131">IF(OR(G1462="*",G1462="",G1462=0),0,COUNTIF($G$1462:$G$1467,G1462))</f>
        <v>1</v>
      </c>
      <c r="E1462" s="2721">
        <v>1</v>
      </c>
      <c r="F1462" s="294"/>
      <c r="G1462" s="2284" t="s">
        <v>3009</v>
      </c>
      <c r="H1462" s="2275"/>
      <c r="I1462" s="2275"/>
      <c r="J1462" s="1476">
        <f>H1462-I1462</f>
        <v>0</v>
      </c>
      <c r="K1462" s="2265" t="str">
        <f t="shared" ref="K1462:K1467" si="132">IF(H1462*I1462=0,"",ROUND(I1462*100/H1462,2))</f>
        <v/>
      </c>
      <c r="L1462" s="2276"/>
      <c r="M1462" s="355" t="s">
        <v>6176</v>
      </c>
      <c r="N1462" s="291"/>
      <c r="S1462" s="364"/>
      <c r="Z1462" s="609" t="s">
        <v>540</v>
      </c>
      <c r="AA1462" s="609" t="s">
        <v>3137</v>
      </c>
      <c r="AE1462" s="369" t="s">
        <v>2761</v>
      </c>
    </row>
    <row r="1463" spans="1:31" ht="18" hidden="1">
      <c r="A1463" s="2714"/>
      <c r="B1463" s="371">
        <v>102</v>
      </c>
      <c r="C1463" s="371" t="s">
        <v>2791</v>
      </c>
      <c r="D1463" s="2716">
        <f t="shared" si="131"/>
        <v>1</v>
      </c>
      <c r="E1463" s="2721">
        <v>1</v>
      </c>
      <c r="F1463" s="294"/>
      <c r="G1463" s="2284" t="s">
        <v>3010</v>
      </c>
      <c r="H1463" s="2275"/>
      <c r="I1463" s="2275"/>
      <c r="J1463" s="1476">
        <f>H1463-I1463</f>
        <v>0</v>
      </c>
      <c r="K1463" s="2265" t="str">
        <f t="shared" si="132"/>
        <v/>
      </c>
      <c r="L1463" s="2276"/>
      <c r="M1463" s="291"/>
      <c r="N1463" s="291"/>
      <c r="S1463" s="364"/>
      <c r="Z1463" s="609" t="s">
        <v>540</v>
      </c>
      <c r="AA1463" s="609" t="s">
        <v>3137</v>
      </c>
      <c r="AE1463" s="369" t="s">
        <v>2761</v>
      </c>
    </row>
    <row r="1464" spans="1:31" ht="18" hidden="1">
      <c r="A1464" s="2714"/>
      <c r="B1464" s="371">
        <v>103</v>
      </c>
      <c r="C1464" s="371" t="s">
        <v>2791</v>
      </c>
      <c r="D1464" s="2716">
        <f t="shared" si="131"/>
        <v>1</v>
      </c>
      <c r="E1464" s="2721">
        <v>1</v>
      </c>
      <c r="F1464" s="294"/>
      <c r="G1464" s="2284" t="s">
        <v>3011</v>
      </c>
      <c r="H1464" s="2275"/>
      <c r="I1464" s="2275"/>
      <c r="J1464" s="1476">
        <f>H1464-I1464</f>
        <v>0</v>
      </c>
      <c r="K1464" s="2265" t="str">
        <f t="shared" si="132"/>
        <v/>
      </c>
      <c r="L1464" s="2276"/>
      <c r="M1464" s="291"/>
      <c r="N1464" s="291"/>
      <c r="S1464" s="364"/>
      <c r="Z1464" s="609" t="s">
        <v>540</v>
      </c>
      <c r="AA1464" s="609" t="s">
        <v>3137</v>
      </c>
      <c r="AE1464" s="369" t="s">
        <v>2761</v>
      </c>
    </row>
    <row r="1465" spans="1:31" ht="18" hidden="1">
      <c r="A1465" s="2714"/>
      <c r="B1465" s="371">
        <v>104</v>
      </c>
      <c r="C1465" s="371" t="s">
        <v>2791</v>
      </c>
      <c r="D1465" s="2716">
        <f t="shared" si="131"/>
        <v>1</v>
      </c>
      <c r="E1465" s="2721">
        <v>1</v>
      </c>
      <c r="F1465" s="294"/>
      <c r="G1465" s="2284" t="s">
        <v>3012</v>
      </c>
      <c r="H1465" s="2275"/>
      <c r="I1465" s="2275"/>
      <c r="J1465" s="1476">
        <f>H1465-I1465</f>
        <v>0</v>
      </c>
      <c r="K1465" s="2265" t="str">
        <f t="shared" si="132"/>
        <v/>
      </c>
      <c r="L1465" s="2276"/>
      <c r="M1465" s="291"/>
      <c r="N1465" s="291"/>
      <c r="S1465" s="364"/>
      <c r="Z1465" s="609" t="s">
        <v>540</v>
      </c>
      <c r="AA1465" s="609" t="s">
        <v>3137</v>
      </c>
      <c r="AE1465" s="369" t="s">
        <v>2761</v>
      </c>
    </row>
    <row r="1466" spans="1:31" ht="18" hidden="1">
      <c r="A1466" s="2714"/>
      <c r="B1466" s="371">
        <v>105</v>
      </c>
      <c r="C1466" s="371" t="s">
        <v>2791</v>
      </c>
      <c r="D1466" s="2716">
        <f t="shared" si="131"/>
        <v>1</v>
      </c>
      <c r="E1466" s="2721">
        <v>1</v>
      </c>
      <c r="F1466" s="294"/>
      <c r="G1466" s="2284" t="s">
        <v>3013</v>
      </c>
      <c r="H1466" s="2275"/>
      <c r="I1466" s="2275"/>
      <c r="J1466" s="1476">
        <f>H1466-I1466</f>
        <v>0</v>
      </c>
      <c r="K1466" s="2265" t="str">
        <f t="shared" si="132"/>
        <v/>
      </c>
      <c r="L1466" s="2276"/>
      <c r="M1466" s="291"/>
      <c r="N1466" s="291"/>
      <c r="S1466" s="364"/>
      <c r="Z1466" s="609" t="s">
        <v>540</v>
      </c>
      <c r="AA1466" s="609" t="s">
        <v>3137</v>
      </c>
      <c r="AE1466" s="369" t="s">
        <v>2761</v>
      </c>
    </row>
    <row r="1467" spans="1:31" ht="18.75" hidden="1" thickBot="1">
      <c r="A1467" s="2714"/>
      <c r="B1467" s="371"/>
      <c r="C1467" s="371"/>
      <c r="D1467" s="2716">
        <f t="shared" si="131"/>
        <v>1</v>
      </c>
      <c r="E1467" s="2721" t="s">
        <v>2751</v>
      </c>
      <c r="F1467" s="294"/>
      <c r="G1467" s="1529" t="s">
        <v>2752</v>
      </c>
      <c r="H1467" s="1527">
        <f>SUMPRODUCT($E1461:$E1466,H1461:H1466)</f>
        <v>0</v>
      </c>
      <c r="I1467" s="1527">
        <f>SUMPRODUCT($E1461:$E1466,I1461:I1466)</f>
        <v>0</v>
      </c>
      <c r="J1467" s="1527">
        <f>SUMPRODUCT($E1461:$E1466,J1461:J1466)</f>
        <v>0</v>
      </c>
      <c r="K1467" s="1567" t="str">
        <f t="shared" si="132"/>
        <v/>
      </c>
      <c r="L1467" s="2266"/>
      <c r="M1467" s="291"/>
      <c r="N1467" s="291"/>
      <c r="S1467" s="364"/>
      <c r="Z1467" s="609" t="s">
        <v>540</v>
      </c>
      <c r="AA1467" s="609" t="s">
        <v>3137</v>
      </c>
      <c r="AE1467" s="369" t="s">
        <v>2761</v>
      </c>
    </row>
    <row r="1468" spans="1:31" ht="18" hidden="1">
      <c r="A1468" s="2714"/>
      <c r="B1468" s="371"/>
      <c r="C1468" s="371" t="s">
        <v>2755</v>
      </c>
      <c r="D1468" s="371"/>
      <c r="F1468" s="294"/>
      <c r="G1468" s="301"/>
      <c r="H1468" s="315"/>
      <c r="I1468" s="315"/>
      <c r="J1468" s="315"/>
      <c r="K1468" s="393"/>
      <c r="L1468" s="393"/>
      <c r="M1468" s="291"/>
      <c r="N1468" s="291"/>
      <c r="S1468" s="364"/>
      <c r="Z1468" s="609" t="s">
        <v>540</v>
      </c>
      <c r="AA1468" s="609" t="s">
        <v>3137</v>
      </c>
      <c r="AE1468" s="369" t="s">
        <v>2761</v>
      </c>
    </row>
    <row r="1469" spans="1:31" ht="24">
      <c r="A1469" s="2714" t="s">
        <v>579</v>
      </c>
      <c r="B1469" s="371">
        <v>4</v>
      </c>
      <c r="C1469" s="371"/>
      <c r="D1469" s="2716" t="str">
        <f>VLOOKUP($A1469,Sheet_NoteList,2,0)</f>
        <v>本期其他应收款坏账准备的变动情况</v>
      </c>
      <c r="E1469" s="2716" t="s">
        <v>2742</v>
      </c>
      <c r="F1469" s="293"/>
      <c r="G1469" s="372" t="str">
        <f>"("&amp;B1469&amp;")"&amp;D1469</f>
        <v>(4)本期其他应收款坏账准备的变动情况</v>
      </c>
      <c r="H1469" s="1517" t="str">
        <f>$A1469</f>
        <v>1221y</v>
      </c>
      <c r="I1469" s="343" t="s">
        <v>2743</v>
      </c>
      <c r="J1469" s="301" t="s">
        <v>2744</v>
      </c>
      <c r="K1469" s="2210">
        <f>N1482</f>
        <v>10987.92</v>
      </c>
      <c r="L1469" s="349"/>
      <c r="M1469" s="301" t="s">
        <v>2745</v>
      </c>
      <c r="N1469" s="2210">
        <f>H1482</f>
        <v>19238.12</v>
      </c>
      <c r="O1469" s="349"/>
      <c r="P1469" s="301"/>
      <c r="S1469" s="364"/>
      <c r="Z1469" s="609" t="s">
        <v>540</v>
      </c>
      <c r="AA1469" s="609" t="s">
        <v>3137</v>
      </c>
    </row>
    <row r="1470" spans="1:31" ht="0.75" customHeight="1">
      <c r="A1470" s="2714"/>
      <c r="B1470" s="371"/>
      <c r="C1470" s="371"/>
      <c r="D1470" s="2716"/>
      <c r="E1470" s="586"/>
      <c r="F1470" s="586"/>
      <c r="G1470" s="2224" t="s">
        <v>3164</v>
      </c>
      <c r="H1470" s="371" t="s">
        <v>2747</v>
      </c>
      <c r="I1470" s="371" t="s">
        <v>2748</v>
      </c>
      <c r="J1470" s="371" t="s">
        <v>2948</v>
      </c>
      <c r="K1470" s="547" t="s">
        <v>3165</v>
      </c>
      <c r="L1470" s="547" t="s">
        <v>3166</v>
      </c>
      <c r="M1470" s="371" t="s">
        <v>3167</v>
      </c>
      <c r="N1470" s="547" t="s">
        <v>3037</v>
      </c>
      <c r="O1470" s="428"/>
      <c r="P1470" s="433"/>
      <c r="Q1470" s="442"/>
      <c r="R1470" s="443"/>
      <c r="S1470" s="364"/>
      <c r="Z1470" s="609" t="s">
        <v>540</v>
      </c>
      <c r="AA1470" s="609" t="s">
        <v>3137</v>
      </c>
    </row>
    <row r="1471" spans="1:31" ht="0.75" customHeight="1" thickBot="1">
      <c r="A1471" s="2714"/>
      <c r="B1471" s="371"/>
      <c r="C1471" s="371"/>
      <c r="D1471" s="2716"/>
      <c r="E1471" s="586"/>
      <c r="F1471" s="586"/>
      <c r="G1471" s="2224"/>
      <c r="H1471" s="371" t="s">
        <v>2911</v>
      </c>
      <c r="I1471" s="371" t="s">
        <v>2912</v>
      </c>
      <c r="J1471" s="371" t="s">
        <v>3038</v>
      </c>
      <c r="K1471" s="547" t="s">
        <v>2914</v>
      </c>
      <c r="L1471" s="547" t="s">
        <v>2915</v>
      </c>
      <c r="M1471" s="371" t="s">
        <v>2916</v>
      </c>
      <c r="N1471" s="547" t="s">
        <v>2917</v>
      </c>
      <c r="O1471" s="428"/>
      <c r="P1471" s="433"/>
      <c r="Q1471" s="442"/>
      <c r="R1471" s="443"/>
      <c r="S1471" s="364"/>
      <c r="Z1471" s="609" t="s">
        <v>540</v>
      </c>
      <c r="AA1471" s="609" t="s">
        <v>3137</v>
      </c>
    </row>
    <row r="1472" spans="1:31" ht="18" customHeight="1">
      <c r="A1472" s="2714"/>
      <c r="B1472" s="371"/>
      <c r="C1472" s="371"/>
      <c r="D1472" s="2716"/>
      <c r="E1472" s="586" t="s">
        <v>2749</v>
      </c>
      <c r="F1472" s="414"/>
      <c r="G1472" s="3472" t="s">
        <v>6009</v>
      </c>
      <c r="H1472" s="3413" t="str">
        <f>$V$3</f>
        <v>2018年12月31日</v>
      </c>
      <c r="I1472" s="3415" t="s">
        <v>6010</v>
      </c>
      <c r="J1472" s="3413" t="str">
        <f>$X$3</f>
        <v>2019年1月1日</v>
      </c>
      <c r="K1472" s="3417" t="s">
        <v>2919</v>
      </c>
      <c r="L1472" s="3417"/>
      <c r="M1472" s="3417"/>
      <c r="N1472" s="3396" t="str">
        <f>$V$2</f>
        <v>2019年12月31日</v>
      </c>
      <c r="O1472" s="355" t="s">
        <v>5273</v>
      </c>
      <c r="P1472" s="433"/>
      <c r="Q1472" s="442"/>
      <c r="R1472" s="443"/>
      <c r="S1472" s="364"/>
      <c r="Z1472" s="609" t="s">
        <v>540</v>
      </c>
      <c r="AA1472" s="609" t="s">
        <v>3137</v>
      </c>
    </row>
    <row r="1473" spans="1:27" ht="18">
      <c r="A1473" s="2714"/>
      <c r="B1473" s="371"/>
      <c r="C1473" s="371"/>
      <c r="D1473" s="2716"/>
      <c r="E1473" s="586" t="s">
        <v>2749</v>
      </c>
      <c r="F1473" s="414"/>
      <c r="G1473" s="3473"/>
      <c r="H1473" s="3414"/>
      <c r="I1473" s="3416"/>
      <c r="J1473" s="3414"/>
      <c r="K1473" s="2239" t="s">
        <v>6011</v>
      </c>
      <c r="L1473" s="2239" t="s">
        <v>6012</v>
      </c>
      <c r="M1473" s="2294" t="s">
        <v>6013</v>
      </c>
      <c r="N1473" s="3397"/>
      <c r="O1473" s="434"/>
      <c r="P1473" s="435"/>
      <c r="Q1473" s="442"/>
      <c r="R1473" s="443"/>
      <c r="S1473" s="364"/>
      <c r="Z1473" s="609" t="s">
        <v>540</v>
      </c>
      <c r="AA1473" s="609" t="s">
        <v>3137</v>
      </c>
    </row>
    <row r="1474" spans="1:27" ht="18">
      <c r="A1474" s="2714"/>
      <c r="B1474" s="371">
        <v>101</v>
      </c>
      <c r="C1474" s="371" t="s">
        <v>2791</v>
      </c>
      <c r="D1474" s="2716">
        <f t="shared" ref="D1474:D1482" si="133">IF(OR(G1474="*",G1474="",G1474=0),0,COUNTIF($G$1474:$G$1482,G1474))</f>
        <v>1</v>
      </c>
      <c r="E1474" s="2721">
        <v>1</v>
      </c>
      <c r="F1474" s="293"/>
      <c r="G1474" s="2284" t="s">
        <v>6906</v>
      </c>
      <c r="H1474" s="2275">
        <v>19238.12</v>
      </c>
      <c r="I1474" s="2275"/>
      <c r="J1474" s="1476">
        <f>SUM(H1474:I1474)</f>
        <v>19238.12</v>
      </c>
      <c r="K1474" s="2275">
        <v>-8250.2000000000007</v>
      </c>
      <c r="L1474" s="2275"/>
      <c r="M1474" s="2275"/>
      <c r="N1474" s="1477">
        <f>SUM(J1474:K1474,-L1474,-M1474)</f>
        <v>10987.92</v>
      </c>
      <c r="O1474" s="437"/>
      <c r="P1474" s="438"/>
      <c r="Q1474" s="442"/>
      <c r="R1474" s="443"/>
      <c r="S1474" s="364"/>
      <c r="Z1474" s="609" t="s">
        <v>540</v>
      </c>
      <c r="AA1474" s="609" t="s">
        <v>3137</v>
      </c>
    </row>
    <row r="1475" spans="1:27" ht="18">
      <c r="A1475" s="2714"/>
      <c r="B1475" s="371">
        <v>102</v>
      </c>
      <c r="C1475" s="371" t="s">
        <v>2791</v>
      </c>
      <c r="D1475" s="2716">
        <f t="shared" si="133"/>
        <v>0</v>
      </c>
      <c r="E1475" s="2721">
        <v>1</v>
      </c>
      <c r="F1475" s="293"/>
      <c r="G1475" s="2284" t="s">
        <v>2792</v>
      </c>
      <c r="H1475" s="2275"/>
      <c r="I1475" s="2275"/>
      <c r="J1475" s="1476">
        <f t="shared" ref="J1475:J1481" si="134">SUM(H1475:I1475)</f>
        <v>0</v>
      </c>
      <c r="K1475" s="2275"/>
      <c r="L1475" s="2275"/>
      <c r="M1475" s="2275"/>
      <c r="N1475" s="1477">
        <f t="shared" ref="N1475:N1481" si="135">SUM(J1475:K1475,-L1475,-M1475)</f>
        <v>0</v>
      </c>
      <c r="O1475" s="437"/>
      <c r="P1475" s="438"/>
      <c r="Q1475" s="442"/>
      <c r="R1475" s="443"/>
      <c r="S1475" s="364"/>
      <c r="Z1475" s="609" t="s">
        <v>540</v>
      </c>
      <c r="AA1475" s="609" t="s">
        <v>3137</v>
      </c>
    </row>
    <row r="1476" spans="1:27" ht="18">
      <c r="A1476" s="2714"/>
      <c r="B1476" s="371">
        <v>103</v>
      </c>
      <c r="C1476" s="371" t="s">
        <v>2791</v>
      </c>
      <c r="D1476" s="2716">
        <f t="shared" si="133"/>
        <v>0</v>
      </c>
      <c r="E1476" s="2721">
        <v>1</v>
      </c>
      <c r="F1476" s="293"/>
      <c r="G1476" s="2284" t="s">
        <v>2792</v>
      </c>
      <c r="H1476" s="2275"/>
      <c r="I1476" s="2275"/>
      <c r="J1476" s="1476">
        <f t="shared" si="134"/>
        <v>0</v>
      </c>
      <c r="K1476" s="2275"/>
      <c r="L1476" s="2275"/>
      <c r="M1476" s="2275"/>
      <c r="N1476" s="1477">
        <f t="shared" si="135"/>
        <v>0</v>
      </c>
      <c r="O1476" s="437"/>
      <c r="P1476" s="438"/>
      <c r="Q1476" s="442"/>
      <c r="R1476" s="443"/>
      <c r="S1476" s="364"/>
      <c r="Z1476" s="609" t="s">
        <v>540</v>
      </c>
      <c r="AA1476" s="609" t="s">
        <v>3137</v>
      </c>
    </row>
    <row r="1477" spans="1:27" ht="18">
      <c r="A1477" s="2714"/>
      <c r="B1477" s="371">
        <v>104</v>
      </c>
      <c r="C1477" s="371" t="s">
        <v>2791</v>
      </c>
      <c r="D1477" s="2716">
        <f t="shared" si="133"/>
        <v>0</v>
      </c>
      <c r="E1477" s="2721">
        <v>1</v>
      </c>
      <c r="F1477" s="293"/>
      <c r="G1477" s="2284" t="s">
        <v>2792</v>
      </c>
      <c r="H1477" s="2275"/>
      <c r="I1477" s="2275"/>
      <c r="J1477" s="1476">
        <f t="shared" si="134"/>
        <v>0</v>
      </c>
      <c r="K1477" s="2275"/>
      <c r="L1477" s="2275"/>
      <c r="M1477" s="2275"/>
      <c r="N1477" s="1477">
        <f t="shared" si="135"/>
        <v>0</v>
      </c>
      <c r="O1477" s="437"/>
      <c r="P1477" s="438"/>
      <c r="Q1477" s="442"/>
      <c r="R1477" s="443"/>
      <c r="S1477" s="364"/>
      <c r="Z1477" s="609" t="s">
        <v>540</v>
      </c>
      <c r="AA1477" s="609" t="s">
        <v>3137</v>
      </c>
    </row>
    <row r="1478" spans="1:27" ht="18">
      <c r="A1478" s="2714"/>
      <c r="B1478" s="371">
        <v>105</v>
      </c>
      <c r="C1478" s="371" t="s">
        <v>2791</v>
      </c>
      <c r="D1478" s="2716">
        <f t="shared" si="133"/>
        <v>0</v>
      </c>
      <c r="E1478" s="2721">
        <v>1</v>
      </c>
      <c r="F1478" s="293"/>
      <c r="G1478" s="2284" t="s">
        <v>2792</v>
      </c>
      <c r="H1478" s="2275"/>
      <c r="I1478" s="2275"/>
      <c r="J1478" s="1476">
        <f t="shared" si="134"/>
        <v>0</v>
      </c>
      <c r="K1478" s="2275"/>
      <c r="L1478" s="2275"/>
      <c r="M1478" s="2275"/>
      <c r="N1478" s="1477">
        <f t="shared" si="135"/>
        <v>0</v>
      </c>
      <c r="O1478" s="437"/>
      <c r="P1478" s="438"/>
      <c r="Q1478" s="442"/>
      <c r="R1478" s="443"/>
      <c r="S1478" s="364"/>
      <c r="Z1478" s="609" t="s">
        <v>540</v>
      </c>
      <c r="AA1478" s="609" t="s">
        <v>3137</v>
      </c>
    </row>
    <row r="1479" spans="1:27" ht="18">
      <c r="A1479" s="2714"/>
      <c r="B1479" s="371">
        <v>106</v>
      </c>
      <c r="C1479" s="371" t="s">
        <v>2791</v>
      </c>
      <c r="D1479" s="2716">
        <f t="shared" si="133"/>
        <v>0</v>
      </c>
      <c r="E1479" s="2721">
        <v>1</v>
      </c>
      <c r="F1479" s="293"/>
      <c r="G1479" s="2284" t="s">
        <v>2792</v>
      </c>
      <c r="H1479" s="2275"/>
      <c r="I1479" s="2275"/>
      <c r="J1479" s="1476">
        <f t="shared" si="134"/>
        <v>0</v>
      </c>
      <c r="K1479" s="2275"/>
      <c r="L1479" s="2275"/>
      <c r="M1479" s="2275"/>
      <c r="N1479" s="1477">
        <f t="shared" si="135"/>
        <v>0</v>
      </c>
      <c r="O1479" s="437"/>
      <c r="P1479" s="438"/>
      <c r="Q1479" s="442"/>
      <c r="R1479" s="443"/>
      <c r="S1479" s="364"/>
      <c r="Z1479" s="609" t="s">
        <v>540</v>
      </c>
      <c r="AA1479" s="609" t="s">
        <v>3137</v>
      </c>
    </row>
    <row r="1480" spans="1:27" ht="18">
      <c r="A1480" s="2714"/>
      <c r="B1480" s="371">
        <v>107</v>
      </c>
      <c r="C1480" s="371" t="s">
        <v>2791</v>
      </c>
      <c r="D1480" s="2716">
        <f t="shared" si="133"/>
        <v>0</v>
      </c>
      <c r="E1480" s="2721">
        <v>1</v>
      </c>
      <c r="F1480" s="293"/>
      <c r="G1480" s="2284" t="s">
        <v>2792</v>
      </c>
      <c r="H1480" s="2275"/>
      <c r="I1480" s="2275"/>
      <c r="J1480" s="1476">
        <f t="shared" si="134"/>
        <v>0</v>
      </c>
      <c r="K1480" s="2275"/>
      <c r="L1480" s="2275"/>
      <c r="M1480" s="2275"/>
      <c r="N1480" s="1477">
        <f t="shared" si="135"/>
        <v>0</v>
      </c>
      <c r="O1480" s="437"/>
      <c r="P1480" s="438"/>
      <c r="Q1480" s="442"/>
      <c r="R1480" s="443"/>
      <c r="S1480" s="364"/>
      <c r="Z1480" s="609" t="s">
        <v>540</v>
      </c>
      <c r="AA1480" s="609" t="s">
        <v>3137</v>
      </c>
    </row>
    <row r="1481" spans="1:27" ht="18">
      <c r="A1481" s="2714"/>
      <c r="B1481" s="371">
        <v>108</v>
      </c>
      <c r="C1481" s="371" t="s">
        <v>2791</v>
      </c>
      <c r="D1481" s="2716">
        <f t="shared" si="133"/>
        <v>0</v>
      </c>
      <c r="E1481" s="2721">
        <v>1</v>
      </c>
      <c r="F1481" s="293"/>
      <c r="G1481" s="2284" t="s">
        <v>2792</v>
      </c>
      <c r="H1481" s="2275"/>
      <c r="I1481" s="2275"/>
      <c r="J1481" s="1476">
        <f t="shared" si="134"/>
        <v>0</v>
      </c>
      <c r="K1481" s="2275"/>
      <c r="L1481" s="2275"/>
      <c r="M1481" s="2275"/>
      <c r="N1481" s="1477">
        <f t="shared" si="135"/>
        <v>0</v>
      </c>
      <c r="O1481" s="437"/>
      <c r="P1481" s="438"/>
      <c r="Q1481" s="442"/>
      <c r="R1481" s="443"/>
      <c r="S1481" s="364"/>
      <c r="Z1481" s="609" t="s">
        <v>540</v>
      </c>
      <c r="AA1481" s="609" t="s">
        <v>3137</v>
      </c>
    </row>
    <row r="1482" spans="1:27" ht="18.75" thickBot="1">
      <c r="A1482" s="2714"/>
      <c r="B1482" s="371"/>
      <c r="C1482" s="371"/>
      <c r="D1482" s="2716">
        <f t="shared" si="133"/>
        <v>1</v>
      </c>
      <c r="E1482" s="2721" t="s">
        <v>2751</v>
      </c>
      <c r="F1482" s="293"/>
      <c r="G1482" s="2234" t="s">
        <v>2752</v>
      </c>
      <c r="H1482" s="2235">
        <f t="shared" ref="H1482:N1482" si="136">SUMPRODUCT($E1473:$E1481,H1473:H1481)</f>
        <v>19238.12</v>
      </c>
      <c r="I1482" s="2235">
        <f t="shared" si="136"/>
        <v>0</v>
      </c>
      <c r="J1482" s="2235">
        <f t="shared" si="136"/>
        <v>19238.12</v>
      </c>
      <c r="K1482" s="2430">
        <f t="shared" si="136"/>
        <v>-8250.2000000000007</v>
      </c>
      <c r="L1482" s="2430">
        <f t="shared" si="136"/>
        <v>0</v>
      </c>
      <c r="M1482" s="2235">
        <f t="shared" si="136"/>
        <v>0</v>
      </c>
      <c r="N1482" s="2431">
        <f t="shared" si="136"/>
        <v>10987.92</v>
      </c>
      <c r="O1482" s="437"/>
      <c r="P1482" s="440"/>
      <c r="Q1482" s="442"/>
      <c r="R1482" s="443"/>
      <c r="S1482" s="364"/>
      <c r="Z1482" s="609" t="s">
        <v>540</v>
      </c>
      <c r="AA1482" s="609" t="s">
        <v>3137</v>
      </c>
    </row>
    <row r="1483" spans="1:27" ht="18.75" thickBot="1">
      <c r="A1483" s="2714"/>
      <c r="B1483" s="371"/>
      <c r="C1483" s="371" t="s">
        <v>2755</v>
      </c>
      <c r="D1483" s="2716"/>
      <c r="F1483" s="293"/>
      <c r="G1483" s="376"/>
      <c r="H1483" s="527" t="s">
        <v>3002</v>
      </c>
      <c r="I1483" s="396"/>
      <c r="J1483" s="315"/>
      <c r="K1483" s="423"/>
      <c r="L1483" s="315"/>
      <c r="M1483" s="315"/>
      <c r="N1483" s="2259" t="s">
        <v>3002</v>
      </c>
      <c r="O1483" s="427"/>
      <c r="P1483" s="425"/>
      <c r="Q1483" s="442"/>
      <c r="R1483" s="443"/>
      <c r="S1483" s="364"/>
      <c r="Z1483" s="609" t="s">
        <v>540</v>
      </c>
      <c r="AA1483" s="609" t="s">
        <v>3137</v>
      </c>
    </row>
    <row r="1484" spans="1:27" ht="18.75" thickTop="1">
      <c r="A1484" s="2714"/>
      <c r="B1484" s="371"/>
      <c r="C1484" s="371" t="s">
        <v>2565</v>
      </c>
      <c r="D1484" s="2716"/>
      <c r="F1484" s="293"/>
      <c r="G1484" s="1549" t="s">
        <v>5367</v>
      </c>
      <c r="H1484" s="1550" t="str">
        <f>G988</f>
        <v>(1)其他应收款按账龄披露</v>
      </c>
      <c r="I1484" s="1551"/>
      <c r="J1484" s="1551"/>
      <c r="K1484" s="1551"/>
      <c r="L1484" s="1551"/>
      <c r="M1484" s="1551"/>
      <c r="N1484" s="1552"/>
      <c r="O1484" s="1553" t="s">
        <v>5368</v>
      </c>
      <c r="P1484" s="425"/>
      <c r="Q1484" s="442"/>
      <c r="R1484" s="442"/>
      <c r="S1484" s="364"/>
      <c r="Z1484" s="609" t="s">
        <v>540</v>
      </c>
      <c r="AA1484" s="609" t="s">
        <v>3137</v>
      </c>
    </row>
    <row r="1485" spans="1:27" ht="18">
      <c r="A1485" s="2714"/>
      <c r="B1485" s="371"/>
      <c r="C1485" s="371" t="s">
        <v>2565</v>
      </c>
      <c r="D1485" s="2716"/>
      <c r="F1485" s="293"/>
      <c r="G1485" s="604" t="str">
        <f>"注释A:"&amp; G1003</f>
        <v>注释A:减：坏账准备</v>
      </c>
      <c r="H1485" s="2252">
        <f ca="1">HYPERLINK("#'"&amp;$G$1&amp;"'!"&amp;ADDRESS(ROW(Notes!I1003),COLUMN(Notes!I1003),4),I1003)</f>
        <v>19238.12</v>
      </c>
      <c r="I1485" s="351"/>
      <c r="J1485" s="351"/>
      <c r="K1485" s="351"/>
      <c r="L1485" s="351"/>
      <c r="M1485" s="351"/>
      <c r="N1485" s="2252">
        <f ca="1">HYPERLINK("#'"&amp;$G$1&amp;"'!"&amp;ADDRESS(ROW(Notes!H1003),COLUMN(Notes!H1003),4),H1003)</f>
        <v>10987.92</v>
      </c>
      <c r="O1485" s="2251" t="str">
        <f>H988</f>
        <v>1221j</v>
      </c>
      <c r="P1485" s="425"/>
      <c r="Q1485" s="442"/>
      <c r="R1485" s="442"/>
      <c r="S1485" s="364"/>
      <c r="Z1485" s="609" t="s">
        <v>540</v>
      </c>
      <c r="AA1485" s="609" t="s">
        <v>3137</v>
      </c>
    </row>
    <row r="1486" spans="1:27" ht="18">
      <c r="A1486" s="2714"/>
      <c r="B1486" s="371"/>
      <c r="C1486" s="371" t="s">
        <v>2565</v>
      </c>
      <c r="D1486" s="2716"/>
      <c r="F1486" s="293"/>
      <c r="G1486" s="604" t="str">
        <f>"本注释B:"&amp; G1482</f>
        <v>本注释B:合       计</v>
      </c>
      <c r="H1486" s="456">
        <f>H1482</f>
        <v>19238.12</v>
      </c>
      <c r="I1486" s="351"/>
      <c r="J1486" s="351"/>
      <c r="K1486" s="351"/>
      <c r="L1486" s="351"/>
      <c r="M1486" s="351"/>
      <c r="N1486" s="456">
        <f>N1482</f>
        <v>10987.92</v>
      </c>
      <c r="O1486" s="1544" t="s">
        <v>579</v>
      </c>
      <c r="P1486" s="425"/>
      <c r="Q1486" s="442"/>
      <c r="R1486" s="442"/>
      <c r="S1486" s="364"/>
      <c r="Z1486" s="609" t="s">
        <v>540</v>
      </c>
      <c r="AA1486" s="609" t="s">
        <v>3137</v>
      </c>
    </row>
    <row r="1487" spans="1:27" ht="18.75" thickBot="1">
      <c r="A1487" s="2714"/>
      <c r="B1487" s="371"/>
      <c r="C1487" s="371" t="s">
        <v>2565</v>
      </c>
      <c r="D1487" s="2716"/>
      <c r="F1487" s="293"/>
      <c r="G1487" s="1554" t="s">
        <v>2757</v>
      </c>
      <c r="H1487" s="1531">
        <f ca="1">IF(AND(H1485="",H1486=""),"",ROUND(H1485-H1486,2))</f>
        <v>0</v>
      </c>
      <c r="I1487" s="1555"/>
      <c r="J1487" s="1555"/>
      <c r="K1487" s="1555"/>
      <c r="L1487" s="1555"/>
      <c r="M1487" s="1555"/>
      <c r="N1487" s="1531">
        <f ca="1">IF(AND(N1485="",N1486=""),"",ROUND(N1485-N1486,2))</f>
        <v>0</v>
      </c>
      <c r="O1487" s="1556"/>
      <c r="P1487" s="425"/>
      <c r="Q1487" s="442"/>
      <c r="R1487" s="442"/>
      <c r="S1487" s="364"/>
      <c r="Z1487" s="609" t="s">
        <v>540</v>
      </c>
      <c r="AA1487" s="609" t="s">
        <v>3137</v>
      </c>
    </row>
    <row r="1488" spans="1:27" ht="18.75" thickTop="1">
      <c r="A1488" s="2714"/>
      <c r="B1488" s="371"/>
      <c r="C1488" s="371" t="s">
        <v>2565</v>
      </c>
      <c r="D1488" s="2716"/>
      <c r="F1488" s="293"/>
      <c r="G1488" s="1545"/>
      <c r="H1488" s="459" t="str">
        <f ca="1">IF(OR(H1487=0,H1487=""),"√","？")</f>
        <v>√</v>
      </c>
      <c r="I1488" s="317"/>
      <c r="J1488" s="317"/>
      <c r="K1488" s="317"/>
      <c r="L1488" s="317"/>
      <c r="M1488" s="317"/>
      <c r="N1488" s="459" t="str">
        <f ca="1">IF(OR(N1487=0,N1487=""),"√","？")</f>
        <v>√</v>
      </c>
      <c r="O1488" s="1547"/>
      <c r="P1488" s="425"/>
      <c r="Q1488" s="442"/>
      <c r="R1488" s="442"/>
      <c r="S1488" s="364"/>
      <c r="Z1488" s="609" t="s">
        <v>540</v>
      </c>
      <c r="AA1488" s="609" t="s">
        <v>3137</v>
      </c>
    </row>
    <row r="1489" spans="1:27" ht="18">
      <c r="A1489" s="2714"/>
      <c r="B1489" s="371"/>
      <c r="C1489" s="371" t="s">
        <v>2565</v>
      </c>
      <c r="D1489" s="2716"/>
      <c r="F1489" s="293"/>
      <c r="G1489" s="1559" t="s">
        <v>2759</v>
      </c>
      <c r="H1489" s="461"/>
      <c r="I1489" s="317"/>
      <c r="J1489" s="317"/>
      <c r="K1489" s="352">
        <f ca="1">SUMIF($H$1488:$O$1488,"&lt;&gt;√",$H$1487:$O$1487)</f>
        <v>0</v>
      </c>
      <c r="L1489" s="353" t="str">
        <f ca="1">IF(OR(K1489=0,K1489=""),"√","？")</f>
        <v>√</v>
      </c>
      <c r="M1489" s="317"/>
      <c r="N1489" s="461"/>
      <c r="O1489" s="1547"/>
      <c r="P1489" s="425"/>
      <c r="Q1489" s="442"/>
      <c r="R1489" s="442"/>
      <c r="S1489" s="364"/>
      <c r="Z1489" s="609" t="s">
        <v>540</v>
      </c>
      <c r="AA1489" s="609" t="s">
        <v>3137</v>
      </c>
    </row>
    <row r="1490" spans="1:27" ht="18">
      <c r="A1490" s="2714"/>
      <c r="B1490" s="371"/>
      <c r="C1490" s="371" t="s">
        <v>2565</v>
      </c>
      <c r="D1490" s="2716"/>
      <c r="F1490" s="293"/>
      <c r="G1490" s="1545"/>
      <c r="H1490" s="461"/>
      <c r="I1490" s="317"/>
      <c r="J1490" s="317"/>
      <c r="K1490" s="317"/>
      <c r="L1490" s="317"/>
      <c r="M1490" s="317"/>
      <c r="N1490" s="461"/>
      <c r="O1490" s="1547"/>
      <c r="P1490" s="425"/>
      <c r="Q1490" s="442"/>
      <c r="R1490" s="442"/>
      <c r="S1490" s="364"/>
      <c r="Z1490" s="609" t="s">
        <v>540</v>
      </c>
      <c r="AA1490" s="609" t="s">
        <v>3137</v>
      </c>
    </row>
    <row r="1491" spans="1:27" ht="24">
      <c r="A1491" s="2714">
        <v>122104</v>
      </c>
      <c r="B1491" s="371">
        <v>4</v>
      </c>
      <c r="C1491" s="371"/>
      <c r="D1491" s="2716" t="str">
        <f>VLOOKUP($A1491,Sheet_NoteList,2,0)</f>
        <v>本期其他应收款坏账准备的变动情况（备选格式）</v>
      </c>
      <c r="E1491" s="2716" t="s">
        <v>6533</v>
      </c>
      <c r="F1491" s="293"/>
      <c r="G1491" s="372" t="str">
        <f>"("&amp;B1491&amp;")"&amp;D1491</f>
        <v>(4)本期其他应收款坏账准备的变动情况（备选格式）</v>
      </c>
      <c r="H1491" s="2315">
        <f>$A1491</f>
        <v>122104</v>
      </c>
      <c r="I1491" s="343" t="s">
        <v>5626</v>
      </c>
      <c r="J1491" s="301" t="s">
        <v>5627</v>
      </c>
      <c r="K1491" s="2210">
        <f>H1508</f>
        <v>0</v>
      </c>
      <c r="L1491" s="349">
        <f>IF($I1491="适用",IF(ROUND(K$987-K1491,2)=0,"F/S",ROUND(K$987-K1491,2)),"#N/A")</f>
        <v>2208147.21</v>
      </c>
      <c r="M1491" s="301" t="s">
        <v>5628</v>
      </c>
      <c r="N1491" s="2210">
        <f>I1508</f>
        <v>0</v>
      </c>
      <c r="O1491" s="349">
        <f>IF($I1491="适用",IF(ROUND(N$987-N1491,2)=0,"F/S",ROUND(N$987-N1491,2)),"#N/A")</f>
        <v>328019.46999999997</v>
      </c>
      <c r="P1491" s="301"/>
      <c r="S1491" s="364"/>
      <c r="Z1491" s="609" t="s">
        <v>540</v>
      </c>
      <c r="AA1491" s="609" t="s">
        <v>3137</v>
      </c>
    </row>
    <row r="1492" spans="1:27" ht="0.75" customHeight="1">
      <c r="A1492" s="2714"/>
      <c r="B1492" s="371"/>
      <c r="C1492" s="371"/>
      <c r="D1492" s="2716"/>
      <c r="F1492" s="371"/>
      <c r="G1492" s="405" t="s">
        <v>6345</v>
      </c>
      <c r="H1492" s="371" t="s">
        <v>6346</v>
      </c>
      <c r="I1492" s="371" t="s">
        <v>6347</v>
      </c>
      <c r="J1492" s="371" t="s">
        <v>6348</v>
      </c>
      <c r="K1492" s="547" t="s">
        <v>6349</v>
      </c>
      <c r="L1492" s="349"/>
      <c r="M1492" s="301"/>
      <c r="N1492" s="391"/>
      <c r="O1492" s="349"/>
      <c r="P1492" s="301"/>
      <c r="S1492" s="364"/>
      <c r="Z1492" s="609" t="s">
        <v>540</v>
      </c>
      <c r="AA1492" s="609" t="s">
        <v>3137</v>
      </c>
    </row>
    <row r="1493" spans="1:27" ht="0.75" customHeight="1" thickBot="1">
      <c r="A1493" s="2714"/>
      <c r="B1493" s="371"/>
      <c r="C1493" s="371"/>
      <c r="D1493" s="2716"/>
      <c r="F1493" s="371"/>
      <c r="G1493" s="405"/>
      <c r="H1493" s="371" t="s">
        <v>6350</v>
      </c>
      <c r="I1493" s="371" t="s">
        <v>6351</v>
      </c>
      <c r="J1493" s="371" t="s">
        <v>6352</v>
      </c>
      <c r="K1493" s="547" t="s">
        <v>6353</v>
      </c>
      <c r="L1493" s="349"/>
      <c r="M1493" s="301"/>
      <c r="N1493" s="391"/>
      <c r="O1493" s="349"/>
      <c r="P1493" s="301"/>
      <c r="S1493" s="364"/>
      <c r="Z1493" s="609" t="s">
        <v>540</v>
      </c>
      <c r="AA1493" s="609" t="s">
        <v>3137</v>
      </c>
    </row>
    <row r="1494" spans="1:27" ht="18" customHeight="1">
      <c r="A1494" s="2714"/>
      <c r="B1494" s="371"/>
      <c r="C1494" s="371"/>
      <c r="D1494" s="2716"/>
      <c r="E1494" s="2716" t="s">
        <v>2749</v>
      </c>
      <c r="F1494" s="293"/>
      <c r="G1494" s="3432" t="s">
        <v>5854</v>
      </c>
      <c r="H1494" s="2291" t="s">
        <v>3348</v>
      </c>
      <c r="I1494" s="2291" t="s">
        <v>3349</v>
      </c>
      <c r="J1494" s="2291" t="s">
        <v>3350</v>
      </c>
      <c r="K1494" s="3482" t="s">
        <v>3351</v>
      </c>
      <c r="L1494" s="355" t="s">
        <v>5273</v>
      </c>
      <c r="M1494" s="301"/>
      <c r="N1494" s="391"/>
      <c r="O1494" s="349"/>
      <c r="P1494" s="301"/>
      <c r="S1494" s="364"/>
      <c r="Z1494" s="609" t="s">
        <v>540</v>
      </c>
      <c r="AA1494" s="609" t="s">
        <v>3137</v>
      </c>
    </row>
    <row r="1495" spans="1:27" ht="36">
      <c r="A1495" s="2714"/>
      <c r="B1495" s="371"/>
      <c r="C1495" s="371"/>
      <c r="D1495" s="2716"/>
      <c r="E1495" s="2716" t="s">
        <v>2749</v>
      </c>
      <c r="F1495" s="293"/>
      <c r="G1495" s="3471"/>
      <c r="H1495" s="2294" t="s">
        <v>3352</v>
      </c>
      <c r="I1495" s="2294" t="s">
        <v>3353</v>
      </c>
      <c r="J1495" s="2294" t="s">
        <v>3354</v>
      </c>
      <c r="K1495" s="3453"/>
      <c r="L1495" s="355" t="s">
        <v>6354</v>
      </c>
      <c r="M1495" s="301"/>
      <c r="N1495" s="391"/>
      <c r="O1495" s="349"/>
      <c r="P1495" s="301"/>
      <c r="S1495" s="364"/>
      <c r="Z1495" s="609" t="s">
        <v>540</v>
      </c>
      <c r="AA1495" s="609" t="s">
        <v>3137</v>
      </c>
    </row>
    <row r="1496" spans="1:27" ht="18">
      <c r="A1496" s="2714"/>
      <c r="B1496" s="371">
        <v>101</v>
      </c>
      <c r="C1496" s="371"/>
      <c r="D1496" s="2716">
        <f t="shared" ref="D1496:D1508" si="137">IF(OR(G1496="*",G1496="",G1496=0),0,COUNTIF($G$1496:$G$1508,G1496))</f>
        <v>1</v>
      </c>
      <c r="E1496" s="2721">
        <v>1</v>
      </c>
      <c r="F1496" s="293"/>
      <c r="G1496" s="1474" t="str">
        <f>$X$3&amp;"余额"</f>
        <v>2019年1月1日余额</v>
      </c>
      <c r="H1496" s="309"/>
      <c r="I1496" s="309"/>
      <c r="J1496" s="309"/>
      <c r="K1496" s="1477">
        <f>SUM(H1496:J1496)</f>
        <v>0</v>
      </c>
      <c r="L1496" s="2205"/>
      <c r="M1496" s="301"/>
      <c r="N1496" s="2193"/>
      <c r="O1496" s="349"/>
      <c r="P1496" s="301"/>
      <c r="S1496" s="364"/>
      <c r="Z1496" s="609" t="s">
        <v>540</v>
      </c>
      <c r="AA1496" s="609" t="s">
        <v>3137</v>
      </c>
    </row>
    <row r="1497" spans="1:27" ht="18">
      <c r="A1497" s="2714"/>
      <c r="B1497" s="371">
        <v>102</v>
      </c>
      <c r="C1497" s="371"/>
      <c r="D1497" s="2716">
        <f t="shared" si="137"/>
        <v>1</v>
      </c>
      <c r="E1497" s="2721" t="s">
        <v>41</v>
      </c>
      <c r="F1497" s="293"/>
      <c r="G1497" s="1474" t="str">
        <f>$X$3&amp;"余额在本期"</f>
        <v>2019年1月1日余额在本期</v>
      </c>
      <c r="H1497" s="309"/>
      <c r="I1497" s="309"/>
      <c r="J1497" s="309"/>
      <c r="K1497" s="361"/>
      <c r="L1497" s="349"/>
      <c r="M1497" s="301"/>
      <c r="N1497" s="439"/>
      <c r="O1497" s="349"/>
      <c r="P1497" s="301"/>
      <c r="S1497" s="364"/>
      <c r="Z1497" s="609" t="s">
        <v>540</v>
      </c>
      <c r="AA1497" s="609" t="s">
        <v>3137</v>
      </c>
    </row>
    <row r="1498" spans="1:27" ht="24">
      <c r="A1498" s="2714"/>
      <c r="B1498" s="371">
        <v>103</v>
      </c>
      <c r="C1498" s="371"/>
      <c r="D1498" s="2716">
        <f t="shared" si="137"/>
        <v>1</v>
      </c>
      <c r="E1498" s="2721">
        <v>1</v>
      </c>
      <c r="F1498" s="293"/>
      <c r="G1498" s="1474" t="s">
        <v>5860</v>
      </c>
      <c r="H1498" s="309"/>
      <c r="I1498" s="1465">
        <v>0</v>
      </c>
      <c r="J1498" s="1465">
        <v>0</v>
      </c>
      <c r="K1498" s="1477">
        <f>SUM(H1498:J1498)</f>
        <v>0</v>
      </c>
      <c r="L1498" s="2194"/>
      <c r="M1498" s="301"/>
      <c r="N1498" s="439"/>
      <c r="O1498" s="349"/>
      <c r="P1498" s="301"/>
      <c r="S1498" s="364"/>
      <c r="Z1498" s="609" t="s">
        <v>540</v>
      </c>
      <c r="AA1498" s="609" t="s">
        <v>3137</v>
      </c>
    </row>
    <row r="1499" spans="1:27" ht="24">
      <c r="A1499" s="2714"/>
      <c r="B1499" s="371">
        <v>104</v>
      </c>
      <c r="C1499" s="371"/>
      <c r="D1499" s="2716">
        <f t="shared" si="137"/>
        <v>1</v>
      </c>
      <c r="E1499" s="2721">
        <v>1</v>
      </c>
      <c r="F1499" s="293"/>
      <c r="G1499" s="1474" t="s">
        <v>5861</v>
      </c>
      <c r="H1499" s="309"/>
      <c r="I1499" s="309"/>
      <c r="J1499" s="1465">
        <v>0</v>
      </c>
      <c r="K1499" s="1477">
        <f t="shared" ref="K1499:K1506" si="138">SUM(H1499:J1499)</f>
        <v>0</v>
      </c>
      <c r="L1499" s="1493"/>
      <c r="M1499" s="301"/>
      <c r="N1499" s="439"/>
      <c r="O1499" s="349"/>
      <c r="P1499" s="301"/>
      <c r="S1499" s="364"/>
      <c r="Z1499" s="609" t="s">
        <v>540</v>
      </c>
      <c r="AA1499" s="609" t="s">
        <v>3137</v>
      </c>
    </row>
    <row r="1500" spans="1:27" ht="24">
      <c r="A1500" s="2714"/>
      <c r="B1500" s="371">
        <v>105</v>
      </c>
      <c r="C1500" s="371"/>
      <c r="D1500" s="2716">
        <f t="shared" si="137"/>
        <v>1</v>
      </c>
      <c r="E1500" s="2721">
        <v>1</v>
      </c>
      <c r="F1500" s="293"/>
      <c r="G1500" s="1474" t="s">
        <v>5862</v>
      </c>
      <c r="H1500" s="1465">
        <v>0</v>
      </c>
      <c r="I1500" s="1465">
        <v>0</v>
      </c>
      <c r="J1500" s="309"/>
      <c r="K1500" s="1477">
        <f t="shared" si="138"/>
        <v>0</v>
      </c>
      <c r="L1500" s="1493"/>
      <c r="M1500" s="301"/>
      <c r="N1500" s="2193"/>
      <c r="O1500" s="349"/>
      <c r="P1500" s="301"/>
      <c r="S1500" s="364"/>
      <c r="Z1500" s="609" t="s">
        <v>540</v>
      </c>
      <c r="AA1500" s="609" t="s">
        <v>3137</v>
      </c>
    </row>
    <row r="1501" spans="1:27" ht="24">
      <c r="A1501" s="2714"/>
      <c r="B1501" s="371">
        <v>106</v>
      </c>
      <c r="C1501" s="371"/>
      <c r="D1501" s="2716">
        <f t="shared" si="137"/>
        <v>1</v>
      </c>
      <c r="E1501" s="2721">
        <v>1</v>
      </c>
      <c r="F1501" s="293"/>
      <c r="G1501" s="1474" t="s">
        <v>5855</v>
      </c>
      <c r="H1501" s="1465">
        <v>0</v>
      </c>
      <c r="I1501" s="309"/>
      <c r="J1501" s="309"/>
      <c r="K1501" s="1477">
        <f t="shared" si="138"/>
        <v>0</v>
      </c>
      <c r="L1501" s="1493"/>
      <c r="M1501" s="301"/>
      <c r="N1501" s="391"/>
      <c r="O1501" s="349"/>
      <c r="P1501" s="301"/>
      <c r="S1501" s="364"/>
      <c r="Z1501" s="609" t="s">
        <v>540</v>
      </c>
      <c r="AA1501" s="609" t="s">
        <v>3137</v>
      </c>
    </row>
    <row r="1502" spans="1:27" ht="18">
      <c r="A1502" s="2714"/>
      <c r="B1502" s="371">
        <v>107</v>
      </c>
      <c r="C1502" s="371"/>
      <c r="D1502" s="2716">
        <f t="shared" si="137"/>
        <v>1</v>
      </c>
      <c r="E1502" s="2721">
        <v>1</v>
      </c>
      <c r="F1502" s="293"/>
      <c r="G1502" s="1474" t="s">
        <v>5856</v>
      </c>
      <c r="H1502" s="309"/>
      <c r="I1502" s="309"/>
      <c r="J1502" s="309"/>
      <c r="K1502" s="1477">
        <f t="shared" si="138"/>
        <v>0</v>
      </c>
      <c r="L1502" s="349"/>
      <c r="M1502" s="301"/>
      <c r="N1502" s="391"/>
      <c r="O1502" s="349"/>
      <c r="P1502" s="301"/>
      <c r="S1502" s="364"/>
      <c r="Z1502" s="609" t="s">
        <v>540</v>
      </c>
      <c r="AA1502" s="609" t="s">
        <v>3137</v>
      </c>
    </row>
    <row r="1503" spans="1:27" ht="18">
      <c r="A1503" s="2714"/>
      <c r="B1503" s="371">
        <v>108</v>
      </c>
      <c r="C1503" s="371"/>
      <c r="D1503" s="2716">
        <f t="shared" si="137"/>
        <v>1</v>
      </c>
      <c r="E1503" s="2721">
        <v>-1</v>
      </c>
      <c r="F1503" s="293"/>
      <c r="G1503" s="1474" t="s">
        <v>5857</v>
      </c>
      <c r="H1503" s="309"/>
      <c r="I1503" s="309"/>
      <c r="J1503" s="309"/>
      <c r="K1503" s="1477">
        <f t="shared" si="138"/>
        <v>0</v>
      </c>
      <c r="L1503" s="349"/>
      <c r="M1503" s="301"/>
      <c r="N1503" s="391"/>
      <c r="O1503" s="349"/>
      <c r="P1503" s="301"/>
      <c r="S1503" s="364"/>
      <c r="Z1503" s="609" t="s">
        <v>540</v>
      </c>
      <c r="AA1503" s="609" t="s">
        <v>3137</v>
      </c>
    </row>
    <row r="1504" spans="1:27" ht="18">
      <c r="A1504" s="2714"/>
      <c r="B1504" s="371">
        <v>109</v>
      </c>
      <c r="C1504" s="371"/>
      <c r="D1504" s="2716">
        <f t="shared" si="137"/>
        <v>1</v>
      </c>
      <c r="E1504" s="2721">
        <v>-1</v>
      </c>
      <c r="F1504" s="293"/>
      <c r="G1504" s="603" t="s">
        <v>3356</v>
      </c>
      <c r="H1504" s="309"/>
      <c r="I1504" s="309"/>
      <c r="J1504" s="309"/>
      <c r="K1504" s="1477">
        <f t="shared" si="138"/>
        <v>0</v>
      </c>
      <c r="L1504" s="349"/>
      <c r="M1504" s="301"/>
      <c r="N1504" s="391"/>
      <c r="O1504" s="349"/>
      <c r="P1504" s="301"/>
      <c r="S1504" s="364"/>
      <c r="Z1504" s="609" t="s">
        <v>540</v>
      </c>
      <c r="AA1504" s="609" t="s">
        <v>3137</v>
      </c>
    </row>
    <row r="1505" spans="1:27" ht="18">
      <c r="A1505" s="2714"/>
      <c r="B1505" s="371">
        <v>110</v>
      </c>
      <c r="C1505" s="371"/>
      <c r="D1505" s="2716">
        <f t="shared" si="137"/>
        <v>1</v>
      </c>
      <c r="E1505" s="2721">
        <v>-1</v>
      </c>
      <c r="F1505" s="293"/>
      <c r="G1505" s="603" t="s">
        <v>3357</v>
      </c>
      <c r="H1505" s="309"/>
      <c r="I1505" s="309"/>
      <c r="J1505" s="309"/>
      <c r="K1505" s="1477">
        <f t="shared" si="138"/>
        <v>0</v>
      </c>
      <c r="L1505" s="349"/>
      <c r="M1505" s="301"/>
      <c r="N1505" s="391"/>
      <c r="O1505" s="349"/>
      <c r="P1505" s="301"/>
      <c r="S1505" s="364"/>
      <c r="Z1505" s="609" t="s">
        <v>540</v>
      </c>
      <c r="AA1505" s="609" t="s">
        <v>3137</v>
      </c>
    </row>
    <row r="1506" spans="1:27" ht="24">
      <c r="A1506" s="2714"/>
      <c r="B1506" s="371">
        <v>111</v>
      </c>
      <c r="C1506" s="371"/>
      <c r="D1506" s="2716">
        <f t="shared" si="137"/>
        <v>1</v>
      </c>
      <c r="E1506" s="2721">
        <v>1</v>
      </c>
      <c r="F1506" s="293"/>
      <c r="G1506" s="1474" t="s">
        <v>5858</v>
      </c>
      <c r="H1506" s="309"/>
      <c r="I1506" s="309"/>
      <c r="J1506" s="309"/>
      <c r="K1506" s="1477">
        <f t="shared" si="138"/>
        <v>0</v>
      </c>
      <c r="L1506" s="349"/>
      <c r="M1506" s="301"/>
      <c r="N1506" s="391"/>
      <c r="O1506" s="349"/>
      <c r="P1506" s="301"/>
      <c r="S1506" s="364"/>
      <c r="Z1506" s="609" t="s">
        <v>540</v>
      </c>
      <c r="AA1506" s="609" t="s">
        <v>3137</v>
      </c>
    </row>
    <row r="1507" spans="1:27" ht="18">
      <c r="A1507" s="2714"/>
      <c r="B1507" s="371">
        <v>112</v>
      </c>
      <c r="C1507" s="371" t="s">
        <v>2791</v>
      </c>
      <c r="D1507" s="2716">
        <f t="shared" si="137"/>
        <v>0</v>
      </c>
      <c r="E1507" s="2721">
        <v>1</v>
      </c>
      <c r="F1507" s="293"/>
      <c r="G1507" s="2190" t="s">
        <v>5859</v>
      </c>
      <c r="H1507" s="309"/>
      <c r="I1507" s="309"/>
      <c r="J1507" s="309"/>
      <c r="K1507" s="361"/>
      <c r="L1507" s="349"/>
      <c r="M1507" s="301"/>
      <c r="N1507" s="391"/>
      <c r="O1507" s="349"/>
      <c r="P1507" s="301"/>
      <c r="S1507" s="364"/>
      <c r="Z1507" s="609" t="s">
        <v>540</v>
      </c>
      <c r="AA1507" s="609" t="s">
        <v>3137</v>
      </c>
    </row>
    <row r="1508" spans="1:27" ht="18.75" thickBot="1">
      <c r="A1508" s="2714"/>
      <c r="B1508" s="371"/>
      <c r="C1508" s="371"/>
      <c r="D1508" s="2716">
        <f t="shared" si="137"/>
        <v>1</v>
      </c>
      <c r="E1508" s="2721" t="s">
        <v>6555</v>
      </c>
      <c r="F1508" s="293"/>
      <c r="G1508" s="2234" t="str">
        <f>$W$2&amp;"余额"</f>
        <v>2019年12月31日余额</v>
      </c>
      <c r="H1508" s="2235">
        <f>SUMPRODUCT($E1495:$E1507,H1495:H1507)</f>
        <v>0</v>
      </c>
      <c r="I1508" s="2235">
        <f>SUMPRODUCT($E1495:$E1507,I1495:I1507)</f>
        <v>0</v>
      </c>
      <c r="J1508" s="2235">
        <f>SUMPRODUCT($E1495:$E1507,J1495:J1507)</f>
        <v>0</v>
      </c>
      <c r="K1508" s="2236">
        <f>SUMPRODUCT($E1495:$E1507,K1495:K1507)</f>
        <v>0</v>
      </c>
      <c r="L1508" s="349"/>
      <c r="M1508" s="301"/>
      <c r="N1508" s="391"/>
      <c r="O1508" s="349"/>
      <c r="P1508" s="301"/>
      <c r="S1508" s="364"/>
      <c r="Z1508" s="609" t="s">
        <v>540</v>
      </c>
      <c r="AA1508" s="609" t="s">
        <v>3137</v>
      </c>
    </row>
    <row r="1509" spans="1:27" ht="18">
      <c r="A1509" s="2714"/>
      <c r="B1509" s="371"/>
      <c r="C1509" s="371" t="s">
        <v>2755</v>
      </c>
      <c r="D1509" s="2716"/>
      <c r="F1509" s="293"/>
      <c r="G1509" s="376"/>
      <c r="H1509" s="1576"/>
      <c r="I1509" s="396"/>
      <c r="J1509" s="315"/>
      <c r="K1509" s="423"/>
      <c r="L1509" s="349"/>
      <c r="M1509" s="301"/>
      <c r="N1509" s="391"/>
      <c r="O1509" s="349"/>
      <c r="P1509" s="301"/>
      <c r="S1509" s="364"/>
      <c r="Z1509" s="609" t="s">
        <v>540</v>
      </c>
      <c r="AA1509" s="609" t="s">
        <v>3137</v>
      </c>
    </row>
    <row r="1510" spans="1:27" ht="24">
      <c r="A1510" s="2714" t="s">
        <v>584</v>
      </c>
      <c r="B1510" s="371">
        <v>4.0999999999999996</v>
      </c>
      <c r="C1510" s="371"/>
      <c r="D1510" s="2716" t="str">
        <f>VLOOKUP($A1510,Sheet_NoteList,2,0)</f>
        <v>本期其他应收款坏账准备收回或转回金额重要的</v>
      </c>
      <c r="E1510" s="2716" t="s">
        <v>2742</v>
      </c>
      <c r="F1510" s="294"/>
      <c r="G1510" s="372" t="str">
        <f>"("&amp;B1510&amp;")"&amp;D1510</f>
        <v>(4.1)本期其他应收款坏账准备收回或转回金额重要的</v>
      </c>
      <c r="H1510" s="1517" t="str">
        <f>$A1510</f>
        <v>1221h</v>
      </c>
      <c r="I1510" s="343" t="s">
        <v>2743</v>
      </c>
      <c r="J1510" s="301" t="s">
        <v>2744</v>
      </c>
      <c r="K1510" s="2210">
        <f>H1518</f>
        <v>0</v>
      </c>
      <c r="L1510" s="345"/>
      <c r="M1510" s="301"/>
      <c r="N1510" s="3083"/>
      <c r="O1510" s="345"/>
      <c r="P1510" s="301"/>
      <c r="Q1510" s="290" t="str">
        <f>IF($I1510="不适用","",IF(ROUND(SUM($H$1513:$K$1518),2)=0,"请输入",""))</f>
        <v>请输入</v>
      </c>
      <c r="S1510" s="364"/>
      <c r="Z1510" s="609" t="s">
        <v>540</v>
      </c>
      <c r="AA1510" s="609" t="s">
        <v>3137</v>
      </c>
    </row>
    <row r="1511" spans="1:27" ht="0.75" customHeight="1" thickBot="1">
      <c r="A1511" s="2714"/>
      <c r="B1511" s="371"/>
      <c r="C1511" s="371"/>
      <c r="D1511" s="371"/>
      <c r="E1511" s="586"/>
      <c r="F1511" s="586"/>
      <c r="G1511" s="586" t="s">
        <v>3178</v>
      </c>
      <c r="H1511" s="371" t="s">
        <v>6188</v>
      </c>
      <c r="I1511" s="371" t="s">
        <v>3179</v>
      </c>
      <c r="J1511" s="433"/>
      <c r="K1511" s="433"/>
      <c r="L1511" s="472"/>
      <c r="M1511" s="472"/>
      <c r="N1511" s="472"/>
      <c r="O1511" s="472"/>
      <c r="P1511" s="442"/>
      <c r="Q1511" s="442"/>
      <c r="R1511" s="443"/>
      <c r="S1511" s="364"/>
      <c r="Z1511" s="609" t="s">
        <v>540</v>
      </c>
      <c r="AA1511" s="609" t="s">
        <v>3137</v>
      </c>
    </row>
    <row r="1512" spans="1:27" ht="18">
      <c r="A1512" s="2714"/>
      <c r="B1512" s="371"/>
      <c r="C1512" s="371"/>
      <c r="D1512" s="371"/>
      <c r="E1512" s="586" t="s">
        <v>2749</v>
      </c>
      <c r="F1512" s="363"/>
      <c r="G1512" s="2533" t="s">
        <v>1465</v>
      </c>
      <c r="H1512" s="2534" t="s">
        <v>2922</v>
      </c>
      <c r="I1512" s="2535" t="s">
        <v>2923</v>
      </c>
      <c r="J1512" s="355" t="s">
        <v>5273</v>
      </c>
      <c r="K1512" s="479"/>
      <c r="L1512" s="472"/>
      <c r="M1512" s="472"/>
      <c r="N1512" s="472"/>
      <c r="O1512" s="472"/>
      <c r="P1512" s="442"/>
      <c r="Q1512" s="442"/>
      <c r="R1512" s="443"/>
      <c r="S1512" s="364"/>
      <c r="Z1512" s="609" t="s">
        <v>540</v>
      </c>
      <c r="AA1512" s="609" t="s">
        <v>3137</v>
      </c>
    </row>
    <row r="1513" spans="1:27" ht="18">
      <c r="A1513" s="2714"/>
      <c r="B1513" s="371">
        <v>101</v>
      </c>
      <c r="C1513" s="371" t="s">
        <v>2791</v>
      </c>
      <c r="D1513" s="2716">
        <f t="shared" ref="D1513:D1518" si="139">IF(OR(G1513="*",G1513="",G1513=0),0,COUNTIF($G$1513:$G$1518,G1513))</f>
        <v>0</v>
      </c>
      <c r="E1513" s="2721">
        <v>1</v>
      </c>
      <c r="F1513" s="294"/>
      <c r="G1513" s="2538" t="s">
        <v>2792</v>
      </c>
      <c r="H1513" s="2275"/>
      <c r="I1513" s="2276"/>
      <c r="J1513" s="438"/>
      <c r="K1513" s="438"/>
      <c r="L1513" s="472"/>
      <c r="M1513" s="472"/>
      <c r="N1513" s="472"/>
      <c r="O1513" s="472"/>
      <c r="P1513" s="442"/>
      <c r="Q1513" s="442"/>
      <c r="R1513" s="443"/>
      <c r="S1513" s="364"/>
      <c r="Z1513" s="609" t="s">
        <v>540</v>
      </c>
      <c r="AA1513" s="609" t="s">
        <v>3137</v>
      </c>
    </row>
    <row r="1514" spans="1:27" ht="18">
      <c r="A1514" s="2714"/>
      <c r="B1514" s="371">
        <v>102</v>
      </c>
      <c r="C1514" s="371" t="s">
        <v>2791</v>
      </c>
      <c r="D1514" s="2716">
        <f t="shared" si="139"/>
        <v>0</v>
      </c>
      <c r="E1514" s="2721">
        <v>1</v>
      </c>
      <c r="F1514" s="294"/>
      <c r="G1514" s="2538" t="s">
        <v>2792</v>
      </c>
      <c r="H1514" s="2275"/>
      <c r="I1514" s="2276"/>
      <c r="J1514" s="438"/>
      <c r="K1514" s="438"/>
      <c r="L1514" s="472"/>
      <c r="M1514" s="472"/>
      <c r="N1514" s="472"/>
      <c r="O1514" s="472"/>
      <c r="P1514" s="442"/>
      <c r="Q1514" s="442"/>
      <c r="R1514" s="443"/>
      <c r="S1514" s="364"/>
      <c r="Z1514" s="609" t="s">
        <v>540</v>
      </c>
      <c r="AA1514" s="609" t="s">
        <v>3137</v>
      </c>
    </row>
    <row r="1515" spans="1:27" ht="18">
      <c r="A1515" s="2714"/>
      <c r="B1515" s="371">
        <v>103</v>
      </c>
      <c r="C1515" s="371" t="s">
        <v>2791</v>
      </c>
      <c r="D1515" s="2716">
        <f t="shared" si="139"/>
        <v>0</v>
      </c>
      <c r="E1515" s="2721">
        <v>1</v>
      </c>
      <c r="F1515" s="294"/>
      <c r="G1515" s="2538" t="s">
        <v>2792</v>
      </c>
      <c r="H1515" s="2275"/>
      <c r="I1515" s="2276"/>
      <c r="J1515" s="438"/>
      <c r="K1515" s="438"/>
      <c r="L1515" s="472"/>
      <c r="M1515" s="472"/>
      <c r="N1515" s="472"/>
      <c r="O1515" s="472"/>
      <c r="P1515" s="442"/>
      <c r="Q1515" s="442"/>
      <c r="R1515" s="443"/>
      <c r="S1515" s="364"/>
      <c r="Z1515" s="609" t="s">
        <v>540</v>
      </c>
      <c r="AA1515" s="609" t="s">
        <v>3137</v>
      </c>
    </row>
    <row r="1516" spans="1:27" ht="18">
      <c r="A1516" s="2714"/>
      <c r="B1516" s="371">
        <v>104</v>
      </c>
      <c r="C1516" s="371" t="s">
        <v>2791</v>
      </c>
      <c r="D1516" s="2716">
        <f t="shared" si="139"/>
        <v>0</v>
      </c>
      <c r="E1516" s="2721">
        <v>1</v>
      </c>
      <c r="F1516" s="294"/>
      <c r="G1516" s="2538" t="s">
        <v>2792</v>
      </c>
      <c r="H1516" s="2275"/>
      <c r="I1516" s="2276" t="s">
        <v>19</v>
      </c>
      <c r="J1516" s="438"/>
      <c r="K1516" s="438"/>
      <c r="L1516" s="472"/>
      <c r="M1516" s="472"/>
      <c r="N1516" s="472"/>
      <c r="O1516" s="472"/>
      <c r="P1516" s="442"/>
      <c r="Q1516" s="442"/>
      <c r="R1516" s="443"/>
      <c r="S1516" s="364"/>
      <c r="Z1516" s="609" t="s">
        <v>540</v>
      </c>
      <c r="AA1516" s="609" t="s">
        <v>3137</v>
      </c>
    </row>
    <row r="1517" spans="1:27" ht="18">
      <c r="A1517" s="2714"/>
      <c r="B1517" s="371">
        <v>105</v>
      </c>
      <c r="C1517" s="371" t="s">
        <v>2791</v>
      </c>
      <c r="D1517" s="2716">
        <f t="shared" si="139"/>
        <v>0</v>
      </c>
      <c r="E1517" s="2721">
        <v>1</v>
      </c>
      <c r="F1517" s="294"/>
      <c r="G1517" s="2538" t="s">
        <v>2792</v>
      </c>
      <c r="H1517" s="2275"/>
      <c r="I1517" s="2276" t="s">
        <v>19</v>
      </c>
      <c r="J1517" s="438"/>
      <c r="K1517" s="438"/>
      <c r="L1517" s="472"/>
      <c r="M1517" s="472"/>
      <c r="N1517" s="472"/>
      <c r="O1517" s="472"/>
      <c r="P1517" s="442"/>
      <c r="Q1517" s="442"/>
      <c r="R1517" s="443"/>
      <c r="S1517" s="364"/>
      <c r="Z1517" s="609" t="s">
        <v>540</v>
      </c>
      <c r="AA1517" s="609" t="s">
        <v>3137</v>
      </c>
    </row>
    <row r="1518" spans="1:27" ht="18.75" thickBot="1">
      <c r="A1518" s="2714"/>
      <c r="B1518" s="371"/>
      <c r="C1518" s="371"/>
      <c r="D1518" s="2716">
        <f t="shared" si="139"/>
        <v>1</v>
      </c>
      <c r="E1518" s="2721" t="s">
        <v>3032</v>
      </c>
      <c r="F1518" s="294"/>
      <c r="G1518" s="2234" t="s">
        <v>2752</v>
      </c>
      <c r="H1518" s="2235">
        <f>SUMPRODUCT($E1512:$E1517,H1512:H1517)</f>
        <v>0</v>
      </c>
      <c r="I1518" s="2244" t="s">
        <v>19</v>
      </c>
      <c r="J1518" s="520"/>
      <c r="K1518" s="498"/>
      <c r="L1518" s="472"/>
      <c r="M1518" s="472"/>
      <c r="N1518" s="472"/>
      <c r="O1518" s="472"/>
      <c r="P1518" s="442"/>
      <c r="Q1518" s="442"/>
      <c r="R1518" s="443"/>
      <c r="S1518" s="364"/>
      <c r="Z1518" s="609" t="s">
        <v>540</v>
      </c>
      <c r="AA1518" s="609" t="s">
        <v>3137</v>
      </c>
    </row>
    <row r="1519" spans="1:27" ht="18">
      <c r="A1519" s="2714"/>
      <c r="B1519" s="371"/>
      <c r="C1519" s="371" t="s">
        <v>2755</v>
      </c>
      <c r="D1519" s="371"/>
      <c r="F1519" s="294"/>
      <c r="G1519" s="301"/>
      <c r="H1519" s="315"/>
      <c r="I1519" s="393"/>
      <c r="J1519" s="438"/>
      <c r="K1519" s="438"/>
      <c r="L1519" s="472"/>
      <c r="M1519" s="472"/>
      <c r="N1519" s="472"/>
      <c r="O1519" s="472"/>
      <c r="P1519" s="442"/>
      <c r="Q1519" s="442"/>
      <c r="R1519" s="443"/>
      <c r="S1519" s="364"/>
      <c r="Z1519" s="609" t="s">
        <v>540</v>
      </c>
      <c r="AA1519" s="609" t="s">
        <v>3137</v>
      </c>
    </row>
    <row r="1520" spans="1:27" ht="24">
      <c r="A1520" s="2714" t="s">
        <v>590</v>
      </c>
      <c r="B1520" s="371">
        <v>5</v>
      </c>
      <c r="C1520" s="371"/>
      <c r="D1520" s="2716" t="str">
        <f>VLOOKUP($A1520,Sheet_NoteList,2,0)</f>
        <v>本期实际核销的其他应收款情况</v>
      </c>
      <c r="E1520" s="2716" t="s">
        <v>2742</v>
      </c>
      <c r="F1520" s="293"/>
      <c r="G1520" s="372" t="str">
        <f>"("&amp;B1520&amp;")"&amp;D1520</f>
        <v>(5)本期实际核销的其他应收款情况</v>
      </c>
      <c r="H1520" s="1517" t="str">
        <f>$A1520</f>
        <v>1221z</v>
      </c>
      <c r="I1520" s="343" t="s">
        <v>2743</v>
      </c>
      <c r="J1520" s="301" t="s">
        <v>2744</v>
      </c>
      <c r="K1520" s="2210">
        <f>H1525</f>
        <v>0</v>
      </c>
      <c r="L1520" s="349">
        <f>IF($I1520="适用",IF(ROUND(K$987-K1520,2)=0,"F/S",ROUND(K$987-K1520,2)),"#N/A")</f>
        <v>2208147.21</v>
      </c>
      <c r="M1520" s="301" t="s">
        <v>2745</v>
      </c>
      <c r="N1520" s="2210">
        <f>I1525</f>
        <v>0</v>
      </c>
      <c r="O1520" s="349">
        <f>IF($I1520="适用",IF(ROUND(N$987-N1520,2)=0,"F/S",ROUND(N$987-N1520,2)),"#N/A")</f>
        <v>328019.46999999997</v>
      </c>
      <c r="P1520" s="301"/>
      <c r="S1520" s="364"/>
      <c r="Z1520" s="609" t="s">
        <v>540</v>
      </c>
      <c r="AA1520" s="609" t="s">
        <v>3137</v>
      </c>
    </row>
    <row r="1521" spans="1:27" ht="0.75" customHeight="1" thickBot="1">
      <c r="A1521" s="2714"/>
      <c r="B1521" s="371"/>
      <c r="C1521" s="371"/>
      <c r="D1521" s="2716"/>
      <c r="E1521" s="586"/>
      <c r="F1521" s="586"/>
      <c r="G1521" s="2224" t="s">
        <v>3180</v>
      </c>
      <c r="H1521" s="371" t="s">
        <v>2747</v>
      </c>
      <c r="I1521" s="433"/>
      <c r="J1521" s="433"/>
      <c r="K1521" s="428"/>
      <c r="L1521" s="428"/>
      <c r="M1521" s="433"/>
      <c r="N1521" s="428"/>
      <c r="O1521" s="428"/>
      <c r="P1521" s="433"/>
      <c r="Q1521" s="442"/>
      <c r="R1521" s="443"/>
      <c r="S1521" s="364"/>
      <c r="Z1521" s="609" t="s">
        <v>540</v>
      </c>
      <c r="AA1521" s="609" t="s">
        <v>3137</v>
      </c>
    </row>
    <row r="1522" spans="1:27" ht="18">
      <c r="A1522" s="2714"/>
      <c r="B1522" s="371"/>
      <c r="C1522" s="371"/>
      <c r="D1522" s="2716"/>
      <c r="E1522" s="586" t="s">
        <v>2749</v>
      </c>
      <c r="F1522" s="414"/>
      <c r="G1522" s="2533" t="s">
        <v>5134</v>
      </c>
      <c r="H1522" s="2535" t="s">
        <v>2925</v>
      </c>
      <c r="I1522" s="355" t="s">
        <v>5273</v>
      </c>
      <c r="J1522" s="435"/>
      <c r="K1522" s="434"/>
      <c r="L1522" s="434"/>
      <c r="M1522" s="435"/>
      <c r="N1522" s="434"/>
      <c r="O1522" s="434"/>
      <c r="P1522" s="435"/>
      <c r="Q1522" s="442"/>
      <c r="R1522" s="443"/>
      <c r="S1522" s="364"/>
      <c r="Z1522" s="609" t="s">
        <v>540</v>
      </c>
      <c r="AA1522" s="609" t="s">
        <v>3137</v>
      </c>
    </row>
    <row r="1523" spans="1:27" ht="18">
      <c r="A1523" s="2714"/>
      <c r="B1523" s="371">
        <v>101</v>
      </c>
      <c r="C1523" s="371"/>
      <c r="D1523" s="2716">
        <f>IF(OR(G1523="*",G1523="",G1523=0),0,COUNTIF($G$1523:$G$1525,G1523))</f>
        <v>1</v>
      </c>
      <c r="E1523" s="2721">
        <v>1</v>
      </c>
      <c r="F1523" s="293"/>
      <c r="G1523" s="1474" t="s">
        <v>3181</v>
      </c>
      <c r="H1523" s="2296"/>
      <c r="I1523" s="445"/>
      <c r="J1523" s="438"/>
      <c r="K1523" s="439"/>
      <c r="L1523" s="437"/>
      <c r="M1523" s="438"/>
      <c r="N1523" s="439"/>
      <c r="O1523" s="437"/>
      <c r="P1523" s="438"/>
      <c r="Q1523" s="442"/>
      <c r="R1523" s="443"/>
      <c r="S1523" s="364"/>
      <c r="Z1523" s="609" t="s">
        <v>540</v>
      </c>
      <c r="AA1523" s="609" t="s">
        <v>3137</v>
      </c>
    </row>
    <row r="1524" spans="1:27" ht="18">
      <c r="A1524" s="2714"/>
      <c r="B1524" s="371">
        <v>107</v>
      </c>
      <c r="C1524" s="371" t="s">
        <v>2791</v>
      </c>
      <c r="D1524" s="2716">
        <f>IF(OR(G1524="*",G1524="",G1524=0),0,COUNTIF($G$1523:$G$1525,G1524))</f>
        <v>0</v>
      </c>
      <c r="E1524" s="2721">
        <v>1</v>
      </c>
      <c r="F1524" s="293"/>
      <c r="G1524" s="2538" t="s">
        <v>2792</v>
      </c>
      <c r="H1524" s="2296"/>
      <c r="I1524" s="445"/>
      <c r="J1524" s="438"/>
      <c r="K1524" s="439"/>
      <c r="L1524" s="437"/>
      <c r="M1524" s="438"/>
      <c r="N1524" s="439"/>
      <c r="O1524" s="437"/>
      <c r="P1524" s="438"/>
      <c r="Q1524" s="442"/>
      <c r="R1524" s="443"/>
      <c r="S1524" s="364"/>
      <c r="Z1524" s="609" t="s">
        <v>540</v>
      </c>
      <c r="AA1524" s="609" t="s">
        <v>3137</v>
      </c>
    </row>
    <row r="1525" spans="1:27" ht="18.75" thickBot="1">
      <c r="A1525" s="2714"/>
      <c r="B1525" s="371"/>
      <c r="C1525" s="371"/>
      <c r="D1525" s="2716">
        <f>IF(OR(G1525="*",G1525="",G1525=0),0,COUNTIF($G$1523:$G$1525,G1525))</f>
        <v>1</v>
      </c>
      <c r="E1525" s="2721" t="s">
        <v>2751</v>
      </c>
      <c r="F1525" s="293"/>
      <c r="G1525" s="2234" t="s">
        <v>5141</v>
      </c>
      <c r="H1525" s="2236">
        <f>SUMPRODUCT($E1522:$E1524,H1522:H1524)</f>
        <v>0</v>
      </c>
      <c r="I1525" s="440"/>
      <c r="J1525" s="440"/>
      <c r="K1525" s="439"/>
      <c r="L1525" s="437"/>
      <c r="M1525" s="440"/>
      <c r="N1525" s="439"/>
      <c r="O1525" s="437"/>
      <c r="P1525" s="440"/>
      <c r="Q1525" s="442"/>
      <c r="R1525" s="443"/>
      <c r="S1525" s="364"/>
      <c r="Z1525" s="609" t="s">
        <v>540</v>
      </c>
      <c r="AA1525" s="609" t="s">
        <v>3137</v>
      </c>
    </row>
    <row r="1526" spans="1:27" ht="18">
      <c r="A1526" s="2714"/>
      <c r="B1526" s="371"/>
      <c r="C1526" s="371" t="s">
        <v>2755</v>
      </c>
      <c r="D1526" s="2716"/>
      <c r="F1526" s="293"/>
      <c r="G1526" s="376"/>
      <c r="H1526" s="315"/>
      <c r="I1526" s="446"/>
      <c r="J1526" s="425"/>
      <c r="K1526" s="426"/>
      <c r="L1526" s="427"/>
      <c r="M1526" s="425"/>
      <c r="N1526" s="426"/>
      <c r="O1526" s="427"/>
      <c r="P1526" s="425"/>
      <c r="Q1526" s="442"/>
      <c r="R1526" s="443"/>
      <c r="S1526" s="364"/>
      <c r="Z1526" s="609" t="s">
        <v>540</v>
      </c>
      <c r="AA1526" s="609" t="s">
        <v>3137</v>
      </c>
    </row>
    <row r="1527" spans="1:27" ht="24">
      <c r="A1527" s="2714" t="s">
        <v>595</v>
      </c>
      <c r="B1527" s="371">
        <v>5.0999999999999996</v>
      </c>
      <c r="C1527" s="371"/>
      <c r="D1527" s="2716" t="str">
        <f>VLOOKUP($A1527,Sheet_NoteList,2,0)</f>
        <v>本期重要的其他应收款核销情况</v>
      </c>
      <c r="E1527" s="2716" t="s">
        <v>2742</v>
      </c>
      <c r="F1527" s="294"/>
      <c r="G1527" s="372" t="str">
        <f>"("&amp;B1527&amp;")"&amp;D1527</f>
        <v>(5.1)本期重要的其他应收款核销情况</v>
      </c>
      <c r="H1527" s="1517" t="str">
        <f>$A1527</f>
        <v>1221i</v>
      </c>
      <c r="I1527" s="343" t="s">
        <v>2743</v>
      </c>
      <c r="J1527" s="301" t="s">
        <v>2744</v>
      </c>
      <c r="K1527" s="2210">
        <f>I1535</f>
        <v>0</v>
      </c>
      <c r="L1527" s="345"/>
      <c r="M1527" s="301"/>
      <c r="N1527" s="3083"/>
      <c r="O1527" s="345" t="str">
        <f>IF(ROUND(N1441-N1527,2)&gt;=0,"","#Logical!")</f>
        <v/>
      </c>
      <c r="P1527" s="301"/>
      <c r="Q1527" s="290" t="str">
        <f>IF($I1527="不适用","",IF(ROUND(SUM($H$1530:$L$1535),2)=0,"请输入",""))</f>
        <v>请输入</v>
      </c>
      <c r="S1527" s="364"/>
      <c r="Z1527" s="609" t="s">
        <v>540</v>
      </c>
      <c r="AA1527" s="609" t="s">
        <v>3137</v>
      </c>
    </row>
    <row r="1528" spans="1:27" ht="0.75" customHeight="1" thickBot="1">
      <c r="A1528" s="2714"/>
      <c r="B1528" s="371"/>
      <c r="C1528" s="371"/>
      <c r="D1528" s="371"/>
      <c r="E1528" s="586"/>
      <c r="F1528" s="586"/>
      <c r="G1528" s="586" t="s">
        <v>3182</v>
      </c>
      <c r="H1528" s="371" t="s">
        <v>3043</v>
      </c>
      <c r="I1528" s="371" t="s">
        <v>3044</v>
      </c>
      <c r="J1528" s="371" t="s">
        <v>3045</v>
      </c>
      <c r="K1528" s="371" t="s">
        <v>3046</v>
      </c>
      <c r="L1528" s="371" t="s">
        <v>3047</v>
      </c>
      <c r="M1528" s="291"/>
      <c r="N1528" s="291"/>
      <c r="O1528" s="291"/>
      <c r="S1528" s="364"/>
      <c r="Z1528" s="609" t="s">
        <v>540</v>
      </c>
      <c r="AA1528" s="609" t="s">
        <v>3137</v>
      </c>
    </row>
    <row r="1529" spans="1:27" ht="24">
      <c r="A1529" s="2714"/>
      <c r="B1529" s="371"/>
      <c r="C1529" s="371"/>
      <c r="D1529" s="371"/>
      <c r="E1529" s="586" t="s">
        <v>2749</v>
      </c>
      <c r="F1529" s="363"/>
      <c r="G1529" s="2533" t="s">
        <v>1465</v>
      </c>
      <c r="H1529" s="2534" t="s">
        <v>3183</v>
      </c>
      <c r="I1529" s="2534" t="s">
        <v>2925</v>
      </c>
      <c r="J1529" s="2534" t="s">
        <v>2932</v>
      </c>
      <c r="K1529" s="2534" t="s">
        <v>2933</v>
      </c>
      <c r="L1529" s="2535" t="s">
        <v>3184</v>
      </c>
      <c r="M1529" s="355" t="s">
        <v>5273</v>
      </c>
      <c r="N1529" s="291"/>
      <c r="O1529" s="291"/>
      <c r="S1529" s="364"/>
      <c r="Z1529" s="609" t="s">
        <v>540</v>
      </c>
      <c r="AA1529" s="609" t="s">
        <v>3137</v>
      </c>
    </row>
    <row r="1530" spans="1:27" ht="18">
      <c r="A1530" s="2714"/>
      <c r="B1530" s="371">
        <v>101</v>
      </c>
      <c r="C1530" s="371" t="s">
        <v>2791</v>
      </c>
      <c r="D1530" s="2716">
        <f t="shared" ref="D1530:D1535" si="140">IF(OR(G1530="*",G1530="",G1530=0),0,COUNTIF($G$1530:$G$1535,G1530))</f>
        <v>0</v>
      </c>
      <c r="E1530" s="2721">
        <v>1</v>
      </c>
      <c r="F1530" s="294"/>
      <c r="G1530" s="2538" t="s">
        <v>2792</v>
      </c>
      <c r="H1530" s="2298"/>
      <c r="I1530" s="2275"/>
      <c r="J1530" s="2298"/>
      <c r="K1530" s="2298"/>
      <c r="L1530" s="2276"/>
      <c r="M1530" s="291"/>
      <c r="N1530" s="291"/>
      <c r="O1530" s="291"/>
      <c r="S1530" s="364"/>
      <c r="Z1530" s="609" t="s">
        <v>540</v>
      </c>
      <c r="AA1530" s="609" t="s">
        <v>3137</v>
      </c>
    </row>
    <row r="1531" spans="1:27" ht="18">
      <c r="A1531" s="2714"/>
      <c r="B1531" s="371">
        <v>102</v>
      </c>
      <c r="C1531" s="371" t="s">
        <v>2791</v>
      </c>
      <c r="D1531" s="2716">
        <f t="shared" si="140"/>
        <v>0</v>
      </c>
      <c r="E1531" s="2721">
        <v>1</v>
      </c>
      <c r="F1531" s="294"/>
      <c r="G1531" s="2538" t="s">
        <v>2792</v>
      </c>
      <c r="H1531" s="2298"/>
      <c r="I1531" s="2275"/>
      <c r="J1531" s="2298"/>
      <c r="K1531" s="2298"/>
      <c r="L1531" s="2276"/>
      <c r="M1531" s="291"/>
      <c r="N1531" s="291"/>
      <c r="O1531" s="291"/>
      <c r="S1531" s="364"/>
      <c r="Z1531" s="609" t="s">
        <v>540</v>
      </c>
      <c r="AA1531" s="609" t="s">
        <v>3137</v>
      </c>
    </row>
    <row r="1532" spans="1:27" ht="18">
      <c r="A1532" s="2714"/>
      <c r="B1532" s="371">
        <v>103</v>
      </c>
      <c r="C1532" s="371" t="s">
        <v>2791</v>
      </c>
      <c r="D1532" s="2716">
        <f t="shared" si="140"/>
        <v>0</v>
      </c>
      <c r="E1532" s="2721">
        <v>1</v>
      </c>
      <c r="F1532" s="294"/>
      <c r="G1532" s="2538" t="s">
        <v>2792</v>
      </c>
      <c r="H1532" s="2298"/>
      <c r="I1532" s="2275"/>
      <c r="J1532" s="2298"/>
      <c r="K1532" s="2298"/>
      <c r="L1532" s="2276"/>
      <c r="M1532" s="291"/>
      <c r="N1532" s="291"/>
      <c r="O1532" s="291"/>
      <c r="S1532" s="364"/>
      <c r="Z1532" s="609" t="s">
        <v>540</v>
      </c>
      <c r="AA1532" s="609" t="s">
        <v>3137</v>
      </c>
    </row>
    <row r="1533" spans="1:27" ht="18">
      <c r="A1533" s="2714"/>
      <c r="B1533" s="371">
        <v>104</v>
      </c>
      <c r="C1533" s="371" t="s">
        <v>2791</v>
      </c>
      <c r="D1533" s="2716">
        <f t="shared" si="140"/>
        <v>0</v>
      </c>
      <c r="E1533" s="2721">
        <v>1</v>
      </c>
      <c r="F1533" s="294"/>
      <c r="G1533" s="2538" t="s">
        <v>2792</v>
      </c>
      <c r="H1533" s="2298"/>
      <c r="I1533" s="2275"/>
      <c r="J1533" s="2298"/>
      <c r="K1533" s="2298"/>
      <c r="L1533" s="2276"/>
      <c r="M1533" s="291"/>
      <c r="N1533" s="291"/>
      <c r="O1533" s="291"/>
      <c r="S1533" s="364"/>
      <c r="Z1533" s="609" t="s">
        <v>540</v>
      </c>
      <c r="AA1533" s="609" t="s">
        <v>3137</v>
      </c>
    </row>
    <row r="1534" spans="1:27" ht="18">
      <c r="A1534" s="2714"/>
      <c r="B1534" s="371">
        <v>105</v>
      </c>
      <c r="C1534" s="371" t="s">
        <v>2791</v>
      </c>
      <c r="D1534" s="2716">
        <f t="shared" si="140"/>
        <v>0</v>
      </c>
      <c r="E1534" s="2721">
        <v>1</v>
      </c>
      <c r="F1534" s="294"/>
      <c r="G1534" s="2538" t="s">
        <v>2792</v>
      </c>
      <c r="H1534" s="2298"/>
      <c r="I1534" s="2275"/>
      <c r="J1534" s="2298"/>
      <c r="K1534" s="2298"/>
      <c r="L1534" s="2276"/>
      <c r="M1534" s="291"/>
      <c r="N1534" s="291"/>
      <c r="O1534" s="291"/>
      <c r="S1534" s="364"/>
      <c r="Z1534" s="609" t="s">
        <v>540</v>
      </c>
      <c r="AA1534" s="609" t="s">
        <v>3137</v>
      </c>
    </row>
    <row r="1535" spans="1:27" ht="18.75" thickBot="1">
      <c r="A1535" s="2714"/>
      <c r="B1535" s="371"/>
      <c r="C1535" s="371"/>
      <c r="D1535" s="2716">
        <f t="shared" si="140"/>
        <v>1</v>
      </c>
      <c r="E1535" s="2721" t="s">
        <v>3032</v>
      </c>
      <c r="F1535" s="294"/>
      <c r="G1535" s="2234" t="s">
        <v>2752</v>
      </c>
      <c r="H1535" s="2241"/>
      <c r="I1535" s="2235">
        <f>SUMPRODUCT($E1529:$E1534,I1529:I1534)</f>
        <v>0</v>
      </c>
      <c r="J1535" s="2241"/>
      <c r="K1535" s="2241"/>
      <c r="L1535" s="2244"/>
      <c r="M1535" s="291"/>
      <c r="N1535" s="291"/>
      <c r="O1535" s="291"/>
      <c r="S1535" s="364"/>
      <c r="Z1535" s="609" t="s">
        <v>540</v>
      </c>
      <c r="AA1535" s="609" t="s">
        <v>3137</v>
      </c>
    </row>
    <row r="1536" spans="1:27" ht="18.75" thickBot="1">
      <c r="A1536" s="2714"/>
      <c r="B1536" s="371">
        <v>901</v>
      </c>
      <c r="C1536" s="371"/>
      <c r="D1536" s="371"/>
      <c r="E1536" s="2716" t="s">
        <v>2753</v>
      </c>
      <c r="F1536" s="294"/>
      <c r="G1536" s="2262" t="s">
        <v>3185</v>
      </c>
      <c r="H1536" s="350"/>
      <c r="I1536" s="348"/>
      <c r="J1536" s="530"/>
      <c r="K1536" s="350"/>
      <c r="L1536" s="350"/>
      <c r="M1536" s="291"/>
      <c r="N1536" s="291"/>
      <c r="O1536" s="291"/>
      <c r="P1536" s="291"/>
      <c r="S1536" s="364"/>
      <c r="Z1536" s="609" t="s">
        <v>540</v>
      </c>
      <c r="AA1536" s="609" t="s">
        <v>3137</v>
      </c>
    </row>
    <row r="1537" spans="1:27" ht="18">
      <c r="A1537" s="2714"/>
      <c r="B1537" s="371"/>
      <c r="C1537" s="371" t="s">
        <v>2755</v>
      </c>
      <c r="D1537" s="371"/>
      <c r="F1537" s="294"/>
      <c r="G1537" s="314"/>
      <c r="H1537" s="393"/>
      <c r="I1537" s="315"/>
      <c r="J1537" s="393"/>
      <c r="K1537" s="393"/>
      <c r="L1537" s="393"/>
      <c r="M1537" s="291"/>
      <c r="N1537" s="291"/>
      <c r="O1537" s="291"/>
      <c r="S1537" s="364"/>
      <c r="Z1537" s="609" t="s">
        <v>540</v>
      </c>
      <c r="AA1537" s="609" t="s">
        <v>3137</v>
      </c>
    </row>
    <row r="1538" spans="1:27" ht="24">
      <c r="A1538" s="2714" t="s">
        <v>600</v>
      </c>
      <c r="B1538" s="371">
        <v>6</v>
      </c>
      <c r="C1538" s="371"/>
      <c r="D1538" s="2716" t="str">
        <f>VLOOKUP($A1538,Sheet_NoteList,2,0)</f>
        <v>按欠款方归集的期末余额前五名的其他应收款情况</v>
      </c>
      <c r="E1538" s="2716" t="s">
        <v>2742</v>
      </c>
      <c r="F1538" s="294"/>
      <c r="G1538" s="372" t="str">
        <f>"("&amp;B1538&amp;")"&amp;D1538</f>
        <v>(6)按欠款方归集的期末余额前五名的其他应收款情况</v>
      </c>
      <c r="H1538" s="1517" t="str">
        <f>$A1538</f>
        <v>1221k</v>
      </c>
      <c r="I1538" s="343" t="s">
        <v>2743</v>
      </c>
      <c r="J1538" s="301" t="s">
        <v>2744</v>
      </c>
      <c r="K1538" s="2210">
        <f>I1555-L1555</f>
        <v>0</v>
      </c>
      <c r="L1538" s="345" t="str">
        <f>IF($I1538="适用",IF(ROUND(K$987-K1538,2)&gt;=0,"","#Logical!"),"#N/A")</f>
        <v/>
      </c>
      <c r="M1538" s="301"/>
      <c r="N1538" s="3083"/>
      <c r="O1538" s="345" t="str">
        <f>IF(ROUND(N1410-N1538,2)&gt;=0,"","#Logical!")</f>
        <v/>
      </c>
      <c r="P1538" s="301"/>
      <c r="Q1538" s="290" t="str">
        <f>IF($I1538="不适用","",IF(ROUND(SUM($H$1541:$L$1555),2)=0,"请输入",""))</f>
        <v>请输入</v>
      </c>
      <c r="S1538" s="364"/>
      <c r="Z1538" s="609" t="s">
        <v>540</v>
      </c>
      <c r="AA1538" s="609" t="s">
        <v>3137</v>
      </c>
    </row>
    <row r="1539" spans="1:27" ht="0.75" customHeight="1" thickBot="1">
      <c r="A1539" s="2714"/>
      <c r="B1539" s="371"/>
      <c r="C1539" s="371"/>
      <c r="D1539" s="371"/>
      <c r="F1539" s="371"/>
      <c r="G1539" s="371" t="s">
        <v>3186</v>
      </c>
      <c r="H1539" s="371" t="s">
        <v>3187</v>
      </c>
      <c r="I1539" s="371" t="s">
        <v>3188</v>
      </c>
      <c r="J1539" s="371" t="s">
        <v>3189</v>
      </c>
      <c r="K1539" s="371" t="s">
        <v>3190</v>
      </c>
      <c r="L1539" s="371" t="s">
        <v>3191</v>
      </c>
      <c r="M1539" s="291"/>
      <c r="N1539" s="291"/>
      <c r="O1539" s="291"/>
      <c r="P1539" s="291"/>
      <c r="S1539" s="364"/>
      <c r="Z1539" s="609" t="s">
        <v>540</v>
      </c>
      <c r="AA1539" s="609" t="s">
        <v>3137</v>
      </c>
    </row>
    <row r="1540" spans="1:27" ht="36">
      <c r="A1540" s="2714"/>
      <c r="B1540" s="371"/>
      <c r="C1540" s="371"/>
      <c r="D1540" s="371"/>
      <c r="E1540" s="2716" t="s">
        <v>2749</v>
      </c>
      <c r="F1540" s="294"/>
      <c r="G1540" s="2498" t="s">
        <v>1465</v>
      </c>
      <c r="H1540" s="2499" t="s">
        <v>3192</v>
      </c>
      <c r="I1540" s="2483" t="str">
        <f>$W$2&amp;"余额"</f>
        <v>2019年12月31日余额</v>
      </c>
      <c r="J1540" s="2539" t="s">
        <v>2961</v>
      </c>
      <c r="K1540" s="2499" t="s">
        <v>3193</v>
      </c>
      <c r="L1540" s="2536" t="s">
        <v>3055</v>
      </c>
      <c r="M1540" s="355" t="s">
        <v>5273</v>
      </c>
      <c r="N1540" s="291"/>
      <c r="O1540" s="291"/>
      <c r="P1540" s="291"/>
      <c r="S1540" s="364"/>
      <c r="Z1540" s="609" t="s">
        <v>540</v>
      </c>
      <c r="AA1540" s="609" t="s">
        <v>3137</v>
      </c>
    </row>
    <row r="1541" spans="1:27" ht="24">
      <c r="A1541" s="2714"/>
      <c r="B1541" s="371">
        <v>101</v>
      </c>
      <c r="C1541" s="371"/>
      <c r="D1541" s="2716">
        <f t="shared" ref="D1541:D1555" si="141">IF(OR(G1541="*",G1541="",G1541=0),0,COUNTIF($G$1541:$G$1555,G1541))</f>
        <v>1</v>
      </c>
      <c r="E1541" s="2721" t="s">
        <v>41</v>
      </c>
      <c r="F1541" s="294"/>
      <c r="G1541" s="308" t="s">
        <v>3194</v>
      </c>
      <c r="H1541" s="360"/>
      <c r="I1541" s="309"/>
      <c r="J1541" s="360"/>
      <c r="K1541" s="360" t="s">
        <v>19</v>
      </c>
      <c r="L1541" s="346"/>
      <c r="M1541" s="291"/>
      <c r="N1541" s="291"/>
      <c r="O1541" s="291"/>
      <c r="P1541" s="291"/>
      <c r="S1541" s="364"/>
      <c r="Z1541" s="609" t="s">
        <v>540</v>
      </c>
      <c r="AA1541" s="609" t="s">
        <v>3137</v>
      </c>
    </row>
    <row r="1542" spans="1:27" ht="18">
      <c r="A1542" s="2714"/>
      <c r="B1542" s="371">
        <v>101.001</v>
      </c>
      <c r="C1542" s="371" t="s">
        <v>2791</v>
      </c>
      <c r="D1542" s="2716">
        <f t="shared" si="141"/>
        <v>0</v>
      </c>
      <c r="E1542" s="2721" t="s">
        <v>3195</v>
      </c>
      <c r="F1542" s="294"/>
      <c r="G1542" s="1460" t="s">
        <v>2792</v>
      </c>
      <c r="H1542" s="360"/>
      <c r="I1542" s="309"/>
      <c r="J1542" s="360"/>
      <c r="K1542" s="360" t="s">
        <v>19</v>
      </c>
      <c r="L1542" s="346"/>
      <c r="M1542" s="291"/>
      <c r="N1542" s="291"/>
      <c r="O1542" s="291"/>
      <c r="P1542" s="291"/>
      <c r="S1542" s="364"/>
      <c r="Z1542" s="609" t="s">
        <v>540</v>
      </c>
      <c r="AA1542" s="609" t="s">
        <v>3137</v>
      </c>
    </row>
    <row r="1543" spans="1:27" ht="18">
      <c r="A1543" s="2714"/>
      <c r="B1543" s="371">
        <v>101.002</v>
      </c>
      <c r="C1543" s="371" t="s">
        <v>2791</v>
      </c>
      <c r="D1543" s="2716">
        <f t="shared" si="141"/>
        <v>0</v>
      </c>
      <c r="E1543" s="2721" t="s">
        <v>3195</v>
      </c>
      <c r="F1543" s="294"/>
      <c r="G1543" s="1460" t="s">
        <v>2792</v>
      </c>
      <c r="H1543" s="360"/>
      <c r="I1543" s="309"/>
      <c r="J1543" s="360"/>
      <c r="K1543" s="360"/>
      <c r="L1543" s="346"/>
      <c r="M1543" s="291"/>
      <c r="N1543" s="291"/>
      <c r="O1543" s="291"/>
      <c r="P1543" s="291"/>
      <c r="S1543" s="364"/>
      <c r="Z1543" s="609" t="s">
        <v>540</v>
      </c>
      <c r="AA1543" s="609" t="s">
        <v>3137</v>
      </c>
    </row>
    <row r="1544" spans="1:27" ht="18">
      <c r="A1544" s="2714"/>
      <c r="B1544" s="371">
        <v>101.003</v>
      </c>
      <c r="C1544" s="371" t="s">
        <v>2791</v>
      </c>
      <c r="D1544" s="2716">
        <f t="shared" si="141"/>
        <v>0</v>
      </c>
      <c r="E1544" s="2721" t="s">
        <v>3195</v>
      </c>
      <c r="F1544" s="294"/>
      <c r="G1544" s="1460" t="s">
        <v>2792</v>
      </c>
      <c r="H1544" s="360"/>
      <c r="I1544" s="309"/>
      <c r="J1544" s="360"/>
      <c r="K1544" s="360"/>
      <c r="L1544" s="346"/>
      <c r="M1544" s="291"/>
      <c r="N1544" s="291"/>
      <c r="O1544" s="291"/>
      <c r="P1544" s="291"/>
      <c r="S1544" s="364"/>
      <c r="Z1544" s="609" t="s">
        <v>540</v>
      </c>
      <c r="AA1544" s="609" t="s">
        <v>3137</v>
      </c>
    </row>
    <row r="1545" spans="1:27" ht="18">
      <c r="A1545" s="2714"/>
      <c r="B1545" s="371">
        <v>101.004</v>
      </c>
      <c r="C1545" s="371" t="s">
        <v>2791</v>
      </c>
      <c r="D1545" s="2716">
        <f t="shared" si="141"/>
        <v>0</v>
      </c>
      <c r="E1545" s="2721" t="s">
        <v>3195</v>
      </c>
      <c r="F1545" s="294"/>
      <c r="G1545" s="1460" t="s">
        <v>2792</v>
      </c>
      <c r="H1545" s="360"/>
      <c r="I1545" s="309"/>
      <c r="J1545" s="360"/>
      <c r="K1545" s="360"/>
      <c r="L1545" s="346"/>
      <c r="M1545" s="291"/>
      <c r="N1545" s="291"/>
      <c r="O1545" s="291"/>
      <c r="P1545" s="291"/>
      <c r="S1545" s="364"/>
      <c r="Z1545" s="609" t="s">
        <v>540</v>
      </c>
      <c r="AA1545" s="609" t="s">
        <v>3137</v>
      </c>
    </row>
    <row r="1546" spans="1:27" ht="18">
      <c r="A1546" s="2714"/>
      <c r="B1546" s="371">
        <v>101.005</v>
      </c>
      <c r="C1546" s="371" t="s">
        <v>2791</v>
      </c>
      <c r="D1546" s="2716">
        <f t="shared" si="141"/>
        <v>0</v>
      </c>
      <c r="E1546" s="2721" t="s">
        <v>3195</v>
      </c>
      <c r="F1546" s="294"/>
      <c r="G1546" s="1460" t="s">
        <v>2792</v>
      </c>
      <c r="H1546" s="360"/>
      <c r="I1546" s="309"/>
      <c r="J1546" s="360"/>
      <c r="K1546" s="360"/>
      <c r="L1546" s="346"/>
      <c r="M1546" s="291"/>
      <c r="N1546" s="291"/>
      <c r="O1546" s="291"/>
      <c r="P1546" s="291"/>
      <c r="S1546" s="364"/>
      <c r="Z1546" s="609" t="s">
        <v>540</v>
      </c>
      <c r="AA1546" s="609" t="s">
        <v>3137</v>
      </c>
    </row>
    <row r="1547" spans="1:27" ht="24">
      <c r="A1547" s="2714"/>
      <c r="B1547" s="371">
        <v>101.999</v>
      </c>
      <c r="C1547" s="371" t="s">
        <v>2793</v>
      </c>
      <c r="D1547" s="2716">
        <f t="shared" si="141"/>
        <v>1</v>
      </c>
      <c r="E1547" s="2721">
        <v>1</v>
      </c>
      <c r="F1547" s="294"/>
      <c r="G1547" s="308" t="s">
        <v>3195</v>
      </c>
      <c r="H1547" s="360"/>
      <c r="I1547" s="377">
        <f>SUMIF($E$1540:$E$1554,$G1547,I$1540:I$1554)</f>
        <v>0</v>
      </c>
      <c r="J1547" s="360"/>
      <c r="K1547" s="360"/>
      <c r="L1547" s="397">
        <f>SUMIF($E$1540:$E$1554,$G1547,L$1540:L$1554)</f>
        <v>0</v>
      </c>
      <c r="M1547" s="291"/>
      <c r="N1547" s="291"/>
      <c r="O1547" s="291"/>
      <c r="P1547" s="291"/>
      <c r="S1547" s="364"/>
      <c r="Z1547" s="609" t="s">
        <v>540</v>
      </c>
      <c r="AA1547" s="609" t="s">
        <v>3137</v>
      </c>
    </row>
    <row r="1548" spans="1:27" ht="36">
      <c r="A1548" s="2714"/>
      <c r="B1548" s="371">
        <v>102</v>
      </c>
      <c r="C1548" s="371"/>
      <c r="D1548" s="2716">
        <f t="shared" si="141"/>
        <v>1</v>
      </c>
      <c r="E1548" s="2721" t="s">
        <v>41</v>
      </c>
      <c r="F1548" s="294"/>
      <c r="G1548" s="1459" t="s">
        <v>3058</v>
      </c>
      <c r="H1548" s="360"/>
      <c r="I1548" s="309"/>
      <c r="J1548" s="360"/>
      <c r="K1548" s="360"/>
      <c r="L1548" s="346"/>
      <c r="M1548" s="355" t="s">
        <v>5144</v>
      </c>
      <c r="N1548" s="291"/>
      <c r="O1548" s="291"/>
      <c r="P1548" s="291"/>
      <c r="S1548" s="364"/>
      <c r="Z1548" s="609" t="s">
        <v>540</v>
      </c>
      <c r="AA1548" s="609" t="s">
        <v>3137</v>
      </c>
    </row>
    <row r="1549" spans="1:27" ht="18">
      <c r="A1549" s="2714"/>
      <c r="B1549" s="371">
        <v>102.001</v>
      </c>
      <c r="C1549" s="371" t="s">
        <v>2791</v>
      </c>
      <c r="D1549" s="2716">
        <f t="shared" si="141"/>
        <v>0</v>
      </c>
      <c r="E1549" s="2721" t="s">
        <v>2875</v>
      </c>
      <c r="F1549" s="294"/>
      <c r="G1549" s="1460" t="s">
        <v>2792</v>
      </c>
      <c r="H1549" s="360"/>
      <c r="I1549" s="309"/>
      <c r="J1549" s="360"/>
      <c r="K1549" s="360"/>
      <c r="L1549" s="346"/>
      <c r="M1549" s="291"/>
      <c r="N1549" s="291"/>
      <c r="O1549" s="291"/>
      <c r="P1549" s="291"/>
      <c r="S1549" s="364"/>
      <c r="Z1549" s="609" t="s">
        <v>540</v>
      </c>
      <c r="AA1549" s="609" t="s">
        <v>3137</v>
      </c>
    </row>
    <row r="1550" spans="1:27" ht="18">
      <c r="A1550" s="2714"/>
      <c r="B1550" s="371">
        <v>102.002</v>
      </c>
      <c r="C1550" s="371" t="s">
        <v>2791</v>
      </c>
      <c r="D1550" s="2716">
        <f t="shared" si="141"/>
        <v>0</v>
      </c>
      <c r="E1550" s="2721" t="s">
        <v>2875</v>
      </c>
      <c r="F1550" s="294"/>
      <c r="G1550" s="1460" t="s">
        <v>2792</v>
      </c>
      <c r="H1550" s="360"/>
      <c r="I1550" s="309"/>
      <c r="J1550" s="360"/>
      <c r="K1550" s="360"/>
      <c r="L1550" s="346"/>
      <c r="M1550" s="291"/>
      <c r="N1550" s="291"/>
      <c r="O1550" s="291"/>
      <c r="P1550" s="291"/>
      <c r="S1550" s="364"/>
      <c r="Z1550" s="609" t="s">
        <v>540</v>
      </c>
      <c r="AA1550" s="609" t="s">
        <v>3137</v>
      </c>
    </row>
    <row r="1551" spans="1:27" ht="18">
      <c r="A1551" s="2714"/>
      <c r="B1551" s="371">
        <v>102.003</v>
      </c>
      <c r="C1551" s="371" t="s">
        <v>2791</v>
      </c>
      <c r="D1551" s="2716">
        <f t="shared" si="141"/>
        <v>0</v>
      </c>
      <c r="E1551" s="2721" t="s">
        <v>2875</v>
      </c>
      <c r="F1551" s="294"/>
      <c r="G1551" s="1460" t="s">
        <v>2792</v>
      </c>
      <c r="H1551" s="360"/>
      <c r="I1551" s="309"/>
      <c r="J1551" s="360"/>
      <c r="K1551" s="360"/>
      <c r="L1551" s="346"/>
      <c r="M1551" s="291"/>
      <c r="N1551" s="291"/>
      <c r="O1551" s="291"/>
      <c r="P1551" s="291"/>
      <c r="S1551" s="364"/>
      <c r="Z1551" s="609" t="s">
        <v>540</v>
      </c>
      <c r="AA1551" s="609" t="s">
        <v>3137</v>
      </c>
    </row>
    <row r="1552" spans="1:27" ht="18">
      <c r="A1552" s="2714"/>
      <c r="B1552" s="371">
        <v>102.004</v>
      </c>
      <c r="C1552" s="371" t="s">
        <v>2791</v>
      </c>
      <c r="D1552" s="2716">
        <f t="shared" si="141"/>
        <v>0</v>
      </c>
      <c r="E1552" s="2721" t="s">
        <v>2875</v>
      </c>
      <c r="F1552" s="294"/>
      <c r="G1552" s="1460" t="s">
        <v>2792</v>
      </c>
      <c r="H1552" s="360"/>
      <c r="I1552" s="309"/>
      <c r="J1552" s="360"/>
      <c r="K1552" s="360"/>
      <c r="L1552" s="346"/>
      <c r="M1552" s="291"/>
      <c r="N1552" s="291"/>
      <c r="O1552" s="291"/>
      <c r="P1552" s="291"/>
      <c r="S1552" s="364"/>
      <c r="Z1552" s="609" t="s">
        <v>540</v>
      </c>
      <c r="AA1552" s="609" t="s">
        <v>3137</v>
      </c>
    </row>
    <row r="1553" spans="1:27" ht="18">
      <c r="A1553" s="2714"/>
      <c r="B1553" s="371">
        <v>102.005</v>
      </c>
      <c r="C1553" s="371" t="s">
        <v>2791</v>
      </c>
      <c r="D1553" s="2716">
        <f t="shared" si="141"/>
        <v>0</v>
      </c>
      <c r="E1553" s="2721" t="s">
        <v>2875</v>
      </c>
      <c r="F1553" s="294"/>
      <c r="G1553" s="1460" t="s">
        <v>2792</v>
      </c>
      <c r="H1553" s="360"/>
      <c r="I1553" s="309"/>
      <c r="J1553" s="360"/>
      <c r="K1553" s="360" t="s">
        <v>19</v>
      </c>
      <c r="L1553" s="346"/>
      <c r="M1553" s="291"/>
      <c r="N1553" s="291"/>
      <c r="O1553" s="291"/>
      <c r="P1553" s="291"/>
      <c r="S1553" s="364"/>
      <c r="Z1553" s="609" t="s">
        <v>540</v>
      </c>
      <c r="AA1553" s="609" t="s">
        <v>3137</v>
      </c>
    </row>
    <row r="1554" spans="1:27" ht="18">
      <c r="A1554" s="2714"/>
      <c r="B1554" s="371">
        <v>102.999</v>
      </c>
      <c r="C1554" s="371" t="s">
        <v>2793</v>
      </c>
      <c r="D1554" s="2716">
        <f t="shared" si="141"/>
        <v>1</v>
      </c>
      <c r="E1554" s="2721">
        <v>0</v>
      </c>
      <c r="F1554" s="294"/>
      <c r="G1554" s="308" t="s">
        <v>2875</v>
      </c>
      <c r="H1554" s="360"/>
      <c r="I1554" s="377">
        <f>SUMIF($E$1540:$E$1554,$G1554,I$1540:I$1554)</f>
        <v>0</v>
      </c>
      <c r="J1554" s="360"/>
      <c r="K1554" s="360" t="s">
        <v>19</v>
      </c>
      <c r="L1554" s="397">
        <f>SUMIF($E$1540:$E$1554,$G1554,L$1540:L$1554)</f>
        <v>0</v>
      </c>
      <c r="M1554" s="291"/>
      <c r="N1554" s="291"/>
      <c r="O1554" s="291"/>
      <c r="P1554" s="291"/>
      <c r="S1554" s="364"/>
      <c r="Z1554" s="609" t="s">
        <v>540</v>
      </c>
      <c r="AA1554" s="609" t="s">
        <v>3137</v>
      </c>
    </row>
    <row r="1555" spans="1:27" ht="18.75" thickBot="1">
      <c r="A1555" s="2714"/>
      <c r="B1555" s="371"/>
      <c r="C1555" s="371"/>
      <c r="D1555" s="2716">
        <f t="shared" si="141"/>
        <v>1</v>
      </c>
      <c r="E1555" s="2721" t="s">
        <v>3032</v>
      </c>
      <c r="F1555" s="294"/>
      <c r="G1555" s="2234" t="s">
        <v>2752</v>
      </c>
      <c r="H1555" s="2486"/>
      <c r="I1555" s="2325">
        <f>SUMPRODUCT($E1540:$E1554,I1540:I1554)</f>
        <v>0</v>
      </c>
      <c r="J1555" s="2486"/>
      <c r="K1555" s="2486"/>
      <c r="L1555" s="2342">
        <f>SUMPRODUCT($E1540:$E1554,L1540:L1554)</f>
        <v>0</v>
      </c>
      <c r="M1555" s="291"/>
      <c r="N1555" s="291"/>
      <c r="O1555" s="291"/>
      <c r="P1555" s="291"/>
      <c r="S1555" s="364"/>
      <c r="Z1555" s="609" t="s">
        <v>540</v>
      </c>
      <c r="AA1555" s="609" t="s">
        <v>3137</v>
      </c>
    </row>
    <row r="1556" spans="1:27" ht="18">
      <c r="A1556" s="2714"/>
      <c r="B1556" s="371"/>
      <c r="C1556" s="371" t="s">
        <v>2755</v>
      </c>
      <c r="D1556" s="371"/>
      <c r="F1556" s="294"/>
      <c r="G1556" s="301"/>
      <c r="H1556" s="393"/>
      <c r="I1556" s="315"/>
      <c r="J1556" s="393"/>
      <c r="K1556" s="393"/>
      <c r="L1556" s="315"/>
      <c r="M1556" s="291"/>
      <c r="N1556" s="291"/>
      <c r="O1556" s="291"/>
      <c r="P1556" s="291"/>
      <c r="S1556" s="364"/>
      <c r="Z1556" s="609" t="s">
        <v>540</v>
      </c>
      <c r="AA1556" s="609" t="s">
        <v>3137</v>
      </c>
    </row>
    <row r="1557" spans="1:27" ht="24">
      <c r="A1557" s="2714" t="s">
        <v>605</v>
      </c>
      <c r="B1557" s="371">
        <v>7</v>
      </c>
      <c r="C1557" s="371"/>
      <c r="D1557" s="2716" t="str">
        <f>VLOOKUP($A1557,Sheet_NoteList,2,0)</f>
        <v>涉及政府补助的其他应收款</v>
      </c>
      <c r="E1557" s="2716" t="s">
        <v>2742</v>
      </c>
      <c r="F1557" s="294"/>
      <c r="G1557" s="372" t="str">
        <f>"("&amp;B1557&amp;")"&amp;D1557</f>
        <v>(7)涉及政府补助的其他应收款</v>
      </c>
      <c r="H1557" s="1517" t="str">
        <f>$A1557</f>
        <v>1221r</v>
      </c>
      <c r="I1557" s="343" t="s">
        <v>2743</v>
      </c>
      <c r="J1557" s="301" t="s">
        <v>2744</v>
      </c>
      <c r="K1557" s="2210">
        <f>I1565</f>
        <v>0</v>
      </c>
      <c r="L1557" s="345" t="str">
        <f>IF($I1557="适用",IF(ROUND(K$987-K1557,2)&gt;=0,"","#Logical!"),"#N/A")</f>
        <v/>
      </c>
      <c r="M1557" s="301"/>
      <c r="N1557" s="3083"/>
      <c r="O1557" s="345" t="str">
        <f>IF(ROUND(N1556-N1557,2)&gt;=0,"","#Logical!")</f>
        <v/>
      </c>
      <c r="P1557" s="301"/>
      <c r="Q1557" s="290" t="str">
        <f>IF($I1557="不适用","",IF(ROUND(SUM($H$1560:$K$1565),2)=0,"请输入",""))</f>
        <v>请输入</v>
      </c>
      <c r="S1557" s="364"/>
      <c r="Z1557" s="609" t="s">
        <v>540</v>
      </c>
      <c r="AA1557" s="609" t="s">
        <v>3137</v>
      </c>
    </row>
    <row r="1558" spans="1:27" ht="0.75" customHeight="1" thickBot="1">
      <c r="A1558" s="2714"/>
      <c r="B1558" s="371"/>
      <c r="C1558" s="371"/>
      <c r="D1558" s="371"/>
      <c r="E1558" s="586"/>
      <c r="F1558" s="586"/>
      <c r="G1558" s="586" t="s">
        <v>3196</v>
      </c>
      <c r="H1558" s="371" t="s">
        <v>3197</v>
      </c>
      <c r="I1558" s="371" t="s">
        <v>3188</v>
      </c>
      <c r="J1558" s="371" t="s">
        <v>3198</v>
      </c>
      <c r="K1558" s="371" t="s">
        <v>2898</v>
      </c>
      <c r="L1558" s="291"/>
      <c r="M1558" s="291"/>
      <c r="N1558" s="291"/>
      <c r="O1558" s="291"/>
      <c r="S1558" s="364"/>
      <c r="Z1558" s="609" t="s">
        <v>540</v>
      </c>
      <c r="AA1558" s="609" t="s">
        <v>3137</v>
      </c>
    </row>
    <row r="1559" spans="1:27" ht="24">
      <c r="A1559" s="2714"/>
      <c r="B1559" s="371"/>
      <c r="C1559" s="371"/>
      <c r="D1559" s="371"/>
      <c r="E1559" s="586" t="s">
        <v>2749</v>
      </c>
      <c r="F1559" s="363"/>
      <c r="G1559" s="2533" t="s">
        <v>1465</v>
      </c>
      <c r="H1559" s="2534" t="s">
        <v>3199</v>
      </c>
      <c r="I1559" s="2555" t="str">
        <f>$W$2&amp;"余额"</f>
        <v>2019年12月31日余额</v>
      </c>
      <c r="J1559" s="2543" t="s">
        <v>6129</v>
      </c>
      <c r="K1559" s="2535" t="s">
        <v>3200</v>
      </c>
      <c r="L1559" s="355" t="s">
        <v>5273</v>
      </c>
      <c r="M1559" s="291"/>
      <c r="N1559" s="291"/>
      <c r="O1559" s="291"/>
      <c r="S1559" s="364"/>
      <c r="Z1559" s="609" t="s">
        <v>540</v>
      </c>
      <c r="AA1559" s="609" t="s">
        <v>3137</v>
      </c>
    </row>
    <row r="1560" spans="1:27" ht="18">
      <c r="A1560" s="2714"/>
      <c r="B1560" s="371">
        <v>101</v>
      </c>
      <c r="C1560" s="371" t="s">
        <v>2791</v>
      </c>
      <c r="D1560" s="2716">
        <f t="shared" ref="D1560:D1565" si="142">IF(OR(G1560="*",G1560="",G1560=0),0,COUNTIF($G$1560:$G$1565,G1560))</f>
        <v>0</v>
      </c>
      <c r="E1560" s="2721">
        <v>1</v>
      </c>
      <c r="F1560" s="294"/>
      <c r="G1560" s="2538" t="s">
        <v>2792</v>
      </c>
      <c r="H1560" s="2298"/>
      <c r="I1560" s="2275"/>
      <c r="J1560" s="2298"/>
      <c r="K1560" s="2276"/>
      <c r="L1560" s="291"/>
      <c r="M1560" s="291"/>
      <c r="N1560" s="291"/>
      <c r="O1560" s="291"/>
      <c r="S1560" s="364"/>
      <c r="Z1560" s="609" t="s">
        <v>540</v>
      </c>
      <c r="AA1560" s="609" t="s">
        <v>3137</v>
      </c>
    </row>
    <row r="1561" spans="1:27" ht="18">
      <c r="A1561" s="2714"/>
      <c r="B1561" s="371">
        <v>102</v>
      </c>
      <c r="C1561" s="371" t="s">
        <v>2791</v>
      </c>
      <c r="D1561" s="2716">
        <f t="shared" si="142"/>
        <v>0</v>
      </c>
      <c r="E1561" s="2721">
        <v>1</v>
      </c>
      <c r="F1561" s="294"/>
      <c r="G1561" s="2538" t="s">
        <v>2792</v>
      </c>
      <c r="H1561" s="2298"/>
      <c r="I1561" s="2275"/>
      <c r="J1561" s="2298"/>
      <c r="K1561" s="2276" t="s">
        <v>19</v>
      </c>
      <c r="L1561" s="291"/>
      <c r="M1561" s="291"/>
      <c r="N1561" s="291"/>
      <c r="O1561" s="291"/>
      <c r="S1561" s="364"/>
      <c r="Z1561" s="609" t="s">
        <v>540</v>
      </c>
      <c r="AA1561" s="609" t="s">
        <v>3137</v>
      </c>
    </row>
    <row r="1562" spans="1:27" ht="18">
      <c r="A1562" s="2714"/>
      <c r="B1562" s="371">
        <v>103</v>
      </c>
      <c r="C1562" s="371" t="s">
        <v>2791</v>
      </c>
      <c r="D1562" s="2716">
        <f t="shared" si="142"/>
        <v>0</v>
      </c>
      <c r="E1562" s="2721">
        <v>1</v>
      </c>
      <c r="F1562" s="294"/>
      <c r="G1562" s="2538" t="s">
        <v>2792</v>
      </c>
      <c r="H1562" s="2298"/>
      <c r="I1562" s="2275"/>
      <c r="J1562" s="2298"/>
      <c r="K1562" s="2276" t="s">
        <v>19</v>
      </c>
      <c r="L1562" s="291"/>
      <c r="M1562" s="291"/>
      <c r="N1562" s="291"/>
      <c r="O1562" s="291"/>
      <c r="S1562" s="364"/>
      <c r="Z1562" s="609" t="s">
        <v>540</v>
      </c>
      <c r="AA1562" s="609" t="s">
        <v>3137</v>
      </c>
    </row>
    <row r="1563" spans="1:27" ht="18">
      <c r="A1563" s="2714"/>
      <c r="B1563" s="371">
        <v>104</v>
      </c>
      <c r="C1563" s="371" t="s">
        <v>2791</v>
      </c>
      <c r="D1563" s="2716">
        <f t="shared" si="142"/>
        <v>0</v>
      </c>
      <c r="E1563" s="2721">
        <v>1</v>
      </c>
      <c r="F1563" s="294"/>
      <c r="G1563" s="2538" t="s">
        <v>2792</v>
      </c>
      <c r="H1563" s="2298"/>
      <c r="I1563" s="2275"/>
      <c r="J1563" s="2298"/>
      <c r="K1563" s="2276" t="s">
        <v>19</v>
      </c>
      <c r="L1563" s="291"/>
      <c r="M1563" s="291"/>
      <c r="N1563" s="291"/>
      <c r="O1563" s="291"/>
      <c r="S1563" s="364"/>
      <c r="Z1563" s="609" t="s">
        <v>540</v>
      </c>
      <c r="AA1563" s="609" t="s">
        <v>3137</v>
      </c>
    </row>
    <row r="1564" spans="1:27" ht="18">
      <c r="A1564" s="2714"/>
      <c r="B1564" s="371">
        <v>105</v>
      </c>
      <c r="C1564" s="371" t="s">
        <v>2791</v>
      </c>
      <c r="D1564" s="2716">
        <f t="shared" si="142"/>
        <v>0</v>
      </c>
      <c r="E1564" s="2721">
        <v>1</v>
      </c>
      <c r="F1564" s="294"/>
      <c r="G1564" s="2538" t="s">
        <v>2792</v>
      </c>
      <c r="H1564" s="2298"/>
      <c r="I1564" s="2275"/>
      <c r="J1564" s="2298"/>
      <c r="K1564" s="2276" t="s">
        <v>19</v>
      </c>
      <c r="L1564" s="291"/>
      <c r="M1564" s="291"/>
      <c r="N1564" s="291"/>
      <c r="O1564" s="291"/>
      <c r="S1564" s="364"/>
      <c r="Z1564" s="609" t="s">
        <v>540</v>
      </c>
      <c r="AA1564" s="609" t="s">
        <v>3137</v>
      </c>
    </row>
    <row r="1565" spans="1:27" ht="18.75" thickBot="1">
      <c r="A1565" s="2714"/>
      <c r="B1565" s="371"/>
      <c r="C1565" s="371"/>
      <c r="D1565" s="2716">
        <f t="shared" si="142"/>
        <v>1</v>
      </c>
      <c r="E1565" s="2721" t="s">
        <v>3032</v>
      </c>
      <c r="F1565" s="294"/>
      <c r="G1565" s="2234" t="s">
        <v>2752</v>
      </c>
      <c r="H1565" s="2241"/>
      <c r="I1565" s="2235">
        <f>SUMPRODUCT($E1559:$E1564,I1559:I1564)</f>
        <v>0</v>
      </c>
      <c r="J1565" s="2241"/>
      <c r="K1565" s="2244"/>
      <c r="L1565" s="291"/>
      <c r="M1565" s="291"/>
      <c r="N1565" s="291"/>
      <c r="O1565" s="291"/>
      <c r="S1565" s="364"/>
      <c r="Z1565" s="609" t="s">
        <v>540</v>
      </c>
      <c r="AA1565" s="609" t="s">
        <v>3137</v>
      </c>
    </row>
    <row r="1566" spans="1:27" ht="18">
      <c r="A1566" s="2714"/>
      <c r="B1566" s="371"/>
      <c r="C1566" s="371" t="s">
        <v>2755</v>
      </c>
      <c r="D1566" s="371"/>
      <c r="F1566" s="294"/>
      <c r="G1566" s="301"/>
      <c r="H1566" s="393"/>
      <c r="I1566" s="315" t="s">
        <v>3002</v>
      </c>
      <c r="J1566" s="393"/>
      <c r="K1566" s="393"/>
      <c r="L1566" s="291"/>
      <c r="M1566" s="291"/>
      <c r="N1566" s="291"/>
      <c r="O1566" s="291"/>
      <c r="S1566" s="364"/>
      <c r="Z1566" s="609" t="s">
        <v>540</v>
      </c>
      <c r="AA1566" s="609" t="s">
        <v>3137</v>
      </c>
    </row>
    <row r="1567" spans="1:27" ht="24">
      <c r="A1567" s="2714" t="s">
        <v>609</v>
      </c>
      <c r="B1567" s="371">
        <v>8</v>
      </c>
      <c r="C1567" s="371"/>
      <c r="D1567" s="2716" t="str">
        <f>VLOOKUP($A1567,Sheet_NoteList,2,0)</f>
        <v>因金融资产转移而终止确认的其他应收款</v>
      </c>
      <c r="E1567" s="2716" t="s">
        <v>2742</v>
      </c>
      <c r="F1567" s="294"/>
      <c r="G1567" s="372" t="str">
        <f>"("&amp;B1567&amp;")"&amp;D1567</f>
        <v>(8)因金融资产转移而终止确认的其他应收款</v>
      </c>
      <c r="H1567" s="1517" t="str">
        <f>$A1567</f>
        <v>1221n</v>
      </c>
      <c r="I1567" s="343" t="s">
        <v>2743</v>
      </c>
      <c r="J1567" s="301" t="s">
        <v>2744</v>
      </c>
      <c r="K1567" s="2210">
        <f>I1575</f>
        <v>0</v>
      </c>
      <c r="L1567" s="345"/>
      <c r="M1567" s="301"/>
      <c r="N1567" s="3083"/>
      <c r="O1567" s="345" t="str">
        <f>IF(ROUND(N1528-N1567,2)&gt;=0,"","#Logical!")</f>
        <v/>
      </c>
      <c r="P1567" s="301"/>
      <c r="Q1567" s="290" t="str">
        <f>IF($I1567="不适用","",IF(ROUND(SUM($H$1570:$J$1575),2)=0,"请输入",""))</f>
        <v>请输入</v>
      </c>
      <c r="S1567" s="364"/>
      <c r="Z1567" s="609" t="s">
        <v>540</v>
      </c>
      <c r="AA1567" s="609" t="s">
        <v>3137</v>
      </c>
    </row>
    <row r="1568" spans="1:27" ht="0.75" customHeight="1" thickBot="1">
      <c r="A1568" s="2714"/>
      <c r="B1568" s="371"/>
      <c r="C1568" s="371"/>
      <c r="D1568" s="371"/>
      <c r="E1568" s="586"/>
      <c r="F1568" s="586"/>
      <c r="G1568" s="586" t="s">
        <v>3201</v>
      </c>
      <c r="H1568" s="371" t="s">
        <v>3060</v>
      </c>
      <c r="I1568" s="371" t="s">
        <v>3061</v>
      </c>
      <c r="J1568" s="371" t="s">
        <v>3062</v>
      </c>
      <c r="K1568" s="291"/>
      <c r="L1568" s="291"/>
      <c r="M1568" s="291"/>
      <c r="S1568" s="364"/>
      <c r="Z1568" s="609" t="s">
        <v>540</v>
      </c>
      <c r="AA1568" s="609" t="s">
        <v>3137</v>
      </c>
    </row>
    <row r="1569" spans="1:27" ht="24">
      <c r="A1569" s="2714"/>
      <c r="B1569" s="371"/>
      <c r="C1569" s="371"/>
      <c r="D1569" s="371"/>
      <c r="E1569" s="586" t="s">
        <v>2749</v>
      </c>
      <c r="F1569" s="363"/>
      <c r="G1569" s="2533" t="s">
        <v>47</v>
      </c>
      <c r="H1569" s="2534" t="s">
        <v>3063</v>
      </c>
      <c r="I1569" s="2534" t="s">
        <v>3064</v>
      </c>
      <c r="J1569" s="2535" t="s">
        <v>3065</v>
      </c>
      <c r="K1569" s="355" t="s">
        <v>5273</v>
      </c>
      <c r="L1569" s="291"/>
      <c r="M1569" s="291"/>
      <c r="S1569" s="364"/>
      <c r="Z1569" s="609" t="s">
        <v>540</v>
      </c>
      <c r="AA1569" s="609" t="s">
        <v>3137</v>
      </c>
    </row>
    <row r="1570" spans="1:27" ht="18">
      <c r="A1570" s="2714"/>
      <c r="B1570" s="371">
        <v>101</v>
      </c>
      <c r="C1570" s="371" t="s">
        <v>2791</v>
      </c>
      <c r="D1570" s="2716">
        <f t="shared" ref="D1570:D1575" si="143">IF(OR(G1570="*",G1570="",G1570=0),0,COUNTIF($G$1570:$G$1575,G1570))</f>
        <v>0</v>
      </c>
      <c r="E1570" s="2721">
        <v>1</v>
      </c>
      <c r="F1570" s="294"/>
      <c r="G1570" s="2538" t="s">
        <v>2792</v>
      </c>
      <c r="H1570" s="2298"/>
      <c r="I1570" s="2275"/>
      <c r="J1570" s="2296"/>
      <c r="K1570" s="291"/>
      <c r="L1570" s="291"/>
      <c r="M1570" s="291"/>
      <c r="S1570" s="364"/>
      <c r="Z1570" s="609" t="s">
        <v>540</v>
      </c>
      <c r="AA1570" s="609" t="s">
        <v>3137</v>
      </c>
    </row>
    <row r="1571" spans="1:27" ht="18">
      <c r="A1571" s="2714"/>
      <c r="B1571" s="371">
        <v>102</v>
      </c>
      <c r="C1571" s="371" t="s">
        <v>2791</v>
      </c>
      <c r="D1571" s="2716">
        <f t="shared" si="143"/>
        <v>0</v>
      </c>
      <c r="E1571" s="2721">
        <v>1</v>
      </c>
      <c r="F1571" s="294"/>
      <c r="G1571" s="2538" t="s">
        <v>2792</v>
      </c>
      <c r="H1571" s="2298"/>
      <c r="I1571" s="2275"/>
      <c r="J1571" s="2296"/>
      <c r="K1571" s="291"/>
      <c r="L1571" s="291"/>
      <c r="M1571" s="291"/>
      <c r="S1571" s="364"/>
      <c r="Z1571" s="609" t="s">
        <v>540</v>
      </c>
      <c r="AA1571" s="609" t="s">
        <v>3137</v>
      </c>
    </row>
    <row r="1572" spans="1:27" ht="18">
      <c r="A1572" s="2714"/>
      <c r="B1572" s="371">
        <v>103</v>
      </c>
      <c r="C1572" s="371" t="s">
        <v>2791</v>
      </c>
      <c r="D1572" s="2716">
        <f t="shared" si="143"/>
        <v>0</v>
      </c>
      <c r="E1572" s="2721">
        <v>1</v>
      </c>
      <c r="F1572" s="294"/>
      <c r="G1572" s="2538" t="s">
        <v>2792</v>
      </c>
      <c r="H1572" s="2298"/>
      <c r="I1572" s="2275"/>
      <c r="J1572" s="2296"/>
      <c r="K1572" s="291"/>
      <c r="L1572" s="291"/>
      <c r="M1572" s="291"/>
      <c r="S1572" s="364"/>
      <c r="Z1572" s="609" t="s">
        <v>540</v>
      </c>
      <c r="AA1572" s="609" t="s">
        <v>3137</v>
      </c>
    </row>
    <row r="1573" spans="1:27" ht="18">
      <c r="A1573" s="2714"/>
      <c r="B1573" s="371">
        <v>104</v>
      </c>
      <c r="C1573" s="371" t="s">
        <v>2791</v>
      </c>
      <c r="D1573" s="2716">
        <f t="shared" si="143"/>
        <v>0</v>
      </c>
      <c r="E1573" s="2721">
        <v>1</v>
      </c>
      <c r="F1573" s="294"/>
      <c r="G1573" s="2538" t="s">
        <v>2792</v>
      </c>
      <c r="H1573" s="2298"/>
      <c r="I1573" s="2275"/>
      <c r="J1573" s="2296"/>
      <c r="K1573" s="291"/>
      <c r="L1573" s="291"/>
      <c r="M1573" s="291"/>
      <c r="S1573" s="364"/>
      <c r="Z1573" s="609" t="s">
        <v>540</v>
      </c>
      <c r="AA1573" s="609" t="s">
        <v>3137</v>
      </c>
    </row>
    <row r="1574" spans="1:27" ht="18">
      <c r="A1574" s="2714"/>
      <c r="B1574" s="371">
        <v>105</v>
      </c>
      <c r="C1574" s="371" t="s">
        <v>2791</v>
      </c>
      <c r="D1574" s="2716">
        <f t="shared" si="143"/>
        <v>0</v>
      </c>
      <c r="E1574" s="2721">
        <v>1</v>
      </c>
      <c r="F1574" s="294"/>
      <c r="G1574" s="2538" t="s">
        <v>2792</v>
      </c>
      <c r="H1574" s="2298"/>
      <c r="I1574" s="2275"/>
      <c r="J1574" s="2296"/>
      <c r="K1574" s="291"/>
      <c r="L1574" s="291"/>
      <c r="M1574" s="291"/>
      <c r="S1574" s="364"/>
      <c r="Z1574" s="609" t="s">
        <v>540</v>
      </c>
      <c r="AA1574" s="609" t="s">
        <v>3137</v>
      </c>
    </row>
    <row r="1575" spans="1:27" ht="18.75" thickBot="1">
      <c r="A1575" s="2714"/>
      <c r="B1575" s="371"/>
      <c r="C1575" s="371"/>
      <c r="D1575" s="2716">
        <f t="shared" si="143"/>
        <v>1</v>
      </c>
      <c r="E1575" s="2721" t="s">
        <v>3032</v>
      </c>
      <c r="F1575" s="294"/>
      <c r="G1575" s="2234" t="s">
        <v>2752</v>
      </c>
      <c r="H1575" s="2241"/>
      <c r="I1575" s="2235">
        <f>SUMPRODUCT($E1569:$E1574,I1569:I1574)</f>
        <v>0</v>
      </c>
      <c r="J1575" s="2236">
        <f>SUMPRODUCT($E1569:$E1574,J1569:J1574)</f>
        <v>0</v>
      </c>
      <c r="K1575" s="291"/>
      <c r="L1575" s="291"/>
      <c r="M1575" s="291"/>
      <c r="S1575" s="364"/>
      <c r="Z1575" s="609" t="s">
        <v>540</v>
      </c>
      <c r="AA1575" s="609" t="s">
        <v>3137</v>
      </c>
    </row>
    <row r="1576" spans="1:27" ht="18">
      <c r="A1576" s="2714"/>
      <c r="B1576" s="371"/>
      <c r="C1576" s="371" t="s">
        <v>2755</v>
      </c>
      <c r="D1576" s="371"/>
      <c r="F1576" s="294"/>
      <c r="G1576" s="301"/>
      <c r="H1576" s="393"/>
      <c r="I1576" s="315"/>
      <c r="J1576" s="315"/>
      <c r="K1576" s="291"/>
      <c r="L1576" s="291"/>
      <c r="M1576" s="291"/>
      <c r="S1576" s="364"/>
      <c r="Z1576" s="609" t="s">
        <v>540</v>
      </c>
      <c r="AA1576" s="609" t="s">
        <v>3137</v>
      </c>
    </row>
    <row r="1577" spans="1:27" ht="36">
      <c r="A1577" s="2714" t="s">
        <v>615</v>
      </c>
      <c r="B1577" s="371">
        <v>9</v>
      </c>
      <c r="C1577" s="371"/>
      <c r="D1577" s="2716" t="str">
        <f>VLOOKUP($A1577,Sheet_NoteList,2,0)</f>
        <v>转移其他应收款且继续涉入形成的资产、负债的金额</v>
      </c>
      <c r="E1577" s="2716" t="s">
        <v>2742</v>
      </c>
      <c r="F1577" s="294"/>
      <c r="G1577" s="372" t="str">
        <f>"("&amp;B1577&amp;")"&amp;D1577</f>
        <v>(9)转移其他应收款且继续涉入形成的资产、负债的金额</v>
      </c>
      <c r="H1577" s="1517" t="str">
        <f>$A1577</f>
        <v>1221o</v>
      </c>
      <c r="I1577" s="343" t="s">
        <v>2743</v>
      </c>
      <c r="J1577" s="301" t="s">
        <v>2744</v>
      </c>
      <c r="K1577" s="2210">
        <f>H1585</f>
        <v>0</v>
      </c>
      <c r="L1577" s="345"/>
      <c r="M1577" s="301"/>
      <c r="N1577" s="3083"/>
      <c r="O1577" s="345"/>
      <c r="P1577" s="301"/>
      <c r="Q1577" s="290" t="str">
        <f>IF($I1577="不适用","",IF(ROUND(SUM($H$1580:$I$1585),2)=0,"请输入",""))</f>
        <v>请输入</v>
      </c>
      <c r="S1577" s="364"/>
      <c r="Z1577" s="609" t="s">
        <v>540</v>
      </c>
      <c r="AA1577" s="609" t="s">
        <v>3137</v>
      </c>
    </row>
    <row r="1578" spans="1:27" ht="0.75" customHeight="1" thickBot="1">
      <c r="A1578" s="2714"/>
      <c r="B1578" s="371"/>
      <c r="C1578" s="371"/>
      <c r="D1578" s="371"/>
      <c r="E1578" s="586"/>
      <c r="F1578" s="586"/>
      <c r="G1578" s="586" t="s">
        <v>3202</v>
      </c>
      <c r="H1578" s="371" t="s">
        <v>3067</v>
      </c>
      <c r="I1578" s="371" t="s">
        <v>6213</v>
      </c>
      <c r="J1578" s="371" t="s">
        <v>3203</v>
      </c>
      <c r="K1578" s="472"/>
      <c r="L1578" s="472"/>
      <c r="M1578" s="472"/>
      <c r="N1578" s="442"/>
      <c r="O1578" s="442"/>
      <c r="P1578" s="442"/>
      <c r="Q1578" s="442"/>
      <c r="R1578" s="443"/>
      <c r="S1578" s="364"/>
      <c r="Z1578" s="609" t="s">
        <v>540</v>
      </c>
      <c r="AA1578" s="609" t="s">
        <v>3137</v>
      </c>
    </row>
    <row r="1579" spans="1:27" ht="24">
      <c r="A1579" s="2714"/>
      <c r="B1579" s="371"/>
      <c r="C1579" s="371"/>
      <c r="D1579" s="371"/>
      <c r="E1579" s="586" t="s">
        <v>2749</v>
      </c>
      <c r="F1579" s="363"/>
      <c r="G1579" s="2533" t="s">
        <v>47</v>
      </c>
      <c r="H1579" s="2534" t="s">
        <v>3068</v>
      </c>
      <c r="I1579" s="2534" t="s">
        <v>3069</v>
      </c>
      <c r="J1579" s="2535" t="s">
        <v>3070</v>
      </c>
      <c r="K1579" s="355" t="s">
        <v>5273</v>
      </c>
      <c r="L1579" s="472"/>
      <c r="M1579" s="472"/>
      <c r="N1579" s="442"/>
      <c r="O1579" s="442"/>
      <c r="P1579" s="442"/>
      <c r="Q1579" s="442"/>
      <c r="R1579" s="443"/>
      <c r="S1579" s="364"/>
      <c r="Z1579" s="609" t="s">
        <v>540</v>
      </c>
      <c r="AA1579" s="609" t="s">
        <v>3137</v>
      </c>
    </row>
    <row r="1580" spans="1:27" ht="18">
      <c r="A1580" s="2714"/>
      <c r="B1580" s="371">
        <v>101</v>
      </c>
      <c r="C1580" s="371" t="s">
        <v>2791</v>
      </c>
      <c r="D1580" s="2716">
        <f t="shared" ref="D1580:D1585" si="144">IF(OR(G1580="*",G1580="",G1580=0),0,COUNTIF($G$1580:$G$1585,G1580))</f>
        <v>0</v>
      </c>
      <c r="E1580" s="2721">
        <v>1</v>
      </c>
      <c r="F1580" s="294"/>
      <c r="G1580" s="2538" t="s">
        <v>2792</v>
      </c>
      <c r="H1580" s="2298"/>
      <c r="I1580" s="2275"/>
      <c r="J1580" s="2296"/>
      <c r="K1580" s="472"/>
      <c r="L1580" s="472"/>
      <c r="M1580" s="472"/>
      <c r="N1580" s="442"/>
      <c r="O1580" s="442"/>
      <c r="P1580" s="442"/>
      <c r="Q1580" s="442"/>
      <c r="R1580" s="443"/>
      <c r="S1580" s="364"/>
      <c r="Z1580" s="609" t="s">
        <v>540</v>
      </c>
      <c r="AA1580" s="609" t="s">
        <v>3137</v>
      </c>
    </row>
    <row r="1581" spans="1:27" ht="18">
      <c r="A1581" s="2714"/>
      <c r="B1581" s="371">
        <v>102</v>
      </c>
      <c r="C1581" s="371" t="s">
        <v>2791</v>
      </c>
      <c r="D1581" s="2716">
        <f t="shared" si="144"/>
        <v>0</v>
      </c>
      <c r="E1581" s="2721">
        <v>1</v>
      </c>
      <c r="F1581" s="294"/>
      <c r="G1581" s="2538" t="s">
        <v>2792</v>
      </c>
      <c r="H1581" s="2298"/>
      <c r="I1581" s="2275"/>
      <c r="J1581" s="2296"/>
      <c r="K1581" s="472"/>
      <c r="L1581" s="472"/>
      <c r="M1581" s="472"/>
      <c r="N1581" s="442"/>
      <c r="O1581" s="442"/>
      <c r="P1581" s="442"/>
      <c r="Q1581" s="442"/>
      <c r="R1581" s="443"/>
      <c r="S1581" s="364"/>
      <c r="Z1581" s="609" t="s">
        <v>540</v>
      </c>
      <c r="AA1581" s="609" t="s">
        <v>3137</v>
      </c>
    </row>
    <row r="1582" spans="1:27" ht="18">
      <c r="A1582" s="2714"/>
      <c r="B1582" s="371">
        <v>103</v>
      </c>
      <c r="C1582" s="371" t="s">
        <v>2791</v>
      </c>
      <c r="D1582" s="2716">
        <f t="shared" si="144"/>
        <v>0</v>
      </c>
      <c r="E1582" s="2721">
        <v>1</v>
      </c>
      <c r="F1582" s="294"/>
      <c r="G1582" s="2538" t="s">
        <v>2792</v>
      </c>
      <c r="H1582" s="2298"/>
      <c r="I1582" s="2275"/>
      <c r="J1582" s="2296"/>
      <c r="K1582" s="472"/>
      <c r="L1582" s="472"/>
      <c r="M1582" s="472"/>
      <c r="N1582" s="442"/>
      <c r="O1582" s="442"/>
      <c r="P1582" s="442"/>
      <c r="Q1582" s="442"/>
      <c r="R1582" s="443"/>
      <c r="S1582" s="364"/>
      <c r="Z1582" s="609" t="s">
        <v>540</v>
      </c>
      <c r="AA1582" s="609" t="s">
        <v>3137</v>
      </c>
    </row>
    <row r="1583" spans="1:27" ht="18">
      <c r="A1583" s="2714"/>
      <c r="B1583" s="371">
        <v>104</v>
      </c>
      <c r="C1583" s="371" t="s">
        <v>2791</v>
      </c>
      <c r="D1583" s="2716">
        <f t="shared" si="144"/>
        <v>0</v>
      </c>
      <c r="E1583" s="2721">
        <v>1</v>
      </c>
      <c r="F1583" s="294"/>
      <c r="G1583" s="2538" t="s">
        <v>2792</v>
      </c>
      <c r="H1583" s="2298"/>
      <c r="I1583" s="2275"/>
      <c r="J1583" s="2296"/>
      <c r="K1583" s="472"/>
      <c r="L1583" s="472"/>
      <c r="M1583" s="472"/>
      <c r="N1583" s="442"/>
      <c r="O1583" s="442"/>
      <c r="P1583" s="442"/>
      <c r="Q1583" s="442"/>
      <c r="R1583" s="443"/>
      <c r="S1583" s="364"/>
      <c r="Z1583" s="609" t="s">
        <v>540</v>
      </c>
      <c r="AA1583" s="609" t="s">
        <v>3137</v>
      </c>
    </row>
    <row r="1584" spans="1:27" ht="18">
      <c r="A1584" s="2714"/>
      <c r="B1584" s="371">
        <v>105</v>
      </c>
      <c r="C1584" s="371" t="s">
        <v>2791</v>
      </c>
      <c r="D1584" s="2716">
        <f t="shared" si="144"/>
        <v>0</v>
      </c>
      <c r="E1584" s="2721">
        <v>1</v>
      </c>
      <c r="F1584" s="294"/>
      <c r="G1584" s="2538" t="s">
        <v>2792</v>
      </c>
      <c r="H1584" s="2298"/>
      <c r="I1584" s="2275"/>
      <c r="J1584" s="2296"/>
      <c r="K1584" s="472"/>
      <c r="L1584" s="472"/>
      <c r="M1584" s="472"/>
      <c r="N1584" s="442"/>
      <c r="O1584" s="442"/>
      <c r="P1584" s="442"/>
      <c r="Q1584" s="442"/>
      <c r="R1584" s="443"/>
      <c r="S1584" s="364"/>
      <c r="Z1584" s="609" t="s">
        <v>540</v>
      </c>
      <c r="AA1584" s="609" t="s">
        <v>3137</v>
      </c>
    </row>
    <row r="1585" spans="1:27" ht="18.75" thickBot="1">
      <c r="A1585" s="2714"/>
      <c r="B1585" s="371"/>
      <c r="C1585" s="371"/>
      <c r="D1585" s="2716">
        <f t="shared" si="144"/>
        <v>1</v>
      </c>
      <c r="E1585" s="2721" t="s">
        <v>3032</v>
      </c>
      <c r="F1585" s="294"/>
      <c r="G1585" s="2234" t="s">
        <v>3071</v>
      </c>
      <c r="H1585" s="2241"/>
      <c r="I1585" s="2235">
        <f>SUMPRODUCT($E1579:$E1584,I1579:I1584)</f>
        <v>0</v>
      </c>
      <c r="J1585" s="2236">
        <f>SUMPRODUCT($E1579:$E1584,J1579:J1584)</f>
        <v>0</v>
      </c>
      <c r="K1585" s="472"/>
      <c r="L1585" s="472"/>
      <c r="M1585" s="472"/>
      <c r="N1585" s="442"/>
      <c r="O1585" s="442"/>
      <c r="P1585" s="442"/>
      <c r="Q1585" s="442"/>
      <c r="R1585" s="443"/>
      <c r="S1585" s="364"/>
      <c r="Z1585" s="609" t="s">
        <v>540</v>
      </c>
      <c r="AA1585" s="609" t="s">
        <v>3137</v>
      </c>
    </row>
    <row r="1586" spans="1:27" ht="18">
      <c r="A1586" s="2714"/>
      <c r="B1586" s="371"/>
      <c r="C1586" s="371" t="s">
        <v>2755</v>
      </c>
      <c r="D1586" s="371"/>
      <c r="F1586" s="294"/>
      <c r="G1586" s="301"/>
      <c r="H1586" s="393"/>
      <c r="I1586" s="315"/>
      <c r="J1586" s="315"/>
      <c r="K1586" s="472"/>
      <c r="L1586" s="472"/>
      <c r="M1586" s="472"/>
      <c r="N1586" s="442"/>
      <c r="O1586" s="442"/>
      <c r="P1586" s="442"/>
      <c r="Q1586" s="442"/>
      <c r="R1586" s="443"/>
      <c r="S1586" s="364"/>
      <c r="Z1586" s="609" t="s">
        <v>540</v>
      </c>
      <c r="AA1586" s="609" t="s">
        <v>3137</v>
      </c>
    </row>
    <row r="1587" spans="1:27" ht="18">
      <c r="A1587" s="2714" t="s">
        <v>629</v>
      </c>
      <c r="B1587" s="371">
        <v>10</v>
      </c>
      <c r="C1587" s="371"/>
      <c r="D1587" s="2716" t="str">
        <f>VLOOKUP($A1587,Sheet_NoteList,2,0)</f>
        <v>外币其他应收款</v>
      </c>
      <c r="E1587" s="2716" t="s">
        <v>6531</v>
      </c>
      <c r="F1587" s="294"/>
      <c r="G1587" s="372" t="str">
        <f>"("&amp;B1587&amp;")"&amp;D1587</f>
        <v>(10)外币其他应收款</v>
      </c>
      <c r="H1587" s="1517" t="str">
        <f>$A1587</f>
        <v>1221c</v>
      </c>
      <c r="I1587" s="343" t="s">
        <v>5608</v>
      </c>
      <c r="J1587" s="301" t="s">
        <v>5606</v>
      </c>
      <c r="K1587" s="2210">
        <f>J1595</f>
        <v>0</v>
      </c>
      <c r="L1587" s="345" t="str">
        <f>IF($I1587="适用",IF(ROUND(K987-K1587,2)&gt;=0,"","#Logical!"),"#N/A")</f>
        <v/>
      </c>
      <c r="M1587" s="301"/>
      <c r="N1587" s="391"/>
      <c r="O1587" s="345"/>
      <c r="P1587" s="301"/>
      <c r="Q1587" s="290" t="str">
        <f>IF($I1587="不适用","",IF(ROUND(SUM($H$1590:$J$1595),2)=0,"请输入",""))</f>
        <v>请输入</v>
      </c>
      <c r="S1587" s="364"/>
      <c r="Z1587" s="609" t="s">
        <v>540</v>
      </c>
      <c r="AA1587" s="609" t="s">
        <v>3137</v>
      </c>
    </row>
    <row r="1588" spans="1:27" ht="0.75" customHeight="1" thickBot="1">
      <c r="A1588" s="2714"/>
      <c r="B1588" s="371"/>
      <c r="C1588" s="371"/>
      <c r="D1588" s="371"/>
      <c r="F1588" s="304"/>
      <c r="G1588" s="304" t="s">
        <v>3204</v>
      </c>
      <c r="H1588" s="304" t="s">
        <v>3073</v>
      </c>
      <c r="I1588" s="304" t="s">
        <v>3074</v>
      </c>
      <c r="J1588" s="304" t="s">
        <v>3075</v>
      </c>
      <c r="K1588" s="387"/>
      <c r="L1588" s="291"/>
      <c r="M1588" s="291"/>
      <c r="N1588" s="291"/>
      <c r="O1588" s="291"/>
      <c r="P1588" s="291"/>
      <c r="Q1588" s="367"/>
      <c r="R1588" s="367"/>
      <c r="S1588" s="364"/>
      <c r="Z1588" s="609" t="s">
        <v>540</v>
      </c>
      <c r="AA1588" s="609" t="s">
        <v>3137</v>
      </c>
    </row>
    <row r="1589" spans="1:27" ht="24">
      <c r="A1589" s="2714"/>
      <c r="B1589" s="371"/>
      <c r="C1589" s="371"/>
      <c r="D1589" s="371"/>
      <c r="E1589" s="2716" t="s">
        <v>2749</v>
      </c>
      <c r="F1589" s="294"/>
      <c r="G1589" s="1633" t="s">
        <v>1371</v>
      </c>
      <c r="H1589" s="1631" t="s">
        <v>3076</v>
      </c>
      <c r="I1589" s="1631" t="s">
        <v>3077</v>
      </c>
      <c r="J1589" s="1632" t="s">
        <v>3078</v>
      </c>
      <c r="K1589" s="355" t="s">
        <v>5604</v>
      </c>
      <c r="L1589" s="291"/>
      <c r="M1589" s="291"/>
      <c r="N1589" s="291"/>
      <c r="O1589" s="291"/>
      <c r="P1589" s="291"/>
      <c r="Q1589" s="367"/>
      <c r="R1589" s="367"/>
      <c r="S1589" s="364"/>
      <c r="Z1589" s="609" t="s">
        <v>540</v>
      </c>
      <c r="AA1589" s="609" t="s">
        <v>3137</v>
      </c>
    </row>
    <row r="1590" spans="1:27" ht="18">
      <c r="A1590" s="2714"/>
      <c r="B1590" s="371">
        <v>101</v>
      </c>
      <c r="C1590" s="371" t="s">
        <v>2791</v>
      </c>
      <c r="D1590" s="2716">
        <f t="shared" ref="D1590:D1595" si="145">IF(OR(G1590="*",G1590="",G1590=0),0,COUNTIF($G$1590:$G$1595,G1590))</f>
        <v>1</v>
      </c>
      <c r="E1590" s="2721">
        <v>1</v>
      </c>
      <c r="F1590" s="294"/>
      <c r="G1590" s="1634" t="s">
        <v>3079</v>
      </c>
      <c r="H1590" s="309"/>
      <c r="I1590" s="360"/>
      <c r="J1590" s="346"/>
      <c r="K1590" s="355" t="s">
        <v>5364</v>
      </c>
      <c r="L1590" s="1522" t="s">
        <v>5365</v>
      </c>
      <c r="M1590" s="291"/>
      <c r="N1590" s="291"/>
      <c r="O1590" s="291"/>
      <c r="P1590" s="291"/>
      <c r="Q1590" s="367"/>
      <c r="R1590" s="367"/>
      <c r="S1590" s="364"/>
      <c r="Z1590" s="609" t="s">
        <v>540</v>
      </c>
      <c r="AA1590" s="609" t="s">
        <v>3137</v>
      </c>
    </row>
    <row r="1591" spans="1:27" ht="18">
      <c r="A1591" s="2714"/>
      <c r="B1591" s="371">
        <v>102</v>
      </c>
      <c r="C1591" s="371" t="s">
        <v>2791</v>
      </c>
      <c r="D1591" s="2716">
        <f t="shared" si="145"/>
        <v>1</v>
      </c>
      <c r="E1591" s="2721">
        <v>1</v>
      </c>
      <c r="F1591" s="294"/>
      <c r="G1591" s="1634" t="s">
        <v>3080</v>
      </c>
      <c r="H1591" s="309"/>
      <c r="I1591" s="360"/>
      <c r="J1591" s="346"/>
      <c r="K1591" s="355" t="s">
        <v>6176</v>
      </c>
      <c r="L1591" s="291"/>
      <c r="M1591" s="291"/>
      <c r="N1591" s="291"/>
      <c r="O1591" s="291"/>
      <c r="P1591" s="291"/>
      <c r="Q1591" s="367"/>
      <c r="R1591" s="367"/>
      <c r="S1591" s="364"/>
      <c r="Z1591" s="609" t="s">
        <v>540</v>
      </c>
      <c r="AA1591" s="609" t="s">
        <v>3137</v>
      </c>
    </row>
    <row r="1592" spans="1:27" ht="18">
      <c r="A1592" s="2714"/>
      <c r="B1592" s="371">
        <v>103</v>
      </c>
      <c r="C1592" s="371" t="s">
        <v>2791</v>
      </c>
      <c r="D1592" s="2716">
        <f t="shared" si="145"/>
        <v>1</v>
      </c>
      <c r="E1592" s="2721">
        <v>1</v>
      </c>
      <c r="F1592" s="294"/>
      <c r="G1592" s="1634" t="s">
        <v>3081</v>
      </c>
      <c r="H1592" s="309"/>
      <c r="I1592" s="360"/>
      <c r="J1592" s="346"/>
      <c r="K1592" s="291"/>
      <c r="L1592" s="291"/>
      <c r="M1592" s="291"/>
      <c r="N1592" s="291"/>
      <c r="O1592" s="291"/>
      <c r="P1592" s="291"/>
      <c r="Q1592" s="367"/>
      <c r="R1592" s="367"/>
      <c r="S1592" s="364"/>
      <c r="Z1592" s="609" t="s">
        <v>540</v>
      </c>
      <c r="AA1592" s="609" t="s">
        <v>3137</v>
      </c>
    </row>
    <row r="1593" spans="1:27" ht="18">
      <c r="A1593" s="2714"/>
      <c r="B1593" s="371">
        <v>104</v>
      </c>
      <c r="C1593" s="371" t="s">
        <v>2791</v>
      </c>
      <c r="D1593" s="2716">
        <f t="shared" si="145"/>
        <v>0</v>
      </c>
      <c r="E1593" s="2721">
        <v>1</v>
      </c>
      <c r="F1593" s="294"/>
      <c r="G1593" s="1634" t="s">
        <v>2792</v>
      </c>
      <c r="H1593" s="309"/>
      <c r="I1593" s="360"/>
      <c r="J1593" s="346"/>
      <c r="K1593" s="291"/>
      <c r="L1593" s="291"/>
      <c r="M1593" s="291"/>
      <c r="N1593" s="291"/>
      <c r="O1593" s="291"/>
      <c r="P1593" s="291"/>
      <c r="Q1593" s="367"/>
      <c r="R1593" s="367"/>
      <c r="S1593" s="364"/>
      <c r="Z1593" s="609" t="s">
        <v>540</v>
      </c>
      <c r="AA1593" s="609" t="s">
        <v>3137</v>
      </c>
    </row>
    <row r="1594" spans="1:27" ht="18">
      <c r="A1594" s="2714"/>
      <c r="B1594" s="371">
        <v>105</v>
      </c>
      <c r="C1594" s="371" t="s">
        <v>2791</v>
      </c>
      <c r="D1594" s="2716">
        <f t="shared" si="145"/>
        <v>0</v>
      </c>
      <c r="E1594" s="2721">
        <v>1</v>
      </c>
      <c r="F1594" s="294"/>
      <c r="G1594" s="1634" t="s">
        <v>2792</v>
      </c>
      <c r="H1594" s="309"/>
      <c r="I1594" s="360"/>
      <c r="J1594" s="346"/>
      <c r="K1594" s="291"/>
      <c r="L1594" s="291"/>
      <c r="M1594" s="291"/>
      <c r="N1594" s="291"/>
      <c r="O1594" s="291"/>
      <c r="P1594" s="291"/>
      <c r="Q1594" s="367"/>
      <c r="R1594" s="367"/>
      <c r="S1594" s="364"/>
      <c r="Z1594" s="609" t="s">
        <v>540</v>
      </c>
      <c r="AA1594" s="609" t="s">
        <v>3137</v>
      </c>
    </row>
    <row r="1595" spans="1:27" ht="18.75" thickBot="1">
      <c r="A1595" s="2714"/>
      <c r="B1595" s="371"/>
      <c r="C1595" s="371"/>
      <c r="D1595" s="2716">
        <f t="shared" si="145"/>
        <v>1</v>
      </c>
      <c r="E1595" s="2721" t="s">
        <v>3032</v>
      </c>
      <c r="F1595" s="294"/>
      <c r="G1595" s="1529" t="s">
        <v>2752</v>
      </c>
      <c r="H1595" s="1525"/>
      <c r="I1595" s="1526"/>
      <c r="J1595" s="1528">
        <f>SUMPRODUCT($E1589:$E1594,J1589:J1594)</f>
        <v>0</v>
      </c>
      <c r="K1595" s="291"/>
      <c r="L1595" s="291"/>
      <c r="M1595" s="291"/>
      <c r="N1595" s="291"/>
      <c r="O1595" s="291"/>
      <c r="P1595" s="291"/>
      <c r="Q1595" s="367"/>
      <c r="R1595" s="367"/>
      <c r="S1595" s="364"/>
      <c r="Z1595" s="609" t="s">
        <v>540</v>
      </c>
      <c r="AA1595" s="609" t="s">
        <v>3137</v>
      </c>
    </row>
    <row r="1596" spans="1:27" ht="18">
      <c r="A1596" s="2714"/>
      <c r="B1596" s="371"/>
      <c r="C1596" s="371" t="s">
        <v>2755</v>
      </c>
      <c r="D1596" s="371"/>
      <c r="F1596" s="294"/>
      <c r="G1596" s="301"/>
      <c r="H1596" s="315"/>
      <c r="I1596" s="393"/>
      <c r="J1596" s="315"/>
      <c r="K1596" s="291"/>
      <c r="L1596" s="291"/>
      <c r="M1596" s="291"/>
      <c r="N1596" s="291"/>
      <c r="O1596" s="291"/>
      <c r="P1596" s="291"/>
      <c r="Q1596" s="367"/>
      <c r="R1596" s="367"/>
      <c r="S1596" s="364"/>
      <c r="Z1596" s="609" t="s">
        <v>540</v>
      </c>
      <c r="AA1596" s="609" t="s">
        <v>3137</v>
      </c>
    </row>
    <row r="1597" spans="1:27" ht="24">
      <c r="A1597" s="2714" t="s">
        <v>654</v>
      </c>
      <c r="B1597" s="371">
        <v>11</v>
      </c>
      <c r="C1597" s="371"/>
      <c r="D1597" s="2716" t="str">
        <f>VLOOKUP($A1597,Sheet_NoteList,2,0)</f>
        <v>关联方应收应付款项——其他应收款</v>
      </c>
      <c r="E1597" s="2716" t="s">
        <v>6531</v>
      </c>
      <c r="F1597" s="294"/>
      <c r="G1597" s="372" t="str">
        <f>"("&amp;B1597&amp;")"&amp;D1597</f>
        <v>(11)关联方应收应付款项——其他应收款</v>
      </c>
      <c r="H1597" s="1517" t="str">
        <f>$A1597</f>
        <v>1221m</v>
      </c>
      <c r="I1597" s="343" t="s">
        <v>5611</v>
      </c>
      <c r="J1597" s="301" t="s">
        <v>5609</v>
      </c>
      <c r="K1597" s="2210">
        <f>H1605-I1605</f>
        <v>0</v>
      </c>
      <c r="L1597" s="345"/>
      <c r="M1597" s="301" t="s">
        <v>5610</v>
      </c>
      <c r="N1597" s="2210">
        <f>J1605-K1605</f>
        <v>0</v>
      </c>
      <c r="O1597" s="345"/>
      <c r="P1597" s="301"/>
      <c r="Q1597" s="290" t="str">
        <f>IF($I1597="不适用","",IF(ROUND(SUM($H$1600:$K$1605),2)=0,"请输入",""))</f>
        <v>请输入</v>
      </c>
      <c r="S1597" s="364"/>
      <c r="Z1597" s="609" t="s">
        <v>540</v>
      </c>
      <c r="AA1597" s="609" t="s">
        <v>3137</v>
      </c>
    </row>
    <row r="1598" spans="1:27" ht="0.75" customHeight="1" thickBot="1">
      <c r="A1598" s="2714"/>
      <c r="B1598" s="371"/>
      <c r="C1598" s="371"/>
      <c r="D1598" s="371"/>
      <c r="F1598" s="304"/>
      <c r="G1598" s="304" t="s">
        <v>3205</v>
      </c>
      <c r="H1598" s="304" t="s">
        <v>2849</v>
      </c>
      <c r="I1598" s="304" t="s">
        <v>3083</v>
      </c>
      <c r="J1598" s="304" t="s">
        <v>3084</v>
      </c>
      <c r="K1598" s="304" t="s">
        <v>3085</v>
      </c>
      <c r="L1598" s="291"/>
      <c r="M1598" s="291"/>
      <c r="N1598" s="291"/>
      <c r="S1598" s="364"/>
      <c r="Z1598" s="609" t="s">
        <v>540</v>
      </c>
      <c r="AA1598" s="609" t="s">
        <v>3137</v>
      </c>
    </row>
    <row r="1599" spans="1:27" ht="24">
      <c r="A1599" s="2714"/>
      <c r="B1599" s="371"/>
      <c r="C1599" s="371"/>
      <c r="D1599" s="371"/>
      <c r="E1599" s="2716" t="s">
        <v>2749</v>
      </c>
      <c r="F1599" s="294"/>
      <c r="G1599" s="1633" t="s">
        <v>1423</v>
      </c>
      <c r="H1599" s="1631" t="s">
        <v>3086</v>
      </c>
      <c r="I1599" s="1631" t="s">
        <v>3055</v>
      </c>
      <c r="J1599" s="1631" t="s">
        <v>3087</v>
      </c>
      <c r="K1599" s="1632" t="s">
        <v>3088</v>
      </c>
      <c r="L1599" s="343" t="s">
        <v>3089</v>
      </c>
      <c r="M1599" s="291"/>
      <c r="N1599" s="291"/>
      <c r="S1599" s="364"/>
      <c r="Z1599" s="609" t="s">
        <v>540</v>
      </c>
      <c r="AA1599" s="609" t="s">
        <v>3137</v>
      </c>
    </row>
    <row r="1600" spans="1:27" ht="18">
      <c r="A1600" s="2714"/>
      <c r="B1600" s="371">
        <v>101</v>
      </c>
      <c r="C1600" s="371" t="s">
        <v>2791</v>
      </c>
      <c r="D1600" s="2716">
        <f t="shared" ref="D1600:D1605" si="146">IF(OR(G1600="*",G1600="",G1600=0),0,COUNTIF($G$1600:$G$1605,G1600))</f>
        <v>0</v>
      </c>
      <c r="E1600" s="2721">
        <v>1</v>
      </c>
      <c r="F1600" s="294"/>
      <c r="G1600" s="1634" t="s">
        <v>2792</v>
      </c>
      <c r="H1600" s="309"/>
      <c r="I1600" s="309"/>
      <c r="J1600" s="309"/>
      <c r="K1600" s="346"/>
      <c r="L1600" s="355" t="s">
        <v>5364</v>
      </c>
      <c r="M1600" s="1522" t="s">
        <v>5605</v>
      </c>
      <c r="N1600" s="291"/>
      <c r="S1600" s="364"/>
      <c r="Z1600" s="609" t="s">
        <v>540</v>
      </c>
      <c r="AA1600" s="609" t="s">
        <v>3137</v>
      </c>
    </row>
    <row r="1601" spans="1:27" ht="18">
      <c r="A1601" s="2714"/>
      <c r="B1601" s="371">
        <v>102</v>
      </c>
      <c r="C1601" s="371" t="s">
        <v>2791</v>
      </c>
      <c r="D1601" s="2716">
        <f t="shared" si="146"/>
        <v>0</v>
      </c>
      <c r="E1601" s="2721">
        <v>1</v>
      </c>
      <c r="F1601" s="294"/>
      <c r="G1601" s="1634" t="s">
        <v>2792</v>
      </c>
      <c r="H1601" s="309"/>
      <c r="I1601" s="309"/>
      <c r="J1601" s="309"/>
      <c r="K1601" s="346"/>
      <c r="L1601" s="355" t="s">
        <v>6176</v>
      </c>
      <c r="M1601" s="291"/>
      <c r="N1601" s="291"/>
      <c r="S1601" s="364"/>
      <c r="Z1601" s="609" t="s">
        <v>540</v>
      </c>
      <c r="AA1601" s="609" t="s">
        <v>3137</v>
      </c>
    </row>
    <row r="1602" spans="1:27" ht="18">
      <c r="A1602" s="2714"/>
      <c r="B1602" s="371">
        <v>103</v>
      </c>
      <c r="C1602" s="371" t="s">
        <v>2791</v>
      </c>
      <c r="D1602" s="2716">
        <f t="shared" si="146"/>
        <v>0</v>
      </c>
      <c r="E1602" s="2721">
        <v>1</v>
      </c>
      <c r="F1602" s="294"/>
      <c r="G1602" s="1634" t="s">
        <v>2792</v>
      </c>
      <c r="H1602" s="309"/>
      <c r="I1602" s="309"/>
      <c r="J1602" s="309"/>
      <c r="K1602" s="346"/>
      <c r="L1602" s="291"/>
      <c r="M1602" s="291"/>
      <c r="N1602" s="291"/>
      <c r="S1602" s="364"/>
      <c r="Z1602" s="609" t="s">
        <v>540</v>
      </c>
      <c r="AA1602" s="609" t="s">
        <v>3137</v>
      </c>
    </row>
    <row r="1603" spans="1:27" ht="18">
      <c r="A1603" s="2714"/>
      <c r="B1603" s="371">
        <v>104</v>
      </c>
      <c r="C1603" s="371" t="s">
        <v>2791</v>
      </c>
      <c r="D1603" s="2716">
        <f t="shared" si="146"/>
        <v>0</v>
      </c>
      <c r="E1603" s="2721">
        <v>1</v>
      </c>
      <c r="F1603" s="294"/>
      <c r="G1603" s="1634" t="s">
        <v>2792</v>
      </c>
      <c r="H1603" s="309"/>
      <c r="I1603" s="309"/>
      <c r="J1603" s="309"/>
      <c r="K1603" s="346"/>
      <c r="L1603" s="291"/>
      <c r="M1603" s="291"/>
      <c r="N1603" s="291"/>
      <c r="S1603" s="364"/>
      <c r="Z1603" s="609" t="s">
        <v>540</v>
      </c>
      <c r="AA1603" s="609" t="s">
        <v>3137</v>
      </c>
    </row>
    <row r="1604" spans="1:27" ht="18">
      <c r="A1604" s="2714"/>
      <c r="B1604" s="371">
        <v>105</v>
      </c>
      <c r="C1604" s="371" t="s">
        <v>2791</v>
      </c>
      <c r="D1604" s="2716">
        <f t="shared" si="146"/>
        <v>0</v>
      </c>
      <c r="E1604" s="2721">
        <v>1</v>
      </c>
      <c r="F1604" s="294"/>
      <c r="G1604" s="1634" t="s">
        <v>2792</v>
      </c>
      <c r="H1604" s="309"/>
      <c r="I1604" s="309"/>
      <c r="J1604" s="309"/>
      <c r="K1604" s="346"/>
      <c r="L1604" s="291"/>
      <c r="M1604" s="291"/>
      <c r="N1604" s="291"/>
      <c r="S1604" s="364"/>
      <c r="Z1604" s="609" t="s">
        <v>540</v>
      </c>
      <c r="AA1604" s="609" t="s">
        <v>3137</v>
      </c>
    </row>
    <row r="1605" spans="1:27" ht="18.75" thickBot="1">
      <c r="A1605" s="2714"/>
      <c r="B1605" s="371"/>
      <c r="C1605" s="371"/>
      <c r="D1605" s="2716">
        <f t="shared" si="146"/>
        <v>1</v>
      </c>
      <c r="E1605" s="2721" t="s">
        <v>3032</v>
      </c>
      <c r="F1605" s="294"/>
      <c r="G1605" s="1529" t="s">
        <v>2752</v>
      </c>
      <c r="H1605" s="1527">
        <f>SUMPRODUCT($E1599:$E1604,H1599:H1604)</f>
        <v>0</v>
      </c>
      <c r="I1605" s="1527">
        <f>SUMPRODUCT($E1599:$E1604,I1599:I1604)</f>
        <v>0</v>
      </c>
      <c r="J1605" s="1527">
        <f>SUMPRODUCT($E1599:$E1604,J1599:J1604)</f>
        <v>0</v>
      </c>
      <c r="K1605" s="1528">
        <f>SUMPRODUCT($E1599:$E1604,K1599:K1604)</f>
        <v>0</v>
      </c>
      <c r="L1605" s="291"/>
      <c r="M1605" s="291"/>
      <c r="N1605" s="291"/>
      <c r="S1605" s="364"/>
      <c r="Z1605" s="609" t="s">
        <v>540</v>
      </c>
      <c r="AA1605" s="609" t="s">
        <v>3137</v>
      </c>
    </row>
    <row r="1606" spans="1:27" ht="18">
      <c r="A1606" s="2714"/>
      <c r="B1606" s="371"/>
      <c r="C1606" s="371" t="s">
        <v>2755</v>
      </c>
      <c r="D1606" s="371"/>
      <c r="F1606" s="294"/>
      <c r="G1606" s="301"/>
      <c r="H1606" s="315"/>
      <c r="I1606" s="315"/>
      <c r="J1606" s="315"/>
      <c r="K1606" s="315"/>
      <c r="L1606" s="291"/>
      <c r="M1606" s="291"/>
      <c r="N1606" s="291"/>
      <c r="S1606" s="364"/>
      <c r="Z1606" s="609" t="s">
        <v>540</v>
      </c>
      <c r="AA1606" s="609" t="s">
        <v>3137</v>
      </c>
    </row>
    <row r="1607" spans="1:27" ht="18">
      <c r="A1607" s="2714" t="s">
        <v>663</v>
      </c>
      <c r="B1607" s="371">
        <v>12</v>
      </c>
      <c r="C1607" s="371"/>
      <c r="D1607" s="2716" t="str">
        <f>VLOOKUP($A1607,Sheet_NoteList,2,0)</f>
        <v>其他应收款补充资料</v>
      </c>
      <c r="E1607" s="2716" t="s">
        <v>6531</v>
      </c>
      <c r="F1607" s="294"/>
      <c r="G1607" s="483" t="str">
        <f>"("&amp;B1607&amp;")"&amp;D1607</f>
        <v>(12)其他应收款补充资料</v>
      </c>
      <c r="H1607" s="1517" t="str">
        <f>$A1607</f>
        <v>1221x</v>
      </c>
      <c r="I1607" s="343" t="s">
        <v>5965</v>
      </c>
      <c r="J1607" s="301" t="s">
        <v>5963</v>
      </c>
      <c r="K1607" s="2210">
        <f>M1614</f>
        <v>0</v>
      </c>
      <c r="L1607" s="345"/>
      <c r="M1607" s="301" t="s">
        <v>5967</v>
      </c>
      <c r="N1607" s="2210">
        <f>H1614</f>
        <v>0</v>
      </c>
      <c r="O1607" s="345"/>
      <c r="P1607" s="301"/>
      <c r="Q1607" s="290" t="str">
        <f>IF($I1607="不适用","",IF(ROUND(SUM($H$1612:$N$1614),2)=0,"请输入",""))</f>
        <v>请输入</v>
      </c>
      <c r="S1607" s="364"/>
      <c r="Z1607" s="609" t="s">
        <v>540</v>
      </c>
      <c r="AA1607" s="609" t="s">
        <v>3137</v>
      </c>
    </row>
    <row r="1608" spans="1:27" ht="0.75" customHeight="1">
      <c r="A1608" s="2714"/>
      <c r="B1608" s="371"/>
      <c r="C1608" s="371"/>
      <c r="D1608" s="371"/>
      <c r="E1608" s="586"/>
      <c r="F1608" s="586"/>
      <c r="G1608" s="586" t="s">
        <v>3176</v>
      </c>
      <c r="H1608" s="371" t="s">
        <v>2904</v>
      </c>
      <c r="I1608" s="371" t="s">
        <v>2905</v>
      </c>
      <c r="J1608" s="371" t="s">
        <v>2906</v>
      </c>
      <c r="K1608" s="371" t="s">
        <v>2907</v>
      </c>
      <c r="L1608" s="371" t="s">
        <v>2908</v>
      </c>
      <c r="M1608" s="371" t="s">
        <v>2909</v>
      </c>
      <c r="N1608" s="371" t="s">
        <v>2910</v>
      </c>
      <c r="O1608" s="291"/>
      <c r="P1608" s="291"/>
      <c r="S1608" s="364"/>
      <c r="Z1608" s="609" t="s">
        <v>540</v>
      </c>
      <c r="AA1608" s="609" t="s">
        <v>3137</v>
      </c>
    </row>
    <row r="1609" spans="1:27" ht="0.75" customHeight="1" thickBot="1">
      <c r="A1609" s="2714"/>
      <c r="B1609" s="371"/>
      <c r="C1609" s="371"/>
      <c r="D1609" s="371"/>
      <c r="E1609" s="586"/>
      <c r="F1609" s="586"/>
      <c r="G1609" s="586"/>
      <c r="H1609" s="371" t="s">
        <v>3020</v>
      </c>
      <c r="I1609" s="371" t="s">
        <v>3021</v>
      </c>
      <c r="J1609" s="371" t="s">
        <v>3022</v>
      </c>
      <c r="K1609" s="371" t="s">
        <v>3023</v>
      </c>
      <c r="L1609" s="371" t="s">
        <v>3024</v>
      </c>
      <c r="M1609" s="371" t="s">
        <v>3025</v>
      </c>
      <c r="N1609" s="371" t="s">
        <v>3026</v>
      </c>
      <c r="O1609" s="291"/>
      <c r="P1609" s="291"/>
      <c r="S1609" s="364"/>
      <c r="Z1609" s="609" t="s">
        <v>540</v>
      </c>
      <c r="AA1609" s="609" t="s">
        <v>3137</v>
      </c>
    </row>
    <row r="1610" spans="1:27" ht="18">
      <c r="A1610" s="2714"/>
      <c r="B1610" s="371"/>
      <c r="C1610" s="371"/>
      <c r="D1610" s="371"/>
      <c r="E1610" s="586" t="s">
        <v>2749</v>
      </c>
      <c r="F1610" s="363"/>
      <c r="G1610" s="3512" t="s">
        <v>47</v>
      </c>
      <c r="H1610" s="3460" t="s">
        <v>2776</v>
      </c>
      <c r="I1610" s="3460" t="s">
        <v>3027</v>
      </c>
      <c r="J1610" s="3460"/>
      <c r="K1610" s="3460" t="s">
        <v>3028</v>
      </c>
      <c r="L1610" s="3460"/>
      <c r="M1610" s="3460"/>
      <c r="N1610" s="3456" t="s">
        <v>2775</v>
      </c>
      <c r="O1610" s="355" t="s">
        <v>6176</v>
      </c>
      <c r="P1610" s="291"/>
      <c r="S1610" s="364"/>
      <c r="Z1610" s="609" t="s">
        <v>540</v>
      </c>
      <c r="AA1610" s="609" t="s">
        <v>3137</v>
      </c>
    </row>
    <row r="1611" spans="1:27" ht="18">
      <c r="A1611" s="2714"/>
      <c r="B1611" s="371"/>
      <c r="C1611" s="371"/>
      <c r="D1611" s="371"/>
      <c r="E1611" s="586" t="s">
        <v>2749</v>
      </c>
      <c r="F1611" s="363"/>
      <c r="G1611" s="3513"/>
      <c r="H1611" s="3464"/>
      <c r="I1611" s="2295" t="s">
        <v>2920</v>
      </c>
      <c r="J1611" s="2295" t="s">
        <v>932</v>
      </c>
      <c r="K1611" s="2295" t="s">
        <v>3029</v>
      </c>
      <c r="L1611" s="2295" t="s">
        <v>3030</v>
      </c>
      <c r="M1611" s="2295" t="s">
        <v>932</v>
      </c>
      <c r="N1611" s="3457"/>
      <c r="O1611" s="355"/>
      <c r="P1611" s="291"/>
      <c r="S1611" s="364"/>
      <c r="Z1611" s="609" t="s">
        <v>540</v>
      </c>
      <c r="AA1611" s="609" t="s">
        <v>3137</v>
      </c>
    </row>
    <row r="1612" spans="1:27" ht="18">
      <c r="A1612" s="2714"/>
      <c r="B1612" s="371">
        <v>101</v>
      </c>
      <c r="C1612" s="371"/>
      <c r="D1612" s="2716">
        <f>IF(OR(G1612="*",G1612="",G1612=0),0,COUNTIF($G$1612:$G$1614,G1612))</f>
        <v>1</v>
      </c>
      <c r="E1612" s="2721">
        <v>1</v>
      </c>
      <c r="F1612" s="294"/>
      <c r="G1612" s="1474" t="s">
        <v>3177</v>
      </c>
      <c r="H1612" s="2275"/>
      <c r="I1612" s="2275"/>
      <c r="J1612" s="2275"/>
      <c r="K1612" s="2275"/>
      <c r="L1612" s="2275"/>
      <c r="M1612" s="2275"/>
      <c r="N1612" s="1477">
        <f>SUM(H1612:J1612)-SUM(K1612:M1612)</f>
        <v>0</v>
      </c>
      <c r="O1612" s="291"/>
      <c r="P1612" s="291"/>
      <c r="S1612" s="364"/>
      <c r="Z1612" s="609" t="s">
        <v>540</v>
      </c>
      <c r="AA1612" s="609" t="s">
        <v>3137</v>
      </c>
    </row>
    <row r="1613" spans="1:27" ht="18">
      <c r="A1613" s="2714"/>
      <c r="B1613" s="371">
        <v>102</v>
      </c>
      <c r="C1613" s="371" t="s">
        <v>2791</v>
      </c>
      <c r="D1613" s="2716">
        <f>IF(OR(G1613="*",G1613="",G1613=0),0,COUNTIF($G$1612:$G$1614,G1613))</f>
        <v>0</v>
      </c>
      <c r="E1613" s="2721">
        <v>1</v>
      </c>
      <c r="F1613" s="294"/>
      <c r="G1613" s="2284" t="s">
        <v>2792</v>
      </c>
      <c r="H1613" s="2275"/>
      <c r="I1613" s="2275"/>
      <c r="J1613" s="2275"/>
      <c r="K1613" s="2275"/>
      <c r="L1613" s="2275"/>
      <c r="M1613" s="2275"/>
      <c r="N1613" s="1477">
        <f>SUM(H1613:J1613)-SUM(K1613:M1613)</f>
        <v>0</v>
      </c>
      <c r="O1613" s="291"/>
      <c r="P1613" s="291"/>
      <c r="S1613" s="364"/>
      <c r="Z1613" s="609" t="s">
        <v>540</v>
      </c>
      <c r="AA1613" s="609" t="s">
        <v>3137</v>
      </c>
    </row>
    <row r="1614" spans="1:27" ht="18.75" thickBot="1">
      <c r="A1614" s="2714"/>
      <c r="B1614" s="371"/>
      <c r="C1614" s="371"/>
      <c r="D1614" s="2716">
        <f>IF(OR(G1614="*",G1614="",G1614=0),0,COUNTIF($G$1612:$G$1614,G1614))</f>
        <v>1</v>
      </c>
      <c r="E1614" s="2721" t="s">
        <v>3032</v>
      </c>
      <c r="F1614" s="294"/>
      <c r="G1614" s="1529" t="s">
        <v>2752</v>
      </c>
      <c r="H1614" s="1527">
        <f t="shared" ref="H1614:N1614" si="147">SUMPRODUCT($E1611:$E1613,H1611:H1613)</f>
        <v>0</v>
      </c>
      <c r="I1614" s="1527">
        <f t="shared" si="147"/>
        <v>0</v>
      </c>
      <c r="J1614" s="1527">
        <f t="shared" si="147"/>
        <v>0</v>
      </c>
      <c r="K1614" s="1527">
        <f t="shared" si="147"/>
        <v>0</v>
      </c>
      <c r="L1614" s="1527">
        <f t="shared" si="147"/>
        <v>0</v>
      </c>
      <c r="M1614" s="1527">
        <f t="shared" si="147"/>
        <v>0</v>
      </c>
      <c r="N1614" s="1528">
        <f t="shared" si="147"/>
        <v>0</v>
      </c>
      <c r="O1614" s="291"/>
      <c r="P1614" s="291"/>
      <c r="S1614" s="364"/>
      <c r="Z1614" s="609" t="s">
        <v>540</v>
      </c>
      <c r="AA1614" s="609" t="s">
        <v>3137</v>
      </c>
    </row>
    <row r="1615" spans="1:27" ht="18">
      <c r="A1615" s="2714"/>
      <c r="B1615" s="371"/>
      <c r="C1615" s="371" t="s">
        <v>2755</v>
      </c>
      <c r="D1615" s="371"/>
      <c r="F1615" s="294"/>
      <c r="G1615" s="301"/>
      <c r="H1615" s="315" t="s">
        <v>3002</v>
      </c>
      <c r="I1615" s="315"/>
      <c r="J1615" s="315"/>
      <c r="K1615" s="315"/>
      <c r="L1615" s="315"/>
      <c r="M1615" s="315"/>
      <c r="N1615" s="315" t="s">
        <v>3002</v>
      </c>
      <c r="O1615" s="291"/>
      <c r="P1615" s="291"/>
      <c r="S1615" s="364"/>
      <c r="Z1615" s="609" t="s">
        <v>540</v>
      </c>
      <c r="AA1615" s="609" t="s">
        <v>3137</v>
      </c>
    </row>
    <row r="1616" spans="1:27" ht="18">
      <c r="A1616" s="2714">
        <v>1400</v>
      </c>
      <c r="B1616" s="371">
        <v>10</v>
      </c>
      <c r="C1616" s="2716" t="str">
        <f>VLOOKUP($A1616,Sheet_Items,2,0)</f>
        <v>存货</v>
      </c>
      <c r="D1616" s="371"/>
      <c r="E1616" s="2716" t="s">
        <v>2739</v>
      </c>
      <c r="F1616" s="294"/>
      <c r="G1616" s="305" t="str">
        <f>B1616&amp;" "&amp;C1616</f>
        <v>10 存货</v>
      </c>
      <c r="H1616" s="306"/>
      <c r="I1616" s="306"/>
      <c r="J1616" s="306" t="s">
        <v>2740</v>
      </c>
      <c r="K1616" s="341">
        <f>VLOOKUP($A1616,Sheet_Trialbal,6,0)</f>
        <v>13979569.91</v>
      </c>
      <c r="L1616" s="342"/>
      <c r="M1616" s="306" t="s">
        <v>2741</v>
      </c>
      <c r="N1616" s="341">
        <f>VLOOKUP($A1616,Sheet_Trialbal,10,0)</f>
        <v>12739599.279999999</v>
      </c>
      <c r="O1616" s="306"/>
      <c r="P1616" s="301"/>
      <c r="S1616" s="364"/>
      <c r="Z1616" s="609" t="s">
        <v>670</v>
      </c>
      <c r="AA1616" s="609" t="s">
        <v>5656</v>
      </c>
    </row>
    <row r="1617" spans="1:29" ht="18">
      <c r="A1617" s="2714" t="s">
        <v>668</v>
      </c>
      <c r="B1617" s="371">
        <v>1</v>
      </c>
      <c r="C1617" s="371"/>
      <c r="D1617" s="2716" t="str">
        <f>VLOOKUP($A1617,Sheet_NoteList,2,0)</f>
        <v>存货分类列示</v>
      </c>
      <c r="E1617" s="2716" t="s">
        <v>2742</v>
      </c>
      <c r="F1617" s="294"/>
      <c r="G1617" s="307" t="str">
        <f>"("&amp;B1617&amp;")"&amp;D1617</f>
        <v>(1)存货分类列示</v>
      </c>
      <c r="H1617" s="1517" t="str">
        <f>$A1617</f>
        <v>1400a</v>
      </c>
      <c r="I1617" s="343" t="s">
        <v>2743</v>
      </c>
      <c r="J1617" s="301" t="s">
        <v>2744</v>
      </c>
      <c r="K1617" s="2210">
        <f>J1634</f>
        <v>13979569.91</v>
      </c>
      <c r="L1617" s="345" t="str">
        <f>IF($I1617="适用",IF(ROUND(K$1616-K1617,2)=0,"F/S",ROUND(K$1616-K1617,2)),"#N/A")</f>
        <v>F/S</v>
      </c>
      <c r="M1617" s="301" t="s">
        <v>2745</v>
      </c>
      <c r="N1617" s="2210">
        <f>M1634</f>
        <v>12739599.279999999</v>
      </c>
      <c r="O1617" s="345" t="str">
        <f>IF($I1617="适用",IF(ROUND(N$1616-N1617,2)=0,"F/S",ROUND(N$1616-N1617,2)),"#N/A")</f>
        <v>F/S</v>
      </c>
      <c r="P1617" s="301"/>
      <c r="Q1617" s="290" t="str">
        <f>IF($I1617="不适用","",IF(ROUND(SUM($H$1622:$M$1634),2)=0,"请输入",""))</f>
        <v/>
      </c>
      <c r="S1617" s="364"/>
      <c r="Z1617" s="609" t="s">
        <v>670</v>
      </c>
      <c r="AA1617" s="609" t="s">
        <v>5656</v>
      </c>
    </row>
    <row r="1618" spans="1:29" ht="0.75" customHeight="1">
      <c r="A1618" s="2714"/>
      <c r="B1618" s="371"/>
      <c r="C1618" s="371"/>
      <c r="D1618" s="371"/>
      <c r="E1618" s="586"/>
      <c r="F1618" s="518"/>
      <c r="G1618" s="518" t="s">
        <v>3206</v>
      </c>
      <c r="H1618" s="304" t="s">
        <v>2882</v>
      </c>
      <c r="I1618" s="304" t="s">
        <v>3207</v>
      </c>
      <c r="J1618" s="304" t="s">
        <v>3208</v>
      </c>
      <c r="K1618" s="304" t="s">
        <v>3209</v>
      </c>
      <c r="L1618" s="304" t="s">
        <v>3210</v>
      </c>
      <c r="M1618" s="304" t="s">
        <v>3211</v>
      </c>
      <c r="N1618" s="291"/>
      <c r="O1618" s="291"/>
      <c r="P1618" s="291"/>
      <c r="Q1618" s="367"/>
      <c r="R1618" s="367"/>
      <c r="S1618" s="364"/>
      <c r="Z1618" s="609" t="s">
        <v>670</v>
      </c>
      <c r="AA1618" s="609" t="s">
        <v>5656</v>
      </c>
    </row>
    <row r="1619" spans="1:29" ht="0.75" customHeight="1" thickBot="1">
      <c r="A1619" s="2714"/>
      <c r="B1619" s="371"/>
      <c r="C1619" s="371"/>
      <c r="D1619" s="371"/>
      <c r="E1619" s="586"/>
      <c r="F1619" s="518"/>
      <c r="G1619" s="518"/>
      <c r="H1619" s="304" t="s">
        <v>2855</v>
      </c>
      <c r="I1619" s="304" t="s">
        <v>3212</v>
      </c>
      <c r="J1619" s="304" t="s">
        <v>2857</v>
      </c>
      <c r="K1619" s="304" t="s">
        <v>3213</v>
      </c>
      <c r="L1619" s="304" t="s">
        <v>3214</v>
      </c>
      <c r="M1619" s="304" t="s">
        <v>3215</v>
      </c>
      <c r="N1619" s="291"/>
      <c r="O1619" s="291"/>
      <c r="P1619" s="291"/>
      <c r="Q1619" s="367"/>
      <c r="R1619" s="367"/>
      <c r="S1619" s="364"/>
      <c r="Z1619" s="609" t="s">
        <v>670</v>
      </c>
      <c r="AA1619" s="609" t="s">
        <v>5656</v>
      </c>
    </row>
    <row r="1620" spans="1:29" ht="18">
      <c r="A1620" s="2714"/>
      <c r="B1620" s="371"/>
      <c r="C1620" s="371"/>
      <c r="D1620" s="371"/>
      <c r="E1620" s="586" t="s">
        <v>2749</v>
      </c>
      <c r="F1620" s="363"/>
      <c r="G1620" s="3465" t="s">
        <v>3216</v>
      </c>
      <c r="H1620" s="3428" t="str">
        <f>$V$2</f>
        <v>2019年12月31日</v>
      </c>
      <c r="I1620" s="3429"/>
      <c r="J1620" s="3430"/>
      <c r="K1620" s="3428" t="str">
        <f>$V$3</f>
        <v>2018年12月31日</v>
      </c>
      <c r="L1620" s="3429"/>
      <c r="M1620" s="3429"/>
      <c r="N1620" s="355" t="s">
        <v>5274</v>
      </c>
      <c r="O1620" s="291"/>
      <c r="P1620" s="291"/>
      <c r="Q1620" s="367"/>
      <c r="R1620" s="367"/>
      <c r="S1620" s="364"/>
      <c r="Z1620" s="609" t="s">
        <v>670</v>
      </c>
      <c r="AA1620" s="609" t="s">
        <v>5656</v>
      </c>
    </row>
    <row r="1621" spans="1:29" ht="18">
      <c r="A1621" s="2714"/>
      <c r="B1621" s="371"/>
      <c r="C1621" s="371"/>
      <c r="D1621" s="371"/>
      <c r="E1621" s="586" t="s">
        <v>2749</v>
      </c>
      <c r="F1621" s="363"/>
      <c r="G1621" s="3466"/>
      <c r="H1621" s="2283" t="s">
        <v>2861</v>
      </c>
      <c r="I1621" s="2283" t="s">
        <v>3217</v>
      </c>
      <c r="J1621" s="2283" t="s">
        <v>2863</v>
      </c>
      <c r="K1621" s="2283" t="s">
        <v>2861</v>
      </c>
      <c r="L1621" s="2283" t="s">
        <v>3217</v>
      </c>
      <c r="M1621" s="421" t="s">
        <v>2863</v>
      </c>
      <c r="N1621" s="291"/>
      <c r="O1621" s="291"/>
      <c r="P1621" s="291"/>
      <c r="Q1621" s="367"/>
      <c r="R1621" s="367"/>
      <c r="S1621" s="364"/>
      <c r="Z1621" s="609" t="s">
        <v>670</v>
      </c>
      <c r="AA1621" s="609" t="s">
        <v>5656</v>
      </c>
    </row>
    <row r="1622" spans="1:29" ht="18">
      <c r="A1622" s="2714"/>
      <c r="B1622" s="371">
        <v>101</v>
      </c>
      <c r="C1622" s="371"/>
      <c r="D1622" s="2716">
        <f t="shared" ref="D1622:D1634" si="148">IF(OR(G1622="*",G1622="",G1622=0),0,COUNTIF($G$1622:$G$1634,G1622))</f>
        <v>1</v>
      </c>
      <c r="E1622" s="2721">
        <v>1</v>
      </c>
      <c r="F1622" s="294"/>
      <c r="G1622" s="1474" t="s">
        <v>299</v>
      </c>
      <c r="H1622" s="2275">
        <v>7263387.7699999996</v>
      </c>
      <c r="I1622" s="2275"/>
      <c r="J1622" s="1476">
        <f>H1622-I1622</f>
        <v>7263387.7699999996</v>
      </c>
      <c r="K1622" s="2275">
        <v>8269167.0899999999</v>
      </c>
      <c r="L1622" s="2275"/>
      <c r="M1622" s="1477">
        <f t="shared" ref="M1622:M1633" si="149">K1622-L1622</f>
        <v>8269167.0899999999</v>
      </c>
      <c r="N1622" s="1533" t="str">
        <f ca="1">HYPERLINK("#'"&amp;$G$1&amp;"'!"&amp;ADDRESS(ROW(Notes!O1641),COLUMN(Notes!O1641),4),"* 请勿删除此行！点击往勾稽单元格，F5+Enter返回")</f>
        <v>* 请勿删除此行！点击往勾稽单元格，F5+Enter返回</v>
      </c>
      <c r="O1622" s="291"/>
      <c r="P1622" s="291"/>
      <c r="Q1622" s="367"/>
      <c r="R1622" s="367"/>
      <c r="S1622" s="364"/>
      <c r="Z1622" s="609" t="s">
        <v>670</v>
      </c>
      <c r="AA1622" s="609" t="s">
        <v>5656</v>
      </c>
      <c r="AC1622" s="369" t="s">
        <v>6573</v>
      </c>
    </row>
    <row r="1623" spans="1:29" ht="18">
      <c r="A1623" s="2714"/>
      <c r="B1623" s="371">
        <v>102</v>
      </c>
      <c r="C1623" s="371"/>
      <c r="D1623" s="2716">
        <f t="shared" si="148"/>
        <v>1</v>
      </c>
      <c r="E1623" s="2721">
        <v>1</v>
      </c>
      <c r="F1623" s="294"/>
      <c r="G1623" s="1474" t="s">
        <v>3218</v>
      </c>
      <c r="H1623" s="2275">
        <v>821077.61</v>
      </c>
      <c r="I1623" s="2275"/>
      <c r="J1623" s="1476">
        <f t="shared" ref="J1623:J1633" si="150">H1623-I1623</f>
        <v>821077.61</v>
      </c>
      <c r="K1623" s="2275">
        <v>711614.94</v>
      </c>
      <c r="L1623" s="2275"/>
      <c r="M1623" s="1477">
        <f t="shared" si="149"/>
        <v>711614.94</v>
      </c>
      <c r="N1623" s="1533" t="str">
        <f ca="1">HYPERLINK("#'"&amp;$G$1&amp;"'!"&amp;ADDRESS(ROW(Notes!O1642),COLUMN(Notes!O1642),4),"* 请勿删除此行！点击往勾稽单元格，F5+Enter返回")</f>
        <v>* 请勿删除此行！点击往勾稽单元格，F5+Enter返回</v>
      </c>
      <c r="O1623" s="291"/>
      <c r="P1623" s="291"/>
      <c r="Q1623" s="367"/>
      <c r="R1623" s="367"/>
      <c r="S1623" s="364"/>
      <c r="Z1623" s="609" t="s">
        <v>670</v>
      </c>
      <c r="AA1623" s="609" t="s">
        <v>5656</v>
      </c>
      <c r="AC1623" s="369" t="s">
        <v>6573</v>
      </c>
    </row>
    <row r="1624" spans="1:29" ht="18">
      <c r="A1624" s="2714"/>
      <c r="B1624" s="371">
        <v>103</v>
      </c>
      <c r="C1624" s="371"/>
      <c r="D1624" s="2716">
        <f t="shared" si="148"/>
        <v>1</v>
      </c>
      <c r="E1624" s="2721">
        <v>1</v>
      </c>
      <c r="F1624" s="294"/>
      <c r="G1624" s="1474" t="s">
        <v>313</v>
      </c>
      <c r="H1624" s="2275">
        <v>5661124.1600000001</v>
      </c>
      <c r="I1624" s="2275">
        <v>289567.38</v>
      </c>
      <c r="J1624" s="1476">
        <f t="shared" si="150"/>
        <v>5371556.7800000003</v>
      </c>
      <c r="K1624" s="2275">
        <v>3192319.41</v>
      </c>
      <c r="L1624" s="2275">
        <v>58285.06</v>
      </c>
      <c r="M1624" s="1477">
        <f t="shared" si="149"/>
        <v>3134034.35</v>
      </c>
      <c r="N1624" s="1533" t="str">
        <f ca="1">HYPERLINK("#'"&amp;$G$1&amp;"'!"&amp;ADDRESS(ROW(Notes!O1643),COLUMN(Notes!O1643),4),"* 请勿删除此行！点击往勾稽单元格，F5+Enter返回")</f>
        <v>* 请勿删除此行！点击往勾稽单元格，F5+Enter返回</v>
      </c>
      <c r="O1624" s="291"/>
      <c r="P1624" s="291"/>
      <c r="Q1624" s="367"/>
      <c r="R1624" s="367"/>
      <c r="S1624" s="364"/>
      <c r="Z1624" s="609" t="s">
        <v>670</v>
      </c>
      <c r="AA1624" s="609" t="s">
        <v>5656</v>
      </c>
      <c r="AC1624" s="369" t="s">
        <v>6573</v>
      </c>
    </row>
    <row r="1625" spans="1:29" ht="18">
      <c r="A1625" s="2714"/>
      <c r="B1625" s="371">
        <v>104</v>
      </c>
      <c r="C1625" s="371"/>
      <c r="D1625" s="2716">
        <f t="shared" si="148"/>
        <v>1</v>
      </c>
      <c r="E1625" s="2721">
        <v>1</v>
      </c>
      <c r="F1625" s="294"/>
      <c r="G1625" s="1474" t="s">
        <v>339</v>
      </c>
      <c r="H1625" s="2275"/>
      <c r="I1625" s="2275"/>
      <c r="J1625" s="1476">
        <f t="shared" si="150"/>
        <v>0</v>
      </c>
      <c r="K1625" s="2275"/>
      <c r="L1625" s="2275"/>
      <c r="M1625" s="1477">
        <f t="shared" si="149"/>
        <v>0</v>
      </c>
      <c r="N1625" s="1533" t="str">
        <f ca="1">HYPERLINK("#'"&amp;$G$1&amp;"'!"&amp;ADDRESS(ROW(Notes!O1644),COLUMN(Notes!O1644),4),"* 请勿删除此行！点击往勾稽单元格，F5+Enter返回")</f>
        <v>* 请勿删除此行！点击往勾稽单元格，F5+Enter返回</v>
      </c>
      <c r="O1625" s="291"/>
      <c r="P1625" s="291"/>
      <c r="Q1625" s="367"/>
      <c r="R1625" s="367"/>
      <c r="S1625" s="364"/>
      <c r="Z1625" s="609" t="s">
        <v>670</v>
      </c>
      <c r="AA1625" s="609" t="s">
        <v>5656</v>
      </c>
      <c r="AC1625" s="369" t="s">
        <v>6573</v>
      </c>
    </row>
    <row r="1626" spans="1:29" ht="18">
      <c r="A1626" s="2714"/>
      <c r="B1626" s="371">
        <v>105</v>
      </c>
      <c r="C1626" s="371"/>
      <c r="D1626" s="2716">
        <f t="shared" si="148"/>
        <v>1</v>
      </c>
      <c r="E1626" s="2721">
        <v>1</v>
      </c>
      <c r="F1626" s="294"/>
      <c r="G1626" s="1474" t="s">
        <v>346</v>
      </c>
      <c r="H1626" s="2275"/>
      <c r="I1626" s="2275"/>
      <c r="J1626" s="1476">
        <f t="shared" si="150"/>
        <v>0</v>
      </c>
      <c r="K1626" s="2275"/>
      <c r="L1626" s="2275"/>
      <c r="M1626" s="1477">
        <f t="shared" si="149"/>
        <v>0</v>
      </c>
      <c r="N1626" s="1533" t="str">
        <f ca="1">HYPERLINK("#'"&amp;$G$1&amp;"'!"&amp;ADDRESS(ROW(Notes!O1645),COLUMN(Notes!O1645),4),"* 请勿删除此行！点击往勾稽单元格，F5+Enter返回")</f>
        <v>* 请勿删除此行！点击往勾稽单元格，F5+Enter返回</v>
      </c>
      <c r="O1626" s="291"/>
      <c r="P1626" s="291"/>
      <c r="Q1626" s="367"/>
      <c r="R1626" s="367"/>
      <c r="S1626" s="364"/>
      <c r="Z1626" s="609" t="s">
        <v>670</v>
      </c>
      <c r="AA1626" s="609" t="s">
        <v>5656</v>
      </c>
      <c r="AC1626" s="369" t="s">
        <v>6573</v>
      </c>
    </row>
    <row r="1627" spans="1:29" ht="24">
      <c r="A1627" s="2714"/>
      <c r="B1627" s="371">
        <v>106</v>
      </c>
      <c r="C1627" s="371"/>
      <c r="D1627" s="2716">
        <f t="shared" si="148"/>
        <v>1</v>
      </c>
      <c r="E1627" s="2721">
        <v>1</v>
      </c>
      <c r="F1627" s="294"/>
      <c r="G1627" s="1474" t="s">
        <v>3219</v>
      </c>
      <c r="H1627" s="2275"/>
      <c r="I1627" s="2275"/>
      <c r="J1627" s="1476">
        <f t="shared" si="150"/>
        <v>0</v>
      </c>
      <c r="K1627" s="2275"/>
      <c r="L1627" s="2275"/>
      <c r="M1627" s="1477">
        <f t="shared" si="149"/>
        <v>0</v>
      </c>
      <c r="N1627" s="1533" t="str">
        <f ca="1">HYPERLINK("#'"&amp;$G$1&amp;"'!"&amp;ADDRESS(ROW(Notes!O1646),COLUMN(Notes!O1646),4),"* 请勿删除此行！点击往勾稽单元格，F5+Enter返回")</f>
        <v>* 请勿删除此行！点击往勾稽单元格，F5+Enter返回</v>
      </c>
      <c r="O1627" s="291"/>
      <c r="P1627" s="291"/>
      <c r="Q1627" s="367"/>
      <c r="R1627" s="367"/>
      <c r="S1627" s="364"/>
      <c r="Z1627" s="609" t="s">
        <v>670</v>
      </c>
      <c r="AA1627" s="609" t="s">
        <v>5656</v>
      </c>
      <c r="AC1627" s="369" t="s">
        <v>6573</v>
      </c>
    </row>
    <row r="1628" spans="1:29" ht="18">
      <c r="A1628" s="2714"/>
      <c r="B1628" s="371">
        <v>107</v>
      </c>
      <c r="C1628" s="371" t="s">
        <v>2791</v>
      </c>
      <c r="D1628" s="2716">
        <f t="shared" si="148"/>
        <v>1</v>
      </c>
      <c r="E1628" s="2721">
        <v>1</v>
      </c>
      <c r="F1628" s="294"/>
      <c r="G1628" s="2284" t="s">
        <v>692</v>
      </c>
      <c r="H1628" s="2275"/>
      <c r="I1628" s="2275"/>
      <c r="J1628" s="1476">
        <f t="shared" si="150"/>
        <v>0</v>
      </c>
      <c r="K1628" s="2275"/>
      <c r="L1628" s="2275"/>
      <c r="M1628" s="1477">
        <f t="shared" si="149"/>
        <v>0</v>
      </c>
      <c r="N1628" s="1533" t="str">
        <f ca="1">HYPERLINK("#'"&amp;$G$1&amp;"'!"&amp;ADDRESS(ROW(Notes!O1647),COLUMN(Notes!O1647),4),"* 请勿删除此行！点击往勾稽单元格，F5+Enter返回")</f>
        <v>* 请勿删除此行！点击往勾稽单元格，F5+Enter返回</v>
      </c>
      <c r="O1628" s="291"/>
      <c r="P1628" s="291"/>
      <c r="Q1628" s="367"/>
      <c r="R1628" s="367"/>
      <c r="S1628" s="364"/>
      <c r="Z1628" s="609" t="s">
        <v>670</v>
      </c>
      <c r="AA1628" s="609" t="s">
        <v>5656</v>
      </c>
      <c r="AC1628" s="369" t="s">
        <v>6573</v>
      </c>
    </row>
    <row r="1629" spans="1:29" ht="18">
      <c r="A1629" s="2714"/>
      <c r="B1629" s="371">
        <v>108</v>
      </c>
      <c r="C1629" s="371" t="s">
        <v>2791</v>
      </c>
      <c r="D1629" s="2716">
        <f t="shared" si="148"/>
        <v>1</v>
      </c>
      <c r="E1629" s="2721">
        <v>1</v>
      </c>
      <c r="F1629" s="294"/>
      <c r="G1629" s="2284" t="s">
        <v>696</v>
      </c>
      <c r="H1629" s="2275"/>
      <c r="I1629" s="2275"/>
      <c r="J1629" s="1476">
        <f t="shared" si="150"/>
        <v>0</v>
      </c>
      <c r="K1629" s="2275"/>
      <c r="L1629" s="2275"/>
      <c r="M1629" s="1477">
        <f t="shared" si="149"/>
        <v>0</v>
      </c>
      <c r="N1629" s="1533" t="str">
        <f ca="1">HYPERLINK("#'"&amp;$G$1&amp;"'!"&amp;ADDRESS(ROW(Notes!O1648),COLUMN(Notes!O1648),4),"* 请勿删除此行！点击往勾稽单元格，F5+Enter返回")</f>
        <v>* 请勿删除此行！点击往勾稽单元格，F5+Enter返回</v>
      </c>
      <c r="O1629" s="291"/>
      <c r="P1629" s="291"/>
      <c r="Q1629" s="367"/>
      <c r="R1629" s="367"/>
      <c r="S1629" s="364"/>
      <c r="Z1629" s="609" t="s">
        <v>670</v>
      </c>
      <c r="AA1629" s="609" t="s">
        <v>5656</v>
      </c>
      <c r="AC1629" s="369" t="s">
        <v>6573</v>
      </c>
    </row>
    <row r="1630" spans="1:29" ht="18">
      <c r="A1630" s="2714"/>
      <c r="B1630" s="371">
        <v>109</v>
      </c>
      <c r="C1630" s="371" t="s">
        <v>2791</v>
      </c>
      <c r="D1630" s="2716">
        <f t="shared" si="148"/>
        <v>1</v>
      </c>
      <c r="E1630" s="2721">
        <v>1</v>
      </c>
      <c r="F1630" s="294"/>
      <c r="G1630" s="2284" t="s">
        <v>319</v>
      </c>
      <c r="H1630" s="2275">
        <v>523547.75</v>
      </c>
      <c r="I1630" s="2275"/>
      <c r="J1630" s="1476">
        <f t="shared" si="150"/>
        <v>523547.75</v>
      </c>
      <c r="K1630" s="2275">
        <v>624782.9</v>
      </c>
      <c r="L1630" s="2275"/>
      <c r="M1630" s="1477">
        <f t="shared" si="149"/>
        <v>624782.9</v>
      </c>
      <c r="N1630" s="357"/>
      <c r="O1630" s="291"/>
      <c r="P1630" s="291"/>
      <c r="Q1630" s="367"/>
      <c r="R1630" s="367"/>
      <c r="S1630" s="364"/>
      <c r="Z1630" s="609" t="s">
        <v>670</v>
      </c>
      <c r="AA1630" s="609" t="s">
        <v>5656</v>
      </c>
      <c r="AC1630" s="369" t="s">
        <v>2794</v>
      </c>
    </row>
    <row r="1631" spans="1:29" ht="18">
      <c r="A1631" s="2714"/>
      <c r="B1631" s="371">
        <v>110</v>
      </c>
      <c r="C1631" s="371" t="s">
        <v>2791</v>
      </c>
      <c r="D1631" s="2716">
        <f t="shared" si="148"/>
        <v>0</v>
      </c>
      <c r="E1631" s="2721">
        <v>1</v>
      </c>
      <c r="F1631" s="294"/>
      <c r="G1631" s="2284" t="s">
        <v>2792</v>
      </c>
      <c r="H1631" s="2275"/>
      <c r="I1631" s="2275"/>
      <c r="J1631" s="1476">
        <f t="shared" si="150"/>
        <v>0</v>
      </c>
      <c r="K1631" s="2275"/>
      <c r="L1631" s="2275"/>
      <c r="M1631" s="1477">
        <f t="shared" si="149"/>
        <v>0</v>
      </c>
      <c r="N1631" s="291"/>
      <c r="O1631" s="291"/>
      <c r="P1631" s="291"/>
      <c r="Q1631" s="367"/>
      <c r="R1631" s="367"/>
      <c r="S1631" s="364"/>
      <c r="Z1631" s="609" t="s">
        <v>670</v>
      </c>
      <c r="AA1631" s="609" t="s">
        <v>5656</v>
      </c>
    </row>
    <row r="1632" spans="1:29" ht="18">
      <c r="A1632" s="2714"/>
      <c r="B1632" s="371">
        <v>111</v>
      </c>
      <c r="C1632" s="371" t="s">
        <v>2791</v>
      </c>
      <c r="D1632" s="2716">
        <f t="shared" si="148"/>
        <v>0</v>
      </c>
      <c r="E1632" s="2721">
        <v>1</v>
      </c>
      <c r="F1632" s="294"/>
      <c r="G1632" s="2284" t="s">
        <v>2792</v>
      </c>
      <c r="H1632" s="2275"/>
      <c r="I1632" s="2275"/>
      <c r="J1632" s="1476">
        <f t="shared" si="150"/>
        <v>0</v>
      </c>
      <c r="K1632" s="2275"/>
      <c r="L1632" s="2275"/>
      <c r="M1632" s="1477">
        <f t="shared" si="149"/>
        <v>0</v>
      </c>
      <c r="N1632" s="291"/>
      <c r="O1632" s="291"/>
      <c r="P1632" s="291"/>
      <c r="Q1632" s="367"/>
      <c r="R1632" s="367"/>
      <c r="S1632" s="364"/>
      <c r="Z1632" s="609" t="s">
        <v>670</v>
      </c>
      <c r="AA1632" s="609" t="s">
        <v>5656</v>
      </c>
    </row>
    <row r="1633" spans="1:27" ht="18">
      <c r="A1633" s="2714"/>
      <c r="B1633" s="371">
        <v>112</v>
      </c>
      <c r="C1633" s="371" t="s">
        <v>2791</v>
      </c>
      <c r="D1633" s="2716">
        <f t="shared" si="148"/>
        <v>0</v>
      </c>
      <c r="E1633" s="2721">
        <v>1</v>
      </c>
      <c r="F1633" s="294"/>
      <c r="G1633" s="2284" t="s">
        <v>2792</v>
      </c>
      <c r="H1633" s="2275"/>
      <c r="I1633" s="2275"/>
      <c r="J1633" s="1476">
        <f t="shared" si="150"/>
        <v>0</v>
      </c>
      <c r="K1633" s="2275"/>
      <c r="L1633" s="2275"/>
      <c r="M1633" s="1477">
        <f t="shared" si="149"/>
        <v>0</v>
      </c>
      <c r="N1633" s="291"/>
      <c r="O1633" s="291"/>
      <c r="P1633" s="291"/>
      <c r="Q1633" s="367"/>
      <c r="R1633" s="367"/>
      <c r="S1633" s="364"/>
      <c r="Z1633" s="609" t="s">
        <v>670</v>
      </c>
      <c r="AA1633" s="609" t="s">
        <v>5656</v>
      </c>
    </row>
    <row r="1634" spans="1:27" ht="18.75" thickBot="1">
      <c r="A1634" s="2714"/>
      <c r="B1634" s="371"/>
      <c r="C1634" s="371"/>
      <c r="D1634" s="2716">
        <f t="shared" si="148"/>
        <v>1</v>
      </c>
      <c r="E1634" s="2721" t="s">
        <v>2751</v>
      </c>
      <c r="F1634" s="294"/>
      <c r="G1634" s="374" t="s">
        <v>2752</v>
      </c>
      <c r="H1634" s="1478">
        <f t="shared" ref="H1634:M1634" si="151">SUMPRODUCT($E1621:$E1633,H1621:H1633)</f>
        <v>14269137.289999999</v>
      </c>
      <c r="I1634" s="1478">
        <f t="shared" si="151"/>
        <v>289567.38</v>
      </c>
      <c r="J1634" s="1478">
        <f t="shared" si="151"/>
        <v>13979569.91</v>
      </c>
      <c r="K1634" s="1478">
        <f t="shared" si="151"/>
        <v>12797884.34</v>
      </c>
      <c r="L1634" s="1478">
        <f t="shared" si="151"/>
        <v>58285.06</v>
      </c>
      <c r="M1634" s="1479">
        <f t="shared" si="151"/>
        <v>12739599.279999999</v>
      </c>
      <c r="N1634" s="291"/>
      <c r="O1634" s="291"/>
      <c r="P1634" s="291"/>
      <c r="Q1634" s="367"/>
      <c r="R1634" s="367"/>
      <c r="S1634" s="364"/>
      <c r="Z1634" s="609" t="s">
        <v>670</v>
      </c>
      <c r="AA1634" s="609" t="s">
        <v>5656</v>
      </c>
    </row>
    <row r="1635" spans="1:27" ht="18">
      <c r="A1635" s="2714"/>
      <c r="B1635" s="371"/>
      <c r="C1635" s="371" t="s">
        <v>2755</v>
      </c>
      <c r="D1635" s="371"/>
      <c r="F1635" s="294"/>
      <c r="G1635" s="301"/>
      <c r="H1635" s="315"/>
      <c r="I1635" s="315"/>
      <c r="J1635" s="315"/>
      <c r="K1635" s="315"/>
      <c r="L1635" s="315"/>
      <c r="M1635" s="315"/>
      <c r="N1635" s="291"/>
      <c r="O1635" s="291"/>
      <c r="P1635" s="291"/>
      <c r="Q1635" s="367"/>
      <c r="R1635" s="367"/>
      <c r="S1635" s="364"/>
      <c r="Z1635" s="609" t="s">
        <v>670</v>
      </c>
      <c r="AA1635" s="609" t="s">
        <v>5656</v>
      </c>
    </row>
    <row r="1636" spans="1:27" ht="24">
      <c r="A1636" s="2714" t="s">
        <v>674</v>
      </c>
      <c r="B1636" s="371">
        <v>2</v>
      </c>
      <c r="C1636" s="371"/>
      <c r="D1636" s="2716" t="str">
        <f>VLOOKUP($A1636,Sheet_NoteList,2,0)</f>
        <v>存货跌价准备的增减变动情况</v>
      </c>
      <c r="E1636" s="2716" t="s">
        <v>2742</v>
      </c>
      <c r="F1636" s="294"/>
      <c r="G1636" s="372" t="str">
        <f>"("&amp;B1636&amp;")"&amp;D1636</f>
        <v>(2)存货跌价准备的增减变动情况</v>
      </c>
      <c r="H1636" s="1517" t="str">
        <f>$A1636</f>
        <v>1400b</v>
      </c>
      <c r="I1636" s="343" t="s">
        <v>2743</v>
      </c>
      <c r="J1636" s="301"/>
      <c r="K1636" s="3083"/>
      <c r="L1636" s="315"/>
      <c r="M1636" s="301"/>
      <c r="N1636" s="355"/>
      <c r="O1636" s="315"/>
      <c r="P1636" s="301"/>
      <c r="Q1636" s="290" t="str">
        <f>IF($I1636="不适用","",IF(ROUND(SUM($H$1641:$M$1653),2)=0,"请输入",""))</f>
        <v/>
      </c>
      <c r="S1636" s="364"/>
      <c r="Z1636" s="609" t="s">
        <v>670</v>
      </c>
      <c r="AA1636" s="609" t="s">
        <v>5656</v>
      </c>
    </row>
    <row r="1637" spans="1:27" ht="0.75" customHeight="1">
      <c r="A1637" s="2714"/>
      <c r="B1637" s="371"/>
      <c r="C1637" s="371"/>
      <c r="D1637" s="371"/>
      <c r="E1637" s="586"/>
      <c r="F1637" s="586"/>
      <c r="G1637" s="586" t="s">
        <v>3220</v>
      </c>
      <c r="H1637" s="371" t="s">
        <v>2904</v>
      </c>
      <c r="I1637" s="371" t="s">
        <v>2905</v>
      </c>
      <c r="J1637" s="371" t="s">
        <v>2906</v>
      </c>
      <c r="K1637" s="371" t="s">
        <v>2907</v>
      </c>
      <c r="L1637" s="371" t="s">
        <v>2908</v>
      </c>
      <c r="M1637" s="371" t="s">
        <v>3221</v>
      </c>
      <c r="N1637" s="291"/>
      <c r="O1637" s="291"/>
      <c r="P1637" s="291"/>
      <c r="S1637" s="364"/>
      <c r="Z1637" s="609" t="s">
        <v>670</v>
      </c>
      <c r="AA1637" s="609" t="s">
        <v>5656</v>
      </c>
    </row>
    <row r="1638" spans="1:27" ht="0.75" customHeight="1" thickBot="1">
      <c r="A1638" s="2714"/>
      <c r="B1638" s="371"/>
      <c r="C1638" s="371"/>
      <c r="D1638" s="371"/>
      <c r="E1638" s="586"/>
      <c r="F1638" s="586"/>
      <c r="G1638" s="586"/>
      <c r="H1638" s="371" t="s">
        <v>3020</v>
      </c>
      <c r="I1638" s="371" t="s">
        <v>3021</v>
      </c>
      <c r="J1638" s="371" t="s">
        <v>3022</v>
      </c>
      <c r="K1638" s="371" t="s">
        <v>3222</v>
      </c>
      <c r="L1638" s="371" t="s">
        <v>3025</v>
      </c>
      <c r="M1638" s="371" t="s">
        <v>3026</v>
      </c>
      <c r="N1638" s="423"/>
      <c r="O1638" s="315"/>
      <c r="P1638" s="301"/>
      <c r="S1638" s="364"/>
      <c r="Z1638" s="609" t="s">
        <v>670</v>
      </c>
      <c r="AA1638" s="609" t="s">
        <v>5656</v>
      </c>
    </row>
    <row r="1639" spans="1:27" ht="18.75" thickTop="1">
      <c r="A1639" s="2714"/>
      <c r="B1639" s="371"/>
      <c r="C1639" s="371"/>
      <c r="D1639" s="371"/>
      <c r="E1639" s="586" t="s">
        <v>2749</v>
      </c>
      <c r="F1639" s="363"/>
      <c r="G1639" s="3465" t="s">
        <v>3216</v>
      </c>
      <c r="H1639" s="3386" t="str">
        <f>$V$3</f>
        <v>2018年12月31日</v>
      </c>
      <c r="I1639" s="3433" t="s">
        <v>5354</v>
      </c>
      <c r="J1639" s="3433"/>
      <c r="K1639" s="3433" t="s">
        <v>5355</v>
      </c>
      <c r="L1639" s="3433"/>
      <c r="M1639" s="3478" t="str">
        <f>$V$2</f>
        <v>2019年12月31日</v>
      </c>
      <c r="N1639" s="423"/>
      <c r="O1639" s="1540" t="str">
        <f>H1617&amp;"&gt;本期:"&amp;""</f>
        <v>1400a&gt;本期:</v>
      </c>
      <c r="P1639" s="1536" t="str">
        <f>""&amp;"&gt;上期:"&amp;""</f>
        <v>&gt;上期:</v>
      </c>
      <c r="S1639" s="364"/>
      <c r="Z1639" s="609" t="s">
        <v>670</v>
      </c>
      <c r="AA1639" s="609" t="s">
        <v>5656</v>
      </c>
    </row>
    <row r="1640" spans="1:27" ht="18">
      <c r="A1640" s="2714"/>
      <c r="B1640" s="371"/>
      <c r="C1640" s="371"/>
      <c r="D1640" s="371"/>
      <c r="E1640" s="586" t="s">
        <v>2749</v>
      </c>
      <c r="F1640" s="363"/>
      <c r="G1640" s="3466"/>
      <c r="H1640" s="3387"/>
      <c r="I1640" s="2283" t="s">
        <v>2920</v>
      </c>
      <c r="J1640" s="2283" t="s">
        <v>932</v>
      </c>
      <c r="K1640" s="2283" t="s">
        <v>3223</v>
      </c>
      <c r="L1640" s="2283" t="s">
        <v>932</v>
      </c>
      <c r="M1640" s="3479"/>
      <c r="N1640" s="423"/>
      <c r="O1640" s="1537" t="str">
        <f>I1621</f>
        <v>跌价准备</v>
      </c>
      <c r="P1640" s="1538" t="str">
        <f>L1621</f>
        <v>跌价准备</v>
      </c>
      <c r="S1640" s="364"/>
      <c r="Z1640" s="609" t="s">
        <v>670</v>
      </c>
      <c r="AA1640" s="609" t="s">
        <v>5656</v>
      </c>
    </row>
    <row r="1641" spans="1:27" ht="18">
      <c r="A1641" s="2714"/>
      <c r="B1641" s="371">
        <v>101</v>
      </c>
      <c r="C1641" s="371"/>
      <c r="D1641" s="2716">
        <f t="shared" ref="D1641:D1653" si="152">IF(OR(G1641="*",G1641="",G1641=0),0,COUNTIF($G$1641:$G$1653,G1641))</f>
        <v>1</v>
      </c>
      <c r="E1641" s="2721">
        <v>1</v>
      </c>
      <c r="F1641" s="294"/>
      <c r="G1641" s="1474" t="s">
        <v>299</v>
      </c>
      <c r="H1641" s="2275"/>
      <c r="I1641" s="2275"/>
      <c r="J1641" s="2275"/>
      <c r="K1641" s="2275"/>
      <c r="L1641" s="2275"/>
      <c r="M1641" s="1477">
        <f>SUM(H1641:J1641,-K1641-L1641)</f>
        <v>0</v>
      </c>
      <c r="N1641" s="423"/>
      <c r="O1641" s="1541">
        <f ca="1">HYPERLINK("#'"&amp;$G$1&amp;"'!"&amp;ADDRESS(ROW(Notes!I1622),COLUMN(Notes!I1622),4),I1622-M1641)</f>
        <v>0</v>
      </c>
      <c r="P1641" s="1541">
        <f ca="1">HYPERLINK("#'"&amp;$G$1&amp;"'!"&amp;ADDRESS(ROW(Notes!L1622),COLUMN(Notes!L1622),4),L1622-H1641)</f>
        <v>0</v>
      </c>
      <c r="S1641" s="364"/>
      <c r="Z1641" s="609" t="s">
        <v>670</v>
      </c>
      <c r="AA1641" s="609" t="s">
        <v>5656</v>
      </c>
    </row>
    <row r="1642" spans="1:27" ht="18">
      <c r="A1642" s="2714"/>
      <c r="B1642" s="371">
        <v>102</v>
      </c>
      <c r="C1642" s="371"/>
      <c r="D1642" s="2716">
        <f t="shared" si="152"/>
        <v>1</v>
      </c>
      <c r="E1642" s="2721">
        <v>1</v>
      </c>
      <c r="F1642" s="294"/>
      <c r="G1642" s="1474" t="s">
        <v>3218</v>
      </c>
      <c r="H1642" s="2275"/>
      <c r="I1642" s="2275"/>
      <c r="J1642" s="2275"/>
      <c r="K1642" s="2275"/>
      <c r="L1642" s="2275"/>
      <c r="M1642" s="1477">
        <f t="shared" ref="M1642:M1652" si="153">SUM(H1642:J1642,-K1642-L1642)</f>
        <v>0</v>
      </c>
      <c r="N1642" s="423"/>
      <c r="O1642" s="1541">
        <f ca="1">HYPERLINK("#'"&amp;$G$1&amp;"'!"&amp;ADDRESS(ROW(Notes!I1623),COLUMN(Notes!I1623),4),I1623-M1642)</f>
        <v>0</v>
      </c>
      <c r="P1642" s="1541">
        <f ca="1">HYPERLINK("#'"&amp;$G$1&amp;"'!"&amp;ADDRESS(ROW(Notes!L1623),COLUMN(Notes!L1623),4),L1623-H1642)</f>
        <v>0</v>
      </c>
      <c r="S1642" s="364"/>
      <c r="Z1642" s="609" t="s">
        <v>670</v>
      </c>
      <c r="AA1642" s="609" t="s">
        <v>5656</v>
      </c>
    </row>
    <row r="1643" spans="1:27" ht="18">
      <c r="A1643" s="2714"/>
      <c r="B1643" s="371">
        <v>103</v>
      </c>
      <c r="C1643" s="371"/>
      <c r="D1643" s="2716">
        <f t="shared" si="152"/>
        <v>1</v>
      </c>
      <c r="E1643" s="2721">
        <v>1</v>
      </c>
      <c r="F1643" s="294"/>
      <c r="G1643" s="1474" t="s">
        <v>313</v>
      </c>
      <c r="H1643" s="2275">
        <v>58285.06</v>
      </c>
      <c r="I1643" s="2275">
        <v>231282.32</v>
      </c>
      <c r="J1643" s="2275"/>
      <c r="K1643" s="2275"/>
      <c r="L1643" s="2275"/>
      <c r="M1643" s="1477">
        <f t="shared" si="153"/>
        <v>289567.38</v>
      </c>
      <c r="N1643" s="423"/>
      <c r="O1643" s="1541">
        <f ca="1">HYPERLINK("#'"&amp;$G$1&amp;"'!"&amp;ADDRESS(ROW(Notes!I1624),COLUMN(Notes!I1624),4),I1624-M1643)</f>
        <v>0</v>
      </c>
      <c r="P1643" s="1541">
        <f ca="1">HYPERLINK("#'"&amp;$G$1&amp;"'!"&amp;ADDRESS(ROW(Notes!L1624),COLUMN(Notes!L1624),4),L1624-H1643)</f>
        <v>0</v>
      </c>
      <c r="S1643" s="364"/>
      <c r="Z1643" s="609" t="s">
        <v>670</v>
      </c>
      <c r="AA1643" s="609" t="s">
        <v>5656</v>
      </c>
    </row>
    <row r="1644" spans="1:27" ht="18">
      <c r="A1644" s="2714"/>
      <c r="B1644" s="371">
        <v>104</v>
      </c>
      <c r="C1644" s="371"/>
      <c r="D1644" s="2716">
        <f t="shared" si="152"/>
        <v>1</v>
      </c>
      <c r="E1644" s="2721">
        <v>1</v>
      </c>
      <c r="F1644" s="294"/>
      <c r="G1644" s="1474" t="s">
        <v>339</v>
      </c>
      <c r="H1644" s="2275"/>
      <c r="I1644" s="2275"/>
      <c r="J1644" s="2275"/>
      <c r="K1644" s="2275"/>
      <c r="L1644" s="2275"/>
      <c r="M1644" s="1477">
        <f t="shared" si="153"/>
        <v>0</v>
      </c>
      <c r="N1644" s="423"/>
      <c r="O1644" s="1541">
        <f ca="1">HYPERLINK("#'"&amp;$G$1&amp;"'!"&amp;ADDRESS(ROW(Notes!I1625),COLUMN(Notes!I1625),4),I1625-M1644)</f>
        <v>0</v>
      </c>
      <c r="P1644" s="1541">
        <f ca="1">HYPERLINK("#'"&amp;$G$1&amp;"'!"&amp;ADDRESS(ROW(Notes!L1625),COLUMN(Notes!L1625),4),L1625-H1644)</f>
        <v>0</v>
      </c>
      <c r="S1644" s="364"/>
      <c r="Z1644" s="609" t="s">
        <v>670</v>
      </c>
      <c r="AA1644" s="609" t="s">
        <v>5656</v>
      </c>
    </row>
    <row r="1645" spans="1:27" ht="25.5" customHeight="1">
      <c r="A1645" s="2714"/>
      <c r="B1645" s="371">
        <v>105</v>
      </c>
      <c r="C1645" s="371"/>
      <c r="D1645" s="2716">
        <f t="shared" si="152"/>
        <v>1</v>
      </c>
      <c r="E1645" s="2721">
        <v>1</v>
      </c>
      <c r="F1645" s="294"/>
      <c r="G1645" s="1474" t="s">
        <v>346</v>
      </c>
      <c r="H1645" s="2275"/>
      <c r="I1645" s="2275"/>
      <c r="J1645" s="2275"/>
      <c r="K1645" s="2275"/>
      <c r="L1645" s="2275"/>
      <c r="M1645" s="1477">
        <f t="shared" si="153"/>
        <v>0</v>
      </c>
      <c r="N1645" s="423"/>
      <c r="O1645" s="1541">
        <f ca="1">HYPERLINK("#'"&amp;$G$1&amp;"'!"&amp;ADDRESS(ROW(Notes!I1626),COLUMN(Notes!I1626),4),I1626-M1645)</f>
        <v>0</v>
      </c>
      <c r="P1645" s="1541">
        <f ca="1">HYPERLINK("#'"&amp;$G$1&amp;"'!"&amp;ADDRESS(ROW(Notes!L1626),COLUMN(Notes!L1626),4),L1626-H1645)</f>
        <v>0</v>
      </c>
      <c r="S1645" s="364"/>
      <c r="Z1645" s="609" t="s">
        <v>670</v>
      </c>
      <c r="AA1645" s="609" t="s">
        <v>5656</v>
      </c>
    </row>
    <row r="1646" spans="1:27" ht="24">
      <c r="A1646" s="2714"/>
      <c r="B1646" s="371">
        <v>106</v>
      </c>
      <c r="C1646" s="371"/>
      <c r="D1646" s="2716">
        <f t="shared" si="152"/>
        <v>1</v>
      </c>
      <c r="E1646" s="2721">
        <v>1</v>
      </c>
      <c r="F1646" s="294"/>
      <c r="G1646" s="1474" t="s">
        <v>3219</v>
      </c>
      <c r="H1646" s="2275"/>
      <c r="I1646" s="2275"/>
      <c r="J1646" s="2275"/>
      <c r="K1646" s="2275"/>
      <c r="L1646" s="2275"/>
      <c r="M1646" s="1477">
        <f t="shared" si="153"/>
        <v>0</v>
      </c>
      <c r="N1646" s="423"/>
      <c r="O1646" s="1541">
        <f ca="1">HYPERLINK("#'"&amp;$G$1&amp;"'!"&amp;ADDRESS(ROW(Notes!I1627),COLUMN(Notes!I1627),4),I1627-M1646)</f>
        <v>0</v>
      </c>
      <c r="P1646" s="1541">
        <f ca="1">HYPERLINK("#'"&amp;$G$1&amp;"'!"&amp;ADDRESS(ROW(Notes!L1627),COLUMN(Notes!L1627),4),L1627-H1646)</f>
        <v>0</v>
      </c>
      <c r="S1646" s="364"/>
      <c r="Z1646" s="609" t="s">
        <v>670</v>
      </c>
      <c r="AA1646" s="609" t="s">
        <v>5656</v>
      </c>
    </row>
    <row r="1647" spans="1:27" ht="18">
      <c r="A1647" s="2714"/>
      <c r="B1647" s="371">
        <v>107</v>
      </c>
      <c r="C1647" s="371" t="s">
        <v>2791</v>
      </c>
      <c r="D1647" s="2716">
        <f t="shared" si="152"/>
        <v>1</v>
      </c>
      <c r="E1647" s="2721">
        <v>1</v>
      </c>
      <c r="F1647" s="294"/>
      <c r="G1647" s="2284" t="s">
        <v>692</v>
      </c>
      <c r="H1647" s="2275"/>
      <c r="I1647" s="2275"/>
      <c r="J1647" s="2275"/>
      <c r="K1647" s="2275"/>
      <c r="L1647" s="2275"/>
      <c r="M1647" s="1477">
        <f t="shared" si="153"/>
        <v>0</v>
      </c>
      <c r="N1647" s="423"/>
      <c r="O1647" s="456">
        <f ca="1">HYPERLINK("#'"&amp;$G$1&amp;"'!"&amp;ADDRESS(ROW(Notes!I1628),COLUMN(Notes!I1628),4),I1628-M1647)</f>
        <v>0</v>
      </c>
      <c r="P1647" s="456">
        <f ca="1">HYPERLINK("#'"&amp;$G$1&amp;"'!"&amp;ADDRESS(ROW(Notes!L1628),COLUMN(Notes!L1628),4),L1628-H1647)</f>
        <v>0</v>
      </c>
      <c r="S1647" s="364"/>
      <c r="Z1647" s="609" t="s">
        <v>670</v>
      </c>
      <c r="AA1647" s="609" t="s">
        <v>5656</v>
      </c>
    </row>
    <row r="1648" spans="1:27" ht="18">
      <c r="A1648" s="2714"/>
      <c r="B1648" s="371">
        <v>108</v>
      </c>
      <c r="C1648" s="371" t="s">
        <v>2791</v>
      </c>
      <c r="D1648" s="2716">
        <f t="shared" si="152"/>
        <v>1</v>
      </c>
      <c r="E1648" s="2721">
        <v>1</v>
      </c>
      <c r="F1648" s="294"/>
      <c r="G1648" s="2284" t="s">
        <v>696</v>
      </c>
      <c r="H1648" s="2275"/>
      <c r="I1648" s="2275"/>
      <c r="J1648" s="2275"/>
      <c r="K1648" s="2275"/>
      <c r="L1648" s="2275"/>
      <c r="M1648" s="1477">
        <f t="shared" si="153"/>
        <v>0</v>
      </c>
      <c r="N1648" s="423"/>
      <c r="O1648" s="456">
        <f ca="1">HYPERLINK("#'"&amp;$G$1&amp;"'!"&amp;ADDRESS(ROW(Notes!I1629),COLUMN(Notes!I1629),4),I1629-M1648)</f>
        <v>0</v>
      </c>
      <c r="P1648" s="456">
        <f ca="1">HYPERLINK("#'"&amp;$G$1&amp;"'!"&amp;ADDRESS(ROW(Notes!L1629),COLUMN(Notes!L1629),4),L1629-H1648)</f>
        <v>0</v>
      </c>
      <c r="S1648" s="364"/>
      <c r="Z1648" s="609" t="s">
        <v>670</v>
      </c>
      <c r="AA1648" s="609" t="s">
        <v>5656</v>
      </c>
    </row>
    <row r="1649" spans="1:29" ht="18">
      <c r="A1649" s="2714"/>
      <c r="B1649" s="371">
        <v>109</v>
      </c>
      <c r="C1649" s="371" t="s">
        <v>2791</v>
      </c>
      <c r="D1649" s="2716">
        <f t="shared" si="152"/>
        <v>0</v>
      </c>
      <c r="E1649" s="2721">
        <v>1</v>
      </c>
      <c r="F1649" s="294"/>
      <c r="G1649" s="2284" t="s">
        <v>2792</v>
      </c>
      <c r="H1649" s="2275"/>
      <c r="I1649" s="2275"/>
      <c r="J1649" s="2275"/>
      <c r="K1649" s="2275"/>
      <c r="L1649" s="2275"/>
      <c r="M1649" s="1477">
        <f t="shared" si="153"/>
        <v>0</v>
      </c>
      <c r="N1649" s="423"/>
      <c r="O1649" s="456"/>
      <c r="P1649" s="456"/>
      <c r="S1649" s="364"/>
      <c r="Z1649" s="609" t="s">
        <v>670</v>
      </c>
      <c r="AA1649" s="609" t="s">
        <v>5656</v>
      </c>
    </row>
    <row r="1650" spans="1:29" ht="18">
      <c r="A1650" s="2714"/>
      <c r="B1650" s="371">
        <v>110</v>
      </c>
      <c r="C1650" s="371" t="s">
        <v>2791</v>
      </c>
      <c r="D1650" s="2716">
        <f t="shared" si="152"/>
        <v>0</v>
      </c>
      <c r="E1650" s="2721">
        <v>1</v>
      </c>
      <c r="F1650" s="294"/>
      <c r="G1650" s="2284" t="s">
        <v>2792</v>
      </c>
      <c r="H1650" s="2275"/>
      <c r="I1650" s="2275"/>
      <c r="J1650" s="2275"/>
      <c r="K1650" s="2275"/>
      <c r="L1650" s="2275"/>
      <c r="M1650" s="1477">
        <f t="shared" si="153"/>
        <v>0</v>
      </c>
      <c r="N1650" s="423"/>
      <c r="O1650" s="456"/>
      <c r="P1650" s="456"/>
      <c r="S1650" s="364"/>
      <c r="Z1650" s="609" t="s">
        <v>670</v>
      </c>
      <c r="AA1650" s="609" t="s">
        <v>5656</v>
      </c>
    </row>
    <row r="1651" spans="1:29" ht="18">
      <c r="A1651" s="2714"/>
      <c r="B1651" s="371">
        <v>111</v>
      </c>
      <c r="C1651" s="371" t="s">
        <v>2791</v>
      </c>
      <c r="D1651" s="2716">
        <f t="shared" si="152"/>
        <v>0</v>
      </c>
      <c r="E1651" s="2721">
        <v>1</v>
      </c>
      <c r="F1651" s="294"/>
      <c r="G1651" s="2284" t="s">
        <v>2792</v>
      </c>
      <c r="H1651" s="2275"/>
      <c r="I1651" s="2275"/>
      <c r="J1651" s="2275"/>
      <c r="K1651" s="2275"/>
      <c r="L1651" s="2275"/>
      <c r="M1651" s="1477">
        <f t="shared" si="153"/>
        <v>0</v>
      </c>
      <c r="N1651" s="423"/>
      <c r="O1651" s="456"/>
      <c r="P1651" s="456"/>
      <c r="S1651" s="364"/>
      <c r="Z1651" s="609" t="s">
        <v>670</v>
      </c>
      <c r="AA1651" s="609" t="s">
        <v>5656</v>
      </c>
    </row>
    <row r="1652" spans="1:29" ht="18">
      <c r="A1652" s="2714"/>
      <c r="B1652" s="371">
        <v>112</v>
      </c>
      <c r="C1652" s="371" t="s">
        <v>2791</v>
      </c>
      <c r="D1652" s="2716">
        <f t="shared" si="152"/>
        <v>0</v>
      </c>
      <c r="E1652" s="2721">
        <v>1</v>
      </c>
      <c r="F1652" s="294"/>
      <c r="G1652" s="2284" t="s">
        <v>2792</v>
      </c>
      <c r="H1652" s="2275"/>
      <c r="I1652" s="2275"/>
      <c r="J1652" s="2275"/>
      <c r="K1652" s="2275"/>
      <c r="L1652" s="2275"/>
      <c r="M1652" s="1477">
        <f t="shared" si="153"/>
        <v>0</v>
      </c>
      <c r="N1652" s="423"/>
      <c r="O1652" s="456"/>
      <c r="P1652" s="456"/>
      <c r="S1652" s="364"/>
      <c r="Z1652" s="609" t="s">
        <v>670</v>
      </c>
      <c r="AA1652" s="609" t="s">
        <v>5656</v>
      </c>
    </row>
    <row r="1653" spans="1:29" ht="18.75" thickBot="1">
      <c r="A1653" s="2714"/>
      <c r="B1653" s="371"/>
      <c r="C1653" s="371"/>
      <c r="D1653" s="2716">
        <f t="shared" si="152"/>
        <v>1</v>
      </c>
      <c r="E1653" s="2721" t="s">
        <v>3032</v>
      </c>
      <c r="F1653" s="294"/>
      <c r="G1653" s="374" t="s">
        <v>2752</v>
      </c>
      <c r="H1653" s="1478">
        <f t="shared" ref="H1653:M1653" si="154">SUMPRODUCT($E1640:$E1652,H1640:H1652)</f>
        <v>58285.06</v>
      </c>
      <c r="I1653" s="1478">
        <f t="shared" si="154"/>
        <v>231282.32</v>
      </c>
      <c r="J1653" s="1478">
        <f t="shared" si="154"/>
        <v>0</v>
      </c>
      <c r="K1653" s="1478">
        <f t="shared" si="154"/>
        <v>0</v>
      </c>
      <c r="L1653" s="1478">
        <f t="shared" si="154"/>
        <v>0</v>
      </c>
      <c r="M1653" s="1479">
        <f t="shared" si="154"/>
        <v>289567.38</v>
      </c>
      <c r="N1653" s="1595" t="str">
        <f ca="1">HYPERLINK("#'"&amp;$G$1&amp;"'!"&amp;ADDRESS(ROW(Notes!L4890),COLUMN(Notes!L4890),4),"* 请勿删除此行！点击往勾稽单元格，F5+Enter返回")</f>
        <v>* 请勿删除此行！点击往勾稽单元格，F5+Enter返回</v>
      </c>
      <c r="O1653" s="1531">
        <f t="shared" ref="O1653:P1653" ca="1" si="155">SUM(O1641:O1652)</f>
        <v>0</v>
      </c>
      <c r="P1653" s="1531">
        <f t="shared" ca="1" si="155"/>
        <v>0</v>
      </c>
      <c r="S1653" s="364"/>
      <c r="Z1653" s="609" t="s">
        <v>670</v>
      </c>
      <c r="AA1653" s="609" t="s">
        <v>5656</v>
      </c>
      <c r="AC1653" s="369" t="s">
        <v>2794</v>
      </c>
    </row>
    <row r="1654" spans="1:29" ht="18">
      <c r="A1654" s="2714"/>
      <c r="B1654" s="371"/>
      <c r="C1654" s="371" t="s">
        <v>2755</v>
      </c>
      <c r="D1654" s="371"/>
      <c r="F1654" s="294"/>
      <c r="G1654" s="301"/>
      <c r="H1654" s="315"/>
      <c r="I1654" s="315"/>
      <c r="J1654" s="315"/>
      <c r="K1654" s="315"/>
      <c r="L1654" s="315"/>
      <c r="M1654" s="315"/>
      <c r="N1654" s="423"/>
      <c r="O1654" s="1539" t="s">
        <v>5366</v>
      </c>
      <c r="P1654" s="354"/>
      <c r="S1654" s="364"/>
      <c r="Z1654" s="609" t="s">
        <v>670</v>
      </c>
      <c r="AA1654" s="609" t="s">
        <v>5656</v>
      </c>
    </row>
    <row r="1655" spans="1:29" ht="24">
      <c r="A1655" s="2714" t="s">
        <v>678</v>
      </c>
      <c r="B1655" s="371">
        <v>3</v>
      </c>
      <c r="C1655" s="371"/>
      <c r="D1655" s="2716" t="str">
        <f>VLOOKUP($A1655,Sheet_NoteList,2,0)</f>
        <v>存货期末余额中含有借款费用资本化金额的说明</v>
      </c>
      <c r="E1655" s="2716" t="s">
        <v>6531</v>
      </c>
      <c r="F1655" s="294"/>
      <c r="G1655" s="372" t="str">
        <f>"("&amp;B1655&amp;")"&amp;D1655</f>
        <v>(3)存货期末余额中含有借款费用资本化金额的说明</v>
      </c>
      <c r="H1655" s="1517" t="str">
        <f>$A1655</f>
        <v>1400t</v>
      </c>
      <c r="I1655" s="343" t="s">
        <v>5972</v>
      </c>
      <c r="J1655" s="301"/>
      <c r="K1655" s="3083"/>
      <c r="L1655" s="315"/>
      <c r="M1655" s="301"/>
      <c r="N1655" s="3083"/>
      <c r="O1655" s="315"/>
      <c r="P1655" s="301"/>
      <c r="Q1655" s="290" t="str">
        <f>IF($I1655="不适用","",IF(ROUND(SUM($H$1658:$I$1663),2)=0,"请输入",""))</f>
        <v>请输入</v>
      </c>
      <c r="S1655" s="364"/>
      <c r="Z1655" s="609" t="s">
        <v>670</v>
      </c>
      <c r="AA1655" s="609" t="s">
        <v>5656</v>
      </c>
    </row>
    <row r="1656" spans="1:29" ht="0.75" customHeight="1" thickBot="1">
      <c r="A1656" s="2714"/>
      <c r="B1656" s="371"/>
      <c r="C1656" s="371"/>
      <c r="D1656" s="371"/>
      <c r="E1656" s="586"/>
      <c r="F1656" s="518"/>
      <c r="G1656" s="518" t="s">
        <v>3233</v>
      </c>
      <c r="H1656" s="304" t="s">
        <v>3234</v>
      </c>
      <c r="I1656" s="304" t="s">
        <v>3235</v>
      </c>
      <c r="J1656" s="531"/>
      <c r="K1656" s="291"/>
      <c r="L1656" s="291"/>
      <c r="M1656" s="291"/>
      <c r="N1656" s="291"/>
      <c r="O1656" s="291"/>
      <c r="S1656" s="364"/>
      <c r="Z1656" s="609" t="s">
        <v>670</v>
      </c>
      <c r="AA1656" s="609" t="s">
        <v>5656</v>
      </c>
    </row>
    <row r="1657" spans="1:29" ht="24">
      <c r="A1657" s="2714"/>
      <c r="B1657" s="371"/>
      <c r="C1657" s="371"/>
      <c r="D1657" s="371"/>
      <c r="E1657" s="586" t="s">
        <v>2749</v>
      </c>
      <c r="F1657" s="363"/>
      <c r="G1657" s="2542" t="s">
        <v>47</v>
      </c>
      <c r="H1657" s="2544" t="s">
        <v>3236</v>
      </c>
      <c r="I1657" s="2577" t="s">
        <v>2508</v>
      </c>
      <c r="J1657" s="532"/>
      <c r="L1657" s="291"/>
      <c r="M1657" s="291"/>
      <c r="N1657" s="291"/>
      <c r="O1657" s="291"/>
      <c r="S1657" s="364"/>
      <c r="Z1657" s="609" t="s">
        <v>670</v>
      </c>
      <c r="AA1657" s="609" t="s">
        <v>5656</v>
      </c>
    </row>
    <row r="1658" spans="1:29" ht="18">
      <c r="A1658" s="2714"/>
      <c r="B1658" s="371">
        <v>101</v>
      </c>
      <c r="C1658" s="371" t="s">
        <v>2791</v>
      </c>
      <c r="D1658" s="2716">
        <f t="shared" ref="D1658:D1663" si="156">IF(OR(G1658="*",G1658="",G1658=0),0,COUNTIF($G$1658:$G$1663,G1658))</f>
        <v>0</v>
      </c>
      <c r="E1658" s="2721">
        <v>1</v>
      </c>
      <c r="F1658" s="294"/>
      <c r="G1658" s="2548" t="s">
        <v>2792</v>
      </c>
      <c r="H1658" s="2275"/>
      <c r="I1658" s="2276"/>
      <c r="J1658" s="532"/>
      <c r="L1658" s="291"/>
      <c r="M1658" s="291"/>
      <c r="N1658" s="291"/>
      <c r="O1658" s="291"/>
      <c r="S1658" s="364"/>
      <c r="Z1658" s="609" t="s">
        <v>670</v>
      </c>
      <c r="AA1658" s="609" t="s">
        <v>5656</v>
      </c>
    </row>
    <row r="1659" spans="1:29" ht="18">
      <c r="A1659" s="2714"/>
      <c r="B1659" s="371">
        <v>102</v>
      </c>
      <c r="C1659" s="371" t="s">
        <v>2791</v>
      </c>
      <c r="D1659" s="2716">
        <f t="shared" si="156"/>
        <v>0</v>
      </c>
      <c r="E1659" s="2721">
        <v>1</v>
      </c>
      <c r="F1659" s="294"/>
      <c r="G1659" s="2548" t="s">
        <v>2792</v>
      </c>
      <c r="H1659" s="2275"/>
      <c r="I1659" s="2276"/>
      <c r="J1659" s="533"/>
      <c r="K1659" s="291"/>
      <c r="L1659" s="291"/>
      <c r="M1659" s="291"/>
      <c r="N1659" s="291"/>
      <c r="O1659" s="291"/>
      <c r="S1659" s="364"/>
      <c r="Z1659" s="609" t="s">
        <v>670</v>
      </c>
      <c r="AA1659" s="609" t="s">
        <v>5656</v>
      </c>
    </row>
    <row r="1660" spans="1:29" ht="18">
      <c r="A1660" s="2714"/>
      <c r="B1660" s="371">
        <v>103</v>
      </c>
      <c r="C1660" s="371" t="s">
        <v>2791</v>
      </c>
      <c r="D1660" s="2716">
        <f t="shared" si="156"/>
        <v>0</v>
      </c>
      <c r="E1660" s="2721">
        <v>1</v>
      </c>
      <c r="F1660" s="294"/>
      <c r="G1660" s="2548" t="s">
        <v>2792</v>
      </c>
      <c r="H1660" s="2275"/>
      <c r="I1660" s="2276"/>
      <c r="J1660" s="533"/>
      <c r="K1660" s="291"/>
      <c r="L1660" s="291"/>
      <c r="M1660" s="291"/>
      <c r="N1660" s="291"/>
      <c r="O1660" s="291"/>
      <c r="S1660" s="364"/>
      <c r="Z1660" s="609" t="s">
        <v>670</v>
      </c>
      <c r="AA1660" s="609" t="s">
        <v>5656</v>
      </c>
    </row>
    <row r="1661" spans="1:29" ht="18">
      <c r="A1661" s="2714"/>
      <c r="B1661" s="371">
        <v>104</v>
      </c>
      <c r="C1661" s="371" t="s">
        <v>2791</v>
      </c>
      <c r="D1661" s="2716">
        <f t="shared" si="156"/>
        <v>0</v>
      </c>
      <c r="E1661" s="2721">
        <v>1</v>
      </c>
      <c r="F1661" s="294"/>
      <c r="G1661" s="2548" t="s">
        <v>2792</v>
      </c>
      <c r="H1661" s="2275"/>
      <c r="I1661" s="2276"/>
      <c r="J1661" s="533"/>
      <c r="K1661" s="291"/>
      <c r="L1661" s="291"/>
      <c r="M1661" s="291"/>
      <c r="N1661" s="291"/>
      <c r="O1661" s="291"/>
      <c r="S1661" s="364"/>
      <c r="Z1661" s="609" t="s">
        <v>670</v>
      </c>
      <c r="AA1661" s="609" t="s">
        <v>5656</v>
      </c>
    </row>
    <row r="1662" spans="1:29" ht="18">
      <c r="A1662" s="2714"/>
      <c r="B1662" s="371">
        <v>105</v>
      </c>
      <c r="C1662" s="371" t="s">
        <v>2791</v>
      </c>
      <c r="D1662" s="2716">
        <f t="shared" si="156"/>
        <v>0</v>
      </c>
      <c r="E1662" s="2721">
        <v>1</v>
      </c>
      <c r="F1662" s="294"/>
      <c r="G1662" s="2548" t="s">
        <v>2792</v>
      </c>
      <c r="H1662" s="2275"/>
      <c r="I1662" s="2276"/>
      <c r="J1662" s="533"/>
      <c r="K1662" s="291"/>
      <c r="L1662" s="291"/>
      <c r="M1662" s="291"/>
      <c r="N1662" s="291"/>
      <c r="O1662" s="291"/>
      <c r="S1662" s="364"/>
      <c r="Z1662" s="609" t="s">
        <v>670</v>
      </c>
      <c r="AA1662" s="609" t="s">
        <v>5656</v>
      </c>
    </row>
    <row r="1663" spans="1:29" ht="18.75" thickBot="1">
      <c r="A1663" s="2714"/>
      <c r="B1663" s="371"/>
      <c r="C1663" s="371"/>
      <c r="D1663" s="2716">
        <f t="shared" si="156"/>
        <v>1</v>
      </c>
      <c r="E1663" s="2721" t="s">
        <v>3032</v>
      </c>
      <c r="F1663" s="294"/>
      <c r="G1663" s="1529" t="s">
        <v>2752</v>
      </c>
      <c r="H1663" s="1527">
        <f>SUMPRODUCT($E1657:$E1662,H1657:H1662)</f>
        <v>0</v>
      </c>
      <c r="I1663" s="2266"/>
      <c r="J1663" s="534"/>
      <c r="K1663" s="291"/>
      <c r="L1663" s="291"/>
      <c r="M1663" s="291"/>
      <c r="N1663" s="291"/>
      <c r="O1663" s="291"/>
      <c r="S1663" s="364"/>
      <c r="Z1663" s="609" t="s">
        <v>670</v>
      </c>
      <c r="AA1663" s="609" t="s">
        <v>5656</v>
      </c>
    </row>
    <row r="1664" spans="1:29" ht="18">
      <c r="A1664" s="2714"/>
      <c r="B1664" s="371"/>
      <c r="C1664" s="371" t="s">
        <v>2755</v>
      </c>
      <c r="D1664" s="371"/>
      <c r="F1664" s="294"/>
      <c r="G1664" s="301"/>
      <c r="H1664" s="315"/>
      <c r="I1664" s="393"/>
      <c r="J1664" s="533"/>
      <c r="K1664" s="291"/>
      <c r="L1664" s="291"/>
      <c r="M1664" s="291"/>
      <c r="N1664" s="291"/>
      <c r="O1664" s="291"/>
      <c r="S1664" s="364"/>
      <c r="Z1664" s="609" t="s">
        <v>670</v>
      </c>
      <c r="AA1664" s="609" t="s">
        <v>5656</v>
      </c>
    </row>
    <row r="1665" spans="1:27" ht="24">
      <c r="A1665" s="2714" t="s">
        <v>683</v>
      </c>
      <c r="B1665" s="371">
        <v>4</v>
      </c>
      <c r="C1665" s="371"/>
      <c r="D1665" s="2716" t="str">
        <f>VLOOKUP($A1665,Sheet_NoteList,2,0)</f>
        <v>建造合同形成的已完工未结算资产情况</v>
      </c>
      <c r="E1665" s="2716" t="s">
        <v>2742</v>
      </c>
      <c r="F1665" s="294"/>
      <c r="G1665" s="372" t="str">
        <f>"("&amp;B1665&amp;")"&amp;D1665</f>
        <v>(4)建造合同形成的已完工未结算资产情况</v>
      </c>
      <c r="H1665" s="1517" t="str">
        <f>$A1665</f>
        <v>1400h</v>
      </c>
      <c r="I1665" s="343" t="s">
        <v>2743</v>
      </c>
      <c r="J1665" s="301" t="s">
        <v>2744</v>
      </c>
      <c r="K1665" s="2210">
        <f>H1673</f>
        <v>0</v>
      </c>
      <c r="L1665" s="315"/>
      <c r="M1665" s="301"/>
      <c r="N1665" s="3083"/>
      <c r="O1665" s="315"/>
      <c r="P1665" s="301"/>
      <c r="Q1665" s="290" t="str">
        <f>IF($I1665="不适用","",IF(ROUND(SUM($H$1668:$I$1673),2)=0,"请输入",""))</f>
        <v>请输入</v>
      </c>
      <c r="S1665" s="364"/>
      <c r="Z1665" s="609" t="s">
        <v>670</v>
      </c>
      <c r="AA1665" s="609" t="s">
        <v>5656</v>
      </c>
    </row>
    <row r="1666" spans="1:27" ht="0.75" customHeight="1" thickBot="1">
      <c r="A1666" s="2714"/>
      <c r="B1666" s="371"/>
      <c r="C1666" s="371"/>
      <c r="D1666" s="371"/>
      <c r="E1666" s="586"/>
      <c r="F1666" s="586"/>
      <c r="G1666" s="586" t="s">
        <v>3257</v>
      </c>
      <c r="H1666" s="371" t="s">
        <v>2747</v>
      </c>
      <c r="I1666" s="433"/>
      <c r="J1666" s="472"/>
      <c r="K1666" s="472"/>
      <c r="L1666" s="472"/>
      <c r="M1666" s="472"/>
      <c r="N1666" s="472"/>
      <c r="O1666" s="472"/>
      <c r="P1666" s="442"/>
      <c r="Q1666" s="442"/>
      <c r="R1666" s="443"/>
      <c r="S1666" s="364"/>
      <c r="Z1666" s="609" t="s">
        <v>670</v>
      </c>
      <c r="AA1666" s="609" t="s">
        <v>5656</v>
      </c>
    </row>
    <row r="1667" spans="1:27" ht="18">
      <c r="A1667" s="2714"/>
      <c r="B1667" s="371"/>
      <c r="C1667" s="371"/>
      <c r="D1667" s="371"/>
      <c r="E1667" s="586" t="s">
        <v>2749</v>
      </c>
      <c r="F1667" s="363"/>
      <c r="G1667" s="2540" t="s">
        <v>47</v>
      </c>
      <c r="H1667" s="2578" t="str">
        <f>$V$2</f>
        <v>2019年12月31日</v>
      </c>
      <c r="I1667" s="355" t="s">
        <v>5274</v>
      </c>
      <c r="J1667" s="537"/>
      <c r="K1667" s="537"/>
      <c r="L1667" s="472"/>
      <c r="M1667" s="472"/>
      <c r="N1667" s="472"/>
      <c r="O1667" s="472"/>
      <c r="P1667" s="442"/>
      <c r="Q1667" s="442"/>
      <c r="R1667" s="443"/>
      <c r="S1667" s="364"/>
      <c r="Z1667" s="609" t="s">
        <v>670</v>
      </c>
      <c r="AA1667" s="609" t="s">
        <v>5656</v>
      </c>
    </row>
    <row r="1668" spans="1:27" ht="18">
      <c r="A1668" s="2714"/>
      <c r="B1668" s="371">
        <v>101</v>
      </c>
      <c r="C1668" s="371"/>
      <c r="D1668" s="2716">
        <f t="shared" ref="D1668:D1673" si="157">IF(OR(G1668="*",G1668="",G1668=0),0,COUNTIF($G$1668:$G$1673,G1668))</f>
        <v>1</v>
      </c>
      <c r="E1668" s="2721">
        <v>1</v>
      </c>
      <c r="F1668" s="294"/>
      <c r="G1668" s="1474" t="s">
        <v>3258</v>
      </c>
      <c r="H1668" s="2296"/>
      <c r="I1668" s="538"/>
      <c r="J1668" s="537"/>
      <c r="K1668" s="537"/>
      <c r="L1668" s="472"/>
      <c r="M1668" s="472"/>
      <c r="N1668" s="472"/>
      <c r="O1668" s="472"/>
      <c r="P1668" s="442"/>
      <c r="Q1668" s="442"/>
      <c r="R1668" s="443"/>
      <c r="S1668" s="364"/>
      <c r="Z1668" s="609" t="s">
        <v>670</v>
      </c>
      <c r="AA1668" s="609" t="s">
        <v>5656</v>
      </c>
    </row>
    <row r="1669" spans="1:27" ht="18">
      <c r="A1669" s="2714"/>
      <c r="B1669" s="371">
        <v>102</v>
      </c>
      <c r="C1669" s="371"/>
      <c r="D1669" s="2716">
        <f t="shared" si="157"/>
        <v>1</v>
      </c>
      <c r="E1669" s="2721">
        <v>1</v>
      </c>
      <c r="F1669" s="294"/>
      <c r="G1669" s="1474" t="s">
        <v>3259</v>
      </c>
      <c r="H1669" s="2296"/>
      <c r="I1669" s="437"/>
      <c r="J1669" s="472"/>
      <c r="K1669" s="472"/>
      <c r="L1669" s="472"/>
      <c r="M1669" s="472"/>
      <c r="N1669" s="472"/>
      <c r="O1669" s="472"/>
      <c r="P1669" s="442"/>
      <c r="Q1669" s="442"/>
      <c r="R1669" s="443"/>
      <c r="S1669" s="364"/>
      <c r="Z1669" s="609" t="s">
        <v>670</v>
      </c>
      <c r="AA1669" s="609" t="s">
        <v>5656</v>
      </c>
    </row>
    <row r="1670" spans="1:27" ht="18">
      <c r="A1670" s="2714"/>
      <c r="B1670" s="371">
        <v>103</v>
      </c>
      <c r="C1670" s="371"/>
      <c r="D1670" s="2716">
        <f t="shared" si="157"/>
        <v>1</v>
      </c>
      <c r="E1670" s="2721">
        <v>-1</v>
      </c>
      <c r="F1670" s="294"/>
      <c r="G1670" s="1474" t="s">
        <v>3260</v>
      </c>
      <c r="H1670" s="2296"/>
      <c r="I1670" s="437"/>
      <c r="J1670" s="472"/>
      <c r="K1670" s="472"/>
      <c r="L1670" s="472"/>
      <c r="M1670" s="472"/>
      <c r="N1670" s="472"/>
      <c r="O1670" s="472"/>
      <c r="P1670" s="442"/>
      <c r="Q1670" s="442"/>
      <c r="R1670" s="443"/>
      <c r="S1670" s="364"/>
      <c r="Z1670" s="609" t="s">
        <v>670</v>
      </c>
      <c r="AA1670" s="609" t="s">
        <v>5656</v>
      </c>
    </row>
    <row r="1671" spans="1:27" ht="18">
      <c r="A1671" s="2714"/>
      <c r="B1671" s="371">
        <v>104</v>
      </c>
      <c r="C1671" s="371"/>
      <c r="D1671" s="2716">
        <f t="shared" si="157"/>
        <v>1</v>
      </c>
      <c r="E1671" s="2721">
        <v>-1</v>
      </c>
      <c r="F1671" s="294"/>
      <c r="G1671" s="603" t="s">
        <v>3261</v>
      </c>
      <c r="H1671" s="2296"/>
      <c r="I1671" s="437"/>
      <c r="J1671" s="472"/>
      <c r="K1671" s="472"/>
      <c r="L1671" s="472"/>
      <c r="M1671" s="472"/>
      <c r="N1671" s="472"/>
      <c r="O1671" s="472"/>
      <c r="P1671" s="442"/>
      <c r="Q1671" s="442"/>
      <c r="R1671" s="443"/>
      <c r="S1671" s="364"/>
      <c r="Z1671" s="609" t="s">
        <v>670</v>
      </c>
      <c r="AA1671" s="609" t="s">
        <v>5656</v>
      </c>
    </row>
    <row r="1672" spans="1:27" ht="18">
      <c r="A1672" s="2714"/>
      <c r="B1672" s="371">
        <v>105</v>
      </c>
      <c r="C1672" s="371" t="s">
        <v>2791</v>
      </c>
      <c r="D1672" s="2716">
        <f t="shared" si="157"/>
        <v>0</v>
      </c>
      <c r="E1672" s="2721">
        <v>1</v>
      </c>
      <c r="F1672" s="294"/>
      <c r="G1672" s="2548" t="s">
        <v>2792</v>
      </c>
      <c r="H1672" s="2296"/>
      <c r="I1672" s="437"/>
      <c r="J1672" s="472"/>
      <c r="K1672" s="472"/>
      <c r="L1672" s="472"/>
      <c r="M1672" s="472"/>
      <c r="N1672" s="472"/>
      <c r="O1672" s="472"/>
      <c r="P1672" s="442"/>
      <c r="Q1672" s="442"/>
      <c r="R1672" s="443"/>
      <c r="S1672" s="364"/>
      <c r="Z1672" s="609" t="s">
        <v>670</v>
      </c>
      <c r="AA1672" s="609" t="s">
        <v>5656</v>
      </c>
    </row>
    <row r="1673" spans="1:27" ht="24.75" thickBot="1">
      <c r="A1673" s="2714"/>
      <c r="B1673" s="371"/>
      <c r="C1673" s="371"/>
      <c r="D1673" s="2716">
        <f t="shared" si="157"/>
        <v>1</v>
      </c>
      <c r="E1673" s="2721" t="s">
        <v>3032</v>
      </c>
      <c r="F1673" s="294"/>
      <c r="G1673" s="2234" t="s">
        <v>3262</v>
      </c>
      <c r="H1673" s="2236">
        <f>SUMPRODUCT($E1667:$E1672,H1667:H1672)</f>
        <v>0</v>
      </c>
      <c r="I1673" s="437"/>
      <c r="J1673" s="472"/>
      <c r="K1673" s="472"/>
      <c r="L1673" s="472"/>
      <c r="M1673" s="472"/>
      <c r="N1673" s="472"/>
      <c r="O1673" s="472"/>
      <c r="P1673" s="442"/>
      <c r="Q1673" s="442"/>
      <c r="R1673" s="443"/>
      <c r="S1673" s="364"/>
      <c r="Z1673" s="609" t="s">
        <v>670</v>
      </c>
      <c r="AA1673" s="609" t="s">
        <v>5656</v>
      </c>
    </row>
    <row r="1674" spans="1:27" ht="18.75" thickBot="1">
      <c r="A1674" s="2714"/>
      <c r="B1674" s="371"/>
      <c r="C1674" s="371" t="s">
        <v>2755</v>
      </c>
      <c r="D1674" s="371"/>
      <c r="F1674" s="294"/>
      <c r="G1674" s="301"/>
      <c r="H1674" s="527" t="s">
        <v>3002</v>
      </c>
      <c r="I1674" s="437"/>
      <c r="J1674" s="472"/>
      <c r="K1674" s="472"/>
      <c r="L1674" s="472"/>
      <c r="M1674" s="472"/>
      <c r="N1674" s="472"/>
      <c r="O1674" s="472"/>
      <c r="P1674" s="442"/>
      <c r="Q1674" s="442"/>
      <c r="R1674" s="443"/>
      <c r="S1674" s="364"/>
      <c r="Z1674" s="609" t="s">
        <v>670</v>
      </c>
      <c r="AA1674" s="609" t="s">
        <v>5656</v>
      </c>
    </row>
    <row r="1675" spans="1:27" ht="18.75" thickTop="1">
      <c r="A1675" s="2714"/>
      <c r="B1675" s="371"/>
      <c r="C1675" s="371" t="s">
        <v>2565</v>
      </c>
      <c r="D1675" s="371"/>
      <c r="F1675" s="294"/>
      <c r="G1675" s="1561" t="s">
        <v>5367</v>
      </c>
      <c r="H1675" s="1550" t="str">
        <f>G1617</f>
        <v>(1)存货分类列示</v>
      </c>
      <c r="I1675" s="1553" t="s">
        <v>5368</v>
      </c>
      <c r="J1675" s="472"/>
      <c r="K1675" s="472"/>
      <c r="L1675" s="472"/>
      <c r="M1675" s="472"/>
      <c r="N1675" s="472"/>
      <c r="O1675" s="472"/>
      <c r="P1675" s="442"/>
      <c r="Q1675" s="442"/>
      <c r="R1675" s="442"/>
      <c r="S1675" s="364"/>
      <c r="Z1675" s="609" t="s">
        <v>670</v>
      </c>
      <c r="AA1675" s="609" t="s">
        <v>5656</v>
      </c>
    </row>
    <row r="1676" spans="1:27" ht="24">
      <c r="A1676" s="2714"/>
      <c r="B1676" s="371"/>
      <c r="C1676" s="371" t="s">
        <v>2565</v>
      </c>
      <c r="D1676" s="371"/>
      <c r="F1676" s="294"/>
      <c r="G1676" s="316" t="str">
        <f>"注释A:"&amp; G1627</f>
        <v>注释A:建造合同形成的已完工未结算资产</v>
      </c>
      <c r="H1676" s="2252">
        <f ca="1">HYPERLINK("#'"&amp;$G$1&amp;"'!"&amp;ADDRESS(ROW(Notes!J1627),COLUMN(Notes!J1627),4),J1627)</f>
        <v>0</v>
      </c>
      <c r="I1676" s="2636" t="str">
        <f>H1617</f>
        <v>1400a</v>
      </c>
      <c r="J1676" s="472"/>
      <c r="K1676" s="472"/>
      <c r="L1676" s="472"/>
      <c r="M1676" s="472"/>
      <c r="N1676" s="472"/>
      <c r="O1676" s="472"/>
      <c r="P1676" s="442"/>
      <c r="Q1676" s="442"/>
      <c r="R1676" s="442"/>
      <c r="S1676" s="364"/>
      <c r="Z1676" s="609" t="s">
        <v>670</v>
      </c>
      <c r="AA1676" s="609" t="s">
        <v>5656</v>
      </c>
    </row>
    <row r="1677" spans="1:27" ht="24">
      <c r="A1677" s="2714"/>
      <c r="B1677" s="371"/>
      <c r="C1677" s="371" t="s">
        <v>2565</v>
      </c>
      <c r="D1677" s="371"/>
      <c r="F1677" s="294"/>
      <c r="G1677" s="316" t="str">
        <f>"本注释B:"&amp; G1673</f>
        <v>本注释B:建造合同形成的已完工尚未结算资产账面价值</v>
      </c>
      <c r="H1677" s="456">
        <f>H1673</f>
        <v>0</v>
      </c>
      <c r="I1677" s="2639" t="s">
        <v>683</v>
      </c>
      <c r="J1677" s="472"/>
      <c r="K1677" s="472"/>
      <c r="L1677" s="472"/>
      <c r="M1677" s="472"/>
      <c r="N1677" s="472"/>
      <c r="O1677" s="472"/>
      <c r="P1677" s="442"/>
      <c r="Q1677" s="442"/>
      <c r="R1677" s="442"/>
      <c r="S1677" s="364"/>
      <c r="Z1677" s="609" t="s">
        <v>670</v>
      </c>
      <c r="AA1677" s="609" t="s">
        <v>5656</v>
      </c>
    </row>
    <row r="1678" spans="1:27" ht="18.75" thickBot="1">
      <c r="A1678" s="2714"/>
      <c r="B1678" s="371"/>
      <c r="C1678" s="371" t="s">
        <v>2565</v>
      </c>
      <c r="D1678" s="371"/>
      <c r="F1678" s="294"/>
      <c r="G1678" s="1562" t="s">
        <v>2757</v>
      </c>
      <c r="H1678" s="1531">
        <f ca="1">IF(AND(H1676="",H1677=""),"",ROUND(H1676-H1677,2))</f>
        <v>0</v>
      </c>
      <c r="I1678" s="1556"/>
      <c r="J1678" s="472"/>
      <c r="K1678" s="472"/>
      <c r="L1678" s="472"/>
      <c r="M1678" s="472"/>
      <c r="N1678" s="472"/>
      <c r="O1678" s="472"/>
      <c r="P1678" s="442"/>
      <c r="Q1678" s="442"/>
      <c r="R1678" s="442"/>
      <c r="S1678" s="364"/>
      <c r="Z1678" s="609" t="s">
        <v>670</v>
      </c>
      <c r="AA1678" s="609" t="s">
        <v>5656</v>
      </c>
    </row>
    <row r="1679" spans="1:27" ht="18.75" thickTop="1">
      <c r="A1679" s="2714"/>
      <c r="B1679" s="371"/>
      <c r="C1679" s="371" t="s">
        <v>2565</v>
      </c>
      <c r="D1679" s="371"/>
      <c r="F1679" s="294"/>
      <c r="G1679" s="354"/>
      <c r="H1679" s="459" t="str">
        <f ca="1">IF(OR(H1678=0,H1678=""),"√","？")</f>
        <v>√</v>
      </c>
      <c r="I1679" s="1547"/>
      <c r="J1679" s="472"/>
      <c r="K1679" s="472"/>
      <c r="L1679" s="472"/>
      <c r="M1679" s="472"/>
      <c r="N1679" s="472"/>
      <c r="O1679" s="472"/>
      <c r="P1679" s="442"/>
      <c r="Q1679" s="442"/>
      <c r="R1679" s="442"/>
      <c r="S1679" s="364"/>
      <c r="Z1679" s="609" t="s">
        <v>670</v>
      </c>
      <c r="AA1679" s="609" t="s">
        <v>5656</v>
      </c>
    </row>
    <row r="1680" spans="1:27" ht="18">
      <c r="A1680" s="2714"/>
      <c r="B1680" s="371"/>
      <c r="C1680" s="371" t="s">
        <v>2565</v>
      </c>
      <c r="D1680" s="371"/>
      <c r="F1680" s="294"/>
      <c r="G1680" s="460" t="s">
        <v>2759</v>
      </c>
      <c r="H1680" s="461"/>
      <c r="I1680" s="1547"/>
      <c r="J1680" s="472"/>
      <c r="K1680" s="569">
        <f ca="1">SUMIF($H$1679:$I$1679,"&lt;&gt;√",$H$1678:$I$1678)</f>
        <v>0</v>
      </c>
      <c r="L1680" s="2651" t="str">
        <f ca="1">IF(OR(K1680=0,K1680=""),"√","？")</f>
        <v>√</v>
      </c>
      <c r="M1680" s="472"/>
      <c r="N1680" s="472"/>
      <c r="O1680" s="472"/>
      <c r="P1680" s="442"/>
      <c r="Q1680" s="442"/>
      <c r="R1680" s="442"/>
      <c r="S1680" s="364"/>
      <c r="Z1680" s="609" t="s">
        <v>670</v>
      </c>
      <c r="AA1680" s="609" t="s">
        <v>5656</v>
      </c>
    </row>
    <row r="1681" spans="1:27" ht="18">
      <c r="A1681" s="2714"/>
      <c r="B1681" s="371"/>
      <c r="C1681" s="371" t="s">
        <v>2565</v>
      </c>
      <c r="D1681" s="371"/>
      <c r="F1681" s="294"/>
      <c r="G1681" s="354"/>
      <c r="H1681" s="461"/>
      <c r="I1681" s="1547"/>
      <c r="J1681" s="472"/>
      <c r="K1681" s="472"/>
      <c r="L1681" s="472"/>
      <c r="M1681" s="472"/>
      <c r="N1681" s="472"/>
      <c r="O1681" s="472"/>
      <c r="P1681" s="442"/>
      <c r="Q1681" s="442"/>
      <c r="R1681" s="442"/>
      <c r="S1681" s="364"/>
      <c r="Z1681" s="609" t="s">
        <v>670</v>
      </c>
      <c r="AA1681" s="609" t="s">
        <v>5656</v>
      </c>
    </row>
    <row r="1682" spans="1:27" ht="18">
      <c r="A1682" s="2714" t="s">
        <v>691</v>
      </c>
      <c r="B1682" s="371">
        <v>5</v>
      </c>
      <c r="C1682" s="371"/>
      <c r="D1682" s="2716" t="str">
        <f>VLOOKUP($A1682,Sheet_NoteList,2,0)</f>
        <v>开发成本</v>
      </c>
      <c r="E1682" s="2716" t="s">
        <v>6533</v>
      </c>
      <c r="F1682" s="294"/>
      <c r="G1682" s="307" t="str">
        <f>"("&amp;B1682&amp;")"&amp;D1682</f>
        <v>(5)开发成本</v>
      </c>
      <c r="H1682" s="1517" t="str">
        <f>$A1682</f>
        <v>1400d</v>
      </c>
      <c r="I1682" s="343" t="s">
        <v>5966</v>
      </c>
      <c r="J1682" s="301"/>
      <c r="K1682" s="3083"/>
      <c r="L1682" s="315"/>
      <c r="M1682" s="301"/>
      <c r="N1682" s="3083"/>
      <c r="O1682" s="315"/>
      <c r="P1682" s="301"/>
      <c r="Q1682" s="290" t="str">
        <f>IF($I1682="不适用","",IF(ROUND(SUM($H$1685:$M$1690),2)=0,"请输入",""))</f>
        <v>请输入</v>
      </c>
      <c r="S1682" s="364"/>
      <c r="Z1682" s="609" t="s">
        <v>670</v>
      </c>
      <c r="AA1682" s="609" t="s">
        <v>5656</v>
      </c>
    </row>
    <row r="1683" spans="1:27" ht="0.75" customHeight="1" thickBot="1">
      <c r="A1683" s="2714"/>
      <c r="B1683" s="371"/>
      <c r="C1683" s="371"/>
      <c r="D1683" s="371"/>
      <c r="F1683" s="294"/>
      <c r="G1683" s="294" t="s">
        <v>3237</v>
      </c>
      <c r="H1683" s="294" t="s">
        <v>3238</v>
      </c>
      <c r="I1683" s="294" t="s">
        <v>3239</v>
      </c>
      <c r="J1683" s="294" t="s">
        <v>3240</v>
      </c>
      <c r="K1683" s="294" t="s">
        <v>3241</v>
      </c>
      <c r="L1683" s="294" t="s">
        <v>3242</v>
      </c>
      <c r="M1683" s="363" t="s">
        <v>3243</v>
      </c>
      <c r="N1683" s="291"/>
      <c r="O1683" s="291"/>
      <c r="P1683" s="291"/>
      <c r="S1683" s="364"/>
      <c r="Z1683" s="609" t="s">
        <v>670</v>
      </c>
      <c r="AA1683" s="609" t="s">
        <v>5656</v>
      </c>
    </row>
    <row r="1684" spans="1:27" ht="18">
      <c r="A1684" s="2714"/>
      <c r="B1684" s="371"/>
      <c r="C1684" s="371"/>
      <c r="D1684" s="371"/>
      <c r="E1684" s="2716" t="s">
        <v>2749</v>
      </c>
      <c r="F1684" s="294"/>
      <c r="G1684" s="481" t="s">
        <v>1476</v>
      </c>
      <c r="H1684" s="488" t="s">
        <v>3244</v>
      </c>
      <c r="I1684" s="488" t="s">
        <v>3245</v>
      </c>
      <c r="J1684" s="488" t="s">
        <v>3246</v>
      </c>
      <c r="K1684" s="2579" t="s">
        <v>6130</v>
      </c>
      <c r="L1684" s="2580" t="s">
        <v>6131</v>
      </c>
      <c r="M1684" s="519" t="s">
        <v>3247</v>
      </c>
      <c r="N1684" s="291"/>
      <c r="O1684" s="291"/>
      <c r="P1684" s="291"/>
      <c r="Q1684" s="291"/>
      <c r="S1684" s="364"/>
      <c r="Z1684" s="609" t="s">
        <v>670</v>
      </c>
      <c r="AA1684" s="609" t="s">
        <v>5656</v>
      </c>
    </row>
    <row r="1685" spans="1:27" ht="18">
      <c r="A1685" s="2714"/>
      <c r="B1685" s="371">
        <v>101</v>
      </c>
      <c r="C1685" s="371" t="s">
        <v>2791</v>
      </c>
      <c r="D1685" s="2716">
        <f t="shared" ref="D1685:D1690" si="158">IF(OR(G1685="*",G1685="",G1685=0),0,COUNTIF($G$1685:$G$1690,G1685))</f>
        <v>0</v>
      </c>
      <c r="E1685" s="2721">
        <v>1</v>
      </c>
      <c r="F1685" s="294"/>
      <c r="G1685" s="409" t="s">
        <v>2792</v>
      </c>
      <c r="H1685" s="469"/>
      <c r="I1685" s="469"/>
      <c r="J1685" s="383"/>
      <c r="K1685" s="383"/>
      <c r="L1685" s="383"/>
      <c r="M1685" s="401"/>
      <c r="N1685" s="291"/>
      <c r="O1685" s="291"/>
      <c r="P1685" s="291"/>
      <c r="Q1685" s="291"/>
      <c r="S1685" s="364"/>
      <c r="Z1685" s="609" t="s">
        <v>670</v>
      </c>
      <c r="AA1685" s="609" t="s">
        <v>5656</v>
      </c>
    </row>
    <row r="1686" spans="1:27" ht="18">
      <c r="A1686" s="2714"/>
      <c r="B1686" s="371">
        <v>102</v>
      </c>
      <c r="C1686" s="371" t="s">
        <v>2791</v>
      </c>
      <c r="D1686" s="2716">
        <f t="shared" si="158"/>
        <v>0</v>
      </c>
      <c r="E1686" s="2721">
        <v>1</v>
      </c>
      <c r="F1686" s="294"/>
      <c r="G1686" s="409" t="s">
        <v>2792</v>
      </c>
      <c r="H1686" s="469"/>
      <c r="I1686" s="469"/>
      <c r="J1686" s="383"/>
      <c r="K1686" s="383"/>
      <c r="L1686" s="383"/>
      <c r="M1686" s="401"/>
      <c r="N1686" s="291"/>
      <c r="O1686" s="291"/>
      <c r="P1686" s="291"/>
      <c r="Q1686" s="291"/>
      <c r="S1686" s="364"/>
      <c r="Z1686" s="609" t="s">
        <v>670</v>
      </c>
      <c r="AA1686" s="609" t="s">
        <v>5656</v>
      </c>
    </row>
    <row r="1687" spans="1:27" ht="18">
      <c r="A1687" s="2714"/>
      <c r="B1687" s="371">
        <v>103</v>
      </c>
      <c r="C1687" s="371" t="s">
        <v>2791</v>
      </c>
      <c r="D1687" s="2716">
        <f t="shared" si="158"/>
        <v>0</v>
      </c>
      <c r="E1687" s="2721">
        <v>1</v>
      </c>
      <c r="F1687" s="294"/>
      <c r="G1687" s="409" t="s">
        <v>2792</v>
      </c>
      <c r="H1687" s="469"/>
      <c r="I1687" s="469"/>
      <c r="J1687" s="383"/>
      <c r="K1687" s="383"/>
      <c r="L1687" s="383"/>
      <c r="M1687" s="401"/>
      <c r="N1687" s="291"/>
      <c r="O1687" s="291"/>
      <c r="P1687" s="291"/>
      <c r="Q1687" s="291"/>
      <c r="S1687" s="364"/>
      <c r="Z1687" s="609" t="s">
        <v>670</v>
      </c>
      <c r="AA1687" s="609" t="s">
        <v>5656</v>
      </c>
    </row>
    <row r="1688" spans="1:27" ht="18">
      <c r="A1688" s="2714"/>
      <c r="B1688" s="371">
        <v>104</v>
      </c>
      <c r="C1688" s="371" t="s">
        <v>2791</v>
      </c>
      <c r="D1688" s="2716">
        <f t="shared" si="158"/>
        <v>0</v>
      </c>
      <c r="E1688" s="2721">
        <v>1</v>
      </c>
      <c r="F1688" s="294"/>
      <c r="G1688" s="409" t="s">
        <v>2792</v>
      </c>
      <c r="H1688" s="469"/>
      <c r="I1688" s="469"/>
      <c r="J1688" s="383"/>
      <c r="K1688" s="383"/>
      <c r="L1688" s="383"/>
      <c r="M1688" s="401"/>
      <c r="N1688" s="291"/>
      <c r="O1688" s="291"/>
      <c r="P1688" s="291"/>
      <c r="Q1688" s="291"/>
      <c r="S1688" s="364"/>
      <c r="Z1688" s="609" t="s">
        <v>670</v>
      </c>
      <c r="AA1688" s="609" t="s">
        <v>5656</v>
      </c>
    </row>
    <row r="1689" spans="1:27" ht="18">
      <c r="A1689" s="2714"/>
      <c r="B1689" s="371">
        <v>105</v>
      </c>
      <c r="C1689" s="371" t="s">
        <v>2791</v>
      </c>
      <c r="D1689" s="2716">
        <f t="shared" si="158"/>
        <v>0</v>
      </c>
      <c r="E1689" s="2721">
        <v>1</v>
      </c>
      <c r="F1689" s="294"/>
      <c r="G1689" s="409" t="s">
        <v>2792</v>
      </c>
      <c r="H1689" s="469"/>
      <c r="I1689" s="469"/>
      <c r="J1689" s="383"/>
      <c r="K1689" s="383"/>
      <c r="L1689" s="383"/>
      <c r="M1689" s="401"/>
      <c r="N1689" s="291"/>
      <c r="O1689" s="291"/>
      <c r="P1689" s="291"/>
      <c r="Q1689" s="291"/>
      <c r="S1689" s="364"/>
      <c r="Z1689" s="609" t="s">
        <v>670</v>
      </c>
      <c r="AA1689" s="609" t="s">
        <v>5656</v>
      </c>
    </row>
    <row r="1690" spans="1:27" ht="18.75" thickBot="1">
      <c r="A1690" s="2714"/>
      <c r="B1690" s="371"/>
      <c r="C1690" s="371"/>
      <c r="D1690" s="2716">
        <f t="shared" si="158"/>
        <v>1</v>
      </c>
      <c r="E1690" s="2721" t="s">
        <v>3032</v>
      </c>
      <c r="F1690" s="294"/>
      <c r="G1690" s="452" t="s">
        <v>2752</v>
      </c>
      <c r="H1690" s="490"/>
      <c r="I1690" s="490"/>
      <c r="J1690" s="453">
        <f>SUMPRODUCT($E1684:$E1689,J1684:J1689)</f>
        <v>0</v>
      </c>
      <c r="K1690" s="453">
        <f>SUMPRODUCT($E1684:$E1689,K1684:K1689)</f>
        <v>0</v>
      </c>
      <c r="L1690" s="2581">
        <f>SUMPRODUCT($E1684:$E1689,L1684:L1689)</f>
        <v>0</v>
      </c>
      <c r="M1690" s="471">
        <f>SUMPRODUCT($E1684:$E1689,M1684:M1689)</f>
        <v>0</v>
      </c>
      <c r="N1690" s="291"/>
      <c r="O1690" s="291"/>
      <c r="P1690" s="291"/>
      <c r="Q1690" s="291"/>
      <c r="S1690" s="364"/>
      <c r="Z1690" s="609" t="s">
        <v>670</v>
      </c>
      <c r="AA1690" s="609" t="s">
        <v>5656</v>
      </c>
    </row>
    <row r="1691" spans="1:27" ht="18.75" thickBot="1">
      <c r="A1691" s="2714"/>
      <c r="B1691" s="371"/>
      <c r="C1691" s="371" t="s">
        <v>2755</v>
      </c>
      <c r="D1691" s="371"/>
      <c r="F1691" s="294"/>
      <c r="G1691" s="301"/>
      <c r="H1691" s="350"/>
      <c r="I1691" s="350"/>
      <c r="J1691" s="349"/>
      <c r="K1691" s="484" t="s">
        <v>3002</v>
      </c>
      <c r="L1691" s="484" t="s">
        <v>3002</v>
      </c>
      <c r="M1691" s="484" t="s">
        <v>3002</v>
      </c>
      <c r="N1691" s="291"/>
      <c r="O1691" s="291"/>
      <c r="P1691" s="291"/>
      <c r="Q1691" s="291"/>
      <c r="S1691" s="364"/>
      <c r="Z1691" s="609" t="s">
        <v>670</v>
      </c>
      <c r="AA1691" s="609" t="s">
        <v>5656</v>
      </c>
    </row>
    <row r="1692" spans="1:27" ht="18.75" thickTop="1">
      <c r="A1692" s="2714"/>
      <c r="B1692" s="371"/>
      <c r="C1692" s="371" t="s">
        <v>2565</v>
      </c>
      <c r="D1692" s="371"/>
      <c r="F1692" s="294"/>
      <c r="G1692" s="1561" t="s">
        <v>5367</v>
      </c>
      <c r="H1692" s="1550" t="str">
        <f>G1617</f>
        <v>(1)存货分类列示</v>
      </c>
      <c r="I1692" s="1551"/>
      <c r="J1692" s="1551"/>
      <c r="K1692" s="1552"/>
      <c r="L1692" s="1552"/>
      <c r="M1692" s="1552"/>
      <c r="N1692" s="1553" t="s">
        <v>5368</v>
      </c>
      <c r="O1692" s="291"/>
      <c r="P1692" s="291"/>
      <c r="Q1692" s="291"/>
      <c r="S1692" s="364"/>
      <c r="Z1692" s="609" t="s">
        <v>670</v>
      </c>
      <c r="AA1692" s="609" t="s">
        <v>5656</v>
      </c>
    </row>
    <row r="1693" spans="1:27" ht="18">
      <c r="A1693" s="2714"/>
      <c r="B1693" s="371"/>
      <c r="C1693" s="371" t="s">
        <v>2565</v>
      </c>
      <c r="D1693" s="371"/>
      <c r="F1693" s="294"/>
      <c r="G1693" s="316" t="str">
        <f>"注释A:"&amp; G1628</f>
        <v>注释A:开发成本</v>
      </c>
      <c r="H1693" s="351"/>
      <c r="I1693" s="351"/>
      <c r="J1693" s="351"/>
      <c r="K1693" s="2252">
        <f ca="1">HYPERLINK("#'"&amp;$G$1&amp;"'!"&amp;ADDRESS(ROW(Notes!H1628),COLUMN(Notes!H1628),4),H1628)</f>
        <v>0</v>
      </c>
      <c r="L1693" s="2252">
        <f ca="1">HYPERLINK("#'"&amp;$G$1&amp;"'!"&amp;ADDRESS(ROW(Notes!K1628),COLUMN(Notes!K1628),4),K1628)</f>
        <v>0</v>
      </c>
      <c r="M1693" s="2252">
        <f ca="1">HYPERLINK("#'"&amp;$G$1&amp;"'!"&amp;ADDRESS(ROW(Notes!I1628),COLUMN(Notes!I1628),4),I1628)</f>
        <v>0</v>
      </c>
      <c r="N1693" s="2632" t="str">
        <f>H1617</f>
        <v>1400a</v>
      </c>
      <c r="O1693" s="291"/>
      <c r="P1693" s="291"/>
      <c r="Q1693" s="291"/>
      <c r="S1693" s="364"/>
      <c r="Z1693" s="609" t="s">
        <v>670</v>
      </c>
      <c r="AA1693" s="609" t="s">
        <v>5656</v>
      </c>
    </row>
    <row r="1694" spans="1:27" ht="18">
      <c r="A1694" s="2714"/>
      <c r="B1694" s="371"/>
      <c r="C1694" s="371" t="s">
        <v>2565</v>
      </c>
      <c r="D1694" s="371"/>
      <c r="F1694" s="294"/>
      <c r="G1694" s="316" t="str">
        <f>"本注释B:"&amp; G1690</f>
        <v>本注释B:合       计</v>
      </c>
      <c r="H1694" s="351"/>
      <c r="I1694" s="351"/>
      <c r="J1694" s="351"/>
      <c r="K1694" s="456">
        <f>K1690</f>
        <v>0</v>
      </c>
      <c r="L1694" s="456">
        <f t="shared" ref="L1694:M1694" si="159">L1690</f>
        <v>0</v>
      </c>
      <c r="M1694" s="456">
        <f t="shared" si="159"/>
        <v>0</v>
      </c>
      <c r="N1694" s="2638" t="s">
        <v>691</v>
      </c>
      <c r="O1694" s="291"/>
      <c r="P1694" s="291"/>
      <c r="Q1694" s="291"/>
      <c r="S1694" s="364"/>
      <c r="Z1694" s="609" t="s">
        <v>670</v>
      </c>
      <c r="AA1694" s="609" t="s">
        <v>5656</v>
      </c>
    </row>
    <row r="1695" spans="1:27" ht="18.75" thickBot="1">
      <c r="A1695" s="2714"/>
      <c r="B1695" s="371"/>
      <c r="C1695" s="371" t="s">
        <v>2565</v>
      </c>
      <c r="D1695" s="371"/>
      <c r="F1695" s="294"/>
      <c r="G1695" s="1562" t="s">
        <v>2757</v>
      </c>
      <c r="H1695" s="1555"/>
      <c r="I1695" s="1555"/>
      <c r="J1695" s="1555"/>
      <c r="K1695" s="1531">
        <f ca="1">IF(AND(K1693="",K1694=""),"",ROUND(K1693-K1694,2))</f>
        <v>0</v>
      </c>
      <c r="L1695" s="1531">
        <f ca="1">IF(AND(L1693="",L1694=""),"",ROUND(L1693-L1694,2))</f>
        <v>0</v>
      </c>
      <c r="M1695" s="1531">
        <f ca="1">IF(AND(M1693="",M1694=""),"",ROUND(M1693-M1694,2))</f>
        <v>0</v>
      </c>
      <c r="N1695" s="1555"/>
      <c r="O1695" s="291"/>
      <c r="P1695" s="291"/>
      <c r="Q1695" s="291"/>
      <c r="S1695" s="364"/>
      <c r="Z1695" s="609" t="s">
        <v>670</v>
      </c>
      <c r="AA1695" s="609" t="s">
        <v>5656</v>
      </c>
    </row>
    <row r="1696" spans="1:27" ht="18.75" thickTop="1">
      <c r="A1696" s="2714"/>
      <c r="B1696" s="371"/>
      <c r="C1696" s="371" t="s">
        <v>2565</v>
      </c>
      <c r="D1696" s="371"/>
      <c r="F1696" s="294"/>
      <c r="G1696" s="354"/>
      <c r="H1696" s="317"/>
      <c r="I1696" s="317"/>
      <c r="J1696" s="317"/>
      <c r="K1696" s="459" t="str">
        <f ca="1">IF(OR(K1695=0,K1695=""),"√","？")</f>
        <v>√</v>
      </c>
      <c r="L1696" s="459" t="str">
        <f ca="1">IF(OR(L1695=0,L1695=""),"√","？")</f>
        <v>√</v>
      </c>
      <c r="M1696" s="459" t="str">
        <f ca="1">IF(OR(M1695=0,M1695=""),"√","？")</f>
        <v>√</v>
      </c>
      <c r="N1696" s="354"/>
      <c r="O1696" s="291"/>
      <c r="P1696" s="291"/>
      <c r="Q1696" s="291"/>
      <c r="S1696" s="364"/>
      <c r="Z1696" s="609" t="s">
        <v>670</v>
      </c>
      <c r="AA1696" s="609" t="s">
        <v>5656</v>
      </c>
    </row>
    <row r="1697" spans="1:27" ht="18">
      <c r="A1697" s="2714"/>
      <c r="B1697" s="371"/>
      <c r="C1697" s="371" t="s">
        <v>2565</v>
      </c>
      <c r="D1697" s="371"/>
      <c r="F1697" s="294"/>
      <c r="G1697" s="460" t="s">
        <v>2759</v>
      </c>
      <c r="H1697" s="317"/>
      <c r="I1697" s="317"/>
      <c r="J1697" s="317"/>
      <c r="K1697" s="605">
        <f ca="1">SUMIF($H$1696:$N$1696,"&lt;&gt;√",$H$1695:$N$1695)</f>
        <v>0</v>
      </c>
      <c r="L1697" s="353" t="str">
        <f ca="1">IF(OR(K1697=0,K1697=""),"√","？")</f>
        <v>√</v>
      </c>
      <c r="M1697" s="461"/>
      <c r="N1697" s="354"/>
      <c r="O1697" s="291"/>
      <c r="P1697" s="291"/>
      <c r="Q1697" s="291"/>
      <c r="S1697" s="364"/>
      <c r="Z1697" s="609" t="s">
        <v>670</v>
      </c>
      <c r="AA1697" s="609" t="s">
        <v>5656</v>
      </c>
    </row>
    <row r="1698" spans="1:27" ht="18">
      <c r="A1698" s="2714"/>
      <c r="B1698" s="371"/>
      <c r="C1698" s="371" t="s">
        <v>2565</v>
      </c>
      <c r="D1698" s="371"/>
      <c r="F1698" s="294"/>
      <c r="G1698" s="354"/>
      <c r="H1698" s="317"/>
      <c r="I1698" s="317"/>
      <c r="J1698" s="317"/>
      <c r="K1698" s="461"/>
      <c r="L1698" s="461"/>
      <c r="M1698" s="461"/>
      <c r="N1698" s="354"/>
      <c r="O1698" s="291"/>
      <c r="P1698" s="291"/>
      <c r="Q1698" s="291"/>
      <c r="S1698" s="364"/>
      <c r="Z1698" s="609" t="s">
        <v>670</v>
      </c>
      <c r="AA1698" s="609" t="s">
        <v>5656</v>
      </c>
    </row>
    <row r="1699" spans="1:27" ht="18">
      <c r="A1699" s="2714" t="s">
        <v>695</v>
      </c>
      <c r="B1699" s="371">
        <v>6</v>
      </c>
      <c r="C1699" s="371"/>
      <c r="D1699" s="2716" t="str">
        <f>VLOOKUP($A1699,Sheet_NoteList,2,0)</f>
        <v>开发产品</v>
      </c>
      <c r="E1699" s="2716" t="s">
        <v>6533</v>
      </c>
      <c r="F1699" s="294"/>
      <c r="G1699" s="307" t="str">
        <f>"("&amp;B1699&amp;")"&amp;D1699</f>
        <v>(6)开发产品</v>
      </c>
      <c r="H1699" s="1517" t="str">
        <f>$A1699</f>
        <v>1400e</v>
      </c>
      <c r="I1699" s="343" t="s">
        <v>5966</v>
      </c>
      <c r="J1699" s="301"/>
      <c r="K1699" s="3083"/>
      <c r="L1699" s="315"/>
      <c r="M1699" s="301"/>
      <c r="N1699" s="3083"/>
      <c r="O1699" s="315"/>
      <c r="P1699" s="301"/>
      <c r="Q1699" s="290" t="str">
        <f>IF($I1699="不适用","",IF(ROUND(SUM($H$1702:$M$1707),2)=0,"请输入",""))</f>
        <v>请输入</v>
      </c>
      <c r="S1699" s="364"/>
      <c r="Z1699" s="609" t="s">
        <v>670</v>
      </c>
      <c r="AA1699" s="609" t="s">
        <v>5656</v>
      </c>
    </row>
    <row r="1700" spans="1:27" ht="0.75" customHeight="1" thickBot="1">
      <c r="A1700" s="2714"/>
      <c r="B1700" s="371"/>
      <c r="C1700" s="371"/>
      <c r="D1700" s="371"/>
      <c r="F1700" s="294"/>
      <c r="G1700" s="294" t="s">
        <v>3248</v>
      </c>
      <c r="H1700" s="294" t="s">
        <v>3249</v>
      </c>
      <c r="I1700" s="294" t="s">
        <v>2748</v>
      </c>
      <c r="J1700" s="294" t="s">
        <v>3250</v>
      </c>
      <c r="K1700" s="294" t="s">
        <v>3251</v>
      </c>
      <c r="L1700" s="294" t="s">
        <v>3252</v>
      </c>
      <c r="M1700" s="363" t="s">
        <v>3243</v>
      </c>
      <c r="N1700" s="291"/>
      <c r="O1700" s="291"/>
      <c r="P1700" s="291"/>
      <c r="S1700" s="364"/>
      <c r="Z1700" s="609" t="s">
        <v>670</v>
      </c>
      <c r="AA1700" s="609" t="s">
        <v>5656</v>
      </c>
    </row>
    <row r="1701" spans="1:27" ht="18">
      <c r="A1701" s="2714"/>
      <c r="B1701" s="371"/>
      <c r="C1701" s="371"/>
      <c r="D1701" s="371"/>
      <c r="E1701" s="2716" t="s">
        <v>2749</v>
      </c>
      <c r="F1701" s="294"/>
      <c r="G1701" s="481" t="s">
        <v>1476</v>
      </c>
      <c r="H1701" s="488" t="s">
        <v>3253</v>
      </c>
      <c r="I1701" s="2579" t="s">
        <v>6131</v>
      </c>
      <c r="J1701" s="488" t="s">
        <v>3027</v>
      </c>
      <c r="K1701" s="488" t="s">
        <v>3028</v>
      </c>
      <c r="L1701" s="2579" t="s">
        <v>6130</v>
      </c>
      <c r="M1701" s="519" t="s">
        <v>3247</v>
      </c>
      <c r="N1701" s="291"/>
      <c r="O1701" s="291"/>
      <c r="P1701" s="291"/>
      <c r="S1701" s="364"/>
      <c r="Z1701" s="609" t="s">
        <v>670</v>
      </c>
      <c r="AA1701" s="609" t="s">
        <v>5656</v>
      </c>
    </row>
    <row r="1702" spans="1:27" ht="18">
      <c r="A1702" s="2714"/>
      <c r="B1702" s="371">
        <v>101</v>
      </c>
      <c r="C1702" s="371" t="s">
        <v>2791</v>
      </c>
      <c r="D1702" s="2716">
        <f t="shared" ref="D1702:D1707" si="160">IF(OR(G1702="*",G1702="",G1702=0),0,COUNTIF($G$1702:$G$1707,G1702))</f>
        <v>0</v>
      </c>
      <c r="E1702" s="2721">
        <v>1</v>
      </c>
      <c r="F1702" s="294"/>
      <c r="G1702" s="409" t="s">
        <v>2792</v>
      </c>
      <c r="H1702" s="469"/>
      <c r="I1702" s="383"/>
      <c r="J1702" s="383"/>
      <c r="K1702" s="383"/>
      <c r="L1702" s="491">
        <f>I1702+J1702-K1702</f>
        <v>0</v>
      </c>
      <c r="M1702" s="401"/>
      <c r="N1702" s="291"/>
      <c r="O1702" s="291"/>
      <c r="P1702" s="291"/>
      <c r="S1702" s="364"/>
      <c r="Z1702" s="609" t="s">
        <v>670</v>
      </c>
      <c r="AA1702" s="609" t="s">
        <v>5656</v>
      </c>
    </row>
    <row r="1703" spans="1:27" ht="18">
      <c r="A1703" s="2714"/>
      <c r="B1703" s="371">
        <v>102</v>
      </c>
      <c r="C1703" s="371" t="s">
        <v>2791</v>
      </c>
      <c r="D1703" s="2716">
        <f t="shared" si="160"/>
        <v>0</v>
      </c>
      <c r="E1703" s="2721">
        <v>1</v>
      </c>
      <c r="F1703" s="294"/>
      <c r="G1703" s="409" t="s">
        <v>2792</v>
      </c>
      <c r="H1703" s="469"/>
      <c r="I1703" s="383"/>
      <c r="J1703" s="383"/>
      <c r="K1703" s="383"/>
      <c r="L1703" s="491">
        <f>I1703+J1703-K1703</f>
        <v>0</v>
      </c>
      <c r="M1703" s="401"/>
      <c r="N1703" s="291"/>
      <c r="O1703" s="291"/>
      <c r="P1703" s="291"/>
      <c r="S1703" s="364"/>
      <c r="Z1703" s="609" t="s">
        <v>670</v>
      </c>
      <c r="AA1703" s="609" t="s">
        <v>5656</v>
      </c>
    </row>
    <row r="1704" spans="1:27" ht="18">
      <c r="A1704" s="2714"/>
      <c r="B1704" s="371">
        <v>103</v>
      </c>
      <c r="C1704" s="371" t="s">
        <v>2791</v>
      </c>
      <c r="D1704" s="2716">
        <f t="shared" si="160"/>
        <v>0</v>
      </c>
      <c r="E1704" s="2721">
        <v>1</v>
      </c>
      <c r="F1704" s="294"/>
      <c r="G1704" s="409" t="s">
        <v>2792</v>
      </c>
      <c r="H1704" s="469"/>
      <c r="I1704" s="383"/>
      <c r="J1704" s="383"/>
      <c r="K1704" s="383"/>
      <c r="L1704" s="491">
        <f>I1704+J1704-K1704</f>
        <v>0</v>
      </c>
      <c r="M1704" s="401"/>
      <c r="N1704" s="291"/>
      <c r="O1704" s="291"/>
      <c r="P1704" s="291"/>
      <c r="S1704" s="364"/>
      <c r="Z1704" s="609" t="s">
        <v>670</v>
      </c>
      <c r="AA1704" s="609" t="s">
        <v>5656</v>
      </c>
    </row>
    <row r="1705" spans="1:27" ht="18">
      <c r="A1705" s="2714"/>
      <c r="B1705" s="371">
        <v>104</v>
      </c>
      <c r="C1705" s="371" t="s">
        <v>2791</v>
      </c>
      <c r="D1705" s="2716">
        <f t="shared" si="160"/>
        <v>0</v>
      </c>
      <c r="E1705" s="2721">
        <v>1</v>
      </c>
      <c r="F1705" s="294"/>
      <c r="G1705" s="409" t="s">
        <v>2792</v>
      </c>
      <c r="H1705" s="469"/>
      <c r="I1705" s="383"/>
      <c r="J1705" s="383"/>
      <c r="K1705" s="383"/>
      <c r="L1705" s="491">
        <f>I1705+J1705-K1705</f>
        <v>0</v>
      </c>
      <c r="M1705" s="401"/>
      <c r="N1705" s="291"/>
      <c r="O1705" s="291"/>
      <c r="P1705" s="291"/>
      <c r="S1705" s="364"/>
      <c r="Z1705" s="609" t="s">
        <v>670</v>
      </c>
      <c r="AA1705" s="609" t="s">
        <v>5656</v>
      </c>
    </row>
    <row r="1706" spans="1:27" ht="18">
      <c r="A1706" s="2714"/>
      <c r="B1706" s="371">
        <v>105</v>
      </c>
      <c r="C1706" s="371" t="s">
        <v>2791</v>
      </c>
      <c r="D1706" s="2716">
        <f t="shared" si="160"/>
        <v>0</v>
      </c>
      <c r="E1706" s="2721">
        <v>1</v>
      </c>
      <c r="F1706" s="294"/>
      <c r="G1706" s="409" t="s">
        <v>2792</v>
      </c>
      <c r="H1706" s="469"/>
      <c r="I1706" s="383"/>
      <c r="J1706" s="383"/>
      <c r="K1706" s="383"/>
      <c r="L1706" s="491">
        <f>I1706+J1706-K1706</f>
        <v>0</v>
      </c>
      <c r="M1706" s="401"/>
      <c r="N1706" s="291"/>
      <c r="O1706" s="291"/>
      <c r="P1706" s="291"/>
      <c r="S1706" s="364"/>
      <c r="Z1706" s="609" t="s">
        <v>670</v>
      </c>
      <c r="AA1706" s="609" t="s">
        <v>5656</v>
      </c>
    </row>
    <row r="1707" spans="1:27" ht="18.75" thickBot="1">
      <c r="A1707" s="2714"/>
      <c r="B1707" s="371"/>
      <c r="C1707" s="371"/>
      <c r="D1707" s="2716">
        <f t="shared" si="160"/>
        <v>1</v>
      </c>
      <c r="E1707" s="2721" t="s">
        <v>3032</v>
      </c>
      <c r="F1707" s="294"/>
      <c r="G1707" s="452" t="s">
        <v>2752</v>
      </c>
      <c r="H1707" s="490"/>
      <c r="I1707" s="453">
        <f>SUMPRODUCT($E1701:$E1706,I1701:I1706)</f>
        <v>0</v>
      </c>
      <c r="J1707" s="453">
        <f>SUMPRODUCT($E1701:$E1706,J1701:J1706)</f>
        <v>0</v>
      </c>
      <c r="K1707" s="453">
        <f>SUMPRODUCT($E1701:$E1706,K1701:K1706)</f>
        <v>0</v>
      </c>
      <c r="L1707" s="453">
        <f>SUMPRODUCT($E1701:$E1706,L1701:L1706)</f>
        <v>0</v>
      </c>
      <c r="M1707" s="471">
        <f>SUMPRODUCT($E1701:$E1706,M1701:M1706)</f>
        <v>0</v>
      </c>
      <c r="N1707" s="291"/>
      <c r="O1707" s="291"/>
      <c r="P1707" s="291"/>
      <c r="S1707" s="364"/>
      <c r="Z1707" s="609" t="s">
        <v>670</v>
      </c>
      <c r="AA1707" s="609" t="s">
        <v>5656</v>
      </c>
    </row>
    <row r="1708" spans="1:27" ht="18.75" thickBot="1">
      <c r="A1708" s="2714"/>
      <c r="B1708" s="371"/>
      <c r="C1708" s="371" t="s">
        <v>2755</v>
      </c>
      <c r="D1708" s="371"/>
      <c r="F1708" s="294"/>
      <c r="G1708" s="301"/>
      <c r="H1708" s="350"/>
      <c r="I1708" s="484" t="s">
        <v>3002</v>
      </c>
      <c r="J1708" s="349"/>
      <c r="K1708" s="349"/>
      <c r="L1708" s="484" t="s">
        <v>3002</v>
      </c>
      <c r="M1708" s="484" t="s">
        <v>3002</v>
      </c>
      <c r="N1708" s="291"/>
      <c r="O1708" s="291"/>
      <c r="P1708" s="291"/>
      <c r="S1708" s="364"/>
      <c r="Z1708" s="609" t="s">
        <v>670</v>
      </c>
      <c r="AA1708" s="609" t="s">
        <v>5656</v>
      </c>
    </row>
    <row r="1709" spans="1:27" ht="18.75" thickTop="1">
      <c r="A1709" s="2714"/>
      <c r="B1709" s="371"/>
      <c r="C1709" s="371" t="s">
        <v>2565</v>
      </c>
      <c r="D1709" s="371"/>
      <c r="F1709" s="294"/>
      <c r="G1709" s="1561" t="s">
        <v>5367</v>
      </c>
      <c r="H1709" s="1550" t="str">
        <f>G1617</f>
        <v>(1)存货分类列示</v>
      </c>
      <c r="I1709" s="1552"/>
      <c r="J1709" s="1551"/>
      <c r="K1709" s="1551"/>
      <c r="L1709" s="1552"/>
      <c r="M1709" s="1552"/>
      <c r="N1709" s="1553" t="s">
        <v>5368</v>
      </c>
      <c r="O1709" s="291"/>
      <c r="P1709" s="291"/>
      <c r="S1709" s="364"/>
      <c r="Z1709" s="609" t="s">
        <v>670</v>
      </c>
      <c r="AA1709" s="609" t="s">
        <v>5656</v>
      </c>
    </row>
    <row r="1710" spans="1:27" ht="18">
      <c r="A1710" s="2714"/>
      <c r="B1710" s="371"/>
      <c r="C1710" s="371" t="s">
        <v>2565</v>
      </c>
      <c r="D1710" s="371"/>
      <c r="F1710" s="294"/>
      <c r="G1710" s="316" t="str">
        <f>"注释A:"&amp; G1629</f>
        <v>注释A:开发产品</v>
      </c>
      <c r="H1710" s="351"/>
      <c r="I1710" s="2252">
        <f ca="1">HYPERLINK("#'"&amp;$G$1&amp;"'!"&amp;ADDRESS(ROW(Notes!K1629),COLUMN(Notes!K1629),4),K1629)</f>
        <v>0</v>
      </c>
      <c r="J1710" s="351"/>
      <c r="K1710" s="351"/>
      <c r="L1710" s="2252">
        <f ca="1">HYPERLINK("#'"&amp;$G$1&amp;"'!"&amp;ADDRESS(ROW(Notes!H1629),COLUMN(Notes!H1629),4),H1629)</f>
        <v>0</v>
      </c>
      <c r="M1710" s="2252">
        <f ca="1">HYPERLINK("#'"&amp;$G$1&amp;"'!"&amp;ADDRESS(ROW(Notes!I1629),COLUMN(Notes!I1629),4),I1629)</f>
        <v>0</v>
      </c>
      <c r="N1710" s="2632" t="str">
        <f>H1617</f>
        <v>1400a</v>
      </c>
      <c r="O1710" s="291"/>
      <c r="P1710" s="291"/>
      <c r="S1710" s="364"/>
      <c r="Z1710" s="609" t="s">
        <v>670</v>
      </c>
      <c r="AA1710" s="609" t="s">
        <v>5656</v>
      </c>
    </row>
    <row r="1711" spans="1:27" ht="18">
      <c r="A1711" s="2714"/>
      <c r="B1711" s="371"/>
      <c r="C1711" s="371" t="s">
        <v>2565</v>
      </c>
      <c r="D1711" s="371"/>
      <c r="F1711" s="294"/>
      <c r="G1711" s="316" t="str">
        <f>"本注释B:"&amp; G1707</f>
        <v>本注释B:合       计</v>
      </c>
      <c r="H1711" s="351"/>
      <c r="I1711" s="456">
        <f>I1707</f>
        <v>0</v>
      </c>
      <c r="J1711" s="351"/>
      <c r="K1711" s="351"/>
      <c r="L1711" s="456">
        <f>L1707</f>
        <v>0</v>
      </c>
      <c r="M1711" s="456">
        <f>M1707</f>
        <v>0</v>
      </c>
      <c r="N1711" s="2638" t="s">
        <v>695</v>
      </c>
      <c r="O1711" s="291"/>
      <c r="P1711" s="291"/>
      <c r="S1711" s="364"/>
      <c r="Z1711" s="609" t="s">
        <v>670</v>
      </c>
      <c r="AA1711" s="609" t="s">
        <v>5656</v>
      </c>
    </row>
    <row r="1712" spans="1:27" ht="18.75" thickBot="1">
      <c r="A1712" s="2714"/>
      <c r="B1712" s="371"/>
      <c r="C1712" s="371" t="s">
        <v>2565</v>
      </c>
      <c r="D1712" s="371"/>
      <c r="F1712" s="294"/>
      <c r="G1712" s="1562" t="s">
        <v>2757</v>
      </c>
      <c r="H1712" s="1555"/>
      <c r="I1712" s="1531">
        <f ca="1">IF(AND(I1710="",I1711=""),"",ROUND(I1710-I1711,2))</f>
        <v>0</v>
      </c>
      <c r="J1712" s="1555"/>
      <c r="K1712" s="1555"/>
      <c r="L1712" s="1531">
        <f ca="1">IF(AND(L1710="",L1711=""),"",ROUND(L1710-L1711,2))</f>
        <v>0</v>
      </c>
      <c r="M1712" s="1531">
        <f ca="1">IF(AND(M1710="",M1711=""),"",ROUND(M1710-M1711,2))</f>
        <v>0</v>
      </c>
      <c r="N1712" s="1555"/>
      <c r="O1712" s="291"/>
      <c r="P1712" s="291"/>
      <c r="S1712" s="364"/>
      <c r="Z1712" s="609" t="s">
        <v>670</v>
      </c>
      <c r="AA1712" s="609" t="s">
        <v>5656</v>
      </c>
    </row>
    <row r="1713" spans="1:27" ht="18.75" thickTop="1">
      <c r="A1713" s="2714"/>
      <c r="B1713" s="371"/>
      <c r="C1713" s="371" t="s">
        <v>2565</v>
      </c>
      <c r="D1713" s="371"/>
      <c r="F1713" s="294"/>
      <c r="G1713" s="354"/>
      <c r="H1713" s="317"/>
      <c r="I1713" s="459" t="str">
        <f ca="1">IF(OR(I1712=0,I1712=""),"√","？")</f>
        <v>√</v>
      </c>
      <c r="J1713" s="317"/>
      <c r="K1713" s="317"/>
      <c r="L1713" s="459" t="str">
        <f ca="1">IF(OR(L1712=0,L1712=""),"√","？")</f>
        <v>√</v>
      </c>
      <c r="M1713" s="459" t="str">
        <f ca="1">IF(OR(M1712=0,M1712=""),"√","？")</f>
        <v>√</v>
      </c>
      <c r="N1713" s="354"/>
      <c r="O1713" s="291"/>
      <c r="P1713" s="291"/>
      <c r="S1713" s="364"/>
      <c r="Z1713" s="609" t="s">
        <v>670</v>
      </c>
      <c r="AA1713" s="609" t="s">
        <v>5656</v>
      </c>
    </row>
    <row r="1714" spans="1:27" ht="18">
      <c r="A1714" s="2714"/>
      <c r="B1714" s="371"/>
      <c r="C1714" s="371" t="s">
        <v>2565</v>
      </c>
      <c r="D1714" s="371"/>
      <c r="F1714" s="294"/>
      <c r="G1714" s="460" t="s">
        <v>2759</v>
      </c>
      <c r="H1714" s="317"/>
      <c r="I1714" s="461"/>
      <c r="J1714" s="317"/>
      <c r="K1714" s="352">
        <f ca="1">SUMIF($H$1713:$N$1713,"&lt;&gt;√",$H$1712:$N$1712)</f>
        <v>0</v>
      </c>
      <c r="L1714" s="353" t="str">
        <f ca="1">IF(OR(K1714=0,K1714=""),"√","？")</f>
        <v>√</v>
      </c>
      <c r="M1714" s="461"/>
      <c r="N1714" s="354"/>
      <c r="O1714" s="291"/>
      <c r="P1714" s="291"/>
      <c r="S1714" s="364"/>
      <c r="Z1714" s="609" t="s">
        <v>670</v>
      </c>
      <c r="AA1714" s="609" t="s">
        <v>5656</v>
      </c>
    </row>
    <row r="1715" spans="1:27" ht="18">
      <c r="A1715" s="2714"/>
      <c r="B1715" s="371"/>
      <c r="C1715" s="371" t="s">
        <v>2565</v>
      </c>
      <c r="D1715" s="371"/>
      <c r="F1715" s="294"/>
      <c r="G1715" s="354"/>
      <c r="H1715" s="317"/>
      <c r="I1715" s="461"/>
      <c r="J1715" s="317"/>
      <c r="K1715" s="317"/>
      <c r="L1715" s="461"/>
      <c r="M1715" s="461"/>
      <c r="N1715" s="354"/>
      <c r="O1715" s="291"/>
      <c r="P1715" s="291"/>
      <c r="S1715" s="364"/>
      <c r="Z1715" s="609" t="s">
        <v>670</v>
      </c>
      <c r="AA1715" s="609" t="s">
        <v>5656</v>
      </c>
    </row>
    <row r="1716" spans="1:27" ht="18">
      <c r="A1716" s="2714" t="s">
        <v>699</v>
      </c>
      <c r="B1716" s="371">
        <v>7</v>
      </c>
      <c r="C1716" s="371"/>
      <c r="D1716" s="2716" t="str">
        <f>VLOOKUP($A1716,Sheet_NoteList,2,0)</f>
        <v>周转房</v>
      </c>
      <c r="E1716" s="2716" t="s">
        <v>6533</v>
      </c>
      <c r="F1716" s="294"/>
      <c r="G1716" s="307" t="str">
        <f>"("&amp;B1716&amp;")"&amp;D1716</f>
        <v>(7)周转房</v>
      </c>
      <c r="H1716" s="1517" t="str">
        <f>$A1716</f>
        <v>1400g</v>
      </c>
      <c r="I1716" s="343" t="s">
        <v>5965</v>
      </c>
      <c r="J1716" s="301"/>
      <c r="K1716" s="3083"/>
      <c r="L1716" s="315"/>
      <c r="M1716" s="301"/>
      <c r="N1716" s="3083"/>
      <c r="O1716" s="315"/>
      <c r="P1716" s="301"/>
      <c r="Q1716" s="290" t="str">
        <f>IF($I1716="不适用","",IF(ROUND(SUM($H$1719:$K$1724),2)=0,"请输入",""))</f>
        <v>请输入</v>
      </c>
      <c r="S1716" s="364"/>
      <c r="Z1716" s="609" t="s">
        <v>670</v>
      </c>
      <c r="AA1716" s="609" t="s">
        <v>5656</v>
      </c>
    </row>
    <row r="1717" spans="1:27" ht="0.75" customHeight="1" thickBot="1">
      <c r="A1717" s="2714"/>
      <c r="B1717" s="371"/>
      <c r="C1717" s="371"/>
      <c r="D1717" s="371"/>
      <c r="E1717" s="586"/>
      <c r="F1717" s="586"/>
      <c r="G1717" s="586" t="s">
        <v>3254</v>
      </c>
      <c r="H1717" s="371" t="s">
        <v>2904</v>
      </c>
      <c r="I1717" s="371" t="s">
        <v>3255</v>
      </c>
      <c r="J1717" s="371" t="s">
        <v>3256</v>
      </c>
      <c r="K1717" s="371" t="s">
        <v>3241</v>
      </c>
      <c r="L1717" s="291"/>
      <c r="M1717" s="291"/>
      <c r="N1717" s="291"/>
      <c r="O1717" s="291"/>
      <c r="S1717" s="364"/>
      <c r="Z1717" s="609" t="s">
        <v>670</v>
      </c>
      <c r="AA1717" s="609" t="s">
        <v>5656</v>
      </c>
    </row>
    <row r="1718" spans="1:27" ht="18">
      <c r="A1718" s="2714"/>
      <c r="B1718" s="371"/>
      <c r="C1718" s="371"/>
      <c r="D1718" s="371"/>
      <c r="E1718" s="586" t="s">
        <v>2749</v>
      </c>
      <c r="F1718" s="363"/>
      <c r="G1718" s="2288" t="s">
        <v>1476</v>
      </c>
      <c r="H1718" s="2290" t="s">
        <v>2776</v>
      </c>
      <c r="I1718" s="2290" t="s">
        <v>3027</v>
      </c>
      <c r="J1718" s="2290" t="s">
        <v>3028</v>
      </c>
      <c r="K1718" s="2281" t="s">
        <v>2775</v>
      </c>
      <c r="L1718" s="291"/>
      <c r="M1718" s="291"/>
      <c r="N1718" s="291"/>
      <c r="O1718" s="291"/>
      <c r="S1718" s="364"/>
      <c r="Z1718" s="609" t="s">
        <v>670</v>
      </c>
      <c r="AA1718" s="609" t="s">
        <v>5656</v>
      </c>
    </row>
    <row r="1719" spans="1:27" ht="18">
      <c r="A1719" s="2714"/>
      <c r="B1719" s="371">
        <v>101</v>
      </c>
      <c r="C1719" s="371" t="s">
        <v>2791</v>
      </c>
      <c r="D1719" s="2716">
        <f t="shared" ref="D1719:D1724" si="161">IF(OR(G1719="*",G1719="",G1719=0),0,COUNTIF($G$1719:$G$1724,G1719))</f>
        <v>0</v>
      </c>
      <c r="E1719" s="2721">
        <v>1</v>
      </c>
      <c r="F1719" s="294"/>
      <c r="G1719" s="2284" t="s">
        <v>2792</v>
      </c>
      <c r="H1719" s="2275"/>
      <c r="I1719" s="2275"/>
      <c r="J1719" s="2275"/>
      <c r="K1719" s="1477">
        <f>H1719+I1719-J1719</f>
        <v>0</v>
      </c>
      <c r="L1719" s="291"/>
      <c r="M1719" s="291"/>
      <c r="N1719" s="291"/>
      <c r="O1719" s="291"/>
      <c r="S1719" s="364"/>
      <c r="Z1719" s="609" t="s">
        <v>670</v>
      </c>
      <c r="AA1719" s="609" t="s">
        <v>5656</v>
      </c>
    </row>
    <row r="1720" spans="1:27" ht="18">
      <c r="A1720" s="2714"/>
      <c r="B1720" s="371">
        <v>102</v>
      </c>
      <c r="C1720" s="371" t="s">
        <v>2791</v>
      </c>
      <c r="D1720" s="2716">
        <f t="shared" si="161"/>
        <v>0</v>
      </c>
      <c r="E1720" s="2721">
        <v>1</v>
      </c>
      <c r="F1720" s="294"/>
      <c r="G1720" s="2284" t="s">
        <v>2792</v>
      </c>
      <c r="H1720" s="2275"/>
      <c r="I1720" s="2275"/>
      <c r="J1720" s="2275"/>
      <c r="K1720" s="1477">
        <f>H1720+I1720-J1720</f>
        <v>0</v>
      </c>
      <c r="L1720" s="291"/>
      <c r="M1720" s="291"/>
      <c r="N1720" s="291"/>
      <c r="O1720" s="291"/>
      <c r="S1720" s="364"/>
      <c r="Z1720" s="609" t="s">
        <v>670</v>
      </c>
      <c r="AA1720" s="609" t="s">
        <v>5656</v>
      </c>
    </row>
    <row r="1721" spans="1:27" ht="18">
      <c r="A1721" s="2714"/>
      <c r="B1721" s="371">
        <v>103</v>
      </c>
      <c r="C1721" s="371" t="s">
        <v>2791</v>
      </c>
      <c r="D1721" s="2716">
        <f t="shared" si="161"/>
        <v>0</v>
      </c>
      <c r="E1721" s="2721">
        <v>1</v>
      </c>
      <c r="F1721" s="294"/>
      <c r="G1721" s="2284" t="s">
        <v>2792</v>
      </c>
      <c r="H1721" s="2275"/>
      <c r="I1721" s="2275"/>
      <c r="J1721" s="2275"/>
      <c r="K1721" s="1477">
        <f>H1721+I1721-J1721</f>
        <v>0</v>
      </c>
      <c r="L1721" s="291"/>
      <c r="M1721" s="291"/>
      <c r="N1721" s="291"/>
      <c r="O1721" s="291"/>
      <c r="S1721" s="364"/>
      <c r="Z1721" s="609" t="s">
        <v>670</v>
      </c>
      <c r="AA1721" s="609" t="s">
        <v>5656</v>
      </c>
    </row>
    <row r="1722" spans="1:27" ht="18">
      <c r="A1722" s="2714"/>
      <c r="B1722" s="371">
        <v>104</v>
      </c>
      <c r="C1722" s="371" t="s">
        <v>2791</v>
      </c>
      <c r="D1722" s="2716">
        <f t="shared" si="161"/>
        <v>0</v>
      </c>
      <c r="E1722" s="2721">
        <v>1</v>
      </c>
      <c r="F1722" s="294"/>
      <c r="G1722" s="2284" t="s">
        <v>2792</v>
      </c>
      <c r="H1722" s="2275"/>
      <c r="I1722" s="2275"/>
      <c r="J1722" s="2275"/>
      <c r="K1722" s="1477">
        <f>H1722+I1722-J1722</f>
        <v>0</v>
      </c>
      <c r="L1722" s="291"/>
      <c r="M1722" s="291"/>
      <c r="N1722" s="291"/>
      <c r="O1722" s="291"/>
      <c r="S1722" s="364"/>
      <c r="Z1722" s="609" t="s">
        <v>670</v>
      </c>
      <c r="AA1722" s="609" t="s">
        <v>5656</v>
      </c>
    </row>
    <row r="1723" spans="1:27" ht="18">
      <c r="A1723" s="2714"/>
      <c r="B1723" s="371">
        <v>105</v>
      </c>
      <c r="C1723" s="371" t="s">
        <v>2791</v>
      </c>
      <c r="D1723" s="2716">
        <f t="shared" si="161"/>
        <v>0</v>
      </c>
      <c r="E1723" s="2721">
        <v>1</v>
      </c>
      <c r="F1723" s="294"/>
      <c r="G1723" s="2284" t="s">
        <v>2792</v>
      </c>
      <c r="H1723" s="2275"/>
      <c r="I1723" s="2275"/>
      <c r="J1723" s="2275"/>
      <c r="K1723" s="1477">
        <f>H1723+I1723-J1723</f>
        <v>0</v>
      </c>
      <c r="L1723" s="291"/>
      <c r="M1723" s="291"/>
      <c r="N1723" s="291"/>
      <c r="O1723" s="291"/>
      <c r="S1723" s="364"/>
      <c r="Z1723" s="609" t="s">
        <v>670</v>
      </c>
      <c r="AA1723" s="609" t="s">
        <v>5656</v>
      </c>
    </row>
    <row r="1724" spans="1:27" ht="18.75" thickBot="1">
      <c r="A1724" s="2714"/>
      <c r="B1724" s="371"/>
      <c r="C1724" s="371"/>
      <c r="D1724" s="2716">
        <f t="shared" si="161"/>
        <v>1</v>
      </c>
      <c r="E1724" s="2721" t="s">
        <v>3032</v>
      </c>
      <c r="F1724" s="294"/>
      <c r="G1724" s="1529" t="s">
        <v>2752</v>
      </c>
      <c r="H1724" s="1527">
        <f>SUMPRODUCT($E1718:$E1723,H1718:H1723)</f>
        <v>0</v>
      </c>
      <c r="I1724" s="1527">
        <f>SUMPRODUCT($E1718:$E1723,I1718:I1723)</f>
        <v>0</v>
      </c>
      <c r="J1724" s="1527">
        <f>SUMPRODUCT($E1718:$E1723,J1718:J1723)</f>
        <v>0</v>
      </c>
      <c r="K1724" s="1528">
        <f>SUMPRODUCT($E1718:$E1723,K1718:K1723)</f>
        <v>0</v>
      </c>
      <c r="L1724" s="291"/>
      <c r="M1724" s="291"/>
      <c r="N1724" s="291"/>
      <c r="O1724" s="291"/>
      <c r="S1724" s="364"/>
      <c r="Z1724" s="609" t="s">
        <v>670</v>
      </c>
      <c r="AA1724" s="609" t="s">
        <v>5656</v>
      </c>
    </row>
    <row r="1725" spans="1:27" ht="18">
      <c r="A1725" s="2714"/>
      <c r="B1725" s="371"/>
      <c r="C1725" s="371" t="s">
        <v>2755</v>
      </c>
      <c r="D1725" s="371"/>
      <c r="F1725" s="294"/>
      <c r="G1725" s="301"/>
      <c r="H1725" s="315" t="s">
        <v>3002</v>
      </c>
      <c r="I1725" s="315"/>
      <c r="J1725" s="315"/>
      <c r="K1725" s="315" t="s">
        <v>3002</v>
      </c>
      <c r="L1725" s="291"/>
      <c r="M1725" s="291"/>
      <c r="N1725" s="291"/>
      <c r="O1725" s="291"/>
      <c r="S1725" s="364"/>
      <c r="Z1725" s="609" t="s">
        <v>670</v>
      </c>
      <c r="AA1725" s="609" t="s">
        <v>5656</v>
      </c>
    </row>
    <row r="1726" spans="1:27" ht="18">
      <c r="A1726" s="2714" t="s">
        <v>703</v>
      </c>
      <c r="B1726" s="371">
        <v>8</v>
      </c>
      <c r="C1726" s="371"/>
      <c r="D1726" s="2716" t="str">
        <f>VLOOKUP($A1726,Sheet_NoteList,2,0)</f>
        <v>期末用于债务担保的存货</v>
      </c>
      <c r="E1726" s="2716" t="s">
        <v>6531</v>
      </c>
      <c r="F1726" s="294"/>
      <c r="G1726" s="307" t="str">
        <f>"("&amp;B1726&amp;")"&amp;D1726</f>
        <v>(8)期末用于债务担保的存货</v>
      </c>
      <c r="H1726" s="1517" t="str">
        <f>$A1726</f>
        <v>1400s</v>
      </c>
      <c r="I1726" s="343" t="s">
        <v>5966</v>
      </c>
      <c r="J1726" s="301"/>
      <c r="K1726" s="3083"/>
      <c r="L1726" s="315"/>
      <c r="M1726" s="301"/>
      <c r="N1726" s="3083"/>
      <c r="O1726" s="315"/>
      <c r="P1726" s="301"/>
      <c r="S1726" s="364"/>
      <c r="Z1726" s="609" t="s">
        <v>670</v>
      </c>
      <c r="AA1726" s="609" t="s">
        <v>5656</v>
      </c>
    </row>
    <row r="1727" spans="1:27" ht="0.75" customHeight="1" thickBot="1">
      <c r="A1727" s="2714"/>
      <c r="B1727" s="371"/>
      <c r="C1727" s="371"/>
      <c r="D1727" s="371"/>
      <c r="E1727" s="586"/>
      <c r="F1727" s="518"/>
      <c r="G1727" s="518" t="s">
        <v>3263</v>
      </c>
      <c r="H1727" s="304" t="s">
        <v>2747</v>
      </c>
      <c r="I1727" s="304" t="s">
        <v>2850</v>
      </c>
      <c r="J1727" s="304" t="s">
        <v>3264</v>
      </c>
      <c r="K1727" s="291"/>
      <c r="L1727" s="291"/>
      <c r="M1727" s="291"/>
      <c r="N1727" s="291"/>
      <c r="O1727" s="291"/>
      <c r="S1727" s="364"/>
      <c r="Z1727" s="609" t="s">
        <v>670</v>
      </c>
      <c r="AA1727" s="609" t="s">
        <v>5656</v>
      </c>
    </row>
    <row r="1728" spans="1:27" ht="18">
      <c r="A1728" s="2714"/>
      <c r="B1728" s="371"/>
      <c r="C1728" s="371"/>
      <c r="D1728" s="371"/>
      <c r="E1728" s="586" t="s">
        <v>2749</v>
      </c>
      <c r="F1728" s="363"/>
      <c r="G1728" s="2288" t="s">
        <v>1476</v>
      </c>
      <c r="H1728" s="2290" t="s">
        <v>2861</v>
      </c>
      <c r="I1728" s="2290" t="s">
        <v>3217</v>
      </c>
      <c r="J1728" s="2281" t="s">
        <v>3265</v>
      </c>
      <c r="K1728" s="343"/>
      <c r="L1728" s="291"/>
      <c r="M1728" s="291"/>
      <c r="N1728" s="291"/>
      <c r="O1728" s="291"/>
      <c r="S1728" s="364"/>
      <c r="Z1728" s="609" t="s">
        <v>670</v>
      </c>
      <c r="AA1728" s="609" t="s">
        <v>5656</v>
      </c>
    </row>
    <row r="1729" spans="1:27" ht="18">
      <c r="A1729" s="2714"/>
      <c r="B1729" s="371">
        <v>101</v>
      </c>
      <c r="C1729" s="371" t="s">
        <v>2791</v>
      </c>
      <c r="D1729" s="2716">
        <f t="shared" ref="D1729:D1734" si="162">IF(OR(G1729="*",G1729="",G1729=0),0,COUNTIF($G$1729:$G$1734,G1729))</f>
        <v>0</v>
      </c>
      <c r="E1729" s="2721">
        <v>1</v>
      </c>
      <c r="F1729" s="294"/>
      <c r="G1729" s="2284" t="s">
        <v>2792</v>
      </c>
      <c r="H1729" s="2275"/>
      <c r="I1729" s="2275"/>
      <c r="J1729" s="2276"/>
      <c r="K1729" s="355"/>
      <c r="L1729" s="291"/>
      <c r="M1729" s="291"/>
      <c r="N1729" s="291"/>
      <c r="O1729" s="291"/>
      <c r="S1729" s="364"/>
      <c r="Z1729" s="609" t="s">
        <v>670</v>
      </c>
      <c r="AA1729" s="609" t="s">
        <v>5656</v>
      </c>
    </row>
    <row r="1730" spans="1:27" ht="18">
      <c r="A1730" s="2714"/>
      <c r="B1730" s="371">
        <v>102</v>
      </c>
      <c r="C1730" s="371" t="s">
        <v>2791</v>
      </c>
      <c r="D1730" s="2716">
        <f t="shared" si="162"/>
        <v>0</v>
      </c>
      <c r="E1730" s="2721">
        <v>1</v>
      </c>
      <c r="F1730" s="294"/>
      <c r="G1730" s="2284" t="s">
        <v>2792</v>
      </c>
      <c r="H1730" s="2275"/>
      <c r="I1730" s="2275"/>
      <c r="J1730" s="2276"/>
      <c r="K1730" s="291"/>
      <c r="L1730" s="291"/>
      <c r="M1730" s="291"/>
      <c r="N1730" s="291"/>
      <c r="O1730" s="291"/>
      <c r="S1730" s="364"/>
      <c r="Z1730" s="609" t="s">
        <v>670</v>
      </c>
      <c r="AA1730" s="609" t="s">
        <v>5656</v>
      </c>
    </row>
    <row r="1731" spans="1:27" ht="18">
      <c r="A1731" s="2714"/>
      <c r="B1731" s="371">
        <v>103</v>
      </c>
      <c r="C1731" s="371" t="s">
        <v>2791</v>
      </c>
      <c r="D1731" s="2716">
        <f t="shared" si="162"/>
        <v>0</v>
      </c>
      <c r="E1731" s="2721">
        <v>1</v>
      </c>
      <c r="F1731" s="294"/>
      <c r="G1731" s="2284" t="s">
        <v>2792</v>
      </c>
      <c r="H1731" s="2275"/>
      <c r="I1731" s="2275"/>
      <c r="J1731" s="2276"/>
      <c r="K1731" s="291"/>
      <c r="L1731" s="291"/>
      <c r="M1731" s="291"/>
      <c r="N1731" s="291"/>
      <c r="O1731" s="291"/>
      <c r="S1731" s="364"/>
      <c r="Z1731" s="609" t="s">
        <v>670</v>
      </c>
      <c r="AA1731" s="609" t="s">
        <v>5656</v>
      </c>
    </row>
    <row r="1732" spans="1:27" ht="18">
      <c r="A1732" s="2714"/>
      <c r="B1732" s="371">
        <v>104</v>
      </c>
      <c r="C1732" s="371" t="s">
        <v>2791</v>
      </c>
      <c r="D1732" s="2716">
        <f t="shared" si="162"/>
        <v>0</v>
      </c>
      <c r="E1732" s="2721">
        <v>1</v>
      </c>
      <c r="F1732" s="294"/>
      <c r="G1732" s="2284" t="s">
        <v>2792</v>
      </c>
      <c r="H1732" s="2275"/>
      <c r="I1732" s="2275"/>
      <c r="J1732" s="2276"/>
      <c r="K1732" s="291"/>
      <c r="L1732" s="291"/>
      <c r="M1732" s="291"/>
      <c r="N1732" s="291"/>
      <c r="O1732" s="291"/>
      <c r="S1732" s="364"/>
      <c r="Z1732" s="609" t="s">
        <v>670</v>
      </c>
      <c r="AA1732" s="609" t="s">
        <v>5656</v>
      </c>
    </row>
    <row r="1733" spans="1:27" ht="18">
      <c r="A1733" s="2714"/>
      <c r="B1733" s="371">
        <v>105</v>
      </c>
      <c r="C1733" s="371" t="s">
        <v>2791</v>
      </c>
      <c r="D1733" s="2716">
        <f t="shared" si="162"/>
        <v>0</v>
      </c>
      <c r="E1733" s="2721">
        <v>1</v>
      </c>
      <c r="F1733" s="294"/>
      <c r="G1733" s="2284" t="s">
        <v>2792</v>
      </c>
      <c r="H1733" s="2275"/>
      <c r="I1733" s="2275"/>
      <c r="J1733" s="2276"/>
      <c r="K1733" s="291"/>
      <c r="L1733" s="291"/>
      <c r="M1733" s="291"/>
      <c r="N1733" s="291"/>
      <c r="O1733" s="291"/>
      <c r="S1733" s="364"/>
      <c r="Z1733" s="609" t="s">
        <v>670</v>
      </c>
      <c r="AA1733" s="609" t="s">
        <v>5656</v>
      </c>
    </row>
    <row r="1734" spans="1:27" ht="18.75" thickBot="1">
      <c r="A1734" s="2714"/>
      <c r="B1734" s="371"/>
      <c r="C1734" s="371"/>
      <c r="D1734" s="2716">
        <f t="shared" si="162"/>
        <v>1</v>
      </c>
      <c r="E1734" s="2721" t="s">
        <v>3032</v>
      </c>
      <c r="F1734" s="294"/>
      <c r="G1734" s="1529" t="s">
        <v>2752</v>
      </c>
      <c r="H1734" s="1527">
        <f>SUMPRODUCT($E1728:$E1733,H1728:H1733)</f>
        <v>0</v>
      </c>
      <c r="I1734" s="1527">
        <f>SUMPRODUCT($E1728:$E1733,I1728:I1733)</f>
        <v>0</v>
      </c>
      <c r="J1734" s="2266"/>
      <c r="K1734" s="291"/>
      <c r="L1734" s="291"/>
      <c r="M1734" s="291"/>
      <c r="N1734" s="291"/>
      <c r="O1734" s="291"/>
      <c r="S1734" s="364"/>
      <c r="Z1734" s="609" t="s">
        <v>670</v>
      </c>
      <c r="AA1734" s="609" t="s">
        <v>5656</v>
      </c>
    </row>
    <row r="1735" spans="1:27" ht="18">
      <c r="A1735" s="2714"/>
      <c r="B1735" s="371"/>
      <c r="C1735" s="371" t="s">
        <v>2755</v>
      </c>
      <c r="D1735" s="371"/>
      <c r="F1735" s="294"/>
      <c r="G1735" s="301"/>
      <c r="H1735" s="315"/>
      <c r="I1735" s="315"/>
      <c r="J1735" s="393"/>
      <c r="K1735" s="291"/>
      <c r="L1735" s="291"/>
      <c r="M1735" s="291"/>
      <c r="N1735" s="291"/>
      <c r="O1735" s="291"/>
      <c r="S1735" s="364"/>
      <c r="Z1735" s="609" t="s">
        <v>670</v>
      </c>
      <c r="AA1735" s="609" t="s">
        <v>5656</v>
      </c>
    </row>
    <row r="1736" spans="1:27" ht="24">
      <c r="A1736" s="2714" t="s">
        <v>687</v>
      </c>
      <c r="B1736" s="371">
        <v>9</v>
      </c>
      <c r="C1736" s="371"/>
      <c r="D1736" s="2716" t="str">
        <f>VLOOKUP($A1736,Sheet_NoteList,2,0)</f>
        <v>存货跌价准备计提依据与转回情况</v>
      </c>
      <c r="E1736" s="2716" t="s">
        <v>6531</v>
      </c>
      <c r="F1736" s="294"/>
      <c r="G1736" s="372" t="str">
        <f>"("&amp;B1736&amp;")"&amp;D1736</f>
        <v>(9)存货跌价准备计提依据与转回情况</v>
      </c>
      <c r="H1736" s="1517" t="str">
        <f>$A1736</f>
        <v>1400c</v>
      </c>
      <c r="I1736" s="343" t="s">
        <v>5965</v>
      </c>
      <c r="J1736" s="301"/>
      <c r="K1736" s="3083"/>
      <c r="L1736" s="315"/>
      <c r="M1736" s="301"/>
      <c r="N1736" s="3083"/>
      <c r="O1736" s="315"/>
      <c r="P1736" s="301"/>
      <c r="Q1736" s="290" t="str">
        <f>IF($I1736="不适用","",IF(ROUND(SUM($H$1739:$I$1751),2)=0,"请输入",""))</f>
        <v>请输入</v>
      </c>
      <c r="S1736" s="364"/>
      <c r="Z1736" s="609" t="s">
        <v>670</v>
      </c>
      <c r="AA1736" s="609" t="s">
        <v>5656</v>
      </c>
    </row>
    <row r="1737" spans="1:27" ht="0.75" customHeight="1" thickBot="1">
      <c r="A1737" s="2714"/>
      <c r="B1737" s="371"/>
      <c r="C1737" s="371"/>
      <c r="D1737" s="371"/>
      <c r="E1737" s="586"/>
      <c r="F1737" s="586"/>
      <c r="G1737" s="586" t="s">
        <v>3224</v>
      </c>
      <c r="H1737" s="371" t="s">
        <v>3225</v>
      </c>
      <c r="I1737" s="371" t="s">
        <v>3226</v>
      </c>
      <c r="J1737" s="371" t="s">
        <v>3227</v>
      </c>
      <c r="K1737" s="371" t="s">
        <v>3228</v>
      </c>
      <c r="L1737" s="291"/>
      <c r="M1737" s="291"/>
      <c r="N1737" s="291"/>
      <c r="S1737" s="364"/>
      <c r="Z1737" s="609" t="s">
        <v>670</v>
      </c>
      <c r="AA1737" s="609" t="s">
        <v>5656</v>
      </c>
    </row>
    <row r="1738" spans="1:27" ht="36">
      <c r="A1738" s="2714"/>
      <c r="B1738" s="371"/>
      <c r="C1738" s="371"/>
      <c r="D1738" s="371"/>
      <c r="E1738" s="586" t="s">
        <v>2749</v>
      </c>
      <c r="F1738" s="363"/>
      <c r="G1738" s="2288" t="s">
        <v>3216</v>
      </c>
      <c r="H1738" s="2290" t="s">
        <v>3229</v>
      </c>
      <c r="I1738" s="2290" t="s">
        <v>3230</v>
      </c>
      <c r="J1738" s="2290" t="s">
        <v>3231</v>
      </c>
      <c r="K1738" s="2281" t="s">
        <v>3232</v>
      </c>
      <c r="L1738" s="355"/>
      <c r="M1738" s="291"/>
      <c r="N1738" s="291"/>
      <c r="S1738" s="364"/>
      <c r="Z1738" s="609" t="s">
        <v>670</v>
      </c>
      <c r="AA1738" s="609" t="s">
        <v>5656</v>
      </c>
    </row>
    <row r="1739" spans="1:27" ht="18">
      <c r="A1739" s="2714"/>
      <c r="B1739" s="371">
        <v>101</v>
      </c>
      <c r="C1739" s="371"/>
      <c r="D1739" s="2716">
        <f t="shared" ref="D1739:D1751" si="163">IF(OR(G1739="*",G1739="",G1739=0),0,COUNTIF($G$1739:$G$1751,G1739))</f>
        <v>1</v>
      </c>
      <c r="E1739" s="2721">
        <v>1</v>
      </c>
      <c r="F1739" s="294"/>
      <c r="G1739" s="1474" t="s">
        <v>299</v>
      </c>
      <c r="H1739" s="2298"/>
      <c r="I1739" s="2298"/>
      <c r="J1739" s="2275"/>
      <c r="K1739" s="2296"/>
      <c r="L1739" s="291"/>
      <c r="M1739" s="291"/>
      <c r="N1739" s="291"/>
      <c r="S1739" s="364"/>
      <c r="Z1739" s="609" t="s">
        <v>670</v>
      </c>
      <c r="AA1739" s="609" t="s">
        <v>5656</v>
      </c>
    </row>
    <row r="1740" spans="1:27" ht="18">
      <c r="A1740" s="2714"/>
      <c r="B1740" s="371">
        <v>102</v>
      </c>
      <c r="C1740" s="371"/>
      <c r="D1740" s="2716">
        <f t="shared" si="163"/>
        <v>1</v>
      </c>
      <c r="E1740" s="2721">
        <v>1</v>
      </c>
      <c r="F1740" s="294"/>
      <c r="G1740" s="1474" t="s">
        <v>3218</v>
      </c>
      <c r="H1740" s="2298"/>
      <c r="I1740" s="2298"/>
      <c r="J1740" s="2275"/>
      <c r="K1740" s="2296"/>
      <c r="L1740" s="291"/>
      <c r="M1740" s="291"/>
      <c r="N1740" s="291"/>
      <c r="S1740" s="364"/>
      <c r="Z1740" s="609" t="s">
        <v>670</v>
      </c>
      <c r="AA1740" s="609" t="s">
        <v>5656</v>
      </c>
    </row>
    <row r="1741" spans="1:27" ht="18">
      <c r="A1741" s="2714"/>
      <c r="B1741" s="371">
        <v>103</v>
      </c>
      <c r="C1741" s="371"/>
      <c r="D1741" s="2716">
        <f t="shared" si="163"/>
        <v>1</v>
      </c>
      <c r="E1741" s="2721">
        <v>1</v>
      </c>
      <c r="F1741" s="294"/>
      <c r="G1741" s="1474" t="s">
        <v>313</v>
      </c>
      <c r="H1741" s="2298"/>
      <c r="I1741" s="2298"/>
      <c r="J1741" s="2275"/>
      <c r="K1741" s="2296"/>
      <c r="L1741" s="291"/>
      <c r="M1741" s="291"/>
      <c r="N1741" s="291"/>
      <c r="S1741" s="364"/>
      <c r="Z1741" s="609" t="s">
        <v>670</v>
      </c>
      <c r="AA1741" s="609" t="s">
        <v>5656</v>
      </c>
    </row>
    <row r="1742" spans="1:27" ht="18">
      <c r="A1742" s="2714"/>
      <c r="B1742" s="371">
        <v>104</v>
      </c>
      <c r="C1742" s="371"/>
      <c r="D1742" s="2716">
        <f t="shared" si="163"/>
        <v>1</v>
      </c>
      <c r="E1742" s="2721">
        <v>1</v>
      </c>
      <c r="F1742" s="294"/>
      <c r="G1742" s="1474" t="s">
        <v>339</v>
      </c>
      <c r="H1742" s="2298"/>
      <c r="I1742" s="2298"/>
      <c r="J1742" s="2275"/>
      <c r="K1742" s="2296"/>
      <c r="L1742" s="291"/>
      <c r="M1742" s="291"/>
      <c r="N1742" s="291"/>
      <c r="S1742" s="364"/>
      <c r="Z1742" s="609" t="s">
        <v>670</v>
      </c>
      <c r="AA1742" s="609" t="s">
        <v>5656</v>
      </c>
    </row>
    <row r="1743" spans="1:27" ht="24">
      <c r="A1743" s="2714"/>
      <c r="B1743" s="371">
        <v>105</v>
      </c>
      <c r="C1743" s="371"/>
      <c r="D1743" s="2716">
        <f t="shared" si="163"/>
        <v>1</v>
      </c>
      <c r="E1743" s="2721">
        <v>1</v>
      </c>
      <c r="F1743" s="294"/>
      <c r="G1743" s="1474" t="s">
        <v>3219</v>
      </c>
      <c r="H1743" s="2298"/>
      <c r="I1743" s="2298"/>
      <c r="J1743" s="2275"/>
      <c r="K1743" s="2296"/>
      <c r="L1743" s="291"/>
      <c r="M1743" s="291"/>
      <c r="N1743" s="291"/>
      <c r="S1743" s="364"/>
      <c r="Z1743" s="609" t="s">
        <v>670</v>
      </c>
      <c r="AA1743" s="609" t="s">
        <v>5656</v>
      </c>
    </row>
    <row r="1744" spans="1:27" ht="18">
      <c r="A1744" s="2714"/>
      <c r="B1744" s="371">
        <v>106</v>
      </c>
      <c r="C1744" s="371"/>
      <c r="D1744" s="2716">
        <f t="shared" si="163"/>
        <v>1</v>
      </c>
      <c r="E1744" s="2721">
        <v>1</v>
      </c>
      <c r="F1744" s="294"/>
      <c r="G1744" s="1474" t="s">
        <v>346</v>
      </c>
      <c r="H1744" s="2298"/>
      <c r="I1744" s="2298"/>
      <c r="J1744" s="2275"/>
      <c r="K1744" s="2296"/>
      <c r="L1744" s="291"/>
      <c r="M1744" s="291"/>
      <c r="N1744" s="291"/>
      <c r="S1744" s="364"/>
      <c r="Z1744" s="609" t="s">
        <v>670</v>
      </c>
      <c r="AA1744" s="609" t="s">
        <v>5656</v>
      </c>
    </row>
    <row r="1745" spans="1:27" ht="18">
      <c r="A1745" s="2714"/>
      <c r="B1745" s="371">
        <v>107</v>
      </c>
      <c r="C1745" s="371"/>
      <c r="D1745" s="2716">
        <f t="shared" si="163"/>
        <v>1</v>
      </c>
      <c r="E1745" s="2721">
        <v>1</v>
      </c>
      <c r="F1745" s="294"/>
      <c r="G1745" s="1474" t="s">
        <v>692</v>
      </c>
      <c r="H1745" s="2298"/>
      <c r="I1745" s="2298"/>
      <c r="J1745" s="2275"/>
      <c r="K1745" s="2296"/>
      <c r="L1745" s="291"/>
      <c r="M1745" s="291"/>
      <c r="N1745" s="291"/>
      <c r="S1745" s="364"/>
      <c r="Z1745" s="609" t="s">
        <v>670</v>
      </c>
      <c r="AA1745" s="609" t="s">
        <v>5656</v>
      </c>
    </row>
    <row r="1746" spans="1:27" ht="18">
      <c r="A1746" s="2714"/>
      <c r="B1746" s="371">
        <v>108</v>
      </c>
      <c r="C1746" s="371"/>
      <c r="D1746" s="2716">
        <f t="shared" si="163"/>
        <v>1</v>
      </c>
      <c r="E1746" s="2721">
        <v>1</v>
      </c>
      <c r="F1746" s="294"/>
      <c r="G1746" s="1474" t="s">
        <v>696</v>
      </c>
      <c r="H1746" s="2298"/>
      <c r="I1746" s="2298"/>
      <c r="J1746" s="2275"/>
      <c r="K1746" s="2296"/>
      <c r="L1746" s="291"/>
      <c r="M1746" s="291"/>
      <c r="N1746" s="291"/>
      <c r="S1746" s="364"/>
      <c r="Z1746" s="609" t="s">
        <v>670</v>
      </c>
      <c r="AA1746" s="609" t="s">
        <v>5656</v>
      </c>
    </row>
    <row r="1747" spans="1:27" ht="18">
      <c r="A1747" s="2714"/>
      <c r="B1747" s="371">
        <v>109</v>
      </c>
      <c r="C1747" s="371"/>
      <c r="D1747" s="2716">
        <f t="shared" si="163"/>
        <v>1</v>
      </c>
      <c r="E1747" s="2721">
        <v>1</v>
      </c>
      <c r="F1747" s="294"/>
      <c r="G1747" s="1474" t="s">
        <v>700</v>
      </c>
      <c r="H1747" s="2298"/>
      <c r="I1747" s="2298"/>
      <c r="J1747" s="2275"/>
      <c r="K1747" s="2296"/>
      <c r="L1747" s="291"/>
      <c r="M1747" s="291"/>
      <c r="N1747" s="291"/>
      <c r="S1747" s="364"/>
      <c r="Z1747" s="609" t="s">
        <v>670</v>
      </c>
      <c r="AA1747" s="609" t="s">
        <v>5656</v>
      </c>
    </row>
    <row r="1748" spans="1:27" ht="18">
      <c r="A1748" s="2714"/>
      <c r="B1748" s="371">
        <v>110</v>
      </c>
      <c r="C1748" s="371" t="s">
        <v>2791</v>
      </c>
      <c r="D1748" s="2716">
        <f t="shared" si="163"/>
        <v>0</v>
      </c>
      <c r="E1748" s="2721">
        <v>1</v>
      </c>
      <c r="F1748" s="294"/>
      <c r="G1748" s="2284" t="s">
        <v>2792</v>
      </c>
      <c r="H1748" s="2298"/>
      <c r="I1748" s="2298"/>
      <c r="J1748" s="2275"/>
      <c r="K1748" s="2296"/>
      <c r="L1748" s="291"/>
      <c r="M1748" s="291"/>
      <c r="N1748" s="291"/>
      <c r="S1748" s="364"/>
      <c r="Z1748" s="609" t="s">
        <v>670</v>
      </c>
      <c r="AA1748" s="609" t="s">
        <v>5656</v>
      </c>
    </row>
    <row r="1749" spans="1:27" ht="18">
      <c r="A1749" s="2714"/>
      <c r="B1749" s="371">
        <v>111</v>
      </c>
      <c r="C1749" s="371" t="s">
        <v>2791</v>
      </c>
      <c r="D1749" s="2716">
        <f t="shared" si="163"/>
        <v>0</v>
      </c>
      <c r="E1749" s="2721">
        <v>1</v>
      </c>
      <c r="F1749" s="294"/>
      <c r="G1749" s="2284" t="s">
        <v>2792</v>
      </c>
      <c r="H1749" s="2298"/>
      <c r="I1749" s="2298"/>
      <c r="J1749" s="2275"/>
      <c r="K1749" s="2296"/>
      <c r="L1749" s="291"/>
      <c r="M1749" s="291"/>
      <c r="N1749" s="291"/>
      <c r="S1749" s="364"/>
      <c r="Z1749" s="609" t="s">
        <v>670</v>
      </c>
      <c r="AA1749" s="609" t="s">
        <v>5656</v>
      </c>
    </row>
    <row r="1750" spans="1:27" ht="18">
      <c r="A1750" s="2714"/>
      <c r="B1750" s="371">
        <v>112</v>
      </c>
      <c r="C1750" s="371" t="s">
        <v>2791</v>
      </c>
      <c r="D1750" s="2716">
        <f t="shared" si="163"/>
        <v>0</v>
      </c>
      <c r="E1750" s="2721">
        <v>1</v>
      </c>
      <c r="F1750" s="294"/>
      <c r="G1750" s="2284" t="s">
        <v>2792</v>
      </c>
      <c r="H1750" s="2298"/>
      <c r="I1750" s="2298"/>
      <c r="J1750" s="2275"/>
      <c r="K1750" s="2296"/>
      <c r="L1750" s="291"/>
      <c r="M1750" s="291"/>
      <c r="N1750" s="291"/>
      <c r="S1750" s="364"/>
      <c r="Z1750" s="609" t="s">
        <v>670</v>
      </c>
      <c r="AA1750" s="609" t="s">
        <v>5656</v>
      </c>
    </row>
    <row r="1751" spans="1:27" ht="18.75" thickBot="1">
      <c r="A1751" s="2714"/>
      <c r="B1751" s="371"/>
      <c r="C1751" s="371"/>
      <c r="D1751" s="2716">
        <f t="shared" si="163"/>
        <v>1</v>
      </c>
      <c r="E1751" s="2721" t="s">
        <v>3032</v>
      </c>
      <c r="F1751" s="294"/>
      <c r="G1751" s="1529" t="s">
        <v>2752</v>
      </c>
      <c r="H1751" s="2316"/>
      <c r="I1751" s="2316"/>
      <c r="J1751" s="1527">
        <f>SUMPRODUCT($E1738:$E1750,J1738:J1750)</f>
        <v>0</v>
      </c>
      <c r="K1751" s="1528">
        <f>SUMPRODUCT($E1738:$E1750,K1738:K1750)</f>
        <v>0</v>
      </c>
      <c r="L1751" s="291"/>
      <c r="M1751" s="291"/>
      <c r="N1751" s="291"/>
      <c r="S1751" s="364"/>
      <c r="Z1751" s="609" t="s">
        <v>670</v>
      </c>
      <c r="AA1751" s="609" t="s">
        <v>5656</v>
      </c>
    </row>
    <row r="1752" spans="1:27" ht="18">
      <c r="A1752" s="2714"/>
      <c r="B1752" s="371"/>
      <c r="C1752" s="371" t="s">
        <v>2755</v>
      </c>
      <c r="D1752" s="371"/>
      <c r="F1752" s="294"/>
      <c r="G1752" s="301"/>
      <c r="H1752" s="393"/>
      <c r="I1752" s="393"/>
      <c r="J1752" s="315"/>
      <c r="K1752" s="315"/>
      <c r="L1752" s="291"/>
      <c r="M1752" s="291"/>
      <c r="N1752" s="291"/>
      <c r="S1752" s="364"/>
      <c r="Z1752" s="609" t="s">
        <v>670</v>
      </c>
      <c r="AA1752" s="609" t="s">
        <v>5656</v>
      </c>
    </row>
    <row r="1753" spans="1:27" ht="18">
      <c r="A1753" s="2714" t="s">
        <v>709</v>
      </c>
      <c r="B1753" s="371">
        <v>10</v>
      </c>
      <c r="C1753" s="371"/>
      <c r="D1753" s="2716" t="str">
        <f>VLOOKUP($A1753,Sheet_NoteList,2,0)</f>
        <v>存货补充资料</v>
      </c>
      <c r="E1753" s="2716" t="s">
        <v>6531</v>
      </c>
      <c r="F1753" s="294"/>
      <c r="G1753" s="372" t="str">
        <f>"("&amp;B1753&amp;")"&amp;D1753</f>
        <v>(10)存货补充资料</v>
      </c>
      <c r="H1753" s="1517" t="str">
        <f>$A1753</f>
        <v>1400x</v>
      </c>
      <c r="I1753" s="343" t="s">
        <v>5966</v>
      </c>
      <c r="J1753" s="301"/>
      <c r="K1753" s="391"/>
      <c r="L1753" s="315"/>
      <c r="M1753" s="301"/>
      <c r="N1753" s="3083"/>
      <c r="O1753" s="315"/>
      <c r="P1753" s="301"/>
      <c r="Q1753" s="290" t="str">
        <f>IF($I1753="不适用","",IF(ROUND(SUM($H$1756:$Q$1761),2)=0,"请输入",""))</f>
        <v>请输入</v>
      </c>
      <c r="S1753" s="364"/>
      <c r="Z1753" s="609" t="s">
        <v>670</v>
      </c>
      <c r="AA1753" s="609" t="s">
        <v>5656</v>
      </c>
    </row>
    <row r="1754" spans="1:27" ht="0.75" customHeight="1" thickBot="1">
      <c r="A1754" s="2714"/>
      <c r="B1754" s="371"/>
      <c r="C1754" s="371"/>
      <c r="D1754" s="371"/>
      <c r="E1754" s="586"/>
      <c r="F1754" s="586"/>
      <c r="G1754" s="586" t="s">
        <v>3266</v>
      </c>
      <c r="H1754" s="371" t="s">
        <v>2904</v>
      </c>
      <c r="I1754" s="371" t="s">
        <v>3255</v>
      </c>
      <c r="J1754" s="371" t="s">
        <v>3256</v>
      </c>
      <c r="K1754" s="371" t="s">
        <v>3241</v>
      </c>
      <c r="L1754" s="371" t="s">
        <v>3267</v>
      </c>
      <c r="M1754" s="371" t="s">
        <v>3268</v>
      </c>
      <c r="N1754" s="371" t="s">
        <v>3269</v>
      </c>
      <c r="O1754" s="371" t="s">
        <v>3270</v>
      </c>
      <c r="P1754" s="371" t="s">
        <v>3271</v>
      </c>
      <c r="Q1754" s="543" t="s">
        <v>3272</v>
      </c>
      <c r="S1754" s="364"/>
      <c r="Z1754" s="609" t="s">
        <v>670</v>
      </c>
      <c r="AA1754" s="609" t="s">
        <v>5656</v>
      </c>
    </row>
    <row r="1755" spans="1:27" ht="18">
      <c r="A1755" s="2714"/>
      <c r="B1755" s="371"/>
      <c r="C1755" s="371"/>
      <c r="D1755" s="371"/>
      <c r="E1755" s="586" t="s">
        <v>2749</v>
      </c>
      <c r="F1755" s="363"/>
      <c r="G1755" s="2288" t="s">
        <v>47</v>
      </c>
      <c r="H1755" s="2290" t="s">
        <v>3273</v>
      </c>
      <c r="I1755" s="2290" t="s">
        <v>3274</v>
      </c>
      <c r="J1755" s="2290" t="s">
        <v>3275</v>
      </c>
      <c r="K1755" s="2290" t="s">
        <v>3276</v>
      </c>
      <c r="L1755" s="2290" t="s">
        <v>2544</v>
      </c>
      <c r="M1755" s="2290" t="s">
        <v>2549</v>
      </c>
      <c r="N1755" s="2290" t="s">
        <v>3277</v>
      </c>
      <c r="O1755" s="2290" t="s">
        <v>3278</v>
      </c>
      <c r="P1755" s="2290" t="s">
        <v>3279</v>
      </c>
      <c r="Q1755" s="2281" t="s">
        <v>3280</v>
      </c>
      <c r="R1755" s="544" t="s">
        <v>3281</v>
      </c>
      <c r="S1755" s="364"/>
      <c r="Z1755" s="609" t="s">
        <v>670</v>
      </c>
      <c r="AA1755" s="609" t="s">
        <v>5656</v>
      </c>
    </row>
    <row r="1756" spans="1:27" ht="18">
      <c r="A1756" s="2714"/>
      <c r="B1756" s="371">
        <v>101</v>
      </c>
      <c r="C1756" s="371" t="s">
        <v>2791</v>
      </c>
      <c r="D1756" s="2716">
        <f t="shared" ref="D1756:D1761" si="164">IF(OR(G1756="*",G1756="",G1756=0),0,COUNTIF($G$1756:$G$1761,G1756))</f>
        <v>0</v>
      </c>
      <c r="E1756" s="2721">
        <v>1</v>
      </c>
      <c r="F1756" s="294"/>
      <c r="G1756" s="2284" t="s">
        <v>2792</v>
      </c>
      <c r="H1756" s="2275"/>
      <c r="I1756" s="2275"/>
      <c r="J1756" s="2275"/>
      <c r="K1756" s="2275"/>
      <c r="L1756" s="2275"/>
      <c r="M1756" s="2275"/>
      <c r="N1756" s="2275"/>
      <c r="O1756" s="2298"/>
      <c r="P1756" s="2298"/>
      <c r="Q1756" s="2276"/>
      <c r="R1756" s="544" t="s">
        <v>3282</v>
      </c>
      <c r="S1756" s="364"/>
      <c r="Z1756" s="609" t="s">
        <v>670</v>
      </c>
      <c r="AA1756" s="609" t="s">
        <v>5656</v>
      </c>
    </row>
    <row r="1757" spans="1:27" ht="18">
      <c r="A1757" s="2714"/>
      <c r="B1757" s="371">
        <v>102</v>
      </c>
      <c r="C1757" s="371" t="s">
        <v>2791</v>
      </c>
      <c r="D1757" s="2716">
        <f t="shared" si="164"/>
        <v>0</v>
      </c>
      <c r="E1757" s="2721">
        <v>1</v>
      </c>
      <c r="F1757" s="294"/>
      <c r="G1757" s="2284" t="s">
        <v>2792</v>
      </c>
      <c r="H1757" s="2275"/>
      <c r="I1757" s="2275"/>
      <c r="J1757" s="2275"/>
      <c r="K1757" s="2275"/>
      <c r="L1757" s="2275"/>
      <c r="M1757" s="2275"/>
      <c r="N1757" s="2275"/>
      <c r="O1757" s="2298"/>
      <c r="P1757" s="2298"/>
      <c r="Q1757" s="2276"/>
      <c r="S1757" s="364"/>
      <c r="Z1757" s="609" t="s">
        <v>670</v>
      </c>
      <c r="AA1757" s="609" t="s">
        <v>5656</v>
      </c>
    </row>
    <row r="1758" spans="1:27" ht="18">
      <c r="A1758" s="2714"/>
      <c r="B1758" s="371">
        <v>103</v>
      </c>
      <c r="C1758" s="371" t="s">
        <v>2791</v>
      </c>
      <c r="D1758" s="2716">
        <f t="shared" si="164"/>
        <v>0</v>
      </c>
      <c r="E1758" s="2721">
        <v>1</v>
      </c>
      <c r="F1758" s="294"/>
      <c r="G1758" s="2284" t="s">
        <v>2792</v>
      </c>
      <c r="H1758" s="2275"/>
      <c r="I1758" s="2275"/>
      <c r="J1758" s="2275"/>
      <c r="K1758" s="2275"/>
      <c r="L1758" s="2275"/>
      <c r="M1758" s="2275"/>
      <c r="N1758" s="2275"/>
      <c r="O1758" s="2298"/>
      <c r="P1758" s="2298"/>
      <c r="Q1758" s="2276"/>
      <c r="S1758" s="364"/>
      <c r="Z1758" s="609" t="s">
        <v>670</v>
      </c>
      <c r="AA1758" s="609" t="s">
        <v>5656</v>
      </c>
    </row>
    <row r="1759" spans="1:27" ht="18">
      <c r="A1759" s="2714"/>
      <c r="B1759" s="371">
        <v>104</v>
      </c>
      <c r="C1759" s="371" t="s">
        <v>2791</v>
      </c>
      <c r="D1759" s="2716">
        <f t="shared" si="164"/>
        <v>0</v>
      </c>
      <c r="E1759" s="2721">
        <v>1</v>
      </c>
      <c r="F1759" s="294"/>
      <c r="G1759" s="2284" t="s">
        <v>2792</v>
      </c>
      <c r="H1759" s="2275"/>
      <c r="I1759" s="2275"/>
      <c r="J1759" s="2275"/>
      <c r="K1759" s="2275"/>
      <c r="L1759" s="2275"/>
      <c r="M1759" s="2275"/>
      <c r="N1759" s="2275"/>
      <c r="O1759" s="2298"/>
      <c r="P1759" s="2298"/>
      <c r="Q1759" s="2276"/>
      <c r="S1759" s="364"/>
      <c r="Z1759" s="609" t="s">
        <v>670</v>
      </c>
      <c r="AA1759" s="609" t="s">
        <v>5656</v>
      </c>
    </row>
    <row r="1760" spans="1:27" ht="18">
      <c r="A1760" s="2714"/>
      <c r="B1760" s="371">
        <v>105</v>
      </c>
      <c r="C1760" s="371" t="s">
        <v>2791</v>
      </c>
      <c r="D1760" s="2716">
        <f t="shared" si="164"/>
        <v>0</v>
      </c>
      <c r="E1760" s="2721">
        <v>1</v>
      </c>
      <c r="F1760" s="294"/>
      <c r="G1760" s="2284" t="s">
        <v>2792</v>
      </c>
      <c r="H1760" s="2275"/>
      <c r="I1760" s="2275"/>
      <c r="J1760" s="2275"/>
      <c r="K1760" s="2275"/>
      <c r="L1760" s="2275"/>
      <c r="M1760" s="2275"/>
      <c r="N1760" s="2275"/>
      <c r="O1760" s="2298"/>
      <c r="P1760" s="2298"/>
      <c r="Q1760" s="2276"/>
      <c r="S1760" s="364"/>
      <c r="Z1760" s="609" t="s">
        <v>670</v>
      </c>
      <c r="AA1760" s="609" t="s">
        <v>5656</v>
      </c>
    </row>
    <row r="1761" spans="1:27" ht="18.75" thickBot="1">
      <c r="A1761" s="2714"/>
      <c r="B1761" s="371"/>
      <c r="C1761" s="371"/>
      <c r="D1761" s="2716">
        <f t="shared" si="164"/>
        <v>1</v>
      </c>
      <c r="E1761" s="2721" t="s">
        <v>3032</v>
      </c>
      <c r="F1761" s="294"/>
      <c r="G1761" s="1529" t="s">
        <v>2752</v>
      </c>
      <c r="H1761" s="1527">
        <f t="shared" ref="H1761:N1761" si="165">SUMPRODUCT($E1755:$E1760,H1755:H1760)</f>
        <v>0</v>
      </c>
      <c r="I1761" s="1527">
        <f t="shared" si="165"/>
        <v>0</v>
      </c>
      <c r="J1761" s="1527">
        <f t="shared" si="165"/>
        <v>0</v>
      </c>
      <c r="K1761" s="1527">
        <f t="shared" si="165"/>
        <v>0</v>
      </c>
      <c r="L1761" s="1527">
        <f t="shared" si="165"/>
        <v>0</v>
      </c>
      <c r="M1761" s="1527">
        <f t="shared" si="165"/>
        <v>0</v>
      </c>
      <c r="N1761" s="1527">
        <f t="shared" si="165"/>
        <v>0</v>
      </c>
      <c r="O1761" s="2316"/>
      <c r="P1761" s="2316"/>
      <c r="Q1761" s="2266"/>
      <c r="S1761" s="364"/>
      <c r="Z1761" s="609" t="s">
        <v>670</v>
      </c>
      <c r="AA1761" s="609" t="s">
        <v>5656</v>
      </c>
    </row>
    <row r="1762" spans="1:27" ht="18">
      <c r="A1762" s="2714"/>
      <c r="B1762" s="371"/>
      <c r="C1762" s="371" t="s">
        <v>2755</v>
      </c>
      <c r="D1762" s="371"/>
      <c r="F1762" s="294"/>
      <c r="G1762" s="301"/>
      <c r="H1762" s="315"/>
      <c r="I1762" s="315"/>
      <c r="J1762" s="315"/>
      <c r="K1762" s="315"/>
      <c r="L1762" s="315"/>
      <c r="M1762" s="315"/>
      <c r="N1762" s="315"/>
      <c r="O1762" s="315"/>
      <c r="P1762" s="393"/>
      <c r="Q1762" s="545"/>
      <c r="S1762" s="364"/>
      <c r="Z1762" s="609" t="s">
        <v>670</v>
      </c>
      <c r="AA1762" s="609" t="s">
        <v>5656</v>
      </c>
    </row>
    <row r="1763" spans="1:27" ht="18">
      <c r="A1763" s="2714">
        <v>1315</v>
      </c>
      <c r="B1763" s="371">
        <v>11</v>
      </c>
      <c r="C1763" s="2716" t="str">
        <f>VLOOKUP($A1763,Sheet_Items,2,0)</f>
        <v>持有待售资产</v>
      </c>
      <c r="D1763" s="371"/>
      <c r="F1763" s="294"/>
      <c r="G1763" s="1461" t="str">
        <f>B1763&amp;" "&amp;C1763</f>
        <v>11 持有待售资产</v>
      </c>
      <c r="H1763" s="290"/>
      <c r="I1763" s="290"/>
      <c r="J1763" s="540" t="s">
        <v>2740</v>
      </c>
      <c r="K1763" s="341">
        <f>VLOOKUP($A1763,Sheet_Trialbal,6,0)</f>
        <v>0</v>
      </c>
      <c r="L1763" s="541"/>
      <c r="M1763" s="540" t="s">
        <v>2741</v>
      </c>
      <c r="N1763" s="341">
        <f>VLOOKUP($A1763,Sheet_Trialbal,10,0)</f>
        <v>0</v>
      </c>
      <c r="O1763" s="2582"/>
      <c r="S1763" s="364"/>
      <c r="Z1763" s="609" t="s">
        <v>716</v>
      </c>
      <c r="AA1763" s="609" t="s">
        <v>3283</v>
      </c>
    </row>
    <row r="1764" spans="1:27" ht="24">
      <c r="A1764" s="2714" t="s">
        <v>730</v>
      </c>
      <c r="B1764" s="371">
        <v>1</v>
      </c>
      <c r="C1764" s="371"/>
      <c r="D1764" s="2716" t="str">
        <f>VLOOKUP($A1764,Sheet_NoteList,2,0)</f>
        <v>期末持有待售的非流动资产或处置组</v>
      </c>
      <c r="E1764" s="2716" t="s">
        <v>6531</v>
      </c>
      <c r="F1764" s="294"/>
      <c r="G1764" s="372" t="str">
        <f>"("&amp;B1764&amp;")"&amp;D1764</f>
        <v>(1)期末持有待售的非流动资产或处置组</v>
      </c>
      <c r="H1764" s="1517" t="str">
        <f>$A1764</f>
        <v>1315b</v>
      </c>
      <c r="I1764" s="343" t="s">
        <v>5966</v>
      </c>
      <c r="J1764" s="301" t="s">
        <v>5971</v>
      </c>
      <c r="K1764" s="2210">
        <f>H1772</f>
        <v>0</v>
      </c>
      <c r="L1764" s="345"/>
      <c r="M1764" s="301"/>
      <c r="N1764" s="391"/>
      <c r="O1764" s="345"/>
      <c r="P1764" s="301"/>
      <c r="Q1764" s="290" t="str">
        <f>IF($I1764="不适用","",IF(ROUND(SUM($H$1767:$K$1772),2)=0,"请输入",""))</f>
        <v>请输入</v>
      </c>
      <c r="S1764" s="364"/>
      <c r="Z1764" s="609" t="s">
        <v>716</v>
      </c>
      <c r="AA1764" s="609" t="s">
        <v>3283</v>
      </c>
    </row>
    <row r="1765" spans="1:27" ht="0.75" customHeight="1" thickBot="1">
      <c r="A1765" s="2714"/>
      <c r="B1765" s="371">
        <v>1.0999999999999999E-2</v>
      </c>
      <c r="C1765" s="371"/>
      <c r="D1765" s="371"/>
      <c r="F1765" s="293"/>
      <c r="G1765" s="293" t="s">
        <v>3286</v>
      </c>
      <c r="H1765" s="293" t="s">
        <v>3287</v>
      </c>
      <c r="I1765" s="293" t="s">
        <v>2845</v>
      </c>
      <c r="J1765" s="414" t="s">
        <v>3288</v>
      </c>
      <c r="K1765" s="414" t="s">
        <v>3289</v>
      </c>
      <c r="L1765" s="291"/>
      <c r="M1765" s="291"/>
      <c r="S1765" s="364"/>
      <c r="Z1765" s="609" t="s">
        <v>716</v>
      </c>
      <c r="AA1765" s="609" t="s">
        <v>3283</v>
      </c>
    </row>
    <row r="1766" spans="1:27" ht="24">
      <c r="A1766" s="2714"/>
      <c r="B1766" s="371"/>
      <c r="C1766" s="371"/>
      <c r="D1766" s="371"/>
      <c r="E1766" s="2716" t="s">
        <v>2749</v>
      </c>
      <c r="F1766" s="294"/>
      <c r="G1766" s="378" t="s">
        <v>47</v>
      </c>
      <c r="H1766" s="379" t="str">
        <f>$W$2&amp;"账面价值"</f>
        <v>2019年12月31日账面价值</v>
      </c>
      <c r="I1766" s="379" t="str">
        <f>$W$2&amp;"公允价值"</f>
        <v>2019年12月31日公允价值</v>
      </c>
      <c r="J1766" s="522" t="s">
        <v>3284</v>
      </c>
      <c r="K1766" s="523" t="s">
        <v>3285</v>
      </c>
      <c r="L1766" s="355" t="s">
        <v>5275</v>
      </c>
      <c r="M1766" s="291"/>
      <c r="S1766" s="364"/>
      <c r="Z1766" s="609" t="s">
        <v>716</v>
      </c>
      <c r="AA1766" s="609" t="s">
        <v>3283</v>
      </c>
    </row>
    <row r="1767" spans="1:27" ht="18">
      <c r="A1767" s="2714"/>
      <c r="B1767" s="371">
        <v>101</v>
      </c>
      <c r="C1767" s="371" t="s">
        <v>2791</v>
      </c>
      <c r="D1767" s="2716">
        <f t="shared" ref="D1767:D1772" si="166">IF(OR(G1767="*",G1767="",G1767=0),0,COUNTIF($G$1767:$G$1772,G1767))</f>
        <v>0</v>
      </c>
      <c r="E1767" s="2721">
        <v>1</v>
      </c>
      <c r="F1767" s="294"/>
      <c r="G1767" s="409" t="s">
        <v>2792</v>
      </c>
      <c r="H1767" s="383"/>
      <c r="I1767" s="383"/>
      <c r="J1767" s="383"/>
      <c r="K1767" s="492"/>
      <c r="L1767" s="291"/>
      <c r="M1767" s="291"/>
      <c r="S1767" s="364"/>
      <c r="Z1767" s="609" t="s">
        <v>716</v>
      </c>
      <c r="AA1767" s="609" t="s">
        <v>3283</v>
      </c>
    </row>
    <row r="1768" spans="1:27" ht="18">
      <c r="A1768" s="2714"/>
      <c r="B1768" s="371">
        <v>102</v>
      </c>
      <c r="C1768" s="371" t="s">
        <v>2791</v>
      </c>
      <c r="D1768" s="2716">
        <f t="shared" si="166"/>
        <v>0</v>
      </c>
      <c r="E1768" s="2721">
        <v>1</v>
      </c>
      <c r="F1768" s="294"/>
      <c r="G1768" s="409" t="s">
        <v>2792</v>
      </c>
      <c r="H1768" s="383"/>
      <c r="I1768" s="383"/>
      <c r="J1768" s="383"/>
      <c r="K1768" s="492"/>
      <c r="L1768" s="291"/>
      <c r="M1768" s="291"/>
      <c r="S1768" s="364"/>
      <c r="Z1768" s="609" t="s">
        <v>716</v>
      </c>
      <c r="AA1768" s="609" t="s">
        <v>3283</v>
      </c>
    </row>
    <row r="1769" spans="1:27" ht="18">
      <c r="A1769" s="2714"/>
      <c r="B1769" s="371">
        <v>103</v>
      </c>
      <c r="C1769" s="371" t="s">
        <v>2791</v>
      </c>
      <c r="D1769" s="2716">
        <f t="shared" si="166"/>
        <v>0</v>
      </c>
      <c r="E1769" s="2721">
        <v>1</v>
      </c>
      <c r="F1769" s="294"/>
      <c r="G1769" s="409" t="s">
        <v>2792</v>
      </c>
      <c r="H1769" s="383"/>
      <c r="I1769" s="383"/>
      <c r="J1769" s="383"/>
      <c r="K1769" s="492"/>
      <c r="L1769" s="291"/>
      <c r="M1769" s="291"/>
      <c r="S1769" s="364"/>
      <c r="Z1769" s="609" t="s">
        <v>716</v>
      </c>
      <c r="AA1769" s="609" t="s">
        <v>3283</v>
      </c>
    </row>
    <row r="1770" spans="1:27" ht="18">
      <c r="A1770" s="2714"/>
      <c r="B1770" s="371">
        <v>104</v>
      </c>
      <c r="C1770" s="371" t="s">
        <v>2791</v>
      </c>
      <c r="D1770" s="2716">
        <f t="shared" si="166"/>
        <v>0</v>
      </c>
      <c r="E1770" s="2721">
        <v>1</v>
      </c>
      <c r="F1770" s="294"/>
      <c r="G1770" s="409" t="s">
        <v>2792</v>
      </c>
      <c r="H1770" s="383"/>
      <c r="I1770" s="383"/>
      <c r="J1770" s="383"/>
      <c r="K1770" s="492"/>
      <c r="L1770" s="291"/>
      <c r="M1770" s="291"/>
      <c r="S1770" s="364"/>
      <c r="Z1770" s="609" t="s">
        <v>716</v>
      </c>
      <c r="AA1770" s="609" t="s">
        <v>3283</v>
      </c>
    </row>
    <row r="1771" spans="1:27" ht="18">
      <c r="A1771" s="2714"/>
      <c r="B1771" s="371">
        <v>105</v>
      </c>
      <c r="C1771" s="371" t="s">
        <v>2791</v>
      </c>
      <c r="D1771" s="2716">
        <f t="shared" si="166"/>
        <v>0</v>
      </c>
      <c r="E1771" s="2721">
        <v>1</v>
      </c>
      <c r="F1771" s="294"/>
      <c r="G1771" s="409" t="s">
        <v>2792</v>
      </c>
      <c r="H1771" s="383"/>
      <c r="I1771" s="383"/>
      <c r="J1771" s="383"/>
      <c r="K1771" s="492"/>
      <c r="L1771" s="291"/>
      <c r="M1771" s="291"/>
      <c r="S1771" s="364"/>
      <c r="Z1771" s="609" t="s">
        <v>716</v>
      </c>
      <c r="AA1771" s="609" t="s">
        <v>3283</v>
      </c>
    </row>
    <row r="1772" spans="1:27" ht="18.75" thickBot="1">
      <c r="A1772" s="2714"/>
      <c r="B1772" s="371"/>
      <c r="C1772" s="371"/>
      <c r="D1772" s="2716">
        <f t="shared" si="166"/>
        <v>1</v>
      </c>
      <c r="E1772" s="2721" t="s">
        <v>2751</v>
      </c>
      <c r="F1772" s="294"/>
      <c r="G1772" s="403" t="s">
        <v>2752</v>
      </c>
      <c r="H1772" s="503">
        <f>SUMPRODUCT($E1766:$E1771,H1766:H1771)</f>
        <v>0</v>
      </c>
      <c r="I1772" s="503">
        <f>SUMPRODUCT($E1766:$E1771,I1766:I1771)</f>
        <v>0</v>
      </c>
      <c r="J1772" s="503">
        <f>SUMPRODUCT($E1766:$E1771,J1766:J1771)</f>
        <v>0</v>
      </c>
      <c r="K1772" s="513"/>
      <c r="L1772" s="291"/>
      <c r="M1772" s="291"/>
      <c r="S1772" s="364"/>
      <c r="Z1772" s="609" t="s">
        <v>716</v>
      </c>
      <c r="AA1772" s="609" t="s">
        <v>3283</v>
      </c>
    </row>
    <row r="1773" spans="1:27" ht="18">
      <c r="A1773" s="2714"/>
      <c r="B1773" s="371"/>
      <c r="C1773" s="371" t="s">
        <v>2755</v>
      </c>
      <c r="D1773" s="371"/>
      <c r="F1773" s="294"/>
      <c r="G1773" s="368"/>
      <c r="H1773" s="349"/>
      <c r="I1773" s="349"/>
      <c r="J1773" s="349"/>
      <c r="K1773" s="350"/>
      <c r="L1773" s="291"/>
      <c r="M1773" s="291"/>
      <c r="S1773" s="364"/>
      <c r="Z1773" s="609" t="s">
        <v>716</v>
      </c>
      <c r="AA1773" s="609" t="s">
        <v>3283</v>
      </c>
    </row>
    <row r="1774" spans="1:27" ht="24">
      <c r="A1774" s="2714" t="s">
        <v>721</v>
      </c>
      <c r="B1774" s="371">
        <v>2</v>
      </c>
      <c r="C1774" s="371"/>
      <c r="D1774" s="2716" t="str">
        <f>VLOOKUP($A1774,Sheet_NoteList,2,0)</f>
        <v>期末持有待售资产减值准备</v>
      </c>
      <c r="E1774" s="2716" t="s">
        <v>2742</v>
      </c>
      <c r="F1774" s="371"/>
      <c r="G1774" s="372" t="str">
        <f>"("&amp;B1774&amp;")"&amp;D1774</f>
        <v>(2)期末持有待售资产减值准备</v>
      </c>
      <c r="H1774" s="1517" t="str">
        <f>$A1774</f>
        <v>1315f</v>
      </c>
      <c r="I1774" s="343" t="s">
        <v>2743</v>
      </c>
      <c r="J1774" s="301" t="s">
        <v>2744</v>
      </c>
      <c r="K1774" s="2210">
        <f>L1787</f>
        <v>0</v>
      </c>
      <c r="L1774" s="349"/>
      <c r="M1774" s="301" t="s">
        <v>2745</v>
      </c>
      <c r="N1774" s="2210">
        <f>H1787</f>
        <v>0</v>
      </c>
      <c r="O1774" s="349"/>
      <c r="P1774" s="301"/>
      <c r="S1774" s="364"/>
      <c r="Z1774" s="609" t="s">
        <v>716</v>
      </c>
      <c r="AA1774" s="609" t="s">
        <v>3283</v>
      </c>
    </row>
    <row r="1775" spans="1:27" ht="0.75" customHeight="1">
      <c r="A1775" s="2714"/>
      <c r="B1775" s="371"/>
      <c r="C1775" s="371"/>
      <c r="D1775" s="2716"/>
      <c r="E1775" s="586"/>
      <c r="F1775" s="414"/>
      <c r="G1775" s="2250" t="s">
        <v>3291</v>
      </c>
      <c r="H1775" s="293" t="s">
        <v>2904</v>
      </c>
      <c r="I1775" s="293" t="s">
        <v>3255</v>
      </c>
      <c r="J1775" s="293" t="s">
        <v>3227</v>
      </c>
      <c r="K1775" s="418" t="s">
        <v>3292</v>
      </c>
      <c r="L1775" s="418" t="s">
        <v>3252</v>
      </c>
      <c r="M1775" s="293"/>
      <c r="N1775" s="351"/>
      <c r="O1775" s="349"/>
      <c r="P1775" s="301"/>
      <c r="S1775" s="364"/>
      <c r="Z1775" s="609" t="s">
        <v>716</v>
      </c>
      <c r="AA1775" s="609" t="s">
        <v>3283</v>
      </c>
    </row>
    <row r="1776" spans="1:27" ht="0.75" customHeight="1" thickBot="1">
      <c r="A1776" s="2714"/>
      <c r="B1776" s="371"/>
      <c r="C1776" s="371"/>
      <c r="D1776" s="2716"/>
      <c r="E1776" s="586"/>
      <c r="F1776" s="414"/>
      <c r="G1776" s="2250"/>
      <c r="H1776" s="293" t="s">
        <v>3293</v>
      </c>
      <c r="I1776" s="293" t="s">
        <v>3294</v>
      </c>
      <c r="J1776" s="293" t="s">
        <v>3295</v>
      </c>
      <c r="K1776" s="418" t="s">
        <v>3296</v>
      </c>
      <c r="L1776" s="418" t="s">
        <v>3297</v>
      </c>
      <c r="M1776" s="293" t="s">
        <v>3298</v>
      </c>
      <c r="N1776" s="351" t="s">
        <v>3298</v>
      </c>
      <c r="O1776" s="349"/>
      <c r="P1776" s="301"/>
      <c r="S1776" s="364"/>
      <c r="Z1776" s="609" t="s">
        <v>716</v>
      </c>
      <c r="AA1776" s="609" t="s">
        <v>3283</v>
      </c>
    </row>
    <row r="1777" spans="1:29" ht="18" customHeight="1">
      <c r="A1777" s="2714"/>
      <c r="B1777" s="371"/>
      <c r="C1777" s="371"/>
      <c r="D1777" s="2716"/>
      <c r="E1777" s="586" t="s">
        <v>2749</v>
      </c>
      <c r="F1777" s="414"/>
      <c r="G1777" s="3472" t="s">
        <v>47</v>
      </c>
      <c r="H1777" s="3413" t="str">
        <f>$V$3</f>
        <v>2018年12月31日</v>
      </c>
      <c r="I1777" s="3415" t="s">
        <v>3027</v>
      </c>
      <c r="J1777" s="3415" t="s">
        <v>3028</v>
      </c>
      <c r="K1777" s="3415"/>
      <c r="L1777" s="3396" t="str">
        <f>$V$2</f>
        <v>2019年12月31日</v>
      </c>
      <c r="M1777" s="355" t="s">
        <v>5275</v>
      </c>
      <c r="N1777" s="391"/>
      <c r="O1777" s="349"/>
      <c r="P1777" s="301"/>
      <c r="S1777" s="364"/>
      <c r="Z1777" s="609" t="s">
        <v>716</v>
      </c>
      <c r="AA1777" s="609" t="s">
        <v>3283</v>
      </c>
    </row>
    <row r="1778" spans="1:29" ht="18">
      <c r="A1778" s="2714"/>
      <c r="B1778" s="371"/>
      <c r="C1778" s="371"/>
      <c r="D1778" s="2716"/>
      <c r="E1778" s="586" t="s">
        <v>2749</v>
      </c>
      <c r="F1778" s="586"/>
      <c r="G1778" s="3473"/>
      <c r="H1778" s="3414"/>
      <c r="I1778" s="3416"/>
      <c r="J1778" s="2294" t="s">
        <v>3299</v>
      </c>
      <c r="K1778" s="2239" t="s">
        <v>6132</v>
      </c>
      <c r="L1778" s="3397"/>
      <c r="M1778" s="301"/>
      <c r="N1778" s="391"/>
      <c r="O1778" s="349"/>
      <c r="P1778" s="301"/>
      <c r="S1778" s="364"/>
      <c r="Z1778" s="609" t="s">
        <v>716</v>
      </c>
      <c r="AA1778" s="609" t="s">
        <v>3283</v>
      </c>
    </row>
    <row r="1779" spans="1:29" ht="18">
      <c r="A1779" s="2714"/>
      <c r="B1779" s="371">
        <v>101</v>
      </c>
      <c r="C1779" s="371" t="s">
        <v>2791</v>
      </c>
      <c r="D1779" s="2716">
        <f t="shared" ref="D1779:D1787" si="167">IF(OR(G1779="*",G1779="",G1779=0),0,COUNTIF($G$1779:$G$1787,G1779))</f>
        <v>0</v>
      </c>
      <c r="E1779" s="2721">
        <v>1</v>
      </c>
      <c r="F1779" s="371"/>
      <c r="G1779" s="2284" t="s">
        <v>2792</v>
      </c>
      <c r="H1779" s="2275"/>
      <c r="I1779" s="2275"/>
      <c r="J1779" s="2275"/>
      <c r="K1779" s="2275"/>
      <c r="L1779" s="1477">
        <f>H1779+I1779-J1779-K1779</f>
        <v>0</v>
      </c>
      <c r="M1779" s="301"/>
      <c r="N1779" s="391"/>
      <c r="O1779" s="349"/>
      <c r="P1779" s="301"/>
      <c r="S1779" s="364"/>
      <c r="Z1779" s="609" t="s">
        <v>716</v>
      </c>
      <c r="AA1779" s="609" t="s">
        <v>3283</v>
      </c>
    </row>
    <row r="1780" spans="1:29" ht="18">
      <c r="A1780" s="2714"/>
      <c r="B1780" s="371">
        <v>102</v>
      </c>
      <c r="C1780" s="371" t="s">
        <v>2791</v>
      </c>
      <c r="D1780" s="2716">
        <f t="shared" si="167"/>
        <v>0</v>
      </c>
      <c r="E1780" s="2721">
        <v>1</v>
      </c>
      <c r="F1780" s="371"/>
      <c r="G1780" s="2284" t="s">
        <v>2792</v>
      </c>
      <c r="H1780" s="2275"/>
      <c r="I1780" s="2275"/>
      <c r="J1780" s="2275"/>
      <c r="K1780" s="2275"/>
      <c r="L1780" s="1477">
        <f t="shared" ref="L1780:L1786" si="168">H1780+I1780-J1780-K1780</f>
        <v>0</v>
      </c>
      <c r="M1780" s="301"/>
      <c r="N1780" s="391"/>
      <c r="O1780" s="349"/>
      <c r="P1780" s="301"/>
      <c r="S1780" s="364"/>
      <c r="Z1780" s="609" t="s">
        <v>716</v>
      </c>
      <c r="AA1780" s="609" t="s">
        <v>3283</v>
      </c>
    </row>
    <row r="1781" spans="1:29" ht="18">
      <c r="A1781" s="2714"/>
      <c r="B1781" s="371">
        <v>103</v>
      </c>
      <c r="C1781" s="371" t="s">
        <v>2791</v>
      </c>
      <c r="D1781" s="2716">
        <f t="shared" si="167"/>
        <v>0</v>
      </c>
      <c r="E1781" s="2721">
        <v>1</v>
      </c>
      <c r="F1781" s="371"/>
      <c r="G1781" s="2284" t="s">
        <v>2792</v>
      </c>
      <c r="H1781" s="2275"/>
      <c r="I1781" s="2275"/>
      <c r="J1781" s="2275"/>
      <c r="K1781" s="2275"/>
      <c r="L1781" s="1477">
        <f t="shared" si="168"/>
        <v>0</v>
      </c>
      <c r="M1781" s="301"/>
      <c r="N1781" s="391"/>
      <c r="O1781" s="349"/>
      <c r="P1781" s="301"/>
      <c r="S1781" s="364"/>
      <c r="Z1781" s="609" t="s">
        <v>716</v>
      </c>
      <c r="AA1781" s="609" t="s">
        <v>3283</v>
      </c>
    </row>
    <row r="1782" spans="1:29" ht="18">
      <c r="A1782" s="2714"/>
      <c r="B1782" s="371">
        <v>104</v>
      </c>
      <c r="C1782" s="371" t="s">
        <v>2791</v>
      </c>
      <c r="D1782" s="2716">
        <f t="shared" si="167"/>
        <v>0</v>
      </c>
      <c r="E1782" s="2721">
        <v>1</v>
      </c>
      <c r="F1782" s="371"/>
      <c r="G1782" s="2284" t="s">
        <v>2792</v>
      </c>
      <c r="H1782" s="2275"/>
      <c r="I1782" s="2275"/>
      <c r="J1782" s="2275"/>
      <c r="K1782" s="2275"/>
      <c r="L1782" s="1477">
        <f t="shared" si="168"/>
        <v>0</v>
      </c>
      <c r="M1782" s="301"/>
      <c r="N1782" s="391"/>
      <c r="O1782" s="349"/>
      <c r="P1782" s="301"/>
      <c r="S1782" s="364"/>
      <c r="Z1782" s="609" t="s">
        <v>716</v>
      </c>
      <c r="AA1782" s="609" t="s">
        <v>3283</v>
      </c>
    </row>
    <row r="1783" spans="1:29" ht="18">
      <c r="A1783" s="2714"/>
      <c r="B1783" s="371">
        <v>105</v>
      </c>
      <c r="C1783" s="371" t="s">
        <v>2791</v>
      </c>
      <c r="D1783" s="2716">
        <f t="shared" si="167"/>
        <v>0</v>
      </c>
      <c r="E1783" s="2721">
        <v>1</v>
      </c>
      <c r="F1783" s="371"/>
      <c r="G1783" s="2284" t="s">
        <v>2792</v>
      </c>
      <c r="H1783" s="2275"/>
      <c r="I1783" s="2275"/>
      <c r="J1783" s="2275"/>
      <c r="K1783" s="2275"/>
      <c r="L1783" s="1477">
        <f t="shared" si="168"/>
        <v>0</v>
      </c>
      <c r="M1783" s="301"/>
      <c r="N1783" s="391"/>
      <c r="O1783" s="349"/>
      <c r="P1783" s="301"/>
      <c r="S1783" s="364"/>
      <c r="Z1783" s="609" t="s">
        <v>716</v>
      </c>
      <c r="AA1783" s="609" t="s">
        <v>3283</v>
      </c>
    </row>
    <row r="1784" spans="1:29" ht="18">
      <c r="A1784" s="2714"/>
      <c r="B1784" s="371">
        <v>106</v>
      </c>
      <c r="C1784" s="371" t="s">
        <v>2791</v>
      </c>
      <c r="D1784" s="2716">
        <f t="shared" si="167"/>
        <v>0</v>
      </c>
      <c r="E1784" s="2721">
        <v>1</v>
      </c>
      <c r="F1784" s="371"/>
      <c r="G1784" s="2284" t="s">
        <v>2792</v>
      </c>
      <c r="H1784" s="2275"/>
      <c r="I1784" s="2275"/>
      <c r="J1784" s="2275"/>
      <c r="K1784" s="2275"/>
      <c r="L1784" s="1477">
        <f t="shared" si="168"/>
        <v>0</v>
      </c>
      <c r="M1784" s="301"/>
      <c r="N1784" s="391"/>
      <c r="O1784" s="349"/>
      <c r="P1784" s="301"/>
      <c r="S1784" s="364"/>
      <c r="Z1784" s="609" t="s">
        <v>716</v>
      </c>
      <c r="AA1784" s="609" t="s">
        <v>3283</v>
      </c>
    </row>
    <row r="1785" spans="1:29" ht="18">
      <c r="A1785" s="2714"/>
      <c r="B1785" s="371">
        <v>107</v>
      </c>
      <c r="C1785" s="371" t="s">
        <v>2791</v>
      </c>
      <c r="D1785" s="2716">
        <f t="shared" si="167"/>
        <v>0</v>
      </c>
      <c r="E1785" s="2721">
        <v>1</v>
      </c>
      <c r="F1785" s="371"/>
      <c r="G1785" s="2284" t="s">
        <v>2792</v>
      </c>
      <c r="H1785" s="2275"/>
      <c r="I1785" s="2275"/>
      <c r="J1785" s="2275"/>
      <c r="K1785" s="2275"/>
      <c r="L1785" s="1477">
        <f t="shared" si="168"/>
        <v>0</v>
      </c>
      <c r="M1785" s="301"/>
      <c r="N1785" s="391"/>
      <c r="O1785" s="349"/>
      <c r="P1785" s="301"/>
      <c r="S1785" s="364"/>
      <c r="Z1785" s="609" t="s">
        <v>716</v>
      </c>
      <c r="AA1785" s="609" t="s">
        <v>3283</v>
      </c>
    </row>
    <row r="1786" spans="1:29" ht="18">
      <c r="A1786" s="2714"/>
      <c r="B1786" s="371">
        <v>108</v>
      </c>
      <c r="C1786" s="371" t="s">
        <v>2791</v>
      </c>
      <c r="D1786" s="2716">
        <f t="shared" si="167"/>
        <v>0</v>
      </c>
      <c r="E1786" s="2721">
        <v>1</v>
      </c>
      <c r="F1786" s="371"/>
      <c r="G1786" s="2284" t="s">
        <v>2792</v>
      </c>
      <c r="H1786" s="2275"/>
      <c r="I1786" s="2275"/>
      <c r="J1786" s="2275"/>
      <c r="K1786" s="2275"/>
      <c r="L1786" s="1477">
        <f t="shared" si="168"/>
        <v>0</v>
      </c>
      <c r="M1786" s="301"/>
      <c r="N1786" s="391"/>
      <c r="O1786" s="349"/>
      <c r="P1786" s="301"/>
      <c r="S1786" s="364"/>
      <c r="Z1786" s="609" t="s">
        <v>716</v>
      </c>
      <c r="AA1786" s="609" t="s">
        <v>3283</v>
      </c>
    </row>
    <row r="1787" spans="1:29" ht="18.75" thickBot="1">
      <c r="A1787" s="2714"/>
      <c r="B1787" s="371"/>
      <c r="C1787" s="371"/>
      <c r="D1787" s="2716">
        <f t="shared" si="167"/>
        <v>1</v>
      </c>
      <c r="E1787" s="2721" t="s">
        <v>2751</v>
      </c>
      <c r="F1787" s="371"/>
      <c r="G1787" s="2234" t="s">
        <v>2752</v>
      </c>
      <c r="H1787" s="2235">
        <f>SUMPRODUCT($E1778:$E1786,H1778:H1786)</f>
        <v>0</v>
      </c>
      <c r="I1787" s="2235">
        <f>SUMPRODUCT($E1778:$E1786,I1778:I1786)</f>
        <v>0</v>
      </c>
      <c r="J1787" s="2235">
        <f>SUMPRODUCT($E1778:$E1786,J1778:J1786)</f>
        <v>0</v>
      </c>
      <c r="K1787" s="2235">
        <f>SUMPRODUCT($E1778:$E1786,K1778:K1786)</f>
        <v>0</v>
      </c>
      <c r="L1787" s="2236">
        <f>SUMPRODUCT($E1778:$E1786,L1778:L1786)</f>
        <v>0</v>
      </c>
      <c r="M1787" s="1595" t="str">
        <f ca="1">HYPERLINK("#'"&amp;$G$1&amp;"'!"&amp;ADDRESS(ROW(Notes!L4902),COLUMN(Notes!L4902),4),"* 请勿删除此行！点击往勾稽单元格，F5+Enter返回")</f>
        <v>* 请勿删除此行！点击往勾稽单元格，F5+Enter返回</v>
      </c>
      <c r="N1787" s="391"/>
      <c r="O1787" s="349"/>
      <c r="P1787" s="301"/>
      <c r="S1787" s="364"/>
      <c r="Z1787" s="609" t="s">
        <v>716</v>
      </c>
      <c r="AA1787" s="609" t="s">
        <v>3283</v>
      </c>
      <c r="AC1787" s="369" t="s">
        <v>2794</v>
      </c>
    </row>
    <row r="1788" spans="1:29" ht="18">
      <c r="A1788" s="2714"/>
      <c r="B1788" s="371"/>
      <c r="C1788" s="371" t="s">
        <v>2755</v>
      </c>
      <c r="D1788" s="2716"/>
      <c r="F1788" s="371"/>
      <c r="G1788" s="376"/>
      <c r="H1788" s="315"/>
      <c r="I1788" s="396"/>
      <c r="J1788" s="315"/>
      <c r="K1788" s="423"/>
      <c r="L1788" s="315"/>
      <c r="M1788" s="301"/>
      <c r="N1788" s="391"/>
      <c r="O1788" s="349"/>
      <c r="P1788" s="301"/>
      <c r="S1788" s="364"/>
      <c r="Z1788" s="609" t="s">
        <v>716</v>
      </c>
      <c r="AA1788" s="609" t="s">
        <v>3283</v>
      </c>
    </row>
    <row r="1789" spans="1:29" ht="18">
      <c r="A1789" s="2714">
        <v>1495</v>
      </c>
      <c r="B1789" s="371">
        <v>12</v>
      </c>
      <c r="C1789" s="2716" t="str">
        <f>VLOOKUP($A1789,Sheet_Items,2,0)</f>
        <v>一年内到期的非流动资产</v>
      </c>
      <c r="D1789" s="371"/>
      <c r="E1789" s="2716" t="s">
        <v>2739</v>
      </c>
      <c r="F1789" s="294"/>
      <c r="G1789" s="535" t="str">
        <f>B1789&amp;" "&amp;C1789</f>
        <v>12 一年内到期的非流动资产</v>
      </c>
      <c r="H1789" s="306"/>
      <c r="I1789" s="306"/>
      <c r="J1789" s="306" t="s">
        <v>2740</v>
      </c>
      <c r="K1789" s="341">
        <f>VLOOKUP($A1789,Sheet_Trialbal,6,0)</f>
        <v>0</v>
      </c>
      <c r="L1789" s="342"/>
      <c r="M1789" s="306" t="s">
        <v>2741</v>
      </c>
      <c r="N1789" s="341">
        <f>VLOOKUP($A1789,Sheet_Trialbal,10,0)</f>
        <v>0</v>
      </c>
      <c r="O1789" s="306"/>
      <c r="P1789" s="301"/>
      <c r="S1789" s="364"/>
      <c r="Z1789" s="609" t="s">
        <v>749</v>
      </c>
      <c r="AA1789" s="609" t="s">
        <v>3305</v>
      </c>
    </row>
    <row r="1790" spans="1:29" ht="24">
      <c r="A1790" s="2714" t="s">
        <v>747</v>
      </c>
      <c r="B1790" s="371">
        <v>1</v>
      </c>
      <c r="C1790" s="371"/>
      <c r="D1790" s="2716" t="str">
        <f>VLOOKUP($A1790,Sheet_NoteList,2,0)</f>
        <v>一年内到期的非流动资产明细项目</v>
      </c>
      <c r="E1790" s="2716" t="s">
        <v>2742</v>
      </c>
      <c r="F1790" s="294"/>
      <c r="G1790" s="372" t="str">
        <f>"("&amp;B1790&amp;")"&amp;D1790</f>
        <v>(1)一年内到期的非流动资产明细项目</v>
      </c>
      <c r="H1790" s="1517" t="str">
        <f>$A1790</f>
        <v>1495a</v>
      </c>
      <c r="I1790" s="343" t="s">
        <v>2743</v>
      </c>
      <c r="J1790" s="301" t="s">
        <v>2744</v>
      </c>
      <c r="K1790" s="2210">
        <f>H1797</f>
        <v>0</v>
      </c>
      <c r="L1790" s="345" t="str">
        <f>IF($I1790="适用",IF(ROUND(K1789-K1790,2)=0,"F/S",ROUND(K1789-K1790,2)),"#N/A")</f>
        <v>F/S</v>
      </c>
      <c r="M1790" s="301" t="s">
        <v>2745</v>
      </c>
      <c r="N1790" s="2210">
        <f>I1797</f>
        <v>0</v>
      </c>
      <c r="O1790" s="345" t="str">
        <f>IF($I1790="适用",IF(ROUND(N1789-N1790,2)=0,"F/S",ROUND(N1789-N1790,2)),"#N/A")</f>
        <v>F/S</v>
      </c>
      <c r="P1790" s="301"/>
      <c r="Q1790" s="290" t="str">
        <f>IF($I1790="不适用","",IF(ROUND(SUM($H$1793:$I$1797),2)=0,"请输入",""))</f>
        <v>请输入</v>
      </c>
      <c r="S1790" s="364"/>
      <c r="Z1790" s="609" t="s">
        <v>749</v>
      </c>
      <c r="AA1790" s="609" t="s">
        <v>3305</v>
      </c>
    </row>
    <row r="1791" spans="1:29" ht="0.75" customHeight="1" thickBot="1">
      <c r="A1791" s="2714"/>
      <c r="B1791" s="371">
        <v>1.0999999999999999E-2</v>
      </c>
      <c r="C1791" s="371"/>
      <c r="D1791" s="371"/>
      <c r="E1791" s="586"/>
      <c r="F1791" s="518"/>
      <c r="G1791" s="518" t="s">
        <v>3301</v>
      </c>
      <c r="H1791" s="304" t="s">
        <v>2747</v>
      </c>
      <c r="I1791" s="304" t="s">
        <v>2748</v>
      </c>
      <c r="J1791" s="291"/>
      <c r="K1791" s="291"/>
      <c r="L1791" s="291"/>
      <c r="M1791" s="291"/>
      <c r="S1791" s="364"/>
      <c r="Z1791" s="609" t="s">
        <v>749</v>
      </c>
      <c r="AA1791" s="609" t="s">
        <v>3305</v>
      </c>
    </row>
    <row r="1792" spans="1:29" ht="18.75" thickTop="1">
      <c r="A1792" s="2714"/>
      <c r="B1792" s="371"/>
      <c r="C1792" s="371"/>
      <c r="D1792" s="371"/>
      <c r="E1792" s="586" t="s">
        <v>2749</v>
      </c>
      <c r="F1792" s="363"/>
      <c r="G1792" s="2228" t="s">
        <v>47</v>
      </c>
      <c r="H1792" s="2225" t="str">
        <f>$V$2</f>
        <v>2019年12月31日</v>
      </c>
      <c r="I1792" s="2226" t="str">
        <f>$V$3</f>
        <v>2018年12月31日</v>
      </c>
      <c r="J1792" s="355" t="s">
        <v>5276</v>
      </c>
      <c r="K1792" s="1530" t="str">
        <f>""&amp;"&gt;本期:"&amp;""</f>
        <v>&gt;本期:</v>
      </c>
      <c r="L1792" s="1530" t="str">
        <f>""&amp;"&gt;上期:"&amp;""</f>
        <v>&gt;上期:</v>
      </c>
      <c r="M1792" s="2633" t="str">
        <f>""&amp;"NoteID"&amp;""</f>
        <v>NoteID</v>
      </c>
      <c r="S1792" s="364"/>
      <c r="Z1792" s="609" t="s">
        <v>749</v>
      </c>
      <c r="AA1792" s="609" t="s">
        <v>3305</v>
      </c>
    </row>
    <row r="1793" spans="1:27" ht="18">
      <c r="A1793" s="2714"/>
      <c r="B1793" s="371">
        <v>101</v>
      </c>
      <c r="C1793" s="371" t="s">
        <v>2791</v>
      </c>
      <c r="D1793" s="2716">
        <f>IF(OR(G1793="*",G1793="",G1793=0),0,COUNTIF($G$1793:$G$1797,G1793))</f>
        <v>1</v>
      </c>
      <c r="E1793" s="2721">
        <v>1</v>
      </c>
      <c r="F1793" s="294"/>
      <c r="G1793" s="2548" t="s">
        <v>3302</v>
      </c>
      <c r="H1793" s="2275"/>
      <c r="I1793" s="2297">
        <v>0</v>
      </c>
      <c r="J1793" s="424"/>
      <c r="K1793" s="2252">
        <f ca="1">HYPERLINK("#'"&amp;$G$1&amp;"'!"&amp;ADDRESS(ROW(Notes!J1835),COLUMN(Notes!J1835),4),J1835-H1793)</f>
        <v>0</v>
      </c>
      <c r="L1793" s="2252">
        <f ca="1">HYPERLINK("#'"&amp;$G$1&amp;"'!"&amp;ADDRESS(ROW(Notes!M1835),COLUMN(Notes!M1835),4),M1835-I1793)</f>
        <v>0</v>
      </c>
      <c r="M1793" s="2632" t="str">
        <f>H1823</f>
        <v>1505a</v>
      </c>
      <c r="S1793" s="364"/>
      <c r="Z1793" s="609" t="s">
        <v>749</v>
      </c>
      <c r="AA1793" s="609" t="s">
        <v>3305</v>
      </c>
    </row>
    <row r="1794" spans="1:27" ht="18">
      <c r="A1794" s="2714"/>
      <c r="B1794" s="371">
        <v>102</v>
      </c>
      <c r="C1794" s="371" t="s">
        <v>2791</v>
      </c>
      <c r="D1794" s="2716">
        <f>IF(OR(G1794="*",G1794="",G1794=0),0,COUNTIF($G$1793:$G$1797,G1794))</f>
        <v>1</v>
      </c>
      <c r="E1794" s="2721">
        <v>1</v>
      </c>
      <c r="F1794" s="294"/>
      <c r="G1794" s="2548" t="s">
        <v>3303</v>
      </c>
      <c r="H1794" s="2275"/>
      <c r="I1794" s="2297">
        <v>0</v>
      </c>
      <c r="J1794" s="291"/>
      <c r="K1794" s="2252">
        <f ca="1">HYPERLINK("#'"&amp;$G$1&amp;"'!"&amp;ADDRESS(ROW(Notes!M2045),COLUMN(Notes!M2045),4),M2045-H1794)</f>
        <v>0</v>
      </c>
      <c r="L1794" s="2252">
        <f ca="1">HYPERLINK("#'"&amp;$G$1&amp;"'!"&amp;ADDRESS(ROW(Notes!H2045),COLUMN(Notes!H2045),4),H2045-I1794)</f>
        <v>0</v>
      </c>
      <c r="M1794" s="2632" t="str">
        <f>H2032</f>
        <v>1508a</v>
      </c>
      <c r="S1794" s="364"/>
      <c r="Z1794" s="609" t="s">
        <v>749</v>
      </c>
      <c r="AA1794" s="609" t="s">
        <v>3305</v>
      </c>
    </row>
    <row r="1795" spans="1:27" ht="18">
      <c r="A1795" s="2714"/>
      <c r="B1795" s="371">
        <v>103</v>
      </c>
      <c r="C1795" s="371" t="s">
        <v>2791</v>
      </c>
      <c r="D1795" s="2716">
        <f>IF(OR(G1795="*",G1795="",G1795=0),0,COUNTIF($G$1793:$G$1797,G1795))</f>
        <v>1</v>
      </c>
      <c r="E1795" s="2721">
        <v>1</v>
      </c>
      <c r="F1795" s="294"/>
      <c r="G1795" s="2548" t="s">
        <v>3304</v>
      </c>
      <c r="H1795" s="2275"/>
      <c r="I1795" s="2296"/>
      <c r="J1795" s="291"/>
      <c r="K1795" s="2252">
        <f ca="1">HYPERLINK("#'"&amp;$G$1&amp;"'!"&amp;ADDRESS(ROW(Notes!J2215),COLUMN(Notes!J2215),4),J2215-H1795)</f>
        <v>0</v>
      </c>
      <c r="L1795" s="2252">
        <f ca="1">HYPERLINK("#'"&amp;$G$1&amp;"'!"&amp;ADDRESS(ROW(Notes!M2215),COLUMN(Notes!M2215),4),M2215-I1795)</f>
        <v>0</v>
      </c>
      <c r="M1795" s="2632" t="str">
        <f>H2202</f>
        <v>1531a</v>
      </c>
      <c r="S1795" s="364"/>
      <c r="Z1795" s="609" t="s">
        <v>749</v>
      </c>
      <c r="AA1795" s="609" t="s">
        <v>3305</v>
      </c>
    </row>
    <row r="1796" spans="1:27" ht="18">
      <c r="A1796" s="2714"/>
      <c r="B1796" s="371">
        <v>104</v>
      </c>
      <c r="C1796" s="371" t="s">
        <v>2791</v>
      </c>
      <c r="D1796" s="2716">
        <f>IF(OR(G1796="*",G1796="",G1796=0),0,COUNTIF($G$1793:$G$1797,G1796))</f>
        <v>0</v>
      </c>
      <c r="E1796" s="2721">
        <v>1</v>
      </c>
      <c r="F1796" s="294"/>
      <c r="G1796" s="2284" t="s">
        <v>2792</v>
      </c>
      <c r="H1796" s="2275"/>
      <c r="I1796" s="2296"/>
      <c r="J1796" s="291"/>
      <c r="K1796" s="456"/>
      <c r="L1796" s="456"/>
      <c r="M1796" s="456"/>
      <c r="S1796" s="364"/>
      <c r="Z1796" s="609" t="s">
        <v>749</v>
      </c>
      <c r="AA1796" s="609" t="s">
        <v>3305</v>
      </c>
    </row>
    <row r="1797" spans="1:27" ht="18.75" thickBot="1">
      <c r="A1797" s="2714"/>
      <c r="B1797" s="371"/>
      <c r="C1797" s="371"/>
      <c r="D1797" s="2716">
        <f>IF(OR(G1797="*",G1797="",G1797=0),0,COUNTIF($G$1793:$G$1797,G1797))</f>
        <v>1</v>
      </c>
      <c r="E1797" s="2721" t="s">
        <v>2751</v>
      </c>
      <c r="F1797" s="294"/>
      <c r="G1797" s="374" t="s">
        <v>2752</v>
      </c>
      <c r="H1797" s="1478">
        <f>SUMPRODUCT($E1792:$E1796,H1792:H1796)</f>
        <v>0</v>
      </c>
      <c r="I1797" s="1479">
        <f>SUMPRODUCT($E1792:$E1796,I1792:I1796)</f>
        <v>0</v>
      </c>
      <c r="J1797" s="291"/>
      <c r="K1797" s="1531">
        <f t="shared" ref="K1797:M1797" ca="1" si="169">SUM(K1793:K1796)</f>
        <v>0</v>
      </c>
      <c r="L1797" s="1531">
        <f t="shared" ca="1" si="169"/>
        <v>0</v>
      </c>
      <c r="M1797" s="1531">
        <f t="shared" si="169"/>
        <v>0</v>
      </c>
      <c r="S1797" s="364"/>
      <c r="Z1797" s="609" t="s">
        <v>749</v>
      </c>
      <c r="AA1797" s="609" t="s">
        <v>3305</v>
      </c>
    </row>
    <row r="1798" spans="1:27" ht="18">
      <c r="A1798" s="2714"/>
      <c r="B1798" s="371"/>
      <c r="C1798" s="371" t="s">
        <v>2755</v>
      </c>
      <c r="D1798" s="2716"/>
      <c r="E1798" s="2721"/>
      <c r="F1798" s="294"/>
      <c r="G1798" s="301"/>
      <c r="H1798" s="315"/>
      <c r="I1798" s="315"/>
      <c r="J1798" s="291"/>
      <c r="K1798" s="1539" t="s">
        <v>5505</v>
      </c>
      <c r="L1798" s="354"/>
      <c r="M1798" s="354"/>
      <c r="S1798" s="364"/>
      <c r="Z1798" s="609" t="s">
        <v>749</v>
      </c>
      <c r="AA1798" s="609" t="s">
        <v>3305</v>
      </c>
    </row>
    <row r="1799" spans="1:27" ht="24">
      <c r="A1799" s="2714" t="s">
        <v>752</v>
      </c>
      <c r="B1799" s="371">
        <v>2</v>
      </c>
      <c r="C1799" s="371"/>
      <c r="D1799" s="2716" t="str">
        <f>VLOOKUP($A1799,Sheet_NoteList,2,0)</f>
        <v>期末重要的一年内到期的债权投资或其他债权投资</v>
      </c>
      <c r="E1799" s="2716" t="s">
        <v>2742</v>
      </c>
      <c r="F1799" s="293"/>
      <c r="G1799" s="372" t="str">
        <f>"("&amp;B1799&amp;")"&amp;D1799</f>
        <v>(2)期末重要的一年内到期的债权投资或其他债权投资</v>
      </c>
      <c r="H1799" s="1517" t="str">
        <f>$A1799</f>
        <v>1495b</v>
      </c>
      <c r="I1799" s="343" t="s">
        <v>2743</v>
      </c>
      <c r="J1799" s="301" t="s">
        <v>2744</v>
      </c>
      <c r="K1799" s="2210">
        <f>H1809</f>
        <v>0</v>
      </c>
      <c r="L1799" s="349"/>
      <c r="M1799" s="301" t="s">
        <v>2745</v>
      </c>
      <c r="N1799" s="2210">
        <f>L1809</f>
        <v>0</v>
      </c>
      <c r="O1799" s="349"/>
      <c r="P1799" s="301"/>
      <c r="S1799" s="364"/>
      <c r="Z1799" s="609" t="s">
        <v>749</v>
      </c>
      <c r="AA1799" s="609" t="s">
        <v>3305</v>
      </c>
    </row>
    <row r="1800" spans="1:27" ht="0.75" customHeight="1">
      <c r="A1800" s="2714"/>
      <c r="B1800" s="371"/>
      <c r="C1800" s="371"/>
      <c r="D1800" s="2716"/>
      <c r="F1800" s="371"/>
      <c r="G1800" s="405" t="s">
        <v>3306</v>
      </c>
      <c r="H1800" s="371" t="s">
        <v>2747</v>
      </c>
      <c r="I1800" s="371" t="s">
        <v>2947</v>
      </c>
      <c r="J1800" s="371" t="s">
        <v>3307</v>
      </c>
      <c r="K1800" s="547" t="s">
        <v>2898</v>
      </c>
      <c r="L1800" s="547" t="s">
        <v>3035</v>
      </c>
      <c r="M1800" s="371" t="s">
        <v>3308</v>
      </c>
      <c r="N1800" s="547" t="s">
        <v>3309</v>
      </c>
      <c r="O1800" s="547" t="s">
        <v>3310</v>
      </c>
      <c r="P1800" s="433"/>
      <c r="Q1800" s="442"/>
      <c r="R1800" s="443"/>
      <c r="S1800" s="364"/>
      <c r="Z1800" s="609" t="s">
        <v>749</v>
      </c>
      <c r="AA1800" s="609" t="s">
        <v>3305</v>
      </c>
    </row>
    <row r="1801" spans="1:27" ht="0.75" customHeight="1" thickBot="1">
      <c r="A1801" s="2714"/>
      <c r="B1801" s="371"/>
      <c r="C1801" s="371"/>
      <c r="D1801" s="2716"/>
      <c r="F1801" s="371"/>
      <c r="G1801" s="405"/>
      <c r="H1801" s="371" t="s">
        <v>3311</v>
      </c>
      <c r="I1801" s="371" t="s">
        <v>3312</v>
      </c>
      <c r="J1801" s="371" t="s">
        <v>3313</v>
      </c>
      <c r="K1801" s="547" t="s">
        <v>3314</v>
      </c>
      <c r="L1801" s="547" t="s">
        <v>3315</v>
      </c>
      <c r="M1801" s="371" t="s">
        <v>3316</v>
      </c>
      <c r="N1801" s="547" t="s">
        <v>3317</v>
      </c>
      <c r="O1801" s="547" t="s">
        <v>3318</v>
      </c>
      <c r="P1801" s="433"/>
      <c r="Q1801" s="442"/>
      <c r="R1801" s="443"/>
      <c r="S1801" s="364"/>
      <c r="Z1801" s="609" t="s">
        <v>749</v>
      </c>
      <c r="AA1801" s="609" t="s">
        <v>3305</v>
      </c>
    </row>
    <row r="1802" spans="1:27" ht="18" customHeight="1">
      <c r="A1802" s="2714"/>
      <c r="B1802" s="371"/>
      <c r="C1802" s="371"/>
      <c r="D1802" s="2716"/>
      <c r="E1802" s="2716" t="s">
        <v>2749</v>
      </c>
      <c r="F1802" s="293"/>
      <c r="G1802" s="3552" t="s">
        <v>5486</v>
      </c>
      <c r="H1802" s="3418" t="str">
        <f>$V$2</f>
        <v>2019年12月31日</v>
      </c>
      <c r="I1802" s="3419"/>
      <c r="J1802" s="3419"/>
      <c r="K1802" s="3420"/>
      <c r="L1802" s="3421" t="str">
        <f>$V$3</f>
        <v>2018年12月31日</v>
      </c>
      <c r="M1802" s="3422"/>
      <c r="N1802" s="3422"/>
      <c r="O1802" s="3422"/>
      <c r="P1802" s="355" t="s">
        <v>5276</v>
      </c>
      <c r="Q1802" s="442"/>
      <c r="R1802" s="443"/>
      <c r="S1802" s="364"/>
      <c r="Z1802" s="609" t="s">
        <v>749</v>
      </c>
      <c r="AA1802" s="609" t="s">
        <v>3305</v>
      </c>
    </row>
    <row r="1803" spans="1:27" ht="18">
      <c r="A1803" s="2714"/>
      <c r="B1803" s="371"/>
      <c r="C1803" s="371"/>
      <c r="D1803" s="2716"/>
      <c r="E1803" s="2716" t="s">
        <v>2749</v>
      </c>
      <c r="F1803" s="293"/>
      <c r="G1803" s="3553"/>
      <c r="H1803" s="2294" t="s">
        <v>3319</v>
      </c>
      <c r="I1803" s="2294" t="s">
        <v>3320</v>
      </c>
      <c r="J1803" s="2294" t="s">
        <v>3321</v>
      </c>
      <c r="K1803" s="2238" t="s">
        <v>3322</v>
      </c>
      <c r="L1803" s="2238" t="s">
        <v>3319</v>
      </c>
      <c r="M1803" s="2294" t="s">
        <v>3320</v>
      </c>
      <c r="N1803" s="2238" t="s">
        <v>3321</v>
      </c>
      <c r="O1803" s="2314" t="s">
        <v>3322</v>
      </c>
      <c r="P1803" s="435"/>
      <c r="Q1803" s="442"/>
      <c r="R1803" s="443"/>
      <c r="S1803" s="364"/>
      <c r="Z1803" s="609" t="s">
        <v>749</v>
      </c>
      <c r="AA1803" s="609" t="s">
        <v>3305</v>
      </c>
    </row>
    <row r="1804" spans="1:27" ht="18">
      <c r="A1804" s="2714"/>
      <c r="B1804" s="371">
        <v>101</v>
      </c>
      <c r="C1804" s="371" t="s">
        <v>2791</v>
      </c>
      <c r="D1804" s="2716">
        <f t="shared" ref="D1804:D1809" si="170">IF(OR(G1804="*",G1804="",G1804=0),0,COUNTIF($G$1804:$G$1809,G1804))</f>
        <v>0</v>
      </c>
      <c r="E1804" s="2721">
        <v>1</v>
      </c>
      <c r="F1804" s="293"/>
      <c r="G1804" s="319" t="s">
        <v>2792</v>
      </c>
      <c r="H1804" s="309"/>
      <c r="I1804" s="422"/>
      <c r="J1804" s="309"/>
      <c r="K1804" s="431"/>
      <c r="L1804" s="1465">
        <v>0</v>
      </c>
      <c r="M1804" s="1465">
        <v>0</v>
      </c>
      <c r="N1804" s="1487">
        <v>0</v>
      </c>
      <c r="O1804" s="1513">
        <v>0</v>
      </c>
      <c r="P1804" s="438"/>
      <c r="Q1804" s="442"/>
      <c r="R1804" s="443"/>
      <c r="S1804" s="364"/>
      <c r="Z1804" s="609" t="s">
        <v>749</v>
      </c>
      <c r="AA1804" s="609" t="s">
        <v>3305</v>
      </c>
    </row>
    <row r="1805" spans="1:27" ht="18">
      <c r="A1805" s="2714"/>
      <c r="B1805" s="371">
        <v>102</v>
      </c>
      <c r="C1805" s="371" t="s">
        <v>2791</v>
      </c>
      <c r="D1805" s="2716">
        <f t="shared" si="170"/>
        <v>0</v>
      </c>
      <c r="E1805" s="2721">
        <v>1</v>
      </c>
      <c r="F1805" s="293"/>
      <c r="G1805" s="319" t="s">
        <v>2792</v>
      </c>
      <c r="H1805" s="309"/>
      <c r="I1805" s="422"/>
      <c r="J1805" s="309"/>
      <c r="K1805" s="431"/>
      <c r="L1805" s="1465">
        <v>0</v>
      </c>
      <c r="M1805" s="1465">
        <v>0</v>
      </c>
      <c r="N1805" s="1487">
        <v>0</v>
      </c>
      <c r="O1805" s="1513">
        <v>0</v>
      </c>
      <c r="P1805" s="438"/>
      <c r="Q1805" s="442"/>
      <c r="R1805" s="443"/>
      <c r="S1805" s="364"/>
      <c r="Z1805" s="609" t="s">
        <v>749</v>
      </c>
      <c r="AA1805" s="609" t="s">
        <v>3305</v>
      </c>
    </row>
    <row r="1806" spans="1:27" ht="18">
      <c r="A1806" s="2714"/>
      <c r="B1806" s="371">
        <v>103</v>
      </c>
      <c r="C1806" s="371" t="s">
        <v>2791</v>
      </c>
      <c r="D1806" s="2716">
        <f t="shared" si="170"/>
        <v>0</v>
      </c>
      <c r="E1806" s="2721">
        <v>1</v>
      </c>
      <c r="F1806" s="293"/>
      <c r="G1806" s="319" t="s">
        <v>2792</v>
      </c>
      <c r="H1806" s="309"/>
      <c r="I1806" s="422"/>
      <c r="J1806" s="309"/>
      <c r="K1806" s="431"/>
      <c r="L1806" s="1465">
        <v>0</v>
      </c>
      <c r="M1806" s="1465">
        <v>0</v>
      </c>
      <c r="N1806" s="1487">
        <v>0</v>
      </c>
      <c r="O1806" s="1513">
        <v>0</v>
      </c>
      <c r="P1806" s="438"/>
      <c r="Q1806" s="442"/>
      <c r="R1806" s="443"/>
      <c r="S1806" s="364"/>
      <c r="Z1806" s="609" t="s">
        <v>749</v>
      </c>
      <c r="AA1806" s="609" t="s">
        <v>3305</v>
      </c>
    </row>
    <row r="1807" spans="1:27" ht="18">
      <c r="A1807" s="2714"/>
      <c r="B1807" s="371">
        <v>104</v>
      </c>
      <c r="C1807" s="371" t="s">
        <v>2791</v>
      </c>
      <c r="D1807" s="2716">
        <f t="shared" si="170"/>
        <v>0</v>
      </c>
      <c r="E1807" s="2721">
        <v>1</v>
      </c>
      <c r="F1807" s="293"/>
      <c r="G1807" s="319" t="s">
        <v>2792</v>
      </c>
      <c r="H1807" s="309"/>
      <c r="I1807" s="422"/>
      <c r="J1807" s="309"/>
      <c r="K1807" s="431"/>
      <c r="L1807" s="1465">
        <v>0</v>
      </c>
      <c r="M1807" s="1465">
        <v>0</v>
      </c>
      <c r="N1807" s="1487">
        <v>0</v>
      </c>
      <c r="O1807" s="1513">
        <v>0</v>
      </c>
      <c r="P1807" s="438"/>
      <c r="Q1807" s="442"/>
      <c r="R1807" s="443"/>
      <c r="S1807" s="364"/>
      <c r="Z1807" s="609" t="s">
        <v>749</v>
      </c>
      <c r="AA1807" s="609" t="s">
        <v>3305</v>
      </c>
    </row>
    <row r="1808" spans="1:27" ht="18">
      <c r="A1808" s="2714"/>
      <c r="B1808" s="371">
        <v>105</v>
      </c>
      <c r="C1808" s="371" t="s">
        <v>2791</v>
      </c>
      <c r="D1808" s="2716">
        <f t="shared" si="170"/>
        <v>0</v>
      </c>
      <c r="E1808" s="2721">
        <v>1</v>
      </c>
      <c r="F1808" s="293"/>
      <c r="G1808" s="319" t="s">
        <v>2792</v>
      </c>
      <c r="H1808" s="309"/>
      <c r="I1808" s="422"/>
      <c r="J1808" s="309"/>
      <c r="K1808" s="431"/>
      <c r="L1808" s="1465">
        <v>0</v>
      </c>
      <c r="M1808" s="1465">
        <v>0</v>
      </c>
      <c r="N1808" s="1487">
        <v>0</v>
      </c>
      <c r="O1808" s="1513">
        <v>0</v>
      </c>
      <c r="P1808" s="438"/>
      <c r="Q1808" s="442"/>
      <c r="R1808" s="443"/>
      <c r="S1808" s="364"/>
      <c r="Z1808" s="609" t="s">
        <v>749</v>
      </c>
      <c r="AA1808" s="609" t="s">
        <v>3305</v>
      </c>
    </row>
    <row r="1809" spans="1:27" ht="18.75" thickBot="1">
      <c r="A1809" s="2714"/>
      <c r="B1809" s="371"/>
      <c r="C1809" s="371"/>
      <c r="D1809" s="2716">
        <f t="shared" si="170"/>
        <v>1</v>
      </c>
      <c r="E1809" s="2721" t="s">
        <v>2751</v>
      </c>
      <c r="F1809" s="293"/>
      <c r="G1809" s="2234" t="s">
        <v>5484</v>
      </c>
      <c r="H1809" s="2235">
        <f>SUMPRODUCT($E1803:$E1808,H1803:H1808)</f>
        <v>0</v>
      </c>
      <c r="I1809" s="2321">
        <v>0</v>
      </c>
      <c r="J1809" s="2321">
        <v>0</v>
      </c>
      <c r="K1809" s="2322">
        <v>0</v>
      </c>
      <c r="L1809" s="2323">
        <v>0</v>
      </c>
      <c r="M1809" s="2321">
        <v>0</v>
      </c>
      <c r="N1809" s="2321">
        <v>0</v>
      </c>
      <c r="O1809" s="2324">
        <v>0</v>
      </c>
      <c r="P1809" s="440"/>
      <c r="Q1809" s="442"/>
      <c r="R1809" s="443"/>
      <c r="S1809" s="364"/>
      <c r="Z1809" s="609" t="s">
        <v>749</v>
      </c>
      <c r="AA1809" s="609" t="s">
        <v>3305</v>
      </c>
    </row>
    <row r="1810" spans="1:27" ht="18">
      <c r="A1810" s="2714"/>
      <c r="B1810" s="371"/>
      <c r="C1810" s="371" t="s">
        <v>2755</v>
      </c>
      <c r="D1810" s="2716"/>
      <c r="F1810" s="293"/>
      <c r="G1810" s="376"/>
      <c r="H1810" s="315"/>
      <c r="I1810" s="396"/>
      <c r="J1810" s="315"/>
      <c r="K1810" s="392"/>
      <c r="L1810" s="315"/>
      <c r="M1810" s="315"/>
      <c r="N1810" s="423"/>
      <c r="O1810" s="393"/>
      <c r="P1810" s="425"/>
      <c r="Q1810" s="442"/>
      <c r="R1810" s="443"/>
      <c r="S1810" s="364"/>
      <c r="Z1810" s="609" t="s">
        <v>749</v>
      </c>
      <c r="AA1810" s="609" t="s">
        <v>3305</v>
      </c>
    </row>
    <row r="1811" spans="1:27" ht="18">
      <c r="A1811" s="2714">
        <v>1496</v>
      </c>
      <c r="B1811" s="371">
        <v>13</v>
      </c>
      <c r="C1811" s="2716" t="str">
        <f>VLOOKUP($A1811,Sheet_Items,2,0)</f>
        <v>其他流动资产</v>
      </c>
      <c r="D1811" s="371"/>
      <c r="E1811" s="2716" t="s">
        <v>2739</v>
      </c>
      <c r="F1811" s="294"/>
      <c r="G1811" s="305" t="str">
        <f>B1811&amp;" "&amp;C1811</f>
        <v>13 其他流动资产</v>
      </c>
      <c r="H1811" s="306"/>
      <c r="I1811" s="306"/>
      <c r="J1811" s="306" t="s">
        <v>2740</v>
      </c>
      <c r="K1811" s="341">
        <f>VLOOKUP($A1811,Sheet_Trialbal,6,0)</f>
        <v>1690423.37</v>
      </c>
      <c r="L1811" s="342"/>
      <c r="M1811" s="306" t="s">
        <v>2741</v>
      </c>
      <c r="N1811" s="341">
        <f>VLOOKUP($A1811,Sheet_Trialbal,10,0)</f>
        <v>2233000.7799999998</v>
      </c>
      <c r="O1811" s="306"/>
      <c r="P1811" s="301"/>
      <c r="S1811" s="364"/>
      <c r="Z1811" s="609" t="s">
        <v>758</v>
      </c>
      <c r="AA1811" s="609" t="s">
        <v>5658</v>
      </c>
    </row>
    <row r="1812" spans="1:27" ht="18">
      <c r="A1812" s="2714" t="s">
        <v>756</v>
      </c>
      <c r="B1812" s="371">
        <v>1</v>
      </c>
      <c r="C1812" s="371"/>
      <c r="D1812" s="2716" t="str">
        <f>VLOOKUP($A1812,Sheet_NoteList,2,0)</f>
        <v>其他流动资产明细列示</v>
      </c>
      <c r="E1812" s="2716" t="s">
        <v>2742</v>
      </c>
      <c r="F1812" s="294"/>
      <c r="G1812" s="307" t="str">
        <f>"("&amp;B1812&amp;")"&amp;D1812</f>
        <v>(1)其他流动资产明细列示</v>
      </c>
      <c r="H1812" s="1517" t="str">
        <f>$A1812</f>
        <v>1496a</v>
      </c>
      <c r="I1812" s="343" t="s">
        <v>2743</v>
      </c>
      <c r="J1812" s="301" t="s">
        <v>2744</v>
      </c>
      <c r="K1812" s="2210">
        <f>H1820</f>
        <v>1690423.37</v>
      </c>
      <c r="L1812" s="345" t="str">
        <f>IF($I1812="适用",IF(ROUND(K1811-K1812,2)=0,"F/S",ROUND(K1811-K1812,2)),"#N/A")</f>
        <v>F/S</v>
      </c>
      <c r="M1812" s="301" t="s">
        <v>2745</v>
      </c>
      <c r="N1812" s="2210">
        <f>I1820</f>
        <v>2233000.7799999998</v>
      </c>
      <c r="O1812" s="345" t="str">
        <f>IF($I1812="适用",IF(ROUND(N1811-N1812,2)=0,"F/S",ROUND(N1811-N1812,2)),"#N/A")</f>
        <v>F/S</v>
      </c>
      <c r="P1812" s="301"/>
      <c r="Q1812" s="290" t="str">
        <f>IF($I1812="不适用","",IF(ROUND(SUM($H$1815:$I$1820),2)=0,"请输入",""))</f>
        <v/>
      </c>
      <c r="S1812" s="364"/>
      <c r="Z1812" s="609" t="s">
        <v>758</v>
      </c>
      <c r="AA1812" s="609" t="s">
        <v>5658</v>
      </c>
    </row>
    <row r="1813" spans="1:27" ht="0.75" customHeight="1" thickBot="1">
      <c r="A1813" s="2714"/>
      <c r="B1813" s="371"/>
      <c r="C1813" s="371"/>
      <c r="D1813" s="371"/>
      <c r="F1813" s="371"/>
      <c r="G1813" s="371" t="s">
        <v>3323</v>
      </c>
      <c r="H1813" s="371" t="s">
        <v>2747</v>
      </c>
      <c r="I1813" s="371" t="s">
        <v>2748</v>
      </c>
      <c r="J1813" s="291"/>
      <c r="K1813" s="291"/>
      <c r="L1813" s="291"/>
      <c r="M1813" s="291"/>
      <c r="S1813" s="364"/>
      <c r="Z1813" s="609" t="s">
        <v>758</v>
      </c>
      <c r="AA1813" s="609" t="s">
        <v>5658</v>
      </c>
    </row>
    <row r="1814" spans="1:27" ht="18">
      <c r="A1814" s="2714"/>
      <c r="B1814" s="371"/>
      <c r="C1814" s="371"/>
      <c r="D1814" s="371"/>
      <c r="E1814" s="2716" t="s">
        <v>2749</v>
      </c>
      <c r="F1814" s="294"/>
      <c r="G1814" s="410" t="s">
        <v>47</v>
      </c>
      <c r="H1814" s="1454" t="str">
        <f>$V$2</f>
        <v>2019年12月31日</v>
      </c>
      <c r="I1814" s="1455" t="str">
        <f>$V$3</f>
        <v>2018年12月31日</v>
      </c>
      <c r="J1814" s="355" t="s">
        <v>5277</v>
      </c>
      <c r="K1814" s="291"/>
      <c r="L1814" s="291"/>
      <c r="M1814" s="291"/>
      <c r="S1814" s="364"/>
      <c r="Z1814" s="609" t="s">
        <v>758</v>
      </c>
      <c r="AA1814" s="609" t="s">
        <v>5658</v>
      </c>
    </row>
    <row r="1815" spans="1:27" ht="18">
      <c r="A1815" s="2714"/>
      <c r="B1815" s="371">
        <v>101</v>
      </c>
      <c r="C1815" s="371"/>
      <c r="D1815" s="2716">
        <f t="shared" ref="D1815:D1820" si="171">IF(OR(G1815="*",G1815="",G1815=0),0,COUNTIF($G$1815:$G$1820,G1815))</f>
        <v>1</v>
      </c>
      <c r="E1815" s="2721">
        <v>1</v>
      </c>
      <c r="F1815" s="294"/>
      <c r="G1815" s="308" t="s">
        <v>3324</v>
      </c>
      <c r="H1815" s="309">
        <v>1200000</v>
      </c>
      <c r="I1815" s="346">
        <v>1850000</v>
      </c>
      <c r="J1815" s="291"/>
      <c r="K1815" s="291"/>
      <c r="L1815" s="291"/>
      <c r="M1815" s="291"/>
      <c r="S1815" s="364"/>
      <c r="Z1815" s="609" t="s">
        <v>758</v>
      </c>
      <c r="AA1815" s="609" t="s">
        <v>5658</v>
      </c>
    </row>
    <row r="1816" spans="1:27" ht="18">
      <c r="A1816" s="2714"/>
      <c r="B1816" s="371">
        <v>102</v>
      </c>
      <c r="C1816" s="371"/>
      <c r="D1816" s="2716">
        <f t="shared" si="171"/>
        <v>1</v>
      </c>
      <c r="E1816" s="2721">
        <v>1</v>
      </c>
      <c r="F1816" s="294"/>
      <c r="G1816" s="308" t="s">
        <v>3325</v>
      </c>
      <c r="H1816" s="309">
        <v>348713.93</v>
      </c>
      <c r="I1816" s="346"/>
      <c r="J1816" s="291"/>
      <c r="K1816" s="291"/>
      <c r="L1816" s="291"/>
      <c r="M1816" s="291"/>
      <c r="S1816" s="364"/>
      <c r="Z1816" s="609" t="s">
        <v>758</v>
      </c>
      <c r="AA1816" s="609" t="s">
        <v>5658</v>
      </c>
    </row>
    <row r="1817" spans="1:27" ht="18">
      <c r="A1817" s="2714"/>
      <c r="B1817" s="371">
        <v>103</v>
      </c>
      <c r="C1817" s="371" t="s">
        <v>2791</v>
      </c>
      <c r="D1817" s="2716">
        <f t="shared" si="171"/>
        <v>1</v>
      </c>
      <c r="E1817" s="2721">
        <v>1</v>
      </c>
      <c r="F1817" s="294"/>
      <c r="G1817" s="319" t="s">
        <v>6901</v>
      </c>
      <c r="H1817" s="309">
        <v>141709.44</v>
      </c>
      <c r="I1817" s="346">
        <v>383000.78</v>
      </c>
      <c r="J1817" s="291"/>
      <c r="K1817" s="291"/>
      <c r="L1817" s="291"/>
      <c r="M1817" s="291"/>
      <c r="S1817" s="364"/>
      <c r="Z1817" s="609" t="s">
        <v>758</v>
      </c>
      <c r="AA1817" s="609" t="s">
        <v>5658</v>
      </c>
    </row>
    <row r="1818" spans="1:27" ht="18">
      <c r="A1818" s="2714"/>
      <c r="B1818" s="371">
        <v>104</v>
      </c>
      <c r="C1818" s="371" t="s">
        <v>2791</v>
      </c>
      <c r="D1818" s="2716">
        <f t="shared" si="171"/>
        <v>0</v>
      </c>
      <c r="E1818" s="2721">
        <v>1</v>
      </c>
      <c r="F1818" s="294"/>
      <c r="G1818" s="319" t="s">
        <v>2792</v>
      </c>
      <c r="H1818" s="309"/>
      <c r="I1818" s="346"/>
      <c r="J1818" s="291"/>
      <c r="K1818" s="291"/>
      <c r="L1818" s="291"/>
      <c r="M1818" s="291"/>
      <c r="S1818" s="364"/>
      <c r="Z1818" s="609" t="s">
        <v>758</v>
      </c>
      <c r="AA1818" s="609" t="s">
        <v>5658</v>
      </c>
    </row>
    <row r="1819" spans="1:27" ht="18">
      <c r="A1819" s="2714"/>
      <c r="B1819" s="371">
        <v>105</v>
      </c>
      <c r="C1819" s="371" t="s">
        <v>2791</v>
      </c>
      <c r="D1819" s="2716">
        <f t="shared" si="171"/>
        <v>0</v>
      </c>
      <c r="E1819" s="2721">
        <v>1</v>
      </c>
      <c r="F1819" s="294"/>
      <c r="G1819" s="319" t="s">
        <v>2792</v>
      </c>
      <c r="H1819" s="309"/>
      <c r="I1819" s="346"/>
      <c r="J1819" s="291"/>
      <c r="K1819" s="291"/>
      <c r="L1819" s="291"/>
      <c r="M1819" s="291"/>
      <c r="S1819" s="364"/>
      <c r="Z1819" s="609" t="s">
        <v>758</v>
      </c>
      <c r="AA1819" s="609" t="s">
        <v>5658</v>
      </c>
    </row>
    <row r="1820" spans="1:27" ht="18.75" thickBot="1">
      <c r="A1820" s="2714"/>
      <c r="B1820" s="371"/>
      <c r="C1820" s="371"/>
      <c r="D1820" s="2716">
        <f t="shared" si="171"/>
        <v>1</v>
      </c>
      <c r="E1820" s="2721" t="s">
        <v>2751</v>
      </c>
      <c r="F1820" s="294"/>
      <c r="G1820" s="374" t="s">
        <v>2752</v>
      </c>
      <c r="H1820" s="375">
        <f>SUMPRODUCT($E1814:$E1819,H1814:H1819)</f>
        <v>1690423.37</v>
      </c>
      <c r="I1820" s="395">
        <f>SUMPRODUCT($E1814:$E1819,I1814:I1819)</f>
        <v>2233000.7799999998</v>
      </c>
      <c r="J1820" s="291"/>
      <c r="K1820" s="291"/>
      <c r="L1820" s="291"/>
      <c r="M1820" s="291"/>
      <c r="S1820" s="364"/>
      <c r="Z1820" s="609" t="s">
        <v>758</v>
      </c>
      <c r="AA1820" s="609" t="s">
        <v>5658</v>
      </c>
    </row>
    <row r="1821" spans="1:27" ht="18">
      <c r="A1821" s="2714"/>
      <c r="B1821" s="371"/>
      <c r="C1821" s="371" t="s">
        <v>2755</v>
      </c>
      <c r="D1821" s="2716"/>
      <c r="E1821" s="2721"/>
      <c r="F1821" s="294"/>
      <c r="G1821" s="301"/>
      <c r="H1821" s="315"/>
      <c r="I1821" s="315"/>
      <c r="J1821" s="291"/>
      <c r="K1821" s="291"/>
      <c r="L1821" s="291"/>
      <c r="M1821" s="291"/>
      <c r="S1821" s="364"/>
      <c r="Z1821" s="609" t="s">
        <v>758</v>
      </c>
      <c r="AA1821" s="609" t="s">
        <v>5658</v>
      </c>
    </row>
    <row r="1822" spans="1:27" ht="17.25">
      <c r="A1822" s="2715">
        <v>1505</v>
      </c>
      <c r="B1822" s="371">
        <v>14</v>
      </c>
      <c r="C1822" s="2716" t="str">
        <f>VLOOKUP($A1822,Sheet_Items,2,0)</f>
        <v>债权投资</v>
      </c>
      <c r="D1822" s="371"/>
      <c r="E1822" s="2716" t="s">
        <v>2739</v>
      </c>
      <c r="F1822" s="293"/>
      <c r="G1822" s="305" t="str">
        <f>B1822&amp;" "&amp;C1822</f>
        <v>14 债权投资</v>
      </c>
      <c r="H1822" s="306"/>
      <c r="I1822" s="306"/>
      <c r="J1822" s="306" t="s">
        <v>2740</v>
      </c>
      <c r="K1822" s="341">
        <f>VLOOKUP($A1822,Sheet_Trialbal,6,0)</f>
        <v>0</v>
      </c>
      <c r="L1822" s="342"/>
      <c r="M1822" s="306" t="s">
        <v>2741</v>
      </c>
      <c r="N1822" s="341">
        <f>VLOOKUP($A1822,Sheet_Trialbal,10,0)</f>
        <v>0</v>
      </c>
      <c r="O1822" s="342"/>
      <c r="P1822" s="301"/>
      <c r="S1822" s="364"/>
      <c r="Z1822" s="609" t="s">
        <v>764</v>
      </c>
      <c r="AA1822" s="609" t="s">
        <v>3326</v>
      </c>
    </row>
    <row r="1823" spans="1:27" ht="18">
      <c r="A1823" s="2714" t="s">
        <v>762</v>
      </c>
      <c r="B1823" s="371">
        <v>1</v>
      </c>
      <c r="C1823" s="371"/>
      <c r="D1823" s="2716" t="str">
        <f>VLOOKUP($A1823,Sheet_NoteList,2,0)</f>
        <v>债权投资情况</v>
      </c>
      <c r="E1823" s="2716" t="s">
        <v>2742</v>
      </c>
      <c r="F1823" s="293"/>
      <c r="G1823" s="372" t="str">
        <f>"("&amp;B1823&amp;")"&amp;D1823</f>
        <v>(1)债权投资情况</v>
      </c>
      <c r="H1823" s="1517" t="str">
        <f>$A1823</f>
        <v>1505a</v>
      </c>
      <c r="I1823" s="343" t="s">
        <v>2743</v>
      </c>
      <c r="J1823" s="301" t="s">
        <v>2744</v>
      </c>
      <c r="K1823" s="2210">
        <f>J1836</f>
        <v>0</v>
      </c>
      <c r="L1823" s="349" t="str">
        <f>IF($I1823="适用",IF(ROUND(K$1822-K1823,2)=0,"F/S",ROUND(K$1822-K1823,2)),"#N/A")</f>
        <v>F/S</v>
      </c>
      <c r="M1823" s="301" t="s">
        <v>2745</v>
      </c>
      <c r="N1823" s="2210">
        <f>M1836</f>
        <v>0</v>
      </c>
      <c r="O1823" s="349" t="str">
        <f>IF($I1823="适用",IF(ROUND(N$1822-N1823,2)=0,"F/S",ROUND(N$1822-N1823,2)),"#N/A")</f>
        <v>F/S</v>
      </c>
      <c r="P1823" s="301"/>
      <c r="S1823" s="364"/>
      <c r="Z1823" s="609" t="s">
        <v>764</v>
      </c>
      <c r="AA1823" s="609" t="s">
        <v>3326</v>
      </c>
    </row>
    <row r="1824" spans="1:27" ht="0.75" customHeight="1">
      <c r="A1824" s="2714"/>
      <c r="B1824" s="371"/>
      <c r="C1824" s="371"/>
      <c r="D1824" s="2716"/>
      <c r="F1824" s="371"/>
      <c r="G1824" s="405" t="s">
        <v>3327</v>
      </c>
      <c r="H1824" s="371" t="s">
        <v>2747</v>
      </c>
      <c r="I1824" s="371" t="s">
        <v>2748</v>
      </c>
      <c r="J1824" s="371" t="s">
        <v>2948</v>
      </c>
      <c r="K1824" s="547" t="s">
        <v>3165</v>
      </c>
      <c r="L1824" s="547" t="s">
        <v>3166</v>
      </c>
      <c r="M1824" s="371" t="s">
        <v>3167</v>
      </c>
      <c r="N1824" s="428"/>
      <c r="O1824" s="428"/>
      <c r="P1824" s="433"/>
      <c r="Q1824" s="442"/>
      <c r="R1824" s="443"/>
      <c r="S1824" s="364"/>
      <c r="Z1824" s="609" t="s">
        <v>764</v>
      </c>
      <c r="AA1824" s="609" t="s">
        <v>3326</v>
      </c>
    </row>
    <row r="1825" spans="1:29" ht="0.75" customHeight="1" thickBot="1">
      <c r="A1825" s="2714"/>
      <c r="B1825" s="371"/>
      <c r="C1825" s="371"/>
      <c r="D1825" s="2716"/>
      <c r="F1825" s="371"/>
      <c r="G1825" s="405"/>
      <c r="H1825" s="371" t="s">
        <v>3328</v>
      </c>
      <c r="I1825" s="371" t="s">
        <v>3329</v>
      </c>
      <c r="J1825" s="371" t="s">
        <v>3330</v>
      </c>
      <c r="K1825" s="547" t="s">
        <v>2858</v>
      </c>
      <c r="L1825" s="547" t="s">
        <v>3331</v>
      </c>
      <c r="M1825" s="371" t="s">
        <v>2860</v>
      </c>
      <c r="N1825" s="428"/>
      <c r="O1825" s="428"/>
      <c r="P1825" s="433"/>
      <c r="Q1825" s="442"/>
      <c r="R1825" s="443"/>
      <c r="S1825" s="364"/>
      <c r="Z1825" s="609" t="s">
        <v>764</v>
      </c>
      <c r="AA1825" s="609" t="s">
        <v>3326</v>
      </c>
    </row>
    <row r="1826" spans="1:29" ht="18" customHeight="1">
      <c r="A1826" s="2714"/>
      <c r="B1826" s="371"/>
      <c r="C1826" s="371"/>
      <c r="D1826" s="2716"/>
      <c r="E1826" s="2716" t="s">
        <v>2749</v>
      </c>
      <c r="F1826" s="293"/>
      <c r="G1826" s="3432" t="s">
        <v>47</v>
      </c>
      <c r="H1826" s="3418" t="str">
        <f>$V$2</f>
        <v>2019年12月31日</v>
      </c>
      <c r="I1826" s="3419"/>
      <c r="J1826" s="3420"/>
      <c r="K1826" s="3421" t="str">
        <f>$V$3</f>
        <v>2018年12月31日</v>
      </c>
      <c r="L1826" s="3422"/>
      <c r="M1826" s="3422"/>
      <c r="N1826" s="355" t="s">
        <v>5278</v>
      </c>
      <c r="O1826" s="428"/>
      <c r="P1826" s="433"/>
      <c r="Q1826" s="442"/>
      <c r="R1826" s="443"/>
      <c r="S1826" s="364"/>
      <c r="Z1826" s="609" t="s">
        <v>764</v>
      </c>
      <c r="AA1826" s="609" t="s">
        <v>3326</v>
      </c>
    </row>
    <row r="1827" spans="1:29" ht="18">
      <c r="A1827" s="2714"/>
      <c r="B1827" s="371"/>
      <c r="C1827" s="371"/>
      <c r="D1827" s="2716"/>
      <c r="E1827" s="2716" t="s">
        <v>2749</v>
      </c>
      <c r="F1827" s="293"/>
      <c r="G1827" s="3471"/>
      <c r="H1827" s="2294" t="s">
        <v>2861</v>
      </c>
      <c r="I1827" s="2294" t="s">
        <v>3097</v>
      </c>
      <c r="J1827" s="2294" t="s">
        <v>2863</v>
      </c>
      <c r="K1827" s="2294" t="s">
        <v>2861</v>
      </c>
      <c r="L1827" s="2294" t="s">
        <v>3097</v>
      </c>
      <c r="M1827" s="2240" t="s">
        <v>2863</v>
      </c>
      <c r="N1827" s="434"/>
      <c r="O1827" s="434"/>
      <c r="P1827" s="435"/>
      <c r="Q1827" s="442"/>
      <c r="R1827" s="443"/>
      <c r="S1827" s="364"/>
      <c r="Z1827" s="609" t="s">
        <v>764</v>
      </c>
      <c r="AA1827" s="609" t="s">
        <v>3326</v>
      </c>
    </row>
    <row r="1828" spans="1:29" ht="18">
      <c r="A1828" s="2714"/>
      <c r="B1828" s="371">
        <v>101</v>
      </c>
      <c r="C1828" s="371" t="s">
        <v>2791</v>
      </c>
      <c r="D1828" s="2716">
        <f t="shared" ref="D1828:D1836" si="172">IF(OR(G1828="*",G1828="",G1828=0),0,COUNTIF($G$1828:$G$1836,G1828))</f>
        <v>0</v>
      </c>
      <c r="E1828" s="2721" t="s">
        <v>2939</v>
      </c>
      <c r="F1828" s="293"/>
      <c r="G1828" s="319" t="s">
        <v>2792</v>
      </c>
      <c r="H1828" s="309"/>
      <c r="I1828" s="422"/>
      <c r="J1828" s="309">
        <f>H1828-I1828</f>
        <v>0</v>
      </c>
      <c r="K1828" s="1465">
        <v>0</v>
      </c>
      <c r="L1828" s="1465">
        <v>0</v>
      </c>
      <c r="M1828" s="1475">
        <v>0</v>
      </c>
      <c r="N1828" s="439"/>
      <c r="O1828" s="437"/>
      <c r="P1828" s="438"/>
      <c r="Q1828" s="442"/>
      <c r="R1828" s="443"/>
      <c r="S1828" s="364"/>
      <c r="Z1828" s="609" t="s">
        <v>764</v>
      </c>
      <c r="AA1828" s="609" t="s">
        <v>3326</v>
      </c>
    </row>
    <row r="1829" spans="1:29" ht="18">
      <c r="A1829" s="2714"/>
      <c r="B1829" s="371">
        <v>101.001</v>
      </c>
      <c r="C1829" s="371" t="s">
        <v>2791</v>
      </c>
      <c r="D1829" s="2716">
        <f t="shared" si="172"/>
        <v>0</v>
      </c>
      <c r="E1829" s="2721" t="s">
        <v>2939</v>
      </c>
      <c r="F1829" s="293"/>
      <c r="G1829" s="319" t="s">
        <v>2792</v>
      </c>
      <c r="H1829" s="309"/>
      <c r="I1829" s="422"/>
      <c r="J1829" s="309">
        <f t="shared" ref="J1829:J1833" si="173">H1829-I1829</f>
        <v>0</v>
      </c>
      <c r="K1829" s="1465">
        <v>0</v>
      </c>
      <c r="L1829" s="1465">
        <v>0</v>
      </c>
      <c r="M1829" s="1475">
        <v>0</v>
      </c>
      <c r="N1829" s="439"/>
      <c r="O1829" s="437"/>
      <c r="P1829" s="438"/>
      <c r="Q1829" s="442"/>
      <c r="R1829" s="443"/>
      <c r="S1829" s="364"/>
      <c r="Z1829" s="609" t="s">
        <v>764</v>
      </c>
      <c r="AA1829" s="609" t="s">
        <v>3326</v>
      </c>
    </row>
    <row r="1830" spans="1:29" ht="18">
      <c r="A1830" s="2714"/>
      <c r="B1830" s="371">
        <v>101.002</v>
      </c>
      <c r="C1830" s="371" t="s">
        <v>2791</v>
      </c>
      <c r="D1830" s="2716">
        <f t="shared" si="172"/>
        <v>0</v>
      </c>
      <c r="E1830" s="2721" t="s">
        <v>2939</v>
      </c>
      <c r="F1830" s="293"/>
      <c r="G1830" s="319" t="s">
        <v>2792</v>
      </c>
      <c r="H1830" s="309"/>
      <c r="I1830" s="422"/>
      <c r="J1830" s="309">
        <f t="shared" si="173"/>
        <v>0</v>
      </c>
      <c r="K1830" s="1465">
        <v>0</v>
      </c>
      <c r="L1830" s="1465">
        <v>0</v>
      </c>
      <c r="M1830" s="1475">
        <v>0</v>
      </c>
      <c r="N1830" s="439"/>
      <c r="O1830" s="437"/>
      <c r="P1830" s="438"/>
      <c r="Q1830" s="442"/>
      <c r="R1830" s="443"/>
      <c r="S1830" s="364"/>
      <c r="Z1830" s="609" t="s">
        <v>764</v>
      </c>
      <c r="AA1830" s="609" t="s">
        <v>3326</v>
      </c>
    </row>
    <row r="1831" spans="1:29" ht="18">
      <c r="A1831" s="2714"/>
      <c r="B1831" s="371">
        <v>101.003</v>
      </c>
      <c r="C1831" s="371" t="s">
        <v>2791</v>
      </c>
      <c r="D1831" s="2716">
        <f t="shared" si="172"/>
        <v>0</v>
      </c>
      <c r="E1831" s="2721" t="s">
        <v>2939</v>
      </c>
      <c r="F1831" s="293"/>
      <c r="G1831" s="319" t="s">
        <v>2792</v>
      </c>
      <c r="H1831" s="309"/>
      <c r="I1831" s="422"/>
      <c r="J1831" s="309">
        <f t="shared" si="173"/>
        <v>0</v>
      </c>
      <c r="K1831" s="1465">
        <v>0</v>
      </c>
      <c r="L1831" s="1465">
        <v>0</v>
      </c>
      <c r="M1831" s="1475">
        <v>0</v>
      </c>
      <c r="N1831" s="439"/>
      <c r="O1831" s="437"/>
      <c r="P1831" s="438"/>
      <c r="Q1831" s="442"/>
      <c r="R1831" s="443"/>
      <c r="S1831" s="364"/>
      <c r="Z1831" s="609" t="s">
        <v>764</v>
      </c>
      <c r="AA1831" s="609" t="s">
        <v>3326</v>
      </c>
    </row>
    <row r="1832" spans="1:29" ht="18">
      <c r="A1832" s="2714"/>
      <c r="B1832" s="371">
        <v>101.004</v>
      </c>
      <c r="C1832" s="371" t="s">
        <v>2791</v>
      </c>
      <c r="D1832" s="2716">
        <f t="shared" si="172"/>
        <v>0</v>
      </c>
      <c r="E1832" s="2721" t="s">
        <v>2939</v>
      </c>
      <c r="F1832" s="293"/>
      <c r="G1832" s="319" t="s">
        <v>2792</v>
      </c>
      <c r="H1832" s="309"/>
      <c r="I1832" s="422"/>
      <c r="J1832" s="309">
        <f t="shared" si="173"/>
        <v>0</v>
      </c>
      <c r="K1832" s="1465">
        <v>0</v>
      </c>
      <c r="L1832" s="1465">
        <v>0</v>
      </c>
      <c r="M1832" s="1475">
        <v>0</v>
      </c>
      <c r="N1832" s="439"/>
      <c r="O1832" s="437"/>
      <c r="P1832" s="438"/>
      <c r="Q1832" s="442"/>
      <c r="R1832" s="443"/>
      <c r="S1832" s="364"/>
      <c r="Z1832" s="609" t="s">
        <v>764</v>
      </c>
      <c r="AA1832" s="609" t="s">
        <v>3326</v>
      </c>
    </row>
    <row r="1833" spans="1:29" ht="18">
      <c r="A1833" s="2714"/>
      <c r="B1833" s="371">
        <v>101.005</v>
      </c>
      <c r="C1833" s="371" t="s">
        <v>2791</v>
      </c>
      <c r="D1833" s="2716">
        <f t="shared" si="172"/>
        <v>0</v>
      </c>
      <c r="E1833" s="2721" t="s">
        <v>2939</v>
      </c>
      <c r="F1833" s="293"/>
      <c r="G1833" s="319" t="s">
        <v>2792</v>
      </c>
      <c r="H1833" s="309"/>
      <c r="I1833" s="422"/>
      <c r="J1833" s="309">
        <f t="shared" si="173"/>
        <v>0</v>
      </c>
      <c r="K1833" s="1465">
        <v>0</v>
      </c>
      <c r="L1833" s="1465">
        <v>0</v>
      </c>
      <c r="M1833" s="1475">
        <v>0</v>
      </c>
      <c r="N1833" s="439"/>
      <c r="O1833" s="437"/>
      <c r="P1833" s="438"/>
      <c r="Q1833" s="442"/>
      <c r="R1833" s="443"/>
      <c r="S1833" s="364"/>
      <c r="Z1833" s="609" t="s">
        <v>764</v>
      </c>
      <c r="AA1833" s="609" t="s">
        <v>3326</v>
      </c>
    </row>
    <row r="1834" spans="1:29" ht="18">
      <c r="A1834" s="2714"/>
      <c r="B1834" s="371">
        <v>102</v>
      </c>
      <c r="C1834" s="371" t="s">
        <v>2793</v>
      </c>
      <c r="D1834" s="2716">
        <f t="shared" si="172"/>
        <v>1</v>
      </c>
      <c r="E1834" s="2721">
        <v>1</v>
      </c>
      <c r="F1834" s="293"/>
      <c r="G1834" s="549" t="s">
        <v>2939</v>
      </c>
      <c r="H1834" s="377">
        <f t="shared" ref="H1834:J1834" si="174">SUMIF($E$1827:$E$1835,$G1834,H$1827:H$1835)</f>
        <v>0</v>
      </c>
      <c r="I1834" s="377">
        <f t="shared" si="174"/>
        <v>0</v>
      </c>
      <c r="J1834" s="377">
        <f t="shared" si="174"/>
        <v>0</v>
      </c>
      <c r="K1834" s="1465">
        <v>0</v>
      </c>
      <c r="L1834" s="1465">
        <v>0</v>
      </c>
      <c r="M1834" s="1475">
        <v>0</v>
      </c>
      <c r="N1834" s="439"/>
      <c r="O1834" s="437"/>
      <c r="P1834" s="438"/>
      <c r="Q1834" s="442"/>
      <c r="R1834" s="443"/>
      <c r="S1834" s="364"/>
      <c r="Z1834" s="609" t="s">
        <v>764</v>
      </c>
      <c r="AA1834" s="609" t="s">
        <v>3326</v>
      </c>
    </row>
    <row r="1835" spans="1:29" ht="18">
      <c r="A1835" s="2714"/>
      <c r="B1835" s="371">
        <v>103</v>
      </c>
      <c r="C1835" s="371"/>
      <c r="D1835" s="2716">
        <f t="shared" si="172"/>
        <v>1</v>
      </c>
      <c r="E1835" s="2721">
        <v>-1</v>
      </c>
      <c r="F1835" s="293"/>
      <c r="G1835" s="308" t="s">
        <v>3332</v>
      </c>
      <c r="H1835" s="309"/>
      <c r="I1835" s="422"/>
      <c r="J1835" s="309">
        <f>H1835-I1835</f>
        <v>0</v>
      </c>
      <c r="K1835" s="1465">
        <v>0</v>
      </c>
      <c r="L1835" s="1465">
        <v>0</v>
      </c>
      <c r="M1835" s="1475">
        <v>0</v>
      </c>
      <c r="N1835" s="1533" t="str">
        <f ca="1">HYPERLINK("#'"&amp;$G$1&amp;"'!"&amp;ADDRESS(ROW(Notes!K1793),COLUMN(Notes!K1793),4),"* 请勿删除此行！点击往勾稽单元格，F5+Enter返回")</f>
        <v>* 请勿删除此行！点击往勾稽单元格，F5+Enter返回</v>
      </c>
      <c r="O1835" s="437"/>
      <c r="P1835" s="438"/>
      <c r="Q1835" s="442"/>
      <c r="R1835" s="443"/>
      <c r="S1835" s="364"/>
      <c r="Z1835" s="609" t="s">
        <v>764</v>
      </c>
      <c r="AA1835" s="609" t="s">
        <v>3326</v>
      </c>
      <c r="AC1835" s="369" t="s">
        <v>6573</v>
      </c>
    </row>
    <row r="1836" spans="1:29" ht="18.75" thickBot="1">
      <c r="A1836" s="2714"/>
      <c r="B1836" s="371"/>
      <c r="C1836" s="371"/>
      <c r="D1836" s="2716">
        <f t="shared" si="172"/>
        <v>1</v>
      </c>
      <c r="E1836" s="2721" t="s">
        <v>2751</v>
      </c>
      <c r="F1836" s="293"/>
      <c r="G1836" s="2234" t="s">
        <v>2752</v>
      </c>
      <c r="H1836" s="2325">
        <f t="shared" ref="H1836:J1836" si="175">SUMPRODUCT($E1827:$E1835,H1827:H1835)</f>
        <v>0</v>
      </c>
      <c r="I1836" s="2325">
        <f t="shared" si="175"/>
        <v>0</v>
      </c>
      <c r="J1836" s="2325">
        <f t="shared" si="175"/>
        <v>0</v>
      </c>
      <c r="K1836" s="2326">
        <v>0</v>
      </c>
      <c r="L1836" s="2326">
        <v>0</v>
      </c>
      <c r="M1836" s="2327">
        <v>0</v>
      </c>
      <c r="N1836" s="1589" t="str">
        <f ca="1">HYPERLINK("#'"&amp;$G$1&amp;"'!"&amp;ADDRESS(ROW(Notes!H1863),COLUMN(Notes!H1863),4),"* 请勿删除此行！点击往勾稽单元格，F5+Enter返回")</f>
        <v>* 请勿删除此行！点击往勾稽单元格，F5+Enter返回</v>
      </c>
      <c r="O1836" s="437"/>
      <c r="P1836" s="440"/>
      <c r="Q1836" s="442"/>
      <c r="R1836" s="443"/>
      <c r="S1836" s="364"/>
      <c r="Z1836" s="609" t="s">
        <v>764</v>
      </c>
      <c r="AA1836" s="609" t="s">
        <v>3326</v>
      </c>
      <c r="AC1836" s="369" t="s">
        <v>6573</v>
      </c>
    </row>
    <row r="1837" spans="1:29" ht="18">
      <c r="A1837" s="2714"/>
      <c r="B1837" s="371"/>
      <c r="C1837" s="371" t="s">
        <v>2755</v>
      </c>
      <c r="D1837" s="2716"/>
      <c r="F1837" s="293"/>
      <c r="G1837" s="376"/>
      <c r="H1837" s="315"/>
      <c r="I1837" s="396"/>
      <c r="J1837" s="315"/>
      <c r="K1837" s="423"/>
      <c r="L1837" s="315"/>
      <c r="M1837" s="315"/>
      <c r="N1837" s="426"/>
      <c r="O1837" s="427"/>
      <c r="P1837" s="425"/>
      <c r="Q1837" s="442"/>
      <c r="R1837" s="443"/>
      <c r="S1837" s="364"/>
      <c r="Z1837" s="609" t="s">
        <v>764</v>
      </c>
      <c r="AA1837" s="609" t="s">
        <v>3326</v>
      </c>
    </row>
    <row r="1838" spans="1:29" ht="18">
      <c r="A1838" s="2714" t="s">
        <v>768</v>
      </c>
      <c r="B1838" s="371">
        <v>2</v>
      </c>
      <c r="C1838" s="371"/>
      <c r="D1838" s="2716" t="str">
        <f>VLOOKUP($A1838,Sheet_NoteList,2,0)</f>
        <v>期末重要的债权投资</v>
      </c>
      <c r="E1838" s="2716" t="s">
        <v>2742</v>
      </c>
      <c r="F1838" s="293"/>
      <c r="G1838" s="372" t="str">
        <f>"("&amp;B1838&amp;")"&amp;D1838</f>
        <v>(2)期末重要的债权投资</v>
      </c>
      <c r="H1838" s="1517" t="str">
        <f>$A1838</f>
        <v>1505b</v>
      </c>
      <c r="I1838" s="343" t="s">
        <v>2743</v>
      </c>
      <c r="J1838" s="301" t="s">
        <v>2744</v>
      </c>
      <c r="K1838" s="2210">
        <f>H1851</f>
        <v>0</v>
      </c>
      <c r="L1838" s="349"/>
      <c r="M1838" s="301" t="s">
        <v>2745</v>
      </c>
      <c r="N1838" s="2210">
        <f>L1851</f>
        <v>0</v>
      </c>
      <c r="O1838" s="349"/>
      <c r="P1838" s="301"/>
      <c r="S1838" s="364"/>
      <c r="Z1838" s="609" t="s">
        <v>764</v>
      </c>
      <c r="AA1838" s="609" t="s">
        <v>3326</v>
      </c>
    </row>
    <row r="1839" spans="1:29" ht="0.75" customHeight="1">
      <c r="A1839" s="2714"/>
      <c r="B1839" s="371"/>
      <c r="C1839" s="371"/>
      <c r="D1839" s="2716"/>
      <c r="F1839" s="371"/>
      <c r="G1839" s="405" t="s">
        <v>3333</v>
      </c>
      <c r="H1839" s="371" t="s">
        <v>2747</v>
      </c>
      <c r="I1839" s="371" t="s">
        <v>3334</v>
      </c>
      <c r="J1839" s="371" t="s">
        <v>2957</v>
      </c>
      <c r="K1839" s="547" t="s">
        <v>2898</v>
      </c>
      <c r="L1839" s="547" t="s">
        <v>3035</v>
      </c>
      <c r="M1839" s="371" t="s">
        <v>3335</v>
      </c>
      <c r="N1839" s="547" t="s">
        <v>3336</v>
      </c>
      <c r="O1839" s="547" t="s">
        <v>3310</v>
      </c>
      <c r="P1839" s="433"/>
      <c r="Q1839" s="442"/>
      <c r="R1839" s="443"/>
      <c r="S1839" s="364"/>
      <c r="Z1839" s="609" t="s">
        <v>764</v>
      </c>
      <c r="AA1839" s="609" t="s">
        <v>3326</v>
      </c>
    </row>
    <row r="1840" spans="1:29" ht="0.75" customHeight="1" thickBot="1">
      <c r="A1840" s="2714"/>
      <c r="B1840" s="371"/>
      <c r="C1840" s="371"/>
      <c r="D1840" s="2716"/>
      <c r="F1840" s="371"/>
      <c r="G1840" s="405"/>
      <c r="H1840" s="371" t="s">
        <v>3311</v>
      </c>
      <c r="I1840" s="371" t="s">
        <v>3312</v>
      </c>
      <c r="J1840" s="371" t="s">
        <v>3313</v>
      </c>
      <c r="K1840" s="547" t="s">
        <v>3314</v>
      </c>
      <c r="L1840" s="547" t="s">
        <v>3337</v>
      </c>
      <c r="M1840" s="371" t="s">
        <v>3338</v>
      </c>
      <c r="N1840" s="547" t="s">
        <v>3339</v>
      </c>
      <c r="O1840" s="547" t="s">
        <v>3340</v>
      </c>
      <c r="P1840" s="433"/>
      <c r="Q1840" s="442"/>
      <c r="R1840" s="443"/>
      <c r="S1840" s="364"/>
      <c r="Z1840" s="609" t="s">
        <v>764</v>
      </c>
      <c r="AA1840" s="609" t="s">
        <v>3326</v>
      </c>
    </row>
    <row r="1841" spans="1:27" ht="18" customHeight="1">
      <c r="A1841" s="2714"/>
      <c r="B1841" s="371"/>
      <c r="C1841" s="371"/>
      <c r="D1841" s="2716"/>
      <c r="E1841" s="2716" t="s">
        <v>2749</v>
      </c>
      <c r="F1841" s="293"/>
      <c r="G1841" s="3432" t="s">
        <v>5134</v>
      </c>
      <c r="H1841" s="3418" t="str">
        <f>$V$2</f>
        <v>2019年12月31日</v>
      </c>
      <c r="I1841" s="3419"/>
      <c r="J1841" s="3419"/>
      <c r="K1841" s="3420"/>
      <c r="L1841" s="3421" t="str">
        <f>$V$3</f>
        <v>2018年12月31日</v>
      </c>
      <c r="M1841" s="3422"/>
      <c r="N1841" s="3422"/>
      <c r="O1841" s="3422"/>
      <c r="P1841" s="355" t="s">
        <v>5278</v>
      </c>
      <c r="Q1841" s="442"/>
      <c r="R1841" s="443"/>
      <c r="S1841" s="364"/>
      <c r="Z1841" s="609" t="s">
        <v>764</v>
      </c>
      <c r="AA1841" s="609" t="s">
        <v>3326</v>
      </c>
    </row>
    <row r="1842" spans="1:27" ht="18">
      <c r="A1842" s="2714"/>
      <c r="B1842" s="371"/>
      <c r="C1842" s="371"/>
      <c r="D1842" s="2716"/>
      <c r="E1842" s="2716" t="s">
        <v>2749</v>
      </c>
      <c r="F1842" s="293"/>
      <c r="G1842" s="3471"/>
      <c r="H1842" s="2294" t="s">
        <v>3319</v>
      </c>
      <c r="I1842" s="2294" t="s">
        <v>3320</v>
      </c>
      <c r="J1842" s="2294" t="s">
        <v>3321</v>
      </c>
      <c r="K1842" s="2238" t="s">
        <v>3322</v>
      </c>
      <c r="L1842" s="2238" t="s">
        <v>3319</v>
      </c>
      <c r="M1842" s="2294" t="s">
        <v>3320</v>
      </c>
      <c r="N1842" s="2238" t="s">
        <v>3321</v>
      </c>
      <c r="O1842" s="2314" t="s">
        <v>3322</v>
      </c>
      <c r="P1842" s="435"/>
      <c r="Q1842" s="442"/>
      <c r="R1842" s="443"/>
      <c r="S1842" s="364"/>
      <c r="Z1842" s="609" t="s">
        <v>764</v>
      </c>
      <c r="AA1842" s="609" t="s">
        <v>3326</v>
      </c>
    </row>
    <row r="1843" spans="1:27" ht="18">
      <c r="A1843" s="2714"/>
      <c r="B1843" s="371">
        <v>101</v>
      </c>
      <c r="C1843" s="371" t="s">
        <v>2791</v>
      </c>
      <c r="D1843" s="2716">
        <f t="shared" ref="D1843:D1851" si="176">IF(OR(G1843="*",G1843="",G1843=0),0,COUNTIF($G$1843:$G$1851,G1843))</f>
        <v>0</v>
      </c>
      <c r="E1843" s="2721">
        <v>1</v>
      </c>
      <c r="F1843" s="293"/>
      <c r="G1843" s="319" t="s">
        <v>2792</v>
      </c>
      <c r="H1843" s="309"/>
      <c r="I1843" s="422"/>
      <c r="J1843" s="309"/>
      <c r="K1843" s="431"/>
      <c r="L1843" s="1465">
        <v>0</v>
      </c>
      <c r="M1843" s="1465">
        <v>0</v>
      </c>
      <c r="N1843" s="1465">
        <v>0</v>
      </c>
      <c r="O1843" s="1513">
        <v>0</v>
      </c>
      <c r="P1843" s="438"/>
      <c r="Q1843" s="442"/>
      <c r="R1843" s="443"/>
      <c r="S1843" s="364"/>
      <c r="Z1843" s="609" t="s">
        <v>764</v>
      </c>
      <c r="AA1843" s="609" t="s">
        <v>3326</v>
      </c>
    </row>
    <row r="1844" spans="1:27" ht="18">
      <c r="A1844" s="2714"/>
      <c r="B1844" s="371">
        <v>102</v>
      </c>
      <c r="C1844" s="371" t="s">
        <v>2791</v>
      </c>
      <c r="D1844" s="2716">
        <f t="shared" si="176"/>
        <v>0</v>
      </c>
      <c r="E1844" s="2721">
        <v>1</v>
      </c>
      <c r="F1844" s="293"/>
      <c r="G1844" s="319" t="s">
        <v>2792</v>
      </c>
      <c r="H1844" s="309"/>
      <c r="I1844" s="422"/>
      <c r="J1844" s="309"/>
      <c r="K1844" s="431"/>
      <c r="L1844" s="1465">
        <v>0</v>
      </c>
      <c r="M1844" s="1465">
        <v>0</v>
      </c>
      <c r="N1844" s="1465">
        <v>0</v>
      </c>
      <c r="O1844" s="1513">
        <v>0</v>
      </c>
      <c r="P1844" s="438"/>
      <c r="Q1844" s="442"/>
      <c r="R1844" s="443"/>
      <c r="S1844" s="364"/>
      <c r="Z1844" s="609" t="s">
        <v>764</v>
      </c>
      <c r="AA1844" s="609" t="s">
        <v>3326</v>
      </c>
    </row>
    <row r="1845" spans="1:27" ht="18">
      <c r="A1845" s="2714"/>
      <c r="B1845" s="371">
        <v>103</v>
      </c>
      <c r="C1845" s="371" t="s">
        <v>2791</v>
      </c>
      <c r="D1845" s="2716">
        <f t="shared" si="176"/>
        <v>0</v>
      </c>
      <c r="E1845" s="2721">
        <v>1</v>
      </c>
      <c r="F1845" s="293"/>
      <c r="G1845" s="319" t="s">
        <v>2792</v>
      </c>
      <c r="H1845" s="309"/>
      <c r="I1845" s="422"/>
      <c r="J1845" s="309"/>
      <c r="K1845" s="431"/>
      <c r="L1845" s="1465">
        <v>0</v>
      </c>
      <c r="M1845" s="1465">
        <v>0</v>
      </c>
      <c r="N1845" s="1465">
        <v>0</v>
      </c>
      <c r="O1845" s="1513">
        <v>0</v>
      </c>
      <c r="P1845" s="438"/>
      <c r="Q1845" s="442"/>
      <c r="R1845" s="443"/>
      <c r="S1845" s="364"/>
      <c r="Z1845" s="609" t="s">
        <v>764</v>
      </c>
      <c r="AA1845" s="609" t="s">
        <v>3326</v>
      </c>
    </row>
    <row r="1846" spans="1:27" ht="18">
      <c r="A1846" s="2714"/>
      <c r="B1846" s="371">
        <v>104</v>
      </c>
      <c r="C1846" s="371" t="s">
        <v>2791</v>
      </c>
      <c r="D1846" s="2716">
        <f t="shared" si="176"/>
        <v>0</v>
      </c>
      <c r="E1846" s="2721">
        <v>1</v>
      </c>
      <c r="F1846" s="293"/>
      <c r="G1846" s="319" t="s">
        <v>2792</v>
      </c>
      <c r="H1846" s="309"/>
      <c r="I1846" s="422"/>
      <c r="J1846" s="309"/>
      <c r="K1846" s="431"/>
      <c r="L1846" s="1465">
        <v>0</v>
      </c>
      <c r="M1846" s="1465">
        <v>0</v>
      </c>
      <c r="N1846" s="1465">
        <v>0</v>
      </c>
      <c r="O1846" s="1513">
        <v>0</v>
      </c>
      <c r="P1846" s="438"/>
      <c r="Q1846" s="442"/>
      <c r="R1846" s="443"/>
      <c r="S1846" s="364"/>
      <c r="Z1846" s="609" t="s">
        <v>764</v>
      </c>
      <c r="AA1846" s="609" t="s">
        <v>3326</v>
      </c>
    </row>
    <row r="1847" spans="1:27" ht="18">
      <c r="A1847" s="2714"/>
      <c r="B1847" s="371">
        <v>105</v>
      </c>
      <c r="C1847" s="371" t="s">
        <v>2791</v>
      </c>
      <c r="D1847" s="2716">
        <f t="shared" si="176"/>
        <v>0</v>
      </c>
      <c r="E1847" s="2721">
        <v>1</v>
      </c>
      <c r="F1847" s="293"/>
      <c r="G1847" s="319" t="s">
        <v>2792</v>
      </c>
      <c r="H1847" s="309"/>
      <c r="I1847" s="422"/>
      <c r="J1847" s="309"/>
      <c r="K1847" s="431"/>
      <c r="L1847" s="1465">
        <v>0</v>
      </c>
      <c r="M1847" s="1465">
        <v>0</v>
      </c>
      <c r="N1847" s="1465">
        <v>0</v>
      </c>
      <c r="O1847" s="1513">
        <v>0</v>
      </c>
      <c r="P1847" s="438"/>
      <c r="Q1847" s="442"/>
      <c r="R1847" s="443"/>
      <c r="S1847" s="364"/>
      <c r="Z1847" s="609" t="s">
        <v>764</v>
      </c>
      <c r="AA1847" s="609" t="s">
        <v>3326</v>
      </c>
    </row>
    <row r="1848" spans="1:27" ht="18">
      <c r="A1848" s="2714"/>
      <c r="B1848" s="371">
        <v>106</v>
      </c>
      <c r="C1848" s="371" t="s">
        <v>2791</v>
      </c>
      <c r="D1848" s="2716">
        <f t="shared" si="176"/>
        <v>0</v>
      </c>
      <c r="E1848" s="2721">
        <v>1</v>
      </c>
      <c r="F1848" s="293"/>
      <c r="G1848" s="319" t="s">
        <v>2792</v>
      </c>
      <c r="H1848" s="309"/>
      <c r="I1848" s="422"/>
      <c r="J1848" s="309"/>
      <c r="K1848" s="431"/>
      <c r="L1848" s="1465">
        <v>0</v>
      </c>
      <c r="M1848" s="1465">
        <v>0</v>
      </c>
      <c r="N1848" s="1465">
        <v>0</v>
      </c>
      <c r="O1848" s="1513">
        <v>0</v>
      </c>
      <c r="P1848" s="438"/>
      <c r="Q1848" s="442"/>
      <c r="R1848" s="443"/>
      <c r="S1848" s="364"/>
      <c r="Z1848" s="609" t="s">
        <v>764</v>
      </c>
      <c r="AA1848" s="609" t="s">
        <v>3326</v>
      </c>
    </row>
    <row r="1849" spans="1:27" ht="18">
      <c r="A1849" s="2714"/>
      <c r="B1849" s="371">
        <v>107</v>
      </c>
      <c r="C1849" s="371" t="s">
        <v>2791</v>
      </c>
      <c r="D1849" s="2716">
        <f t="shared" si="176"/>
        <v>0</v>
      </c>
      <c r="E1849" s="2721">
        <v>1</v>
      </c>
      <c r="F1849" s="293"/>
      <c r="G1849" s="319" t="s">
        <v>2792</v>
      </c>
      <c r="H1849" s="309"/>
      <c r="I1849" s="422"/>
      <c r="J1849" s="309"/>
      <c r="K1849" s="431"/>
      <c r="L1849" s="1465">
        <v>0</v>
      </c>
      <c r="M1849" s="1465">
        <v>0</v>
      </c>
      <c r="N1849" s="1465">
        <v>0</v>
      </c>
      <c r="O1849" s="1513">
        <v>0</v>
      </c>
      <c r="P1849" s="438"/>
      <c r="Q1849" s="442"/>
      <c r="R1849" s="443"/>
      <c r="S1849" s="364"/>
      <c r="Z1849" s="609" t="s">
        <v>764</v>
      </c>
      <c r="AA1849" s="609" t="s">
        <v>3326</v>
      </c>
    </row>
    <row r="1850" spans="1:27" ht="18">
      <c r="A1850" s="2714"/>
      <c r="B1850" s="371">
        <v>108</v>
      </c>
      <c r="C1850" s="371" t="s">
        <v>2791</v>
      </c>
      <c r="D1850" s="2716">
        <f t="shared" si="176"/>
        <v>0</v>
      </c>
      <c r="E1850" s="2721">
        <v>1</v>
      </c>
      <c r="F1850" s="293"/>
      <c r="G1850" s="319" t="s">
        <v>2792</v>
      </c>
      <c r="H1850" s="309"/>
      <c r="I1850" s="422"/>
      <c r="J1850" s="309"/>
      <c r="K1850" s="431"/>
      <c r="L1850" s="1465">
        <v>0</v>
      </c>
      <c r="M1850" s="1465">
        <v>0</v>
      </c>
      <c r="N1850" s="1465">
        <v>0</v>
      </c>
      <c r="O1850" s="1513">
        <v>0</v>
      </c>
      <c r="P1850" s="438"/>
      <c r="Q1850" s="442"/>
      <c r="R1850" s="443"/>
      <c r="S1850" s="364"/>
      <c r="Z1850" s="609" t="s">
        <v>764</v>
      </c>
      <c r="AA1850" s="609" t="s">
        <v>3326</v>
      </c>
    </row>
    <row r="1851" spans="1:27" ht="18.75" thickBot="1">
      <c r="A1851" s="2714"/>
      <c r="B1851" s="371"/>
      <c r="C1851" s="371"/>
      <c r="D1851" s="2716">
        <f t="shared" si="176"/>
        <v>1</v>
      </c>
      <c r="E1851" s="2721" t="s">
        <v>2751</v>
      </c>
      <c r="F1851" s="293"/>
      <c r="G1851" s="2234" t="s">
        <v>5141</v>
      </c>
      <c r="H1851" s="2325">
        <f>SUMPRODUCT($E1842:$E1850,H1842:H1850)</f>
        <v>0</v>
      </c>
      <c r="I1851" s="2321">
        <v>0</v>
      </c>
      <c r="J1851" s="2321">
        <v>0</v>
      </c>
      <c r="K1851" s="2322">
        <v>0</v>
      </c>
      <c r="L1851" s="2326">
        <v>0</v>
      </c>
      <c r="M1851" s="2326">
        <v>0</v>
      </c>
      <c r="N1851" s="2326">
        <v>0</v>
      </c>
      <c r="O1851" s="2324">
        <v>0</v>
      </c>
      <c r="P1851" s="440"/>
      <c r="Q1851" s="442"/>
      <c r="R1851" s="443"/>
      <c r="S1851" s="364"/>
      <c r="Z1851" s="609" t="s">
        <v>764</v>
      </c>
      <c r="AA1851" s="609" t="s">
        <v>3326</v>
      </c>
    </row>
    <row r="1852" spans="1:27" ht="18">
      <c r="A1852" s="2714"/>
      <c r="B1852" s="371"/>
      <c r="C1852" s="371" t="s">
        <v>2755</v>
      </c>
      <c r="D1852" s="2716"/>
      <c r="F1852" s="293"/>
      <c r="G1852" s="376"/>
      <c r="H1852" s="315"/>
      <c r="I1852" s="396"/>
      <c r="J1852" s="315"/>
      <c r="K1852" s="392"/>
      <c r="L1852" s="315"/>
      <c r="M1852" s="315"/>
      <c r="N1852" s="423"/>
      <c r="O1852" s="393"/>
      <c r="P1852" s="425"/>
      <c r="Q1852" s="442"/>
      <c r="R1852" s="443"/>
      <c r="S1852" s="364"/>
      <c r="Z1852" s="609" t="s">
        <v>764</v>
      </c>
      <c r="AA1852" s="609" t="s">
        <v>3326</v>
      </c>
    </row>
    <row r="1853" spans="1:27" ht="24">
      <c r="A1853" s="2714" t="s">
        <v>773</v>
      </c>
      <c r="B1853" s="371">
        <v>3</v>
      </c>
      <c r="C1853" s="371"/>
      <c r="D1853" s="2716" t="str">
        <f>VLOOKUP($A1853,Sheet_NoteList,2,0)</f>
        <v>债权投资按减值计提方法分类披露（三阶段模型）</v>
      </c>
      <c r="E1853" s="2716" t="s">
        <v>2742</v>
      </c>
      <c r="F1853" s="293"/>
      <c r="G1853" s="372" t="str">
        <f>"("&amp;B1853&amp;")"&amp;D1853</f>
        <v>(3)债权投资按减值计提方法分类披露（三阶段模型）</v>
      </c>
      <c r="H1853" s="1517" t="str">
        <f>$A1853</f>
        <v>1505g</v>
      </c>
      <c r="I1853" s="343" t="s">
        <v>2743</v>
      </c>
      <c r="J1853" s="301" t="s">
        <v>2744</v>
      </c>
      <c r="K1853" s="2210">
        <f ca="1">L1860</f>
        <v>0</v>
      </c>
      <c r="L1853" s="349" t="str">
        <f ca="1">IF($I1853="适用",IF(ROUND(K$1822-K1853,2)=0,"F/S",ROUND(K$1822-K1853,2)),"#N/A")</f>
        <v>F/S</v>
      </c>
      <c r="M1853" s="301" t="s">
        <v>2745</v>
      </c>
      <c r="N1853" s="2210">
        <f>I1860</f>
        <v>0</v>
      </c>
      <c r="O1853" s="349" t="str">
        <f>IF($I1853="适用",IF(ROUND(N$1822-N1853,2)=0,"F/S",ROUND(N$1822-N1853,2)),"#N/A")</f>
        <v>F/S</v>
      </c>
      <c r="P1853" s="301"/>
      <c r="S1853" s="364"/>
      <c r="Z1853" s="609" t="s">
        <v>764</v>
      </c>
      <c r="AA1853" s="609" t="s">
        <v>3326</v>
      </c>
    </row>
    <row r="1854" spans="1:27" ht="0.75" customHeight="1" thickBot="1">
      <c r="A1854" s="2714"/>
      <c r="B1854" s="371"/>
      <c r="C1854" s="371"/>
      <c r="D1854" s="2716"/>
      <c r="E1854" s="586"/>
      <c r="F1854" s="586"/>
      <c r="G1854" s="2224" t="s">
        <v>3341</v>
      </c>
      <c r="H1854" s="1617" t="s">
        <v>6207</v>
      </c>
      <c r="I1854" s="371" t="s">
        <v>6214</v>
      </c>
      <c r="J1854" s="371" t="s">
        <v>6215</v>
      </c>
      <c r="K1854" s="1604"/>
      <c r="L1854" s="1604"/>
      <c r="M1854" s="1604"/>
      <c r="N1854" s="1604"/>
      <c r="O1854" s="1604"/>
      <c r="P1854" s="1604"/>
      <c r="Q1854" s="1604"/>
      <c r="R1854" s="1604"/>
      <c r="S1854" s="364"/>
      <c r="Z1854" s="609" t="s">
        <v>764</v>
      </c>
      <c r="AA1854" s="609" t="s">
        <v>3326</v>
      </c>
    </row>
    <row r="1855" spans="1:27" ht="18.75" thickTop="1">
      <c r="A1855" s="2714"/>
      <c r="B1855" s="371"/>
      <c r="C1855" s="371"/>
      <c r="D1855" s="2716"/>
      <c r="E1855" s="586" t="s">
        <v>2749</v>
      </c>
      <c r="F1855" s="414"/>
      <c r="G1855" s="2289" t="s">
        <v>5930</v>
      </c>
      <c r="H1855" s="2310" t="s">
        <v>5130</v>
      </c>
      <c r="I1855" s="2310" t="s">
        <v>5145</v>
      </c>
      <c r="J1855" s="2293" t="s">
        <v>2863</v>
      </c>
      <c r="K1855" s="355" t="s">
        <v>5278</v>
      </c>
      <c r="L1855" s="1584" t="str">
        <f>H1855</f>
        <v>账面余额</v>
      </c>
      <c r="M1855" s="1584" t="str">
        <f>I1855</f>
        <v>减值准备</v>
      </c>
      <c r="N1855" s="1584" t="str">
        <f>J1855</f>
        <v>账面价值</v>
      </c>
      <c r="O1855" s="2658" t="str">
        <f>""&amp;"NoteID"&amp;""</f>
        <v>NoteID</v>
      </c>
      <c r="P1855" s="1604"/>
      <c r="Q1855" s="1604"/>
      <c r="R1855" s="1604"/>
      <c r="S1855" s="364"/>
      <c r="Z1855" s="609" t="s">
        <v>764</v>
      </c>
      <c r="AA1855" s="609" t="s">
        <v>3326</v>
      </c>
    </row>
    <row r="1856" spans="1:27" ht="18">
      <c r="A1856" s="2714"/>
      <c r="B1856" s="371">
        <v>101</v>
      </c>
      <c r="C1856" s="371"/>
      <c r="D1856" s="2716">
        <f t="shared" ref="D1856:D1860" si="177">IF(OR(G1856="*",G1856="",G1856=0),0,COUNTIF($G$1856:$G$1860,G1856))</f>
        <v>1</v>
      </c>
      <c r="E1856" s="2721">
        <v>1</v>
      </c>
      <c r="F1856" s="293"/>
      <c r="G1856" s="1474" t="s">
        <v>5927</v>
      </c>
      <c r="H1856" s="2275"/>
      <c r="I1856" s="2275"/>
      <c r="J1856" s="2296"/>
      <c r="K1856" s="1604"/>
      <c r="L1856" s="2657">
        <f ca="1">HYPERLINK("#'"&amp;$G$1&amp;"'!"&amp;ADDRESS(ROW(Notes!H1880),COLUMN(Notes!H1880),4),H1880-H1856)</f>
        <v>0</v>
      </c>
      <c r="M1856" s="2657">
        <f ca="1">HYPERLINK("#'"&amp;$G$1&amp;"'!"&amp;ADDRESS(ROW(Notes!J1880),COLUMN(Notes!J1880),4),J1880-I1856)</f>
        <v>0</v>
      </c>
      <c r="N1856" s="2657">
        <f ca="1">HYPERLINK("#'"&amp;$G$1&amp;"'!"&amp;ADDRESS(ROW(Notes!K1880),COLUMN(Notes!K1880),4),K1880-J1856)</f>
        <v>0</v>
      </c>
      <c r="O1856" s="2650" t="str">
        <f>H1869</f>
        <v>1505c</v>
      </c>
      <c r="P1856" s="1604"/>
      <c r="Q1856" s="1604"/>
      <c r="R1856" s="1604"/>
      <c r="S1856" s="364"/>
      <c r="Z1856" s="609" t="s">
        <v>764</v>
      </c>
      <c r="AA1856" s="609" t="s">
        <v>3326</v>
      </c>
    </row>
    <row r="1857" spans="1:27" ht="18">
      <c r="A1857" s="2714"/>
      <c r="B1857" s="371">
        <v>102</v>
      </c>
      <c r="C1857" s="371"/>
      <c r="D1857" s="2716">
        <f t="shared" si="177"/>
        <v>1</v>
      </c>
      <c r="E1857" s="2721">
        <v>1</v>
      </c>
      <c r="F1857" s="293"/>
      <c r="G1857" s="1474" t="s">
        <v>5928</v>
      </c>
      <c r="H1857" s="2275"/>
      <c r="I1857" s="2275"/>
      <c r="J1857" s="2296"/>
      <c r="K1857" s="1604"/>
      <c r="L1857" s="2657">
        <f ca="1">HYPERLINK("#'"&amp;$G$1&amp;"'!"&amp;ADDRESS(ROW(Notes!H1893),COLUMN(Notes!H1893),4),H1893-H1857)</f>
        <v>0</v>
      </c>
      <c r="M1857" s="2657">
        <f ca="1">HYPERLINK("#'"&amp;$G$1&amp;"'!"&amp;ADDRESS(ROW(Notes!J1893),COLUMN(Notes!J1893),4),J1893-I1857)</f>
        <v>0</v>
      </c>
      <c r="N1857" s="2657">
        <f ca="1">HYPERLINK("#'"&amp;$G$1&amp;"'!"&amp;ADDRESS(ROW(Notes!K1893),COLUMN(Notes!K1893),4),K1893-J1857)</f>
        <v>0</v>
      </c>
      <c r="O1857" s="2650" t="str">
        <f>H1882</f>
        <v>1505d</v>
      </c>
      <c r="P1857" s="1604"/>
      <c r="Q1857" s="1604"/>
      <c r="R1857" s="1604"/>
      <c r="S1857" s="364"/>
      <c r="Z1857" s="609" t="s">
        <v>764</v>
      </c>
      <c r="AA1857" s="609" t="s">
        <v>3326</v>
      </c>
    </row>
    <row r="1858" spans="1:27" ht="18">
      <c r="A1858" s="2714"/>
      <c r="B1858" s="371">
        <v>103</v>
      </c>
      <c r="C1858" s="371"/>
      <c r="D1858" s="2716">
        <f t="shared" si="177"/>
        <v>1</v>
      </c>
      <c r="E1858" s="2721">
        <v>1</v>
      </c>
      <c r="F1858" s="293"/>
      <c r="G1858" s="1474" t="s">
        <v>5929</v>
      </c>
      <c r="H1858" s="2275"/>
      <c r="I1858" s="2275"/>
      <c r="J1858" s="2296"/>
      <c r="K1858" s="1604"/>
      <c r="L1858" s="2657">
        <f ca="1">HYPERLINK("#'"&amp;$G$1&amp;"'!"&amp;ADDRESS(ROW(Notes!H1906),COLUMN(Notes!H1906),4),H1906-H1858)</f>
        <v>0</v>
      </c>
      <c r="M1858" s="2657">
        <f ca="1">HYPERLINK("#'"&amp;$G$1&amp;"'!"&amp;ADDRESS(ROW(Notes!J1906),COLUMN(Notes!J1906),4),J1906-I1858)</f>
        <v>0</v>
      </c>
      <c r="N1858" s="2657">
        <f ca="1">HYPERLINK("#'"&amp;$G$1&amp;"'!"&amp;ADDRESS(ROW(Notes!K1906),COLUMN(Notes!K1906),4),K1906-J1858)</f>
        <v>0</v>
      </c>
      <c r="O1858" s="2650" t="str">
        <f>H1895</f>
        <v>1505e</v>
      </c>
      <c r="P1858" s="1604"/>
      <c r="Q1858" s="1604"/>
      <c r="R1858" s="1604"/>
      <c r="S1858" s="364"/>
      <c r="Z1858" s="609" t="s">
        <v>764</v>
      </c>
      <c r="AA1858" s="609" t="s">
        <v>3326</v>
      </c>
    </row>
    <row r="1859" spans="1:27" ht="18">
      <c r="A1859" s="2714"/>
      <c r="B1859" s="371">
        <v>104</v>
      </c>
      <c r="C1859" s="371" t="s">
        <v>2791</v>
      </c>
      <c r="D1859" s="2716">
        <f t="shared" si="177"/>
        <v>0</v>
      </c>
      <c r="E1859" s="2721">
        <v>0</v>
      </c>
      <c r="F1859" s="293"/>
      <c r="G1859" s="2284" t="s">
        <v>2792</v>
      </c>
      <c r="H1859" s="2275"/>
      <c r="I1859" s="2275"/>
      <c r="J1859" s="2296"/>
      <c r="K1859" s="1604"/>
      <c r="L1859" s="2648"/>
      <c r="M1859" s="2648"/>
      <c r="N1859" s="2648"/>
      <c r="O1859" s="2648"/>
      <c r="P1859" s="1604"/>
      <c r="Q1859" s="1604"/>
      <c r="R1859" s="1604"/>
      <c r="S1859" s="364"/>
      <c r="Z1859" s="609" t="s">
        <v>764</v>
      </c>
      <c r="AA1859" s="609" t="s">
        <v>3326</v>
      </c>
    </row>
    <row r="1860" spans="1:27" ht="18.75" thickBot="1">
      <c r="A1860" s="2714"/>
      <c r="B1860" s="371"/>
      <c r="C1860" s="371"/>
      <c r="D1860" s="2716">
        <f t="shared" si="177"/>
        <v>1</v>
      </c>
      <c r="E1860" s="2721" t="s">
        <v>2751</v>
      </c>
      <c r="F1860" s="293"/>
      <c r="G1860" s="2234" t="s">
        <v>2752</v>
      </c>
      <c r="H1860" s="2235">
        <f>SUMPRODUCT($E1855:$E1859,H1855:H1859)</f>
        <v>0</v>
      </c>
      <c r="I1860" s="2235">
        <f>SUMPRODUCT($E1855:$E1859,I1855:I1859)</f>
        <v>0</v>
      </c>
      <c r="J1860" s="2236">
        <f>SUMPRODUCT($E1855:$E1859,J1855:J1859)</f>
        <v>0</v>
      </c>
      <c r="K1860" s="1604"/>
      <c r="L1860" s="1557">
        <f t="shared" ref="L1860:O1860" ca="1" si="178">SUM(L1856:L1859)</f>
        <v>0</v>
      </c>
      <c r="M1860" s="1557">
        <f t="shared" ca="1" si="178"/>
        <v>0</v>
      </c>
      <c r="N1860" s="1557">
        <f t="shared" ca="1" si="178"/>
        <v>0</v>
      </c>
      <c r="O1860" s="1557">
        <f t="shared" si="178"/>
        <v>0</v>
      </c>
      <c r="P1860" s="1604"/>
      <c r="Q1860" s="1604"/>
      <c r="R1860" s="1604"/>
      <c r="S1860" s="364"/>
      <c r="Z1860" s="609" t="s">
        <v>764</v>
      </c>
      <c r="AA1860" s="609" t="s">
        <v>3326</v>
      </c>
    </row>
    <row r="1861" spans="1:27" ht="18.75" thickBot="1">
      <c r="A1861" s="2714"/>
      <c r="B1861" s="371"/>
      <c r="C1861" s="371" t="s">
        <v>2755</v>
      </c>
      <c r="D1861" s="2716"/>
      <c r="F1861" s="293"/>
      <c r="G1861" s="376"/>
      <c r="H1861" s="527" t="s">
        <v>3002</v>
      </c>
      <c r="I1861" s="2253" t="s">
        <v>3002</v>
      </c>
      <c r="J1861" s="527" t="s">
        <v>3002</v>
      </c>
      <c r="K1861" s="1604"/>
      <c r="L1861" s="2656" t="s">
        <v>5505</v>
      </c>
      <c r="M1861" s="2647"/>
      <c r="N1861" s="2647"/>
      <c r="O1861" s="2647"/>
      <c r="P1861" s="1604"/>
      <c r="Q1861" s="1604"/>
      <c r="R1861" s="1604"/>
      <c r="S1861" s="364"/>
      <c r="Z1861" s="609" t="s">
        <v>764</v>
      </c>
      <c r="AA1861" s="609" t="s">
        <v>3326</v>
      </c>
    </row>
    <row r="1862" spans="1:27" ht="18.75" thickTop="1">
      <c r="A1862" s="2714"/>
      <c r="B1862" s="371"/>
      <c r="C1862" s="371" t="s">
        <v>2565</v>
      </c>
      <c r="D1862" s="2716"/>
      <c r="F1862" s="293"/>
      <c r="G1862" s="1549" t="s">
        <v>5367</v>
      </c>
      <c r="H1862" s="1550" t="str">
        <f>G1823</f>
        <v>(1)债权投资情况</v>
      </c>
      <c r="I1862" s="1552"/>
      <c r="J1862" s="1552"/>
      <c r="K1862" s="1553" t="s">
        <v>5368</v>
      </c>
      <c r="L1862" s="1604"/>
      <c r="M1862" s="1604"/>
      <c r="N1862" s="1604"/>
      <c r="O1862" s="1604"/>
      <c r="P1862" s="1604"/>
      <c r="Q1862" s="1604"/>
      <c r="R1862" s="1604"/>
      <c r="S1862" s="364"/>
      <c r="Z1862" s="609" t="s">
        <v>764</v>
      </c>
      <c r="AA1862" s="609" t="s">
        <v>3326</v>
      </c>
    </row>
    <row r="1863" spans="1:27" ht="18">
      <c r="A1863" s="2714"/>
      <c r="B1863" s="371"/>
      <c r="C1863" s="371" t="s">
        <v>2565</v>
      </c>
      <c r="D1863" s="2716"/>
      <c r="F1863" s="293"/>
      <c r="G1863" s="604" t="str">
        <f>"注释A:"&amp; G1836</f>
        <v>注释A:合       计</v>
      </c>
      <c r="H1863" s="2252">
        <f ca="1">HYPERLINK("#'"&amp;$G$1&amp;"'!"&amp;ADDRESS(ROW(Notes!H1836),COLUMN(Notes!H1836),4),H1836)</f>
        <v>0</v>
      </c>
      <c r="I1863" s="2252">
        <f ca="1">HYPERLINK("#'"&amp;$G$1&amp;"'!"&amp;ADDRESS(ROW(Notes!I1836),COLUMN(Notes!I1836),4),I1836)</f>
        <v>0</v>
      </c>
      <c r="J1863" s="2252">
        <f ca="1">HYPERLINK("#'"&amp;$G$1&amp;"'!"&amp;ADDRESS(ROW(Notes!J1836),COLUMN(Notes!J1836),4),J1836)</f>
        <v>0</v>
      </c>
      <c r="K1863" s="2650" t="str">
        <f>H1823</f>
        <v>1505a</v>
      </c>
      <c r="L1863" s="1604"/>
      <c r="M1863" s="1604"/>
      <c r="N1863" s="1604"/>
      <c r="O1863" s="1604"/>
      <c r="P1863" s="1604"/>
      <c r="Q1863" s="1604"/>
      <c r="R1863" s="1604"/>
      <c r="S1863" s="364"/>
      <c r="Z1863" s="609" t="s">
        <v>764</v>
      </c>
      <c r="AA1863" s="609" t="s">
        <v>3326</v>
      </c>
    </row>
    <row r="1864" spans="1:27" ht="18">
      <c r="A1864" s="2714"/>
      <c r="B1864" s="371"/>
      <c r="C1864" s="371" t="s">
        <v>2565</v>
      </c>
      <c r="D1864" s="2716"/>
      <c r="F1864" s="293"/>
      <c r="G1864" s="604" t="str">
        <f>"本注释B:"&amp; G1860</f>
        <v>本注释B:合       计</v>
      </c>
      <c r="H1864" s="456">
        <f>H1860</f>
        <v>0</v>
      </c>
      <c r="I1864" s="456">
        <f t="shared" ref="I1864:J1864" si="179">I1860</f>
        <v>0</v>
      </c>
      <c r="J1864" s="456">
        <f t="shared" si="179"/>
        <v>0</v>
      </c>
      <c r="K1864" s="2649" t="s">
        <v>773</v>
      </c>
      <c r="L1864" s="1604"/>
      <c r="M1864" s="1604"/>
      <c r="N1864" s="1604"/>
      <c r="O1864" s="1604"/>
      <c r="P1864" s="1604"/>
      <c r="Q1864" s="1604"/>
      <c r="R1864" s="1604"/>
      <c r="S1864" s="364"/>
      <c r="Z1864" s="609" t="s">
        <v>764</v>
      </c>
      <c r="AA1864" s="609" t="s">
        <v>3326</v>
      </c>
    </row>
    <row r="1865" spans="1:27" ht="18.75" thickBot="1">
      <c r="A1865" s="2714"/>
      <c r="B1865" s="371"/>
      <c r="C1865" s="371" t="s">
        <v>2565</v>
      </c>
      <c r="D1865" s="2716"/>
      <c r="F1865" s="293"/>
      <c r="G1865" s="1554" t="s">
        <v>2757</v>
      </c>
      <c r="H1865" s="1531">
        <f ca="1">IF(AND(H1863="",H1864=""),"",ROUND(H1863-H1864,2))</f>
        <v>0</v>
      </c>
      <c r="I1865" s="1531">
        <f ca="1">IF(AND(I1863="",I1864=""),"",ROUND(I1863-I1864,2))</f>
        <v>0</v>
      </c>
      <c r="J1865" s="1531">
        <f ca="1">IF(AND(J1863="",J1864=""),"",ROUND(J1863-J1864,2))</f>
        <v>0</v>
      </c>
      <c r="K1865" s="1556"/>
      <c r="L1865" s="1604"/>
      <c r="M1865" s="1604"/>
      <c r="N1865" s="1604"/>
      <c r="O1865" s="1604"/>
      <c r="P1865" s="1604"/>
      <c r="Q1865" s="1604"/>
      <c r="R1865" s="1604"/>
      <c r="S1865" s="364"/>
      <c r="Z1865" s="609" t="s">
        <v>764</v>
      </c>
      <c r="AA1865" s="609" t="s">
        <v>3326</v>
      </c>
    </row>
    <row r="1866" spans="1:27" ht="18.75" thickTop="1">
      <c r="A1866" s="2714"/>
      <c r="B1866" s="371"/>
      <c r="C1866" s="371" t="s">
        <v>2565</v>
      </c>
      <c r="D1866" s="2716"/>
      <c r="F1866" s="293"/>
      <c r="G1866" s="1545"/>
      <c r="H1866" s="459" t="str">
        <f ca="1">IF(OR(H1865=0,H1865=""),"√","？")</f>
        <v>√</v>
      </c>
      <c r="I1866" s="459" t="str">
        <f ca="1">IF(OR(I1865=0,I1865=""),"√","？")</f>
        <v>√</v>
      </c>
      <c r="J1866" s="459" t="str">
        <f ca="1">IF(OR(J1865=0,J1865=""),"√","？")</f>
        <v>√</v>
      </c>
      <c r="K1866" s="2647"/>
      <c r="L1866" s="1604"/>
      <c r="M1866" s="1604"/>
      <c r="N1866" s="1604"/>
      <c r="O1866" s="1604"/>
      <c r="P1866" s="1604"/>
      <c r="Q1866" s="1604"/>
      <c r="R1866" s="1604"/>
      <c r="S1866" s="364"/>
      <c r="Z1866" s="609" t="s">
        <v>764</v>
      </c>
      <c r="AA1866" s="609" t="s">
        <v>3326</v>
      </c>
    </row>
    <row r="1867" spans="1:27" ht="18">
      <c r="A1867" s="2714"/>
      <c r="B1867" s="371"/>
      <c r="C1867" s="371" t="s">
        <v>2565</v>
      </c>
      <c r="D1867" s="2716"/>
      <c r="F1867" s="293"/>
      <c r="G1867" s="1559" t="s">
        <v>2759</v>
      </c>
      <c r="H1867" s="461"/>
      <c r="I1867" s="461"/>
      <c r="J1867" s="461"/>
      <c r="K1867" s="2652">
        <f ca="1">SUMIF($H$1866:$K$1866,"&lt;&gt;√",$H$1865:$K$1865)</f>
        <v>0</v>
      </c>
      <c r="L1867" s="2653" t="str">
        <f ca="1">IF(OR(K1867=0,K1867=""),"√","？")</f>
        <v>√</v>
      </c>
      <c r="M1867" s="1604"/>
      <c r="N1867" s="1604"/>
      <c r="O1867" s="1604"/>
      <c r="P1867" s="1604"/>
      <c r="Q1867" s="1604"/>
      <c r="R1867" s="1604"/>
      <c r="S1867" s="364"/>
      <c r="Z1867" s="609" t="s">
        <v>764</v>
      </c>
      <c r="AA1867" s="609" t="s">
        <v>3326</v>
      </c>
    </row>
    <row r="1868" spans="1:27" ht="18">
      <c r="A1868" s="2714"/>
      <c r="B1868" s="371"/>
      <c r="C1868" s="371" t="s">
        <v>2565</v>
      </c>
      <c r="D1868" s="2716"/>
      <c r="F1868" s="293"/>
      <c r="G1868" s="1545"/>
      <c r="H1868" s="461"/>
      <c r="I1868" s="461"/>
      <c r="J1868" s="461"/>
      <c r="K1868" s="2647"/>
      <c r="L1868" s="1604"/>
      <c r="M1868" s="1604"/>
      <c r="N1868" s="1604"/>
      <c r="O1868" s="1604"/>
      <c r="P1868" s="1604"/>
      <c r="Q1868" s="1604"/>
      <c r="R1868" s="1604"/>
      <c r="S1868" s="364"/>
      <c r="Z1868" s="609" t="s">
        <v>764</v>
      </c>
      <c r="AA1868" s="609" t="s">
        <v>3326</v>
      </c>
    </row>
    <row r="1869" spans="1:27" ht="24">
      <c r="A1869" s="2714" t="s">
        <v>788</v>
      </c>
      <c r="B1869" s="371">
        <v>3.1</v>
      </c>
      <c r="C1869" s="371"/>
      <c r="D1869" s="2716" t="str">
        <f>VLOOKUP($A1869,Sheet_NoteList,2,0)</f>
        <v>期末处于第一阶段的债权投资的减值准备</v>
      </c>
      <c r="E1869" s="2716" t="s">
        <v>2742</v>
      </c>
      <c r="F1869" s="293"/>
      <c r="G1869" s="372" t="str">
        <f>"("&amp;B1869&amp;")"&amp;D1869</f>
        <v>(3.1)期末处于第一阶段的债权投资的减值准备</v>
      </c>
      <c r="H1869" s="1517" t="str">
        <f>$A1869</f>
        <v>1505c</v>
      </c>
      <c r="I1869" s="343" t="s">
        <v>2743</v>
      </c>
      <c r="J1869" s="301" t="s">
        <v>2744</v>
      </c>
      <c r="K1869" s="2210">
        <f>K1880</f>
        <v>0</v>
      </c>
      <c r="L1869" s="349"/>
      <c r="M1869" s="301"/>
      <c r="N1869" s="391"/>
      <c r="O1869" s="349"/>
      <c r="P1869" s="301"/>
      <c r="S1869" s="364"/>
      <c r="Z1869" s="609" t="s">
        <v>764</v>
      </c>
      <c r="AA1869" s="609" t="s">
        <v>3326</v>
      </c>
    </row>
    <row r="1870" spans="1:27" ht="0.75" customHeight="1" thickBot="1">
      <c r="A1870" s="2714"/>
      <c r="B1870" s="371"/>
      <c r="C1870" s="371"/>
      <c r="D1870" s="2716"/>
      <c r="E1870" s="586"/>
      <c r="F1870" s="586"/>
      <c r="G1870" s="2224" t="s">
        <v>3358</v>
      </c>
      <c r="H1870" s="371" t="s">
        <v>2747</v>
      </c>
      <c r="I1870" s="371" t="s">
        <v>2947</v>
      </c>
      <c r="J1870" s="371" t="s">
        <v>2948</v>
      </c>
      <c r="K1870" s="547" t="s">
        <v>3359</v>
      </c>
      <c r="L1870" s="547" t="s">
        <v>3145</v>
      </c>
      <c r="M1870" s="433"/>
      <c r="N1870" s="428"/>
      <c r="O1870" s="428"/>
      <c r="P1870" s="433"/>
      <c r="Q1870" s="442"/>
      <c r="R1870" s="443"/>
      <c r="S1870" s="364"/>
      <c r="Z1870" s="609" t="s">
        <v>764</v>
      </c>
      <c r="AA1870" s="609" t="s">
        <v>3326</v>
      </c>
    </row>
    <row r="1871" spans="1:27" ht="36">
      <c r="A1871" s="2714"/>
      <c r="B1871" s="371"/>
      <c r="C1871" s="371"/>
      <c r="D1871" s="2716"/>
      <c r="E1871" s="586" t="s">
        <v>2749</v>
      </c>
      <c r="F1871" s="414"/>
      <c r="G1871" s="2289" t="s">
        <v>5135</v>
      </c>
      <c r="H1871" s="2291" t="s">
        <v>5130</v>
      </c>
      <c r="I1871" s="2291" t="s">
        <v>3360</v>
      </c>
      <c r="J1871" s="2291" t="s">
        <v>5145</v>
      </c>
      <c r="K1871" s="2292" t="s">
        <v>5129</v>
      </c>
      <c r="L1871" s="2312" t="s">
        <v>3147</v>
      </c>
      <c r="M1871" s="355" t="s">
        <v>5278</v>
      </c>
      <c r="N1871" s="434"/>
      <c r="O1871" s="434"/>
      <c r="P1871" s="435"/>
      <c r="Q1871" s="442"/>
      <c r="R1871" s="443"/>
      <c r="S1871" s="364"/>
      <c r="Z1871" s="609" t="s">
        <v>764</v>
      </c>
      <c r="AA1871" s="609" t="s">
        <v>3326</v>
      </c>
    </row>
    <row r="1872" spans="1:27" ht="18">
      <c r="A1872" s="2714"/>
      <c r="B1872" s="371">
        <v>101</v>
      </c>
      <c r="C1872" s="371"/>
      <c r="D1872" s="2716">
        <f t="shared" ref="D1872:D1880" si="180">IF(OR(G1872="*",G1872="",G1872=0),0,COUNTIF($G$1872:$G$1880,G1872))</f>
        <v>1</v>
      </c>
      <c r="E1872" s="2721">
        <v>1</v>
      </c>
      <c r="F1872" s="293"/>
      <c r="G1872" s="1474" t="s">
        <v>3093</v>
      </c>
      <c r="H1872" s="2275">
        <f>SUM(H1873:H1875)</f>
        <v>0</v>
      </c>
      <c r="I1872" s="2298"/>
      <c r="J1872" s="2275">
        <f>SUM(J1873:J1875)</f>
        <v>0</v>
      </c>
      <c r="K1872" s="1476">
        <f>H1872-J1872</f>
        <v>0</v>
      </c>
      <c r="L1872" s="2276"/>
      <c r="M1872" s="355"/>
      <c r="N1872" s="439"/>
      <c r="O1872" s="437"/>
      <c r="P1872" s="438"/>
      <c r="Q1872" s="442"/>
      <c r="R1872" s="443"/>
      <c r="S1872" s="364"/>
      <c r="Z1872" s="609" t="s">
        <v>764</v>
      </c>
      <c r="AA1872" s="609" t="s">
        <v>3326</v>
      </c>
    </row>
    <row r="1873" spans="1:29" ht="18">
      <c r="A1873" s="2714"/>
      <c r="B1873" s="371">
        <v>102</v>
      </c>
      <c r="C1873" s="371" t="s">
        <v>2791</v>
      </c>
      <c r="D1873" s="2716">
        <f t="shared" si="180"/>
        <v>1</v>
      </c>
      <c r="E1873" s="2721">
        <v>0</v>
      </c>
      <c r="F1873" s="293"/>
      <c r="G1873" s="2284" t="s">
        <v>2829</v>
      </c>
      <c r="H1873" s="2275"/>
      <c r="I1873" s="2298"/>
      <c r="J1873" s="2275"/>
      <c r="K1873" s="1476">
        <f t="shared" ref="K1873:K1879" si="181">H1873-J1873</f>
        <v>0</v>
      </c>
      <c r="L1873" s="2276"/>
      <c r="M1873" s="355" t="s">
        <v>6136</v>
      </c>
      <c r="N1873" s="439"/>
      <c r="O1873" s="437"/>
      <c r="P1873" s="438"/>
      <c r="Q1873" s="442"/>
      <c r="R1873" s="443"/>
      <c r="S1873" s="364"/>
      <c r="Z1873" s="609" t="s">
        <v>764</v>
      </c>
      <c r="AA1873" s="609" t="s">
        <v>3326</v>
      </c>
    </row>
    <row r="1874" spans="1:29" ht="18">
      <c r="A1874" s="2714"/>
      <c r="B1874" s="371">
        <v>103</v>
      </c>
      <c r="C1874" s="371" t="s">
        <v>2791</v>
      </c>
      <c r="D1874" s="2716">
        <f t="shared" si="180"/>
        <v>0</v>
      </c>
      <c r="E1874" s="2721">
        <v>0</v>
      </c>
      <c r="F1874" s="293"/>
      <c r="G1874" s="2284" t="s">
        <v>2792</v>
      </c>
      <c r="H1874" s="2275"/>
      <c r="I1874" s="2298"/>
      <c r="J1874" s="2275"/>
      <c r="K1874" s="1476">
        <f t="shared" si="181"/>
        <v>0</v>
      </c>
      <c r="L1874" s="2276"/>
      <c r="M1874" s="438"/>
      <c r="N1874" s="439"/>
      <c r="O1874" s="437"/>
      <c r="P1874" s="438"/>
      <c r="Q1874" s="442"/>
      <c r="R1874" s="443"/>
      <c r="S1874" s="364"/>
      <c r="Z1874" s="609" t="s">
        <v>764</v>
      </c>
      <c r="AA1874" s="609" t="s">
        <v>3326</v>
      </c>
    </row>
    <row r="1875" spans="1:29" ht="18">
      <c r="A1875" s="2714"/>
      <c r="B1875" s="371">
        <v>104</v>
      </c>
      <c r="C1875" s="371" t="s">
        <v>2791</v>
      </c>
      <c r="D1875" s="2716">
        <f t="shared" si="180"/>
        <v>0</v>
      </c>
      <c r="E1875" s="2721">
        <v>0</v>
      </c>
      <c r="F1875" s="293"/>
      <c r="G1875" s="2284" t="s">
        <v>2792</v>
      </c>
      <c r="H1875" s="2275"/>
      <c r="I1875" s="2298"/>
      <c r="J1875" s="2275"/>
      <c r="K1875" s="1476">
        <f t="shared" si="181"/>
        <v>0</v>
      </c>
      <c r="L1875" s="2276"/>
      <c r="M1875" s="438"/>
      <c r="N1875" s="439"/>
      <c r="O1875" s="437"/>
      <c r="P1875" s="438"/>
      <c r="Q1875" s="442"/>
      <c r="R1875" s="443"/>
      <c r="S1875" s="364"/>
      <c r="Z1875" s="609" t="s">
        <v>764</v>
      </c>
      <c r="AA1875" s="609" t="s">
        <v>3326</v>
      </c>
    </row>
    <row r="1876" spans="1:29" ht="18">
      <c r="A1876" s="2714"/>
      <c r="B1876" s="371">
        <v>105</v>
      </c>
      <c r="C1876" s="371"/>
      <c r="D1876" s="2716">
        <f t="shared" si="180"/>
        <v>1</v>
      </c>
      <c r="E1876" s="2721">
        <v>1</v>
      </c>
      <c r="F1876" s="293"/>
      <c r="G1876" s="1474" t="s">
        <v>3094</v>
      </c>
      <c r="H1876" s="2275">
        <f>SUM(H1877:H1879)</f>
        <v>0</v>
      </c>
      <c r="I1876" s="2298"/>
      <c r="J1876" s="2275">
        <f>SUM(J1877:J1879)</f>
        <v>0</v>
      </c>
      <c r="K1876" s="1476">
        <f t="shared" si="181"/>
        <v>0</v>
      </c>
      <c r="L1876" s="2276"/>
      <c r="M1876" s="438"/>
      <c r="N1876" s="439"/>
      <c r="O1876" s="437"/>
      <c r="P1876" s="438"/>
      <c r="Q1876" s="442"/>
      <c r="R1876" s="443"/>
      <c r="S1876" s="364"/>
      <c r="Z1876" s="609" t="s">
        <v>764</v>
      </c>
      <c r="AA1876" s="609" t="s">
        <v>3326</v>
      </c>
    </row>
    <row r="1877" spans="1:29" ht="18">
      <c r="A1877" s="2714"/>
      <c r="B1877" s="371">
        <v>106</v>
      </c>
      <c r="C1877" s="371" t="s">
        <v>2791</v>
      </c>
      <c r="D1877" s="2716">
        <f t="shared" si="180"/>
        <v>1</v>
      </c>
      <c r="E1877" s="2721">
        <v>0</v>
      </c>
      <c r="F1877" s="293"/>
      <c r="G1877" s="2284" t="s">
        <v>2831</v>
      </c>
      <c r="H1877" s="2275"/>
      <c r="I1877" s="2298"/>
      <c r="J1877" s="2275"/>
      <c r="K1877" s="1476">
        <f t="shared" si="181"/>
        <v>0</v>
      </c>
      <c r="L1877" s="2276"/>
      <c r="M1877" s="355"/>
      <c r="N1877" s="439"/>
      <c r="O1877" s="437"/>
      <c r="P1877" s="438"/>
      <c r="Q1877" s="442"/>
      <c r="R1877" s="443"/>
      <c r="S1877" s="364"/>
      <c r="Z1877" s="609" t="s">
        <v>764</v>
      </c>
      <c r="AA1877" s="609" t="s">
        <v>3326</v>
      </c>
    </row>
    <row r="1878" spans="1:29" ht="18">
      <c r="A1878" s="2714"/>
      <c r="B1878" s="371">
        <v>107</v>
      </c>
      <c r="C1878" s="371" t="s">
        <v>2791</v>
      </c>
      <c r="D1878" s="2716">
        <f t="shared" si="180"/>
        <v>0</v>
      </c>
      <c r="E1878" s="2721">
        <v>0</v>
      </c>
      <c r="F1878" s="293"/>
      <c r="G1878" s="2284" t="s">
        <v>2792</v>
      </c>
      <c r="H1878" s="2275"/>
      <c r="I1878" s="2298"/>
      <c r="J1878" s="2275"/>
      <c r="K1878" s="1476">
        <f t="shared" si="181"/>
        <v>0</v>
      </c>
      <c r="L1878" s="2276"/>
      <c r="M1878" s="438"/>
      <c r="N1878" s="439"/>
      <c r="O1878" s="437"/>
      <c r="P1878" s="438"/>
      <c r="Q1878" s="442"/>
      <c r="R1878" s="443"/>
      <c r="S1878" s="364"/>
      <c r="Z1878" s="609" t="s">
        <v>764</v>
      </c>
      <c r="AA1878" s="609" t="s">
        <v>3326</v>
      </c>
    </row>
    <row r="1879" spans="1:29" ht="18">
      <c r="A1879" s="2714"/>
      <c r="B1879" s="371">
        <v>108</v>
      </c>
      <c r="C1879" s="371" t="s">
        <v>2791</v>
      </c>
      <c r="D1879" s="2716">
        <f t="shared" si="180"/>
        <v>0</v>
      </c>
      <c r="E1879" s="2721">
        <v>0</v>
      </c>
      <c r="F1879" s="293"/>
      <c r="G1879" s="2284" t="s">
        <v>2792</v>
      </c>
      <c r="H1879" s="2275"/>
      <c r="I1879" s="2298"/>
      <c r="J1879" s="2275"/>
      <c r="K1879" s="1476">
        <f t="shared" si="181"/>
        <v>0</v>
      </c>
      <c r="L1879" s="2276"/>
      <c r="M1879" s="438"/>
      <c r="N1879" s="439"/>
      <c r="O1879" s="437"/>
      <c r="P1879" s="438"/>
      <c r="Q1879" s="442"/>
      <c r="R1879" s="443"/>
      <c r="S1879" s="364"/>
      <c r="Z1879" s="609" t="s">
        <v>764</v>
      </c>
      <c r="AA1879" s="609" t="s">
        <v>3326</v>
      </c>
    </row>
    <row r="1880" spans="1:29" ht="18.75" thickBot="1">
      <c r="A1880" s="2714"/>
      <c r="B1880" s="371"/>
      <c r="C1880" s="371"/>
      <c r="D1880" s="2716">
        <f t="shared" si="180"/>
        <v>1</v>
      </c>
      <c r="E1880" s="2721" t="s">
        <v>2751</v>
      </c>
      <c r="F1880" s="293"/>
      <c r="G1880" s="2234" t="s">
        <v>2752</v>
      </c>
      <c r="H1880" s="2235">
        <f>SUMPRODUCT($E1871:$E1879,H1871:H1879)</f>
        <v>0</v>
      </c>
      <c r="I1880" s="2242"/>
      <c r="J1880" s="2235">
        <f>SUMPRODUCT($E1871:$E1879,J1871:J1879)</f>
        <v>0</v>
      </c>
      <c r="K1880" s="2235">
        <f>SUMPRODUCT($E1871:$E1879,K1871:K1879)</f>
        <v>0</v>
      </c>
      <c r="L1880" s="2244"/>
      <c r="M1880" s="1597" t="str">
        <f ca="1">HYPERLINK("#'"&amp;$G$1&amp;"'!"&amp;ADDRESS(ROW(Notes!L1856),COLUMN(Notes!L1856),4),"* 请勿删除此行！点击往勾稽单元格，F5+Enter返回")</f>
        <v>* 请勿删除此行！点击往勾稽单元格，F5+Enter返回</v>
      </c>
      <c r="N1880" s="439"/>
      <c r="O1880" s="437"/>
      <c r="P1880" s="440"/>
      <c r="Q1880" s="442"/>
      <c r="R1880" s="443"/>
      <c r="S1880" s="364"/>
      <c r="Z1880" s="609" t="s">
        <v>764</v>
      </c>
      <c r="AA1880" s="609" t="s">
        <v>3326</v>
      </c>
      <c r="AC1880" s="369" t="s">
        <v>6573</v>
      </c>
    </row>
    <row r="1881" spans="1:29" ht="18">
      <c r="A1881" s="2714"/>
      <c r="B1881" s="371"/>
      <c r="C1881" s="371" t="s">
        <v>2755</v>
      </c>
      <c r="D1881" s="2716"/>
      <c r="F1881" s="293"/>
      <c r="G1881" s="376"/>
      <c r="H1881" s="315"/>
      <c r="I1881" s="432"/>
      <c r="J1881" s="315"/>
      <c r="K1881" s="423"/>
      <c r="L1881" s="393"/>
      <c r="M1881" s="425"/>
      <c r="N1881" s="426"/>
      <c r="O1881" s="427"/>
      <c r="P1881" s="425"/>
      <c r="Q1881" s="442"/>
      <c r="R1881" s="443"/>
      <c r="S1881" s="364"/>
      <c r="Z1881" s="609" t="s">
        <v>764</v>
      </c>
      <c r="AA1881" s="609" t="s">
        <v>3326</v>
      </c>
    </row>
    <row r="1882" spans="1:29" ht="24">
      <c r="A1882" s="2714" t="s">
        <v>792</v>
      </c>
      <c r="B1882" s="371">
        <v>3.2</v>
      </c>
      <c r="C1882" s="371"/>
      <c r="D1882" s="2716" t="str">
        <f>VLOOKUP($A1882,Sheet_NoteList,2,0)</f>
        <v>期末处于第二阶段的债权投资的减值准备</v>
      </c>
      <c r="E1882" s="2716" t="s">
        <v>2742</v>
      </c>
      <c r="F1882" s="293"/>
      <c r="G1882" s="372" t="str">
        <f>"("&amp;B1882&amp;")"&amp;D1882</f>
        <v>(3.2)期末处于第二阶段的债权投资的减值准备</v>
      </c>
      <c r="H1882" s="1517" t="str">
        <f>$A1882</f>
        <v>1505d</v>
      </c>
      <c r="I1882" s="343" t="s">
        <v>2743</v>
      </c>
      <c r="J1882" s="301" t="s">
        <v>2744</v>
      </c>
      <c r="K1882" s="2210">
        <f>K1893</f>
        <v>0</v>
      </c>
      <c r="L1882" s="349"/>
      <c r="M1882" s="301"/>
      <c r="N1882" s="391"/>
      <c r="O1882" s="349"/>
      <c r="P1882" s="301"/>
      <c r="S1882" s="364"/>
      <c r="Z1882" s="609" t="s">
        <v>764</v>
      </c>
      <c r="AA1882" s="609" t="s">
        <v>3326</v>
      </c>
    </row>
    <row r="1883" spans="1:29" ht="0.75" customHeight="1" thickBot="1">
      <c r="A1883" s="2714"/>
      <c r="B1883" s="371"/>
      <c r="C1883" s="371"/>
      <c r="D1883" s="2716"/>
      <c r="E1883" s="586"/>
      <c r="F1883" s="586"/>
      <c r="G1883" s="2224" t="s">
        <v>3361</v>
      </c>
      <c r="H1883" s="371" t="s">
        <v>2747</v>
      </c>
      <c r="I1883" s="371" t="s">
        <v>2947</v>
      </c>
      <c r="J1883" s="371" t="s">
        <v>2948</v>
      </c>
      <c r="K1883" s="547" t="s">
        <v>3359</v>
      </c>
      <c r="L1883" s="547" t="s">
        <v>3145</v>
      </c>
      <c r="M1883" s="433"/>
      <c r="N1883" s="428"/>
      <c r="O1883" s="428"/>
      <c r="P1883" s="433"/>
      <c r="Q1883" s="442"/>
      <c r="R1883" s="443"/>
      <c r="S1883" s="364"/>
      <c r="Z1883" s="609" t="s">
        <v>764</v>
      </c>
      <c r="AA1883" s="609" t="s">
        <v>3326</v>
      </c>
    </row>
    <row r="1884" spans="1:29" ht="36">
      <c r="A1884" s="2714"/>
      <c r="B1884" s="371"/>
      <c r="C1884" s="371"/>
      <c r="D1884" s="2716"/>
      <c r="E1884" s="586" t="s">
        <v>2749</v>
      </c>
      <c r="F1884" s="414"/>
      <c r="G1884" s="2289" t="s">
        <v>6014</v>
      </c>
      <c r="H1884" s="2291" t="s">
        <v>2861</v>
      </c>
      <c r="I1884" s="2291" t="s">
        <v>3148</v>
      </c>
      <c r="J1884" s="2291" t="s">
        <v>3097</v>
      </c>
      <c r="K1884" s="2311" t="s">
        <v>2863</v>
      </c>
      <c r="L1884" s="2312" t="s">
        <v>3147</v>
      </c>
      <c r="M1884" s="355" t="s">
        <v>5278</v>
      </c>
      <c r="N1884" s="434"/>
      <c r="O1884" s="434"/>
      <c r="P1884" s="435"/>
      <c r="Q1884" s="442"/>
      <c r="R1884" s="443"/>
      <c r="S1884" s="364"/>
      <c r="Z1884" s="609" t="s">
        <v>764</v>
      </c>
      <c r="AA1884" s="609" t="s">
        <v>3326</v>
      </c>
    </row>
    <row r="1885" spans="1:29" ht="18">
      <c r="A1885" s="2714"/>
      <c r="B1885" s="371">
        <v>101</v>
      </c>
      <c r="C1885" s="371"/>
      <c r="D1885" s="2716">
        <f t="shared" ref="D1885:D1893" si="182">IF(OR(G1885="*",G1885="",G1885=0),0,COUNTIF($G$1885:$G$1893,G1885))</f>
        <v>1</v>
      </c>
      <c r="E1885" s="2721">
        <v>1</v>
      </c>
      <c r="F1885" s="293"/>
      <c r="G1885" s="1474" t="s">
        <v>3093</v>
      </c>
      <c r="H1885" s="2275">
        <f>SUM(H1886:H1888)</f>
        <v>0</v>
      </c>
      <c r="I1885" s="2298"/>
      <c r="J1885" s="2275">
        <f>SUM(J1886:J1888)</f>
        <v>0</v>
      </c>
      <c r="K1885" s="1476">
        <f t="shared" ref="K1885:K1892" si="183">H1885-J1885</f>
        <v>0</v>
      </c>
      <c r="L1885" s="2276"/>
      <c r="M1885" s="355"/>
      <c r="N1885" s="439"/>
      <c r="O1885" s="437"/>
      <c r="P1885" s="438"/>
      <c r="Q1885" s="442"/>
      <c r="R1885" s="443"/>
      <c r="S1885" s="364"/>
      <c r="Z1885" s="609" t="s">
        <v>764</v>
      </c>
      <c r="AA1885" s="609" t="s">
        <v>3326</v>
      </c>
    </row>
    <row r="1886" spans="1:29" ht="18">
      <c r="A1886" s="2714"/>
      <c r="B1886" s="371">
        <v>102</v>
      </c>
      <c r="C1886" s="371" t="s">
        <v>2791</v>
      </c>
      <c r="D1886" s="2716">
        <f t="shared" si="182"/>
        <v>1</v>
      </c>
      <c r="E1886" s="2721">
        <v>0</v>
      </c>
      <c r="F1886" s="293"/>
      <c r="G1886" s="2284" t="s">
        <v>2829</v>
      </c>
      <c r="H1886" s="2275"/>
      <c r="I1886" s="2298"/>
      <c r="J1886" s="2275"/>
      <c r="K1886" s="1476">
        <f t="shared" si="183"/>
        <v>0</v>
      </c>
      <c r="L1886" s="2276"/>
      <c r="M1886" s="355" t="s">
        <v>6136</v>
      </c>
      <c r="N1886" s="439"/>
      <c r="O1886" s="437"/>
      <c r="P1886" s="438"/>
      <c r="Q1886" s="442"/>
      <c r="R1886" s="443"/>
      <c r="S1886" s="364"/>
      <c r="Z1886" s="609" t="s">
        <v>764</v>
      </c>
      <c r="AA1886" s="609" t="s">
        <v>3326</v>
      </c>
    </row>
    <row r="1887" spans="1:29" ht="18">
      <c r="A1887" s="2714"/>
      <c r="B1887" s="371">
        <v>103</v>
      </c>
      <c r="C1887" s="371" t="s">
        <v>2791</v>
      </c>
      <c r="D1887" s="2716">
        <f t="shared" si="182"/>
        <v>0</v>
      </c>
      <c r="E1887" s="2721">
        <v>0</v>
      </c>
      <c r="F1887" s="293"/>
      <c r="G1887" s="2284" t="s">
        <v>2792</v>
      </c>
      <c r="H1887" s="2275"/>
      <c r="I1887" s="2298"/>
      <c r="J1887" s="2275"/>
      <c r="K1887" s="1476">
        <f t="shared" si="183"/>
        <v>0</v>
      </c>
      <c r="L1887" s="2276"/>
      <c r="M1887" s="438"/>
      <c r="N1887" s="439"/>
      <c r="O1887" s="437"/>
      <c r="P1887" s="438"/>
      <c r="Q1887" s="442"/>
      <c r="R1887" s="443"/>
      <c r="S1887" s="364"/>
      <c r="Z1887" s="609" t="s">
        <v>764</v>
      </c>
      <c r="AA1887" s="609" t="s">
        <v>3326</v>
      </c>
    </row>
    <row r="1888" spans="1:29" ht="18">
      <c r="A1888" s="2714"/>
      <c r="B1888" s="371">
        <v>104</v>
      </c>
      <c r="C1888" s="371" t="s">
        <v>2791</v>
      </c>
      <c r="D1888" s="2716">
        <f t="shared" si="182"/>
        <v>0</v>
      </c>
      <c r="E1888" s="2721">
        <v>0</v>
      </c>
      <c r="F1888" s="293"/>
      <c r="G1888" s="2284" t="s">
        <v>2792</v>
      </c>
      <c r="H1888" s="2275"/>
      <c r="I1888" s="2298"/>
      <c r="J1888" s="2275"/>
      <c r="K1888" s="1476">
        <f t="shared" si="183"/>
        <v>0</v>
      </c>
      <c r="L1888" s="2276"/>
      <c r="M1888" s="438"/>
      <c r="N1888" s="439"/>
      <c r="O1888" s="437"/>
      <c r="P1888" s="438"/>
      <c r="Q1888" s="442"/>
      <c r="R1888" s="443"/>
      <c r="S1888" s="364"/>
      <c r="Z1888" s="609" t="s">
        <v>764</v>
      </c>
      <c r="AA1888" s="609" t="s">
        <v>3326</v>
      </c>
    </row>
    <row r="1889" spans="1:29" ht="18">
      <c r="A1889" s="2714"/>
      <c r="B1889" s="371">
        <v>105</v>
      </c>
      <c r="C1889" s="371"/>
      <c r="D1889" s="2716">
        <f t="shared" si="182"/>
        <v>1</v>
      </c>
      <c r="E1889" s="2721">
        <v>1</v>
      </c>
      <c r="F1889" s="293"/>
      <c r="G1889" s="1474" t="s">
        <v>3094</v>
      </c>
      <c r="H1889" s="2275">
        <f>SUM(H1890:H1892)</f>
        <v>0</v>
      </c>
      <c r="I1889" s="2298"/>
      <c r="J1889" s="2275">
        <f>SUM(J1890:J1892)</f>
        <v>0</v>
      </c>
      <c r="K1889" s="1476">
        <f t="shared" si="183"/>
        <v>0</v>
      </c>
      <c r="L1889" s="2276"/>
      <c r="M1889" s="438"/>
      <c r="N1889" s="439"/>
      <c r="O1889" s="437"/>
      <c r="P1889" s="438"/>
      <c r="Q1889" s="442"/>
      <c r="R1889" s="443"/>
      <c r="S1889" s="364"/>
      <c r="Z1889" s="609" t="s">
        <v>764</v>
      </c>
      <c r="AA1889" s="609" t="s">
        <v>3326</v>
      </c>
    </row>
    <row r="1890" spans="1:29" ht="18">
      <c r="A1890" s="2714"/>
      <c r="B1890" s="371">
        <v>106</v>
      </c>
      <c r="C1890" s="371" t="s">
        <v>2791</v>
      </c>
      <c r="D1890" s="2716">
        <f t="shared" si="182"/>
        <v>1</v>
      </c>
      <c r="E1890" s="2721">
        <v>0</v>
      </c>
      <c r="F1890" s="293"/>
      <c r="G1890" s="2284" t="s">
        <v>2831</v>
      </c>
      <c r="H1890" s="2275"/>
      <c r="I1890" s="2298"/>
      <c r="J1890" s="2275"/>
      <c r="K1890" s="1476">
        <f t="shared" si="183"/>
        <v>0</v>
      </c>
      <c r="L1890" s="2276"/>
      <c r="M1890" s="355"/>
      <c r="N1890" s="439"/>
      <c r="O1890" s="437"/>
      <c r="P1890" s="438"/>
      <c r="Q1890" s="442"/>
      <c r="R1890" s="443"/>
      <c r="S1890" s="364"/>
      <c r="Z1890" s="609" t="s">
        <v>764</v>
      </c>
      <c r="AA1890" s="609" t="s">
        <v>3326</v>
      </c>
    </row>
    <row r="1891" spans="1:29" ht="18">
      <c r="A1891" s="2714"/>
      <c r="B1891" s="371">
        <v>107</v>
      </c>
      <c r="C1891" s="371" t="s">
        <v>2791</v>
      </c>
      <c r="D1891" s="2716">
        <f t="shared" si="182"/>
        <v>0</v>
      </c>
      <c r="E1891" s="2721">
        <v>0</v>
      </c>
      <c r="F1891" s="293"/>
      <c r="G1891" s="2284" t="s">
        <v>2792</v>
      </c>
      <c r="H1891" s="2275"/>
      <c r="I1891" s="2298"/>
      <c r="J1891" s="2275"/>
      <c r="K1891" s="1476">
        <f t="shared" si="183"/>
        <v>0</v>
      </c>
      <c r="L1891" s="2276"/>
      <c r="M1891" s="438"/>
      <c r="N1891" s="439"/>
      <c r="O1891" s="437"/>
      <c r="P1891" s="438"/>
      <c r="Q1891" s="442"/>
      <c r="R1891" s="443"/>
      <c r="S1891" s="364"/>
      <c r="Z1891" s="609" t="s">
        <v>764</v>
      </c>
      <c r="AA1891" s="609" t="s">
        <v>3326</v>
      </c>
    </row>
    <row r="1892" spans="1:29" ht="18">
      <c r="A1892" s="2714"/>
      <c r="B1892" s="371">
        <v>108</v>
      </c>
      <c r="C1892" s="371" t="s">
        <v>2791</v>
      </c>
      <c r="D1892" s="2716">
        <f t="shared" si="182"/>
        <v>0</v>
      </c>
      <c r="E1892" s="2721">
        <v>0</v>
      </c>
      <c r="F1892" s="293"/>
      <c r="G1892" s="2284" t="s">
        <v>2792</v>
      </c>
      <c r="H1892" s="2275"/>
      <c r="I1892" s="2298"/>
      <c r="J1892" s="2275"/>
      <c r="K1892" s="1476">
        <f t="shared" si="183"/>
        <v>0</v>
      </c>
      <c r="L1892" s="2276"/>
      <c r="M1892" s="438"/>
      <c r="N1892" s="439"/>
      <c r="O1892" s="437"/>
      <c r="P1892" s="438"/>
      <c r="Q1892" s="442"/>
      <c r="R1892" s="443"/>
      <c r="S1892" s="364"/>
      <c r="Z1892" s="609" t="s">
        <v>764</v>
      </c>
      <c r="AA1892" s="609" t="s">
        <v>3326</v>
      </c>
    </row>
    <row r="1893" spans="1:29" ht="18.75" thickBot="1">
      <c r="A1893" s="2714"/>
      <c r="B1893" s="371"/>
      <c r="C1893" s="371"/>
      <c r="D1893" s="2716">
        <f t="shared" si="182"/>
        <v>1</v>
      </c>
      <c r="E1893" s="2721" t="s">
        <v>2751</v>
      </c>
      <c r="F1893" s="293"/>
      <c r="G1893" s="2234" t="s">
        <v>2752</v>
      </c>
      <c r="H1893" s="2235">
        <f>SUMPRODUCT($E1884:$E1892,H1884:H1892)</f>
        <v>0</v>
      </c>
      <c r="I1893" s="2242"/>
      <c r="J1893" s="2235">
        <f>SUMPRODUCT($E1884:$E1892,J1884:J1892)</f>
        <v>0</v>
      </c>
      <c r="K1893" s="2235">
        <f>SUMPRODUCT($E1884:$E1892,K1884:K1892)</f>
        <v>0</v>
      </c>
      <c r="L1893" s="2244"/>
      <c r="M1893" s="1597" t="str">
        <f ca="1">HYPERLINK("#'"&amp;$G$1&amp;"'!"&amp;ADDRESS(ROW(Notes!L1857),COLUMN(Notes!L1857),4),"* 请勿删除此行！点击往勾稽单元格，F5+Enter返回")</f>
        <v>* 请勿删除此行！点击往勾稽单元格，F5+Enter返回</v>
      </c>
      <c r="N1893" s="439"/>
      <c r="O1893" s="437"/>
      <c r="P1893" s="440"/>
      <c r="Q1893" s="442"/>
      <c r="R1893" s="443"/>
      <c r="S1893" s="364"/>
      <c r="Z1893" s="609" t="s">
        <v>764</v>
      </c>
      <c r="AA1893" s="609" t="s">
        <v>3326</v>
      </c>
      <c r="AC1893" s="369" t="s">
        <v>6573</v>
      </c>
    </row>
    <row r="1894" spans="1:29" ht="18">
      <c r="A1894" s="2714"/>
      <c r="B1894" s="371"/>
      <c r="C1894" s="371" t="s">
        <v>2755</v>
      </c>
      <c r="D1894" s="2716"/>
      <c r="F1894" s="293"/>
      <c r="G1894" s="376"/>
      <c r="H1894" s="315"/>
      <c r="I1894" s="432"/>
      <c r="J1894" s="315"/>
      <c r="K1894" s="423"/>
      <c r="L1894" s="393"/>
      <c r="M1894" s="425"/>
      <c r="N1894" s="426"/>
      <c r="O1894" s="427"/>
      <c r="P1894" s="425"/>
      <c r="Q1894" s="442"/>
      <c r="R1894" s="443"/>
      <c r="S1894" s="364"/>
      <c r="Z1894" s="609" t="s">
        <v>764</v>
      </c>
      <c r="AA1894" s="609" t="s">
        <v>3326</v>
      </c>
    </row>
    <row r="1895" spans="1:29" ht="24">
      <c r="A1895" s="2714" t="s">
        <v>795</v>
      </c>
      <c r="B1895" s="371">
        <v>3.3</v>
      </c>
      <c r="C1895" s="371"/>
      <c r="D1895" s="2716" t="str">
        <f>VLOOKUP($A1895,Sheet_NoteList,2,0)</f>
        <v>期末处于第三阶段的债权投资的减值准备</v>
      </c>
      <c r="E1895" s="2716" t="s">
        <v>2742</v>
      </c>
      <c r="F1895" s="293"/>
      <c r="G1895" s="372" t="str">
        <f>"("&amp;B1895&amp;")"&amp;D1895</f>
        <v>(3.3)期末处于第三阶段的债权投资的减值准备</v>
      </c>
      <c r="H1895" s="1517" t="str">
        <f>$A1895</f>
        <v>1505e</v>
      </c>
      <c r="I1895" s="343" t="s">
        <v>2743</v>
      </c>
      <c r="J1895" s="301" t="s">
        <v>2744</v>
      </c>
      <c r="K1895" s="2210">
        <f>K1906</f>
        <v>0</v>
      </c>
      <c r="L1895" s="349"/>
      <c r="M1895" s="301"/>
      <c r="N1895" s="391"/>
      <c r="O1895" s="349"/>
      <c r="P1895" s="301"/>
      <c r="S1895" s="364"/>
      <c r="Z1895" s="609" t="s">
        <v>764</v>
      </c>
      <c r="AA1895" s="609" t="s">
        <v>3326</v>
      </c>
    </row>
    <row r="1896" spans="1:29" ht="0.75" customHeight="1" thickBot="1">
      <c r="A1896" s="2714"/>
      <c r="B1896" s="371"/>
      <c r="C1896" s="371"/>
      <c r="D1896" s="2716"/>
      <c r="E1896" s="586"/>
      <c r="F1896" s="586"/>
      <c r="G1896" s="2224" t="s">
        <v>3362</v>
      </c>
      <c r="H1896" s="371" t="s">
        <v>2747</v>
      </c>
      <c r="I1896" s="371" t="s">
        <v>2947</v>
      </c>
      <c r="J1896" s="371" t="s">
        <v>2948</v>
      </c>
      <c r="K1896" s="547" t="s">
        <v>3359</v>
      </c>
      <c r="L1896" s="547" t="s">
        <v>3145</v>
      </c>
      <c r="M1896" s="433"/>
      <c r="N1896" s="428"/>
      <c r="O1896" s="428"/>
      <c r="P1896" s="433"/>
      <c r="Q1896" s="442"/>
      <c r="R1896" s="443"/>
      <c r="S1896" s="364"/>
      <c r="Z1896" s="609" t="s">
        <v>764</v>
      </c>
      <c r="AA1896" s="609" t="s">
        <v>3326</v>
      </c>
    </row>
    <row r="1897" spans="1:29" ht="36">
      <c r="A1897" s="2714"/>
      <c r="B1897" s="371"/>
      <c r="C1897" s="371"/>
      <c r="D1897" s="2716"/>
      <c r="E1897" s="586" t="s">
        <v>2749</v>
      </c>
      <c r="F1897" s="414"/>
      <c r="G1897" s="2289" t="s">
        <v>6014</v>
      </c>
      <c r="H1897" s="2291" t="s">
        <v>2861</v>
      </c>
      <c r="I1897" s="2291" t="s">
        <v>3148</v>
      </c>
      <c r="J1897" s="2291" t="s">
        <v>3097</v>
      </c>
      <c r="K1897" s="2311" t="s">
        <v>2863</v>
      </c>
      <c r="L1897" s="2312" t="s">
        <v>3147</v>
      </c>
      <c r="M1897" s="355" t="s">
        <v>5278</v>
      </c>
      <c r="N1897" s="434"/>
      <c r="O1897" s="434"/>
      <c r="P1897" s="435"/>
      <c r="Q1897" s="442"/>
      <c r="R1897" s="443"/>
      <c r="S1897" s="364"/>
      <c r="Z1897" s="609" t="s">
        <v>764</v>
      </c>
      <c r="AA1897" s="609" t="s">
        <v>3326</v>
      </c>
    </row>
    <row r="1898" spans="1:29" ht="18">
      <c r="A1898" s="2714"/>
      <c r="B1898" s="371">
        <v>101</v>
      </c>
      <c r="C1898" s="371"/>
      <c r="D1898" s="2716">
        <f t="shared" ref="D1898:D1906" si="184">IF(OR(G1898="*",G1898="",G1898=0),0,COUNTIF($G$1898:$G$1906,G1898))</f>
        <v>1</v>
      </c>
      <c r="E1898" s="2721">
        <v>1</v>
      </c>
      <c r="F1898" s="293"/>
      <c r="G1898" s="1474" t="s">
        <v>3093</v>
      </c>
      <c r="H1898" s="2275">
        <f>SUM(H1899:H1901)</f>
        <v>0</v>
      </c>
      <c r="I1898" s="2298"/>
      <c r="J1898" s="2275">
        <f>SUM(J1899:J1901)</f>
        <v>0</v>
      </c>
      <c r="K1898" s="1476">
        <f>H1898-J1898</f>
        <v>0</v>
      </c>
      <c r="L1898" s="2276"/>
      <c r="M1898" s="355"/>
      <c r="N1898" s="439"/>
      <c r="O1898" s="437"/>
      <c r="P1898" s="438"/>
      <c r="Q1898" s="442"/>
      <c r="R1898" s="443"/>
      <c r="S1898" s="364"/>
      <c r="Z1898" s="609" t="s">
        <v>764</v>
      </c>
      <c r="AA1898" s="609" t="s">
        <v>3326</v>
      </c>
    </row>
    <row r="1899" spans="1:29" ht="18">
      <c r="A1899" s="2714"/>
      <c r="B1899" s="371">
        <v>102</v>
      </c>
      <c r="C1899" s="371" t="s">
        <v>2791</v>
      </c>
      <c r="D1899" s="2716">
        <f t="shared" si="184"/>
        <v>1</v>
      </c>
      <c r="E1899" s="2721">
        <v>0</v>
      </c>
      <c r="F1899" s="293"/>
      <c r="G1899" s="2284" t="s">
        <v>2829</v>
      </c>
      <c r="H1899" s="2275"/>
      <c r="I1899" s="2298"/>
      <c r="J1899" s="2275"/>
      <c r="K1899" s="1476">
        <f t="shared" ref="K1899:K1905" si="185">H1899-J1899</f>
        <v>0</v>
      </c>
      <c r="L1899" s="2276"/>
      <c r="M1899" s="355" t="s">
        <v>6136</v>
      </c>
      <c r="N1899" s="439"/>
      <c r="O1899" s="437"/>
      <c r="P1899" s="438"/>
      <c r="Q1899" s="442"/>
      <c r="R1899" s="443"/>
      <c r="S1899" s="364"/>
      <c r="Z1899" s="609" t="s">
        <v>764</v>
      </c>
      <c r="AA1899" s="609" t="s">
        <v>3326</v>
      </c>
    </row>
    <row r="1900" spans="1:29" ht="18">
      <c r="A1900" s="2714"/>
      <c r="B1900" s="371">
        <v>103</v>
      </c>
      <c r="C1900" s="371" t="s">
        <v>2791</v>
      </c>
      <c r="D1900" s="2716">
        <f t="shared" si="184"/>
        <v>0</v>
      </c>
      <c r="E1900" s="2721">
        <v>0</v>
      </c>
      <c r="F1900" s="293"/>
      <c r="G1900" s="2284" t="s">
        <v>2792</v>
      </c>
      <c r="H1900" s="2275"/>
      <c r="I1900" s="2298"/>
      <c r="J1900" s="2275"/>
      <c r="K1900" s="1476">
        <f t="shared" si="185"/>
        <v>0</v>
      </c>
      <c r="L1900" s="2276"/>
      <c r="M1900" s="438"/>
      <c r="N1900" s="439"/>
      <c r="O1900" s="437"/>
      <c r="P1900" s="438"/>
      <c r="Q1900" s="442"/>
      <c r="R1900" s="443"/>
      <c r="S1900" s="364"/>
      <c r="Z1900" s="609" t="s">
        <v>764</v>
      </c>
      <c r="AA1900" s="609" t="s">
        <v>3326</v>
      </c>
    </row>
    <row r="1901" spans="1:29" ht="18">
      <c r="A1901" s="2714"/>
      <c r="B1901" s="371">
        <v>104</v>
      </c>
      <c r="C1901" s="371" t="s">
        <v>2791</v>
      </c>
      <c r="D1901" s="2716">
        <f t="shared" si="184"/>
        <v>0</v>
      </c>
      <c r="E1901" s="2721">
        <v>0</v>
      </c>
      <c r="F1901" s="293"/>
      <c r="G1901" s="2284" t="s">
        <v>2792</v>
      </c>
      <c r="H1901" s="2275"/>
      <c r="I1901" s="2298"/>
      <c r="J1901" s="2275"/>
      <c r="K1901" s="1476">
        <f t="shared" si="185"/>
        <v>0</v>
      </c>
      <c r="L1901" s="2276"/>
      <c r="M1901" s="438"/>
      <c r="N1901" s="439"/>
      <c r="O1901" s="437"/>
      <c r="P1901" s="438"/>
      <c r="Q1901" s="442"/>
      <c r="R1901" s="443"/>
      <c r="S1901" s="364"/>
      <c r="Z1901" s="609" t="s">
        <v>764</v>
      </c>
      <c r="AA1901" s="609" t="s">
        <v>3326</v>
      </c>
    </row>
    <row r="1902" spans="1:29" ht="18">
      <c r="A1902" s="2714"/>
      <c r="B1902" s="371">
        <v>105</v>
      </c>
      <c r="C1902" s="371"/>
      <c r="D1902" s="2716">
        <f t="shared" si="184"/>
        <v>1</v>
      </c>
      <c r="E1902" s="2721">
        <v>1</v>
      </c>
      <c r="F1902" s="293"/>
      <c r="G1902" s="1474" t="s">
        <v>3094</v>
      </c>
      <c r="H1902" s="2275">
        <f>SUM(H1903:H1905)</f>
        <v>0</v>
      </c>
      <c r="I1902" s="2298"/>
      <c r="J1902" s="2275">
        <f>SUM(J1903:J1905)</f>
        <v>0</v>
      </c>
      <c r="K1902" s="1476">
        <f t="shared" si="185"/>
        <v>0</v>
      </c>
      <c r="L1902" s="2276"/>
      <c r="M1902" s="438"/>
      <c r="N1902" s="439"/>
      <c r="O1902" s="437"/>
      <c r="P1902" s="438"/>
      <c r="Q1902" s="442"/>
      <c r="R1902" s="443"/>
      <c r="S1902" s="364"/>
      <c r="Z1902" s="609" t="s">
        <v>764</v>
      </c>
      <c r="AA1902" s="609" t="s">
        <v>3326</v>
      </c>
    </row>
    <row r="1903" spans="1:29" ht="18">
      <c r="A1903" s="2714"/>
      <c r="B1903" s="371">
        <v>106</v>
      </c>
      <c r="C1903" s="371" t="s">
        <v>2791</v>
      </c>
      <c r="D1903" s="2716">
        <f t="shared" si="184"/>
        <v>1</v>
      </c>
      <c r="E1903" s="2721">
        <v>0</v>
      </c>
      <c r="F1903" s="293"/>
      <c r="G1903" s="2284" t="s">
        <v>2831</v>
      </c>
      <c r="H1903" s="2275"/>
      <c r="I1903" s="2298"/>
      <c r="J1903" s="2275"/>
      <c r="K1903" s="1476">
        <f t="shared" si="185"/>
        <v>0</v>
      </c>
      <c r="L1903" s="2276"/>
      <c r="M1903" s="355"/>
      <c r="N1903" s="439"/>
      <c r="O1903" s="437"/>
      <c r="P1903" s="438"/>
      <c r="Q1903" s="442"/>
      <c r="R1903" s="443"/>
      <c r="S1903" s="364"/>
      <c r="Z1903" s="609" t="s">
        <v>764</v>
      </c>
      <c r="AA1903" s="609" t="s">
        <v>3326</v>
      </c>
    </row>
    <row r="1904" spans="1:29" ht="18">
      <c r="A1904" s="2714"/>
      <c r="B1904" s="371">
        <v>107</v>
      </c>
      <c r="C1904" s="371" t="s">
        <v>2791</v>
      </c>
      <c r="D1904" s="2716">
        <f t="shared" si="184"/>
        <v>0</v>
      </c>
      <c r="E1904" s="2721">
        <v>0</v>
      </c>
      <c r="F1904" s="293"/>
      <c r="G1904" s="2284" t="s">
        <v>2792</v>
      </c>
      <c r="H1904" s="2275"/>
      <c r="I1904" s="2298"/>
      <c r="J1904" s="2275"/>
      <c r="K1904" s="1476">
        <f t="shared" si="185"/>
        <v>0</v>
      </c>
      <c r="L1904" s="2276"/>
      <c r="M1904" s="438"/>
      <c r="N1904" s="439"/>
      <c r="O1904" s="437"/>
      <c r="P1904" s="438"/>
      <c r="Q1904" s="442"/>
      <c r="R1904" s="443"/>
      <c r="S1904" s="364"/>
      <c r="Z1904" s="609" t="s">
        <v>764</v>
      </c>
      <c r="AA1904" s="609" t="s">
        <v>3326</v>
      </c>
    </row>
    <row r="1905" spans="1:29" ht="18">
      <c r="A1905" s="2714"/>
      <c r="B1905" s="371">
        <v>108</v>
      </c>
      <c r="C1905" s="371" t="s">
        <v>2791</v>
      </c>
      <c r="D1905" s="2716">
        <f t="shared" si="184"/>
        <v>0</v>
      </c>
      <c r="E1905" s="2721">
        <v>0</v>
      </c>
      <c r="F1905" s="293"/>
      <c r="G1905" s="2284" t="s">
        <v>2792</v>
      </c>
      <c r="H1905" s="2275"/>
      <c r="I1905" s="2298"/>
      <c r="J1905" s="2275"/>
      <c r="K1905" s="1476">
        <f t="shared" si="185"/>
        <v>0</v>
      </c>
      <c r="L1905" s="2276"/>
      <c r="M1905" s="438"/>
      <c r="N1905" s="439"/>
      <c r="O1905" s="437"/>
      <c r="P1905" s="438"/>
      <c r="Q1905" s="442"/>
      <c r="R1905" s="443"/>
      <c r="S1905" s="364"/>
      <c r="Z1905" s="609" t="s">
        <v>764</v>
      </c>
      <c r="AA1905" s="609" t="s">
        <v>3326</v>
      </c>
    </row>
    <row r="1906" spans="1:29" ht="18.75" thickBot="1">
      <c r="A1906" s="2714"/>
      <c r="B1906" s="371"/>
      <c r="C1906" s="371"/>
      <c r="D1906" s="2716">
        <f t="shared" si="184"/>
        <v>1</v>
      </c>
      <c r="E1906" s="2721" t="s">
        <v>2751</v>
      </c>
      <c r="F1906" s="293"/>
      <c r="G1906" s="2234" t="s">
        <v>2752</v>
      </c>
      <c r="H1906" s="2235">
        <f>SUMPRODUCT($E1897:$E1905,H1897:H1905)</f>
        <v>0</v>
      </c>
      <c r="I1906" s="2242"/>
      <c r="J1906" s="2235">
        <f>SUMPRODUCT($E1897:$E1905,J1897:J1905)</f>
        <v>0</v>
      </c>
      <c r="K1906" s="2235">
        <f>SUMPRODUCT($E1897:$E1905,K1897:K1905)</f>
        <v>0</v>
      </c>
      <c r="L1906" s="2244"/>
      <c r="M1906" s="1597" t="str">
        <f ca="1">HYPERLINK("#'"&amp;$G$1&amp;"'!"&amp;ADDRESS(ROW(Notes!L1858),COLUMN(Notes!L1858),4),"* 请勿删除此行！点击往勾稽单元格，F5+Enter返回")</f>
        <v>* 请勿删除此行！点击往勾稽单元格，F5+Enter返回</v>
      </c>
      <c r="N1906" s="439"/>
      <c r="O1906" s="437"/>
      <c r="P1906" s="440"/>
      <c r="Q1906" s="442"/>
      <c r="R1906" s="443"/>
      <c r="S1906" s="364"/>
      <c r="Z1906" s="609" t="s">
        <v>764</v>
      </c>
      <c r="AA1906" s="609" t="s">
        <v>3326</v>
      </c>
      <c r="AC1906" s="369" t="s">
        <v>6573</v>
      </c>
    </row>
    <row r="1907" spans="1:29" ht="18">
      <c r="A1907" s="2714"/>
      <c r="B1907" s="371"/>
      <c r="C1907" s="371" t="s">
        <v>2755</v>
      </c>
      <c r="D1907" s="2716"/>
      <c r="F1907" s="293"/>
      <c r="G1907" s="376"/>
      <c r="H1907" s="315"/>
      <c r="I1907" s="432"/>
      <c r="J1907" s="315"/>
      <c r="K1907" s="423"/>
      <c r="L1907" s="393"/>
      <c r="M1907" s="425"/>
      <c r="N1907" s="426"/>
      <c r="O1907" s="427"/>
      <c r="P1907" s="425"/>
      <c r="Q1907" s="442"/>
      <c r="R1907" s="443"/>
      <c r="S1907" s="364"/>
      <c r="Z1907" s="609" t="s">
        <v>764</v>
      </c>
      <c r="AA1907" s="609" t="s">
        <v>3326</v>
      </c>
    </row>
    <row r="1908" spans="1:29" ht="24">
      <c r="A1908" s="2714" t="s">
        <v>799</v>
      </c>
      <c r="B1908" s="371">
        <v>4</v>
      </c>
      <c r="C1908" s="371"/>
      <c r="D1908" s="2716" t="str">
        <f>VLOOKUP($A1908,Sheet_NoteList,2,0)</f>
        <v>本期债权投资减值准备的变动情况</v>
      </c>
      <c r="E1908" s="2716" t="s">
        <v>2742</v>
      </c>
      <c r="F1908" s="293"/>
      <c r="G1908" s="372" t="str">
        <f>"("&amp;B1908&amp;")"&amp;D1908</f>
        <v>(4)本期债权投资减值准备的变动情况</v>
      </c>
      <c r="H1908" s="1517" t="str">
        <f>$A1908</f>
        <v>1505k</v>
      </c>
      <c r="I1908" s="343" t="s">
        <v>2743</v>
      </c>
      <c r="J1908" s="301" t="s">
        <v>2744</v>
      </c>
      <c r="K1908" s="2210">
        <f>H1918</f>
        <v>0</v>
      </c>
      <c r="L1908" s="349" t="str">
        <f>IF($I1908="适用",IF(ROUND(K$1822-K1908,2)=0,"F/S",ROUND(K$1822-K1908,2)),"#N/A")</f>
        <v>F/S</v>
      </c>
      <c r="M1908" s="301" t="s">
        <v>2745</v>
      </c>
      <c r="N1908" s="2210">
        <f>I1918</f>
        <v>0</v>
      </c>
      <c r="O1908" s="349" t="str">
        <f>IF($I1908="适用",IF(ROUND(N$1822-N1908,2)=0,"F/S",ROUND(N$1822-N1908,2)),"#N/A")</f>
        <v>F/S</v>
      </c>
      <c r="P1908" s="301"/>
      <c r="S1908" s="364"/>
      <c r="Z1908" s="609" t="s">
        <v>764</v>
      </c>
      <c r="AA1908" s="609" t="s">
        <v>3326</v>
      </c>
    </row>
    <row r="1909" spans="1:29" ht="0.75" customHeight="1">
      <c r="A1909" s="2714"/>
      <c r="B1909" s="371"/>
      <c r="C1909" s="371"/>
      <c r="D1909" s="2716"/>
      <c r="E1909" s="586"/>
      <c r="F1909" s="586"/>
      <c r="G1909" s="2224" t="s">
        <v>3363</v>
      </c>
      <c r="H1909" s="371" t="s">
        <v>2747</v>
      </c>
      <c r="I1909" s="371" t="s">
        <v>2748</v>
      </c>
      <c r="J1909" s="371" t="s">
        <v>2948</v>
      </c>
      <c r="K1909" s="547" t="s">
        <v>3165</v>
      </c>
      <c r="L1909" s="547" t="s">
        <v>3166</v>
      </c>
      <c r="M1909" s="371" t="s">
        <v>3167</v>
      </c>
      <c r="N1909" s="547" t="s">
        <v>3037</v>
      </c>
      <c r="O1909" s="428"/>
      <c r="P1909" s="433"/>
      <c r="Q1909" s="442"/>
      <c r="R1909" s="443"/>
      <c r="S1909" s="364"/>
      <c r="Z1909" s="609" t="s">
        <v>764</v>
      </c>
      <c r="AA1909" s="609" t="s">
        <v>3326</v>
      </c>
    </row>
    <row r="1910" spans="1:29" ht="0.75" customHeight="1" thickBot="1">
      <c r="A1910" s="2714"/>
      <c r="B1910" s="371"/>
      <c r="C1910" s="371"/>
      <c r="D1910" s="2716"/>
      <c r="E1910" s="586"/>
      <c r="F1910" s="586"/>
      <c r="G1910" s="2224"/>
      <c r="H1910" s="371" t="s">
        <v>2911</v>
      </c>
      <c r="I1910" s="371" t="s">
        <v>2912</v>
      </c>
      <c r="J1910" s="371" t="s">
        <v>3038</v>
      </c>
      <c r="K1910" s="547" t="s">
        <v>2914</v>
      </c>
      <c r="L1910" s="547" t="s">
        <v>2915</v>
      </c>
      <c r="M1910" s="371" t="s">
        <v>2916</v>
      </c>
      <c r="N1910" s="547" t="s">
        <v>2917</v>
      </c>
      <c r="O1910" s="428"/>
      <c r="P1910" s="433"/>
      <c r="Q1910" s="442"/>
      <c r="R1910" s="443"/>
      <c r="S1910" s="364"/>
      <c r="Z1910" s="609" t="s">
        <v>764</v>
      </c>
      <c r="AA1910" s="609" t="s">
        <v>3326</v>
      </c>
    </row>
    <row r="1911" spans="1:29" ht="15" customHeight="1">
      <c r="A1911" s="2714"/>
      <c r="B1911" s="371"/>
      <c r="C1911" s="371"/>
      <c r="D1911" s="2716"/>
      <c r="E1911" s="586" t="s">
        <v>2749</v>
      </c>
      <c r="F1911" s="586"/>
      <c r="G1911" s="3472" t="s">
        <v>6015</v>
      </c>
      <c r="H1911" s="3413" t="str">
        <f>$V$3</f>
        <v>2018年12月31日</v>
      </c>
      <c r="I1911" s="3415" t="s">
        <v>6016</v>
      </c>
      <c r="J1911" s="3413" t="str">
        <f>$X$3</f>
        <v>2019年1月1日</v>
      </c>
      <c r="K1911" s="3417" t="s">
        <v>2919</v>
      </c>
      <c r="L1911" s="3417"/>
      <c r="M1911" s="3417"/>
      <c r="N1911" s="3396" t="str">
        <f>$V$2</f>
        <v>2019年12月31日</v>
      </c>
      <c r="O1911" s="355" t="s">
        <v>5278</v>
      </c>
      <c r="P1911" s="433"/>
      <c r="Q1911" s="442"/>
      <c r="R1911" s="443"/>
      <c r="S1911" s="364"/>
      <c r="Z1911" s="609" t="s">
        <v>764</v>
      </c>
      <c r="AA1911" s="609" t="s">
        <v>3326</v>
      </c>
    </row>
    <row r="1912" spans="1:29" ht="18">
      <c r="A1912" s="2714"/>
      <c r="B1912" s="371"/>
      <c r="C1912" s="371"/>
      <c r="D1912" s="2716"/>
      <c r="E1912" s="586" t="s">
        <v>2749</v>
      </c>
      <c r="F1912" s="414"/>
      <c r="G1912" s="3473"/>
      <c r="H1912" s="3414"/>
      <c r="I1912" s="3416"/>
      <c r="J1912" s="3414"/>
      <c r="K1912" s="2239" t="s">
        <v>6017</v>
      </c>
      <c r="L1912" s="2239" t="s">
        <v>6018</v>
      </c>
      <c r="M1912" s="2294" t="s">
        <v>6019</v>
      </c>
      <c r="N1912" s="3397"/>
      <c r="O1912" s="434"/>
      <c r="P1912" s="435"/>
      <c r="Q1912" s="442"/>
      <c r="R1912" s="443"/>
      <c r="S1912" s="364"/>
      <c r="Z1912" s="609" t="s">
        <v>764</v>
      </c>
      <c r="AA1912" s="609" t="s">
        <v>3326</v>
      </c>
    </row>
    <row r="1913" spans="1:29" ht="18">
      <c r="A1913" s="2714"/>
      <c r="B1913" s="371">
        <v>101</v>
      </c>
      <c r="C1913" s="371" t="s">
        <v>2791</v>
      </c>
      <c r="D1913" s="2716">
        <f t="shared" ref="D1913:D1918" si="186">IF(OR(G1913="*",G1913="",G1913=0),0,COUNTIF($G$1913:$G$1918,G1913))</f>
        <v>0</v>
      </c>
      <c r="E1913" s="2721">
        <v>1</v>
      </c>
      <c r="F1913" s="293"/>
      <c r="G1913" s="2284" t="s">
        <v>5146</v>
      </c>
      <c r="H1913" s="2275"/>
      <c r="I1913" s="2275"/>
      <c r="J1913" s="1476">
        <f>SUM(H1913:I1913)</f>
        <v>0</v>
      </c>
      <c r="K1913" s="2275"/>
      <c r="L1913" s="2275"/>
      <c r="M1913" s="2275"/>
      <c r="N1913" s="1477">
        <f>SUM(J1913:K1913,-L1913,-M1913)</f>
        <v>0</v>
      </c>
      <c r="O1913" s="437"/>
      <c r="P1913" s="438"/>
      <c r="Q1913" s="442"/>
      <c r="R1913" s="443"/>
      <c r="S1913" s="364"/>
      <c r="Z1913" s="609" t="s">
        <v>764</v>
      </c>
      <c r="AA1913" s="609" t="s">
        <v>3326</v>
      </c>
    </row>
    <row r="1914" spans="1:29" ht="18">
      <c r="A1914" s="2714"/>
      <c r="B1914" s="371">
        <v>102</v>
      </c>
      <c r="C1914" s="371" t="s">
        <v>2791</v>
      </c>
      <c r="D1914" s="2716">
        <f t="shared" si="186"/>
        <v>0</v>
      </c>
      <c r="E1914" s="2721">
        <v>1</v>
      </c>
      <c r="F1914" s="293"/>
      <c r="G1914" s="2284" t="s">
        <v>5146</v>
      </c>
      <c r="H1914" s="2275"/>
      <c r="I1914" s="2275"/>
      <c r="J1914" s="1476">
        <f t="shared" ref="J1914:J1917" si="187">SUM(H1914:I1914)</f>
        <v>0</v>
      </c>
      <c r="K1914" s="2275"/>
      <c r="L1914" s="2275"/>
      <c r="M1914" s="2275"/>
      <c r="N1914" s="1477">
        <f t="shared" ref="N1914:N1917" si="188">SUM(J1914:K1914,-L1914,-M1914)</f>
        <v>0</v>
      </c>
      <c r="O1914" s="437"/>
      <c r="P1914" s="438"/>
      <c r="Q1914" s="442"/>
      <c r="R1914" s="443"/>
      <c r="S1914" s="364"/>
      <c r="Z1914" s="609" t="s">
        <v>764</v>
      </c>
      <c r="AA1914" s="609" t="s">
        <v>3326</v>
      </c>
    </row>
    <row r="1915" spans="1:29" ht="18">
      <c r="A1915" s="2714"/>
      <c r="B1915" s="371">
        <v>103</v>
      </c>
      <c r="C1915" s="371" t="s">
        <v>2791</v>
      </c>
      <c r="D1915" s="2716">
        <f t="shared" si="186"/>
        <v>0</v>
      </c>
      <c r="E1915" s="2721">
        <v>1</v>
      </c>
      <c r="F1915" s="293"/>
      <c r="G1915" s="2284" t="s">
        <v>5146</v>
      </c>
      <c r="H1915" s="2275"/>
      <c r="I1915" s="2275"/>
      <c r="J1915" s="1476">
        <f t="shared" si="187"/>
        <v>0</v>
      </c>
      <c r="K1915" s="2275"/>
      <c r="L1915" s="2275"/>
      <c r="M1915" s="2275"/>
      <c r="N1915" s="1477">
        <f t="shared" si="188"/>
        <v>0</v>
      </c>
      <c r="O1915" s="437"/>
      <c r="P1915" s="438"/>
      <c r="Q1915" s="442"/>
      <c r="R1915" s="443"/>
      <c r="S1915" s="364"/>
      <c r="Z1915" s="609" t="s">
        <v>764</v>
      </c>
      <c r="AA1915" s="609" t="s">
        <v>3326</v>
      </c>
    </row>
    <row r="1916" spans="1:29" ht="18">
      <c r="A1916" s="2714"/>
      <c r="B1916" s="371">
        <v>104</v>
      </c>
      <c r="C1916" s="371" t="s">
        <v>2791</v>
      </c>
      <c r="D1916" s="2716">
        <f t="shared" si="186"/>
        <v>0</v>
      </c>
      <c r="E1916" s="2721">
        <v>1</v>
      </c>
      <c r="F1916" s="293"/>
      <c r="G1916" s="2284" t="s">
        <v>5146</v>
      </c>
      <c r="H1916" s="2275"/>
      <c r="I1916" s="2275"/>
      <c r="J1916" s="1476">
        <f t="shared" si="187"/>
        <v>0</v>
      </c>
      <c r="K1916" s="2275"/>
      <c r="L1916" s="2275"/>
      <c r="M1916" s="2275"/>
      <c r="N1916" s="1477">
        <f t="shared" si="188"/>
        <v>0</v>
      </c>
      <c r="O1916" s="437"/>
      <c r="P1916" s="438"/>
      <c r="Q1916" s="442"/>
      <c r="R1916" s="443"/>
      <c r="S1916" s="364"/>
      <c r="Z1916" s="609" t="s">
        <v>764</v>
      </c>
      <c r="AA1916" s="609" t="s">
        <v>3326</v>
      </c>
    </row>
    <row r="1917" spans="1:29" ht="18">
      <c r="A1917" s="2714"/>
      <c r="B1917" s="371">
        <v>105</v>
      </c>
      <c r="C1917" s="371" t="s">
        <v>2791</v>
      </c>
      <c r="D1917" s="2716">
        <f t="shared" si="186"/>
        <v>0</v>
      </c>
      <c r="E1917" s="2721">
        <v>1</v>
      </c>
      <c r="F1917" s="293"/>
      <c r="G1917" s="2284" t="s">
        <v>5146</v>
      </c>
      <c r="H1917" s="2275"/>
      <c r="I1917" s="2275"/>
      <c r="J1917" s="1476">
        <f t="shared" si="187"/>
        <v>0</v>
      </c>
      <c r="K1917" s="2275"/>
      <c r="L1917" s="2275"/>
      <c r="M1917" s="2275"/>
      <c r="N1917" s="1477">
        <f t="shared" si="188"/>
        <v>0</v>
      </c>
      <c r="O1917" s="437"/>
      <c r="P1917" s="438"/>
      <c r="Q1917" s="442"/>
      <c r="R1917" s="443"/>
      <c r="S1917" s="364"/>
      <c r="Z1917" s="609" t="s">
        <v>764</v>
      </c>
      <c r="AA1917" s="609" t="s">
        <v>3326</v>
      </c>
    </row>
    <row r="1918" spans="1:29" ht="18.75" thickBot="1">
      <c r="A1918" s="2714"/>
      <c r="B1918" s="371"/>
      <c r="C1918" s="371"/>
      <c r="D1918" s="2716">
        <f t="shared" si="186"/>
        <v>1</v>
      </c>
      <c r="E1918" s="2721" t="s">
        <v>2751</v>
      </c>
      <c r="F1918" s="293"/>
      <c r="G1918" s="2328" t="s">
        <v>2752</v>
      </c>
      <c r="H1918" s="2235">
        <f t="shared" ref="H1918:N1918" si="189">SUMPRODUCT($E1912:$E1917,H1912:H1917)</f>
        <v>0</v>
      </c>
      <c r="I1918" s="2235">
        <f t="shared" si="189"/>
        <v>0</v>
      </c>
      <c r="J1918" s="2235">
        <f t="shared" si="189"/>
        <v>0</v>
      </c>
      <c r="K1918" s="2235">
        <f t="shared" si="189"/>
        <v>0</v>
      </c>
      <c r="L1918" s="2235">
        <f t="shared" si="189"/>
        <v>0</v>
      </c>
      <c r="M1918" s="2235">
        <f t="shared" si="189"/>
        <v>0</v>
      </c>
      <c r="N1918" s="2236">
        <f t="shared" si="189"/>
        <v>0</v>
      </c>
      <c r="O1918" s="437"/>
      <c r="P1918" s="440"/>
      <c r="Q1918" s="442"/>
      <c r="R1918" s="443"/>
      <c r="S1918" s="364"/>
      <c r="Z1918" s="609" t="s">
        <v>764</v>
      </c>
      <c r="AA1918" s="609" t="s">
        <v>3326</v>
      </c>
    </row>
    <row r="1919" spans="1:29" ht="18.75" thickBot="1">
      <c r="A1919" s="2714"/>
      <c r="B1919" s="371"/>
      <c r="C1919" s="371" t="s">
        <v>2755</v>
      </c>
      <c r="D1919" s="2716"/>
      <c r="F1919" s="293"/>
      <c r="G1919" s="376"/>
      <c r="H1919" s="527" t="s">
        <v>3002</v>
      </c>
      <c r="I1919" s="446"/>
      <c r="J1919" s="425"/>
      <c r="K1919" s="577"/>
      <c r="L1919" s="425"/>
      <c r="M1919" s="425"/>
      <c r="N1919" s="2654" t="s">
        <v>3002</v>
      </c>
      <c r="O1919" s="427"/>
      <c r="P1919" s="425"/>
      <c r="Q1919" s="442"/>
      <c r="R1919" s="443"/>
      <c r="S1919" s="364"/>
      <c r="Z1919" s="609" t="s">
        <v>764</v>
      </c>
      <c r="AA1919" s="609" t="s">
        <v>3326</v>
      </c>
    </row>
    <row r="1920" spans="1:29" ht="18.75" thickTop="1">
      <c r="A1920" s="2714"/>
      <c r="B1920" s="371"/>
      <c r="C1920" s="371" t="s">
        <v>2565</v>
      </c>
      <c r="D1920" s="2716"/>
      <c r="F1920" s="293"/>
      <c r="G1920" s="1549" t="s">
        <v>5367</v>
      </c>
      <c r="H1920" s="1550" t="str">
        <f>G1823</f>
        <v>(1)债权投资情况</v>
      </c>
      <c r="I1920" s="1551"/>
      <c r="J1920" s="1551"/>
      <c r="K1920" s="1551"/>
      <c r="L1920" s="1551"/>
      <c r="M1920" s="1551"/>
      <c r="N1920" s="1552"/>
      <c r="O1920" s="1553" t="s">
        <v>5368</v>
      </c>
      <c r="P1920" s="425"/>
      <c r="Q1920" s="442"/>
      <c r="R1920" s="442"/>
      <c r="S1920" s="364"/>
      <c r="Z1920" s="609" t="s">
        <v>764</v>
      </c>
      <c r="AA1920" s="609" t="s">
        <v>3326</v>
      </c>
    </row>
    <row r="1921" spans="1:27" ht="18">
      <c r="A1921" s="2714"/>
      <c r="B1921" s="371"/>
      <c r="C1921" s="371" t="s">
        <v>2565</v>
      </c>
      <c r="D1921" s="2716"/>
      <c r="F1921" s="293"/>
      <c r="G1921" s="604" t="str">
        <f>"注释A:"&amp; G1836</f>
        <v>注释A:合       计</v>
      </c>
      <c r="H1921" s="2252">
        <f ca="1">HYPERLINK("#'"&amp;$G$1&amp;"'!"&amp;ADDRESS(ROW(Notes!L1836),COLUMN(Notes!L1836),4),L1836)</f>
        <v>0</v>
      </c>
      <c r="I1921" s="1543"/>
      <c r="J1921" s="1543"/>
      <c r="K1921" s="1543"/>
      <c r="L1921" s="1543"/>
      <c r="M1921" s="1543"/>
      <c r="N1921" s="2655">
        <f ca="1">HYPERLINK("#'"&amp;$G$1&amp;"'!"&amp;ADDRESS(ROW(Notes!I1836),COLUMN(Notes!I1836),4),I1836)</f>
        <v>0</v>
      </c>
      <c r="O1921" s="2636" t="str">
        <f>H1823</f>
        <v>1505a</v>
      </c>
      <c r="P1921" s="425"/>
      <c r="Q1921" s="442"/>
      <c r="R1921" s="442"/>
      <c r="S1921" s="364"/>
      <c r="Z1921" s="609" t="s">
        <v>764</v>
      </c>
      <c r="AA1921" s="609" t="s">
        <v>3326</v>
      </c>
    </row>
    <row r="1922" spans="1:27" ht="18">
      <c r="A1922" s="2714"/>
      <c r="B1922" s="371"/>
      <c r="C1922" s="371" t="s">
        <v>2565</v>
      </c>
      <c r="D1922" s="2716"/>
      <c r="F1922" s="293"/>
      <c r="G1922" s="604" t="str">
        <f>"本注释B:"&amp; G1918</f>
        <v>本注释B:合       计</v>
      </c>
      <c r="H1922" s="456">
        <f>H1918</f>
        <v>0</v>
      </c>
      <c r="I1922" s="1543"/>
      <c r="J1922" s="1543"/>
      <c r="K1922" s="1543"/>
      <c r="L1922" s="1543"/>
      <c r="M1922" s="1543"/>
      <c r="N1922" s="1544">
        <f>N1918</f>
        <v>0</v>
      </c>
      <c r="O1922" s="2639" t="s">
        <v>799</v>
      </c>
      <c r="P1922" s="425"/>
      <c r="Q1922" s="442"/>
      <c r="R1922" s="442"/>
      <c r="S1922" s="364"/>
      <c r="Z1922" s="609" t="s">
        <v>764</v>
      </c>
      <c r="AA1922" s="609" t="s">
        <v>3326</v>
      </c>
    </row>
    <row r="1923" spans="1:27" ht="18.75" thickBot="1">
      <c r="A1923" s="2714"/>
      <c r="B1923" s="371"/>
      <c r="C1923" s="371" t="s">
        <v>2565</v>
      </c>
      <c r="D1923" s="2716"/>
      <c r="F1923" s="293"/>
      <c r="G1923" s="1554" t="s">
        <v>2757</v>
      </c>
      <c r="H1923" s="1531">
        <f ca="1">IF(AND(H1921="",H1922=""),"",ROUND(H1921-H1922,2))</f>
        <v>0</v>
      </c>
      <c r="I1923" s="1556"/>
      <c r="J1923" s="1556"/>
      <c r="K1923" s="1556"/>
      <c r="L1923" s="1556"/>
      <c r="M1923" s="1556"/>
      <c r="N1923" s="1557">
        <f ca="1">IF(AND(N1921="",N1922=""),"",ROUND(N1921-N1922,2))</f>
        <v>0</v>
      </c>
      <c r="O1923" s="1556"/>
      <c r="P1923" s="425"/>
      <c r="Q1923" s="442"/>
      <c r="R1923" s="442"/>
      <c r="S1923" s="364"/>
      <c r="Z1923" s="609" t="s">
        <v>764</v>
      </c>
      <c r="AA1923" s="609" t="s">
        <v>3326</v>
      </c>
    </row>
    <row r="1924" spans="1:27" ht="18.75" thickTop="1">
      <c r="A1924" s="2714"/>
      <c r="B1924" s="371"/>
      <c r="C1924" s="371" t="s">
        <v>2565</v>
      </c>
      <c r="D1924" s="2716"/>
      <c r="F1924" s="293"/>
      <c r="G1924" s="1545"/>
      <c r="H1924" s="459" t="str">
        <f ca="1">IF(OR(H1923=0,H1923=""),"√","？")</f>
        <v>√</v>
      </c>
      <c r="I1924" s="1547"/>
      <c r="J1924" s="1547"/>
      <c r="K1924" s="1547"/>
      <c r="L1924" s="1547"/>
      <c r="M1924" s="1547"/>
      <c r="N1924" s="1558" t="str">
        <f ca="1">IF(OR(N1923=0,N1923=""),"√","？")</f>
        <v>√</v>
      </c>
      <c r="O1924" s="1547"/>
      <c r="P1924" s="425"/>
      <c r="Q1924" s="442"/>
      <c r="R1924" s="442"/>
      <c r="S1924" s="364"/>
      <c r="Z1924" s="609" t="s">
        <v>764</v>
      </c>
      <c r="AA1924" s="609" t="s">
        <v>3326</v>
      </c>
    </row>
    <row r="1925" spans="1:27" ht="18">
      <c r="A1925" s="2714"/>
      <c r="B1925" s="371"/>
      <c r="C1925" s="371" t="s">
        <v>2565</v>
      </c>
      <c r="D1925" s="2716"/>
      <c r="F1925" s="293"/>
      <c r="G1925" s="1559" t="s">
        <v>2759</v>
      </c>
      <c r="H1925" s="461"/>
      <c r="I1925" s="1547"/>
      <c r="J1925" s="1547"/>
      <c r="K1925" s="2257">
        <f ca="1">SUMIF($H$1924:$O$1924,"&lt;&gt;√",$H$1923:$O$1923)</f>
        <v>0</v>
      </c>
      <c r="L1925" s="2254" t="str">
        <f ca="1">IF(OR(K1925=0,K1925=""),"√","？")</f>
        <v>√</v>
      </c>
      <c r="M1925" s="1547"/>
      <c r="N1925" s="1548"/>
      <c r="O1925" s="1547"/>
      <c r="P1925" s="425"/>
      <c r="Q1925" s="442"/>
      <c r="R1925" s="442"/>
      <c r="S1925" s="364"/>
      <c r="Z1925" s="609" t="s">
        <v>764</v>
      </c>
      <c r="AA1925" s="609" t="s">
        <v>3326</v>
      </c>
    </row>
    <row r="1926" spans="1:27" ht="18">
      <c r="A1926" s="2714"/>
      <c r="B1926" s="371"/>
      <c r="C1926" s="371" t="s">
        <v>2565</v>
      </c>
      <c r="D1926" s="2716"/>
      <c r="F1926" s="293"/>
      <c r="G1926" s="1545"/>
      <c r="H1926" s="461"/>
      <c r="I1926" s="1547"/>
      <c r="J1926" s="1547"/>
      <c r="K1926" s="1547"/>
      <c r="L1926" s="1547"/>
      <c r="M1926" s="1547"/>
      <c r="N1926" s="1548"/>
      <c r="O1926" s="1547"/>
      <c r="P1926" s="425"/>
      <c r="Q1926" s="442"/>
      <c r="R1926" s="442"/>
      <c r="S1926" s="364"/>
      <c r="Z1926" s="609" t="s">
        <v>764</v>
      </c>
      <c r="AA1926" s="609" t="s">
        <v>3326</v>
      </c>
    </row>
    <row r="1927" spans="1:27" ht="24">
      <c r="A1927" s="2714" t="s">
        <v>784</v>
      </c>
      <c r="B1927" s="371">
        <v>4</v>
      </c>
      <c r="C1927" s="371"/>
      <c r="D1927" s="2716" t="str">
        <f>VLOOKUP($A1927,Sheet_NoteList,2,0)</f>
        <v>本期债权投资减值准备的变动情况（备选格式）</v>
      </c>
      <c r="E1927" s="2716" t="s">
        <v>2742</v>
      </c>
      <c r="F1927" s="293"/>
      <c r="G1927" s="372" t="str">
        <f>"("&amp;B1927&amp;")"&amp;D1927</f>
        <v>(4)本期债权投资减值准备的变动情况（备选格式）</v>
      </c>
      <c r="H1927" s="1517" t="str">
        <f>$A1927</f>
        <v>1505f</v>
      </c>
      <c r="I1927" s="343" t="s">
        <v>2743</v>
      </c>
      <c r="J1927" s="301" t="s">
        <v>2744</v>
      </c>
      <c r="K1927" s="2210">
        <f>H1944</f>
        <v>0</v>
      </c>
      <c r="L1927" s="349"/>
      <c r="M1927" s="301"/>
      <c r="N1927" s="391"/>
      <c r="O1927" s="349"/>
      <c r="P1927" s="301"/>
      <c r="S1927" s="364"/>
      <c r="Z1927" s="609" t="s">
        <v>764</v>
      </c>
      <c r="AA1927" s="609" t="s">
        <v>3326</v>
      </c>
    </row>
    <row r="1928" spans="1:27" ht="0.75" customHeight="1">
      <c r="A1928" s="2714"/>
      <c r="B1928" s="371"/>
      <c r="C1928" s="371"/>
      <c r="D1928" s="2716"/>
      <c r="E1928" s="586"/>
      <c r="F1928" s="586"/>
      <c r="G1928" s="2224" t="s">
        <v>3343</v>
      </c>
      <c r="H1928" s="371" t="s">
        <v>2747</v>
      </c>
      <c r="I1928" s="371" t="s">
        <v>2748</v>
      </c>
      <c r="J1928" s="371" t="s">
        <v>2948</v>
      </c>
      <c r="K1928" s="547" t="s">
        <v>3034</v>
      </c>
      <c r="L1928" s="428"/>
      <c r="M1928" s="433"/>
      <c r="N1928" s="428"/>
      <c r="O1928" s="428"/>
      <c r="P1928" s="433"/>
      <c r="Q1928" s="442"/>
      <c r="R1928" s="443"/>
      <c r="S1928" s="364"/>
      <c r="Z1928" s="609" t="s">
        <v>764</v>
      </c>
      <c r="AA1928" s="609" t="s">
        <v>3326</v>
      </c>
    </row>
    <row r="1929" spans="1:27" ht="0.75" customHeight="1" thickBot="1">
      <c r="A1929" s="2714"/>
      <c r="B1929" s="371"/>
      <c r="C1929" s="371"/>
      <c r="D1929" s="2716"/>
      <c r="E1929" s="586"/>
      <c r="F1929" s="586"/>
      <c r="G1929" s="2224"/>
      <c r="H1929" s="371" t="s">
        <v>3344</v>
      </c>
      <c r="I1929" s="371" t="s">
        <v>3345</v>
      </c>
      <c r="J1929" s="371" t="s">
        <v>3346</v>
      </c>
      <c r="K1929" s="547" t="s">
        <v>3347</v>
      </c>
      <c r="L1929" s="428"/>
      <c r="M1929" s="433"/>
      <c r="N1929" s="428"/>
      <c r="O1929" s="428"/>
      <c r="P1929" s="433"/>
      <c r="Q1929" s="442"/>
      <c r="R1929" s="443"/>
      <c r="S1929" s="364"/>
      <c r="Z1929" s="609" t="s">
        <v>764</v>
      </c>
      <c r="AA1929" s="609" t="s">
        <v>3326</v>
      </c>
    </row>
    <row r="1930" spans="1:27" ht="18" customHeight="1">
      <c r="A1930" s="2714"/>
      <c r="B1930" s="371"/>
      <c r="C1930" s="371"/>
      <c r="D1930" s="2716"/>
      <c r="E1930" s="586" t="s">
        <v>2749</v>
      </c>
      <c r="F1930" s="414"/>
      <c r="G1930" s="3472" t="s">
        <v>3097</v>
      </c>
      <c r="H1930" s="2291" t="s">
        <v>3348</v>
      </c>
      <c r="I1930" s="2291" t="s">
        <v>3349</v>
      </c>
      <c r="J1930" s="2291" t="s">
        <v>3350</v>
      </c>
      <c r="K1930" s="3482" t="s">
        <v>3351</v>
      </c>
      <c r="L1930" s="355" t="s">
        <v>5278</v>
      </c>
      <c r="M1930" s="433"/>
      <c r="N1930" s="428"/>
      <c r="O1930" s="428"/>
      <c r="P1930" s="433"/>
      <c r="Q1930" s="442"/>
      <c r="R1930" s="443"/>
      <c r="S1930" s="364"/>
      <c r="Z1930" s="609" t="s">
        <v>764</v>
      </c>
      <c r="AA1930" s="609" t="s">
        <v>3326</v>
      </c>
    </row>
    <row r="1931" spans="1:27" ht="36">
      <c r="A1931" s="2714"/>
      <c r="B1931" s="371"/>
      <c r="C1931" s="371"/>
      <c r="D1931" s="2716"/>
      <c r="E1931" s="586" t="s">
        <v>2749</v>
      </c>
      <c r="F1931" s="414"/>
      <c r="G1931" s="3473"/>
      <c r="H1931" s="2294" t="s">
        <v>3352</v>
      </c>
      <c r="I1931" s="2294" t="s">
        <v>3353</v>
      </c>
      <c r="J1931" s="2294" t="s">
        <v>3354</v>
      </c>
      <c r="K1931" s="3453"/>
      <c r="L1931" s="1532" t="s">
        <v>6354</v>
      </c>
      <c r="M1931" s="435"/>
      <c r="N1931" s="434"/>
      <c r="O1931" s="434"/>
      <c r="P1931" s="435"/>
      <c r="Q1931" s="442"/>
      <c r="R1931" s="443"/>
      <c r="S1931" s="364"/>
      <c r="Z1931" s="609" t="s">
        <v>764</v>
      </c>
      <c r="AA1931" s="609" t="s">
        <v>3326</v>
      </c>
    </row>
    <row r="1932" spans="1:27" ht="18">
      <c r="A1932" s="2714"/>
      <c r="B1932" s="371">
        <v>101</v>
      </c>
      <c r="C1932" s="371"/>
      <c r="D1932" s="2716">
        <f t="shared" ref="D1932:D1944" si="190">IF(OR(G1932="*",G1932="",G1932=0),0,COUNTIF($G$1932:$G$1944,G1932))</f>
        <v>1</v>
      </c>
      <c r="E1932" s="2721">
        <v>1</v>
      </c>
      <c r="F1932" s="293"/>
      <c r="G1932" s="1474" t="str">
        <f>$X$3&amp;"余额"</f>
        <v>2019年1月1日余额</v>
      </c>
      <c r="H1932" s="2275"/>
      <c r="I1932" s="2275"/>
      <c r="J1932" s="2275"/>
      <c r="K1932" s="1477">
        <f>SUM(H1932:J1932)</f>
        <v>0</v>
      </c>
      <c r="L1932" s="437"/>
      <c r="M1932" s="438"/>
      <c r="N1932" s="439"/>
      <c r="O1932" s="437"/>
      <c r="P1932" s="438"/>
      <c r="Q1932" s="442"/>
      <c r="R1932" s="443"/>
      <c r="S1932" s="364"/>
      <c r="Z1932" s="609" t="s">
        <v>764</v>
      </c>
      <c r="AA1932" s="609" t="s">
        <v>3326</v>
      </c>
    </row>
    <row r="1933" spans="1:27" ht="18">
      <c r="A1933" s="2714"/>
      <c r="B1933" s="371">
        <v>102</v>
      </c>
      <c r="C1933" s="371"/>
      <c r="D1933" s="2716">
        <f t="shared" si="190"/>
        <v>1</v>
      </c>
      <c r="E1933" s="2721" t="s">
        <v>41</v>
      </c>
      <c r="F1933" s="293"/>
      <c r="G1933" s="1474" t="str">
        <f>$X$3&amp;"余额在本期"</f>
        <v>2019年1月1日余额在本期</v>
      </c>
      <c r="H1933" s="2275"/>
      <c r="I1933" s="2275"/>
      <c r="J1933" s="2275"/>
      <c r="K1933" s="2296"/>
      <c r="L1933" s="437"/>
      <c r="M1933" s="438"/>
      <c r="N1933" s="439"/>
      <c r="O1933" s="437"/>
      <c r="P1933" s="438"/>
      <c r="Q1933" s="442"/>
      <c r="R1933" s="443"/>
      <c r="S1933" s="364"/>
      <c r="Z1933" s="609" t="s">
        <v>764</v>
      </c>
      <c r="AA1933" s="609" t="s">
        <v>3326</v>
      </c>
    </row>
    <row r="1934" spans="1:27" ht="24">
      <c r="A1934" s="2714"/>
      <c r="B1934" s="371">
        <v>103</v>
      </c>
      <c r="C1934" s="371"/>
      <c r="D1934" s="2716">
        <f t="shared" si="190"/>
        <v>1</v>
      </c>
      <c r="E1934" s="2721">
        <v>1</v>
      </c>
      <c r="F1934" s="293"/>
      <c r="G1934" s="1474" t="s">
        <v>6022</v>
      </c>
      <c r="H1934" s="2275"/>
      <c r="I1934" s="2299">
        <v>0</v>
      </c>
      <c r="J1934" s="2299">
        <v>0</v>
      </c>
      <c r="K1934" s="1477">
        <f>SUM(H1934:J1934)</f>
        <v>0</v>
      </c>
      <c r="L1934" s="1493"/>
      <c r="M1934" s="438"/>
      <c r="N1934" s="439"/>
      <c r="O1934" s="437"/>
      <c r="P1934" s="438"/>
      <c r="Q1934" s="442"/>
      <c r="R1934" s="443"/>
      <c r="S1934" s="364"/>
      <c r="Z1934" s="609" t="s">
        <v>764</v>
      </c>
      <c r="AA1934" s="609" t="s">
        <v>3326</v>
      </c>
    </row>
    <row r="1935" spans="1:27" ht="24">
      <c r="A1935" s="2714"/>
      <c r="B1935" s="371">
        <v>104</v>
      </c>
      <c r="C1935" s="371"/>
      <c r="D1935" s="2716">
        <f t="shared" si="190"/>
        <v>1</v>
      </c>
      <c r="E1935" s="2721">
        <v>1</v>
      </c>
      <c r="F1935" s="293"/>
      <c r="G1935" s="1474" t="s">
        <v>6020</v>
      </c>
      <c r="H1935" s="2275"/>
      <c r="I1935" s="2275"/>
      <c r="J1935" s="2299">
        <v>0</v>
      </c>
      <c r="K1935" s="1477">
        <f t="shared" ref="K1935:K1943" si="191">SUM(H1935:J1935)</f>
        <v>0</v>
      </c>
      <c r="L1935" s="1493"/>
      <c r="M1935" s="438"/>
      <c r="N1935" s="439"/>
      <c r="O1935" s="437"/>
      <c r="P1935" s="438"/>
      <c r="Q1935" s="442"/>
      <c r="R1935" s="443"/>
      <c r="S1935" s="364"/>
      <c r="Z1935" s="609" t="s">
        <v>764</v>
      </c>
      <c r="AA1935" s="609" t="s">
        <v>3326</v>
      </c>
    </row>
    <row r="1936" spans="1:27" ht="24">
      <c r="A1936" s="2714"/>
      <c r="B1936" s="371">
        <v>105</v>
      </c>
      <c r="C1936" s="371"/>
      <c r="D1936" s="2716">
        <f t="shared" si="190"/>
        <v>1</v>
      </c>
      <c r="E1936" s="2721">
        <v>1</v>
      </c>
      <c r="F1936" s="293"/>
      <c r="G1936" s="1474" t="s">
        <v>6021</v>
      </c>
      <c r="H1936" s="2299">
        <v>0</v>
      </c>
      <c r="I1936" s="2299">
        <v>0</v>
      </c>
      <c r="J1936" s="2275"/>
      <c r="K1936" s="1477">
        <f t="shared" si="191"/>
        <v>0</v>
      </c>
      <c r="L1936" s="1493"/>
      <c r="M1936" s="438"/>
      <c r="N1936" s="439"/>
      <c r="O1936" s="437"/>
      <c r="P1936" s="438"/>
      <c r="Q1936" s="442"/>
      <c r="R1936" s="443"/>
      <c r="S1936" s="364"/>
      <c r="Z1936" s="609" t="s">
        <v>764</v>
      </c>
      <c r="AA1936" s="609" t="s">
        <v>3326</v>
      </c>
    </row>
    <row r="1937" spans="1:27" ht="24">
      <c r="A1937" s="2714"/>
      <c r="B1937" s="371">
        <v>106</v>
      </c>
      <c r="C1937" s="371"/>
      <c r="D1937" s="2716">
        <f t="shared" si="190"/>
        <v>1</v>
      </c>
      <c r="E1937" s="2721">
        <v>1</v>
      </c>
      <c r="F1937" s="293"/>
      <c r="G1937" s="1474" t="s">
        <v>6023</v>
      </c>
      <c r="H1937" s="2299">
        <v>0</v>
      </c>
      <c r="I1937" s="2275"/>
      <c r="J1937" s="2275"/>
      <c r="K1937" s="1477">
        <f t="shared" si="191"/>
        <v>0</v>
      </c>
      <c r="L1937" s="1493"/>
      <c r="M1937" s="438"/>
      <c r="N1937" s="439"/>
      <c r="O1937" s="437"/>
      <c r="P1937" s="438"/>
      <c r="Q1937" s="442"/>
      <c r="R1937" s="443"/>
      <c r="S1937" s="364"/>
      <c r="Z1937" s="609" t="s">
        <v>764</v>
      </c>
      <c r="AA1937" s="609" t="s">
        <v>3326</v>
      </c>
    </row>
    <row r="1938" spans="1:27" ht="18">
      <c r="A1938" s="2714"/>
      <c r="B1938" s="371">
        <v>107</v>
      </c>
      <c r="C1938" s="371"/>
      <c r="D1938" s="2716">
        <f t="shared" si="190"/>
        <v>1</v>
      </c>
      <c r="E1938" s="2721">
        <v>1</v>
      </c>
      <c r="F1938" s="293"/>
      <c r="G1938" s="1474" t="s">
        <v>6024</v>
      </c>
      <c r="H1938" s="2275"/>
      <c r="I1938" s="2275"/>
      <c r="J1938" s="2275"/>
      <c r="K1938" s="1477">
        <f t="shared" si="191"/>
        <v>0</v>
      </c>
      <c r="L1938" s="437"/>
      <c r="M1938" s="438"/>
      <c r="N1938" s="439"/>
      <c r="O1938" s="437"/>
      <c r="P1938" s="438"/>
      <c r="Q1938" s="442"/>
      <c r="R1938" s="443"/>
      <c r="S1938" s="364"/>
      <c r="Z1938" s="609" t="s">
        <v>764</v>
      </c>
      <c r="AA1938" s="609" t="s">
        <v>3326</v>
      </c>
    </row>
    <row r="1939" spans="1:27" ht="18">
      <c r="A1939" s="2714"/>
      <c r="B1939" s="371">
        <v>108</v>
      </c>
      <c r="C1939" s="371"/>
      <c r="D1939" s="2716">
        <f t="shared" si="190"/>
        <v>1</v>
      </c>
      <c r="E1939" s="2721">
        <v>-1</v>
      </c>
      <c r="F1939" s="293"/>
      <c r="G1939" s="1474" t="s">
        <v>6025</v>
      </c>
      <c r="H1939" s="2275"/>
      <c r="I1939" s="2275"/>
      <c r="J1939" s="2275"/>
      <c r="K1939" s="1477">
        <f t="shared" si="191"/>
        <v>0</v>
      </c>
      <c r="L1939" s="355" t="s">
        <v>6137</v>
      </c>
      <c r="M1939" s="438"/>
      <c r="N1939" s="439"/>
      <c r="O1939" s="437"/>
      <c r="P1939" s="438"/>
      <c r="Q1939" s="442"/>
      <c r="R1939" s="443"/>
      <c r="S1939" s="364"/>
      <c r="Z1939" s="609" t="s">
        <v>764</v>
      </c>
      <c r="AA1939" s="609" t="s">
        <v>3326</v>
      </c>
    </row>
    <row r="1940" spans="1:27" ht="18">
      <c r="A1940" s="2714"/>
      <c r="B1940" s="371">
        <v>109</v>
      </c>
      <c r="C1940" s="371"/>
      <c r="D1940" s="2716">
        <f t="shared" si="190"/>
        <v>1</v>
      </c>
      <c r="E1940" s="2721">
        <v>-1</v>
      </c>
      <c r="F1940" s="293"/>
      <c r="G1940" s="603" t="s">
        <v>3356</v>
      </c>
      <c r="H1940" s="2275"/>
      <c r="I1940" s="2275"/>
      <c r="J1940" s="2275"/>
      <c r="K1940" s="1477">
        <f t="shared" si="191"/>
        <v>0</v>
      </c>
      <c r="L1940" s="355" t="s">
        <v>6137</v>
      </c>
      <c r="M1940" s="438"/>
      <c r="N1940" s="439"/>
      <c r="O1940" s="437"/>
      <c r="P1940" s="438"/>
      <c r="Q1940" s="442"/>
      <c r="R1940" s="443"/>
      <c r="S1940" s="364"/>
      <c r="Z1940" s="609" t="s">
        <v>764</v>
      </c>
      <c r="AA1940" s="609" t="s">
        <v>3326</v>
      </c>
    </row>
    <row r="1941" spans="1:27" ht="18">
      <c r="A1941" s="2714"/>
      <c r="B1941" s="371">
        <v>110</v>
      </c>
      <c r="C1941" s="371"/>
      <c r="D1941" s="2716">
        <f t="shared" si="190"/>
        <v>1</v>
      </c>
      <c r="E1941" s="2721">
        <v>-1</v>
      </c>
      <c r="F1941" s="293"/>
      <c r="G1941" s="603" t="s">
        <v>3357</v>
      </c>
      <c r="H1941" s="2275"/>
      <c r="I1941" s="2275"/>
      <c r="J1941" s="2275"/>
      <c r="K1941" s="1477">
        <f t="shared" si="191"/>
        <v>0</v>
      </c>
      <c r="L1941" s="355" t="s">
        <v>6137</v>
      </c>
      <c r="M1941" s="438"/>
      <c r="N1941" s="439"/>
      <c r="O1941" s="437"/>
      <c r="P1941" s="438"/>
      <c r="Q1941" s="442"/>
      <c r="R1941" s="443"/>
      <c r="S1941" s="364"/>
      <c r="Z1941" s="609" t="s">
        <v>764</v>
      </c>
      <c r="AA1941" s="609" t="s">
        <v>3326</v>
      </c>
    </row>
    <row r="1942" spans="1:27" ht="24">
      <c r="A1942" s="2714"/>
      <c r="B1942" s="371">
        <v>111</v>
      </c>
      <c r="C1942" s="371"/>
      <c r="D1942" s="2716">
        <f t="shared" si="190"/>
        <v>1</v>
      </c>
      <c r="E1942" s="2721">
        <v>1</v>
      </c>
      <c r="F1942" s="293"/>
      <c r="G1942" s="1474" t="s">
        <v>6026</v>
      </c>
      <c r="H1942" s="2275"/>
      <c r="I1942" s="2275"/>
      <c r="J1942" s="2275"/>
      <c r="K1942" s="1477">
        <f t="shared" si="191"/>
        <v>0</v>
      </c>
      <c r="L1942" s="355" t="s">
        <v>6134</v>
      </c>
      <c r="M1942" s="438"/>
      <c r="N1942" s="439"/>
      <c r="O1942" s="437"/>
      <c r="P1942" s="438"/>
      <c r="Q1942" s="442"/>
      <c r="R1942" s="443"/>
      <c r="S1942" s="364"/>
      <c r="Z1942" s="609" t="s">
        <v>764</v>
      </c>
      <c r="AA1942" s="609" t="s">
        <v>3326</v>
      </c>
    </row>
    <row r="1943" spans="1:27" ht="18">
      <c r="A1943" s="2714"/>
      <c r="B1943" s="371">
        <v>112</v>
      </c>
      <c r="C1943" s="371" t="s">
        <v>2791</v>
      </c>
      <c r="D1943" s="2716">
        <f t="shared" si="190"/>
        <v>0</v>
      </c>
      <c r="E1943" s="2721">
        <v>1</v>
      </c>
      <c r="F1943" s="293"/>
      <c r="G1943" s="2284" t="s">
        <v>2792</v>
      </c>
      <c r="H1943" s="2275"/>
      <c r="I1943" s="2275"/>
      <c r="J1943" s="2275"/>
      <c r="K1943" s="1477">
        <f t="shared" si="191"/>
        <v>0</v>
      </c>
      <c r="L1943" s="355" t="s">
        <v>6134</v>
      </c>
      <c r="M1943" s="438"/>
      <c r="N1943" s="439"/>
      <c r="O1943" s="437"/>
      <c r="P1943" s="438"/>
      <c r="Q1943" s="442"/>
      <c r="R1943" s="443"/>
      <c r="S1943" s="364"/>
      <c r="Z1943" s="609" t="s">
        <v>764</v>
      </c>
      <c r="AA1943" s="609" t="s">
        <v>3326</v>
      </c>
    </row>
    <row r="1944" spans="1:27" ht="18.75" thickBot="1">
      <c r="A1944" s="2714"/>
      <c r="B1944" s="371"/>
      <c r="C1944" s="371"/>
      <c r="D1944" s="2716">
        <f t="shared" si="190"/>
        <v>1</v>
      </c>
      <c r="E1944" s="2721" t="s">
        <v>6555</v>
      </c>
      <c r="F1944" s="293"/>
      <c r="G1944" s="2234" t="str">
        <f>$W$2&amp;"余额"</f>
        <v>2019年12月31日余额</v>
      </c>
      <c r="H1944" s="2235">
        <f>SUMPRODUCT($E1931:$E1943,H1931:H1943)</f>
        <v>0</v>
      </c>
      <c r="I1944" s="2235">
        <f>SUMPRODUCT($E1931:$E1943,I1931:I1943)</f>
        <v>0</v>
      </c>
      <c r="J1944" s="2235">
        <f>SUMPRODUCT($E1931:$E1943,J1931:J1943)</f>
        <v>0</v>
      </c>
      <c r="K1944" s="2236">
        <f>SUMPRODUCT($E1931:$E1943,K1931:K1943)</f>
        <v>0</v>
      </c>
      <c r="L1944" s="437"/>
      <c r="M1944" s="440"/>
      <c r="N1944" s="439"/>
      <c r="O1944" s="437"/>
      <c r="P1944" s="440"/>
      <c r="Q1944" s="442"/>
      <c r="R1944" s="443"/>
      <c r="S1944" s="364"/>
      <c r="Z1944" s="609" t="s">
        <v>764</v>
      </c>
      <c r="AA1944" s="609" t="s">
        <v>3326</v>
      </c>
    </row>
    <row r="1945" spans="1:27" ht="18">
      <c r="A1945" s="2714"/>
      <c r="B1945" s="371"/>
      <c r="C1945" s="371" t="s">
        <v>2755</v>
      </c>
      <c r="D1945" s="2716"/>
      <c r="F1945" s="293"/>
      <c r="G1945" s="376"/>
      <c r="H1945" s="315"/>
      <c r="I1945" s="396"/>
      <c r="J1945" s="315"/>
      <c r="K1945" s="423"/>
      <c r="L1945" s="427"/>
      <c r="M1945" s="425"/>
      <c r="N1945" s="426"/>
      <c r="O1945" s="427"/>
      <c r="P1945" s="425"/>
      <c r="Q1945" s="442"/>
      <c r="R1945" s="443"/>
      <c r="S1945" s="364"/>
      <c r="Z1945" s="609" t="s">
        <v>764</v>
      </c>
      <c r="AA1945" s="609" t="s">
        <v>3326</v>
      </c>
    </row>
    <row r="1946" spans="1:27" ht="18">
      <c r="A1946" s="2714">
        <v>1503</v>
      </c>
      <c r="B1946" s="371">
        <v>15</v>
      </c>
      <c r="C1946" s="2716" t="str">
        <f>VLOOKUP($A1946,Sheet_Items,2,0)</f>
        <v>可供出售金融资产</v>
      </c>
      <c r="D1946" s="371"/>
      <c r="E1946" s="2716" t="s">
        <v>2739</v>
      </c>
      <c r="F1946" s="294"/>
      <c r="G1946" s="305" t="str">
        <f>B1946&amp;" "&amp;C1946</f>
        <v>15 可供出售金融资产</v>
      </c>
      <c r="H1946" s="306"/>
      <c r="I1946" s="306"/>
      <c r="J1946" s="306" t="s">
        <v>2740</v>
      </c>
      <c r="K1946" s="341">
        <f>VLOOKUP($A1946,Sheet_Trialbal,6,0)</f>
        <v>0</v>
      </c>
      <c r="L1946" s="342"/>
      <c r="M1946" s="306" t="s">
        <v>2741</v>
      </c>
      <c r="N1946" s="341">
        <f>VLOOKUP($A1946,Sheet_Trialbal,10,0)</f>
        <v>0</v>
      </c>
      <c r="O1946" s="306"/>
      <c r="P1946" s="301"/>
      <c r="S1946" s="364"/>
      <c r="Z1946" s="609" t="s">
        <v>806</v>
      </c>
      <c r="AA1946" s="609" t="s">
        <v>3380</v>
      </c>
    </row>
    <row r="1947" spans="1:27" ht="18">
      <c r="A1947" s="2714" t="s">
        <v>804</v>
      </c>
      <c r="B1947" s="371">
        <v>1</v>
      </c>
      <c r="C1947" s="371"/>
      <c r="D1947" s="2716" t="str">
        <f>VLOOKUP($A1947,Sheet_NoteList,2,0)</f>
        <v>可供出售金融资产情况</v>
      </c>
      <c r="E1947" s="2716" t="s">
        <v>2742</v>
      </c>
      <c r="F1947" s="294"/>
      <c r="G1947" s="307" t="str">
        <f>"("&amp;B1947&amp;")"&amp;D1947</f>
        <v>(1)可供出售金融资产情况</v>
      </c>
      <c r="H1947" s="1517" t="str">
        <f>$A1947</f>
        <v>1503a</v>
      </c>
      <c r="I1947" s="343" t="s">
        <v>2743</v>
      </c>
      <c r="J1947" s="301" t="s">
        <v>2744</v>
      </c>
      <c r="K1947" s="2210">
        <f>J1959</f>
        <v>0</v>
      </c>
      <c r="L1947" s="345" t="str">
        <f>IF($I1947="适用",IF(ROUND(K1946-K1947,2)=0,"F/S",ROUND(K1946-K1947,2)),"#N/A")</f>
        <v>F/S</v>
      </c>
      <c r="M1947" s="301" t="s">
        <v>2745</v>
      </c>
      <c r="N1947" s="2210">
        <f>M1959</f>
        <v>0</v>
      </c>
      <c r="O1947" s="345" t="str">
        <f>IF($I1947="适用",IF(ROUND(N1946-N1947,2)=0,"F/S",ROUND(N1946-N1947,2)),"#N/A")</f>
        <v>F/S</v>
      </c>
      <c r="P1947" s="301"/>
      <c r="Q1947" s="290" t="str">
        <f>IF($I1947="不适用","",IF(ROUND(SUM($H$1952:$M$1959),2)=0,"请输入",""))</f>
        <v>请输入</v>
      </c>
      <c r="S1947" s="364"/>
      <c r="Z1947" s="609" t="s">
        <v>806</v>
      </c>
      <c r="AA1947" s="609" t="s">
        <v>3380</v>
      </c>
    </row>
    <row r="1948" spans="1:27" ht="0.75" customHeight="1">
      <c r="A1948" s="2714"/>
      <c r="B1948" s="371"/>
      <c r="C1948" s="371"/>
      <c r="D1948" s="371"/>
      <c r="F1948" s="371"/>
      <c r="G1948" s="371" t="s">
        <v>3364</v>
      </c>
      <c r="H1948" s="371" t="s">
        <v>2882</v>
      </c>
      <c r="I1948" s="371" t="s">
        <v>3365</v>
      </c>
      <c r="J1948" s="371" t="s">
        <v>3208</v>
      </c>
      <c r="K1948" s="371" t="s">
        <v>3209</v>
      </c>
      <c r="L1948" s="371" t="s">
        <v>3366</v>
      </c>
      <c r="M1948" s="371" t="s">
        <v>3211</v>
      </c>
      <c r="S1948" s="364"/>
      <c r="Z1948" s="609" t="s">
        <v>806</v>
      </c>
      <c r="AA1948" s="609" t="s">
        <v>3380</v>
      </c>
    </row>
    <row r="1949" spans="1:27" ht="0.75" customHeight="1" thickBot="1">
      <c r="A1949" s="2714"/>
      <c r="B1949" s="371"/>
      <c r="C1949" s="371"/>
      <c r="D1949" s="371"/>
      <c r="F1949" s="371"/>
      <c r="G1949" s="371"/>
      <c r="H1949" s="371" t="s">
        <v>2855</v>
      </c>
      <c r="I1949" s="371" t="s">
        <v>3096</v>
      </c>
      <c r="J1949" s="371" t="s">
        <v>2857</v>
      </c>
      <c r="K1949" s="371" t="s">
        <v>3213</v>
      </c>
      <c r="L1949" s="371" t="s">
        <v>3367</v>
      </c>
      <c r="M1949" s="371" t="s">
        <v>3215</v>
      </c>
      <c r="S1949" s="364"/>
      <c r="Z1949" s="609" t="s">
        <v>806</v>
      </c>
      <c r="AA1949" s="609" t="s">
        <v>3380</v>
      </c>
    </row>
    <row r="1950" spans="1:27" ht="18" customHeight="1">
      <c r="A1950" s="2714"/>
      <c r="B1950" s="371"/>
      <c r="C1950" s="371"/>
      <c r="D1950" s="371"/>
      <c r="E1950" s="2716" t="s">
        <v>2749</v>
      </c>
      <c r="F1950" s="387"/>
      <c r="G1950" s="3554" t="s">
        <v>47</v>
      </c>
      <c r="H1950" s="3425" t="str">
        <f>$V$2</f>
        <v>2019年12月31日</v>
      </c>
      <c r="I1950" s="3426"/>
      <c r="J1950" s="3427"/>
      <c r="K1950" s="3480" t="str">
        <f>$V$3</f>
        <v>2018年12月31日</v>
      </c>
      <c r="L1950" s="3426"/>
      <c r="M1950" s="3426"/>
      <c r="N1950" s="355" t="s">
        <v>5279</v>
      </c>
      <c r="S1950" s="364"/>
      <c r="Z1950" s="609" t="s">
        <v>806</v>
      </c>
      <c r="AA1950" s="609" t="s">
        <v>3380</v>
      </c>
    </row>
    <row r="1951" spans="1:27" ht="18">
      <c r="A1951" s="2714"/>
      <c r="B1951" s="371"/>
      <c r="C1951" s="371"/>
      <c r="D1951" s="371"/>
      <c r="E1951" s="2716" t="s">
        <v>2749</v>
      </c>
      <c r="F1951" s="294"/>
      <c r="G1951" s="3555"/>
      <c r="H1951" s="2318" t="s">
        <v>2861</v>
      </c>
      <c r="I1951" s="2318" t="s">
        <v>3097</v>
      </c>
      <c r="J1951" s="2319" t="s">
        <v>2863</v>
      </c>
      <c r="K1951" s="2319" t="s">
        <v>2861</v>
      </c>
      <c r="L1951" s="2319" t="s">
        <v>3097</v>
      </c>
      <c r="M1951" s="2320" t="s">
        <v>2863</v>
      </c>
      <c r="S1951" s="364"/>
      <c r="Z1951" s="609" t="s">
        <v>806</v>
      </c>
      <c r="AA1951" s="609" t="s">
        <v>3380</v>
      </c>
    </row>
    <row r="1952" spans="1:27" ht="18">
      <c r="A1952" s="2714"/>
      <c r="B1952" s="371">
        <v>101</v>
      </c>
      <c r="C1952" s="371"/>
      <c r="D1952" s="2716">
        <f t="shared" ref="D1952:D1959" si="192">IF(OR(G1952="*",G1952="",G1952=0),0,COUNTIF($G$1952:$G$1959,G1952))</f>
        <v>1</v>
      </c>
      <c r="E1952" s="2721">
        <v>1</v>
      </c>
      <c r="F1952" s="294"/>
      <c r="G1952" s="380" t="s">
        <v>3368</v>
      </c>
      <c r="H1952" s="2329">
        <v>0</v>
      </c>
      <c r="I1952" s="2329">
        <v>0</v>
      </c>
      <c r="J1952" s="2329">
        <v>0</v>
      </c>
      <c r="K1952" s="383"/>
      <c r="L1952" s="383"/>
      <c r="M1952" s="401">
        <f>K1952-L1952</f>
        <v>0</v>
      </c>
      <c r="S1952" s="364"/>
      <c r="Z1952" s="609" t="s">
        <v>806</v>
      </c>
      <c r="AA1952" s="609" t="s">
        <v>3380</v>
      </c>
    </row>
    <row r="1953" spans="1:29" ht="18">
      <c r="A1953" s="2714"/>
      <c r="B1953" s="371">
        <v>102</v>
      </c>
      <c r="C1953" s="371"/>
      <c r="D1953" s="2716">
        <f t="shared" si="192"/>
        <v>1</v>
      </c>
      <c r="E1953" s="2721">
        <v>1</v>
      </c>
      <c r="F1953" s="294"/>
      <c r="G1953" s="380" t="s">
        <v>3369</v>
      </c>
      <c r="H1953" s="2329">
        <f>SUM(H1954:H1955)</f>
        <v>0</v>
      </c>
      <c r="I1953" s="2329">
        <f t="shared" ref="I1953:M1953" si="193">SUM(I1954:I1955)</f>
        <v>0</v>
      </c>
      <c r="J1953" s="2329">
        <f t="shared" si="193"/>
        <v>0</v>
      </c>
      <c r="K1953" s="381">
        <f t="shared" si="193"/>
        <v>0</v>
      </c>
      <c r="L1953" s="381">
        <f t="shared" si="193"/>
        <v>0</v>
      </c>
      <c r="M1953" s="401">
        <f t="shared" si="193"/>
        <v>0</v>
      </c>
      <c r="S1953" s="364"/>
      <c r="Z1953" s="609" t="s">
        <v>806</v>
      </c>
      <c r="AA1953" s="609" t="s">
        <v>3380</v>
      </c>
    </row>
    <row r="1954" spans="1:29" ht="18">
      <c r="A1954" s="2714"/>
      <c r="B1954" s="371">
        <v>102.001</v>
      </c>
      <c r="C1954" s="371"/>
      <c r="D1954" s="2716">
        <f t="shared" si="192"/>
        <v>1</v>
      </c>
      <c r="E1954" s="2721">
        <v>0</v>
      </c>
      <c r="F1954" s="294"/>
      <c r="G1954" s="382" t="s">
        <v>6133</v>
      </c>
      <c r="H1954" s="2329">
        <v>0</v>
      </c>
      <c r="I1954" s="2329">
        <v>0</v>
      </c>
      <c r="J1954" s="2329">
        <v>0</v>
      </c>
      <c r="K1954" s="383"/>
      <c r="L1954" s="383"/>
      <c r="M1954" s="401">
        <f t="shared" ref="M1954:M1958" si="194">K1954-L1954</f>
        <v>0</v>
      </c>
      <c r="N1954" s="355" t="s">
        <v>6136</v>
      </c>
      <c r="S1954" s="364"/>
      <c r="Z1954" s="609" t="s">
        <v>806</v>
      </c>
      <c r="AA1954" s="609" t="s">
        <v>3380</v>
      </c>
    </row>
    <row r="1955" spans="1:29" ht="18">
      <c r="A1955" s="2714"/>
      <c r="B1955" s="371">
        <v>102.002</v>
      </c>
      <c r="C1955" s="371"/>
      <c r="D1955" s="2716">
        <f t="shared" si="192"/>
        <v>1</v>
      </c>
      <c r="E1955" s="2721">
        <v>0</v>
      </c>
      <c r="F1955" s="294"/>
      <c r="G1955" s="382" t="s">
        <v>3370</v>
      </c>
      <c r="H1955" s="2329">
        <v>0</v>
      </c>
      <c r="I1955" s="2329">
        <v>0</v>
      </c>
      <c r="J1955" s="2329">
        <v>0</v>
      </c>
      <c r="K1955" s="383"/>
      <c r="L1955" s="383"/>
      <c r="M1955" s="401">
        <f t="shared" si="194"/>
        <v>0</v>
      </c>
      <c r="N1955" s="355" t="s">
        <v>6136</v>
      </c>
      <c r="S1955" s="364"/>
      <c r="Z1955" s="609" t="s">
        <v>806</v>
      </c>
      <c r="AA1955" s="609" t="s">
        <v>3380</v>
      </c>
      <c r="AC1955" s="369" t="s">
        <v>2794</v>
      </c>
    </row>
    <row r="1956" spans="1:29" ht="18">
      <c r="A1956" s="2714"/>
      <c r="B1956" s="371">
        <v>102.999</v>
      </c>
      <c r="C1956" s="371" t="s">
        <v>2791</v>
      </c>
      <c r="D1956" s="2716">
        <f t="shared" si="192"/>
        <v>0</v>
      </c>
      <c r="E1956" s="2721">
        <v>1</v>
      </c>
      <c r="F1956" s="294"/>
      <c r="G1956" s="553" t="s">
        <v>2792</v>
      </c>
      <c r="H1956" s="386"/>
      <c r="I1956" s="386"/>
      <c r="J1956" s="383"/>
      <c r="K1956" s="386"/>
      <c r="L1956" s="386"/>
      <c r="M1956" s="401">
        <f t="shared" si="194"/>
        <v>0</v>
      </c>
      <c r="S1956" s="364"/>
      <c r="Z1956" s="609" t="s">
        <v>806</v>
      </c>
      <c r="AA1956" s="609" t="s">
        <v>3380</v>
      </c>
    </row>
    <row r="1957" spans="1:29" ht="18">
      <c r="A1957" s="2714"/>
      <c r="B1957" s="371">
        <v>103</v>
      </c>
      <c r="C1957" s="371" t="s">
        <v>2791</v>
      </c>
      <c r="D1957" s="2716">
        <f t="shared" si="192"/>
        <v>0</v>
      </c>
      <c r="E1957" s="2721">
        <v>1</v>
      </c>
      <c r="F1957" s="294"/>
      <c r="G1957" s="553" t="s">
        <v>2792</v>
      </c>
      <c r="H1957" s="383"/>
      <c r="I1957" s="383"/>
      <c r="J1957" s="383"/>
      <c r="K1957" s="383"/>
      <c r="L1957" s="383"/>
      <c r="M1957" s="401">
        <f t="shared" si="194"/>
        <v>0</v>
      </c>
      <c r="S1957" s="364"/>
      <c r="Z1957" s="609" t="s">
        <v>806</v>
      </c>
      <c r="AA1957" s="609" t="s">
        <v>3380</v>
      </c>
    </row>
    <row r="1958" spans="1:29" ht="18">
      <c r="A1958" s="2714"/>
      <c r="B1958" s="371">
        <v>104</v>
      </c>
      <c r="C1958" s="371" t="s">
        <v>2791</v>
      </c>
      <c r="D1958" s="2716">
        <f t="shared" si="192"/>
        <v>0</v>
      </c>
      <c r="E1958" s="2721">
        <v>1</v>
      </c>
      <c r="F1958" s="294"/>
      <c r="G1958" s="409" t="s">
        <v>2792</v>
      </c>
      <c r="H1958" s="383"/>
      <c r="I1958" s="383"/>
      <c r="J1958" s="383"/>
      <c r="K1958" s="383"/>
      <c r="L1958" s="383"/>
      <c r="M1958" s="401">
        <f t="shared" si="194"/>
        <v>0</v>
      </c>
      <c r="S1958" s="364"/>
      <c r="Z1958" s="609" t="s">
        <v>806</v>
      </c>
      <c r="AA1958" s="609" t="s">
        <v>3380</v>
      </c>
    </row>
    <row r="1959" spans="1:29" ht="18.75" thickBot="1">
      <c r="A1959" s="2714"/>
      <c r="B1959" s="371"/>
      <c r="C1959" s="371"/>
      <c r="D1959" s="2716">
        <f t="shared" si="192"/>
        <v>1</v>
      </c>
      <c r="E1959" s="2721" t="s">
        <v>2751</v>
      </c>
      <c r="F1959" s="294"/>
      <c r="G1959" s="2330" t="s">
        <v>2752</v>
      </c>
      <c r="H1959" s="2331">
        <f t="shared" ref="H1959:M1959" si="195">SUMPRODUCT($E1951:$E1958,H1951:H1958)</f>
        <v>0</v>
      </c>
      <c r="I1959" s="2331">
        <f t="shared" si="195"/>
        <v>0</v>
      </c>
      <c r="J1959" s="2331">
        <f t="shared" si="195"/>
        <v>0</v>
      </c>
      <c r="K1959" s="2331">
        <f t="shared" si="195"/>
        <v>0</v>
      </c>
      <c r="L1959" s="2331">
        <f t="shared" si="195"/>
        <v>0</v>
      </c>
      <c r="M1959" s="2332">
        <f t="shared" si="195"/>
        <v>0</v>
      </c>
      <c r="S1959" s="364"/>
      <c r="Z1959" s="609" t="s">
        <v>806</v>
      </c>
      <c r="AA1959" s="609" t="s">
        <v>3380</v>
      </c>
    </row>
    <row r="1960" spans="1:29" ht="18">
      <c r="A1960" s="2714"/>
      <c r="B1960" s="371"/>
      <c r="C1960" s="371" t="s">
        <v>2755</v>
      </c>
      <c r="D1960" s="371"/>
      <c r="F1960" s="294"/>
      <c r="G1960" s="301"/>
      <c r="H1960" s="315"/>
      <c r="I1960" s="315"/>
      <c r="J1960" s="315"/>
      <c r="K1960" s="315"/>
      <c r="L1960" s="315"/>
      <c r="M1960" s="315"/>
      <c r="S1960" s="364"/>
      <c r="Z1960" s="609" t="s">
        <v>806</v>
      </c>
      <c r="AA1960" s="609" t="s">
        <v>3380</v>
      </c>
    </row>
    <row r="1961" spans="1:29" ht="24">
      <c r="A1961" s="2714" t="s">
        <v>830</v>
      </c>
      <c r="B1961" s="371">
        <v>2</v>
      </c>
      <c r="C1961" s="371"/>
      <c r="D1961" s="2716" t="str">
        <f>VLOOKUP($A1961,Sheet_NoteList,2,0)</f>
        <v>按公允价值计量的可供出售金融资产</v>
      </c>
      <c r="E1961" s="2716" t="s">
        <v>6531</v>
      </c>
      <c r="F1961" s="294"/>
      <c r="G1961" s="372" t="str">
        <f>"("&amp;B1961&amp;")"&amp;D1961</f>
        <v>(2)按公允价值计量的可供出售金融资产</v>
      </c>
      <c r="H1961" s="1517" t="str">
        <f>$A1961</f>
        <v>1503e</v>
      </c>
      <c r="I1961" s="343" t="s">
        <v>5965</v>
      </c>
      <c r="J1961" s="301"/>
      <c r="K1961" s="3083"/>
      <c r="L1961" s="315"/>
      <c r="M1961" s="301"/>
      <c r="N1961" s="3083"/>
      <c r="O1961" s="315"/>
      <c r="P1961" s="301"/>
      <c r="Q1961" s="290" t="str">
        <f>IF($I1961="不适用","",IF(ROUND(SUM($H$1966:$K$1969),2)=0,"请输入",""))</f>
        <v>请输入</v>
      </c>
      <c r="S1961" s="364"/>
      <c r="Z1961" s="609" t="s">
        <v>806</v>
      </c>
      <c r="AA1961" s="609" t="s">
        <v>3380</v>
      </c>
    </row>
    <row r="1962" spans="1:29" ht="0.75" customHeight="1">
      <c r="A1962" s="2714"/>
      <c r="B1962" s="371">
        <v>1.0999999999999999E-2</v>
      </c>
      <c r="C1962" s="371"/>
      <c r="D1962" s="371"/>
      <c r="E1962" s="586"/>
      <c r="F1962" s="586"/>
      <c r="G1962" s="586" t="s">
        <v>3374</v>
      </c>
      <c r="H1962" s="371" t="s">
        <v>6523</v>
      </c>
      <c r="I1962" s="371" t="s">
        <v>6524</v>
      </c>
      <c r="J1962" s="371" t="s">
        <v>6525</v>
      </c>
      <c r="K1962" s="371" t="s">
        <v>6526</v>
      </c>
      <c r="L1962" s="291"/>
      <c r="M1962" s="301"/>
      <c r="S1962" s="364"/>
      <c r="Z1962" s="609" t="s">
        <v>806</v>
      </c>
      <c r="AA1962" s="609" t="s">
        <v>3380</v>
      </c>
    </row>
    <row r="1963" spans="1:29" ht="0.75" customHeight="1" thickBot="1">
      <c r="A1963" s="2714"/>
      <c r="B1963" s="371"/>
      <c r="C1963" s="371"/>
      <c r="D1963" s="371"/>
      <c r="E1963" s="586"/>
      <c r="F1963" s="586"/>
      <c r="G1963" s="586"/>
      <c r="H1963" s="371" t="s">
        <v>6402</v>
      </c>
      <c r="I1963" s="371" t="s">
        <v>6403</v>
      </c>
      <c r="J1963" s="371" t="s">
        <v>6404</v>
      </c>
      <c r="K1963" s="371" t="s">
        <v>6405</v>
      </c>
      <c r="L1963" s="291"/>
      <c r="M1963" s="301"/>
      <c r="S1963" s="364"/>
      <c r="Z1963" s="609" t="s">
        <v>806</v>
      </c>
      <c r="AA1963" s="609" t="s">
        <v>3380</v>
      </c>
    </row>
    <row r="1964" spans="1:29" ht="18" customHeight="1">
      <c r="A1964" s="2714"/>
      <c r="B1964" s="371"/>
      <c r="C1964" s="371"/>
      <c r="D1964" s="371"/>
      <c r="E1964" s="586" t="s">
        <v>2749</v>
      </c>
      <c r="F1964" s="414"/>
      <c r="G1964" s="3472" t="s">
        <v>3372</v>
      </c>
      <c r="H1964" s="3542" t="str">
        <f>$V$3</f>
        <v>2018年12月31日</v>
      </c>
      <c r="I1964" s="3542"/>
      <c r="J1964" s="3542"/>
      <c r="K1964" s="3523"/>
      <c r="L1964" s="355" t="s">
        <v>5279</v>
      </c>
      <c r="M1964" s="301"/>
      <c r="S1964" s="364"/>
      <c r="Z1964" s="609" t="s">
        <v>806</v>
      </c>
      <c r="AA1964" s="609" t="s">
        <v>3380</v>
      </c>
    </row>
    <row r="1965" spans="1:29" ht="36">
      <c r="A1965" s="2714"/>
      <c r="B1965" s="371"/>
      <c r="C1965" s="371"/>
      <c r="D1965" s="371"/>
      <c r="E1965" s="586" t="s">
        <v>2749</v>
      </c>
      <c r="F1965" s="363"/>
      <c r="G1965" s="3473"/>
      <c r="H1965" s="2688" t="s">
        <v>6044</v>
      </c>
      <c r="I1965" s="2688" t="s">
        <v>6045</v>
      </c>
      <c r="J1965" s="2688" t="s">
        <v>6046</v>
      </c>
      <c r="K1965" s="2691" t="s">
        <v>6047</v>
      </c>
      <c r="M1965" s="301"/>
      <c r="S1965" s="364"/>
      <c r="Z1965" s="609" t="s">
        <v>806</v>
      </c>
      <c r="AA1965" s="609" t="s">
        <v>3380</v>
      </c>
    </row>
    <row r="1966" spans="1:29" ht="18">
      <c r="A1966" s="2714"/>
      <c r="B1966" s="371">
        <v>101</v>
      </c>
      <c r="C1966" s="371"/>
      <c r="D1966" s="2716">
        <f>IF(OR(G1966="*",G1966="",G1966=0),0,COUNTIF($G$1966:$G$1969,G1966))</f>
        <v>1</v>
      </c>
      <c r="E1966" s="2721">
        <v>1</v>
      </c>
      <c r="F1966" s="294"/>
      <c r="G1966" s="1474" t="s">
        <v>3369</v>
      </c>
      <c r="H1966" s="2275"/>
      <c r="I1966" s="2275"/>
      <c r="J1966" s="2275"/>
      <c r="K1966" s="2296"/>
      <c r="L1966" s="355" t="str">
        <f>IF(ROUND((H1966-I1966)-(J1966+K1966),2)=0,"","请检查左表4列数据关系！")</f>
        <v/>
      </c>
      <c r="M1966" s="291"/>
      <c r="S1966" s="364"/>
      <c r="Z1966" s="609" t="s">
        <v>806</v>
      </c>
      <c r="AA1966" s="609" t="s">
        <v>3380</v>
      </c>
    </row>
    <row r="1967" spans="1:29" ht="18">
      <c r="A1967" s="2714"/>
      <c r="B1967" s="371">
        <v>102</v>
      </c>
      <c r="C1967" s="371"/>
      <c r="D1967" s="2716">
        <f>IF(OR(G1967="*",G1967="",G1967=0),0,COUNTIF($G$1966:$G$1969,G1967))</f>
        <v>1</v>
      </c>
      <c r="E1967" s="2721">
        <v>1</v>
      </c>
      <c r="F1967" s="294"/>
      <c r="G1967" s="1474" t="s">
        <v>3368</v>
      </c>
      <c r="H1967" s="2275"/>
      <c r="I1967" s="2275"/>
      <c r="J1967" s="2275"/>
      <c r="K1967" s="2296"/>
      <c r="L1967" s="355" t="str">
        <f>IF(ROUND((H1967-I1967)-(J1967+K1967),2)=0,"","请检查左表4列数据关系！")</f>
        <v/>
      </c>
      <c r="M1967" s="291"/>
      <c r="S1967" s="364"/>
      <c r="Z1967" s="609" t="s">
        <v>806</v>
      </c>
      <c r="AA1967" s="609" t="s">
        <v>3380</v>
      </c>
    </row>
    <row r="1968" spans="1:29" ht="18">
      <c r="A1968" s="2714"/>
      <c r="B1968" s="371">
        <v>103</v>
      </c>
      <c r="C1968" s="371" t="s">
        <v>2791</v>
      </c>
      <c r="D1968" s="2716">
        <f>IF(OR(G1968="*",G1968="",G1968=0),0,COUNTIF($G$1966:$G$1969,G1968))</f>
        <v>0</v>
      </c>
      <c r="E1968" s="2721">
        <v>1</v>
      </c>
      <c r="F1968" s="294"/>
      <c r="G1968" s="2692" t="s">
        <v>2792</v>
      </c>
      <c r="H1968" s="2275"/>
      <c r="I1968" s="2275"/>
      <c r="J1968" s="2275"/>
      <c r="K1968" s="2296"/>
      <c r="L1968" s="355" t="str">
        <f>IF(ROUND((H1968-I1968)-(J1968+K1968),2)=0,"","请检查左表4列数据关系！")</f>
        <v/>
      </c>
      <c r="M1968" s="291"/>
      <c r="S1968" s="364"/>
      <c r="Z1968" s="609" t="s">
        <v>806</v>
      </c>
      <c r="AA1968" s="609" t="s">
        <v>3380</v>
      </c>
    </row>
    <row r="1969" spans="1:27" ht="18.75" thickBot="1">
      <c r="A1969" s="2714"/>
      <c r="B1969" s="371"/>
      <c r="C1969" s="371"/>
      <c r="D1969" s="2716">
        <f>IF(OR(G1969="*",G1969="",G1969=0),0,COUNTIF($G$1966:$G$1969,G1969))</f>
        <v>1</v>
      </c>
      <c r="E1969" s="2721" t="s">
        <v>3032</v>
      </c>
      <c r="F1969" s="294"/>
      <c r="G1969" s="2234" t="s">
        <v>2752</v>
      </c>
      <c r="H1969" s="2235">
        <f>SUMPRODUCT($E1965:$E1968,H1965:H1968)</f>
        <v>0</v>
      </c>
      <c r="I1969" s="2235">
        <f>SUMPRODUCT($E1965:$E1968,I1965:I1968)</f>
        <v>0</v>
      </c>
      <c r="J1969" s="2235">
        <f>SUMPRODUCT($E1965:$E1968,J1965:J1968)</f>
        <v>0</v>
      </c>
      <c r="K1969" s="2236">
        <f>SUMPRODUCT($E1965:$E1968,K1965:K1968)</f>
        <v>0</v>
      </c>
      <c r="L1969" s="291"/>
      <c r="M1969" s="291"/>
      <c r="S1969" s="364"/>
      <c r="Z1969" s="609" t="s">
        <v>806</v>
      </c>
      <c r="AA1969" s="609" t="s">
        <v>3380</v>
      </c>
    </row>
    <row r="1970" spans="1:27" ht="18">
      <c r="A1970" s="2714"/>
      <c r="B1970" s="371"/>
      <c r="C1970" s="371" t="s">
        <v>2755</v>
      </c>
      <c r="D1970" s="371"/>
      <c r="F1970" s="294"/>
      <c r="G1970" s="301"/>
      <c r="H1970" s="315"/>
      <c r="I1970" s="315"/>
      <c r="J1970" s="315"/>
      <c r="K1970" s="315"/>
      <c r="L1970" s="291"/>
      <c r="M1970" s="291"/>
      <c r="S1970" s="364"/>
      <c r="Z1970" s="609" t="s">
        <v>806</v>
      </c>
      <c r="AA1970" s="609" t="s">
        <v>3380</v>
      </c>
    </row>
    <row r="1971" spans="1:27" ht="24">
      <c r="A1971" s="2714" t="s">
        <v>813</v>
      </c>
      <c r="B1971" s="371">
        <v>3</v>
      </c>
      <c r="C1971" s="371"/>
      <c r="D1971" s="2716" t="str">
        <f>VLOOKUP($A1971,Sheet_NoteList,2,0)</f>
        <v>按成本计量的可供出售金融资产</v>
      </c>
      <c r="E1971" s="2716" t="s">
        <v>2742</v>
      </c>
      <c r="F1971" s="293"/>
      <c r="G1971" s="372" t="str">
        <f>"("&amp;B1971&amp;")"&amp;D1971</f>
        <v>(3)按成本计量的可供出售金融资产</v>
      </c>
      <c r="H1971" s="1517" t="str">
        <f>$A1971</f>
        <v>1503i</v>
      </c>
      <c r="I1971" s="343" t="s">
        <v>2743</v>
      </c>
      <c r="J1971" s="301"/>
      <c r="K1971" s="391"/>
      <c r="L1971" s="349"/>
      <c r="M1971" s="301"/>
      <c r="N1971" s="391"/>
      <c r="O1971" s="349"/>
      <c r="P1971" s="301"/>
      <c r="S1971" s="364"/>
      <c r="Z1971" s="609" t="s">
        <v>806</v>
      </c>
      <c r="AA1971" s="609" t="s">
        <v>3371</v>
      </c>
    </row>
    <row r="1972" spans="1:27" ht="0.75" customHeight="1">
      <c r="A1972" s="2714"/>
      <c r="B1972" s="371"/>
      <c r="C1972" s="371"/>
      <c r="D1972" s="2716"/>
      <c r="E1972" s="586"/>
      <c r="F1972" s="586"/>
      <c r="G1972" s="2224" t="s">
        <v>3375</v>
      </c>
      <c r="H1972" s="371" t="s">
        <v>5415</v>
      </c>
      <c r="I1972" s="371" t="s">
        <v>5416</v>
      </c>
      <c r="J1972" s="371" t="s">
        <v>5417</v>
      </c>
      <c r="K1972" s="547" t="s">
        <v>5418</v>
      </c>
      <c r="L1972" s="433"/>
      <c r="M1972" s="433"/>
      <c r="N1972" s="433"/>
      <c r="O1972" s="428"/>
      <c r="P1972" s="428"/>
      <c r="Q1972" s="433"/>
      <c r="R1972" s="443"/>
      <c r="S1972" s="364"/>
      <c r="Z1972" s="609" t="s">
        <v>806</v>
      </c>
      <c r="AA1972" s="609" t="s">
        <v>3371</v>
      </c>
    </row>
    <row r="1973" spans="1:27" ht="0.75" customHeight="1" thickBot="1">
      <c r="A1973" s="2714"/>
      <c r="B1973" s="371"/>
      <c r="C1973" s="371"/>
      <c r="D1973" s="2716"/>
      <c r="E1973" s="586"/>
      <c r="F1973" s="586"/>
      <c r="G1973" s="2224"/>
      <c r="H1973" s="371" t="s">
        <v>5419</v>
      </c>
      <c r="I1973" s="371" t="s">
        <v>5420</v>
      </c>
      <c r="J1973" s="371" t="s">
        <v>5421</v>
      </c>
      <c r="K1973" s="547" t="s">
        <v>5422</v>
      </c>
      <c r="L1973" s="428"/>
      <c r="M1973" s="433"/>
      <c r="N1973" s="428"/>
      <c r="O1973" s="428"/>
      <c r="P1973" s="433"/>
      <c r="Q1973" s="433"/>
      <c r="R1973" s="443"/>
      <c r="S1973" s="364"/>
      <c r="Z1973" s="609" t="s">
        <v>806</v>
      </c>
      <c r="AA1973" s="609" t="s">
        <v>3371</v>
      </c>
    </row>
    <row r="1974" spans="1:27" ht="18" customHeight="1">
      <c r="A1974" s="2714"/>
      <c r="B1974" s="371"/>
      <c r="C1974" s="371"/>
      <c r="D1974" s="2716"/>
      <c r="E1974" s="586" t="s">
        <v>2749</v>
      </c>
      <c r="F1974" s="414"/>
      <c r="G1974" s="3472" t="s">
        <v>3376</v>
      </c>
      <c r="H1974" s="3415" t="s">
        <v>2861</v>
      </c>
      <c r="I1974" s="3415"/>
      <c r="J1974" s="3415"/>
      <c r="K1974" s="3431"/>
      <c r="L1974" s="355" t="s">
        <v>5279</v>
      </c>
      <c r="M1974" s="1509"/>
      <c r="N1974" s="1509"/>
      <c r="O1974" s="1509"/>
      <c r="P1974" s="1509"/>
      <c r="Q1974" s="3406"/>
      <c r="R1974" s="443"/>
      <c r="S1974" s="364"/>
      <c r="Z1974" s="609" t="s">
        <v>806</v>
      </c>
      <c r="AA1974" s="609" t="s">
        <v>3371</v>
      </c>
    </row>
    <row r="1975" spans="1:27" ht="18">
      <c r="A1975" s="2714"/>
      <c r="B1975" s="371"/>
      <c r="C1975" s="371"/>
      <c r="D1975" s="2716"/>
      <c r="E1975" s="586" t="s">
        <v>2749</v>
      </c>
      <c r="F1975" s="414"/>
      <c r="G1975" s="3473"/>
      <c r="H1975" s="2474" t="str">
        <f>$Y$3</f>
        <v>2017年12月31日</v>
      </c>
      <c r="I1975" s="2294" t="s">
        <v>3027</v>
      </c>
      <c r="J1975" s="2294" t="s">
        <v>3028</v>
      </c>
      <c r="K1975" s="2334" t="str">
        <f>$V$3</f>
        <v>2018年12月31日</v>
      </c>
      <c r="L1975" s="355" t="s">
        <v>6138</v>
      </c>
      <c r="M1975" s="479"/>
      <c r="N1975" s="479"/>
      <c r="O1975" s="1462"/>
      <c r="P1975" s="1509"/>
      <c r="Q1975" s="3406"/>
      <c r="R1975" s="443"/>
      <c r="S1975" s="364"/>
      <c r="Z1975" s="609" t="s">
        <v>806</v>
      </c>
      <c r="AA1975" s="609" t="s">
        <v>3371</v>
      </c>
    </row>
    <row r="1976" spans="1:27" ht="18">
      <c r="A1976" s="2714"/>
      <c r="B1976" s="371">
        <v>101</v>
      </c>
      <c r="C1976" s="371" t="s">
        <v>2791</v>
      </c>
      <c r="D1976" s="2716">
        <f t="shared" ref="D1976:D1984" si="196">IF(OR(G1976="*",G1976="",G1976=0),0,COUNTIF($G$1976:$G$1984,G1976))</f>
        <v>0</v>
      </c>
      <c r="E1976" s="2721">
        <v>1</v>
      </c>
      <c r="F1976" s="293"/>
      <c r="G1976" s="2284" t="s">
        <v>2792</v>
      </c>
      <c r="H1976" s="2275"/>
      <c r="I1976" s="2275"/>
      <c r="J1976" s="2275"/>
      <c r="K1976" s="1477">
        <f>H1976+I1976-J1976</f>
        <v>0</v>
      </c>
      <c r="L1976" s="438"/>
      <c r="M1976" s="438"/>
      <c r="N1976" s="520"/>
      <c r="O1976" s="438"/>
      <c r="P1976" s="437"/>
      <c r="Q1976" s="438"/>
      <c r="R1976" s="443"/>
      <c r="S1976" s="364"/>
      <c r="Z1976" s="609" t="s">
        <v>806</v>
      </c>
      <c r="AA1976" s="609" t="s">
        <v>3371</v>
      </c>
    </row>
    <row r="1977" spans="1:27" ht="18">
      <c r="A1977" s="2714"/>
      <c r="B1977" s="371">
        <v>102</v>
      </c>
      <c r="C1977" s="371" t="s">
        <v>2791</v>
      </c>
      <c r="D1977" s="2716">
        <f t="shared" si="196"/>
        <v>0</v>
      </c>
      <c r="E1977" s="2721">
        <v>1</v>
      </c>
      <c r="F1977" s="293"/>
      <c r="G1977" s="2284" t="s">
        <v>2792</v>
      </c>
      <c r="H1977" s="2275"/>
      <c r="I1977" s="2275"/>
      <c r="J1977" s="2275"/>
      <c r="K1977" s="1477">
        <f t="shared" ref="K1977:K1983" si="197">H1977+I1977-J1977</f>
        <v>0</v>
      </c>
      <c r="L1977" s="438"/>
      <c r="M1977" s="438"/>
      <c r="N1977" s="520"/>
      <c r="O1977" s="438"/>
      <c r="P1977" s="437"/>
      <c r="Q1977" s="438"/>
      <c r="R1977" s="443"/>
      <c r="S1977" s="364"/>
      <c r="Z1977" s="609" t="s">
        <v>806</v>
      </c>
      <c r="AA1977" s="609" t="s">
        <v>3371</v>
      </c>
    </row>
    <row r="1978" spans="1:27" ht="18">
      <c r="A1978" s="2714"/>
      <c r="B1978" s="371">
        <v>103</v>
      </c>
      <c r="C1978" s="371" t="s">
        <v>2791</v>
      </c>
      <c r="D1978" s="2716">
        <f t="shared" si="196"/>
        <v>0</v>
      </c>
      <c r="E1978" s="2721">
        <v>1</v>
      </c>
      <c r="F1978" s="293"/>
      <c r="G1978" s="2284" t="s">
        <v>2792</v>
      </c>
      <c r="H1978" s="2275"/>
      <c r="I1978" s="2275"/>
      <c r="J1978" s="2275"/>
      <c r="K1978" s="1477">
        <f t="shared" si="197"/>
        <v>0</v>
      </c>
      <c r="L1978" s="438"/>
      <c r="M1978" s="438"/>
      <c r="N1978" s="520"/>
      <c r="O1978" s="438"/>
      <c r="P1978" s="437"/>
      <c r="Q1978" s="438"/>
      <c r="R1978" s="443"/>
      <c r="S1978" s="364"/>
      <c r="Z1978" s="609" t="s">
        <v>806</v>
      </c>
      <c r="AA1978" s="609" t="s">
        <v>3371</v>
      </c>
    </row>
    <row r="1979" spans="1:27" ht="18">
      <c r="A1979" s="2714"/>
      <c r="B1979" s="371">
        <v>104</v>
      </c>
      <c r="C1979" s="371" t="s">
        <v>2791</v>
      </c>
      <c r="D1979" s="2716">
        <f t="shared" si="196"/>
        <v>0</v>
      </c>
      <c r="E1979" s="2721">
        <v>1</v>
      </c>
      <c r="F1979" s="293"/>
      <c r="G1979" s="2284" t="s">
        <v>2792</v>
      </c>
      <c r="H1979" s="2275"/>
      <c r="I1979" s="2275"/>
      <c r="J1979" s="2275"/>
      <c r="K1979" s="1477">
        <f t="shared" si="197"/>
        <v>0</v>
      </c>
      <c r="L1979" s="438"/>
      <c r="M1979" s="438"/>
      <c r="N1979" s="520"/>
      <c r="O1979" s="438"/>
      <c r="P1979" s="437"/>
      <c r="Q1979" s="438"/>
      <c r="R1979" s="443"/>
      <c r="S1979" s="364"/>
      <c r="Z1979" s="609" t="s">
        <v>806</v>
      </c>
      <c r="AA1979" s="609" t="s">
        <v>3371</v>
      </c>
    </row>
    <row r="1980" spans="1:27" ht="18">
      <c r="A1980" s="2714"/>
      <c r="B1980" s="371">
        <v>105</v>
      </c>
      <c r="C1980" s="371" t="s">
        <v>2791</v>
      </c>
      <c r="D1980" s="2716">
        <f t="shared" si="196"/>
        <v>0</v>
      </c>
      <c r="E1980" s="2721">
        <v>1</v>
      </c>
      <c r="F1980" s="293"/>
      <c r="G1980" s="2284" t="s">
        <v>2792</v>
      </c>
      <c r="H1980" s="2275"/>
      <c r="I1980" s="2275"/>
      <c r="J1980" s="2275"/>
      <c r="K1980" s="1477">
        <f t="shared" si="197"/>
        <v>0</v>
      </c>
      <c r="L1980" s="438"/>
      <c r="M1980" s="438"/>
      <c r="N1980" s="520"/>
      <c r="O1980" s="438"/>
      <c r="P1980" s="437"/>
      <c r="Q1980" s="438"/>
      <c r="R1980" s="443"/>
      <c r="S1980" s="364"/>
      <c r="Z1980" s="609" t="s">
        <v>806</v>
      </c>
      <c r="AA1980" s="609" t="s">
        <v>3371</v>
      </c>
    </row>
    <row r="1981" spans="1:27" ht="18">
      <c r="A1981" s="2714"/>
      <c r="B1981" s="371">
        <v>106</v>
      </c>
      <c r="C1981" s="371" t="s">
        <v>2791</v>
      </c>
      <c r="D1981" s="2716">
        <f t="shared" si="196"/>
        <v>0</v>
      </c>
      <c r="E1981" s="2721">
        <v>1</v>
      </c>
      <c r="F1981" s="293"/>
      <c r="G1981" s="2284" t="s">
        <v>2792</v>
      </c>
      <c r="H1981" s="2275"/>
      <c r="I1981" s="2275"/>
      <c r="J1981" s="2275"/>
      <c r="K1981" s="1477">
        <f t="shared" si="197"/>
        <v>0</v>
      </c>
      <c r="L1981" s="438"/>
      <c r="M1981" s="438"/>
      <c r="N1981" s="520"/>
      <c r="O1981" s="438"/>
      <c r="P1981" s="437"/>
      <c r="Q1981" s="438"/>
      <c r="R1981" s="443"/>
      <c r="S1981" s="364"/>
      <c r="Z1981" s="609" t="s">
        <v>806</v>
      </c>
      <c r="AA1981" s="609" t="s">
        <v>3371</v>
      </c>
    </row>
    <row r="1982" spans="1:27" ht="18">
      <c r="A1982" s="2714"/>
      <c r="B1982" s="371">
        <v>107</v>
      </c>
      <c r="C1982" s="371" t="s">
        <v>2791</v>
      </c>
      <c r="D1982" s="2716">
        <f t="shared" si="196"/>
        <v>0</v>
      </c>
      <c r="E1982" s="2721">
        <v>1</v>
      </c>
      <c r="F1982" s="293"/>
      <c r="G1982" s="2284" t="s">
        <v>2792</v>
      </c>
      <c r="H1982" s="2275"/>
      <c r="I1982" s="2275"/>
      <c r="J1982" s="2275"/>
      <c r="K1982" s="1477">
        <f t="shared" si="197"/>
        <v>0</v>
      </c>
      <c r="L1982" s="438"/>
      <c r="M1982" s="438"/>
      <c r="N1982" s="520"/>
      <c r="O1982" s="438"/>
      <c r="P1982" s="437"/>
      <c r="Q1982" s="438"/>
      <c r="R1982" s="443"/>
      <c r="S1982" s="364"/>
      <c r="Z1982" s="609" t="s">
        <v>806</v>
      </c>
      <c r="AA1982" s="609" t="s">
        <v>3371</v>
      </c>
    </row>
    <row r="1983" spans="1:27" ht="18">
      <c r="A1983" s="2714"/>
      <c r="B1983" s="371">
        <v>108</v>
      </c>
      <c r="C1983" s="371" t="s">
        <v>2791</v>
      </c>
      <c r="D1983" s="2716">
        <f t="shared" si="196"/>
        <v>0</v>
      </c>
      <c r="E1983" s="2721">
        <v>1</v>
      </c>
      <c r="F1983" s="293"/>
      <c r="G1983" s="2284" t="s">
        <v>2792</v>
      </c>
      <c r="H1983" s="2275"/>
      <c r="I1983" s="2275"/>
      <c r="J1983" s="2275"/>
      <c r="K1983" s="1477">
        <f t="shared" si="197"/>
        <v>0</v>
      </c>
      <c r="L1983" s="438"/>
      <c r="M1983" s="438"/>
      <c r="N1983" s="520"/>
      <c r="O1983" s="438"/>
      <c r="P1983" s="437"/>
      <c r="Q1983" s="438"/>
      <c r="R1983" s="443"/>
      <c r="S1983" s="364"/>
      <c r="Z1983" s="609" t="s">
        <v>806</v>
      </c>
      <c r="AA1983" s="609" t="s">
        <v>3371</v>
      </c>
    </row>
    <row r="1984" spans="1:27" ht="18.75" thickBot="1">
      <c r="A1984" s="2714"/>
      <c r="B1984" s="371"/>
      <c r="C1984" s="371"/>
      <c r="D1984" s="2716">
        <f t="shared" si="196"/>
        <v>1</v>
      </c>
      <c r="E1984" s="2721" t="s">
        <v>2751</v>
      </c>
      <c r="F1984" s="293"/>
      <c r="G1984" s="2234" t="s">
        <v>2752</v>
      </c>
      <c r="H1984" s="2235">
        <f>SUMPRODUCT($E1975:$E1983,H1975:H1983)</f>
        <v>0</v>
      </c>
      <c r="I1984" s="2235">
        <f>SUMPRODUCT($E1975:$E1983,I1975:I1983)</f>
        <v>0</v>
      </c>
      <c r="J1984" s="2235">
        <f>SUMPRODUCT($E1975:$E1983,J1975:J1983)</f>
        <v>0</v>
      </c>
      <c r="K1984" s="2236">
        <f>SUMPRODUCT($E1975:$E1983,K1975:K1983)</f>
        <v>0</v>
      </c>
      <c r="L1984" s="517"/>
      <c r="M1984" s="517"/>
      <c r="N1984" s="517"/>
      <c r="O1984" s="517"/>
      <c r="P1984" s="1463"/>
      <c r="Q1984" s="517"/>
      <c r="R1984" s="443"/>
      <c r="S1984" s="364"/>
      <c r="Z1984" s="609" t="s">
        <v>806</v>
      </c>
      <c r="AA1984" s="609" t="s">
        <v>3371</v>
      </c>
    </row>
    <row r="1985" spans="1:27" ht="18">
      <c r="A1985" s="2714"/>
      <c r="B1985" s="371"/>
      <c r="C1985" s="371" t="s">
        <v>2755</v>
      </c>
      <c r="D1985" s="2716"/>
      <c r="F1985" s="293"/>
      <c r="G1985" s="376"/>
      <c r="H1985" s="315"/>
      <c r="I1985" s="396"/>
      <c r="J1985" s="315"/>
      <c r="K1985" s="423"/>
      <c r="L1985" s="425"/>
      <c r="M1985" s="425"/>
      <c r="N1985" s="577"/>
      <c r="O1985" s="425"/>
      <c r="P1985" s="427"/>
      <c r="Q1985" s="425"/>
      <c r="R1985" s="443"/>
      <c r="S1985" s="364"/>
      <c r="Z1985" s="609" t="s">
        <v>806</v>
      </c>
      <c r="AA1985" s="609" t="s">
        <v>3371</v>
      </c>
    </row>
    <row r="1986" spans="1:27" ht="24">
      <c r="A1986" s="2714" t="s">
        <v>817</v>
      </c>
      <c r="B1986" s="371">
        <v>3.1</v>
      </c>
      <c r="C1986" s="371"/>
      <c r="D1986" s="2716" t="str">
        <f>VLOOKUP($A1986,Sheet_NoteList,2,0)</f>
        <v>按成本计量的可供出售金融资产（续）</v>
      </c>
      <c r="E1986" s="2716" t="s">
        <v>2742</v>
      </c>
      <c r="F1986" s="293"/>
      <c r="G1986" s="372" t="str">
        <f>"("&amp;B1986&amp;")"&amp;D1986</f>
        <v>(3.1)按成本计量的可供出售金融资产（续）</v>
      </c>
      <c r="H1986" s="1517" t="str">
        <f>$A1986</f>
        <v>1503j</v>
      </c>
      <c r="I1986" s="343" t="s">
        <v>2743</v>
      </c>
      <c r="J1986" s="301"/>
      <c r="K1986" s="391"/>
      <c r="L1986" s="349"/>
      <c r="M1986" s="301"/>
      <c r="N1986" s="391"/>
      <c r="O1986" s="349"/>
      <c r="P1986" s="301"/>
      <c r="S1986" s="364"/>
      <c r="Z1986" s="609" t="s">
        <v>806</v>
      </c>
      <c r="AA1986" s="609" t="s">
        <v>3371</v>
      </c>
    </row>
    <row r="1987" spans="1:27" ht="0.75" customHeight="1">
      <c r="A1987" s="2714"/>
      <c r="B1987" s="371"/>
      <c r="C1987" s="371"/>
      <c r="D1987" s="2716"/>
      <c r="E1987" s="586"/>
      <c r="F1987" s="586"/>
      <c r="G1987" s="2224" t="s">
        <v>3377</v>
      </c>
      <c r="H1987" s="371" t="s">
        <v>5423</v>
      </c>
      <c r="I1987" s="371" t="s">
        <v>5424</v>
      </c>
      <c r="J1987" s="371" t="s">
        <v>5425</v>
      </c>
      <c r="K1987" s="547" t="s">
        <v>5426</v>
      </c>
      <c r="L1987" s="547" t="s">
        <v>5427</v>
      </c>
      <c r="M1987" s="371" t="s">
        <v>5428</v>
      </c>
      <c r="N1987" s="428"/>
      <c r="O1987" s="428"/>
      <c r="P1987" s="433"/>
      <c r="Q1987" s="442"/>
      <c r="R1987" s="443"/>
      <c r="S1987" s="364"/>
      <c r="Z1987" s="609" t="s">
        <v>806</v>
      </c>
      <c r="AA1987" s="609" t="s">
        <v>3371</v>
      </c>
    </row>
    <row r="1988" spans="1:27" ht="0.75" customHeight="1" thickBot="1">
      <c r="A1988" s="2714"/>
      <c r="B1988" s="371"/>
      <c r="C1988" s="371"/>
      <c r="D1988" s="2716"/>
      <c r="E1988" s="586"/>
      <c r="F1988" s="586"/>
      <c r="G1988" s="2224"/>
      <c r="H1988" s="371" t="s">
        <v>5429</v>
      </c>
      <c r="I1988" s="371" t="s">
        <v>5430</v>
      </c>
      <c r="J1988" s="371" t="s">
        <v>5431</v>
      </c>
      <c r="K1988" s="547" t="s">
        <v>5432</v>
      </c>
      <c r="L1988" s="547" t="s">
        <v>5433</v>
      </c>
      <c r="M1988" s="371" t="s">
        <v>5434</v>
      </c>
      <c r="N1988" s="428"/>
      <c r="O1988" s="428"/>
      <c r="P1988" s="433"/>
      <c r="Q1988" s="442"/>
      <c r="R1988" s="443"/>
      <c r="S1988" s="364"/>
      <c r="Z1988" s="609" t="s">
        <v>806</v>
      </c>
      <c r="AA1988" s="609" t="s">
        <v>3371</v>
      </c>
    </row>
    <row r="1989" spans="1:27" ht="18" customHeight="1">
      <c r="A1989" s="2714"/>
      <c r="B1989" s="371"/>
      <c r="C1989" s="371"/>
      <c r="D1989" s="2716"/>
      <c r="E1989" s="586" t="s">
        <v>2749</v>
      </c>
      <c r="F1989" s="414"/>
      <c r="G1989" s="3472" t="s">
        <v>3376</v>
      </c>
      <c r="H1989" s="3415" t="s">
        <v>3097</v>
      </c>
      <c r="I1989" s="3415"/>
      <c r="J1989" s="3415"/>
      <c r="K1989" s="3415"/>
      <c r="L1989" s="3415" t="s">
        <v>3378</v>
      </c>
      <c r="M1989" s="3431" t="s">
        <v>3379</v>
      </c>
      <c r="N1989" s="355" t="s">
        <v>5279</v>
      </c>
      <c r="O1989" s="428"/>
      <c r="P1989" s="433"/>
      <c r="Q1989" s="442"/>
      <c r="R1989" s="443"/>
      <c r="S1989" s="364"/>
      <c r="Z1989" s="609" t="s">
        <v>806</v>
      </c>
      <c r="AA1989" s="609" t="s">
        <v>3371</v>
      </c>
    </row>
    <row r="1990" spans="1:27" ht="18">
      <c r="A1990" s="2714"/>
      <c r="B1990" s="371"/>
      <c r="C1990" s="371"/>
      <c r="D1990" s="2716"/>
      <c r="E1990" s="586" t="s">
        <v>2749</v>
      </c>
      <c r="F1990" s="414"/>
      <c r="G1990" s="3473"/>
      <c r="H1990" s="2474" t="str">
        <f>$Y$3</f>
        <v>2017年12月31日</v>
      </c>
      <c r="I1990" s="2294" t="s">
        <v>3027</v>
      </c>
      <c r="J1990" s="2294" t="s">
        <v>3028</v>
      </c>
      <c r="K1990" s="2333" t="str">
        <f>$V$3</f>
        <v>2018年12月31日</v>
      </c>
      <c r="L1990" s="3416"/>
      <c r="M1990" s="3481"/>
      <c r="N1990" s="355" t="s">
        <v>6138</v>
      </c>
      <c r="O1990" s="434"/>
      <c r="P1990" s="435"/>
      <c r="Q1990" s="442"/>
      <c r="R1990" s="443"/>
      <c r="S1990" s="364"/>
      <c r="Z1990" s="609" t="s">
        <v>806</v>
      </c>
      <c r="AA1990" s="609" t="s">
        <v>3371</v>
      </c>
    </row>
    <row r="1991" spans="1:27" ht="18">
      <c r="A1991" s="2714"/>
      <c r="B1991" s="371">
        <v>101</v>
      </c>
      <c r="C1991" s="371" t="s">
        <v>2791</v>
      </c>
      <c r="D1991" s="2716">
        <f t="shared" ref="D1991:D1999" si="198">IF(OR(G1991="*",G1991="",G1991=0),0,COUNTIF($G$1991:$G$1999,G1991))</f>
        <v>0</v>
      </c>
      <c r="E1991" s="2721">
        <v>1</v>
      </c>
      <c r="F1991" s="293"/>
      <c r="G1991" s="2284" t="s">
        <v>2792</v>
      </c>
      <c r="H1991" s="2275"/>
      <c r="I1991" s="2275"/>
      <c r="J1991" s="2275"/>
      <c r="K1991" s="1476">
        <f>H1991+I1991-J1991</f>
        <v>0</v>
      </c>
      <c r="L1991" s="2298"/>
      <c r="M1991" s="2296"/>
      <c r="N1991" s="439"/>
      <c r="O1991" s="437"/>
      <c r="P1991" s="438"/>
      <c r="Q1991" s="442"/>
      <c r="R1991" s="443"/>
      <c r="S1991" s="364"/>
      <c r="Z1991" s="609" t="s">
        <v>806</v>
      </c>
      <c r="AA1991" s="609" t="s">
        <v>3371</v>
      </c>
    </row>
    <row r="1992" spans="1:27" ht="18">
      <c r="A1992" s="2714"/>
      <c r="B1992" s="371">
        <v>102</v>
      </c>
      <c r="C1992" s="371" t="s">
        <v>2791</v>
      </c>
      <c r="D1992" s="2716">
        <f t="shared" si="198"/>
        <v>0</v>
      </c>
      <c r="E1992" s="2721">
        <v>1</v>
      </c>
      <c r="F1992" s="293"/>
      <c r="G1992" s="2284" t="s">
        <v>2792</v>
      </c>
      <c r="H1992" s="2275"/>
      <c r="I1992" s="2275"/>
      <c r="J1992" s="2275"/>
      <c r="K1992" s="1476">
        <f t="shared" ref="K1992:K1998" si="199">H1992+I1992-J1992</f>
        <v>0</v>
      </c>
      <c r="L1992" s="2298"/>
      <c r="M1992" s="2296"/>
      <c r="N1992" s="439"/>
      <c r="O1992" s="437"/>
      <c r="P1992" s="438"/>
      <c r="Q1992" s="442"/>
      <c r="R1992" s="443"/>
      <c r="S1992" s="364"/>
      <c r="Z1992" s="609" t="s">
        <v>806</v>
      </c>
      <c r="AA1992" s="609" t="s">
        <v>3371</v>
      </c>
    </row>
    <row r="1993" spans="1:27" ht="18">
      <c r="A1993" s="2714"/>
      <c r="B1993" s="371">
        <v>103</v>
      </c>
      <c r="C1993" s="371" t="s">
        <v>2791</v>
      </c>
      <c r="D1993" s="2716">
        <f t="shared" si="198"/>
        <v>0</v>
      </c>
      <c r="E1993" s="2721">
        <v>1</v>
      </c>
      <c r="F1993" s="293"/>
      <c r="G1993" s="2284" t="s">
        <v>2792</v>
      </c>
      <c r="H1993" s="2275"/>
      <c r="I1993" s="2275"/>
      <c r="J1993" s="2275"/>
      <c r="K1993" s="1476">
        <f t="shared" si="199"/>
        <v>0</v>
      </c>
      <c r="L1993" s="2298"/>
      <c r="M1993" s="2296"/>
      <c r="N1993" s="439"/>
      <c r="O1993" s="437"/>
      <c r="P1993" s="438"/>
      <c r="Q1993" s="442"/>
      <c r="R1993" s="443"/>
      <c r="S1993" s="364"/>
      <c r="Z1993" s="609" t="s">
        <v>806</v>
      </c>
      <c r="AA1993" s="609" t="s">
        <v>3371</v>
      </c>
    </row>
    <row r="1994" spans="1:27" ht="18">
      <c r="A1994" s="2714"/>
      <c r="B1994" s="371">
        <v>104</v>
      </c>
      <c r="C1994" s="371" t="s">
        <v>2791</v>
      </c>
      <c r="D1994" s="2716">
        <f t="shared" si="198"/>
        <v>0</v>
      </c>
      <c r="E1994" s="2721">
        <v>1</v>
      </c>
      <c r="F1994" s="293"/>
      <c r="G1994" s="2284" t="s">
        <v>2792</v>
      </c>
      <c r="H1994" s="2275"/>
      <c r="I1994" s="2275"/>
      <c r="J1994" s="2275"/>
      <c r="K1994" s="1476">
        <f t="shared" si="199"/>
        <v>0</v>
      </c>
      <c r="L1994" s="2298"/>
      <c r="M1994" s="2296"/>
      <c r="N1994" s="439"/>
      <c r="O1994" s="437"/>
      <c r="P1994" s="438"/>
      <c r="Q1994" s="442"/>
      <c r="R1994" s="443"/>
      <c r="S1994" s="364"/>
      <c r="Z1994" s="609" t="s">
        <v>806</v>
      </c>
      <c r="AA1994" s="609" t="s">
        <v>3371</v>
      </c>
    </row>
    <row r="1995" spans="1:27" ht="18">
      <c r="A1995" s="2714"/>
      <c r="B1995" s="371">
        <v>105</v>
      </c>
      <c r="C1995" s="371" t="s">
        <v>2791</v>
      </c>
      <c r="D1995" s="2716">
        <f t="shared" si="198"/>
        <v>0</v>
      </c>
      <c r="E1995" s="2721">
        <v>1</v>
      </c>
      <c r="F1995" s="293"/>
      <c r="G1995" s="2284" t="s">
        <v>2792</v>
      </c>
      <c r="H1995" s="2275"/>
      <c r="I1995" s="2275"/>
      <c r="J1995" s="2275"/>
      <c r="K1995" s="1476">
        <f t="shared" si="199"/>
        <v>0</v>
      </c>
      <c r="L1995" s="2298"/>
      <c r="M1995" s="2296"/>
      <c r="N1995" s="439"/>
      <c r="O1995" s="437"/>
      <c r="P1995" s="438"/>
      <c r="Q1995" s="442"/>
      <c r="R1995" s="443"/>
      <c r="S1995" s="364"/>
      <c r="Z1995" s="609" t="s">
        <v>806</v>
      </c>
      <c r="AA1995" s="609" t="s">
        <v>3371</v>
      </c>
    </row>
    <row r="1996" spans="1:27" ht="18">
      <c r="A1996" s="2714"/>
      <c r="B1996" s="371">
        <v>106</v>
      </c>
      <c r="C1996" s="371" t="s">
        <v>2791</v>
      </c>
      <c r="D1996" s="2716">
        <f t="shared" si="198"/>
        <v>0</v>
      </c>
      <c r="E1996" s="2721">
        <v>1</v>
      </c>
      <c r="F1996" s="293"/>
      <c r="G1996" s="2284" t="s">
        <v>2792</v>
      </c>
      <c r="H1996" s="2275"/>
      <c r="I1996" s="2275"/>
      <c r="J1996" s="2275"/>
      <c r="K1996" s="1476">
        <f t="shared" si="199"/>
        <v>0</v>
      </c>
      <c r="L1996" s="2298"/>
      <c r="M1996" s="2296"/>
      <c r="N1996" s="439"/>
      <c r="O1996" s="437"/>
      <c r="P1996" s="438"/>
      <c r="Q1996" s="442"/>
      <c r="R1996" s="443"/>
      <c r="S1996" s="364"/>
      <c r="Z1996" s="609" t="s">
        <v>806</v>
      </c>
      <c r="AA1996" s="609" t="s">
        <v>3371</v>
      </c>
    </row>
    <row r="1997" spans="1:27" ht="18">
      <c r="A1997" s="2714"/>
      <c r="B1997" s="371">
        <v>107</v>
      </c>
      <c r="C1997" s="371" t="s">
        <v>2791</v>
      </c>
      <c r="D1997" s="2716">
        <f t="shared" si="198"/>
        <v>0</v>
      </c>
      <c r="E1997" s="2721">
        <v>1</v>
      </c>
      <c r="F1997" s="293"/>
      <c r="G1997" s="2284" t="s">
        <v>2792</v>
      </c>
      <c r="H1997" s="2275"/>
      <c r="I1997" s="2275"/>
      <c r="J1997" s="2275"/>
      <c r="K1997" s="1476">
        <f t="shared" si="199"/>
        <v>0</v>
      </c>
      <c r="L1997" s="2298"/>
      <c r="M1997" s="2296"/>
      <c r="N1997" s="439"/>
      <c r="O1997" s="437"/>
      <c r="P1997" s="438"/>
      <c r="Q1997" s="442"/>
      <c r="R1997" s="443"/>
      <c r="S1997" s="364"/>
      <c r="Z1997" s="609" t="s">
        <v>806</v>
      </c>
      <c r="AA1997" s="609" t="s">
        <v>3371</v>
      </c>
    </row>
    <row r="1998" spans="1:27" ht="18">
      <c r="A1998" s="2714"/>
      <c r="B1998" s="371">
        <v>108</v>
      </c>
      <c r="C1998" s="371" t="s">
        <v>2791</v>
      </c>
      <c r="D1998" s="2716">
        <f t="shared" si="198"/>
        <v>0</v>
      </c>
      <c r="E1998" s="2721">
        <v>1</v>
      </c>
      <c r="F1998" s="293"/>
      <c r="G1998" s="2284" t="s">
        <v>2792</v>
      </c>
      <c r="H1998" s="2275"/>
      <c r="I1998" s="2275"/>
      <c r="J1998" s="2275"/>
      <c r="K1998" s="1476">
        <f t="shared" si="199"/>
        <v>0</v>
      </c>
      <c r="L1998" s="2298"/>
      <c r="M1998" s="2296"/>
      <c r="N1998" s="439"/>
      <c r="O1998" s="437"/>
      <c r="P1998" s="438"/>
      <c r="Q1998" s="442"/>
      <c r="R1998" s="443"/>
      <c r="S1998" s="364"/>
      <c r="Z1998" s="609" t="s">
        <v>806</v>
      </c>
      <c r="AA1998" s="609" t="s">
        <v>3371</v>
      </c>
    </row>
    <row r="1999" spans="1:27" ht="18.75" thickBot="1">
      <c r="A1999" s="2714"/>
      <c r="B1999" s="371"/>
      <c r="C1999" s="371"/>
      <c r="D1999" s="2716">
        <f t="shared" si="198"/>
        <v>1</v>
      </c>
      <c r="E1999" s="2721" t="s">
        <v>2751</v>
      </c>
      <c r="F1999" s="293"/>
      <c r="G1999" s="2234" t="s">
        <v>2752</v>
      </c>
      <c r="H1999" s="2235">
        <f>SUMPRODUCT($E1990:$E1998,H1990:H1998)</f>
        <v>0</v>
      </c>
      <c r="I1999" s="2235">
        <f>SUMPRODUCT($E1990:$E1998,I1990:I1998)</f>
        <v>0</v>
      </c>
      <c r="J1999" s="2235">
        <f>SUMPRODUCT($E1990:$E1998,J1990:J1998)</f>
        <v>0</v>
      </c>
      <c r="K1999" s="2235">
        <f>SUMPRODUCT($E1990:$E1998,K1990:K1998)</f>
        <v>0</v>
      </c>
      <c r="L1999" s="2241"/>
      <c r="M1999" s="2236">
        <f>SUMPRODUCT($E1990:$E1998,M1990:M1998)</f>
        <v>0</v>
      </c>
      <c r="N1999" s="439"/>
      <c r="O1999" s="437"/>
      <c r="P1999" s="440"/>
      <c r="Q1999" s="442"/>
      <c r="R1999" s="443"/>
      <c r="S1999" s="364"/>
      <c r="Z1999" s="609" t="s">
        <v>806</v>
      </c>
      <c r="AA1999" s="609" t="s">
        <v>3371</v>
      </c>
    </row>
    <row r="2000" spans="1:27" ht="18">
      <c r="A2000" s="2714"/>
      <c r="B2000" s="371"/>
      <c r="C2000" s="371" t="s">
        <v>2755</v>
      </c>
      <c r="D2000" s="2716"/>
      <c r="F2000" s="293"/>
      <c r="G2000" s="376"/>
      <c r="H2000" s="315"/>
      <c r="I2000" s="396"/>
      <c r="J2000" s="315"/>
      <c r="K2000" s="423"/>
      <c r="L2000" s="393"/>
      <c r="M2000" s="315"/>
      <c r="N2000" s="426"/>
      <c r="O2000" s="427"/>
      <c r="P2000" s="425"/>
      <c r="Q2000" s="442"/>
      <c r="R2000" s="443"/>
      <c r="S2000" s="364"/>
      <c r="Z2000" s="609" t="s">
        <v>806</v>
      </c>
      <c r="AA2000" s="609" t="s">
        <v>3371</v>
      </c>
    </row>
    <row r="2001" spans="1:31" ht="24">
      <c r="A2001" s="2714" t="s">
        <v>821</v>
      </c>
      <c r="B2001" s="371">
        <v>4</v>
      </c>
      <c r="C2001" s="371"/>
      <c r="D2001" s="2716" t="str">
        <f>VLOOKUP($A2001,Sheet_NoteList,2,0)</f>
        <v>可供出售金融资产减值的变动情况</v>
      </c>
      <c r="E2001" s="2716" t="s">
        <v>2742</v>
      </c>
      <c r="F2001" s="293"/>
      <c r="G2001" s="372" t="str">
        <f>"("&amp;B2001&amp;")"&amp;D2001</f>
        <v>(4)可供出售金融资产减值的变动情况</v>
      </c>
      <c r="H2001" s="1517" t="str">
        <f>$A2001</f>
        <v>1503k</v>
      </c>
      <c r="I2001" s="343" t="s">
        <v>2743</v>
      </c>
      <c r="J2001" s="301" t="s">
        <v>2744</v>
      </c>
      <c r="K2001" s="2210">
        <f>J2011</f>
        <v>0</v>
      </c>
      <c r="L2001" s="349"/>
      <c r="M2001" s="301"/>
      <c r="N2001" s="391"/>
      <c r="O2001" s="349"/>
      <c r="P2001" s="301"/>
      <c r="S2001" s="364"/>
      <c r="Z2001" s="609" t="s">
        <v>806</v>
      </c>
      <c r="AA2001" s="609" t="s">
        <v>3380</v>
      </c>
    </row>
    <row r="2002" spans="1:31" ht="0.75" customHeight="1" thickBot="1">
      <c r="A2002" s="2714"/>
      <c r="B2002" s="371"/>
      <c r="C2002" s="371"/>
      <c r="D2002" s="2716"/>
      <c r="E2002" s="586"/>
      <c r="F2002" s="586"/>
      <c r="G2002" s="2224" t="s">
        <v>3381</v>
      </c>
      <c r="H2002" s="371" t="s">
        <v>2747</v>
      </c>
      <c r="I2002" s="371" t="s">
        <v>2748</v>
      </c>
      <c r="J2002" s="371" t="s">
        <v>2948</v>
      </c>
      <c r="K2002" s="428"/>
      <c r="L2002" s="428"/>
      <c r="M2002" s="433"/>
      <c r="N2002" s="428"/>
      <c r="O2002" s="428"/>
      <c r="P2002" s="433"/>
      <c r="Q2002" s="442"/>
      <c r="R2002" s="443"/>
      <c r="S2002" s="364"/>
      <c r="Z2002" s="609" t="s">
        <v>806</v>
      </c>
      <c r="AA2002" s="609" t="s">
        <v>3380</v>
      </c>
    </row>
    <row r="2003" spans="1:31" ht="24">
      <c r="A2003" s="2714"/>
      <c r="B2003" s="371"/>
      <c r="C2003" s="371"/>
      <c r="D2003" s="2716"/>
      <c r="E2003" s="586" t="s">
        <v>2749</v>
      </c>
      <c r="F2003" s="414"/>
      <c r="G2003" s="2289" t="s">
        <v>3372</v>
      </c>
      <c r="H2003" s="2291" t="s">
        <v>3369</v>
      </c>
      <c r="I2003" s="2291" t="s">
        <v>3368</v>
      </c>
      <c r="J2003" s="2293" t="s">
        <v>3351</v>
      </c>
      <c r="K2003" s="355" t="s">
        <v>5279</v>
      </c>
      <c r="L2003" s="434"/>
      <c r="M2003" s="435"/>
      <c r="N2003" s="434"/>
      <c r="O2003" s="434"/>
      <c r="P2003" s="435"/>
      <c r="Q2003" s="442"/>
      <c r="R2003" s="443"/>
      <c r="S2003" s="364"/>
      <c r="Z2003" s="609" t="s">
        <v>806</v>
      </c>
      <c r="AA2003" s="609" t="s">
        <v>3380</v>
      </c>
    </row>
    <row r="2004" spans="1:31" ht="24">
      <c r="A2004" s="2714"/>
      <c r="B2004" s="371">
        <v>101</v>
      </c>
      <c r="C2004" s="371"/>
      <c r="D2004" s="2716">
        <f t="shared" ref="D2004:D2011" si="200">IF(OR(G2004="*",G2004="",G2004=0),0,COUNTIF($G$2004:$G$2011,G2004))</f>
        <v>1</v>
      </c>
      <c r="E2004" s="2721">
        <v>1</v>
      </c>
      <c r="F2004" s="293"/>
      <c r="G2004" s="1474" t="str">
        <f>$Y$3&amp;"已计提减值余额"</f>
        <v>2017年12月31日已计提减值余额</v>
      </c>
      <c r="H2004" s="2275"/>
      <c r="I2004" s="2275"/>
      <c r="J2004" s="1477">
        <f>H2004+I2004</f>
        <v>0</v>
      </c>
      <c r="K2004" s="355" t="s">
        <v>6138</v>
      </c>
      <c r="L2004" s="437"/>
      <c r="M2004" s="438"/>
      <c r="N2004" s="439"/>
      <c r="O2004" s="437"/>
      <c r="P2004" s="438"/>
      <c r="Q2004" s="442"/>
      <c r="R2004" s="443"/>
      <c r="S2004" s="364"/>
      <c r="Z2004" s="609" t="s">
        <v>806</v>
      </c>
      <c r="AA2004" s="609" t="s">
        <v>3380</v>
      </c>
    </row>
    <row r="2005" spans="1:31" ht="18">
      <c r="A2005" s="2714"/>
      <c r="B2005" s="371">
        <v>103</v>
      </c>
      <c r="C2005" s="371"/>
      <c r="D2005" s="2716">
        <f t="shared" si="200"/>
        <v>1</v>
      </c>
      <c r="E2005" s="2721">
        <v>1</v>
      </c>
      <c r="F2005" s="293"/>
      <c r="G2005" s="1474" t="s">
        <v>3355</v>
      </c>
      <c r="H2005" s="2275"/>
      <c r="I2005" s="2275"/>
      <c r="J2005" s="1477">
        <f t="shared" ref="J2005:J2010" si="201">H2005+I2005</f>
        <v>0</v>
      </c>
      <c r="K2005" s="439"/>
      <c r="L2005" s="437"/>
      <c r="M2005" s="438"/>
      <c r="N2005" s="439"/>
      <c r="O2005" s="437"/>
      <c r="P2005" s="438"/>
      <c r="Q2005" s="442"/>
      <c r="R2005" s="443"/>
      <c r="S2005" s="364"/>
      <c r="Z2005" s="609" t="s">
        <v>806</v>
      </c>
      <c r="AA2005" s="609" t="s">
        <v>3380</v>
      </c>
    </row>
    <row r="2006" spans="1:31" ht="18">
      <c r="A2006" s="2714"/>
      <c r="B2006" s="371">
        <v>104</v>
      </c>
      <c r="C2006" s="371"/>
      <c r="D2006" s="2716">
        <f t="shared" si="200"/>
        <v>1</v>
      </c>
      <c r="E2006" s="2721">
        <v>0</v>
      </c>
      <c r="F2006" s="293"/>
      <c r="G2006" s="1474" t="s">
        <v>3382</v>
      </c>
      <c r="H2006" s="2275"/>
      <c r="I2006" s="2275"/>
      <c r="J2006" s="1477">
        <f t="shared" si="201"/>
        <v>0</v>
      </c>
      <c r="K2006" s="439"/>
      <c r="L2006" s="437"/>
      <c r="M2006" s="438"/>
      <c r="N2006" s="439"/>
      <c r="O2006" s="437"/>
      <c r="P2006" s="438"/>
      <c r="Q2006" s="442"/>
      <c r="R2006" s="443"/>
      <c r="S2006" s="364"/>
      <c r="Z2006" s="609" t="s">
        <v>806</v>
      </c>
      <c r="AA2006" s="609" t="s">
        <v>3380</v>
      </c>
    </row>
    <row r="2007" spans="1:31" ht="18">
      <c r="A2007" s="2714"/>
      <c r="B2007" s="371">
        <v>105</v>
      </c>
      <c r="C2007" s="371"/>
      <c r="D2007" s="2716">
        <f t="shared" si="200"/>
        <v>1</v>
      </c>
      <c r="E2007" s="2721">
        <v>-1</v>
      </c>
      <c r="F2007" s="293"/>
      <c r="G2007" s="1474" t="s">
        <v>3028</v>
      </c>
      <c r="H2007" s="2275"/>
      <c r="I2007" s="2275"/>
      <c r="J2007" s="1477">
        <f t="shared" si="201"/>
        <v>0</v>
      </c>
      <c r="K2007" s="439"/>
      <c r="L2007" s="437"/>
      <c r="M2007" s="438"/>
      <c r="N2007" s="439"/>
      <c r="O2007" s="437"/>
      <c r="P2007" s="438"/>
      <c r="Q2007" s="442"/>
      <c r="R2007" s="443"/>
      <c r="S2007" s="364"/>
      <c r="Z2007" s="609" t="s">
        <v>806</v>
      </c>
      <c r="AA2007" s="609" t="s">
        <v>3380</v>
      </c>
    </row>
    <row r="2008" spans="1:31" ht="18">
      <c r="A2008" s="2714"/>
      <c r="B2008" s="371">
        <v>107</v>
      </c>
      <c r="C2008" s="371"/>
      <c r="D2008" s="2716">
        <f t="shared" si="200"/>
        <v>1</v>
      </c>
      <c r="E2008" s="2721">
        <v>0</v>
      </c>
      <c r="F2008" s="293"/>
      <c r="G2008" s="1474" t="s">
        <v>3383</v>
      </c>
      <c r="H2008" s="2275"/>
      <c r="I2008" s="2275"/>
      <c r="J2008" s="1477">
        <f t="shared" si="201"/>
        <v>0</v>
      </c>
      <c r="K2008" s="439"/>
      <c r="L2008" s="437"/>
      <c r="M2008" s="438"/>
      <c r="N2008" s="439"/>
      <c r="O2008" s="437"/>
      <c r="P2008" s="438"/>
      <c r="Q2008" s="442"/>
      <c r="R2008" s="443"/>
      <c r="S2008" s="364"/>
      <c r="Z2008" s="609" t="s">
        <v>806</v>
      </c>
      <c r="AA2008" s="609" t="s">
        <v>3380</v>
      </c>
    </row>
    <row r="2009" spans="1:31" ht="18">
      <c r="A2009" s="2714"/>
      <c r="B2009" s="371">
        <v>108</v>
      </c>
      <c r="C2009" s="371" t="s">
        <v>2791</v>
      </c>
      <c r="D2009" s="2716">
        <f t="shared" si="200"/>
        <v>1</v>
      </c>
      <c r="E2009" s="2721">
        <v>1</v>
      </c>
      <c r="F2009" s="293"/>
      <c r="G2009" s="2548" t="s">
        <v>6135</v>
      </c>
      <c r="H2009" s="2275"/>
      <c r="I2009" s="2275"/>
      <c r="J2009" s="1477">
        <f t="shared" si="201"/>
        <v>0</v>
      </c>
      <c r="K2009" s="355" t="s">
        <v>6134</v>
      </c>
      <c r="L2009" s="437"/>
      <c r="M2009" s="438"/>
      <c r="N2009" s="439"/>
      <c r="O2009" s="437"/>
      <c r="P2009" s="438"/>
      <c r="Q2009" s="442"/>
      <c r="R2009" s="443"/>
      <c r="S2009" s="364"/>
      <c r="Z2009" s="609" t="s">
        <v>806</v>
      </c>
      <c r="AA2009" s="609" t="s">
        <v>3380</v>
      </c>
    </row>
    <row r="2010" spans="1:31" ht="18">
      <c r="A2010" s="2714"/>
      <c r="B2010" s="371">
        <v>109</v>
      </c>
      <c r="C2010" s="371" t="s">
        <v>2791</v>
      </c>
      <c r="D2010" s="2716">
        <f t="shared" si="200"/>
        <v>0</v>
      </c>
      <c r="E2010" s="2721">
        <v>1</v>
      </c>
      <c r="F2010" s="293"/>
      <c r="G2010" s="2284" t="s">
        <v>2792</v>
      </c>
      <c r="H2010" s="2275"/>
      <c r="I2010" s="2275"/>
      <c r="J2010" s="1477">
        <f t="shared" si="201"/>
        <v>0</v>
      </c>
      <c r="K2010" s="355" t="s">
        <v>6134</v>
      </c>
      <c r="L2010" s="437"/>
      <c r="M2010" s="438"/>
      <c r="N2010" s="439"/>
      <c r="O2010" s="437"/>
      <c r="P2010" s="438"/>
      <c r="Q2010" s="442"/>
      <c r="R2010" s="443"/>
      <c r="S2010" s="364"/>
      <c r="Z2010" s="609" t="s">
        <v>806</v>
      </c>
      <c r="AA2010" s="609" t="s">
        <v>3380</v>
      </c>
    </row>
    <row r="2011" spans="1:31" ht="24.75" thickBot="1">
      <c r="A2011" s="2714"/>
      <c r="B2011" s="371"/>
      <c r="C2011" s="371"/>
      <c r="D2011" s="2716">
        <f t="shared" si="200"/>
        <v>1</v>
      </c>
      <c r="E2011" s="2721" t="s">
        <v>2751</v>
      </c>
      <c r="F2011" s="293"/>
      <c r="G2011" s="2234" t="str">
        <f>$W$3&amp;"已计提减值余额"</f>
        <v>2018年12月31日已计提减值余额</v>
      </c>
      <c r="H2011" s="2235">
        <f>SUMPRODUCT($E2003:$E2010,H2003:H2010)</f>
        <v>0</v>
      </c>
      <c r="I2011" s="2235">
        <f>SUMPRODUCT($E2003:$E2010,I2003:I2010)</f>
        <v>0</v>
      </c>
      <c r="J2011" s="2236">
        <f>SUMPRODUCT($E2003:$E2010,J2003:J2010)</f>
        <v>0</v>
      </c>
      <c r="K2011" s="439"/>
      <c r="L2011" s="437"/>
      <c r="M2011" s="440"/>
      <c r="N2011" s="439"/>
      <c r="O2011" s="437"/>
      <c r="P2011" s="440"/>
      <c r="Q2011" s="442"/>
      <c r="R2011" s="443"/>
      <c r="S2011" s="364"/>
      <c r="Z2011" s="609" t="s">
        <v>806</v>
      </c>
      <c r="AA2011" s="609" t="s">
        <v>3380</v>
      </c>
    </row>
    <row r="2012" spans="1:31" ht="18">
      <c r="A2012" s="2714"/>
      <c r="B2012" s="371"/>
      <c r="C2012" s="371" t="s">
        <v>2755</v>
      </c>
      <c r="D2012" s="2716"/>
      <c r="F2012" s="293"/>
      <c r="G2012" s="376"/>
      <c r="H2012" s="315"/>
      <c r="I2012" s="396"/>
      <c r="J2012" s="315"/>
      <c r="K2012" s="426"/>
      <c r="L2012" s="427"/>
      <c r="M2012" s="425"/>
      <c r="N2012" s="426"/>
      <c r="O2012" s="427"/>
      <c r="P2012" s="425"/>
      <c r="Q2012" s="442"/>
      <c r="R2012" s="443"/>
      <c r="S2012" s="364"/>
      <c r="Z2012" s="609" t="s">
        <v>806</v>
      </c>
      <c r="AA2012" s="609" t="s">
        <v>3380</v>
      </c>
    </row>
    <row r="2013" spans="1:31" ht="24" hidden="1">
      <c r="A2013" s="2714" t="s">
        <v>841</v>
      </c>
      <c r="B2013" s="371">
        <v>4</v>
      </c>
      <c r="C2013" s="371"/>
      <c r="D2013" s="2716" t="str">
        <f>VLOOKUP($A2013,Sheet_NoteList,2,0)</f>
        <v>报告期内可供出售金融资产减值的变动情况</v>
      </c>
      <c r="E2013" s="2716" t="s">
        <v>6613</v>
      </c>
      <c r="F2013" s="294"/>
      <c r="G2013" s="372" t="str">
        <f>"("&amp;B2013&amp;")"&amp;D2013</f>
        <v>(4)报告期内可供出售金融资产减值的变动情况</v>
      </c>
      <c r="H2013" s="1517" t="str">
        <f>$A2013</f>
        <v>1503d</v>
      </c>
      <c r="I2013" s="343" t="s">
        <v>6616</v>
      </c>
      <c r="J2013" s="301" t="s">
        <v>6615</v>
      </c>
      <c r="K2013" s="301"/>
      <c r="L2013" s="315"/>
      <c r="M2013" s="301" t="s">
        <v>6615</v>
      </c>
      <c r="N2013" s="423"/>
      <c r="O2013" s="315"/>
      <c r="P2013" s="301"/>
      <c r="Q2013" s="290" t="str">
        <f>IF($I2013="不适用","",IF(ROUND(SUM($H$2016:$M$2019),2)=0,"请输入",""))</f>
        <v/>
      </c>
      <c r="S2013" s="364"/>
      <c r="Z2013" s="609" t="s">
        <v>806</v>
      </c>
      <c r="AA2013" s="609" t="s">
        <v>3380</v>
      </c>
      <c r="AE2013" s="369" t="s">
        <v>2761</v>
      </c>
    </row>
    <row r="2014" spans="1:31" ht="0.75" hidden="1" customHeight="1" thickBot="1">
      <c r="A2014" s="2714"/>
      <c r="B2014" s="371">
        <v>2.3E-2</v>
      </c>
      <c r="C2014" s="371"/>
      <c r="D2014" s="371"/>
      <c r="F2014" s="304"/>
      <c r="G2014" s="304" t="s">
        <v>3384</v>
      </c>
      <c r="H2014" s="304" t="s">
        <v>2904</v>
      </c>
      <c r="I2014" s="304" t="s">
        <v>3385</v>
      </c>
      <c r="J2014" s="499" t="s">
        <v>3386</v>
      </c>
      <c r="K2014" s="499" t="s">
        <v>3251</v>
      </c>
      <c r="L2014" s="304" t="s">
        <v>3387</v>
      </c>
      <c r="M2014" s="304" t="s">
        <v>3221</v>
      </c>
      <c r="N2014" s="291"/>
      <c r="O2014" s="291"/>
      <c r="P2014" s="291"/>
      <c r="S2014" s="364"/>
      <c r="Z2014" s="609" t="s">
        <v>806</v>
      </c>
      <c r="AA2014" s="609" t="s">
        <v>3380</v>
      </c>
      <c r="AE2014" s="369" t="s">
        <v>2761</v>
      </c>
    </row>
    <row r="2015" spans="1:31" ht="24" hidden="1">
      <c r="A2015" s="2714"/>
      <c r="B2015" s="371"/>
      <c r="C2015" s="371"/>
      <c r="D2015" s="371"/>
      <c r="E2015" s="2716" t="s">
        <v>2749</v>
      </c>
      <c r="F2015" s="294"/>
      <c r="G2015" s="450" t="s">
        <v>3372</v>
      </c>
      <c r="H2015" s="482" t="s">
        <v>3388</v>
      </c>
      <c r="I2015" s="482" t="s">
        <v>3355</v>
      </c>
      <c r="J2015" s="482" t="s">
        <v>3382</v>
      </c>
      <c r="K2015" s="482" t="s">
        <v>3028</v>
      </c>
      <c r="L2015" s="482" t="s">
        <v>3383</v>
      </c>
      <c r="M2015" s="500" t="s">
        <v>3389</v>
      </c>
      <c r="N2015" s="424" t="s">
        <v>5990</v>
      </c>
      <c r="P2015" s="291"/>
      <c r="S2015" s="364"/>
      <c r="Z2015" s="609" t="s">
        <v>806</v>
      </c>
      <c r="AA2015" s="609" t="s">
        <v>3380</v>
      </c>
      <c r="AE2015" s="369" t="s">
        <v>2761</v>
      </c>
    </row>
    <row r="2016" spans="1:31" ht="18" hidden="1">
      <c r="A2016" s="2714"/>
      <c r="B2016" s="371">
        <v>101</v>
      </c>
      <c r="C2016" s="371"/>
      <c r="D2016" s="2716">
        <f>IF(OR(G2016="*",G2016="",G2016=0),0,COUNTIF($G$2016:$G$2019,G2016))</f>
        <v>1</v>
      </c>
      <c r="E2016" s="2721">
        <v>1</v>
      </c>
      <c r="F2016" s="294"/>
      <c r="G2016" s="380" t="s">
        <v>3369</v>
      </c>
      <c r="H2016" s="383"/>
      <c r="I2016" s="383"/>
      <c r="J2016" s="383"/>
      <c r="K2016" s="383"/>
      <c r="L2016" s="383"/>
      <c r="M2016" s="489">
        <f>H2016+I2016-K2016</f>
        <v>0</v>
      </c>
      <c r="P2016" s="291"/>
      <c r="Q2016" s="367"/>
      <c r="R2016" s="367"/>
      <c r="S2016" s="364"/>
      <c r="Z2016" s="609" t="s">
        <v>806</v>
      </c>
      <c r="AA2016" s="609" t="s">
        <v>3380</v>
      </c>
      <c r="AE2016" s="369" t="s">
        <v>2761</v>
      </c>
    </row>
    <row r="2017" spans="1:31" ht="18" hidden="1">
      <c r="A2017" s="2714"/>
      <c r="B2017" s="371">
        <v>102</v>
      </c>
      <c r="C2017" s="371"/>
      <c r="D2017" s="2716">
        <f>IF(OR(G2017="*",G2017="",G2017=0),0,COUNTIF($G$2016:$G$2019,G2017))</f>
        <v>1</v>
      </c>
      <c r="E2017" s="2721">
        <v>1</v>
      </c>
      <c r="F2017" s="294"/>
      <c r="G2017" s="380" t="s">
        <v>3368</v>
      </c>
      <c r="H2017" s="383"/>
      <c r="I2017" s="383"/>
      <c r="J2017" s="383"/>
      <c r="K2017" s="383"/>
      <c r="L2017" s="383"/>
      <c r="M2017" s="489">
        <f>H2017+I2017-K2017</f>
        <v>0</v>
      </c>
      <c r="P2017" s="291"/>
      <c r="Q2017" s="367"/>
      <c r="R2017" s="367"/>
      <c r="S2017" s="364"/>
      <c r="Z2017" s="609" t="s">
        <v>806</v>
      </c>
      <c r="AA2017" s="609" t="s">
        <v>3380</v>
      </c>
      <c r="AE2017" s="369" t="s">
        <v>2761</v>
      </c>
    </row>
    <row r="2018" spans="1:31" ht="18" hidden="1">
      <c r="A2018" s="2714"/>
      <c r="B2018" s="371">
        <v>103</v>
      </c>
      <c r="C2018" s="371" t="s">
        <v>2791</v>
      </c>
      <c r="D2018" s="2716">
        <f>IF(OR(G2018="*",G2018="",G2018=0),0,COUNTIF($G$2016:$G$2019,G2018))</f>
        <v>0</v>
      </c>
      <c r="E2018" s="2721">
        <v>1</v>
      </c>
      <c r="F2018" s="294"/>
      <c r="G2018" s="409" t="s">
        <v>2792</v>
      </c>
      <c r="H2018" s="383"/>
      <c r="I2018" s="383"/>
      <c r="J2018" s="383"/>
      <c r="K2018" s="383"/>
      <c r="L2018" s="383"/>
      <c r="M2018" s="489">
        <f>H2018+I2018-K2018</f>
        <v>0</v>
      </c>
      <c r="P2018" s="291"/>
      <c r="Q2018" s="367"/>
      <c r="R2018" s="367"/>
      <c r="S2018" s="364"/>
      <c r="Z2018" s="609" t="s">
        <v>806</v>
      </c>
      <c r="AA2018" s="609" t="s">
        <v>3380</v>
      </c>
      <c r="AE2018" s="369" t="s">
        <v>2761</v>
      </c>
    </row>
    <row r="2019" spans="1:31" ht="18.75" hidden="1" thickBot="1">
      <c r="A2019" s="2714"/>
      <c r="B2019" s="371"/>
      <c r="C2019" s="371"/>
      <c r="D2019" s="2716">
        <f>IF(OR(G2019="*",G2019="",G2019=0),0,COUNTIF($G$2016:$G$2019,G2019))</f>
        <v>1</v>
      </c>
      <c r="E2019" s="2721" t="s">
        <v>3032</v>
      </c>
      <c r="F2019" s="294"/>
      <c r="G2019" s="452" t="s">
        <v>2752</v>
      </c>
      <c r="H2019" s="453">
        <f t="shared" ref="H2019:M2019" si="202">SUMPRODUCT($E2015:$E2018,H2015:H2018)</f>
        <v>0</v>
      </c>
      <c r="I2019" s="453">
        <f t="shared" si="202"/>
        <v>0</v>
      </c>
      <c r="J2019" s="453">
        <f t="shared" si="202"/>
        <v>0</v>
      </c>
      <c r="K2019" s="453">
        <f t="shared" si="202"/>
        <v>0</v>
      </c>
      <c r="L2019" s="453">
        <f t="shared" si="202"/>
        <v>0</v>
      </c>
      <c r="M2019" s="471">
        <f t="shared" si="202"/>
        <v>0</v>
      </c>
      <c r="P2019" s="291"/>
      <c r="Q2019" s="367"/>
      <c r="R2019" s="367"/>
      <c r="S2019" s="364"/>
      <c r="Z2019" s="609" t="s">
        <v>806</v>
      </c>
      <c r="AA2019" s="609" t="s">
        <v>3380</v>
      </c>
      <c r="AE2019" s="369" t="s">
        <v>2761</v>
      </c>
    </row>
    <row r="2020" spans="1:31" ht="18" hidden="1">
      <c r="A2020" s="2714"/>
      <c r="B2020" s="371"/>
      <c r="C2020" s="371" t="s">
        <v>2755</v>
      </c>
      <c r="D2020" s="371"/>
      <c r="F2020" s="294"/>
      <c r="G2020" s="301"/>
      <c r="H2020" s="349"/>
      <c r="I2020" s="349"/>
      <c r="J2020" s="350"/>
      <c r="K2020" s="350"/>
      <c r="L2020" s="349"/>
      <c r="M2020" s="350"/>
      <c r="P2020" s="291"/>
      <c r="Q2020" s="367"/>
      <c r="R2020" s="367"/>
      <c r="S2020" s="364"/>
      <c r="Z2020" s="609" t="s">
        <v>806</v>
      </c>
      <c r="AA2020" s="609" t="s">
        <v>3380</v>
      </c>
      <c r="AE2020" s="369" t="s">
        <v>2761</v>
      </c>
    </row>
    <row r="2021" spans="1:31" ht="48">
      <c r="A2021" s="2714" t="s">
        <v>825</v>
      </c>
      <c r="B2021" s="371">
        <v>5</v>
      </c>
      <c r="C2021" s="371"/>
      <c r="D2021" s="2716" t="str">
        <f>VLOOKUP($A2021,Sheet_NoteList,2,0)</f>
        <v>可供出售权益工具公允价值严重下跌或非暂时性下跌但未计提减值准备的相关说明</v>
      </c>
      <c r="E2021" s="2716" t="s">
        <v>2742</v>
      </c>
      <c r="F2021" s="294"/>
      <c r="G2021" s="372" t="str">
        <f>"("&amp;B2021&amp;")"&amp;D2021</f>
        <v>(5)可供出售权益工具公允价值严重下跌或非暂时性下跌但未计提减值准备的相关说明</v>
      </c>
      <c r="H2021" s="1517" t="str">
        <f>$A2021</f>
        <v>1503g</v>
      </c>
      <c r="I2021" s="343" t="s">
        <v>2743</v>
      </c>
      <c r="J2021" s="301"/>
      <c r="K2021" s="3083"/>
      <c r="L2021" s="315"/>
      <c r="M2021" s="301"/>
      <c r="N2021" s="3083"/>
      <c r="O2021" s="315"/>
      <c r="P2021" s="301"/>
      <c r="Q2021" s="290" t="str">
        <f>IF($I2021="不适用","",IF(ROUND(SUM($H$2024:$M$2029),2)=0,"请输入",""))</f>
        <v>请输入</v>
      </c>
      <c r="S2021" s="364"/>
      <c r="Z2021" s="609" t="s">
        <v>806</v>
      </c>
      <c r="AA2021" s="609" t="s">
        <v>3380</v>
      </c>
    </row>
    <row r="2022" spans="1:31" ht="0.75" customHeight="1" thickBot="1">
      <c r="A2022" s="2714"/>
      <c r="B2022" s="371">
        <v>1.0999999999999999E-2</v>
      </c>
      <c r="C2022" s="371"/>
      <c r="D2022" s="371"/>
      <c r="E2022" s="586"/>
      <c r="F2022" s="518"/>
      <c r="G2022" s="518" t="s">
        <v>3390</v>
      </c>
      <c r="H2022" s="304" t="s">
        <v>3391</v>
      </c>
      <c r="I2022" s="304" t="s">
        <v>2845</v>
      </c>
      <c r="J2022" s="304" t="s">
        <v>3392</v>
      </c>
      <c r="K2022" s="304" t="s">
        <v>3393</v>
      </c>
      <c r="L2022" s="304" t="s">
        <v>3394</v>
      </c>
      <c r="M2022" s="304" t="s">
        <v>3395</v>
      </c>
      <c r="N2022" s="291"/>
      <c r="O2022" s="291"/>
      <c r="P2022" s="291"/>
      <c r="S2022" s="364"/>
      <c r="Z2022" s="609" t="s">
        <v>806</v>
      </c>
      <c r="AA2022" s="609" t="s">
        <v>3380</v>
      </c>
    </row>
    <row r="2023" spans="1:31" ht="36">
      <c r="A2023" s="2714"/>
      <c r="B2023" s="371"/>
      <c r="C2023" s="371"/>
      <c r="D2023" s="371"/>
      <c r="E2023" s="586" t="s">
        <v>2749</v>
      </c>
      <c r="F2023" s="363"/>
      <c r="G2023" s="2289" t="s">
        <v>3396</v>
      </c>
      <c r="H2023" s="2291" t="s">
        <v>3397</v>
      </c>
      <c r="I2023" s="2291" t="str">
        <f>$W$3&amp;"公允价值"</f>
        <v>2018年12月31日公允价值</v>
      </c>
      <c r="J2023" s="2291" t="s">
        <v>3398</v>
      </c>
      <c r="K2023" s="2291" t="s">
        <v>3399</v>
      </c>
      <c r="L2023" s="2291" t="s">
        <v>3373</v>
      </c>
      <c r="M2023" s="2293" t="s">
        <v>3400</v>
      </c>
      <c r="N2023" s="355" t="s">
        <v>5279</v>
      </c>
      <c r="P2023" s="291"/>
      <c r="S2023" s="364"/>
      <c r="Z2023" s="609" t="s">
        <v>806</v>
      </c>
      <c r="AA2023" s="609" t="s">
        <v>3380</v>
      </c>
    </row>
    <row r="2024" spans="1:31" ht="18">
      <c r="A2024" s="2714"/>
      <c r="B2024" s="371">
        <v>101</v>
      </c>
      <c r="C2024" s="371" t="s">
        <v>2791</v>
      </c>
      <c r="D2024" s="2716">
        <f t="shared" ref="D2024:D2029" si="203">IF(OR(G2024="*",G2024="",G2024=0),0,COUNTIF($G$2024:$G$2029,G2024))</f>
        <v>0</v>
      </c>
      <c r="E2024" s="2721">
        <v>1</v>
      </c>
      <c r="F2024" s="294"/>
      <c r="G2024" s="2284" t="s">
        <v>2792</v>
      </c>
      <c r="H2024" s="2275"/>
      <c r="I2024" s="2275"/>
      <c r="J2024" s="2298"/>
      <c r="K2024" s="2298"/>
      <c r="L2024" s="2275"/>
      <c r="M2024" s="2276"/>
      <c r="P2024" s="291"/>
      <c r="Q2024" s="367"/>
      <c r="R2024" s="367"/>
      <c r="S2024" s="364"/>
      <c r="Z2024" s="609" t="s">
        <v>806</v>
      </c>
      <c r="AA2024" s="609" t="s">
        <v>3380</v>
      </c>
    </row>
    <row r="2025" spans="1:31" ht="18">
      <c r="A2025" s="2714"/>
      <c r="B2025" s="371">
        <v>102</v>
      </c>
      <c r="C2025" s="371" t="s">
        <v>2791</v>
      </c>
      <c r="D2025" s="2716">
        <f t="shared" si="203"/>
        <v>0</v>
      </c>
      <c r="E2025" s="2721">
        <v>1</v>
      </c>
      <c r="F2025" s="294"/>
      <c r="G2025" s="2284" t="s">
        <v>2792</v>
      </c>
      <c r="H2025" s="2275"/>
      <c r="I2025" s="2275"/>
      <c r="J2025" s="2298"/>
      <c r="K2025" s="2298"/>
      <c r="L2025" s="2275"/>
      <c r="M2025" s="2276"/>
      <c r="P2025" s="291"/>
      <c r="Q2025" s="367"/>
      <c r="R2025" s="367"/>
      <c r="S2025" s="364"/>
      <c r="Z2025" s="609" t="s">
        <v>806</v>
      </c>
      <c r="AA2025" s="609" t="s">
        <v>3380</v>
      </c>
    </row>
    <row r="2026" spans="1:31" ht="18">
      <c r="A2026" s="2714"/>
      <c r="B2026" s="371">
        <v>103</v>
      </c>
      <c r="C2026" s="371" t="s">
        <v>2791</v>
      </c>
      <c r="D2026" s="2716">
        <f t="shared" si="203"/>
        <v>0</v>
      </c>
      <c r="E2026" s="2721">
        <v>1</v>
      </c>
      <c r="F2026" s="294"/>
      <c r="G2026" s="2284" t="s">
        <v>2792</v>
      </c>
      <c r="H2026" s="2275"/>
      <c r="I2026" s="2275"/>
      <c r="J2026" s="2298"/>
      <c r="K2026" s="2298"/>
      <c r="L2026" s="2275"/>
      <c r="M2026" s="2276"/>
      <c r="P2026" s="291"/>
      <c r="Q2026" s="367"/>
      <c r="R2026" s="367"/>
      <c r="S2026" s="364"/>
      <c r="Z2026" s="609" t="s">
        <v>806</v>
      </c>
      <c r="AA2026" s="609" t="s">
        <v>3380</v>
      </c>
    </row>
    <row r="2027" spans="1:31" ht="18">
      <c r="A2027" s="2714"/>
      <c r="B2027" s="371">
        <v>104</v>
      </c>
      <c r="C2027" s="371" t="s">
        <v>2791</v>
      </c>
      <c r="D2027" s="2716">
        <f t="shared" si="203"/>
        <v>0</v>
      </c>
      <c r="E2027" s="2721">
        <v>1</v>
      </c>
      <c r="F2027" s="294"/>
      <c r="G2027" s="2284" t="s">
        <v>2792</v>
      </c>
      <c r="H2027" s="2275"/>
      <c r="I2027" s="2275"/>
      <c r="J2027" s="2298"/>
      <c r="K2027" s="2298"/>
      <c r="L2027" s="2275"/>
      <c r="M2027" s="2276"/>
      <c r="P2027" s="291"/>
      <c r="Q2027" s="367"/>
      <c r="R2027" s="367"/>
      <c r="S2027" s="364"/>
      <c r="Z2027" s="609" t="s">
        <v>806</v>
      </c>
      <c r="AA2027" s="609" t="s">
        <v>3380</v>
      </c>
    </row>
    <row r="2028" spans="1:31" ht="18">
      <c r="A2028" s="2714"/>
      <c r="B2028" s="371">
        <v>105</v>
      </c>
      <c r="C2028" s="371" t="s">
        <v>2791</v>
      </c>
      <c r="D2028" s="2716">
        <f t="shared" si="203"/>
        <v>0</v>
      </c>
      <c r="E2028" s="2721">
        <v>1</v>
      </c>
      <c r="F2028" s="294"/>
      <c r="G2028" s="2284" t="s">
        <v>2792</v>
      </c>
      <c r="H2028" s="2275"/>
      <c r="I2028" s="2275"/>
      <c r="J2028" s="2298"/>
      <c r="K2028" s="2298"/>
      <c r="L2028" s="2275"/>
      <c r="M2028" s="2276"/>
      <c r="P2028" s="291"/>
      <c r="Q2028" s="367"/>
      <c r="R2028" s="367"/>
      <c r="S2028" s="364"/>
      <c r="Z2028" s="609" t="s">
        <v>806</v>
      </c>
      <c r="AA2028" s="609" t="s">
        <v>3380</v>
      </c>
    </row>
    <row r="2029" spans="1:31" ht="18.75" thickBot="1">
      <c r="A2029" s="2714"/>
      <c r="B2029" s="371"/>
      <c r="C2029" s="371"/>
      <c r="D2029" s="2716">
        <f t="shared" si="203"/>
        <v>1</v>
      </c>
      <c r="E2029" s="2721" t="s">
        <v>3032</v>
      </c>
      <c r="F2029" s="294"/>
      <c r="G2029" s="2234" t="s">
        <v>2752</v>
      </c>
      <c r="H2029" s="2235">
        <f>SUMPRODUCT($E2023:$E2028,H2023:H2028)</f>
        <v>0</v>
      </c>
      <c r="I2029" s="2235">
        <f>SUMPRODUCT($E2023:$E2028,I2023:I2028)</f>
        <v>0</v>
      </c>
      <c r="J2029" s="2241"/>
      <c r="K2029" s="2241"/>
      <c r="L2029" s="2235">
        <f>SUMPRODUCT($E2023:$E2028,L2023:L2028)</f>
        <v>0</v>
      </c>
      <c r="M2029" s="2313">
        <f>SUMPRODUCT($E2023:$E2026,M2023:M2026)</f>
        <v>0</v>
      </c>
      <c r="P2029" s="291"/>
      <c r="Q2029" s="367"/>
      <c r="R2029" s="367"/>
      <c r="S2029" s="364"/>
      <c r="Z2029" s="609" t="s">
        <v>806</v>
      </c>
      <c r="AA2029" s="609" t="s">
        <v>3380</v>
      </c>
    </row>
    <row r="2030" spans="1:31" ht="18">
      <c r="A2030" s="2714"/>
      <c r="B2030" s="371"/>
      <c r="C2030" s="371" t="s">
        <v>2755</v>
      </c>
      <c r="D2030" s="371"/>
      <c r="F2030" s="294"/>
      <c r="G2030" s="301"/>
      <c r="H2030" s="315"/>
      <c r="I2030" s="315"/>
      <c r="J2030" s="393"/>
      <c r="K2030" s="393"/>
      <c r="L2030" s="315"/>
      <c r="M2030" s="393"/>
      <c r="P2030" s="291"/>
      <c r="Q2030" s="367"/>
      <c r="R2030" s="367"/>
      <c r="S2030" s="364"/>
      <c r="Z2030" s="609" t="s">
        <v>806</v>
      </c>
      <c r="AA2030" s="609" t="s">
        <v>3380</v>
      </c>
    </row>
    <row r="2031" spans="1:31" ht="17.25">
      <c r="A2031" s="2715">
        <v>1508</v>
      </c>
      <c r="B2031" s="371">
        <v>16</v>
      </c>
      <c r="C2031" s="2716" t="str">
        <f>VLOOKUP($A2031,Sheet_Items,2,0)</f>
        <v>其他债权投资</v>
      </c>
      <c r="D2031" s="371"/>
      <c r="E2031" s="2716" t="s">
        <v>2739</v>
      </c>
      <c r="F2031" s="293"/>
      <c r="G2031" s="305" t="str">
        <f>B2031&amp;" "&amp;C2031</f>
        <v>16 其他债权投资</v>
      </c>
      <c r="H2031" s="306"/>
      <c r="I2031" s="306"/>
      <c r="J2031" s="306" t="s">
        <v>2740</v>
      </c>
      <c r="K2031" s="341">
        <f>VLOOKUP($A2031,Sheet_Trialbal,6,0)</f>
        <v>0</v>
      </c>
      <c r="L2031" s="342"/>
      <c r="M2031" s="306" t="s">
        <v>2741</v>
      </c>
      <c r="N2031" s="341">
        <f>VLOOKUP($A2031,Sheet_Trialbal,10,0)</f>
        <v>0</v>
      </c>
      <c r="O2031" s="342"/>
      <c r="P2031" s="301"/>
      <c r="S2031" s="364"/>
      <c r="Z2031" s="609" t="s">
        <v>849</v>
      </c>
      <c r="AA2031" s="609" t="s">
        <v>3401</v>
      </c>
    </row>
    <row r="2032" spans="1:31" ht="18">
      <c r="A2032" s="2714" t="s">
        <v>847</v>
      </c>
      <c r="B2032" s="371">
        <v>1</v>
      </c>
      <c r="C2032" s="371"/>
      <c r="D2032" s="2716" t="str">
        <f>VLOOKUP($A2032,Sheet_NoteList,2,0)</f>
        <v>其他债权投资情况</v>
      </c>
      <c r="E2032" s="2716" t="s">
        <v>2742</v>
      </c>
      <c r="F2032" s="293"/>
      <c r="G2032" s="372" t="str">
        <f>"("&amp;B2032&amp;")"&amp;D2032</f>
        <v>(1)其他债权投资情况</v>
      </c>
      <c r="H2032" s="1517" t="str">
        <f>$A2032</f>
        <v>1508a</v>
      </c>
      <c r="I2032" s="343" t="s">
        <v>2743</v>
      </c>
      <c r="J2032" s="301" t="s">
        <v>2744</v>
      </c>
      <c r="K2032" s="2210">
        <f>M2046</f>
        <v>0</v>
      </c>
      <c r="L2032" s="349" t="str">
        <f>IF($I2032="适用",IF(ROUND(K$2031-K2032,2)=0,"F/S",ROUND(K$2031-K2032,2)),"#N/A")</f>
        <v>F/S</v>
      </c>
      <c r="M2032" s="301" t="s">
        <v>2745</v>
      </c>
      <c r="N2032" s="2210">
        <f>H2046</f>
        <v>0</v>
      </c>
      <c r="O2032" s="349" t="str">
        <f>IF($I2032="适用",IF(ROUND(N$2031-N2032,2)=0,"F/S",ROUND(N$2031-N2032,2)),"#N/A")</f>
        <v>F/S</v>
      </c>
      <c r="P2032" s="301"/>
      <c r="S2032" s="364"/>
      <c r="Z2032" s="609" t="s">
        <v>849</v>
      </c>
      <c r="AA2032" s="609" t="s">
        <v>3401</v>
      </c>
    </row>
    <row r="2033" spans="1:29" ht="0.75" customHeight="1" thickBot="1">
      <c r="A2033" s="2714"/>
      <c r="B2033" s="371"/>
      <c r="C2033" s="371"/>
      <c r="D2033" s="2716"/>
      <c r="E2033" s="586"/>
      <c r="F2033" s="586"/>
      <c r="G2033" s="2224" t="s">
        <v>3402</v>
      </c>
      <c r="H2033" s="371" t="s">
        <v>2747</v>
      </c>
      <c r="I2033" s="371" t="s">
        <v>2748</v>
      </c>
      <c r="J2033" s="371" t="s">
        <v>2948</v>
      </c>
      <c r="K2033" s="547" t="s">
        <v>3403</v>
      </c>
      <c r="L2033" s="547" t="s">
        <v>3404</v>
      </c>
      <c r="M2033" s="371" t="s">
        <v>3167</v>
      </c>
      <c r="N2033" s="547" t="s">
        <v>3037</v>
      </c>
      <c r="O2033" s="547" t="s">
        <v>3405</v>
      </c>
      <c r="P2033" s="371" t="s">
        <v>3406</v>
      </c>
      <c r="Q2033" s="543" t="s">
        <v>3407</v>
      </c>
      <c r="S2033" s="364"/>
      <c r="Z2033" s="609" t="s">
        <v>849</v>
      </c>
      <c r="AA2033" s="609" t="s">
        <v>3401</v>
      </c>
    </row>
    <row r="2034" spans="1:29" ht="36">
      <c r="A2034" s="2714"/>
      <c r="B2034" s="371"/>
      <c r="C2034" s="371"/>
      <c r="D2034" s="2716"/>
      <c r="E2034" s="586" t="s">
        <v>2749</v>
      </c>
      <c r="F2034" s="414"/>
      <c r="G2034" s="2289" t="s">
        <v>5134</v>
      </c>
      <c r="H2034" s="2291" t="str">
        <f>$W$3&amp;"公允价值"</f>
        <v>2018年12月31日公允价值</v>
      </c>
      <c r="I2034" s="2291" t="s">
        <v>2918</v>
      </c>
      <c r="J2034" s="2291" t="s">
        <v>3408</v>
      </c>
      <c r="K2034" s="2311" t="s">
        <v>3409</v>
      </c>
      <c r="L2034" s="2311" t="s">
        <v>3410</v>
      </c>
      <c r="M2034" s="2291" t="str">
        <f>$W$2&amp;"公允价值"</f>
        <v>2019年12月31日公允价值</v>
      </c>
      <c r="N2034" s="2311" t="s">
        <v>3411</v>
      </c>
      <c r="O2034" s="2311" t="s">
        <v>3412</v>
      </c>
      <c r="P2034" s="2291" t="s">
        <v>3413</v>
      </c>
      <c r="Q2034" s="2293" t="s">
        <v>2508</v>
      </c>
      <c r="R2034" s="355" t="s">
        <v>5280</v>
      </c>
      <c r="S2034" s="364"/>
      <c r="Z2034" s="609" t="s">
        <v>849</v>
      </c>
      <c r="AA2034" s="609" t="s">
        <v>3401</v>
      </c>
    </row>
    <row r="2035" spans="1:29" ht="18">
      <c r="A2035" s="2714"/>
      <c r="B2035" s="371">
        <v>101</v>
      </c>
      <c r="C2035" s="371"/>
      <c r="D2035" s="2716">
        <f t="shared" ref="D2035:D2046" si="204">IF(OR(G2035="*",G2035="",G2035=0),0,COUNTIF($G$2035:$G$2046,G2035))</f>
        <v>1</v>
      </c>
      <c r="E2035" s="2721" t="s">
        <v>2939</v>
      </c>
      <c r="F2035" s="293"/>
      <c r="G2035" s="1474" t="s">
        <v>3414</v>
      </c>
      <c r="H2035" s="2299">
        <v>0</v>
      </c>
      <c r="I2035" s="2275"/>
      <c r="J2035" s="2275">
        <f>H2035+I2035</f>
        <v>0</v>
      </c>
      <c r="K2035" s="2275"/>
      <c r="L2035" s="2275"/>
      <c r="M2035" s="2275">
        <f>J2035+K2035+L2035</f>
        <v>0</v>
      </c>
      <c r="N2035" s="2275"/>
      <c r="O2035" s="2275"/>
      <c r="P2035" s="2275"/>
      <c r="Q2035" s="2276"/>
      <c r="S2035" s="364"/>
      <c r="Z2035" s="609" t="s">
        <v>849</v>
      </c>
      <c r="AA2035" s="609" t="s">
        <v>3401</v>
      </c>
    </row>
    <row r="2036" spans="1:29" ht="18">
      <c r="A2036" s="2714"/>
      <c r="B2036" s="371">
        <v>101.001</v>
      </c>
      <c r="C2036" s="371"/>
      <c r="D2036" s="2716">
        <f t="shared" si="204"/>
        <v>1</v>
      </c>
      <c r="E2036" s="2721" t="s">
        <v>2939</v>
      </c>
      <c r="F2036" s="293"/>
      <c r="G2036" s="1474" t="s">
        <v>3415</v>
      </c>
      <c r="H2036" s="2299">
        <v>0</v>
      </c>
      <c r="I2036" s="2275"/>
      <c r="J2036" s="2275">
        <f t="shared" ref="J2036:J2045" si="205">H2036+I2036</f>
        <v>0</v>
      </c>
      <c r="K2036" s="2275"/>
      <c r="L2036" s="2275"/>
      <c r="M2036" s="2275">
        <f t="shared" ref="M2036:M2045" si="206">J2036+K2036+L2036</f>
        <v>0</v>
      </c>
      <c r="N2036" s="2275"/>
      <c r="O2036" s="2275"/>
      <c r="P2036" s="2275"/>
      <c r="Q2036" s="2276"/>
      <c r="S2036" s="364"/>
      <c r="Z2036" s="609" t="s">
        <v>849</v>
      </c>
      <c r="AA2036" s="609" t="s">
        <v>3401</v>
      </c>
    </row>
    <row r="2037" spans="1:29" ht="18">
      <c r="A2037" s="2714"/>
      <c r="B2037" s="371">
        <v>101.002</v>
      </c>
      <c r="C2037" s="371"/>
      <c r="D2037" s="2716">
        <f t="shared" si="204"/>
        <v>1</v>
      </c>
      <c r="E2037" s="2721" t="s">
        <v>2939</v>
      </c>
      <c r="F2037" s="293"/>
      <c r="G2037" s="1474" t="s">
        <v>3416</v>
      </c>
      <c r="H2037" s="2299">
        <v>0</v>
      </c>
      <c r="I2037" s="2275"/>
      <c r="J2037" s="2275">
        <f t="shared" si="205"/>
        <v>0</v>
      </c>
      <c r="K2037" s="2275"/>
      <c r="L2037" s="2275"/>
      <c r="M2037" s="2275">
        <f t="shared" si="206"/>
        <v>0</v>
      </c>
      <c r="N2037" s="2275"/>
      <c r="O2037" s="2275"/>
      <c r="P2037" s="2275"/>
      <c r="Q2037" s="2276"/>
      <c r="S2037" s="364"/>
      <c r="Z2037" s="609" t="s">
        <v>849</v>
      </c>
      <c r="AA2037" s="609" t="s">
        <v>3401</v>
      </c>
    </row>
    <row r="2038" spans="1:29" ht="18">
      <c r="A2038" s="2714"/>
      <c r="B2038" s="371">
        <v>101.003</v>
      </c>
      <c r="C2038" s="371"/>
      <c r="D2038" s="2716">
        <f t="shared" si="204"/>
        <v>1</v>
      </c>
      <c r="E2038" s="2721" t="s">
        <v>2939</v>
      </c>
      <c r="F2038" s="293"/>
      <c r="G2038" s="1474" t="s">
        <v>3417</v>
      </c>
      <c r="H2038" s="2299">
        <v>0</v>
      </c>
      <c r="I2038" s="2275"/>
      <c r="J2038" s="2275">
        <f t="shared" si="205"/>
        <v>0</v>
      </c>
      <c r="K2038" s="2275"/>
      <c r="L2038" s="2275"/>
      <c r="M2038" s="2275">
        <f t="shared" si="206"/>
        <v>0</v>
      </c>
      <c r="N2038" s="2275"/>
      <c r="O2038" s="2275"/>
      <c r="P2038" s="2275"/>
      <c r="Q2038" s="2276"/>
      <c r="S2038" s="364"/>
      <c r="Z2038" s="609" t="s">
        <v>849</v>
      </c>
      <c r="AA2038" s="609" t="s">
        <v>3401</v>
      </c>
    </row>
    <row r="2039" spans="1:29" ht="18">
      <c r="A2039" s="2714"/>
      <c r="B2039" s="371">
        <v>101.004</v>
      </c>
      <c r="C2039" s="371"/>
      <c r="D2039" s="2716">
        <f t="shared" si="204"/>
        <v>1</v>
      </c>
      <c r="E2039" s="2721" t="s">
        <v>2939</v>
      </c>
      <c r="F2039" s="293"/>
      <c r="G2039" s="1474" t="s">
        <v>3418</v>
      </c>
      <c r="H2039" s="2299">
        <v>0</v>
      </c>
      <c r="I2039" s="2275"/>
      <c r="J2039" s="2275">
        <f t="shared" si="205"/>
        <v>0</v>
      </c>
      <c r="K2039" s="2275"/>
      <c r="L2039" s="2275"/>
      <c r="M2039" s="2275">
        <f t="shared" si="206"/>
        <v>0</v>
      </c>
      <c r="N2039" s="2275"/>
      <c r="O2039" s="2275"/>
      <c r="P2039" s="2275"/>
      <c r="Q2039" s="2276"/>
      <c r="S2039" s="364"/>
      <c r="Z2039" s="609" t="s">
        <v>849</v>
      </c>
      <c r="AA2039" s="609" t="s">
        <v>3401</v>
      </c>
    </row>
    <row r="2040" spans="1:29" ht="18">
      <c r="A2040" s="2714"/>
      <c r="B2040" s="371">
        <v>101.005</v>
      </c>
      <c r="C2040" s="371"/>
      <c r="D2040" s="2716">
        <f t="shared" si="204"/>
        <v>1</v>
      </c>
      <c r="E2040" s="2721" t="s">
        <v>2939</v>
      </c>
      <c r="F2040" s="293"/>
      <c r="G2040" s="1474" t="s">
        <v>3419</v>
      </c>
      <c r="H2040" s="2299">
        <v>0</v>
      </c>
      <c r="I2040" s="2275"/>
      <c r="J2040" s="2275">
        <f t="shared" si="205"/>
        <v>0</v>
      </c>
      <c r="K2040" s="2275"/>
      <c r="L2040" s="2275"/>
      <c r="M2040" s="2275">
        <f t="shared" si="206"/>
        <v>0</v>
      </c>
      <c r="N2040" s="2275"/>
      <c r="O2040" s="2275"/>
      <c r="P2040" s="2275"/>
      <c r="Q2040" s="2276"/>
      <c r="S2040" s="364"/>
      <c r="Z2040" s="609" t="s">
        <v>849</v>
      </c>
      <c r="AA2040" s="609" t="s">
        <v>3401</v>
      </c>
    </row>
    <row r="2041" spans="1:29" ht="18">
      <c r="A2041" s="2714"/>
      <c r="B2041" s="371">
        <v>101.006</v>
      </c>
      <c r="C2041" s="371"/>
      <c r="D2041" s="2716">
        <f t="shared" si="204"/>
        <v>1</v>
      </c>
      <c r="E2041" s="2721" t="s">
        <v>2939</v>
      </c>
      <c r="F2041" s="293"/>
      <c r="G2041" s="1474" t="s">
        <v>3420</v>
      </c>
      <c r="H2041" s="2299">
        <v>0</v>
      </c>
      <c r="I2041" s="2275"/>
      <c r="J2041" s="2275">
        <f t="shared" si="205"/>
        <v>0</v>
      </c>
      <c r="K2041" s="2275"/>
      <c r="L2041" s="2275"/>
      <c r="M2041" s="2275">
        <f t="shared" si="206"/>
        <v>0</v>
      </c>
      <c r="N2041" s="2275"/>
      <c r="O2041" s="2275"/>
      <c r="P2041" s="2275"/>
      <c r="Q2041" s="2276"/>
      <c r="S2041" s="364"/>
      <c r="Z2041" s="609" t="s">
        <v>849</v>
      </c>
      <c r="AA2041" s="609" t="s">
        <v>3401</v>
      </c>
    </row>
    <row r="2042" spans="1:29" ht="18">
      <c r="A2042" s="2714"/>
      <c r="B2042" s="371">
        <v>101.00700000000001</v>
      </c>
      <c r="C2042" s="371"/>
      <c r="D2042" s="2716">
        <f t="shared" si="204"/>
        <v>1</v>
      </c>
      <c r="E2042" s="2721" t="s">
        <v>2939</v>
      </c>
      <c r="F2042" s="293"/>
      <c r="G2042" s="1474" t="s">
        <v>932</v>
      </c>
      <c r="H2042" s="2299">
        <v>0</v>
      </c>
      <c r="I2042" s="2275"/>
      <c r="J2042" s="2275">
        <f t="shared" si="205"/>
        <v>0</v>
      </c>
      <c r="K2042" s="2275"/>
      <c r="L2042" s="2275"/>
      <c r="M2042" s="2275">
        <f t="shared" si="206"/>
        <v>0</v>
      </c>
      <c r="N2042" s="2275"/>
      <c r="O2042" s="2275"/>
      <c r="P2042" s="2275"/>
      <c r="Q2042" s="2276"/>
      <c r="S2042" s="364"/>
      <c r="Z2042" s="609" t="s">
        <v>849</v>
      </c>
      <c r="AA2042" s="609" t="s">
        <v>3401</v>
      </c>
    </row>
    <row r="2043" spans="1:29" ht="18">
      <c r="A2043" s="2714"/>
      <c r="B2043" s="371">
        <v>101.008</v>
      </c>
      <c r="C2043" s="371" t="s">
        <v>2791</v>
      </c>
      <c r="D2043" s="2716">
        <f t="shared" si="204"/>
        <v>0</v>
      </c>
      <c r="E2043" s="2721" t="s">
        <v>2939</v>
      </c>
      <c r="F2043" s="293"/>
      <c r="G2043" s="2284" t="s">
        <v>2792</v>
      </c>
      <c r="H2043" s="2299">
        <v>0</v>
      </c>
      <c r="I2043" s="2275"/>
      <c r="J2043" s="2275">
        <f t="shared" si="205"/>
        <v>0</v>
      </c>
      <c r="K2043" s="2275"/>
      <c r="L2043" s="2275"/>
      <c r="M2043" s="2275">
        <f t="shared" si="206"/>
        <v>0</v>
      </c>
      <c r="N2043" s="2275"/>
      <c r="O2043" s="2275"/>
      <c r="P2043" s="2275"/>
      <c r="Q2043" s="2276"/>
      <c r="S2043" s="364"/>
      <c r="Z2043" s="609" t="s">
        <v>849</v>
      </c>
      <c r="AA2043" s="609" t="s">
        <v>3401</v>
      </c>
    </row>
    <row r="2044" spans="1:29" ht="18">
      <c r="A2044" s="2714"/>
      <c r="B2044" s="371">
        <v>102</v>
      </c>
      <c r="C2044" s="371" t="s">
        <v>2793</v>
      </c>
      <c r="D2044" s="2716">
        <f t="shared" si="204"/>
        <v>1</v>
      </c>
      <c r="E2044" s="2721">
        <v>1</v>
      </c>
      <c r="F2044" s="293"/>
      <c r="G2044" s="1474" t="s">
        <v>2939</v>
      </c>
      <c r="H2044" s="2335">
        <v>0</v>
      </c>
      <c r="I2044" s="1476">
        <f t="shared" ref="I2044:P2044" si="207">SUMIF($E$2034:$E$2045,$G2044,I$2034:I$2045)</f>
        <v>0</v>
      </c>
      <c r="J2044" s="1476">
        <f t="shared" si="207"/>
        <v>0</v>
      </c>
      <c r="K2044" s="1476">
        <f t="shared" si="207"/>
        <v>0</v>
      </c>
      <c r="L2044" s="1476">
        <f t="shared" si="207"/>
        <v>0</v>
      </c>
      <c r="M2044" s="1476">
        <f t="shared" si="207"/>
        <v>0</v>
      </c>
      <c r="N2044" s="1476">
        <f t="shared" si="207"/>
        <v>0</v>
      </c>
      <c r="O2044" s="1476">
        <f t="shared" si="207"/>
        <v>0</v>
      </c>
      <c r="P2044" s="1476">
        <f t="shared" si="207"/>
        <v>0</v>
      </c>
      <c r="Q2044" s="2276"/>
      <c r="S2044" s="364"/>
      <c r="Z2044" s="609" t="s">
        <v>849</v>
      </c>
      <c r="AA2044" s="609" t="s">
        <v>3401</v>
      </c>
    </row>
    <row r="2045" spans="1:29" ht="24">
      <c r="A2045" s="2714"/>
      <c r="B2045" s="371">
        <v>103</v>
      </c>
      <c r="C2045" s="371"/>
      <c r="D2045" s="2716">
        <f t="shared" si="204"/>
        <v>1</v>
      </c>
      <c r="E2045" s="2721">
        <v>-1</v>
      </c>
      <c r="F2045" s="293"/>
      <c r="G2045" s="1474" t="s">
        <v>3421</v>
      </c>
      <c r="H2045" s="2275"/>
      <c r="I2045" s="2275"/>
      <c r="J2045" s="2275">
        <f t="shared" si="205"/>
        <v>0</v>
      </c>
      <c r="K2045" s="2275"/>
      <c r="L2045" s="2275"/>
      <c r="M2045" s="2275">
        <f t="shared" si="206"/>
        <v>0</v>
      </c>
      <c r="N2045" s="2275"/>
      <c r="O2045" s="2275"/>
      <c r="P2045" s="2275"/>
      <c r="Q2045" s="2276"/>
      <c r="R2045" s="1598" t="str">
        <f ca="1">HYPERLINK("#'"&amp;$G$1&amp;"'!"&amp;ADDRESS(ROW(Notes!K1794),COLUMN(Notes!K1794),4),"* 请勿删除此行！点击往勾稽单元格，F5+Enter返回")</f>
        <v>* 请勿删除此行！点击往勾稽单元格，F5+Enter返回</v>
      </c>
      <c r="S2045" s="364"/>
      <c r="Z2045" s="609" t="s">
        <v>849</v>
      </c>
      <c r="AA2045" s="609" t="s">
        <v>3401</v>
      </c>
      <c r="AC2045" s="369" t="s">
        <v>6573</v>
      </c>
    </row>
    <row r="2046" spans="1:29" ht="18.75" thickBot="1">
      <c r="A2046" s="2714"/>
      <c r="B2046" s="371"/>
      <c r="C2046" s="371"/>
      <c r="D2046" s="2716">
        <f t="shared" si="204"/>
        <v>1</v>
      </c>
      <c r="E2046" s="2721" t="s">
        <v>2751</v>
      </c>
      <c r="F2046" s="293"/>
      <c r="G2046" s="2234" t="s">
        <v>5141</v>
      </c>
      <c r="H2046" s="2336">
        <v>0</v>
      </c>
      <c r="I2046" s="2235">
        <f t="shared" ref="I2046:P2046" si="208">SUMPRODUCT($E2034:$E2045,I2034:I2045)</f>
        <v>0</v>
      </c>
      <c r="J2046" s="2235">
        <f t="shared" si="208"/>
        <v>0</v>
      </c>
      <c r="K2046" s="2235">
        <f t="shared" si="208"/>
        <v>0</v>
      </c>
      <c r="L2046" s="2235">
        <f t="shared" si="208"/>
        <v>0</v>
      </c>
      <c r="M2046" s="2235">
        <f t="shared" si="208"/>
        <v>0</v>
      </c>
      <c r="N2046" s="2235">
        <f t="shared" si="208"/>
        <v>0</v>
      </c>
      <c r="O2046" s="2235">
        <f t="shared" si="208"/>
        <v>0</v>
      </c>
      <c r="P2046" s="2235">
        <f t="shared" si="208"/>
        <v>0</v>
      </c>
      <c r="Q2046" s="2244"/>
      <c r="R2046" s="1598" t="str">
        <f ca="1">HYPERLINK("#'"&amp;$G$1&amp;"'!"&amp;ADDRESS(ROW(Notes!I2073),COLUMN(Notes!I2073),4),"* 请勿删除此行！点击往勾稽单元格，F5+Enter返回")</f>
        <v>* 请勿删除此行！点击往勾稽单元格，F5+Enter返回</v>
      </c>
      <c r="S2046" s="364"/>
      <c r="Z2046" s="609" t="s">
        <v>849</v>
      </c>
      <c r="AA2046" s="609" t="s">
        <v>3401</v>
      </c>
      <c r="AC2046" s="369" t="s">
        <v>2794</v>
      </c>
    </row>
    <row r="2047" spans="1:29" ht="18">
      <c r="A2047" s="2714"/>
      <c r="B2047" s="371"/>
      <c r="C2047" s="371" t="s">
        <v>2755</v>
      </c>
      <c r="D2047" s="2716"/>
      <c r="F2047" s="293"/>
      <c r="G2047" s="376"/>
      <c r="H2047" s="315"/>
      <c r="I2047" s="396"/>
      <c r="J2047" s="315"/>
      <c r="K2047" s="423"/>
      <c r="L2047" s="315"/>
      <c r="M2047" s="315"/>
      <c r="N2047" s="423"/>
      <c r="O2047" s="315"/>
      <c r="P2047" s="315"/>
      <c r="Q2047" s="545"/>
      <c r="S2047" s="364"/>
      <c r="Z2047" s="609" t="s">
        <v>849</v>
      </c>
      <c r="AA2047" s="609" t="s">
        <v>3401</v>
      </c>
    </row>
    <row r="2048" spans="1:29" ht="24">
      <c r="A2048" s="2714" t="s">
        <v>853</v>
      </c>
      <c r="B2048" s="371">
        <v>2</v>
      </c>
      <c r="C2048" s="371"/>
      <c r="D2048" s="2716" t="str">
        <f>VLOOKUP($A2048,Sheet_NoteList,2,0)</f>
        <v>期末重要的其他债权投资</v>
      </c>
      <c r="E2048" s="2716" t="s">
        <v>2742</v>
      </c>
      <c r="F2048" s="293"/>
      <c r="G2048" s="372" t="str">
        <f>"("&amp;B2048&amp;")"&amp;D2048</f>
        <v>(2)期末重要的其他债权投资</v>
      </c>
      <c r="H2048" s="1517" t="str">
        <f>$A2048</f>
        <v>1508b</v>
      </c>
      <c r="I2048" s="343" t="s">
        <v>2743</v>
      </c>
      <c r="J2048" s="301" t="s">
        <v>2744</v>
      </c>
      <c r="K2048" s="2210">
        <f>H2061</f>
        <v>0</v>
      </c>
      <c r="L2048" s="349"/>
      <c r="M2048" s="301" t="s">
        <v>2745</v>
      </c>
      <c r="N2048" s="2210">
        <f>L2061</f>
        <v>0</v>
      </c>
      <c r="O2048" s="349"/>
      <c r="P2048" s="301"/>
      <c r="S2048" s="364"/>
      <c r="Z2048" s="609" t="s">
        <v>849</v>
      </c>
      <c r="AA2048" s="609" t="s">
        <v>3401</v>
      </c>
    </row>
    <row r="2049" spans="1:27" ht="0.75" customHeight="1">
      <c r="A2049" s="2714"/>
      <c r="B2049" s="371"/>
      <c r="C2049" s="371"/>
      <c r="D2049" s="2716"/>
      <c r="E2049" s="586"/>
      <c r="F2049" s="586"/>
      <c r="G2049" s="2224" t="s">
        <v>3422</v>
      </c>
      <c r="H2049" s="371" t="s">
        <v>2747</v>
      </c>
      <c r="I2049" s="371" t="s">
        <v>2947</v>
      </c>
      <c r="J2049" s="371" t="s">
        <v>3307</v>
      </c>
      <c r="K2049" s="547" t="s">
        <v>2898</v>
      </c>
      <c r="L2049" s="547" t="s">
        <v>2950</v>
      </c>
      <c r="M2049" s="371" t="s">
        <v>3308</v>
      </c>
      <c r="N2049" s="547" t="s">
        <v>3309</v>
      </c>
      <c r="O2049" s="547" t="s">
        <v>3310</v>
      </c>
      <c r="P2049" s="433"/>
      <c r="Q2049" s="442"/>
      <c r="R2049" s="443"/>
      <c r="S2049" s="364"/>
      <c r="Z2049" s="609" t="s">
        <v>849</v>
      </c>
      <c r="AA2049" s="609" t="s">
        <v>3401</v>
      </c>
    </row>
    <row r="2050" spans="1:27" ht="0.75" customHeight="1" thickBot="1">
      <c r="A2050" s="2714"/>
      <c r="B2050" s="371"/>
      <c r="C2050" s="371"/>
      <c r="D2050" s="2716"/>
      <c r="E2050" s="586"/>
      <c r="F2050" s="586"/>
      <c r="G2050" s="2224"/>
      <c r="H2050" s="371" t="s">
        <v>3311</v>
      </c>
      <c r="I2050" s="371" t="s">
        <v>3312</v>
      </c>
      <c r="J2050" s="371" t="s">
        <v>3313</v>
      </c>
      <c r="K2050" s="547" t="s">
        <v>3314</v>
      </c>
      <c r="L2050" s="547" t="s">
        <v>3315</v>
      </c>
      <c r="M2050" s="371" t="s">
        <v>3316</v>
      </c>
      <c r="N2050" s="547" t="s">
        <v>3317</v>
      </c>
      <c r="O2050" s="547" t="s">
        <v>3318</v>
      </c>
      <c r="P2050" s="433"/>
      <c r="Q2050" s="442"/>
      <c r="R2050" s="443"/>
      <c r="S2050" s="364"/>
      <c r="Z2050" s="609" t="s">
        <v>849</v>
      </c>
      <c r="AA2050" s="609" t="s">
        <v>3401</v>
      </c>
    </row>
    <row r="2051" spans="1:27" ht="18" customHeight="1">
      <c r="A2051" s="2714"/>
      <c r="B2051" s="371"/>
      <c r="C2051" s="371"/>
      <c r="D2051" s="2716"/>
      <c r="E2051" s="586" t="s">
        <v>2749</v>
      </c>
      <c r="F2051" s="414"/>
      <c r="G2051" s="3472" t="s">
        <v>5134</v>
      </c>
      <c r="H2051" s="3418" t="str">
        <f>$V$2</f>
        <v>2019年12月31日</v>
      </c>
      <c r="I2051" s="3419"/>
      <c r="J2051" s="3419"/>
      <c r="K2051" s="3420"/>
      <c r="L2051" s="3421" t="str">
        <f>$V$3</f>
        <v>2018年12月31日</v>
      </c>
      <c r="M2051" s="3422"/>
      <c r="N2051" s="3422"/>
      <c r="O2051" s="3422"/>
      <c r="P2051" s="355" t="s">
        <v>5280</v>
      </c>
      <c r="Q2051" s="442"/>
      <c r="R2051" s="443"/>
      <c r="S2051" s="364"/>
      <c r="Z2051" s="609" t="s">
        <v>849</v>
      </c>
      <c r="AA2051" s="609" t="s">
        <v>3401</v>
      </c>
    </row>
    <row r="2052" spans="1:27" ht="18">
      <c r="A2052" s="2714"/>
      <c r="B2052" s="371"/>
      <c r="C2052" s="371"/>
      <c r="D2052" s="2716"/>
      <c r="E2052" s="586" t="s">
        <v>2749</v>
      </c>
      <c r="F2052" s="414"/>
      <c r="G2052" s="3473"/>
      <c r="H2052" s="2294" t="s">
        <v>3319</v>
      </c>
      <c r="I2052" s="2294" t="s">
        <v>3320</v>
      </c>
      <c r="J2052" s="2294" t="s">
        <v>3321</v>
      </c>
      <c r="K2052" s="2238" t="s">
        <v>3322</v>
      </c>
      <c r="L2052" s="2238" t="s">
        <v>3319</v>
      </c>
      <c r="M2052" s="2294" t="s">
        <v>3320</v>
      </c>
      <c r="N2052" s="2238" t="s">
        <v>3321</v>
      </c>
      <c r="O2052" s="2314" t="s">
        <v>3322</v>
      </c>
      <c r="P2052" s="435"/>
      <c r="Q2052" s="442"/>
      <c r="R2052" s="443"/>
      <c r="S2052" s="364"/>
      <c r="Z2052" s="609" t="s">
        <v>849</v>
      </c>
      <c r="AA2052" s="609" t="s">
        <v>3401</v>
      </c>
    </row>
    <row r="2053" spans="1:27" ht="18">
      <c r="A2053" s="2714"/>
      <c r="B2053" s="371">
        <v>101</v>
      </c>
      <c r="C2053" s="371" t="s">
        <v>2791</v>
      </c>
      <c r="D2053" s="2716">
        <f t="shared" ref="D2053:D2061" si="209">IF(OR(G2053="*",G2053="",G2053=0),0,COUNTIF($G$2053:$G$2061,G2053))</f>
        <v>0</v>
      </c>
      <c r="E2053" s="2721">
        <v>1</v>
      </c>
      <c r="F2053" s="293"/>
      <c r="G2053" s="2284" t="s">
        <v>2792</v>
      </c>
      <c r="H2053" s="2275"/>
      <c r="I2053" s="2298"/>
      <c r="J2053" s="2298"/>
      <c r="K2053" s="2298"/>
      <c r="L2053" s="2299">
        <v>0</v>
      </c>
      <c r="M2053" s="2337">
        <v>0</v>
      </c>
      <c r="N2053" s="2337">
        <v>0</v>
      </c>
      <c r="O2053" s="2338">
        <v>0</v>
      </c>
      <c r="P2053" s="438"/>
      <c r="Q2053" s="442"/>
      <c r="R2053" s="443"/>
      <c r="S2053" s="364"/>
      <c r="Z2053" s="609" t="s">
        <v>849</v>
      </c>
      <c r="AA2053" s="609" t="s">
        <v>3401</v>
      </c>
    </row>
    <row r="2054" spans="1:27" ht="18">
      <c r="A2054" s="2714"/>
      <c r="B2054" s="371">
        <v>102</v>
      </c>
      <c r="C2054" s="371" t="s">
        <v>2791</v>
      </c>
      <c r="D2054" s="2716">
        <f t="shared" si="209"/>
        <v>0</v>
      </c>
      <c r="E2054" s="2721">
        <v>1</v>
      </c>
      <c r="F2054" s="293"/>
      <c r="G2054" s="2284" t="s">
        <v>2792</v>
      </c>
      <c r="H2054" s="2275"/>
      <c r="I2054" s="2298"/>
      <c r="J2054" s="2298"/>
      <c r="K2054" s="2298"/>
      <c r="L2054" s="2299">
        <v>0</v>
      </c>
      <c r="M2054" s="2337">
        <v>0</v>
      </c>
      <c r="N2054" s="2337">
        <v>0</v>
      </c>
      <c r="O2054" s="2338">
        <v>0</v>
      </c>
      <c r="P2054" s="438"/>
      <c r="Q2054" s="442"/>
      <c r="R2054" s="443"/>
      <c r="S2054" s="364"/>
      <c r="Z2054" s="609" t="s">
        <v>849</v>
      </c>
      <c r="AA2054" s="609" t="s">
        <v>3401</v>
      </c>
    </row>
    <row r="2055" spans="1:27" ht="18">
      <c r="A2055" s="2714"/>
      <c r="B2055" s="371">
        <v>103</v>
      </c>
      <c r="C2055" s="371" t="s">
        <v>2791</v>
      </c>
      <c r="D2055" s="2716">
        <f t="shared" si="209"/>
        <v>0</v>
      </c>
      <c r="E2055" s="2721">
        <v>1</v>
      </c>
      <c r="F2055" s="293"/>
      <c r="G2055" s="2284" t="s">
        <v>2792</v>
      </c>
      <c r="H2055" s="2275"/>
      <c r="I2055" s="2298"/>
      <c r="J2055" s="2298"/>
      <c r="K2055" s="2298"/>
      <c r="L2055" s="2299">
        <v>0</v>
      </c>
      <c r="M2055" s="2337">
        <v>0</v>
      </c>
      <c r="N2055" s="2337">
        <v>0</v>
      </c>
      <c r="O2055" s="2338">
        <v>0</v>
      </c>
      <c r="P2055" s="438"/>
      <c r="Q2055" s="442"/>
      <c r="R2055" s="443"/>
      <c r="S2055" s="364"/>
      <c r="Z2055" s="609" t="s">
        <v>849</v>
      </c>
      <c r="AA2055" s="609" t="s">
        <v>3401</v>
      </c>
    </row>
    <row r="2056" spans="1:27" ht="18">
      <c r="A2056" s="2714"/>
      <c r="B2056" s="371">
        <v>104</v>
      </c>
      <c r="C2056" s="371" t="s">
        <v>2791</v>
      </c>
      <c r="D2056" s="2716">
        <f t="shared" si="209"/>
        <v>0</v>
      </c>
      <c r="E2056" s="2721">
        <v>1</v>
      </c>
      <c r="F2056" s="293"/>
      <c r="G2056" s="2284" t="s">
        <v>2792</v>
      </c>
      <c r="H2056" s="2275"/>
      <c r="I2056" s="2298"/>
      <c r="J2056" s="2298"/>
      <c r="K2056" s="2298"/>
      <c r="L2056" s="2299">
        <v>0</v>
      </c>
      <c r="M2056" s="2337">
        <v>0</v>
      </c>
      <c r="N2056" s="2337">
        <v>0</v>
      </c>
      <c r="O2056" s="2338">
        <v>0</v>
      </c>
      <c r="P2056" s="438"/>
      <c r="Q2056" s="442"/>
      <c r="R2056" s="443"/>
      <c r="S2056" s="364"/>
      <c r="Z2056" s="609" t="s">
        <v>849</v>
      </c>
      <c r="AA2056" s="609" t="s">
        <v>3401</v>
      </c>
    </row>
    <row r="2057" spans="1:27" ht="18">
      <c r="A2057" s="2714"/>
      <c r="B2057" s="371">
        <v>105</v>
      </c>
      <c r="C2057" s="371" t="s">
        <v>2791</v>
      </c>
      <c r="D2057" s="2716">
        <f t="shared" si="209"/>
        <v>0</v>
      </c>
      <c r="E2057" s="2721">
        <v>1</v>
      </c>
      <c r="F2057" s="293"/>
      <c r="G2057" s="2284" t="s">
        <v>2792</v>
      </c>
      <c r="H2057" s="2275"/>
      <c r="I2057" s="2298"/>
      <c r="J2057" s="2298"/>
      <c r="K2057" s="2298"/>
      <c r="L2057" s="2299">
        <v>0</v>
      </c>
      <c r="M2057" s="2337">
        <v>0</v>
      </c>
      <c r="N2057" s="2337">
        <v>0</v>
      </c>
      <c r="O2057" s="2338">
        <v>0</v>
      </c>
      <c r="P2057" s="438"/>
      <c r="Q2057" s="442"/>
      <c r="R2057" s="443"/>
      <c r="S2057" s="364"/>
      <c r="Z2057" s="609" t="s">
        <v>849</v>
      </c>
      <c r="AA2057" s="609" t="s">
        <v>3401</v>
      </c>
    </row>
    <row r="2058" spans="1:27" ht="18">
      <c r="A2058" s="2714"/>
      <c r="B2058" s="371">
        <v>106</v>
      </c>
      <c r="C2058" s="371" t="s">
        <v>2791</v>
      </c>
      <c r="D2058" s="2716">
        <f t="shared" si="209"/>
        <v>0</v>
      </c>
      <c r="E2058" s="2721">
        <v>1</v>
      </c>
      <c r="F2058" s="293"/>
      <c r="G2058" s="2284" t="s">
        <v>2792</v>
      </c>
      <c r="H2058" s="2275"/>
      <c r="I2058" s="2298"/>
      <c r="J2058" s="2298"/>
      <c r="K2058" s="2298"/>
      <c r="L2058" s="2299">
        <v>0</v>
      </c>
      <c r="M2058" s="2337">
        <v>0</v>
      </c>
      <c r="N2058" s="2337">
        <v>0</v>
      </c>
      <c r="O2058" s="2338">
        <v>0</v>
      </c>
      <c r="P2058" s="438"/>
      <c r="Q2058" s="442"/>
      <c r="R2058" s="443"/>
      <c r="S2058" s="364"/>
      <c r="Z2058" s="609" t="s">
        <v>849</v>
      </c>
      <c r="AA2058" s="609" t="s">
        <v>3401</v>
      </c>
    </row>
    <row r="2059" spans="1:27" ht="18">
      <c r="A2059" s="2714"/>
      <c r="B2059" s="371">
        <v>107</v>
      </c>
      <c r="C2059" s="371" t="s">
        <v>2791</v>
      </c>
      <c r="D2059" s="2716">
        <f t="shared" si="209"/>
        <v>0</v>
      </c>
      <c r="E2059" s="2721">
        <v>1</v>
      </c>
      <c r="F2059" s="293"/>
      <c r="G2059" s="2284" t="s">
        <v>2792</v>
      </c>
      <c r="H2059" s="2275"/>
      <c r="I2059" s="2298"/>
      <c r="J2059" s="2298"/>
      <c r="K2059" s="2298"/>
      <c r="L2059" s="2299">
        <v>0</v>
      </c>
      <c r="M2059" s="2337">
        <v>0</v>
      </c>
      <c r="N2059" s="2337">
        <v>0</v>
      </c>
      <c r="O2059" s="2338">
        <v>0</v>
      </c>
      <c r="P2059" s="438"/>
      <c r="Q2059" s="442"/>
      <c r="R2059" s="443"/>
      <c r="S2059" s="364"/>
      <c r="Z2059" s="609" t="s">
        <v>849</v>
      </c>
      <c r="AA2059" s="609" t="s">
        <v>3401</v>
      </c>
    </row>
    <row r="2060" spans="1:27" ht="18">
      <c r="A2060" s="2714"/>
      <c r="B2060" s="371">
        <v>108</v>
      </c>
      <c r="C2060" s="371" t="s">
        <v>2791</v>
      </c>
      <c r="D2060" s="2716">
        <f t="shared" si="209"/>
        <v>0</v>
      </c>
      <c r="E2060" s="2721">
        <v>1</v>
      </c>
      <c r="F2060" s="293"/>
      <c r="G2060" s="2284" t="s">
        <v>2792</v>
      </c>
      <c r="H2060" s="2275"/>
      <c r="I2060" s="2298"/>
      <c r="J2060" s="2298"/>
      <c r="K2060" s="2298"/>
      <c r="L2060" s="2299">
        <v>0</v>
      </c>
      <c r="M2060" s="2337">
        <v>0</v>
      </c>
      <c r="N2060" s="2337">
        <v>0</v>
      </c>
      <c r="O2060" s="2338">
        <v>0</v>
      </c>
      <c r="P2060" s="438"/>
      <c r="Q2060" s="442"/>
      <c r="R2060" s="443"/>
      <c r="S2060" s="364"/>
      <c r="Z2060" s="609" t="s">
        <v>849</v>
      </c>
      <c r="AA2060" s="609" t="s">
        <v>3401</v>
      </c>
    </row>
    <row r="2061" spans="1:27" ht="18.75" thickBot="1">
      <c r="A2061" s="2714"/>
      <c r="B2061" s="371"/>
      <c r="C2061" s="371"/>
      <c r="D2061" s="2716">
        <f t="shared" si="209"/>
        <v>1</v>
      </c>
      <c r="E2061" s="2721" t="s">
        <v>2751</v>
      </c>
      <c r="F2061" s="293"/>
      <c r="G2061" s="2234" t="s">
        <v>5141</v>
      </c>
      <c r="H2061" s="2235">
        <f>SUMPRODUCT($E2052:$E2060,H2052:H2060)</f>
        <v>0</v>
      </c>
      <c r="I2061" s="2242"/>
      <c r="J2061" s="2242"/>
      <c r="K2061" s="2241"/>
      <c r="L2061" s="2336">
        <v>0</v>
      </c>
      <c r="M2061" s="2339">
        <v>0</v>
      </c>
      <c r="N2061" s="2339">
        <v>0</v>
      </c>
      <c r="O2061" s="2340">
        <v>0</v>
      </c>
      <c r="P2061" s="440"/>
      <c r="Q2061" s="442"/>
      <c r="R2061" s="443"/>
      <c r="S2061" s="364"/>
      <c r="Z2061" s="609" t="s">
        <v>849</v>
      </c>
      <c r="AA2061" s="609" t="s">
        <v>3401</v>
      </c>
    </row>
    <row r="2062" spans="1:27" ht="18">
      <c r="A2062" s="2714"/>
      <c r="B2062" s="371"/>
      <c r="C2062" s="371" t="s">
        <v>2755</v>
      </c>
      <c r="D2062" s="2716"/>
      <c r="F2062" s="293"/>
      <c r="G2062" s="376"/>
      <c r="H2062" s="315"/>
      <c r="I2062" s="432"/>
      <c r="J2062" s="393"/>
      <c r="K2062" s="392"/>
      <c r="L2062" s="315"/>
      <c r="M2062" s="393"/>
      <c r="N2062" s="392"/>
      <c r="O2062" s="393"/>
      <c r="P2062" s="425"/>
      <c r="Q2062" s="442"/>
      <c r="R2062" s="443"/>
      <c r="S2062" s="364"/>
      <c r="Z2062" s="609" t="s">
        <v>849</v>
      </c>
      <c r="AA2062" s="609" t="s">
        <v>3401</v>
      </c>
    </row>
    <row r="2063" spans="1:27" ht="36">
      <c r="A2063" s="2714" t="s">
        <v>859</v>
      </c>
      <c r="B2063" s="371">
        <v>3</v>
      </c>
      <c r="C2063" s="371"/>
      <c r="D2063" s="2716" t="str">
        <f>VLOOKUP($A2063,Sheet_NoteList,2,0)</f>
        <v>其他债权投资按减值计提方法分类披露（三阶段模型）</v>
      </c>
      <c r="E2063" s="2716" t="s">
        <v>2742</v>
      </c>
      <c r="F2063" s="293"/>
      <c r="G2063" s="372" t="str">
        <f>"("&amp;B2063&amp;")"&amp;D2063</f>
        <v>(3)其他债权投资按减值计提方法分类披露（三阶段模型）</v>
      </c>
      <c r="H2063" s="1517" t="str">
        <f>$A2063</f>
        <v>1508c</v>
      </c>
      <c r="I2063" s="343" t="s">
        <v>2743</v>
      </c>
      <c r="J2063" s="301" t="s">
        <v>2744</v>
      </c>
      <c r="K2063" s="2210">
        <f>I2070</f>
        <v>0</v>
      </c>
      <c r="L2063" s="349"/>
      <c r="M2063" s="301"/>
      <c r="N2063" s="391"/>
      <c r="O2063" s="349"/>
      <c r="P2063" s="301"/>
      <c r="S2063" s="364"/>
      <c r="Z2063" s="609" t="s">
        <v>849</v>
      </c>
      <c r="AA2063" s="609" t="s">
        <v>3401</v>
      </c>
    </row>
    <row r="2064" spans="1:27" ht="0.75" customHeight="1" thickBot="1">
      <c r="A2064" s="2714"/>
      <c r="B2064" s="371"/>
      <c r="C2064" s="371"/>
      <c r="D2064" s="2716"/>
      <c r="E2064" s="586"/>
      <c r="F2064" s="586"/>
      <c r="G2064" s="2224" t="s">
        <v>3423</v>
      </c>
      <c r="H2064" s="1617" t="s">
        <v>6467</v>
      </c>
      <c r="I2064" s="371" t="s">
        <v>6527</v>
      </c>
      <c r="J2064" s="293"/>
      <c r="K2064" s="1604"/>
      <c r="L2064" s="1604"/>
      <c r="M2064" s="1604"/>
      <c r="N2064" s="1604"/>
      <c r="O2064" s="1604"/>
      <c r="P2064" s="1604"/>
      <c r="Q2064" s="1604"/>
      <c r="R2064" s="1604"/>
      <c r="S2064" s="364"/>
      <c r="Z2064" s="609" t="s">
        <v>849</v>
      </c>
      <c r="AA2064" s="609" t="s">
        <v>3401</v>
      </c>
    </row>
    <row r="2065" spans="1:29" ht="24.75" thickTop="1">
      <c r="A2065" s="2714"/>
      <c r="B2065" s="371"/>
      <c r="C2065" s="371"/>
      <c r="D2065" s="2716"/>
      <c r="E2065" s="586" t="s">
        <v>2749</v>
      </c>
      <c r="F2065" s="414"/>
      <c r="G2065" s="2686" t="s">
        <v>5930</v>
      </c>
      <c r="H2065" s="2310" t="s">
        <v>6392</v>
      </c>
      <c r="I2065" s="2709" t="s">
        <v>5145</v>
      </c>
      <c r="J2065" s="355" t="s">
        <v>5280</v>
      </c>
      <c r="K2065" s="1604"/>
      <c r="L2065" s="1584" t="str">
        <f>I2065</f>
        <v>减值准备</v>
      </c>
      <c r="M2065" s="2658" t="str">
        <f>""&amp;"NoteID"&amp;""</f>
        <v>NoteID</v>
      </c>
      <c r="N2065" s="1604"/>
      <c r="P2065" s="1604"/>
      <c r="Q2065" s="1604"/>
      <c r="R2065" s="1604"/>
      <c r="S2065" s="364"/>
      <c r="Z2065" s="609" t="s">
        <v>849</v>
      </c>
      <c r="AA2065" s="609" t="s">
        <v>3401</v>
      </c>
    </row>
    <row r="2066" spans="1:29" ht="18">
      <c r="A2066" s="2714"/>
      <c r="B2066" s="371">
        <v>101</v>
      </c>
      <c r="C2066" s="371"/>
      <c r="D2066" s="2716">
        <f t="shared" ref="D2066:D2070" si="210">IF(OR(G2066="*",G2066="",G2066=0),0,COUNTIF($G$2066:$G$2070,G2066))</f>
        <v>1</v>
      </c>
      <c r="E2066" s="2721">
        <v>1</v>
      </c>
      <c r="F2066" s="293"/>
      <c r="G2066" s="1474" t="s">
        <v>5927</v>
      </c>
      <c r="H2066" s="2298"/>
      <c r="I2066" s="2296"/>
      <c r="J2066" s="293"/>
      <c r="K2066" s="1604"/>
      <c r="L2066" s="2657">
        <f ca="1">HYPERLINK("#'"&amp;$G$1&amp;"'!"&amp;ADDRESS(ROW(Notes!J2090),COLUMN(Notes!J2090),4),J2090-I2066)</f>
        <v>0</v>
      </c>
      <c r="M2066" s="2650" t="str">
        <f>H2079</f>
        <v>1508d</v>
      </c>
      <c r="N2066" s="1604"/>
      <c r="P2066" s="1604"/>
      <c r="Q2066" s="1604"/>
      <c r="R2066" s="1604"/>
      <c r="S2066" s="364"/>
      <c r="Z2066" s="609" t="s">
        <v>849</v>
      </c>
      <c r="AA2066" s="609" t="s">
        <v>3401</v>
      </c>
    </row>
    <row r="2067" spans="1:29" ht="18">
      <c r="A2067" s="2714"/>
      <c r="B2067" s="371">
        <v>102</v>
      </c>
      <c r="C2067" s="371"/>
      <c r="D2067" s="2716">
        <f t="shared" si="210"/>
        <v>1</v>
      </c>
      <c r="E2067" s="2721">
        <v>1</v>
      </c>
      <c r="F2067" s="293"/>
      <c r="G2067" s="1474" t="s">
        <v>5928</v>
      </c>
      <c r="H2067" s="2298"/>
      <c r="I2067" s="2296"/>
      <c r="J2067" s="293"/>
      <c r="K2067" s="1604"/>
      <c r="L2067" s="2657">
        <f ca="1">HYPERLINK("#'"&amp;$G$1&amp;"'!"&amp;ADDRESS(ROW(Notes!J2103),COLUMN(Notes!J2103),4),J2103-I2067)</f>
        <v>0</v>
      </c>
      <c r="M2067" s="2650" t="str">
        <f>H2092</f>
        <v>1508e</v>
      </c>
      <c r="N2067" s="1604"/>
      <c r="P2067" s="1604"/>
      <c r="Q2067" s="1604"/>
      <c r="R2067" s="1604"/>
      <c r="S2067" s="364"/>
      <c r="Z2067" s="609" t="s">
        <v>849</v>
      </c>
      <c r="AA2067" s="609" t="s">
        <v>3401</v>
      </c>
    </row>
    <row r="2068" spans="1:29" ht="18">
      <c r="A2068" s="2714"/>
      <c r="B2068" s="371">
        <v>103</v>
      </c>
      <c r="C2068" s="371"/>
      <c r="D2068" s="2716">
        <f t="shared" si="210"/>
        <v>1</v>
      </c>
      <c r="E2068" s="2721">
        <v>1</v>
      </c>
      <c r="F2068" s="293"/>
      <c r="G2068" s="1474" t="s">
        <v>5929</v>
      </c>
      <c r="H2068" s="2298"/>
      <c r="I2068" s="2296"/>
      <c r="J2068" s="293"/>
      <c r="K2068" s="1604"/>
      <c r="L2068" s="2657">
        <f ca="1">HYPERLINK("#'"&amp;$G$1&amp;"'!"&amp;ADDRESS(ROW(Notes!J2116),COLUMN(Notes!J2116),4),J2116-I2068)</f>
        <v>0</v>
      </c>
      <c r="M2068" s="2650" t="str">
        <f>H2105</f>
        <v>1508f</v>
      </c>
      <c r="N2068" s="1604"/>
      <c r="P2068" s="1604"/>
      <c r="Q2068" s="1604"/>
      <c r="R2068" s="1604"/>
      <c r="S2068" s="364"/>
      <c r="Z2068" s="609" t="s">
        <v>849</v>
      </c>
      <c r="AA2068" s="609" t="s">
        <v>3401</v>
      </c>
    </row>
    <row r="2069" spans="1:29" ht="18">
      <c r="A2069" s="2714"/>
      <c r="B2069" s="371">
        <v>104</v>
      </c>
      <c r="C2069" s="371" t="s">
        <v>2791</v>
      </c>
      <c r="D2069" s="2716">
        <f t="shared" si="210"/>
        <v>0</v>
      </c>
      <c r="E2069" s="2721">
        <v>0</v>
      </c>
      <c r="F2069" s="293"/>
      <c r="G2069" s="2692" t="s">
        <v>2792</v>
      </c>
      <c r="H2069" s="2298"/>
      <c r="I2069" s="2296"/>
      <c r="J2069" s="293"/>
      <c r="K2069" s="1604"/>
      <c r="L2069" s="2648"/>
      <c r="M2069" s="2648"/>
      <c r="N2069" s="1604"/>
      <c r="P2069" s="1604"/>
      <c r="Q2069" s="1604"/>
      <c r="R2069" s="1604"/>
      <c r="S2069" s="364"/>
      <c r="Z2069" s="609" t="s">
        <v>849</v>
      </c>
      <c r="AA2069" s="609" t="s">
        <v>3401</v>
      </c>
    </row>
    <row r="2070" spans="1:29" ht="18.75" thickBot="1">
      <c r="A2070" s="2714"/>
      <c r="B2070" s="371"/>
      <c r="C2070" s="371"/>
      <c r="D2070" s="2716">
        <f t="shared" si="210"/>
        <v>1</v>
      </c>
      <c r="E2070" s="2721" t="s">
        <v>2751</v>
      </c>
      <c r="F2070" s="293"/>
      <c r="G2070" s="2234" t="s">
        <v>5141</v>
      </c>
      <c r="H2070" s="2241"/>
      <c r="I2070" s="2236">
        <f>SUMPRODUCT($E2065:$E2069,I2065:I2069)</f>
        <v>0</v>
      </c>
      <c r="J2070" s="1595" t="str">
        <f ca="1">HYPERLINK("#'"&amp;$G$1&amp;"'!"&amp;ADDRESS(ROW(Notes!N2131),COLUMN(Notes!N2131),4),"* 请勿删除此行！点击往勾稽单元格，F5+Enter返回")</f>
        <v>* 请勿删除此行！点击往勾稽单元格，F5+Enter返回</v>
      </c>
      <c r="K2070" s="1604"/>
      <c r="L2070" s="1557">
        <f ca="1">SUM(L2066:L2069)</f>
        <v>0</v>
      </c>
      <c r="M2070" s="1557">
        <f>SUM(M2066:M2069)</f>
        <v>0</v>
      </c>
      <c r="N2070" s="1604"/>
      <c r="P2070" s="1604"/>
      <c r="Q2070" s="1604"/>
      <c r="R2070" s="1604"/>
      <c r="S2070" s="364"/>
      <c r="Z2070" s="609" t="s">
        <v>849</v>
      </c>
      <c r="AA2070" s="609" t="s">
        <v>3401</v>
      </c>
      <c r="AC2070" s="369" t="s">
        <v>2794</v>
      </c>
    </row>
    <row r="2071" spans="1:29" ht="18.75" thickBot="1">
      <c r="A2071" s="2714"/>
      <c r="B2071" s="371"/>
      <c r="C2071" s="371" t="s">
        <v>2755</v>
      </c>
      <c r="D2071" s="2716"/>
      <c r="F2071" s="293"/>
      <c r="G2071" s="376"/>
      <c r="H2071" s="393"/>
      <c r="I2071" s="2253" t="s">
        <v>3002</v>
      </c>
      <c r="J2071" s="293"/>
      <c r="K2071" s="1604"/>
      <c r="L2071" s="2656" t="s">
        <v>5505</v>
      </c>
      <c r="M2071" s="2647"/>
      <c r="N2071" s="1604"/>
      <c r="O2071" s="2647"/>
      <c r="P2071" s="1604"/>
      <c r="Q2071" s="1604"/>
      <c r="R2071" s="1604"/>
      <c r="S2071" s="364"/>
      <c r="Z2071" s="609" t="s">
        <v>849</v>
      </c>
      <c r="AA2071" s="609" t="s">
        <v>3401</v>
      </c>
    </row>
    <row r="2072" spans="1:29" ht="18.75" thickTop="1">
      <c r="A2072" s="2714"/>
      <c r="B2072" s="371"/>
      <c r="C2072" s="371" t="s">
        <v>2565</v>
      </c>
      <c r="D2072" s="2716"/>
      <c r="F2072" s="293"/>
      <c r="G2072" s="1549" t="s">
        <v>5367</v>
      </c>
      <c r="H2072" s="1550" t="str">
        <f>G2032</f>
        <v>(1)其他债权投资情况</v>
      </c>
      <c r="I2072" s="1552"/>
      <c r="J2072" s="1553" t="s">
        <v>5368</v>
      </c>
      <c r="K2072" s="1604"/>
      <c r="L2072" s="2656"/>
      <c r="M2072" s="2647"/>
      <c r="N2072" s="1604"/>
      <c r="O2072" s="2647"/>
      <c r="P2072" s="1604"/>
      <c r="Q2072" s="1604"/>
      <c r="R2072" s="1604"/>
      <c r="S2072" s="364"/>
      <c r="Z2072" s="609" t="s">
        <v>849</v>
      </c>
      <c r="AA2072" s="609" t="s">
        <v>3401</v>
      </c>
    </row>
    <row r="2073" spans="1:29" ht="18">
      <c r="A2073" s="2714"/>
      <c r="B2073" s="371"/>
      <c r="C2073" s="371" t="s">
        <v>2565</v>
      </c>
      <c r="D2073" s="2716"/>
      <c r="F2073" s="293"/>
      <c r="G2073" s="604" t="str">
        <f>"注释A:"&amp; G2046</f>
        <v>注释A:合       计</v>
      </c>
      <c r="H2073" s="351"/>
      <c r="I2073" s="2252">
        <f ca="1">HYPERLINK("#'"&amp;$G$1&amp;"'!"&amp;ADDRESS(ROW(Notes!P2046),COLUMN(Notes!P2046),4),P2046)</f>
        <v>0</v>
      </c>
      <c r="J2073" s="2632" t="str">
        <f>H2032</f>
        <v>1508a</v>
      </c>
      <c r="K2073" s="1604"/>
      <c r="L2073" s="2656"/>
      <c r="M2073" s="2647"/>
      <c r="N2073" s="1604"/>
      <c r="O2073" s="2647"/>
      <c r="P2073" s="1604"/>
      <c r="Q2073" s="1604"/>
      <c r="R2073" s="1604"/>
      <c r="S2073" s="364"/>
      <c r="Z2073" s="609" t="s">
        <v>849</v>
      </c>
      <c r="AA2073" s="609" t="s">
        <v>3401</v>
      </c>
    </row>
    <row r="2074" spans="1:29" ht="18">
      <c r="A2074" s="2714"/>
      <c r="B2074" s="371"/>
      <c r="C2074" s="371" t="s">
        <v>2565</v>
      </c>
      <c r="D2074" s="2716"/>
      <c r="F2074" s="293"/>
      <c r="G2074" s="604" t="str">
        <f>"本注释B:"&amp; G2070</f>
        <v>本注释B:合       计</v>
      </c>
      <c r="H2074" s="351"/>
      <c r="I2074" s="456">
        <f>I2070</f>
        <v>0</v>
      </c>
      <c r="J2074" s="2638" t="s">
        <v>859</v>
      </c>
      <c r="K2074" s="1604"/>
      <c r="L2074" s="2656"/>
      <c r="M2074" s="2647"/>
      <c r="N2074" s="1604"/>
      <c r="O2074" s="2647"/>
      <c r="P2074" s="1604"/>
      <c r="Q2074" s="1604"/>
      <c r="R2074" s="1604"/>
      <c r="S2074" s="364"/>
      <c r="Z2074" s="609" t="s">
        <v>849</v>
      </c>
      <c r="AA2074" s="609" t="s">
        <v>3401</v>
      </c>
    </row>
    <row r="2075" spans="1:29" ht="18.75" thickBot="1">
      <c r="A2075" s="2714"/>
      <c r="B2075" s="371"/>
      <c r="C2075" s="371" t="s">
        <v>2565</v>
      </c>
      <c r="D2075" s="2716"/>
      <c r="F2075" s="293"/>
      <c r="G2075" s="1554" t="s">
        <v>2757</v>
      </c>
      <c r="H2075" s="1555"/>
      <c r="I2075" s="1531">
        <f ca="1">IF(AND(I2073="",I2074=""),"",ROUND(I2073-I2074,2))</f>
        <v>0</v>
      </c>
      <c r="J2075" s="1555"/>
      <c r="K2075" s="1604"/>
      <c r="L2075" s="2656"/>
      <c r="M2075" s="2647"/>
      <c r="N2075" s="1604"/>
      <c r="O2075" s="2647"/>
      <c r="P2075" s="1604"/>
      <c r="Q2075" s="1604"/>
      <c r="R2075" s="1604"/>
      <c r="S2075" s="364"/>
      <c r="Z2075" s="609" t="s">
        <v>849</v>
      </c>
      <c r="AA2075" s="609" t="s">
        <v>3401</v>
      </c>
    </row>
    <row r="2076" spans="1:29" ht="18.75" thickTop="1">
      <c r="A2076" s="2714"/>
      <c r="B2076" s="371"/>
      <c r="C2076" s="371" t="s">
        <v>2565</v>
      </c>
      <c r="D2076" s="2716"/>
      <c r="F2076" s="293"/>
      <c r="G2076" s="1545"/>
      <c r="H2076" s="317"/>
      <c r="I2076" s="459" t="str">
        <f ca="1">IF(OR(I2075=0,I2075=""),"√","？")</f>
        <v>√</v>
      </c>
      <c r="J2076" s="354"/>
      <c r="K2076" s="1604"/>
      <c r="L2076" s="2656"/>
      <c r="M2076" s="2647"/>
      <c r="N2076" s="1604"/>
      <c r="O2076" s="2647"/>
      <c r="P2076" s="1604"/>
      <c r="Q2076" s="1604"/>
      <c r="R2076" s="1604"/>
      <c r="S2076" s="364"/>
      <c r="Z2076" s="609" t="s">
        <v>849</v>
      </c>
      <c r="AA2076" s="609" t="s">
        <v>3401</v>
      </c>
    </row>
    <row r="2077" spans="1:29" ht="18">
      <c r="A2077" s="2714"/>
      <c r="B2077" s="371"/>
      <c r="C2077" s="371" t="s">
        <v>2565</v>
      </c>
      <c r="D2077" s="2716"/>
      <c r="F2077" s="293"/>
      <c r="G2077" s="1559" t="s">
        <v>2759</v>
      </c>
      <c r="H2077" s="317"/>
      <c r="I2077" s="461"/>
      <c r="J2077" s="354"/>
      <c r="K2077" s="2710">
        <f ca="1">SUMIF($H$2076:$J$2076,"&lt;&gt;√",$H$2075:$J$2075)</f>
        <v>0</v>
      </c>
      <c r="L2077" s="2711" t="str">
        <f ca="1">IF(OR(K2077=0,K2077=""),"√","？")</f>
        <v>√</v>
      </c>
      <c r="M2077" s="2647"/>
      <c r="N2077" s="1604"/>
      <c r="O2077" s="2647"/>
      <c r="P2077" s="1604"/>
      <c r="Q2077" s="1604"/>
      <c r="R2077" s="1604"/>
      <c r="S2077" s="364"/>
      <c r="Z2077" s="609" t="s">
        <v>849</v>
      </c>
      <c r="AA2077" s="609" t="s">
        <v>3401</v>
      </c>
    </row>
    <row r="2078" spans="1:29" ht="18">
      <c r="A2078" s="2714"/>
      <c r="B2078" s="371"/>
      <c r="C2078" s="371" t="s">
        <v>2565</v>
      </c>
      <c r="D2078" s="2716"/>
      <c r="F2078" s="293"/>
      <c r="G2078" s="1545"/>
      <c r="H2078" s="317"/>
      <c r="I2078" s="461"/>
      <c r="J2078" s="354"/>
      <c r="K2078" s="1604"/>
      <c r="L2078" s="2656"/>
      <c r="M2078" s="2647"/>
      <c r="N2078" s="1604"/>
      <c r="O2078" s="2647"/>
      <c r="P2078" s="1604"/>
      <c r="Q2078" s="1604"/>
      <c r="R2078" s="1604"/>
      <c r="S2078" s="364"/>
      <c r="Z2078" s="609" t="s">
        <v>849</v>
      </c>
      <c r="AA2078" s="609" t="s">
        <v>3401</v>
      </c>
    </row>
    <row r="2079" spans="1:29" ht="24">
      <c r="A2079" s="2714" t="s">
        <v>885</v>
      </c>
      <c r="B2079" s="371">
        <v>3.1</v>
      </c>
      <c r="C2079" s="371"/>
      <c r="D2079" s="2716" t="str">
        <f>VLOOKUP($A2079,Sheet_NoteList,2,0)</f>
        <v>期末处于第一阶段的其他债权投资的减值准备</v>
      </c>
      <c r="E2079" s="2716" t="s">
        <v>2742</v>
      </c>
      <c r="F2079" s="293"/>
      <c r="G2079" s="372" t="str">
        <f>"("&amp;B2079&amp;")"&amp;D2079</f>
        <v>(3.1)期末处于第一阶段的其他债权投资的减值准备</v>
      </c>
      <c r="H2079" s="1517" t="str">
        <f>$A2079</f>
        <v>1508d</v>
      </c>
      <c r="I2079" s="343" t="s">
        <v>2743</v>
      </c>
      <c r="J2079" s="301" t="s">
        <v>2744</v>
      </c>
      <c r="K2079" s="2210">
        <f>J2090</f>
        <v>0</v>
      </c>
      <c r="L2079" s="349"/>
      <c r="M2079" s="301"/>
      <c r="N2079" s="391"/>
      <c r="O2079" s="349"/>
      <c r="P2079" s="301"/>
      <c r="S2079" s="364"/>
      <c r="Z2079" s="609" t="s">
        <v>849</v>
      </c>
      <c r="AA2079" s="609" t="s">
        <v>3401</v>
      </c>
    </row>
    <row r="2080" spans="1:29" ht="0.75" customHeight="1" thickBot="1">
      <c r="A2080" s="2714"/>
      <c r="B2080" s="371"/>
      <c r="C2080" s="371"/>
      <c r="D2080" s="2716"/>
      <c r="E2080" s="586"/>
      <c r="F2080" s="586"/>
      <c r="G2080" s="2224" t="s">
        <v>3425</v>
      </c>
      <c r="H2080" s="371" t="s">
        <v>6528</v>
      </c>
      <c r="I2080" s="547" t="s">
        <v>2947</v>
      </c>
      <c r="J2080" s="371" t="s">
        <v>2948</v>
      </c>
      <c r="K2080" s="547" t="s">
        <v>6529</v>
      </c>
      <c r="L2080" s="1604"/>
      <c r="M2080" s="1604"/>
      <c r="N2080" s="1604"/>
      <c r="O2080" s="1604"/>
      <c r="P2080" s="1604"/>
      <c r="Q2080" s="1604"/>
      <c r="R2080" s="1604"/>
      <c r="S2080" s="364"/>
      <c r="Z2080" s="609" t="s">
        <v>849</v>
      </c>
      <c r="AA2080" s="609" t="s">
        <v>3401</v>
      </c>
    </row>
    <row r="2081" spans="1:29" ht="36">
      <c r="A2081" s="2714"/>
      <c r="B2081" s="371"/>
      <c r="C2081" s="371"/>
      <c r="D2081" s="2716"/>
      <c r="E2081" s="586" t="s">
        <v>2749</v>
      </c>
      <c r="F2081" s="414"/>
      <c r="G2081" s="2686" t="s">
        <v>6406</v>
      </c>
      <c r="H2081" s="2310" t="s">
        <v>6407</v>
      </c>
      <c r="I2081" s="2687" t="s">
        <v>3360</v>
      </c>
      <c r="J2081" s="2687" t="s">
        <v>3097</v>
      </c>
      <c r="K2081" s="2689" t="s">
        <v>6408</v>
      </c>
      <c r="L2081" s="355" t="s">
        <v>5280</v>
      </c>
      <c r="M2081" s="1604"/>
      <c r="N2081" s="1604"/>
      <c r="O2081" s="1604"/>
      <c r="P2081" s="1604"/>
      <c r="Q2081" s="1604"/>
      <c r="R2081" s="1604"/>
      <c r="S2081" s="364"/>
      <c r="Z2081" s="609" t="s">
        <v>849</v>
      </c>
      <c r="AA2081" s="609" t="s">
        <v>3401</v>
      </c>
    </row>
    <row r="2082" spans="1:29" ht="18">
      <c r="A2082" s="2714"/>
      <c r="B2082" s="371">
        <v>101</v>
      </c>
      <c r="C2082" s="371"/>
      <c r="D2082" s="2716">
        <f t="shared" ref="D2082:D2090" si="211">IF(OR(G2082="*",G2082="",G2082=0),0,COUNTIF($G$2082:$G$2090,G2082))</f>
        <v>1</v>
      </c>
      <c r="E2082" s="2721">
        <v>1</v>
      </c>
      <c r="F2082" s="293"/>
      <c r="G2082" s="1474" t="s">
        <v>3093</v>
      </c>
      <c r="H2082" s="2298"/>
      <c r="I2082" s="2298"/>
      <c r="J2082" s="1476">
        <f>SUM(J2083:J2085)</f>
        <v>0</v>
      </c>
      <c r="K2082" s="2276"/>
      <c r="L2082" s="1604"/>
      <c r="M2082" s="1604"/>
      <c r="N2082" s="1604"/>
      <c r="O2082" s="1604"/>
      <c r="P2082" s="1604"/>
      <c r="Q2082" s="1604"/>
      <c r="R2082" s="1604"/>
      <c r="S2082" s="364"/>
      <c r="Z2082" s="609" t="s">
        <v>849</v>
      </c>
      <c r="AA2082" s="609" t="s">
        <v>3401</v>
      </c>
    </row>
    <row r="2083" spans="1:29" ht="18">
      <c r="A2083" s="2714"/>
      <c r="B2083" s="371">
        <v>102</v>
      </c>
      <c r="C2083" s="371" t="s">
        <v>2791</v>
      </c>
      <c r="D2083" s="2716">
        <f t="shared" si="211"/>
        <v>1</v>
      </c>
      <c r="E2083" s="2721">
        <v>0</v>
      </c>
      <c r="F2083" s="293"/>
      <c r="G2083" s="2692" t="s">
        <v>2829</v>
      </c>
      <c r="H2083" s="2298"/>
      <c r="I2083" s="2298"/>
      <c r="J2083" s="2275"/>
      <c r="K2083" s="2276"/>
      <c r="L2083" s="1604"/>
      <c r="M2083" s="1604"/>
      <c r="N2083" s="1604"/>
      <c r="O2083" s="1604"/>
      <c r="P2083" s="1604"/>
      <c r="Q2083" s="1604"/>
      <c r="R2083" s="1604"/>
      <c r="S2083" s="364"/>
      <c r="Z2083" s="609" t="s">
        <v>849</v>
      </c>
      <c r="AA2083" s="609" t="s">
        <v>3401</v>
      </c>
    </row>
    <row r="2084" spans="1:29" ht="18">
      <c r="A2084" s="2714"/>
      <c r="B2084" s="371">
        <v>103</v>
      </c>
      <c r="C2084" s="371" t="s">
        <v>2791</v>
      </c>
      <c r="D2084" s="2716">
        <f t="shared" si="211"/>
        <v>0</v>
      </c>
      <c r="E2084" s="2721">
        <v>0</v>
      </c>
      <c r="F2084" s="293"/>
      <c r="G2084" s="2692" t="s">
        <v>2792</v>
      </c>
      <c r="H2084" s="2298"/>
      <c r="I2084" s="2298"/>
      <c r="J2084" s="2275"/>
      <c r="K2084" s="2276"/>
      <c r="L2084" s="1604"/>
      <c r="M2084" s="1604"/>
      <c r="N2084" s="1604"/>
      <c r="O2084" s="1604"/>
      <c r="P2084" s="1604"/>
      <c r="Q2084" s="1604"/>
      <c r="R2084" s="1604"/>
      <c r="S2084" s="364"/>
      <c r="Z2084" s="609" t="s">
        <v>849</v>
      </c>
      <c r="AA2084" s="609" t="s">
        <v>3401</v>
      </c>
    </row>
    <row r="2085" spans="1:29" ht="18">
      <c r="A2085" s="2714"/>
      <c r="B2085" s="371">
        <v>104</v>
      </c>
      <c r="C2085" s="371" t="s">
        <v>2791</v>
      </c>
      <c r="D2085" s="2716">
        <f t="shared" si="211"/>
        <v>0</v>
      </c>
      <c r="E2085" s="2721">
        <v>0</v>
      </c>
      <c r="F2085" s="293"/>
      <c r="G2085" s="2692" t="s">
        <v>2792</v>
      </c>
      <c r="H2085" s="2298"/>
      <c r="I2085" s="2298"/>
      <c r="J2085" s="2275"/>
      <c r="K2085" s="2276"/>
      <c r="L2085" s="1604"/>
      <c r="M2085" s="1604"/>
      <c r="N2085" s="1604"/>
      <c r="O2085" s="1604"/>
      <c r="P2085" s="1604"/>
      <c r="Q2085" s="1604"/>
      <c r="R2085" s="1604"/>
      <c r="S2085" s="364"/>
      <c r="Z2085" s="609" t="s">
        <v>849</v>
      </c>
      <c r="AA2085" s="609" t="s">
        <v>3401</v>
      </c>
    </row>
    <row r="2086" spans="1:29" ht="18">
      <c r="A2086" s="2714"/>
      <c r="B2086" s="371">
        <v>105</v>
      </c>
      <c r="C2086" s="371"/>
      <c r="D2086" s="2716">
        <f t="shared" si="211"/>
        <v>1</v>
      </c>
      <c r="E2086" s="2721">
        <v>1</v>
      </c>
      <c r="F2086" s="293"/>
      <c r="G2086" s="1474" t="s">
        <v>3094</v>
      </c>
      <c r="H2086" s="2298"/>
      <c r="I2086" s="2298"/>
      <c r="J2086" s="1476">
        <f>SUM(J2087:J2089)</f>
        <v>0</v>
      </c>
      <c r="K2086" s="2276"/>
      <c r="L2086" s="1604"/>
      <c r="M2086" s="1604"/>
      <c r="N2086" s="1604"/>
      <c r="O2086" s="1604"/>
      <c r="P2086" s="1604"/>
      <c r="Q2086" s="1604"/>
      <c r="R2086" s="1604"/>
      <c r="S2086" s="364"/>
      <c r="Z2086" s="609" t="s">
        <v>849</v>
      </c>
      <c r="AA2086" s="609" t="s">
        <v>3401</v>
      </c>
    </row>
    <row r="2087" spans="1:29" ht="18">
      <c r="A2087" s="2714"/>
      <c r="B2087" s="371">
        <v>106</v>
      </c>
      <c r="C2087" s="371" t="s">
        <v>2791</v>
      </c>
      <c r="D2087" s="2716">
        <f t="shared" si="211"/>
        <v>1</v>
      </c>
      <c r="E2087" s="2721">
        <v>0</v>
      </c>
      <c r="F2087" s="293"/>
      <c r="G2087" s="2692" t="s">
        <v>2831</v>
      </c>
      <c r="H2087" s="2298"/>
      <c r="I2087" s="2298"/>
      <c r="J2087" s="2275"/>
      <c r="K2087" s="2276"/>
      <c r="L2087" s="1604"/>
      <c r="M2087" s="1604"/>
      <c r="N2087" s="1604"/>
      <c r="O2087" s="1604"/>
      <c r="P2087" s="1604"/>
      <c r="Q2087" s="1604"/>
      <c r="R2087" s="1604"/>
      <c r="S2087" s="364"/>
      <c r="Z2087" s="609" t="s">
        <v>849</v>
      </c>
      <c r="AA2087" s="609" t="s">
        <v>3401</v>
      </c>
    </row>
    <row r="2088" spans="1:29" ht="18">
      <c r="A2088" s="2714"/>
      <c r="B2088" s="371">
        <v>107</v>
      </c>
      <c r="C2088" s="371" t="s">
        <v>2791</v>
      </c>
      <c r="D2088" s="2716">
        <f t="shared" si="211"/>
        <v>0</v>
      </c>
      <c r="E2088" s="2721">
        <v>0</v>
      </c>
      <c r="F2088" s="293"/>
      <c r="G2088" s="2692" t="s">
        <v>2792</v>
      </c>
      <c r="H2088" s="2298"/>
      <c r="I2088" s="2298"/>
      <c r="J2088" s="2275"/>
      <c r="K2088" s="2276"/>
      <c r="L2088" s="1604"/>
      <c r="M2088" s="1604"/>
      <c r="N2088" s="1604"/>
      <c r="O2088" s="1604"/>
      <c r="P2088" s="1604"/>
      <c r="Q2088" s="1604"/>
      <c r="R2088" s="1604"/>
      <c r="S2088" s="364"/>
      <c r="Z2088" s="609" t="s">
        <v>849</v>
      </c>
      <c r="AA2088" s="609" t="s">
        <v>3401</v>
      </c>
    </row>
    <row r="2089" spans="1:29" ht="18">
      <c r="A2089" s="2714"/>
      <c r="B2089" s="371">
        <v>108</v>
      </c>
      <c r="C2089" s="371" t="s">
        <v>2791</v>
      </c>
      <c r="D2089" s="2716">
        <f t="shared" si="211"/>
        <v>0</v>
      </c>
      <c r="E2089" s="2721">
        <v>0</v>
      </c>
      <c r="F2089" s="293"/>
      <c r="G2089" s="2692" t="s">
        <v>2792</v>
      </c>
      <c r="H2089" s="2298"/>
      <c r="I2089" s="2298"/>
      <c r="J2089" s="2275"/>
      <c r="K2089" s="2276"/>
      <c r="L2089" s="1604"/>
      <c r="M2089" s="1604"/>
      <c r="N2089" s="1604"/>
      <c r="O2089" s="1604"/>
      <c r="P2089" s="1604"/>
      <c r="Q2089" s="1604"/>
      <c r="R2089" s="1604"/>
      <c r="S2089" s="364"/>
      <c r="Z2089" s="609" t="s">
        <v>849</v>
      </c>
      <c r="AA2089" s="609" t="s">
        <v>3401</v>
      </c>
    </row>
    <row r="2090" spans="1:29" ht="18.75" thickBot="1">
      <c r="A2090" s="2714"/>
      <c r="B2090" s="371"/>
      <c r="C2090" s="371"/>
      <c r="D2090" s="2716">
        <f t="shared" si="211"/>
        <v>1</v>
      </c>
      <c r="E2090" s="2721" t="s">
        <v>2751</v>
      </c>
      <c r="F2090" s="293"/>
      <c r="G2090" s="2234" t="s">
        <v>5141</v>
      </c>
      <c r="H2090" s="2241"/>
      <c r="I2090" s="2241"/>
      <c r="J2090" s="2235">
        <f>SUMPRODUCT($E2081:$E2089,J2081:J2089)</f>
        <v>0</v>
      </c>
      <c r="K2090" s="2244"/>
      <c r="L2090" s="2676" t="str">
        <f ca="1">HYPERLINK("#'"&amp;$G$1&amp;"'!"&amp;ADDRESS(ROW(Notes!L2066),COLUMN(Notes!L2066),4),"* 请勿删除此行！点击往勾稽单元格，F5+Enter返回")</f>
        <v>* 请勿删除此行！点击往勾稽单元格，F5+Enter返回</v>
      </c>
      <c r="M2090" s="1604"/>
      <c r="N2090" s="1604"/>
      <c r="O2090" s="1604"/>
      <c r="P2090" s="1604"/>
      <c r="Q2090" s="1604"/>
      <c r="R2090" s="1604"/>
      <c r="S2090" s="364"/>
      <c r="Z2090" s="609" t="s">
        <v>849</v>
      </c>
      <c r="AA2090" s="609" t="s">
        <v>3401</v>
      </c>
      <c r="AC2090" s="369" t="s">
        <v>6573</v>
      </c>
    </row>
    <row r="2091" spans="1:29" ht="18">
      <c r="A2091" s="2714"/>
      <c r="B2091" s="371"/>
      <c r="C2091" s="371" t="s">
        <v>2755</v>
      </c>
      <c r="D2091" s="2716"/>
      <c r="F2091" s="293"/>
      <c r="G2091" s="376"/>
      <c r="H2091" s="393"/>
      <c r="I2091" s="432"/>
      <c r="J2091" s="315"/>
      <c r="K2091" s="392"/>
      <c r="L2091" s="1604"/>
      <c r="M2091" s="1604"/>
      <c r="N2091" s="1604"/>
      <c r="O2091" s="1604"/>
      <c r="P2091" s="1604"/>
      <c r="Q2091" s="1604"/>
      <c r="R2091" s="1604"/>
      <c r="S2091" s="364"/>
      <c r="Z2091" s="609" t="s">
        <v>849</v>
      </c>
      <c r="AA2091" s="609" t="s">
        <v>3401</v>
      </c>
    </row>
    <row r="2092" spans="1:29" ht="24">
      <c r="A2092" s="2714" t="s">
        <v>889</v>
      </c>
      <c r="B2092" s="371">
        <v>3.2</v>
      </c>
      <c r="C2092" s="371"/>
      <c r="D2092" s="2716" t="str">
        <f>VLOOKUP($A2092,Sheet_NoteList,2,0)</f>
        <v>期末处于第二阶段的其他债权投资的减值准备</v>
      </c>
      <c r="E2092" s="2716" t="s">
        <v>2742</v>
      </c>
      <c r="F2092" s="293"/>
      <c r="G2092" s="372" t="str">
        <f>"("&amp;B2092&amp;")"&amp;D2092</f>
        <v>(3.2)期末处于第二阶段的其他债权投资的减值准备</v>
      </c>
      <c r="H2092" s="1517" t="str">
        <f>$A2092</f>
        <v>1508e</v>
      </c>
      <c r="I2092" s="343" t="s">
        <v>2743</v>
      </c>
      <c r="J2092" s="301" t="s">
        <v>2744</v>
      </c>
      <c r="K2092" s="2210">
        <f>J2103</f>
        <v>0</v>
      </c>
      <c r="L2092" s="349"/>
      <c r="M2092" s="301"/>
      <c r="N2092" s="391"/>
      <c r="O2092" s="349"/>
      <c r="P2092" s="301"/>
      <c r="S2092" s="364"/>
      <c r="Z2092" s="609" t="s">
        <v>849</v>
      </c>
      <c r="AA2092" s="609" t="s">
        <v>3401</v>
      </c>
    </row>
    <row r="2093" spans="1:29" ht="0.75" customHeight="1" thickBot="1">
      <c r="A2093" s="2714"/>
      <c r="B2093" s="371"/>
      <c r="C2093" s="371"/>
      <c r="D2093" s="2716"/>
      <c r="E2093" s="586"/>
      <c r="F2093" s="586"/>
      <c r="G2093" s="2224" t="s">
        <v>3426</v>
      </c>
      <c r="H2093" s="371" t="s">
        <v>6528</v>
      </c>
      <c r="I2093" s="371" t="s">
        <v>2947</v>
      </c>
      <c r="J2093" s="371" t="s">
        <v>2948</v>
      </c>
      <c r="K2093" s="547" t="s">
        <v>6529</v>
      </c>
      <c r="L2093" s="1604"/>
      <c r="M2093" s="1604"/>
      <c r="N2093" s="1604"/>
      <c r="O2093" s="1604"/>
      <c r="P2093" s="1604"/>
      <c r="Q2093" s="1604"/>
      <c r="R2093" s="1604"/>
      <c r="S2093" s="364"/>
      <c r="Z2093" s="609" t="s">
        <v>849</v>
      </c>
      <c r="AA2093" s="609" t="s">
        <v>3401</v>
      </c>
    </row>
    <row r="2094" spans="1:29" ht="36">
      <c r="A2094" s="2714"/>
      <c r="B2094" s="371"/>
      <c r="C2094" s="371"/>
      <c r="D2094" s="2716"/>
      <c r="E2094" s="586" t="s">
        <v>2749</v>
      </c>
      <c r="F2094" s="414"/>
      <c r="G2094" s="2686" t="s">
        <v>6409</v>
      </c>
      <c r="H2094" s="2310" t="s">
        <v>6410</v>
      </c>
      <c r="I2094" s="2687" t="s">
        <v>3148</v>
      </c>
      <c r="J2094" s="2687" t="s">
        <v>3097</v>
      </c>
      <c r="K2094" s="2689" t="s">
        <v>6411</v>
      </c>
      <c r="L2094" s="355" t="s">
        <v>5280</v>
      </c>
      <c r="M2094" s="1604"/>
      <c r="N2094" s="1604"/>
      <c r="O2094" s="1604"/>
      <c r="P2094" s="1604"/>
      <c r="Q2094" s="1604"/>
      <c r="R2094" s="1604"/>
      <c r="S2094" s="364"/>
      <c r="Z2094" s="609" t="s">
        <v>849</v>
      </c>
      <c r="AA2094" s="609" t="s">
        <v>3401</v>
      </c>
    </row>
    <row r="2095" spans="1:29" ht="18">
      <c r="A2095" s="2714"/>
      <c r="B2095" s="371">
        <v>101</v>
      </c>
      <c r="C2095" s="371"/>
      <c r="D2095" s="2716">
        <f t="shared" ref="D2095:D2103" si="212">IF(OR(G2095="*",G2095="",G2095=0),0,COUNTIF($G$2095:$G$2103,G2095))</f>
        <v>1</v>
      </c>
      <c r="E2095" s="2721">
        <v>1</v>
      </c>
      <c r="F2095" s="293"/>
      <c r="G2095" s="1474" t="s">
        <v>3093</v>
      </c>
      <c r="H2095" s="2298"/>
      <c r="I2095" s="2298"/>
      <c r="J2095" s="1476">
        <f>SUM(J2096:J2098)</f>
        <v>0</v>
      </c>
      <c r="K2095" s="2276"/>
      <c r="L2095" s="1604"/>
      <c r="M2095" s="1604"/>
      <c r="N2095" s="1604"/>
      <c r="O2095" s="1604"/>
      <c r="P2095" s="1604"/>
      <c r="Q2095" s="1604"/>
      <c r="R2095" s="1604"/>
      <c r="S2095" s="364"/>
      <c r="Z2095" s="609" t="s">
        <v>849</v>
      </c>
      <c r="AA2095" s="609" t="s">
        <v>3401</v>
      </c>
    </row>
    <row r="2096" spans="1:29" ht="18">
      <c r="A2096" s="2714"/>
      <c r="B2096" s="371">
        <v>102</v>
      </c>
      <c r="C2096" s="371" t="s">
        <v>2791</v>
      </c>
      <c r="D2096" s="2716">
        <f t="shared" si="212"/>
        <v>1</v>
      </c>
      <c r="E2096" s="2721">
        <v>0</v>
      </c>
      <c r="F2096" s="293"/>
      <c r="G2096" s="2692" t="s">
        <v>2829</v>
      </c>
      <c r="H2096" s="2298"/>
      <c r="I2096" s="2298"/>
      <c r="J2096" s="2275"/>
      <c r="K2096" s="2276"/>
      <c r="L2096" s="1604"/>
      <c r="M2096" s="1604"/>
      <c r="N2096" s="1604"/>
      <c r="O2096" s="1604"/>
      <c r="P2096" s="1604"/>
      <c r="Q2096" s="1604"/>
      <c r="R2096" s="1604"/>
      <c r="S2096" s="364"/>
      <c r="Z2096" s="609" t="s">
        <v>849</v>
      </c>
      <c r="AA2096" s="609" t="s">
        <v>3401</v>
      </c>
    </row>
    <row r="2097" spans="1:29" ht="18">
      <c r="A2097" s="2714"/>
      <c r="B2097" s="371">
        <v>103</v>
      </c>
      <c r="C2097" s="371" t="s">
        <v>2791</v>
      </c>
      <c r="D2097" s="2716">
        <f t="shared" si="212"/>
        <v>0</v>
      </c>
      <c r="E2097" s="2721">
        <v>0</v>
      </c>
      <c r="F2097" s="293"/>
      <c r="G2097" s="2692" t="s">
        <v>2792</v>
      </c>
      <c r="H2097" s="2298"/>
      <c r="I2097" s="2298"/>
      <c r="J2097" s="2275"/>
      <c r="K2097" s="2276"/>
      <c r="L2097" s="1604"/>
      <c r="M2097" s="1604"/>
      <c r="N2097" s="1604"/>
      <c r="O2097" s="1604"/>
      <c r="P2097" s="1604"/>
      <c r="Q2097" s="1604"/>
      <c r="R2097" s="1604"/>
      <c r="S2097" s="364"/>
      <c r="Z2097" s="609" t="s">
        <v>849</v>
      </c>
      <c r="AA2097" s="609" t="s">
        <v>3401</v>
      </c>
    </row>
    <row r="2098" spans="1:29" ht="18">
      <c r="A2098" s="2714"/>
      <c r="B2098" s="371">
        <v>104</v>
      </c>
      <c r="C2098" s="371" t="s">
        <v>2791</v>
      </c>
      <c r="D2098" s="2716">
        <f t="shared" si="212"/>
        <v>0</v>
      </c>
      <c r="E2098" s="2721">
        <v>0</v>
      </c>
      <c r="F2098" s="293"/>
      <c r="G2098" s="2692" t="s">
        <v>2792</v>
      </c>
      <c r="H2098" s="2298"/>
      <c r="I2098" s="2298"/>
      <c r="J2098" s="2275"/>
      <c r="K2098" s="2276"/>
      <c r="L2098" s="1604"/>
      <c r="M2098" s="1604"/>
      <c r="N2098" s="1604"/>
      <c r="O2098" s="1604"/>
      <c r="P2098" s="1604"/>
      <c r="Q2098" s="1604"/>
      <c r="R2098" s="1604"/>
      <c r="S2098" s="364"/>
      <c r="Z2098" s="609" t="s">
        <v>849</v>
      </c>
      <c r="AA2098" s="609" t="s">
        <v>3401</v>
      </c>
    </row>
    <row r="2099" spans="1:29" ht="18">
      <c r="A2099" s="2714"/>
      <c r="B2099" s="371">
        <v>105</v>
      </c>
      <c r="C2099" s="371"/>
      <c r="D2099" s="2716">
        <f t="shared" si="212"/>
        <v>1</v>
      </c>
      <c r="E2099" s="2721">
        <v>1</v>
      </c>
      <c r="F2099" s="293"/>
      <c r="G2099" s="1474" t="s">
        <v>3094</v>
      </c>
      <c r="H2099" s="2298"/>
      <c r="I2099" s="2298"/>
      <c r="J2099" s="1476">
        <f>SUM(J2100:J2102)</f>
        <v>0</v>
      </c>
      <c r="K2099" s="2276"/>
      <c r="L2099" s="1604"/>
      <c r="M2099" s="1604"/>
      <c r="N2099" s="1604"/>
      <c r="O2099" s="1604"/>
      <c r="P2099" s="1604"/>
      <c r="Q2099" s="1604"/>
      <c r="R2099" s="1604"/>
      <c r="S2099" s="364"/>
      <c r="Z2099" s="609" t="s">
        <v>849</v>
      </c>
      <c r="AA2099" s="609" t="s">
        <v>3401</v>
      </c>
    </row>
    <row r="2100" spans="1:29" ht="18">
      <c r="A2100" s="2714"/>
      <c r="B2100" s="371">
        <v>106</v>
      </c>
      <c r="C2100" s="371" t="s">
        <v>2791</v>
      </c>
      <c r="D2100" s="2716">
        <f t="shared" si="212"/>
        <v>1</v>
      </c>
      <c r="E2100" s="2721">
        <v>0</v>
      </c>
      <c r="F2100" s="293"/>
      <c r="G2100" s="2692" t="s">
        <v>2831</v>
      </c>
      <c r="H2100" s="2298"/>
      <c r="I2100" s="2298"/>
      <c r="J2100" s="2275"/>
      <c r="K2100" s="2276"/>
      <c r="L2100" s="1604"/>
      <c r="M2100" s="1604"/>
      <c r="N2100" s="1604"/>
      <c r="O2100" s="1604"/>
      <c r="P2100" s="1604"/>
      <c r="Q2100" s="1604"/>
      <c r="R2100" s="1604"/>
      <c r="S2100" s="364"/>
      <c r="Z2100" s="609" t="s">
        <v>849</v>
      </c>
      <c r="AA2100" s="609" t="s">
        <v>3401</v>
      </c>
    </row>
    <row r="2101" spans="1:29" ht="18">
      <c r="A2101" s="2714"/>
      <c r="B2101" s="371">
        <v>107</v>
      </c>
      <c r="C2101" s="371" t="s">
        <v>2791</v>
      </c>
      <c r="D2101" s="2716">
        <f t="shared" si="212"/>
        <v>0</v>
      </c>
      <c r="E2101" s="2721">
        <v>0</v>
      </c>
      <c r="F2101" s="293"/>
      <c r="G2101" s="2692" t="s">
        <v>2792</v>
      </c>
      <c r="H2101" s="2298"/>
      <c r="I2101" s="2298"/>
      <c r="J2101" s="2275"/>
      <c r="K2101" s="2276"/>
      <c r="L2101" s="1604"/>
      <c r="M2101" s="1604"/>
      <c r="N2101" s="1604"/>
      <c r="O2101" s="1604"/>
      <c r="P2101" s="1604"/>
      <c r="Q2101" s="1604"/>
      <c r="R2101" s="1604"/>
      <c r="S2101" s="364"/>
      <c r="Z2101" s="609" t="s">
        <v>849</v>
      </c>
      <c r="AA2101" s="609" t="s">
        <v>3401</v>
      </c>
    </row>
    <row r="2102" spans="1:29" ht="18">
      <c r="A2102" s="2714"/>
      <c r="B2102" s="371">
        <v>108</v>
      </c>
      <c r="C2102" s="371" t="s">
        <v>2791</v>
      </c>
      <c r="D2102" s="2716">
        <f t="shared" si="212"/>
        <v>0</v>
      </c>
      <c r="E2102" s="2721">
        <v>0</v>
      </c>
      <c r="F2102" s="293"/>
      <c r="G2102" s="2692" t="s">
        <v>2792</v>
      </c>
      <c r="H2102" s="2298"/>
      <c r="I2102" s="2298"/>
      <c r="J2102" s="2275"/>
      <c r="K2102" s="2276"/>
      <c r="L2102" s="1604"/>
      <c r="M2102" s="1604"/>
      <c r="N2102" s="1604"/>
      <c r="O2102" s="1604"/>
      <c r="P2102" s="1604"/>
      <c r="Q2102" s="1604"/>
      <c r="R2102" s="1604"/>
      <c r="S2102" s="364"/>
      <c r="Z2102" s="609" t="s">
        <v>849</v>
      </c>
      <c r="AA2102" s="609" t="s">
        <v>3401</v>
      </c>
    </row>
    <row r="2103" spans="1:29" ht="18.75" thickBot="1">
      <c r="A2103" s="2714"/>
      <c r="B2103" s="371"/>
      <c r="C2103" s="371"/>
      <c r="D2103" s="2716">
        <f t="shared" si="212"/>
        <v>1</v>
      </c>
      <c r="E2103" s="2721" t="s">
        <v>2751</v>
      </c>
      <c r="F2103" s="293"/>
      <c r="G2103" s="2234" t="s">
        <v>2752</v>
      </c>
      <c r="H2103" s="2241"/>
      <c r="I2103" s="2241"/>
      <c r="J2103" s="2235">
        <f>SUMPRODUCT($E2094:$E2102,J2094:J2102)</f>
        <v>0</v>
      </c>
      <c r="K2103" s="2244"/>
      <c r="L2103" s="2676" t="str">
        <f ca="1">HYPERLINK("#'"&amp;$G$1&amp;"'!"&amp;ADDRESS(ROW(Notes!L2067),COLUMN(Notes!L2067),4),"* 请勿删除此行！点击往勾稽单元格，F5+Enter返回")</f>
        <v>* 请勿删除此行！点击往勾稽单元格，F5+Enter返回</v>
      </c>
      <c r="M2103" s="1604"/>
      <c r="N2103" s="1604"/>
      <c r="O2103" s="1604"/>
      <c r="P2103" s="1604"/>
      <c r="Q2103" s="1604"/>
      <c r="R2103" s="1604"/>
      <c r="S2103" s="364"/>
      <c r="Z2103" s="609" t="s">
        <v>849</v>
      </c>
      <c r="AA2103" s="609" t="s">
        <v>3401</v>
      </c>
      <c r="AC2103" s="369" t="s">
        <v>6573</v>
      </c>
    </row>
    <row r="2104" spans="1:29" ht="18">
      <c r="A2104" s="2714"/>
      <c r="B2104" s="371"/>
      <c r="C2104" s="371" t="s">
        <v>2755</v>
      </c>
      <c r="D2104" s="2716"/>
      <c r="F2104" s="293"/>
      <c r="G2104" s="376"/>
      <c r="H2104" s="393"/>
      <c r="I2104" s="432"/>
      <c r="J2104" s="315"/>
      <c r="K2104" s="392"/>
      <c r="L2104" s="1604"/>
      <c r="M2104" s="1604"/>
      <c r="N2104" s="1604"/>
      <c r="O2104" s="1604"/>
      <c r="P2104" s="1604"/>
      <c r="Q2104" s="1604"/>
      <c r="R2104" s="1604"/>
      <c r="S2104" s="364"/>
      <c r="Z2104" s="609" t="s">
        <v>849</v>
      </c>
      <c r="AA2104" s="609" t="s">
        <v>3401</v>
      </c>
    </row>
    <row r="2105" spans="1:29" ht="24">
      <c r="A2105" s="2714" t="s">
        <v>894</v>
      </c>
      <c r="B2105" s="371">
        <v>3.3</v>
      </c>
      <c r="C2105" s="371"/>
      <c r="D2105" s="2716" t="str">
        <f>VLOOKUP($A2105,Sheet_NoteList,2,0)</f>
        <v>期末处于第三阶段的其他债权投资的减值准备</v>
      </c>
      <c r="E2105" s="2716" t="s">
        <v>2742</v>
      </c>
      <c r="F2105" s="293"/>
      <c r="G2105" s="372" t="str">
        <f>"("&amp;B2105&amp;")"&amp;D2105</f>
        <v>(3.3)期末处于第三阶段的其他债权投资的减值准备</v>
      </c>
      <c r="H2105" s="1517" t="str">
        <f>$A2105</f>
        <v>1508f</v>
      </c>
      <c r="I2105" s="343" t="s">
        <v>2743</v>
      </c>
      <c r="J2105" s="301" t="s">
        <v>2744</v>
      </c>
      <c r="K2105" s="2210">
        <f>J2116</f>
        <v>0</v>
      </c>
      <c r="L2105" s="349"/>
      <c r="M2105" s="301"/>
      <c r="N2105" s="391"/>
      <c r="O2105" s="349"/>
      <c r="P2105" s="301"/>
      <c r="S2105" s="364"/>
      <c r="Z2105" s="609" t="s">
        <v>849</v>
      </c>
      <c r="AA2105" s="609" t="s">
        <v>3401</v>
      </c>
    </row>
    <row r="2106" spans="1:29" ht="0.75" customHeight="1" thickBot="1">
      <c r="A2106" s="2714"/>
      <c r="B2106" s="371"/>
      <c r="C2106" s="371"/>
      <c r="D2106" s="2716"/>
      <c r="E2106" s="586"/>
      <c r="F2106" s="586"/>
      <c r="G2106" s="2224" t="s">
        <v>3427</v>
      </c>
      <c r="H2106" s="371" t="s">
        <v>6528</v>
      </c>
      <c r="I2106" s="371" t="s">
        <v>2947</v>
      </c>
      <c r="J2106" s="371" t="s">
        <v>2948</v>
      </c>
      <c r="K2106" s="547" t="s">
        <v>6529</v>
      </c>
      <c r="L2106" s="1604"/>
      <c r="M2106" s="1604"/>
      <c r="N2106" s="1604"/>
      <c r="O2106" s="1604"/>
      <c r="P2106" s="1604"/>
      <c r="Q2106" s="1604"/>
      <c r="R2106" s="1604"/>
      <c r="S2106" s="364"/>
      <c r="Z2106" s="609" t="s">
        <v>849</v>
      </c>
      <c r="AA2106" s="609" t="s">
        <v>3401</v>
      </c>
    </row>
    <row r="2107" spans="1:29" ht="36">
      <c r="A2107" s="2714"/>
      <c r="B2107" s="371"/>
      <c r="C2107" s="371"/>
      <c r="D2107" s="2716"/>
      <c r="E2107" s="586" t="s">
        <v>2749</v>
      </c>
      <c r="F2107" s="414"/>
      <c r="G2107" s="2686" t="s">
        <v>6412</v>
      </c>
      <c r="H2107" s="2310" t="s">
        <v>6413</v>
      </c>
      <c r="I2107" s="2687" t="s">
        <v>3148</v>
      </c>
      <c r="J2107" s="2687" t="s">
        <v>3097</v>
      </c>
      <c r="K2107" s="2689" t="s">
        <v>6414</v>
      </c>
      <c r="L2107" s="355" t="s">
        <v>5280</v>
      </c>
      <c r="M2107" s="1604"/>
      <c r="N2107" s="1604"/>
      <c r="O2107" s="1604"/>
      <c r="P2107" s="1604"/>
      <c r="Q2107" s="1604"/>
      <c r="R2107" s="1604"/>
      <c r="S2107" s="364"/>
      <c r="Z2107" s="609" t="s">
        <v>849</v>
      </c>
      <c r="AA2107" s="609" t="s">
        <v>3401</v>
      </c>
    </row>
    <row r="2108" spans="1:29" ht="18">
      <c r="A2108" s="2714"/>
      <c r="B2108" s="371">
        <v>101</v>
      </c>
      <c r="C2108" s="371"/>
      <c r="D2108" s="2716">
        <f t="shared" ref="D2108:D2116" si="213">IF(OR(G2108="*",G2108="",G2108=0),0,COUNTIF($G$2108:$G$2116,G2108))</f>
        <v>1</v>
      </c>
      <c r="E2108" s="2721">
        <v>1</v>
      </c>
      <c r="F2108" s="293"/>
      <c r="G2108" s="1474" t="s">
        <v>3093</v>
      </c>
      <c r="H2108" s="2298"/>
      <c r="I2108" s="2298"/>
      <c r="J2108" s="1476">
        <f>SUM(J2109:J2111)</f>
        <v>0</v>
      </c>
      <c r="K2108" s="2276"/>
      <c r="L2108" s="1604"/>
      <c r="M2108" s="1604"/>
      <c r="N2108" s="1604"/>
      <c r="O2108" s="1604"/>
      <c r="P2108" s="1604"/>
      <c r="Q2108" s="1604"/>
      <c r="R2108" s="1604"/>
      <c r="S2108" s="364"/>
      <c r="Z2108" s="609" t="s">
        <v>849</v>
      </c>
      <c r="AA2108" s="609" t="s">
        <v>3401</v>
      </c>
    </row>
    <row r="2109" spans="1:29" ht="18">
      <c r="A2109" s="2714"/>
      <c r="B2109" s="371">
        <v>102</v>
      </c>
      <c r="C2109" s="371" t="s">
        <v>2791</v>
      </c>
      <c r="D2109" s="2716">
        <f t="shared" si="213"/>
        <v>1</v>
      </c>
      <c r="E2109" s="2721">
        <v>0</v>
      </c>
      <c r="F2109" s="293"/>
      <c r="G2109" s="2692" t="s">
        <v>2829</v>
      </c>
      <c r="H2109" s="2298"/>
      <c r="I2109" s="2298"/>
      <c r="J2109" s="2275"/>
      <c r="K2109" s="2276"/>
      <c r="L2109" s="1604"/>
      <c r="M2109" s="1604"/>
      <c r="N2109" s="1604"/>
      <c r="O2109" s="1604"/>
      <c r="P2109" s="1604"/>
      <c r="Q2109" s="1604"/>
      <c r="R2109" s="1604"/>
      <c r="S2109" s="364"/>
      <c r="Z2109" s="609" t="s">
        <v>849</v>
      </c>
      <c r="AA2109" s="609" t="s">
        <v>3401</v>
      </c>
    </row>
    <row r="2110" spans="1:29" ht="18">
      <c r="A2110" s="2714"/>
      <c r="B2110" s="371">
        <v>103</v>
      </c>
      <c r="C2110" s="371" t="s">
        <v>2791</v>
      </c>
      <c r="D2110" s="2716">
        <f t="shared" si="213"/>
        <v>0</v>
      </c>
      <c r="E2110" s="2721">
        <v>0</v>
      </c>
      <c r="F2110" s="293"/>
      <c r="G2110" s="2692" t="s">
        <v>2792</v>
      </c>
      <c r="H2110" s="2298"/>
      <c r="I2110" s="2298"/>
      <c r="J2110" s="2275"/>
      <c r="K2110" s="2276"/>
      <c r="L2110" s="1604"/>
      <c r="M2110" s="1604"/>
      <c r="N2110" s="1604"/>
      <c r="O2110" s="1604"/>
      <c r="P2110" s="1604"/>
      <c r="Q2110" s="1604"/>
      <c r="R2110" s="1604"/>
      <c r="S2110" s="364"/>
      <c r="Z2110" s="609" t="s">
        <v>849</v>
      </c>
      <c r="AA2110" s="609" t="s">
        <v>3401</v>
      </c>
    </row>
    <row r="2111" spans="1:29" ht="18">
      <c r="A2111" s="2714"/>
      <c r="B2111" s="371">
        <v>104</v>
      </c>
      <c r="C2111" s="371" t="s">
        <v>2791</v>
      </c>
      <c r="D2111" s="2716">
        <f t="shared" si="213"/>
        <v>0</v>
      </c>
      <c r="E2111" s="2721">
        <v>0</v>
      </c>
      <c r="F2111" s="293"/>
      <c r="G2111" s="2692" t="s">
        <v>2792</v>
      </c>
      <c r="H2111" s="2298"/>
      <c r="I2111" s="2298"/>
      <c r="J2111" s="2275"/>
      <c r="K2111" s="2276"/>
      <c r="L2111" s="1604"/>
      <c r="M2111" s="1604"/>
      <c r="N2111" s="1604"/>
      <c r="O2111" s="1604"/>
      <c r="P2111" s="1604"/>
      <c r="Q2111" s="1604"/>
      <c r="R2111" s="1604"/>
      <c r="S2111" s="364"/>
      <c r="Z2111" s="609" t="s">
        <v>849</v>
      </c>
      <c r="AA2111" s="609" t="s">
        <v>3401</v>
      </c>
    </row>
    <row r="2112" spans="1:29" ht="18">
      <c r="A2112" s="2714"/>
      <c r="B2112" s="371">
        <v>105</v>
      </c>
      <c r="C2112" s="371"/>
      <c r="D2112" s="2716">
        <f t="shared" si="213"/>
        <v>1</v>
      </c>
      <c r="E2112" s="2721">
        <v>1</v>
      </c>
      <c r="F2112" s="293"/>
      <c r="G2112" s="1474" t="s">
        <v>3094</v>
      </c>
      <c r="H2112" s="2298"/>
      <c r="I2112" s="2298"/>
      <c r="J2112" s="1476">
        <f>SUM(J2113:J2115)</f>
        <v>0</v>
      </c>
      <c r="K2112" s="2276"/>
      <c r="L2112" s="1604"/>
      <c r="M2112" s="1604"/>
      <c r="N2112" s="1604"/>
      <c r="O2112" s="1604"/>
      <c r="P2112" s="1604"/>
      <c r="Q2112" s="1604"/>
      <c r="R2112" s="1604"/>
      <c r="S2112" s="364"/>
      <c r="Z2112" s="609" t="s">
        <v>849</v>
      </c>
      <c r="AA2112" s="609" t="s">
        <v>3401</v>
      </c>
    </row>
    <row r="2113" spans="1:29" ht="18">
      <c r="A2113" s="2714"/>
      <c r="B2113" s="371">
        <v>106</v>
      </c>
      <c r="C2113" s="371" t="s">
        <v>2791</v>
      </c>
      <c r="D2113" s="2716">
        <f t="shared" si="213"/>
        <v>1</v>
      </c>
      <c r="E2113" s="2721">
        <v>0</v>
      </c>
      <c r="F2113" s="293"/>
      <c r="G2113" s="2692" t="s">
        <v>2831</v>
      </c>
      <c r="H2113" s="2298"/>
      <c r="I2113" s="2298"/>
      <c r="J2113" s="2275"/>
      <c r="K2113" s="2276"/>
      <c r="L2113" s="1604"/>
      <c r="M2113" s="1604"/>
      <c r="N2113" s="1604"/>
      <c r="O2113" s="1604"/>
      <c r="P2113" s="1604"/>
      <c r="Q2113" s="1604"/>
      <c r="R2113" s="1604"/>
      <c r="S2113" s="364"/>
      <c r="Z2113" s="609" t="s">
        <v>849</v>
      </c>
      <c r="AA2113" s="609" t="s">
        <v>3401</v>
      </c>
    </row>
    <row r="2114" spans="1:29" ht="18">
      <c r="A2114" s="2714"/>
      <c r="B2114" s="371">
        <v>107</v>
      </c>
      <c r="C2114" s="371" t="s">
        <v>2791</v>
      </c>
      <c r="D2114" s="2716">
        <f t="shared" si="213"/>
        <v>0</v>
      </c>
      <c r="E2114" s="2721">
        <v>0</v>
      </c>
      <c r="F2114" s="293"/>
      <c r="G2114" s="2692" t="s">
        <v>2792</v>
      </c>
      <c r="H2114" s="2298"/>
      <c r="I2114" s="2298"/>
      <c r="J2114" s="2275"/>
      <c r="K2114" s="2276"/>
      <c r="L2114" s="1604"/>
      <c r="M2114" s="1604"/>
      <c r="N2114" s="1604"/>
      <c r="O2114" s="1604"/>
      <c r="P2114" s="1604"/>
      <c r="Q2114" s="1604"/>
      <c r="R2114" s="1604"/>
      <c r="S2114" s="364"/>
      <c r="Z2114" s="609" t="s">
        <v>849</v>
      </c>
      <c r="AA2114" s="609" t="s">
        <v>3401</v>
      </c>
    </row>
    <row r="2115" spans="1:29" ht="18">
      <c r="A2115" s="2714"/>
      <c r="B2115" s="371">
        <v>108</v>
      </c>
      <c r="C2115" s="371" t="s">
        <v>2791</v>
      </c>
      <c r="D2115" s="2716">
        <f t="shared" si="213"/>
        <v>0</v>
      </c>
      <c r="E2115" s="2721">
        <v>0</v>
      </c>
      <c r="F2115" s="293"/>
      <c r="G2115" s="2692" t="s">
        <v>2792</v>
      </c>
      <c r="H2115" s="2298"/>
      <c r="I2115" s="2298"/>
      <c r="J2115" s="2275"/>
      <c r="K2115" s="2276"/>
      <c r="L2115" s="1604"/>
      <c r="M2115" s="1604"/>
      <c r="N2115" s="1604"/>
      <c r="O2115" s="1604"/>
      <c r="P2115" s="1604"/>
      <c r="Q2115" s="1604"/>
      <c r="R2115" s="1604"/>
      <c r="S2115" s="364"/>
      <c r="Z2115" s="609" t="s">
        <v>849</v>
      </c>
      <c r="AA2115" s="609" t="s">
        <v>3401</v>
      </c>
    </row>
    <row r="2116" spans="1:29" ht="18.75" thickBot="1">
      <c r="A2116" s="2714"/>
      <c r="B2116" s="371"/>
      <c r="C2116" s="371"/>
      <c r="D2116" s="2716">
        <f t="shared" si="213"/>
        <v>1</v>
      </c>
      <c r="E2116" s="2721" t="s">
        <v>2751</v>
      </c>
      <c r="F2116" s="293"/>
      <c r="G2116" s="2234" t="s">
        <v>2752</v>
      </c>
      <c r="H2116" s="2241"/>
      <c r="I2116" s="2241"/>
      <c r="J2116" s="2235">
        <f>SUMPRODUCT($E2107:$E2115,J2107:J2115)</f>
        <v>0</v>
      </c>
      <c r="K2116" s="2244"/>
      <c r="L2116" s="2676" t="str">
        <f ca="1">HYPERLINK("#'"&amp;$G$1&amp;"'!"&amp;ADDRESS(ROW(Notes!L2068),COLUMN(Notes!L2068),4),"* 请勿删除此行！点击往勾稽单元格，F5+Enter返回")</f>
        <v>* 请勿删除此行！点击往勾稽单元格，F5+Enter返回</v>
      </c>
      <c r="M2116" s="1604"/>
      <c r="N2116" s="1604"/>
      <c r="O2116" s="1604"/>
      <c r="P2116" s="1604"/>
      <c r="Q2116" s="1604"/>
      <c r="R2116" s="1604"/>
      <c r="S2116" s="364"/>
      <c r="Z2116" s="609" t="s">
        <v>849</v>
      </c>
      <c r="AA2116" s="609" t="s">
        <v>3401</v>
      </c>
      <c r="AC2116" s="369" t="s">
        <v>6573</v>
      </c>
    </row>
    <row r="2117" spans="1:29" ht="18">
      <c r="A2117" s="2714"/>
      <c r="B2117" s="371"/>
      <c r="C2117" s="371" t="s">
        <v>2755</v>
      </c>
      <c r="D2117" s="2716"/>
      <c r="F2117" s="293"/>
      <c r="G2117" s="376"/>
      <c r="H2117" s="393"/>
      <c r="I2117" s="432"/>
      <c r="J2117" s="315"/>
      <c r="K2117" s="392"/>
      <c r="L2117" s="1604"/>
      <c r="M2117" s="1604"/>
      <c r="N2117" s="1604"/>
      <c r="O2117" s="1604"/>
      <c r="P2117" s="1604"/>
      <c r="Q2117" s="1604"/>
      <c r="R2117" s="1604"/>
      <c r="S2117" s="364"/>
      <c r="Z2117" s="609" t="s">
        <v>849</v>
      </c>
      <c r="AA2117" s="609" t="s">
        <v>3401</v>
      </c>
    </row>
    <row r="2118" spans="1:29" ht="24">
      <c r="A2118" s="2714" t="s">
        <v>898</v>
      </c>
      <c r="B2118" s="371">
        <v>4</v>
      </c>
      <c r="C2118" s="371"/>
      <c r="D2118" s="2716" t="str">
        <f>VLOOKUP($A2118,Sheet_NoteList,2,0)</f>
        <v>其他债权投资减值准备的变动情况</v>
      </c>
      <c r="E2118" s="2716" t="s">
        <v>2742</v>
      </c>
      <c r="F2118" s="293"/>
      <c r="G2118" s="372" t="str">
        <f>"("&amp;B2118&amp;")"&amp;D2118</f>
        <v>(4)其他债权投资减值准备的变动情况</v>
      </c>
      <c r="H2118" s="1517" t="str">
        <f>$A2118</f>
        <v>1508k</v>
      </c>
      <c r="I2118" s="343" t="s">
        <v>2743</v>
      </c>
      <c r="J2118" s="301" t="s">
        <v>2744</v>
      </c>
      <c r="K2118" s="2210">
        <f>N2128</f>
        <v>0</v>
      </c>
      <c r="L2118" s="349"/>
      <c r="M2118" s="301"/>
      <c r="N2118" s="391"/>
      <c r="O2118" s="349"/>
      <c r="P2118" s="301"/>
      <c r="S2118" s="364"/>
      <c r="Z2118" s="609" t="s">
        <v>849</v>
      </c>
      <c r="AA2118" s="609" t="s">
        <v>3401</v>
      </c>
    </row>
    <row r="2119" spans="1:29" ht="0.75" customHeight="1">
      <c r="A2119" s="2714"/>
      <c r="B2119" s="371"/>
      <c r="C2119" s="371"/>
      <c r="D2119" s="2716"/>
      <c r="E2119" s="586"/>
      <c r="F2119" s="586"/>
      <c r="G2119" s="2224" t="s">
        <v>3428</v>
      </c>
      <c r="H2119" s="371" t="s">
        <v>2747</v>
      </c>
      <c r="I2119" s="371" t="s">
        <v>2748</v>
      </c>
      <c r="J2119" s="371" t="s">
        <v>2948</v>
      </c>
      <c r="K2119" s="547" t="s">
        <v>3165</v>
      </c>
      <c r="L2119" s="547" t="s">
        <v>3166</v>
      </c>
      <c r="M2119" s="371" t="s">
        <v>3167</v>
      </c>
      <c r="N2119" s="547" t="s">
        <v>3037</v>
      </c>
      <c r="O2119" s="428"/>
      <c r="P2119" s="433"/>
      <c r="Q2119" s="442"/>
      <c r="R2119" s="443"/>
      <c r="S2119" s="364"/>
      <c r="Z2119" s="609" t="s">
        <v>849</v>
      </c>
      <c r="AA2119" s="609" t="s">
        <v>3401</v>
      </c>
    </row>
    <row r="2120" spans="1:29" ht="0.75" customHeight="1" thickBot="1">
      <c r="A2120" s="2714"/>
      <c r="B2120" s="371"/>
      <c r="C2120" s="371"/>
      <c r="D2120" s="2716"/>
      <c r="E2120" s="586"/>
      <c r="F2120" s="586"/>
      <c r="G2120" s="2224"/>
      <c r="H2120" s="371" t="s">
        <v>2911</v>
      </c>
      <c r="I2120" s="371" t="s">
        <v>2912</v>
      </c>
      <c r="J2120" s="371" t="s">
        <v>3038</v>
      </c>
      <c r="K2120" s="547" t="s">
        <v>2914</v>
      </c>
      <c r="L2120" s="547" t="s">
        <v>2915</v>
      </c>
      <c r="M2120" s="371" t="s">
        <v>2916</v>
      </c>
      <c r="N2120" s="547" t="s">
        <v>2917</v>
      </c>
      <c r="O2120" s="428"/>
      <c r="P2120" s="433"/>
      <c r="Q2120" s="442"/>
      <c r="R2120" s="443"/>
      <c r="S2120" s="364"/>
      <c r="Z2120" s="609" t="s">
        <v>849</v>
      </c>
      <c r="AA2120" s="609" t="s">
        <v>3401</v>
      </c>
    </row>
    <row r="2121" spans="1:29" ht="18" customHeight="1">
      <c r="A2121" s="2714"/>
      <c r="B2121" s="371"/>
      <c r="C2121" s="371"/>
      <c r="D2121" s="2716"/>
      <c r="E2121" s="586" t="s">
        <v>2749</v>
      </c>
      <c r="F2121" s="414"/>
      <c r="G2121" s="3472" t="s">
        <v>5117</v>
      </c>
      <c r="H2121" s="3413" t="str">
        <f>$V$3</f>
        <v>2018年12月31日</v>
      </c>
      <c r="I2121" s="3415" t="s">
        <v>5209</v>
      </c>
      <c r="J2121" s="3413" t="str">
        <f>$X$3</f>
        <v>2019年1月1日</v>
      </c>
      <c r="K2121" s="3417" t="s">
        <v>2919</v>
      </c>
      <c r="L2121" s="3417"/>
      <c r="M2121" s="3417"/>
      <c r="N2121" s="3396" t="str">
        <f>$V$2</f>
        <v>2019年12月31日</v>
      </c>
      <c r="O2121" s="428"/>
      <c r="P2121" s="433"/>
      <c r="Q2121" s="442"/>
      <c r="R2121" s="443"/>
      <c r="S2121" s="364"/>
      <c r="Z2121" s="609" t="s">
        <v>849</v>
      </c>
      <c r="AA2121" s="609" t="s">
        <v>3401</v>
      </c>
    </row>
    <row r="2122" spans="1:29" ht="18">
      <c r="A2122" s="2714"/>
      <c r="B2122" s="371"/>
      <c r="C2122" s="371"/>
      <c r="D2122" s="2716"/>
      <c r="E2122" s="586" t="s">
        <v>2749</v>
      </c>
      <c r="F2122" s="414"/>
      <c r="G2122" s="3473"/>
      <c r="H2122" s="3414"/>
      <c r="I2122" s="3416"/>
      <c r="J2122" s="3414"/>
      <c r="K2122" s="2239" t="s">
        <v>5210</v>
      </c>
      <c r="L2122" s="2239" t="s">
        <v>5211</v>
      </c>
      <c r="M2122" s="2294" t="s">
        <v>5212</v>
      </c>
      <c r="N2122" s="3397"/>
      <c r="O2122" s="434"/>
      <c r="P2122" s="435"/>
      <c r="Q2122" s="442"/>
      <c r="R2122" s="443"/>
      <c r="S2122" s="364"/>
      <c r="Z2122" s="609" t="s">
        <v>849</v>
      </c>
      <c r="AA2122" s="609" t="s">
        <v>3401</v>
      </c>
    </row>
    <row r="2123" spans="1:29" ht="18">
      <c r="A2123" s="2714"/>
      <c r="B2123" s="371">
        <v>101</v>
      </c>
      <c r="C2123" s="371" t="s">
        <v>2791</v>
      </c>
      <c r="D2123" s="2716">
        <f t="shared" ref="D2123:D2128" si="214">IF(OR(G2123="*",G2123="",G2123=0),0,COUNTIF($G$2123:$G$2128,G2123))</f>
        <v>0</v>
      </c>
      <c r="E2123" s="2721">
        <v>1</v>
      </c>
      <c r="F2123" s="293"/>
      <c r="G2123" s="2284" t="s">
        <v>5146</v>
      </c>
      <c r="H2123" s="2275"/>
      <c r="I2123" s="2275"/>
      <c r="J2123" s="1476">
        <f>SUM(H2123:I2123)</f>
        <v>0</v>
      </c>
      <c r="K2123" s="2275"/>
      <c r="L2123" s="2275"/>
      <c r="M2123" s="2275"/>
      <c r="N2123" s="1477">
        <f>SUM(J2123:K2123,-L2123,-M2123)</f>
        <v>0</v>
      </c>
      <c r="O2123" s="437"/>
      <c r="P2123" s="438"/>
      <c r="Q2123" s="442"/>
      <c r="R2123" s="443"/>
      <c r="S2123" s="364"/>
      <c r="Z2123" s="609" t="s">
        <v>849</v>
      </c>
      <c r="AA2123" s="609" t="s">
        <v>3401</v>
      </c>
    </row>
    <row r="2124" spans="1:29" ht="18">
      <c r="A2124" s="2714"/>
      <c r="B2124" s="371">
        <v>102</v>
      </c>
      <c r="C2124" s="371" t="s">
        <v>2791</v>
      </c>
      <c r="D2124" s="2716">
        <f t="shared" si="214"/>
        <v>0</v>
      </c>
      <c r="E2124" s="2721">
        <v>1</v>
      </c>
      <c r="F2124" s="293"/>
      <c r="G2124" s="2284" t="s">
        <v>5146</v>
      </c>
      <c r="H2124" s="2275"/>
      <c r="I2124" s="2275"/>
      <c r="J2124" s="1476">
        <f t="shared" ref="J2124:J2127" si="215">SUM(H2124:I2124)</f>
        <v>0</v>
      </c>
      <c r="K2124" s="2275"/>
      <c r="L2124" s="2275"/>
      <c r="M2124" s="2275"/>
      <c r="N2124" s="1477">
        <f t="shared" ref="N2124:N2127" si="216">SUM(J2124:K2124,-L2124,-M2124)</f>
        <v>0</v>
      </c>
      <c r="O2124" s="437"/>
      <c r="P2124" s="438"/>
      <c r="Q2124" s="442"/>
      <c r="R2124" s="443"/>
      <c r="S2124" s="364"/>
      <c r="Z2124" s="609" t="s">
        <v>849</v>
      </c>
      <c r="AA2124" s="609" t="s">
        <v>3401</v>
      </c>
    </row>
    <row r="2125" spans="1:29" ht="18">
      <c r="A2125" s="2714"/>
      <c r="B2125" s="371">
        <v>103</v>
      </c>
      <c r="C2125" s="371" t="s">
        <v>2791</v>
      </c>
      <c r="D2125" s="2716">
        <f t="shared" si="214"/>
        <v>0</v>
      </c>
      <c r="E2125" s="2721">
        <v>1</v>
      </c>
      <c r="F2125" s="293"/>
      <c r="G2125" s="2284" t="s">
        <v>5146</v>
      </c>
      <c r="H2125" s="2275"/>
      <c r="I2125" s="2275"/>
      <c r="J2125" s="1476">
        <f t="shared" si="215"/>
        <v>0</v>
      </c>
      <c r="K2125" s="2275"/>
      <c r="L2125" s="2275"/>
      <c r="M2125" s="2275"/>
      <c r="N2125" s="1477">
        <f t="shared" si="216"/>
        <v>0</v>
      </c>
      <c r="O2125" s="437"/>
      <c r="P2125" s="438"/>
      <c r="Q2125" s="442"/>
      <c r="R2125" s="443"/>
      <c r="S2125" s="364"/>
      <c r="Z2125" s="609" t="s">
        <v>849</v>
      </c>
      <c r="AA2125" s="609" t="s">
        <v>3401</v>
      </c>
    </row>
    <row r="2126" spans="1:29" ht="18">
      <c r="A2126" s="2714"/>
      <c r="B2126" s="371">
        <v>104</v>
      </c>
      <c r="C2126" s="371" t="s">
        <v>2791</v>
      </c>
      <c r="D2126" s="2716">
        <f t="shared" si="214"/>
        <v>0</v>
      </c>
      <c r="E2126" s="2721">
        <v>1</v>
      </c>
      <c r="F2126" s="293"/>
      <c r="G2126" s="2284" t="s">
        <v>5146</v>
      </c>
      <c r="H2126" s="2275"/>
      <c r="I2126" s="2341"/>
      <c r="J2126" s="1476">
        <f t="shared" si="215"/>
        <v>0</v>
      </c>
      <c r="K2126" s="2275"/>
      <c r="L2126" s="2275"/>
      <c r="M2126" s="2275"/>
      <c r="N2126" s="1477">
        <f t="shared" si="216"/>
        <v>0</v>
      </c>
      <c r="O2126" s="437"/>
      <c r="P2126" s="438"/>
      <c r="Q2126" s="442"/>
      <c r="R2126" s="443"/>
      <c r="S2126" s="364"/>
      <c r="Z2126" s="609" t="s">
        <v>849</v>
      </c>
      <c r="AA2126" s="609" t="s">
        <v>3401</v>
      </c>
      <c r="AC2126" s="369" t="s">
        <v>2794</v>
      </c>
    </row>
    <row r="2127" spans="1:29" ht="18">
      <c r="A2127" s="2714"/>
      <c r="B2127" s="371">
        <v>105</v>
      </c>
      <c r="C2127" s="371" t="s">
        <v>2791</v>
      </c>
      <c r="D2127" s="2716">
        <f t="shared" si="214"/>
        <v>0</v>
      </c>
      <c r="E2127" s="2721">
        <v>1</v>
      </c>
      <c r="F2127" s="293"/>
      <c r="G2127" s="2284" t="s">
        <v>5146</v>
      </c>
      <c r="H2127" s="2275"/>
      <c r="I2127" s="2275"/>
      <c r="J2127" s="1476">
        <f t="shared" si="215"/>
        <v>0</v>
      </c>
      <c r="K2127" s="2275"/>
      <c r="L2127" s="2275"/>
      <c r="M2127" s="2275"/>
      <c r="N2127" s="1477">
        <f t="shared" si="216"/>
        <v>0</v>
      </c>
      <c r="O2127" s="437"/>
      <c r="P2127" s="438"/>
      <c r="Q2127" s="442"/>
      <c r="R2127" s="443"/>
      <c r="S2127" s="364"/>
      <c r="Z2127" s="609" t="s">
        <v>849</v>
      </c>
      <c r="AA2127" s="609" t="s">
        <v>3401</v>
      </c>
    </row>
    <row r="2128" spans="1:29" ht="18.75" thickBot="1">
      <c r="A2128" s="2714"/>
      <c r="B2128" s="371"/>
      <c r="C2128" s="371"/>
      <c r="D2128" s="2716">
        <f t="shared" si="214"/>
        <v>1</v>
      </c>
      <c r="E2128" s="2721" t="s">
        <v>2751</v>
      </c>
      <c r="F2128" s="293"/>
      <c r="G2128" s="2234" t="s">
        <v>2752</v>
      </c>
      <c r="H2128" s="2235">
        <f t="shared" ref="H2128:N2128" si="217">SUMPRODUCT($E2122:$E2127,H2122:H2127)</f>
        <v>0</v>
      </c>
      <c r="I2128" s="2235">
        <f t="shared" si="217"/>
        <v>0</v>
      </c>
      <c r="J2128" s="2235">
        <f t="shared" si="217"/>
        <v>0</v>
      </c>
      <c r="K2128" s="2235">
        <f t="shared" si="217"/>
        <v>0</v>
      </c>
      <c r="L2128" s="2235">
        <f t="shared" si="217"/>
        <v>0</v>
      </c>
      <c r="M2128" s="2235">
        <f t="shared" si="217"/>
        <v>0</v>
      </c>
      <c r="N2128" s="2236">
        <f t="shared" si="217"/>
        <v>0</v>
      </c>
      <c r="O2128" s="437"/>
      <c r="P2128" s="440"/>
      <c r="Q2128" s="442"/>
      <c r="R2128" s="443"/>
      <c r="S2128" s="364"/>
      <c r="Z2128" s="609" t="s">
        <v>849</v>
      </c>
      <c r="AA2128" s="609" t="s">
        <v>3401</v>
      </c>
    </row>
    <row r="2129" spans="1:27" ht="18.75" thickBot="1">
      <c r="A2129" s="2714"/>
      <c r="B2129" s="371"/>
      <c r="C2129" s="371" t="s">
        <v>2755</v>
      </c>
      <c r="D2129" s="2716"/>
      <c r="F2129" s="293"/>
      <c r="G2129" s="376"/>
      <c r="H2129" s="315"/>
      <c r="I2129" s="446"/>
      <c r="J2129" s="425"/>
      <c r="K2129" s="577"/>
      <c r="L2129" s="425"/>
      <c r="M2129" s="425"/>
      <c r="N2129" s="2654" t="s">
        <v>3002</v>
      </c>
      <c r="O2129" s="427"/>
      <c r="P2129" s="425"/>
      <c r="Q2129" s="442"/>
      <c r="R2129" s="443"/>
      <c r="S2129" s="364"/>
      <c r="Z2129" s="609" t="s">
        <v>849</v>
      </c>
      <c r="AA2129" s="609" t="s">
        <v>3401</v>
      </c>
    </row>
    <row r="2130" spans="1:27" ht="18.75" thickTop="1">
      <c r="A2130" s="2714"/>
      <c r="B2130" s="371"/>
      <c r="C2130" s="371" t="s">
        <v>2565</v>
      </c>
      <c r="D2130" s="2716"/>
      <c r="F2130" s="293"/>
      <c r="G2130" s="1549" t="s">
        <v>5367</v>
      </c>
      <c r="H2130" s="1550" t="str">
        <f>G2063</f>
        <v>(3)其他债权投资按减值计提方法分类披露（三阶段模型）</v>
      </c>
      <c r="I2130" s="1551"/>
      <c r="J2130" s="1551"/>
      <c r="K2130" s="1551"/>
      <c r="L2130" s="1551"/>
      <c r="M2130" s="1551"/>
      <c r="N2130" s="1552"/>
      <c r="O2130" s="1553" t="s">
        <v>5368</v>
      </c>
      <c r="P2130" s="425"/>
      <c r="Q2130" s="442"/>
      <c r="R2130" s="442"/>
      <c r="S2130" s="364"/>
      <c r="Z2130" s="609" t="s">
        <v>849</v>
      </c>
      <c r="AA2130" s="609" t="s">
        <v>3401</v>
      </c>
    </row>
    <row r="2131" spans="1:27" ht="18">
      <c r="A2131" s="2714"/>
      <c r="B2131" s="371"/>
      <c r="C2131" s="371" t="s">
        <v>2565</v>
      </c>
      <c r="D2131" s="2716"/>
      <c r="F2131" s="293"/>
      <c r="G2131" s="604" t="str">
        <f>"注释A:"&amp; G2070</f>
        <v>注释A:合       计</v>
      </c>
      <c r="H2131" s="351"/>
      <c r="I2131" s="1543"/>
      <c r="J2131" s="1543"/>
      <c r="K2131" s="1543"/>
      <c r="L2131" s="1543"/>
      <c r="M2131" s="1543"/>
      <c r="N2131" s="2655">
        <f ca="1">HYPERLINK("#'"&amp;$G$1&amp;"'!"&amp;ADDRESS(ROW(Notes!I2070),COLUMN(Notes!I2070),4),I2070)</f>
        <v>0</v>
      </c>
      <c r="O2131" s="2636" t="str">
        <f>H2063</f>
        <v>1508c</v>
      </c>
      <c r="P2131" s="425"/>
      <c r="Q2131" s="442"/>
      <c r="R2131" s="442"/>
      <c r="S2131" s="364"/>
      <c r="Z2131" s="609" t="s">
        <v>849</v>
      </c>
      <c r="AA2131" s="609" t="s">
        <v>3401</v>
      </c>
    </row>
    <row r="2132" spans="1:27" ht="18">
      <c r="A2132" s="2714"/>
      <c r="B2132" s="371"/>
      <c r="C2132" s="371" t="s">
        <v>2565</v>
      </c>
      <c r="D2132" s="2716"/>
      <c r="F2132" s="293"/>
      <c r="G2132" s="604" t="str">
        <f>"本注释B:"&amp; G2128</f>
        <v>本注释B:合       计</v>
      </c>
      <c r="H2132" s="351"/>
      <c r="I2132" s="1543"/>
      <c r="J2132" s="1543"/>
      <c r="K2132" s="1543"/>
      <c r="L2132" s="1543"/>
      <c r="M2132" s="1543"/>
      <c r="N2132" s="1544">
        <f>N2128</f>
        <v>0</v>
      </c>
      <c r="O2132" s="2639" t="s">
        <v>898</v>
      </c>
      <c r="P2132" s="425"/>
      <c r="Q2132" s="442"/>
      <c r="R2132" s="442"/>
      <c r="S2132" s="364"/>
      <c r="Z2132" s="609" t="s">
        <v>849</v>
      </c>
      <c r="AA2132" s="609" t="s">
        <v>3401</v>
      </c>
    </row>
    <row r="2133" spans="1:27" ht="18.75" thickBot="1">
      <c r="A2133" s="2714"/>
      <c r="B2133" s="371"/>
      <c r="C2133" s="371" t="s">
        <v>2565</v>
      </c>
      <c r="D2133" s="2716"/>
      <c r="F2133" s="293"/>
      <c r="G2133" s="1554" t="s">
        <v>2757</v>
      </c>
      <c r="H2133" s="1555"/>
      <c r="I2133" s="1556"/>
      <c r="J2133" s="1556"/>
      <c r="K2133" s="1556"/>
      <c r="L2133" s="1556"/>
      <c r="M2133" s="1556"/>
      <c r="N2133" s="1557">
        <f ca="1">IF(AND(N2131="",N2132=""),"",ROUND(N2131-N2132,2))</f>
        <v>0</v>
      </c>
      <c r="O2133" s="1556"/>
      <c r="P2133" s="425"/>
      <c r="Q2133" s="442"/>
      <c r="R2133" s="442"/>
      <c r="S2133" s="364"/>
      <c r="Z2133" s="609" t="s">
        <v>849</v>
      </c>
      <c r="AA2133" s="609" t="s">
        <v>3401</v>
      </c>
    </row>
    <row r="2134" spans="1:27" ht="18.75" thickTop="1">
      <c r="A2134" s="2714"/>
      <c r="B2134" s="371"/>
      <c r="C2134" s="371" t="s">
        <v>2565</v>
      </c>
      <c r="D2134" s="2716"/>
      <c r="F2134" s="293"/>
      <c r="G2134" s="1545"/>
      <c r="H2134" s="317"/>
      <c r="I2134" s="1547"/>
      <c r="J2134" s="1547"/>
      <c r="K2134" s="1547"/>
      <c r="L2134" s="1547"/>
      <c r="M2134" s="1547"/>
      <c r="N2134" s="1558" t="str">
        <f ca="1">IF(OR(N2133=0,N2133=""),"√","？")</f>
        <v>√</v>
      </c>
      <c r="O2134" s="1547"/>
      <c r="P2134" s="425"/>
      <c r="Q2134" s="442"/>
      <c r="R2134" s="442"/>
      <c r="S2134" s="364"/>
      <c r="Z2134" s="609" t="s">
        <v>849</v>
      </c>
      <c r="AA2134" s="609" t="s">
        <v>3401</v>
      </c>
    </row>
    <row r="2135" spans="1:27" ht="18">
      <c r="A2135" s="2714"/>
      <c r="B2135" s="371"/>
      <c r="C2135" s="371" t="s">
        <v>2565</v>
      </c>
      <c r="D2135" s="2716"/>
      <c r="F2135" s="293"/>
      <c r="G2135" s="1559" t="s">
        <v>2759</v>
      </c>
      <c r="H2135" s="317"/>
      <c r="I2135" s="1547"/>
      <c r="J2135" s="1547"/>
      <c r="K2135" s="2257">
        <f ca="1">SUMIF($H$2134:$O$2134,"&lt;&gt;√",$H$2133:$O$2133)</f>
        <v>0</v>
      </c>
      <c r="L2135" s="2254" t="str">
        <f ca="1">IF(OR(K2135=0,K2135=""),"√","？")</f>
        <v>√</v>
      </c>
      <c r="M2135" s="1547"/>
      <c r="N2135" s="1548"/>
      <c r="O2135" s="1547"/>
      <c r="P2135" s="425"/>
      <c r="Q2135" s="442"/>
      <c r="R2135" s="442"/>
      <c r="S2135" s="364"/>
      <c r="Z2135" s="609" t="s">
        <v>849</v>
      </c>
      <c r="AA2135" s="609" t="s">
        <v>3401</v>
      </c>
    </row>
    <row r="2136" spans="1:27" ht="18">
      <c r="A2136" s="2714"/>
      <c r="B2136" s="371"/>
      <c r="C2136" s="371" t="s">
        <v>2565</v>
      </c>
      <c r="D2136" s="2716"/>
      <c r="F2136" s="293"/>
      <c r="G2136" s="1545"/>
      <c r="H2136" s="317"/>
      <c r="I2136" s="1547"/>
      <c r="J2136" s="1547"/>
      <c r="K2136" s="1547"/>
      <c r="L2136" s="1547"/>
      <c r="M2136" s="1547"/>
      <c r="N2136" s="1548"/>
      <c r="O2136" s="1547"/>
      <c r="P2136" s="425"/>
      <c r="Q2136" s="442"/>
      <c r="R2136" s="442"/>
      <c r="S2136" s="364"/>
      <c r="Z2136" s="609" t="s">
        <v>849</v>
      </c>
      <c r="AA2136" s="609" t="s">
        <v>3401</v>
      </c>
    </row>
    <row r="2137" spans="1:27" ht="24">
      <c r="A2137" s="2714" t="s">
        <v>880</v>
      </c>
      <c r="B2137" s="371">
        <v>4</v>
      </c>
      <c r="C2137" s="371"/>
      <c r="D2137" s="2716" t="str">
        <f>VLOOKUP($A2137,Sheet_NoteList,2,0)</f>
        <v>其他债权投资减值准备的变动情况（备选格式）</v>
      </c>
      <c r="E2137" s="2716" t="s">
        <v>2742</v>
      </c>
      <c r="F2137" s="293"/>
      <c r="G2137" s="372" t="str">
        <f>"("&amp;B2137&amp;")"&amp;D2137</f>
        <v>(4)其他债权投资减值准备的变动情况（备选格式）</v>
      </c>
      <c r="H2137" s="1517" t="str">
        <f>$A2137</f>
        <v>1508g</v>
      </c>
      <c r="I2137" s="343" t="s">
        <v>2743</v>
      </c>
      <c r="J2137" s="301" t="s">
        <v>2744</v>
      </c>
      <c r="K2137" s="2210">
        <f>H2154</f>
        <v>0</v>
      </c>
      <c r="L2137" s="349"/>
      <c r="M2137" s="301"/>
      <c r="N2137" s="391"/>
      <c r="O2137" s="349"/>
      <c r="P2137" s="301"/>
      <c r="S2137" s="364"/>
      <c r="Z2137" s="609" t="s">
        <v>849</v>
      </c>
      <c r="AA2137" s="609" t="s">
        <v>3401</v>
      </c>
    </row>
    <row r="2138" spans="1:27" ht="0.75" customHeight="1">
      <c r="A2138" s="2714"/>
      <c r="B2138" s="371"/>
      <c r="C2138" s="371"/>
      <c r="D2138" s="2716"/>
      <c r="F2138" s="371"/>
      <c r="G2138" s="405" t="s">
        <v>3424</v>
      </c>
      <c r="H2138" s="371" t="s">
        <v>2747</v>
      </c>
      <c r="I2138" s="371" t="s">
        <v>2748</v>
      </c>
      <c r="J2138" s="371" t="s">
        <v>2948</v>
      </c>
      <c r="K2138" s="547" t="s">
        <v>3034</v>
      </c>
      <c r="L2138" s="428"/>
      <c r="M2138" s="433"/>
      <c r="N2138" s="428"/>
      <c r="O2138" s="428"/>
      <c r="P2138" s="433"/>
      <c r="Q2138" s="442"/>
      <c r="R2138" s="443"/>
      <c r="S2138" s="364"/>
      <c r="Z2138" s="609" t="s">
        <v>849</v>
      </c>
      <c r="AA2138" s="609" t="s">
        <v>3401</v>
      </c>
    </row>
    <row r="2139" spans="1:27" ht="0.75" customHeight="1" thickBot="1">
      <c r="A2139" s="2714"/>
      <c r="B2139" s="371"/>
      <c r="C2139" s="371"/>
      <c r="D2139" s="2716"/>
      <c r="F2139" s="371"/>
      <c r="G2139" s="405"/>
      <c r="H2139" s="371" t="s">
        <v>3344</v>
      </c>
      <c r="I2139" s="371" t="s">
        <v>3345</v>
      </c>
      <c r="J2139" s="371" t="s">
        <v>3346</v>
      </c>
      <c r="K2139" s="547" t="s">
        <v>3347</v>
      </c>
      <c r="L2139" s="428"/>
      <c r="M2139" s="433"/>
      <c r="N2139" s="428"/>
      <c r="O2139" s="428"/>
      <c r="P2139" s="433"/>
      <c r="Q2139" s="442"/>
      <c r="R2139" s="443"/>
      <c r="S2139" s="364"/>
      <c r="Z2139" s="609" t="s">
        <v>849</v>
      </c>
      <c r="AA2139" s="609" t="s">
        <v>3401</v>
      </c>
    </row>
    <row r="2140" spans="1:27" ht="18" customHeight="1">
      <c r="A2140" s="2714"/>
      <c r="B2140" s="371"/>
      <c r="C2140" s="371"/>
      <c r="D2140" s="2716"/>
      <c r="E2140" s="2716" t="s">
        <v>2749</v>
      </c>
      <c r="F2140" s="293"/>
      <c r="G2140" s="3432" t="s">
        <v>5853</v>
      </c>
      <c r="H2140" s="2291" t="s">
        <v>3348</v>
      </c>
      <c r="I2140" s="2291" t="s">
        <v>3349</v>
      </c>
      <c r="J2140" s="2291" t="s">
        <v>3350</v>
      </c>
      <c r="K2140" s="3423" t="s">
        <v>3351</v>
      </c>
      <c r="L2140" s="355" t="s">
        <v>5280</v>
      </c>
      <c r="M2140" s="433"/>
      <c r="N2140" s="428"/>
      <c r="O2140" s="428"/>
      <c r="P2140" s="433"/>
      <c r="Q2140" s="442"/>
      <c r="R2140" s="443"/>
      <c r="S2140" s="364"/>
      <c r="Z2140" s="609" t="s">
        <v>849</v>
      </c>
      <c r="AA2140" s="609" t="s">
        <v>3401</v>
      </c>
    </row>
    <row r="2141" spans="1:27" ht="36">
      <c r="A2141" s="2714"/>
      <c r="B2141" s="371"/>
      <c r="C2141" s="371"/>
      <c r="D2141" s="2716"/>
      <c r="E2141" s="2716" t="s">
        <v>2749</v>
      </c>
      <c r="F2141" s="293"/>
      <c r="G2141" s="3471"/>
      <c r="H2141" s="2294" t="s">
        <v>3352</v>
      </c>
      <c r="I2141" s="2294" t="s">
        <v>3353</v>
      </c>
      <c r="J2141" s="2294" t="s">
        <v>3354</v>
      </c>
      <c r="K2141" s="3424"/>
      <c r="L2141" s="434"/>
      <c r="M2141" s="435"/>
      <c r="N2141" s="434"/>
      <c r="O2141" s="434"/>
      <c r="P2141" s="435"/>
      <c r="Q2141" s="442"/>
      <c r="R2141" s="443"/>
      <c r="S2141" s="364"/>
      <c r="Z2141" s="609" t="s">
        <v>849</v>
      </c>
      <c r="AA2141" s="609" t="s">
        <v>3401</v>
      </c>
    </row>
    <row r="2142" spans="1:27" ht="18">
      <c r="A2142" s="2714"/>
      <c r="B2142" s="371">
        <v>101</v>
      </c>
      <c r="C2142" s="371"/>
      <c r="D2142" s="2716">
        <f t="shared" ref="D2142:D2154" si="218">IF(OR(G2142="*",G2142="",G2142=0),0,COUNTIF($G$2142:$G$2154,G2142))</f>
        <v>1</v>
      </c>
      <c r="E2142" s="2721">
        <v>1</v>
      </c>
      <c r="F2142" s="293"/>
      <c r="G2142" s="308" t="str">
        <f>$X$3&amp;"余额"</f>
        <v>2019年1月1日余额</v>
      </c>
      <c r="H2142" s="309"/>
      <c r="I2142" s="422"/>
      <c r="J2142" s="309"/>
      <c r="K2142" s="361">
        <f>SUM(H2142:J2142)</f>
        <v>0</v>
      </c>
      <c r="L2142" s="437"/>
      <c r="M2142" s="438"/>
      <c r="N2142" s="439"/>
      <c r="O2142" s="437"/>
      <c r="P2142" s="438"/>
      <c r="Q2142" s="442"/>
      <c r="R2142" s="443"/>
      <c r="S2142" s="364"/>
      <c r="Z2142" s="609" t="s">
        <v>849</v>
      </c>
      <c r="AA2142" s="609" t="s">
        <v>3401</v>
      </c>
    </row>
    <row r="2143" spans="1:27" ht="18">
      <c r="A2143" s="2714"/>
      <c r="B2143" s="371">
        <v>102</v>
      </c>
      <c r="C2143" s="371"/>
      <c r="D2143" s="2716">
        <f t="shared" si="218"/>
        <v>1</v>
      </c>
      <c r="E2143" s="2721" t="s">
        <v>41</v>
      </c>
      <c r="F2143" s="293"/>
      <c r="G2143" s="308" t="str">
        <f>$X$3&amp;"余额在本期"</f>
        <v>2019年1月1日余额在本期</v>
      </c>
      <c r="H2143" s="309"/>
      <c r="I2143" s="422"/>
      <c r="J2143" s="309"/>
      <c r="K2143" s="361"/>
      <c r="L2143" s="437"/>
      <c r="M2143" s="438"/>
      <c r="N2143" s="439"/>
      <c r="O2143" s="437"/>
      <c r="P2143" s="438"/>
      <c r="Q2143" s="442"/>
      <c r="R2143" s="443"/>
      <c r="S2143" s="364"/>
      <c r="Z2143" s="609" t="s">
        <v>849</v>
      </c>
      <c r="AA2143" s="609" t="s">
        <v>3401</v>
      </c>
    </row>
    <row r="2144" spans="1:27" ht="24">
      <c r="A2144" s="2714"/>
      <c r="B2144" s="371">
        <v>103</v>
      </c>
      <c r="C2144" s="371"/>
      <c r="D2144" s="2716">
        <f t="shared" si="218"/>
        <v>1</v>
      </c>
      <c r="E2144" s="2721">
        <v>1</v>
      </c>
      <c r="F2144" s="293"/>
      <c r="G2144" s="578" t="s">
        <v>5202</v>
      </c>
      <c r="H2144" s="309"/>
      <c r="I2144" s="1465">
        <v>0</v>
      </c>
      <c r="J2144" s="1465">
        <v>0</v>
      </c>
      <c r="K2144" s="361">
        <f>SUM(H2144:J2144)</f>
        <v>0</v>
      </c>
      <c r="L2144" s="1493"/>
      <c r="M2144" s="438"/>
      <c r="N2144" s="439"/>
      <c r="O2144" s="437"/>
      <c r="P2144" s="438"/>
      <c r="Q2144" s="442"/>
      <c r="R2144" s="443"/>
      <c r="S2144" s="364"/>
      <c r="Z2144" s="609" t="s">
        <v>849</v>
      </c>
      <c r="AA2144" s="609" t="s">
        <v>3401</v>
      </c>
    </row>
    <row r="2145" spans="1:27" ht="24">
      <c r="A2145" s="2714"/>
      <c r="B2145" s="371">
        <v>104</v>
      </c>
      <c r="C2145" s="371"/>
      <c r="D2145" s="2716">
        <f t="shared" si="218"/>
        <v>1</v>
      </c>
      <c r="E2145" s="2721">
        <v>1</v>
      </c>
      <c r="F2145" s="293"/>
      <c r="G2145" s="578" t="s">
        <v>5203</v>
      </c>
      <c r="H2145" s="309"/>
      <c r="I2145" s="309"/>
      <c r="J2145" s="1465">
        <v>0</v>
      </c>
      <c r="K2145" s="361">
        <f t="shared" ref="K2145:K2153" si="219">SUM(H2145:J2145)</f>
        <v>0</v>
      </c>
      <c r="L2145" s="1493"/>
      <c r="M2145" s="438"/>
      <c r="N2145" s="439"/>
      <c r="O2145" s="437"/>
      <c r="P2145" s="438"/>
      <c r="Q2145" s="442"/>
      <c r="R2145" s="443"/>
      <c r="S2145" s="364"/>
      <c r="Z2145" s="609" t="s">
        <v>849</v>
      </c>
      <c r="AA2145" s="609" t="s">
        <v>3401</v>
      </c>
    </row>
    <row r="2146" spans="1:27" ht="24">
      <c r="A2146" s="2714"/>
      <c r="B2146" s="371">
        <v>105</v>
      </c>
      <c r="C2146" s="371"/>
      <c r="D2146" s="2716">
        <f t="shared" si="218"/>
        <v>1</v>
      </c>
      <c r="E2146" s="2721">
        <v>1</v>
      </c>
      <c r="F2146" s="293"/>
      <c r="G2146" s="578" t="s">
        <v>5204</v>
      </c>
      <c r="H2146" s="1465">
        <v>0</v>
      </c>
      <c r="I2146" s="1465">
        <v>0</v>
      </c>
      <c r="J2146" s="309"/>
      <c r="K2146" s="361">
        <f t="shared" si="219"/>
        <v>0</v>
      </c>
      <c r="L2146" s="1493"/>
      <c r="M2146" s="438"/>
      <c r="N2146" s="439"/>
      <c r="O2146" s="437"/>
      <c r="P2146" s="438"/>
      <c r="Q2146" s="442"/>
      <c r="R2146" s="443"/>
      <c r="S2146" s="364"/>
      <c r="Z2146" s="609" t="s">
        <v>849</v>
      </c>
      <c r="AA2146" s="609" t="s">
        <v>3401</v>
      </c>
    </row>
    <row r="2147" spans="1:27" ht="24">
      <c r="A2147" s="2714"/>
      <c r="B2147" s="371">
        <v>106</v>
      </c>
      <c r="C2147" s="371"/>
      <c r="D2147" s="2716">
        <f t="shared" si="218"/>
        <v>1</v>
      </c>
      <c r="E2147" s="2721">
        <v>1</v>
      </c>
      <c r="F2147" s="293"/>
      <c r="G2147" s="578" t="s">
        <v>5205</v>
      </c>
      <c r="H2147" s="1465">
        <v>0</v>
      </c>
      <c r="I2147" s="309"/>
      <c r="J2147" s="309"/>
      <c r="K2147" s="361">
        <f t="shared" si="219"/>
        <v>0</v>
      </c>
      <c r="L2147" s="1493"/>
      <c r="M2147" s="438"/>
      <c r="N2147" s="439"/>
      <c r="O2147" s="437"/>
      <c r="P2147" s="438"/>
      <c r="Q2147" s="442"/>
      <c r="R2147" s="443"/>
      <c r="S2147" s="364"/>
      <c r="Z2147" s="609" t="s">
        <v>849</v>
      </c>
      <c r="AA2147" s="609" t="s">
        <v>3401</v>
      </c>
    </row>
    <row r="2148" spans="1:27" ht="18">
      <c r="A2148" s="2714"/>
      <c r="B2148" s="371">
        <v>107</v>
      </c>
      <c r="C2148" s="371"/>
      <c r="D2148" s="2716">
        <f t="shared" si="218"/>
        <v>1</v>
      </c>
      <c r="E2148" s="2721">
        <v>1</v>
      </c>
      <c r="F2148" s="293"/>
      <c r="G2148" s="1486" t="s">
        <v>5206</v>
      </c>
      <c r="H2148" s="309"/>
      <c r="I2148" s="422"/>
      <c r="J2148" s="309"/>
      <c r="K2148" s="361">
        <f t="shared" si="219"/>
        <v>0</v>
      </c>
      <c r="L2148" s="437"/>
      <c r="M2148" s="438"/>
      <c r="N2148" s="439"/>
      <c r="O2148" s="437"/>
      <c r="P2148" s="438"/>
      <c r="Q2148" s="442"/>
      <c r="R2148" s="443"/>
      <c r="S2148" s="364"/>
      <c r="Z2148" s="609" t="s">
        <v>849</v>
      </c>
      <c r="AA2148" s="609" t="s">
        <v>3401</v>
      </c>
    </row>
    <row r="2149" spans="1:27" ht="18">
      <c r="A2149" s="2714"/>
      <c r="B2149" s="371">
        <v>108</v>
      </c>
      <c r="C2149" s="371"/>
      <c r="D2149" s="2716">
        <f t="shared" si="218"/>
        <v>1</v>
      </c>
      <c r="E2149" s="2721">
        <v>-1</v>
      </c>
      <c r="F2149" s="293"/>
      <c r="G2149" s="1486" t="s">
        <v>5207</v>
      </c>
      <c r="H2149" s="309"/>
      <c r="I2149" s="422"/>
      <c r="J2149" s="309"/>
      <c r="K2149" s="361">
        <f t="shared" si="219"/>
        <v>0</v>
      </c>
      <c r="L2149" s="437"/>
      <c r="M2149" s="438"/>
      <c r="N2149" s="439"/>
      <c r="O2149" s="437"/>
      <c r="P2149" s="438"/>
      <c r="Q2149" s="442"/>
      <c r="R2149" s="443"/>
      <c r="S2149" s="364"/>
      <c r="Z2149" s="609" t="s">
        <v>849</v>
      </c>
      <c r="AA2149" s="609" t="s">
        <v>3401</v>
      </c>
    </row>
    <row r="2150" spans="1:27" ht="18">
      <c r="A2150" s="2714"/>
      <c r="B2150" s="371">
        <v>109</v>
      </c>
      <c r="C2150" s="371"/>
      <c r="D2150" s="2716">
        <f t="shared" si="218"/>
        <v>1</v>
      </c>
      <c r="E2150" s="2721">
        <v>-1</v>
      </c>
      <c r="F2150" s="293"/>
      <c r="G2150" s="578" t="s">
        <v>3356</v>
      </c>
      <c r="H2150" s="309"/>
      <c r="I2150" s="422"/>
      <c r="J2150" s="309"/>
      <c r="K2150" s="361">
        <f t="shared" si="219"/>
        <v>0</v>
      </c>
      <c r="L2150" s="437"/>
      <c r="M2150" s="438"/>
      <c r="N2150" s="439"/>
      <c r="O2150" s="437"/>
      <c r="P2150" s="438"/>
      <c r="Q2150" s="442"/>
      <c r="R2150" s="443"/>
      <c r="S2150" s="364"/>
      <c r="Z2150" s="609" t="s">
        <v>849</v>
      </c>
      <c r="AA2150" s="609" t="s">
        <v>3401</v>
      </c>
    </row>
    <row r="2151" spans="1:27" ht="18">
      <c r="A2151" s="2714"/>
      <c r="B2151" s="371">
        <v>110</v>
      </c>
      <c r="C2151" s="371"/>
      <c r="D2151" s="2716">
        <f t="shared" si="218"/>
        <v>1</v>
      </c>
      <c r="E2151" s="2721">
        <v>-1</v>
      </c>
      <c r="F2151" s="293"/>
      <c r="G2151" s="578" t="s">
        <v>3357</v>
      </c>
      <c r="H2151" s="309"/>
      <c r="I2151" s="422"/>
      <c r="J2151" s="309"/>
      <c r="K2151" s="361">
        <f t="shared" si="219"/>
        <v>0</v>
      </c>
      <c r="L2151" s="437"/>
      <c r="M2151" s="438"/>
      <c r="N2151" s="439"/>
      <c r="O2151" s="437"/>
      <c r="P2151" s="438"/>
      <c r="Q2151" s="442"/>
      <c r="R2151" s="443"/>
      <c r="S2151" s="364"/>
      <c r="Z2151" s="609" t="s">
        <v>849</v>
      </c>
      <c r="AA2151" s="609" t="s">
        <v>3401</v>
      </c>
    </row>
    <row r="2152" spans="1:27" ht="24">
      <c r="A2152" s="2714"/>
      <c r="B2152" s="371">
        <v>111</v>
      </c>
      <c r="C2152" s="371"/>
      <c r="D2152" s="2716">
        <f t="shared" si="218"/>
        <v>1</v>
      </c>
      <c r="E2152" s="2721">
        <v>1</v>
      </c>
      <c r="F2152" s="293"/>
      <c r="G2152" s="1486" t="s">
        <v>5208</v>
      </c>
      <c r="H2152" s="309"/>
      <c r="I2152" s="422"/>
      <c r="J2152" s="309"/>
      <c r="K2152" s="361">
        <f t="shared" si="219"/>
        <v>0</v>
      </c>
      <c r="L2152" s="437"/>
      <c r="M2152" s="438"/>
      <c r="N2152" s="439"/>
      <c r="O2152" s="437"/>
      <c r="P2152" s="438"/>
      <c r="Q2152" s="442"/>
      <c r="R2152" s="443"/>
      <c r="S2152" s="364"/>
      <c r="Z2152" s="609" t="s">
        <v>849</v>
      </c>
      <c r="AA2152" s="609" t="s">
        <v>3401</v>
      </c>
    </row>
    <row r="2153" spans="1:27" ht="18">
      <c r="A2153" s="2714"/>
      <c r="B2153" s="371">
        <v>112</v>
      </c>
      <c r="C2153" s="371" t="s">
        <v>2791</v>
      </c>
      <c r="D2153" s="2716">
        <f t="shared" si="218"/>
        <v>0</v>
      </c>
      <c r="E2153" s="2721">
        <v>1</v>
      </c>
      <c r="F2153" s="293"/>
      <c r="G2153" s="1464" t="s">
        <v>5147</v>
      </c>
      <c r="H2153" s="309"/>
      <c r="I2153" s="422"/>
      <c r="J2153" s="309"/>
      <c r="K2153" s="361">
        <f t="shared" si="219"/>
        <v>0</v>
      </c>
      <c r="L2153" s="437"/>
      <c r="M2153" s="438"/>
      <c r="N2153" s="439"/>
      <c r="O2153" s="437"/>
      <c r="P2153" s="438"/>
      <c r="Q2153" s="442"/>
      <c r="R2153" s="443"/>
      <c r="S2153" s="364"/>
      <c r="Z2153" s="609" t="s">
        <v>849</v>
      </c>
      <c r="AA2153" s="609" t="s">
        <v>3401</v>
      </c>
    </row>
    <row r="2154" spans="1:27" ht="18.75" thickBot="1">
      <c r="A2154" s="2714"/>
      <c r="B2154" s="371"/>
      <c r="C2154" s="371"/>
      <c r="D2154" s="2716">
        <f t="shared" si="218"/>
        <v>1</v>
      </c>
      <c r="E2154" s="2721" t="s">
        <v>2751</v>
      </c>
      <c r="F2154" s="293"/>
      <c r="G2154" s="2234" t="str">
        <f>$W$2&amp;"余额"</f>
        <v>2019年12月31日余额</v>
      </c>
      <c r="H2154" s="2325">
        <f>SUMPRODUCT($E2141:$E2153,H2141:H2153)</f>
        <v>0</v>
      </c>
      <c r="I2154" s="2325">
        <f>SUMPRODUCT($E2141:$E2153,I2141:I2153)</f>
        <v>0</v>
      </c>
      <c r="J2154" s="2325">
        <f>SUMPRODUCT($E2141:$E2153,J2141:J2153)</f>
        <v>0</v>
      </c>
      <c r="K2154" s="2342">
        <f>SUMPRODUCT($E2141:$E2153,K2141:K2153)</f>
        <v>0</v>
      </c>
      <c r="L2154" s="437"/>
      <c r="M2154" s="440"/>
      <c r="N2154" s="439"/>
      <c r="O2154" s="437"/>
      <c r="P2154" s="440"/>
      <c r="Q2154" s="442"/>
      <c r="R2154" s="443"/>
      <c r="S2154" s="364"/>
      <c r="Z2154" s="609" t="s">
        <v>849</v>
      </c>
      <c r="AA2154" s="609" t="s">
        <v>3401</v>
      </c>
    </row>
    <row r="2155" spans="1:27" ht="18">
      <c r="A2155" s="2714"/>
      <c r="B2155" s="371"/>
      <c r="C2155" s="371" t="s">
        <v>2755</v>
      </c>
      <c r="D2155" s="2716"/>
      <c r="F2155" s="293"/>
      <c r="G2155" s="376"/>
      <c r="H2155" s="315"/>
      <c r="I2155" s="396"/>
      <c r="J2155" s="315"/>
      <c r="K2155" s="423"/>
      <c r="L2155" s="427"/>
      <c r="M2155" s="425"/>
      <c r="N2155" s="426"/>
      <c r="O2155" s="427"/>
      <c r="P2155" s="425"/>
      <c r="Q2155" s="442"/>
      <c r="R2155" s="443"/>
      <c r="S2155" s="364"/>
      <c r="Z2155" s="609" t="s">
        <v>849</v>
      </c>
      <c r="AA2155" s="609" t="s">
        <v>3401</v>
      </c>
    </row>
    <row r="2156" spans="1:27" ht="18">
      <c r="A2156" s="2714">
        <v>1501</v>
      </c>
      <c r="B2156" s="371">
        <v>17</v>
      </c>
      <c r="C2156" s="2716" t="str">
        <f>VLOOKUP($A2156,Sheet_Items,2,0)</f>
        <v>持有至到期投资</v>
      </c>
      <c r="D2156" s="371"/>
      <c r="E2156" s="2716" t="s">
        <v>2739</v>
      </c>
      <c r="F2156" s="294"/>
      <c r="G2156" s="305" t="str">
        <f>B2156&amp;" "&amp;C2156</f>
        <v>17 持有至到期投资</v>
      </c>
      <c r="H2156" s="306"/>
      <c r="I2156" s="306"/>
      <c r="J2156" s="306" t="s">
        <v>2740</v>
      </c>
      <c r="K2156" s="341">
        <f>VLOOKUP($A2156,Sheet_Trialbal,6,0)</f>
        <v>0</v>
      </c>
      <c r="L2156" s="342"/>
      <c r="M2156" s="306" t="s">
        <v>2741</v>
      </c>
      <c r="N2156" s="341">
        <f>VLOOKUP($A2156,Sheet_Trialbal,10,0)</f>
        <v>0</v>
      </c>
      <c r="O2156" s="306"/>
      <c r="P2156" s="301"/>
      <c r="S2156" s="364"/>
      <c r="Z2156" s="609" t="s">
        <v>904</v>
      </c>
      <c r="AA2156" s="609" t="s">
        <v>5661</v>
      </c>
    </row>
    <row r="2157" spans="1:27" ht="18">
      <c r="A2157" s="2714" t="s">
        <v>902</v>
      </c>
      <c r="B2157" s="371">
        <v>1</v>
      </c>
      <c r="C2157" s="371"/>
      <c r="D2157" s="2716" t="str">
        <f>VLOOKUP($A2157,Sheet_NoteList,2,0)</f>
        <v>持有至到期投资情况</v>
      </c>
      <c r="E2157" s="2716" t="s">
        <v>2742</v>
      </c>
      <c r="F2157" s="294"/>
      <c r="G2157" s="307" t="str">
        <f>"("&amp;B2157&amp;")"&amp;D2157</f>
        <v>(1)持有至到期投资情况</v>
      </c>
      <c r="H2157" s="1517" t="str">
        <f>$A2157</f>
        <v>1501a</v>
      </c>
      <c r="I2157" s="343" t="s">
        <v>2743</v>
      </c>
      <c r="J2157" s="301" t="s">
        <v>2744</v>
      </c>
      <c r="K2157" s="2210">
        <f>J2169</f>
        <v>0</v>
      </c>
      <c r="L2157" s="345" t="str">
        <f>IF($I2157="适用",IF(ROUND(K2156-K2157,2)=0,"F/S",ROUND(K2156-K2157,2)),"#N/A")</f>
        <v>F/S</v>
      </c>
      <c r="M2157" s="301" t="s">
        <v>2745</v>
      </c>
      <c r="N2157" s="2210">
        <f>M2169</f>
        <v>0</v>
      </c>
      <c r="O2157" s="345" t="str">
        <f>IF($I2157="适用",IF(ROUND(N2156-N2157,2)=0,"F/S",ROUND(N2156-N2157,2)),"#N/A")</f>
        <v>F/S</v>
      </c>
      <c r="P2157" s="301"/>
      <c r="Q2157" s="290" t="str">
        <f>IF($I2157="不适用","",IF(ROUND(SUM($H$2162:$M$2169),2)=0,"请输入",""))</f>
        <v>请输入</v>
      </c>
      <c r="S2157" s="364"/>
      <c r="Z2157" s="609" t="s">
        <v>904</v>
      </c>
      <c r="AA2157" s="609" t="s">
        <v>5661</v>
      </c>
    </row>
    <row r="2158" spans="1:27" ht="0.75" customHeight="1">
      <c r="A2158" s="2714"/>
      <c r="B2158" s="371">
        <v>0.124</v>
      </c>
      <c r="C2158" s="371"/>
      <c r="D2158" s="371"/>
      <c r="F2158" s="371"/>
      <c r="G2158" s="371" t="s">
        <v>3429</v>
      </c>
      <c r="H2158" s="371" t="s">
        <v>2882</v>
      </c>
      <c r="I2158" s="371" t="s">
        <v>3365</v>
      </c>
      <c r="J2158" s="371" t="s">
        <v>3208</v>
      </c>
      <c r="K2158" s="371" t="s">
        <v>3209</v>
      </c>
      <c r="L2158" s="371" t="s">
        <v>3366</v>
      </c>
      <c r="M2158" s="371" t="s">
        <v>3211</v>
      </c>
      <c r="S2158" s="364"/>
      <c r="Z2158" s="609" t="s">
        <v>904</v>
      </c>
      <c r="AA2158" s="609" t="s">
        <v>5661</v>
      </c>
    </row>
    <row r="2159" spans="1:27" ht="0.75" customHeight="1" thickBot="1">
      <c r="A2159" s="2714"/>
      <c r="B2159" s="371">
        <v>0.125</v>
      </c>
      <c r="C2159" s="371"/>
      <c r="D2159" s="371"/>
      <c r="F2159" s="371"/>
      <c r="G2159" s="371"/>
      <c r="H2159" s="371" t="s">
        <v>2855</v>
      </c>
      <c r="I2159" s="371" t="s">
        <v>3096</v>
      </c>
      <c r="J2159" s="371" t="s">
        <v>2857</v>
      </c>
      <c r="K2159" s="371" t="s">
        <v>3213</v>
      </c>
      <c r="L2159" s="371" t="s">
        <v>3367</v>
      </c>
      <c r="M2159" s="371" t="s">
        <v>3215</v>
      </c>
      <c r="S2159" s="364"/>
      <c r="Z2159" s="609" t="s">
        <v>904</v>
      </c>
      <c r="AA2159" s="609" t="s">
        <v>5661</v>
      </c>
    </row>
    <row r="2160" spans="1:27" ht="18" customHeight="1">
      <c r="A2160" s="2714"/>
      <c r="B2160" s="371"/>
      <c r="C2160" s="371"/>
      <c r="D2160" s="371"/>
      <c r="E2160" s="2716" t="s">
        <v>2749</v>
      </c>
      <c r="F2160" s="387"/>
      <c r="G2160" s="3504" t="s">
        <v>47</v>
      </c>
      <c r="H2160" s="3425" t="str">
        <f>$V$2</f>
        <v>2019年12月31日</v>
      </c>
      <c r="I2160" s="3426"/>
      <c r="J2160" s="3427"/>
      <c r="K2160" s="3480" t="str">
        <f>$V$3</f>
        <v>2018年12月31日</v>
      </c>
      <c r="L2160" s="3426"/>
      <c r="M2160" s="3426"/>
      <c r="N2160" s="355" t="s">
        <v>5281</v>
      </c>
      <c r="S2160" s="364"/>
      <c r="Z2160" s="609" t="s">
        <v>904</v>
      </c>
      <c r="AA2160" s="609" t="s">
        <v>5661</v>
      </c>
    </row>
    <row r="2161" spans="1:27" ht="18">
      <c r="A2161" s="2714"/>
      <c r="B2161" s="371"/>
      <c r="C2161" s="371"/>
      <c r="D2161" s="371"/>
      <c r="E2161" s="2716" t="s">
        <v>2749</v>
      </c>
      <c r="F2161" s="294"/>
      <c r="G2161" s="3505"/>
      <c r="H2161" s="554" t="s">
        <v>2861</v>
      </c>
      <c r="I2161" s="554" t="s">
        <v>3097</v>
      </c>
      <c r="J2161" s="555" t="s">
        <v>2863</v>
      </c>
      <c r="K2161" s="555" t="s">
        <v>2861</v>
      </c>
      <c r="L2161" s="555" t="s">
        <v>3097</v>
      </c>
      <c r="M2161" s="556" t="s">
        <v>2863</v>
      </c>
      <c r="S2161" s="364"/>
      <c r="Z2161" s="609" t="s">
        <v>904</v>
      </c>
      <c r="AA2161" s="609" t="s">
        <v>5661</v>
      </c>
    </row>
    <row r="2162" spans="1:27" ht="18">
      <c r="A2162" s="2714"/>
      <c r="B2162" s="371">
        <v>101</v>
      </c>
      <c r="C2162" s="371" t="s">
        <v>2791</v>
      </c>
      <c r="D2162" s="2716">
        <f t="shared" ref="D2162:D2169" si="220">IF(OR(G2162="*",G2162="",G2162=0),0,COUNTIF($G$2162:$G$2169,G2162))</f>
        <v>0</v>
      </c>
      <c r="E2162" s="2721">
        <v>1</v>
      </c>
      <c r="F2162" s="294"/>
      <c r="G2162" s="409" t="s">
        <v>2792</v>
      </c>
      <c r="H2162" s="2329">
        <v>0</v>
      </c>
      <c r="I2162" s="2329">
        <v>0</v>
      </c>
      <c r="J2162" s="2329">
        <v>0</v>
      </c>
      <c r="K2162" s="383"/>
      <c r="L2162" s="383"/>
      <c r="M2162" s="401">
        <f t="shared" ref="M2162:M2168" si="221">K2162-L2162</f>
        <v>0</v>
      </c>
      <c r="S2162" s="364"/>
      <c r="Z2162" s="609" t="s">
        <v>904</v>
      </c>
      <c r="AA2162" s="609" t="s">
        <v>5661</v>
      </c>
    </row>
    <row r="2163" spans="1:27" ht="18">
      <c r="A2163" s="2714"/>
      <c r="B2163" s="371">
        <v>102</v>
      </c>
      <c r="C2163" s="371" t="s">
        <v>2791</v>
      </c>
      <c r="D2163" s="2716">
        <f t="shared" si="220"/>
        <v>0</v>
      </c>
      <c r="E2163" s="2721">
        <v>1</v>
      </c>
      <c r="F2163" s="294"/>
      <c r="G2163" s="409" t="s">
        <v>2792</v>
      </c>
      <c r="H2163" s="2329">
        <v>0</v>
      </c>
      <c r="I2163" s="2329">
        <v>0</v>
      </c>
      <c r="J2163" s="2329">
        <v>0</v>
      </c>
      <c r="K2163" s="383"/>
      <c r="L2163" s="383"/>
      <c r="M2163" s="401">
        <f t="shared" si="221"/>
        <v>0</v>
      </c>
      <c r="S2163" s="364"/>
      <c r="Z2163" s="609" t="s">
        <v>904</v>
      </c>
      <c r="AA2163" s="609" t="s">
        <v>5661</v>
      </c>
    </row>
    <row r="2164" spans="1:27" ht="18">
      <c r="A2164" s="2714"/>
      <c r="B2164" s="371">
        <v>103</v>
      </c>
      <c r="C2164" s="371" t="s">
        <v>2791</v>
      </c>
      <c r="D2164" s="2716">
        <f t="shared" si="220"/>
        <v>0</v>
      </c>
      <c r="E2164" s="2721">
        <v>1</v>
      </c>
      <c r="F2164" s="294"/>
      <c r="G2164" s="409" t="s">
        <v>2792</v>
      </c>
      <c r="H2164" s="2329">
        <v>0</v>
      </c>
      <c r="I2164" s="2329">
        <v>0</v>
      </c>
      <c r="J2164" s="2329">
        <v>0</v>
      </c>
      <c r="K2164" s="383"/>
      <c r="L2164" s="383"/>
      <c r="M2164" s="401">
        <f t="shared" si="221"/>
        <v>0</v>
      </c>
      <c r="S2164" s="364"/>
      <c r="Z2164" s="609" t="s">
        <v>904</v>
      </c>
      <c r="AA2164" s="609" t="s">
        <v>5661</v>
      </c>
    </row>
    <row r="2165" spans="1:27" ht="18">
      <c r="A2165" s="2714"/>
      <c r="B2165" s="371">
        <v>104</v>
      </c>
      <c r="C2165" s="371" t="s">
        <v>2791</v>
      </c>
      <c r="D2165" s="2716">
        <f t="shared" si="220"/>
        <v>0</v>
      </c>
      <c r="E2165" s="2721">
        <v>1</v>
      </c>
      <c r="F2165" s="294"/>
      <c r="G2165" s="409" t="s">
        <v>2792</v>
      </c>
      <c r="H2165" s="2329">
        <v>0</v>
      </c>
      <c r="I2165" s="2329">
        <v>0</v>
      </c>
      <c r="J2165" s="2329">
        <v>0</v>
      </c>
      <c r="K2165" s="383"/>
      <c r="L2165" s="383"/>
      <c r="M2165" s="401">
        <f t="shared" si="221"/>
        <v>0</v>
      </c>
      <c r="S2165" s="364"/>
      <c r="Z2165" s="609" t="s">
        <v>904</v>
      </c>
      <c r="AA2165" s="609" t="s">
        <v>5661</v>
      </c>
    </row>
    <row r="2166" spans="1:27" ht="18">
      <c r="A2166" s="2714"/>
      <c r="B2166" s="371">
        <v>105</v>
      </c>
      <c r="C2166" s="371" t="s">
        <v>2791</v>
      </c>
      <c r="D2166" s="2716">
        <f t="shared" si="220"/>
        <v>0</v>
      </c>
      <c r="E2166" s="2721">
        <v>1</v>
      </c>
      <c r="F2166" s="294"/>
      <c r="G2166" s="409" t="s">
        <v>2792</v>
      </c>
      <c r="H2166" s="2329">
        <v>0</v>
      </c>
      <c r="I2166" s="2329">
        <v>0</v>
      </c>
      <c r="J2166" s="2329">
        <v>0</v>
      </c>
      <c r="K2166" s="383"/>
      <c r="L2166" s="383"/>
      <c r="M2166" s="401">
        <f t="shared" si="221"/>
        <v>0</v>
      </c>
      <c r="S2166" s="364"/>
      <c r="Z2166" s="609" t="s">
        <v>904</v>
      </c>
      <c r="AA2166" s="609" t="s">
        <v>5661</v>
      </c>
    </row>
    <row r="2167" spans="1:27" ht="18">
      <c r="A2167" s="2714"/>
      <c r="B2167" s="371">
        <v>106</v>
      </c>
      <c r="C2167" s="371" t="s">
        <v>2791</v>
      </c>
      <c r="D2167" s="2716">
        <f t="shared" si="220"/>
        <v>0</v>
      </c>
      <c r="E2167" s="2721">
        <v>1</v>
      </c>
      <c r="F2167" s="294"/>
      <c r="G2167" s="409" t="s">
        <v>2792</v>
      </c>
      <c r="H2167" s="2329">
        <v>0</v>
      </c>
      <c r="I2167" s="2329">
        <v>0</v>
      </c>
      <c r="J2167" s="2329">
        <v>0</v>
      </c>
      <c r="K2167" s="386"/>
      <c r="L2167" s="386"/>
      <c r="M2167" s="401">
        <f t="shared" si="221"/>
        <v>0</v>
      </c>
      <c r="S2167" s="364"/>
      <c r="Z2167" s="609" t="s">
        <v>904</v>
      </c>
      <c r="AA2167" s="609" t="s">
        <v>5661</v>
      </c>
    </row>
    <row r="2168" spans="1:27" ht="18">
      <c r="A2168" s="2714"/>
      <c r="B2168" s="371">
        <v>107</v>
      </c>
      <c r="C2168" s="371" t="s">
        <v>2791</v>
      </c>
      <c r="D2168" s="2716">
        <f t="shared" si="220"/>
        <v>0</v>
      </c>
      <c r="E2168" s="2721">
        <v>1</v>
      </c>
      <c r="F2168" s="294"/>
      <c r="G2168" s="409" t="s">
        <v>2792</v>
      </c>
      <c r="H2168" s="2329">
        <v>0</v>
      </c>
      <c r="I2168" s="2329">
        <v>0</v>
      </c>
      <c r="J2168" s="2329">
        <v>0</v>
      </c>
      <c r="K2168" s="383"/>
      <c r="L2168" s="383"/>
      <c r="M2168" s="401">
        <f t="shared" si="221"/>
        <v>0</v>
      </c>
      <c r="S2168" s="364"/>
      <c r="Z2168" s="609" t="s">
        <v>904</v>
      </c>
      <c r="AA2168" s="609" t="s">
        <v>5661</v>
      </c>
    </row>
    <row r="2169" spans="1:27" ht="18.75" thickBot="1">
      <c r="A2169" s="2714"/>
      <c r="B2169" s="371"/>
      <c r="C2169" s="371"/>
      <c r="D2169" s="2716">
        <f t="shared" si="220"/>
        <v>1</v>
      </c>
      <c r="E2169" s="2721" t="s">
        <v>3032</v>
      </c>
      <c r="F2169" s="294"/>
      <c r="G2169" s="403" t="s">
        <v>2752</v>
      </c>
      <c r="H2169" s="404">
        <f t="shared" ref="H2169:M2169" si="222">SUMPRODUCT($E2161:$E2168,H2161:H2168)</f>
        <v>0</v>
      </c>
      <c r="I2169" s="404">
        <f t="shared" si="222"/>
        <v>0</v>
      </c>
      <c r="J2169" s="404">
        <f t="shared" si="222"/>
        <v>0</v>
      </c>
      <c r="K2169" s="404">
        <f t="shared" si="222"/>
        <v>0</v>
      </c>
      <c r="L2169" s="404">
        <f t="shared" si="222"/>
        <v>0</v>
      </c>
      <c r="M2169" s="413">
        <f t="shared" si="222"/>
        <v>0</v>
      </c>
      <c r="S2169" s="364"/>
      <c r="Z2169" s="609" t="s">
        <v>904</v>
      </c>
      <c r="AA2169" s="609" t="s">
        <v>5661</v>
      </c>
    </row>
    <row r="2170" spans="1:27" ht="18">
      <c r="A2170" s="2714"/>
      <c r="B2170" s="371"/>
      <c r="C2170" s="371" t="s">
        <v>2755</v>
      </c>
      <c r="D2170" s="371"/>
      <c r="F2170" s="294"/>
      <c r="G2170" s="557"/>
      <c r="H2170" s="315"/>
      <c r="I2170" s="315"/>
      <c r="J2170" s="315"/>
      <c r="K2170" s="315"/>
      <c r="L2170" s="315"/>
      <c r="M2170" s="315"/>
      <c r="S2170" s="364"/>
      <c r="Z2170" s="609" t="s">
        <v>904</v>
      </c>
      <c r="AA2170" s="609" t="s">
        <v>5661</v>
      </c>
    </row>
    <row r="2171" spans="1:27" ht="18">
      <c r="A2171" s="2714" t="s">
        <v>910</v>
      </c>
      <c r="B2171" s="371">
        <v>2</v>
      </c>
      <c r="C2171" s="371"/>
      <c r="D2171" s="2716" t="str">
        <f>VLOOKUP($A2171,Sheet_NoteList,2,0)</f>
        <v>重要的持有至到期投资</v>
      </c>
      <c r="E2171" s="2716" t="s">
        <v>2742</v>
      </c>
      <c r="F2171" s="294"/>
      <c r="G2171" s="372" t="str">
        <f>"("&amp;B2171&amp;")"&amp;D2171</f>
        <v>(2)重要的持有至到期投资</v>
      </c>
      <c r="H2171" s="1517" t="str">
        <f>$A2171</f>
        <v>1501d</v>
      </c>
      <c r="I2171" s="343" t="s">
        <v>2743</v>
      </c>
      <c r="J2171" s="301"/>
      <c r="K2171" s="3083"/>
      <c r="L2171" s="315"/>
      <c r="M2171" s="301"/>
      <c r="N2171" s="3083"/>
      <c r="O2171" s="315"/>
      <c r="P2171" s="301"/>
      <c r="Q2171" s="290" t="str">
        <f>IF($I2171="不适用","",IF(ROUND(SUM($H$2174:$K$2179),2)=0,"请输入",""))</f>
        <v>请输入</v>
      </c>
      <c r="S2171" s="364"/>
      <c r="Z2171" s="609" t="s">
        <v>904</v>
      </c>
      <c r="AA2171" s="609" t="s">
        <v>5661</v>
      </c>
    </row>
    <row r="2172" spans="1:27" ht="0.75" customHeight="1" thickBot="1">
      <c r="A2172" s="2714"/>
      <c r="B2172" s="371">
        <v>1.0999999999999999E-2</v>
      </c>
      <c r="C2172" s="371"/>
      <c r="D2172" s="371"/>
      <c r="F2172" s="304"/>
      <c r="G2172" s="304" t="s">
        <v>3430</v>
      </c>
      <c r="H2172" s="304" t="s">
        <v>3431</v>
      </c>
      <c r="I2172" s="304" t="s">
        <v>3432</v>
      </c>
      <c r="J2172" s="518" t="s">
        <v>3433</v>
      </c>
      <c r="K2172" s="518" t="s">
        <v>3434</v>
      </c>
      <c r="L2172" s="291"/>
      <c r="M2172" s="291"/>
      <c r="S2172" s="364"/>
      <c r="Z2172" s="609" t="s">
        <v>904</v>
      </c>
      <c r="AA2172" s="609" t="s">
        <v>5661</v>
      </c>
    </row>
    <row r="2173" spans="1:27" ht="18">
      <c r="A2173" s="2714"/>
      <c r="B2173" s="371">
        <v>1.2E-2</v>
      </c>
      <c r="C2173" s="371"/>
      <c r="D2173" s="371"/>
      <c r="E2173" s="2716" t="s">
        <v>2749</v>
      </c>
      <c r="F2173" s="294"/>
      <c r="G2173" s="378" t="s">
        <v>3435</v>
      </c>
      <c r="H2173" s="398" t="s">
        <v>3319</v>
      </c>
      <c r="I2173" s="398" t="s">
        <v>3320</v>
      </c>
      <c r="J2173" s="559" t="s">
        <v>3321</v>
      </c>
      <c r="K2173" s="560" t="s">
        <v>3322</v>
      </c>
      <c r="L2173" s="355" t="s">
        <v>5281</v>
      </c>
      <c r="M2173" s="291"/>
      <c r="S2173" s="364"/>
      <c r="Z2173" s="609" t="s">
        <v>904</v>
      </c>
      <c r="AA2173" s="609" t="s">
        <v>5661</v>
      </c>
    </row>
    <row r="2174" spans="1:27" ht="18">
      <c r="A2174" s="2714"/>
      <c r="B2174" s="371">
        <v>101</v>
      </c>
      <c r="C2174" s="371" t="s">
        <v>2791</v>
      </c>
      <c r="D2174" s="2716">
        <f t="shared" ref="D2174:D2179" si="223">IF(OR(G2174="*",G2174="",G2174=0),0,COUNTIF($G$2174:$G$2179,G2174))</f>
        <v>0</v>
      </c>
      <c r="E2174" s="2721">
        <v>1</v>
      </c>
      <c r="F2174" s="294"/>
      <c r="G2174" s="409" t="s">
        <v>2792</v>
      </c>
      <c r="H2174" s="383"/>
      <c r="I2174" s="469"/>
      <c r="J2174" s="469"/>
      <c r="K2174" s="492"/>
      <c r="L2174" s="291"/>
      <c r="M2174" s="291"/>
      <c r="S2174" s="364"/>
      <c r="Z2174" s="609" t="s">
        <v>904</v>
      </c>
      <c r="AA2174" s="609" t="s">
        <v>5661</v>
      </c>
    </row>
    <row r="2175" spans="1:27" ht="18">
      <c r="A2175" s="2714"/>
      <c r="B2175" s="371">
        <v>102</v>
      </c>
      <c r="C2175" s="371" t="s">
        <v>2791</v>
      </c>
      <c r="D2175" s="2716">
        <f t="shared" si="223"/>
        <v>0</v>
      </c>
      <c r="E2175" s="2721">
        <v>1</v>
      </c>
      <c r="F2175" s="294"/>
      <c r="G2175" s="409" t="s">
        <v>2792</v>
      </c>
      <c r="H2175" s="383"/>
      <c r="I2175" s="469"/>
      <c r="J2175" s="469"/>
      <c r="K2175" s="492"/>
      <c r="L2175" s="291"/>
      <c r="M2175" s="291"/>
      <c r="S2175" s="364"/>
      <c r="Z2175" s="609" t="s">
        <v>904</v>
      </c>
      <c r="AA2175" s="609" t="s">
        <v>5661</v>
      </c>
    </row>
    <row r="2176" spans="1:27" ht="18">
      <c r="A2176" s="2714"/>
      <c r="B2176" s="371">
        <v>103</v>
      </c>
      <c r="C2176" s="371" t="s">
        <v>2791</v>
      </c>
      <c r="D2176" s="2716">
        <f t="shared" si="223"/>
        <v>0</v>
      </c>
      <c r="E2176" s="2721">
        <v>1</v>
      </c>
      <c r="F2176" s="294"/>
      <c r="G2176" s="409" t="s">
        <v>2792</v>
      </c>
      <c r="H2176" s="383"/>
      <c r="I2176" s="469"/>
      <c r="J2176" s="469"/>
      <c r="K2176" s="492"/>
      <c r="L2176" s="291"/>
      <c r="M2176" s="291"/>
      <c r="S2176" s="364"/>
      <c r="Z2176" s="609" t="s">
        <v>904</v>
      </c>
      <c r="AA2176" s="609" t="s">
        <v>5661</v>
      </c>
    </row>
    <row r="2177" spans="1:27" ht="18">
      <c r="A2177" s="2714"/>
      <c r="B2177" s="371">
        <v>104</v>
      </c>
      <c r="C2177" s="371" t="s">
        <v>2791</v>
      </c>
      <c r="D2177" s="2716">
        <f t="shared" si="223"/>
        <v>0</v>
      </c>
      <c r="E2177" s="2721">
        <v>1</v>
      </c>
      <c r="F2177" s="294"/>
      <c r="G2177" s="409" t="s">
        <v>2792</v>
      </c>
      <c r="H2177" s="383"/>
      <c r="I2177" s="469"/>
      <c r="J2177" s="469"/>
      <c r="K2177" s="492"/>
      <c r="L2177" s="291"/>
      <c r="M2177" s="291"/>
      <c r="S2177" s="364"/>
      <c r="Z2177" s="609" t="s">
        <v>904</v>
      </c>
      <c r="AA2177" s="609" t="s">
        <v>5661</v>
      </c>
    </row>
    <row r="2178" spans="1:27" ht="18">
      <c r="A2178" s="2714"/>
      <c r="B2178" s="371">
        <v>105</v>
      </c>
      <c r="C2178" s="371" t="s">
        <v>2791</v>
      </c>
      <c r="D2178" s="2716">
        <f t="shared" si="223"/>
        <v>0</v>
      </c>
      <c r="E2178" s="2721">
        <v>1</v>
      </c>
      <c r="F2178" s="294"/>
      <c r="G2178" s="409" t="s">
        <v>2792</v>
      </c>
      <c r="H2178" s="383"/>
      <c r="I2178" s="469"/>
      <c r="J2178" s="469"/>
      <c r="K2178" s="492"/>
      <c r="L2178" s="291"/>
      <c r="M2178" s="291"/>
      <c r="S2178" s="364"/>
      <c r="Z2178" s="609" t="s">
        <v>904</v>
      </c>
      <c r="AA2178" s="609" t="s">
        <v>5661</v>
      </c>
    </row>
    <row r="2179" spans="1:27" ht="18.75" thickBot="1">
      <c r="A2179" s="2714"/>
      <c r="B2179" s="371"/>
      <c r="C2179" s="371"/>
      <c r="D2179" s="2716">
        <f t="shared" si="223"/>
        <v>1</v>
      </c>
      <c r="E2179" s="2721" t="s">
        <v>3032</v>
      </c>
      <c r="F2179" s="294"/>
      <c r="G2179" s="403" t="s">
        <v>2752</v>
      </c>
      <c r="H2179" s="503">
        <f>SUMPRODUCT($E2173:$E2178,H2173:H2178)</f>
        <v>0</v>
      </c>
      <c r="I2179" s="512"/>
      <c r="J2179" s="512"/>
      <c r="K2179" s="513"/>
      <c r="L2179" s="291"/>
      <c r="M2179" s="291"/>
      <c r="S2179" s="364"/>
      <c r="Z2179" s="609" t="s">
        <v>904</v>
      </c>
      <c r="AA2179" s="609" t="s">
        <v>5661</v>
      </c>
    </row>
    <row r="2180" spans="1:27" ht="18">
      <c r="A2180" s="2714"/>
      <c r="B2180" s="371"/>
      <c r="C2180" s="371" t="s">
        <v>2755</v>
      </c>
      <c r="D2180" s="371"/>
      <c r="F2180" s="294"/>
      <c r="G2180" s="301"/>
      <c r="H2180" s="349"/>
      <c r="I2180" s="350"/>
      <c r="J2180" s="350"/>
      <c r="K2180" s="350"/>
      <c r="L2180" s="291"/>
      <c r="M2180" s="291"/>
      <c r="S2180" s="364"/>
      <c r="Z2180" s="609" t="s">
        <v>904</v>
      </c>
      <c r="AA2180" s="609" t="s">
        <v>5661</v>
      </c>
    </row>
    <row r="2181" spans="1:27" ht="24">
      <c r="A2181" s="2714" t="s">
        <v>917</v>
      </c>
      <c r="B2181" s="371">
        <v>3</v>
      </c>
      <c r="C2181" s="371"/>
      <c r="D2181" s="2716" t="str">
        <f>VLOOKUP($A2181,Sheet_NoteList,2,0)</f>
        <v>本期重分类的持有至到期投资</v>
      </c>
      <c r="E2181" s="2716" t="s">
        <v>6531</v>
      </c>
      <c r="F2181" s="294"/>
      <c r="G2181" s="372" t="str">
        <f>"("&amp;B2181&amp;")"&amp;D2181</f>
        <v>(3)本期重分类的持有至到期投资</v>
      </c>
      <c r="H2181" s="1517" t="str">
        <f>$A2181</f>
        <v>1501e</v>
      </c>
      <c r="I2181" s="343" t="s">
        <v>5965</v>
      </c>
      <c r="J2181" s="301"/>
      <c r="K2181" s="3083"/>
      <c r="L2181" s="315"/>
      <c r="M2181" s="301"/>
      <c r="N2181" s="3083"/>
      <c r="O2181" s="315"/>
      <c r="P2181" s="301"/>
      <c r="Q2181" s="290" t="str">
        <f>IF($I2181="不适用","",IF(ROUND(SUM($H$2184:$J$2189),2)=0,"请输入",""))</f>
        <v>请输入</v>
      </c>
      <c r="S2181" s="364"/>
      <c r="Z2181" s="609" t="s">
        <v>904</v>
      </c>
      <c r="AA2181" s="609" t="s">
        <v>5661</v>
      </c>
    </row>
    <row r="2182" spans="1:27" ht="0.75" customHeight="1" thickBot="1">
      <c r="A2182" s="2714"/>
      <c r="B2182" s="371">
        <v>0.01</v>
      </c>
      <c r="C2182" s="371"/>
      <c r="D2182" s="371"/>
      <c r="E2182" s="586"/>
      <c r="F2182" s="518"/>
      <c r="G2182" s="518" t="s">
        <v>3436</v>
      </c>
      <c r="H2182" s="304" t="s">
        <v>3437</v>
      </c>
      <c r="I2182" s="304" t="s">
        <v>3438</v>
      </c>
      <c r="J2182" s="304" t="s">
        <v>2929</v>
      </c>
      <c r="K2182" s="291"/>
      <c r="L2182" s="291"/>
      <c r="M2182" s="291"/>
      <c r="S2182" s="364"/>
      <c r="Z2182" s="609" t="s">
        <v>904</v>
      </c>
      <c r="AA2182" s="609" t="s">
        <v>5661</v>
      </c>
    </row>
    <row r="2183" spans="1:27" ht="36">
      <c r="A2183" s="2714"/>
      <c r="B2183" s="371"/>
      <c r="C2183" s="371"/>
      <c r="D2183" s="371"/>
      <c r="E2183" s="586" t="s">
        <v>2749</v>
      </c>
      <c r="F2183" s="363"/>
      <c r="G2183" s="2288" t="s">
        <v>47</v>
      </c>
      <c r="H2183" s="2290" t="s">
        <v>3439</v>
      </c>
      <c r="I2183" s="2290" t="s">
        <v>3440</v>
      </c>
      <c r="J2183" s="2281" t="s">
        <v>6028</v>
      </c>
      <c r="K2183" s="343"/>
      <c r="L2183" s="291"/>
      <c r="M2183" s="291"/>
      <c r="S2183" s="364"/>
      <c r="Z2183" s="609" t="s">
        <v>904</v>
      </c>
      <c r="AA2183" s="609" t="s">
        <v>5661</v>
      </c>
    </row>
    <row r="2184" spans="1:27" ht="18">
      <c r="A2184" s="2714"/>
      <c r="B2184" s="371">
        <v>101</v>
      </c>
      <c r="C2184" s="371" t="s">
        <v>2791</v>
      </c>
      <c r="D2184" s="2716">
        <f t="shared" ref="D2184:D2189" si="224">IF(OR(G2184="*",G2184="",G2184=0),0,COUNTIF($G$2184:$G$2189,G2184))</f>
        <v>0</v>
      </c>
      <c r="E2184" s="2721">
        <v>1</v>
      </c>
      <c r="F2184" s="294"/>
      <c r="G2184" s="2284" t="s">
        <v>2792</v>
      </c>
      <c r="H2184" s="2275"/>
      <c r="I2184" s="2298"/>
      <c r="J2184" s="2276"/>
      <c r="K2184" s="291"/>
      <c r="L2184" s="291"/>
      <c r="M2184" s="291"/>
      <c r="S2184" s="364"/>
      <c r="Z2184" s="609" t="s">
        <v>904</v>
      </c>
      <c r="AA2184" s="609" t="s">
        <v>5661</v>
      </c>
    </row>
    <row r="2185" spans="1:27" ht="18">
      <c r="A2185" s="2714"/>
      <c r="B2185" s="371">
        <v>102</v>
      </c>
      <c r="C2185" s="371" t="s">
        <v>2791</v>
      </c>
      <c r="D2185" s="2716">
        <f t="shared" si="224"/>
        <v>0</v>
      </c>
      <c r="E2185" s="2721">
        <v>1</v>
      </c>
      <c r="F2185" s="294"/>
      <c r="G2185" s="2284" t="s">
        <v>2792</v>
      </c>
      <c r="H2185" s="2275"/>
      <c r="I2185" s="2298"/>
      <c r="J2185" s="2276"/>
      <c r="K2185" s="291"/>
      <c r="L2185" s="291"/>
      <c r="M2185" s="291"/>
      <c r="S2185" s="364"/>
      <c r="Z2185" s="609" t="s">
        <v>904</v>
      </c>
      <c r="AA2185" s="609" t="s">
        <v>5661</v>
      </c>
    </row>
    <row r="2186" spans="1:27" ht="18">
      <c r="A2186" s="2714"/>
      <c r="B2186" s="371">
        <v>103</v>
      </c>
      <c r="C2186" s="371" t="s">
        <v>2791</v>
      </c>
      <c r="D2186" s="2716">
        <f t="shared" si="224"/>
        <v>0</v>
      </c>
      <c r="E2186" s="2721">
        <v>1</v>
      </c>
      <c r="F2186" s="294"/>
      <c r="G2186" s="2284" t="s">
        <v>2792</v>
      </c>
      <c r="H2186" s="2275"/>
      <c r="I2186" s="2298"/>
      <c r="J2186" s="2276"/>
      <c r="K2186" s="291"/>
      <c r="L2186" s="291"/>
      <c r="M2186" s="291"/>
      <c r="S2186" s="364"/>
      <c r="Z2186" s="609" t="s">
        <v>904</v>
      </c>
      <c r="AA2186" s="609" t="s">
        <v>5661</v>
      </c>
    </row>
    <row r="2187" spans="1:27" ht="18">
      <c r="A2187" s="2714"/>
      <c r="B2187" s="371">
        <v>104</v>
      </c>
      <c r="C2187" s="371" t="s">
        <v>2791</v>
      </c>
      <c r="D2187" s="2716">
        <f t="shared" si="224"/>
        <v>0</v>
      </c>
      <c r="E2187" s="2721">
        <v>1</v>
      </c>
      <c r="F2187" s="294"/>
      <c r="G2187" s="2284" t="s">
        <v>2792</v>
      </c>
      <c r="H2187" s="2275"/>
      <c r="I2187" s="2298"/>
      <c r="J2187" s="2276"/>
      <c r="K2187" s="291"/>
      <c r="L2187" s="291"/>
      <c r="M2187" s="291"/>
      <c r="S2187" s="364"/>
      <c r="Z2187" s="609" t="s">
        <v>904</v>
      </c>
      <c r="AA2187" s="609" t="s">
        <v>5661</v>
      </c>
    </row>
    <row r="2188" spans="1:27" ht="18">
      <c r="A2188" s="2714"/>
      <c r="B2188" s="371">
        <v>105</v>
      </c>
      <c r="C2188" s="371" t="s">
        <v>2791</v>
      </c>
      <c r="D2188" s="2716">
        <f t="shared" si="224"/>
        <v>0</v>
      </c>
      <c r="E2188" s="2721">
        <v>1</v>
      </c>
      <c r="F2188" s="294"/>
      <c r="G2188" s="2284" t="s">
        <v>2792</v>
      </c>
      <c r="H2188" s="2275"/>
      <c r="I2188" s="2298"/>
      <c r="J2188" s="2276"/>
      <c r="K2188" s="291"/>
      <c r="L2188" s="291"/>
      <c r="M2188" s="291"/>
      <c r="S2188" s="364"/>
      <c r="Z2188" s="609" t="s">
        <v>904</v>
      </c>
      <c r="AA2188" s="609" t="s">
        <v>5661</v>
      </c>
    </row>
    <row r="2189" spans="1:27" ht="18.75" thickBot="1">
      <c r="A2189" s="2714"/>
      <c r="B2189" s="371"/>
      <c r="C2189" s="371"/>
      <c r="D2189" s="2716">
        <f t="shared" si="224"/>
        <v>1</v>
      </c>
      <c r="E2189" s="2721" t="s">
        <v>3032</v>
      </c>
      <c r="F2189" s="294"/>
      <c r="G2189" s="1529" t="s">
        <v>2752</v>
      </c>
      <c r="H2189" s="1527">
        <f>SUMPRODUCT($E2183:$E2188,H2183:H2188)</f>
        <v>0</v>
      </c>
      <c r="I2189" s="2316"/>
      <c r="J2189" s="2266"/>
      <c r="K2189" s="291"/>
      <c r="L2189" s="291"/>
      <c r="M2189" s="291"/>
      <c r="S2189" s="364"/>
      <c r="Z2189" s="609" t="s">
        <v>904</v>
      </c>
      <c r="AA2189" s="609" t="s">
        <v>5661</v>
      </c>
    </row>
    <row r="2190" spans="1:27" ht="18">
      <c r="A2190" s="2714"/>
      <c r="B2190" s="371"/>
      <c r="C2190" s="371" t="s">
        <v>2755</v>
      </c>
      <c r="D2190" s="371"/>
      <c r="F2190" s="294"/>
      <c r="G2190" s="301"/>
      <c r="H2190" s="315"/>
      <c r="I2190" s="393"/>
      <c r="J2190" s="393"/>
      <c r="K2190" s="291"/>
      <c r="L2190" s="291"/>
      <c r="M2190" s="291"/>
      <c r="S2190" s="364"/>
      <c r="Z2190" s="609" t="s">
        <v>904</v>
      </c>
      <c r="AA2190" s="609" t="s">
        <v>5661</v>
      </c>
    </row>
    <row r="2191" spans="1:27" ht="18">
      <c r="A2191" s="2714" t="s">
        <v>5587</v>
      </c>
      <c r="B2191" s="371">
        <v>4</v>
      </c>
      <c r="C2191" s="371"/>
      <c r="D2191" s="2716" t="str">
        <f>VLOOKUP($A2191,Sheet_NoteList,2,0)</f>
        <v>外币持有至到期投资</v>
      </c>
      <c r="E2191" s="2716" t="s">
        <v>6531</v>
      </c>
      <c r="F2191" s="293"/>
      <c r="G2191" s="372" t="str">
        <f>"("&amp;B2191&amp;")"&amp;D2191</f>
        <v>(4)外币持有至到期投资</v>
      </c>
      <c r="H2191" s="1517" t="str">
        <f>$A2191</f>
        <v>1501f</v>
      </c>
      <c r="I2191" s="343" t="s">
        <v>5591</v>
      </c>
      <c r="J2191" s="301" t="s">
        <v>5592</v>
      </c>
      <c r="K2191" s="2210">
        <f>H2199</f>
        <v>0</v>
      </c>
      <c r="L2191" s="349" t="str">
        <f>IF($I2191="适用",IF(ROUND(K$2156-K2191,2)=0,"F/S",ROUND(K$2156-K2191,2)),"#N/A")</f>
        <v>F/S</v>
      </c>
      <c r="M2191" s="301" t="s">
        <v>5593</v>
      </c>
      <c r="N2191" s="2210">
        <f>I2199</f>
        <v>0</v>
      </c>
      <c r="O2191" s="349" t="str">
        <f>IF($I2191="适用",IF(ROUND(N$2156-N2191,2)=0,"F/S",ROUND(N$2156-N2191,2)),"#N/A")</f>
        <v>F/S</v>
      </c>
      <c r="P2191" s="301"/>
      <c r="S2191" s="364"/>
      <c r="Z2191" s="609" t="s">
        <v>904</v>
      </c>
      <c r="AA2191" s="609" t="s">
        <v>5661</v>
      </c>
    </row>
    <row r="2192" spans="1:27" ht="0.75" customHeight="1" thickBot="1">
      <c r="A2192" s="2714"/>
      <c r="B2192" s="371"/>
      <c r="C2192" s="371"/>
      <c r="D2192" s="2716"/>
      <c r="F2192" s="371"/>
      <c r="G2192" s="405" t="s">
        <v>5595</v>
      </c>
      <c r="H2192" s="371" t="s">
        <v>3073</v>
      </c>
      <c r="I2192" s="371" t="s">
        <v>3074</v>
      </c>
      <c r="J2192" s="371" t="s">
        <v>3075</v>
      </c>
      <c r="K2192" s="391"/>
      <c r="L2192" s="349"/>
      <c r="M2192" s="301"/>
      <c r="N2192" s="391"/>
      <c r="O2192" s="349"/>
      <c r="P2192" s="301"/>
      <c r="S2192" s="364"/>
      <c r="Z2192" s="609" t="s">
        <v>904</v>
      </c>
      <c r="AA2192" s="609" t="s">
        <v>5661</v>
      </c>
    </row>
    <row r="2193" spans="1:27" ht="24">
      <c r="A2193" s="2714"/>
      <c r="B2193" s="371"/>
      <c r="C2193" s="371"/>
      <c r="D2193" s="2716"/>
      <c r="E2193" s="2716" t="s">
        <v>2749</v>
      </c>
      <c r="F2193" s="293"/>
      <c r="G2193" s="1635" t="s">
        <v>47</v>
      </c>
      <c r="H2193" s="1627" t="s">
        <v>3076</v>
      </c>
      <c r="I2193" s="1627" t="s">
        <v>3077</v>
      </c>
      <c r="J2193" s="1628" t="s">
        <v>3078</v>
      </c>
      <c r="K2193" s="355" t="s">
        <v>5604</v>
      </c>
      <c r="L2193" s="291"/>
      <c r="M2193" s="301"/>
      <c r="N2193" s="391"/>
      <c r="O2193" s="349"/>
      <c r="P2193" s="301"/>
      <c r="S2193" s="364"/>
      <c r="Z2193" s="609" t="s">
        <v>904</v>
      </c>
      <c r="AA2193" s="609" t="s">
        <v>5661</v>
      </c>
    </row>
    <row r="2194" spans="1:27" ht="18">
      <c r="A2194" s="2714"/>
      <c r="B2194" s="371">
        <v>101</v>
      </c>
      <c r="C2194" s="371" t="s">
        <v>2791</v>
      </c>
      <c r="D2194" s="2716">
        <f t="shared" ref="D2194:D2199" si="225">IF(OR(G2194="*",G2194="",G2194=0),0,COUNTIF($G$2194:$G$2199,G2194))</f>
        <v>1</v>
      </c>
      <c r="E2194" s="2721">
        <v>1</v>
      </c>
      <c r="F2194" s="293"/>
      <c r="G2194" s="1626" t="s">
        <v>3079</v>
      </c>
      <c r="H2194" s="2329">
        <v>0</v>
      </c>
      <c r="I2194" s="430"/>
      <c r="J2194" s="2329">
        <v>0</v>
      </c>
      <c r="K2194" s="355" t="s">
        <v>5364</v>
      </c>
      <c r="L2194" s="1522" t="s">
        <v>5365</v>
      </c>
      <c r="M2194" s="301"/>
      <c r="N2194" s="391"/>
      <c r="O2194" s="349"/>
      <c r="P2194" s="301"/>
      <c r="S2194" s="364"/>
      <c r="Z2194" s="609" t="s">
        <v>904</v>
      </c>
      <c r="AA2194" s="609" t="s">
        <v>5661</v>
      </c>
    </row>
    <row r="2195" spans="1:27" ht="18">
      <c r="A2195" s="2714"/>
      <c r="B2195" s="371">
        <v>102</v>
      </c>
      <c r="C2195" s="371" t="s">
        <v>2791</v>
      </c>
      <c r="D2195" s="2716">
        <f t="shared" si="225"/>
        <v>1</v>
      </c>
      <c r="E2195" s="2721">
        <v>1</v>
      </c>
      <c r="F2195" s="293"/>
      <c r="G2195" s="1626" t="s">
        <v>3080</v>
      </c>
      <c r="H2195" s="2329">
        <v>0</v>
      </c>
      <c r="I2195" s="430"/>
      <c r="J2195" s="2329">
        <v>0</v>
      </c>
      <c r="K2195" s="391"/>
      <c r="L2195" s="349"/>
      <c r="M2195" s="301"/>
      <c r="N2195" s="391"/>
      <c r="O2195" s="349"/>
      <c r="P2195" s="301"/>
      <c r="S2195" s="364"/>
      <c r="Z2195" s="609" t="s">
        <v>904</v>
      </c>
      <c r="AA2195" s="609" t="s">
        <v>5661</v>
      </c>
    </row>
    <row r="2196" spans="1:27" ht="18">
      <c r="A2196" s="2714"/>
      <c r="B2196" s="371">
        <v>103</v>
      </c>
      <c r="C2196" s="371" t="s">
        <v>2791</v>
      </c>
      <c r="D2196" s="2716">
        <f t="shared" si="225"/>
        <v>1</v>
      </c>
      <c r="E2196" s="2721">
        <v>1</v>
      </c>
      <c r="F2196" s="293"/>
      <c r="G2196" s="1626" t="s">
        <v>3081</v>
      </c>
      <c r="H2196" s="2329">
        <v>0</v>
      </c>
      <c r="I2196" s="430"/>
      <c r="J2196" s="2329">
        <v>0</v>
      </c>
      <c r="K2196" s="391"/>
      <c r="L2196" s="349"/>
      <c r="M2196" s="301"/>
      <c r="N2196" s="391"/>
      <c r="O2196" s="349"/>
      <c r="P2196" s="301"/>
      <c r="S2196" s="364"/>
      <c r="Z2196" s="609" t="s">
        <v>904</v>
      </c>
      <c r="AA2196" s="609" t="s">
        <v>5661</v>
      </c>
    </row>
    <row r="2197" spans="1:27" ht="18">
      <c r="A2197" s="2714"/>
      <c r="B2197" s="371">
        <v>104</v>
      </c>
      <c r="C2197" s="371" t="s">
        <v>2791</v>
      </c>
      <c r="D2197" s="2716">
        <f t="shared" si="225"/>
        <v>0</v>
      </c>
      <c r="E2197" s="2721">
        <v>1</v>
      </c>
      <c r="F2197" s="293"/>
      <c r="G2197" s="1626" t="s">
        <v>2792</v>
      </c>
      <c r="H2197" s="2329">
        <v>0</v>
      </c>
      <c r="I2197" s="430"/>
      <c r="J2197" s="2329">
        <v>0</v>
      </c>
      <c r="K2197" s="391"/>
      <c r="L2197" s="349"/>
      <c r="M2197" s="301"/>
      <c r="N2197" s="391"/>
      <c r="O2197" s="349"/>
      <c r="P2197" s="301"/>
      <c r="S2197" s="364"/>
      <c r="Z2197" s="609" t="s">
        <v>904</v>
      </c>
      <c r="AA2197" s="609" t="s">
        <v>5661</v>
      </c>
    </row>
    <row r="2198" spans="1:27" ht="18">
      <c r="A2198" s="2714"/>
      <c r="B2198" s="371">
        <v>105</v>
      </c>
      <c r="C2198" s="371" t="s">
        <v>2791</v>
      </c>
      <c r="D2198" s="2716">
        <f t="shared" si="225"/>
        <v>0</v>
      </c>
      <c r="E2198" s="2721">
        <v>1</v>
      </c>
      <c r="F2198" s="293"/>
      <c r="G2198" s="1626" t="s">
        <v>2792</v>
      </c>
      <c r="H2198" s="2329">
        <v>0</v>
      </c>
      <c r="I2198" s="430"/>
      <c r="J2198" s="2329">
        <v>0</v>
      </c>
      <c r="K2198" s="391"/>
      <c r="L2198" s="349"/>
      <c r="M2198" s="301"/>
      <c r="N2198" s="391"/>
      <c r="O2198" s="349"/>
      <c r="P2198" s="301"/>
      <c r="S2198" s="364"/>
      <c r="Z2198" s="609" t="s">
        <v>904</v>
      </c>
      <c r="AA2198" s="609" t="s">
        <v>5661</v>
      </c>
    </row>
    <row r="2199" spans="1:27" ht="18.75" thickBot="1">
      <c r="A2199" s="2714"/>
      <c r="B2199" s="371"/>
      <c r="C2199" s="371"/>
      <c r="D2199" s="2716">
        <f t="shared" si="225"/>
        <v>1</v>
      </c>
      <c r="E2199" s="2721" t="s">
        <v>2751</v>
      </c>
      <c r="F2199" s="293"/>
      <c r="G2199" s="1529" t="s">
        <v>2752</v>
      </c>
      <c r="H2199" s="1527"/>
      <c r="I2199" s="1567"/>
      <c r="J2199" s="1528">
        <f>SUMPRODUCT($E2193:$E2198,J2193:J2198)</f>
        <v>0</v>
      </c>
      <c r="K2199" s="391"/>
      <c r="L2199" s="349"/>
      <c r="M2199" s="301"/>
      <c r="N2199" s="391"/>
      <c r="O2199" s="349"/>
      <c r="P2199" s="301"/>
      <c r="S2199" s="364"/>
      <c r="Z2199" s="609" t="s">
        <v>904</v>
      </c>
      <c r="AA2199" s="609" t="s">
        <v>5661</v>
      </c>
    </row>
    <row r="2200" spans="1:27" ht="18">
      <c r="A2200" s="2714"/>
      <c r="B2200" s="371"/>
      <c r="C2200" s="371" t="s">
        <v>2755</v>
      </c>
      <c r="D2200" s="2716"/>
      <c r="F2200" s="293"/>
      <c r="G2200" s="376"/>
      <c r="H2200" s="1576"/>
      <c r="I2200" s="432"/>
      <c r="J2200" s="315"/>
      <c r="K2200" s="391"/>
      <c r="L2200" s="349"/>
      <c r="M2200" s="301"/>
      <c r="N2200" s="391"/>
      <c r="O2200" s="349"/>
      <c r="P2200" s="301"/>
      <c r="S2200" s="364"/>
      <c r="Z2200" s="609" t="s">
        <v>904</v>
      </c>
      <c r="AA2200" s="609" t="s">
        <v>5661</v>
      </c>
    </row>
    <row r="2201" spans="1:27" ht="18">
      <c r="A2201" s="2714">
        <v>1531</v>
      </c>
      <c r="B2201" s="371">
        <v>18</v>
      </c>
      <c r="C2201" s="2716" t="str">
        <f>VLOOKUP($A2201,Sheet_Items,2,0)</f>
        <v>长期应收款</v>
      </c>
      <c r="D2201" s="371"/>
      <c r="E2201" s="2716" t="s">
        <v>2739</v>
      </c>
      <c r="F2201" s="294"/>
      <c r="G2201" s="305" t="str">
        <f>B2201&amp;" "&amp;C2201</f>
        <v>18 长期应收款</v>
      </c>
      <c r="H2201" s="306"/>
      <c r="I2201" s="306"/>
      <c r="J2201" s="306" t="s">
        <v>2740</v>
      </c>
      <c r="K2201" s="341">
        <f>VLOOKUP($A2201,Sheet_Trialbal,6,0)</f>
        <v>0</v>
      </c>
      <c r="L2201" s="342"/>
      <c r="M2201" s="306" t="s">
        <v>2741</v>
      </c>
      <c r="N2201" s="341">
        <f>VLOOKUP($A2201,Sheet_Trialbal,10,0)</f>
        <v>0</v>
      </c>
      <c r="O2201" s="306"/>
      <c r="P2201" s="301"/>
      <c r="S2201" s="364"/>
      <c r="Z2201" s="609" t="s">
        <v>925</v>
      </c>
      <c r="AA2201" s="609" t="s">
        <v>3451</v>
      </c>
    </row>
    <row r="2202" spans="1:27" ht="18">
      <c r="A2202" s="2714" t="s">
        <v>923</v>
      </c>
      <c r="B2202" s="371">
        <v>1</v>
      </c>
      <c r="C2202" s="371"/>
      <c r="D2202" s="2716" t="str">
        <f>VLOOKUP($A2202,Sheet_NoteList,2,0)</f>
        <v>长期应收款情况</v>
      </c>
      <c r="E2202" s="2716" t="s">
        <v>2742</v>
      </c>
      <c r="F2202" s="294"/>
      <c r="G2202" s="307" t="str">
        <f>"("&amp;B2202&amp;")"&amp;D2202</f>
        <v>(1)长期应收款情况</v>
      </c>
      <c r="H2202" s="1517" t="str">
        <f>$A2202</f>
        <v>1531a</v>
      </c>
      <c r="I2202" s="343" t="s">
        <v>2743</v>
      </c>
      <c r="J2202" s="301" t="s">
        <v>2744</v>
      </c>
      <c r="K2202" s="2210">
        <f>J2216</f>
        <v>0</v>
      </c>
      <c r="L2202" s="345" t="str">
        <f>IF($I2202="适用",IF(ROUND(K$2201-K2202,2)=0,"F/S",ROUND(K$2201-K2202,2)),"#N/A")</f>
        <v>F/S</v>
      </c>
      <c r="M2202" s="301" t="s">
        <v>2745</v>
      </c>
      <c r="N2202" s="2210">
        <f>M2216</f>
        <v>0</v>
      </c>
      <c r="O2202" s="345" t="str">
        <f>IF($I2202="适用",IF(ROUND(N$2201-N2202,2)=0,"F/S",ROUND(N$2201-N2202,2)),"#N/A")</f>
        <v>F/S</v>
      </c>
      <c r="P2202" s="301"/>
      <c r="Q2202" s="290" t="str">
        <f>IF($I2202="不适用","",IF(ROUND(SUM($H$2207:$N$2216),2)=0,"请输入",""))</f>
        <v>请输入</v>
      </c>
      <c r="S2202" s="364"/>
      <c r="Z2202" s="609" t="s">
        <v>925</v>
      </c>
      <c r="AA2202" s="609" t="s">
        <v>3451</v>
      </c>
    </row>
    <row r="2203" spans="1:27" ht="0.75" customHeight="1">
      <c r="A2203" s="2714"/>
      <c r="B2203" s="371"/>
      <c r="C2203" s="371"/>
      <c r="D2203" s="371"/>
      <c r="E2203" s="586"/>
      <c r="F2203" s="586"/>
      <c r="G2203" s="586" t="s">
        <v>3441</v>
      </c>
      <c r="H2203" s="371" t="s">
        <v>2882</v>
      </c>
      <c r="I2203" s="371" t="s">
        <v>3365</v>
      </c>
      <c r="J2203" s="371" t="s">
        <v>3208</v>
      </c>
      <c r="K2203" s="371" t="s">
        <v>3209</v>
      </c>
      <c r="L2203" s="371" t="s">
        <v>3366</v>
      </c>
      <c r="M2203" s="371" t="s">
        <v>3211</v>
      </c>
      <c r="N2203" s="371" t="s">
        <v>3442</v>
      </c>
      <c r="S2203" s="364"/>
      <c r="Z2203" s="609" t="s">
        <v>925</v>
      </c>
      <c r="AA2203" s="609" t="s">
        <v>3451</v>
      </c>
    </row>
    <row r="2204" spans="1:27" ht="0.75" customHeight="1" thickBot="1">
      <c r="A2204" s="2714"/>
      <c r="B2204" s="371"/>
      <c r="C2204" s="371"/>
      <c r="D2204" s="371"/>
      <c r="E2204" s="586"/>
      <c r="F2204" s="586"/>
      <c r="G2204" s="586"/>
      <c r="H2204" s="371" t="s">
        <v>2855</v>
      </c>
      <c r="I2204" s="371" t="s">
        <v>2856</v>
      </c>
      <c r="J2204" s="371" t="s">
        <v>2857</v>
      </c>
      <c r="K2204" s="371" t="s">
        <v>3213</v>
      </c>
      <c r="L2204" s="371" t="s">
        <v>3169</v>
      </c>
      <c r="M2204" s="371" t="s">
        <v>3215</v>
      </c>
      <c r="N2204" s="371" t="s">
        <v>3443</v>
      </c>
      <c r="S2204" s="364"/>
      <c r="Z2204" s="609" t="s">
        <v>925</v>
      </c>
      <c r="AA2204" s="609" t="s">
        <v>3451</v>
      </c>
    </row>
    <row r="2205" spans="1:27" ht="18" customHeight="1">
      <c r="A2205" s="2714"/>
      <c r="B2205" s="371"/>
      <c r="C2205" s="371"/>
      <c r="D2205" s="371"/>
      <c r="E2205" s="586" t="s">
        <v>2749</v>
      </c>
      <c r="F2205" s="2343"/>
      <c r="G2205" s="3465" t="s">
        <v>47</v>
      </c>
      <c r="H2205" s="3428" t="str">
        <f>$V$2</f>
        <v>2019年12月31日</v>
      </c>
      <c r="I2205" s="3429"/>
      <c r="J2205" s="3430"/>
      <c r="K2205" s="3428" t="str">
        <f>$V$3</f>
        <v>2018年12月31日</v>
      </c>
      <c r="L2205" s="3429"/>
      <c r="M2205" s="3430"/>
      <c r="N2205" s="3394" t="s">
        <v>3444</v>
      </c>
      <c r="O2205" s="355" t="s">
        <v>5282</v>
      </c>
      <c r="S2205" s="364"/>
      <c r="Z2205" s="609" t="s">
        <v>925</v>
      </c>
      <c r="AA2205" s="609" t="s">
        <v>3451</v>
      </c>
    </row>
    <row r="2206" spans="1:27" ht="18">
      <c r="A2206" s="2714"/>
      <c r="B2206" s="371"/>
      <c r="C2206" s="371"/>
      <c r="D2206" s="371"/>
      <c r="E2206" s="586" t="s">
        <v>2749</v>
      </c>
      <c r="F2206" s="363"/>
      <c r="G2206" s="3466"/>
      <c r="H2206" s="2283" t="s">
        <v>2861</v>
      </c>
      <c r="I2206" s="2283" t="s">
        <v>2862</v>
      </c>
      <c r="J2206" s="2283" t="s">
        <v>2863</v>
      </c>
      <c r="K2206" s="2283" t="s">
        <v>2861</v>
      </c>
      <c r="L2206" s="2283" t="s">
        <v>2862</v>
      </c>
      <c r="M2206" s="2283" t="s">
        <v>2863</v>
      </c>
      <c r="N2206" s="3395"/>
      <c r="S2206" s="364"/>
      <c r="Z2206" s="609" t="s">
        <v>925</v>
      </c>
      <c r="AA2206" s="609" t="s">
        <v>3451</v>
      </c>
    </row>
    <row r="2207" spans="1:27" ht="18">
      <c r="A2207" s="2714"/>
      <c r="B2207" s="371">
        <v>101</v>
      </c>
      <c r="C2207" s="371"/>
      <c r="D2207" s="2716">
        <f t="shared" ref="D2207:D2216" si="226">IF(OR(G2207="*",G2207="",G2207=0),0,COUNTIF($G$2207:$G$2216,G2207))</f>
        <v>1</v>
      </c>
      <c r="E2207" s="2721">
        <v>1</v>
      </c>
      <c r="F2207" s="294"/>
      <c r="G2207" s="1474" t="s">
        <v>3445</v>
      </c>
      <c r="H2207" s="2275"/>
      <c r="I2207" s="2275"/>
      <c r="J2207" s="1476">
        <f>H2207-I2207</f>
        <v>0</v>
      </c>
      <c r="K2207" s="2275"/>
      <c r="L2207" s="2275"/>
      <c r="M2207" s="1476">
        <f>K2207-L2207</f>
        <v>0</v>
      </c>
      <c r="N2207" s="2276"/>
      <c r="S2207" s="364"/>
      <c r="Z2207" s="609" t="s">
        <v>925</v>
      </c>
      <c r="AA2207" s="609" t="s">
        <v>3451</v>
      </c>
    </row>
    <row r="2208" spans="1:27" ht="18">
      <c r="A2208" s="2714"/>
      <c r="B2208" s="371">
        <v>102</v>
      </c>
      <c r="C2208" s="371"/>
      <c r="D2208" s="2716">
        <f t="shared" si="226"/>
        <v>1</v>
      </c>
      <c r="E2208" s="2721">
        <v>0</v>
      </c>
      <c r="F2208" s="294"/>
      <c r="G2208" s="1474" t="s">
        <v>3446</v>
      </c>
      <c r="H2208" s="2275"/>
      <c r="I2208" s="2275"/>
      <c r="J2208" s="1476">
        <f>H2208-I2208</f>
        <v>0</v>
      </c>
      <c r="K2208" s="2275"/>
      <c r="L2208" s="2275"/>
      <c r="M2208" s="1476">
        <f>K2208-L2208</f>
        <v>0</v>
      </c>
      <c r="N2208" s="2276"/>
      <c r="S2208" s="364"/>
      <c r="Z2208" s="609" t="s">
        <v>925</v>
      </c>
      <c r="AA2208" s="609" t="s">
        <v>3451</v>
      </c>
    </row>
    <row r="2209" spans="1:29" ht="18">
      <c r="A2209" s="2714"/>
      <c r="B2209" s="371">
        <v>103</v>
      </c>
      <c r="C2209" s="371"/>
      <c r="D2209" s="2716">
        <f t="shared" si="226"/>
        <v>1</v>
      </c>
      <c r="E2209" s="2721">
        <v>1</v>
      </c>
      <c r="F2209" s="294"/>
      <c r="G2209" s="1474" t="s">
        <v>3447</v>
      </c>
      <c r="H2209" s="2275"/>
      <c r="I2209" s="2275"/>
      <c r="J2209" s="1476">
        <f t="shared" ref="J2209:J2214" si="227">H2209-I2209</f>
        <v>0</v>
      </c>
      <c r="K2209" s="2275"/>
      <c r="L2209" s="2275"/>
      <c r="M2209" s="1476">
        <f t="shared" ref="M2209:M2214" si="228">K2209-L2209</f>
        <v>0</v>
      </c>
      <c r="N2209" s="2276"/>
      <c r="S2209" s="364"/>
      <c r="Z2209" s="609" t="s">
        <v>925</v>
      </c>
      <c r="AA2209" s="609" t="s">
        <v>3451</v>
      </c>
    </row>
    <row r="2210" spans="1:29" ht="18">
      <c r="A2210" s="2714"/>
      <c r="B2210" s="371">
        <v>104</v>
      </c>
      <c r="C2210" s="371"/>
      <c r="D2210" s="2716">
        <f t="shared" si="226"/>
        <v>1</v>
      </c>
      <c r="E2210" s="2721">
        <v>1</v>
      </c>
      <c r="F2210" s="294"/>
      <c r="G2210" s="1474" t="s">
        <v>3448</v>
      </c>
      <c r="H2210" s="2275"/>
      <c r="I2210" s="2275"/>
      <c r="J2210" s="1476">
        <f t="shared" si="227"/>
        <v>0</v>
      </c>
      <c r="K2210" s="2275"/>
      <c r="L2210" s="2275"/>
      <c r="M2210" s="1476">
        <f t="shared" si="228"/>
        <v>0</v>
      </c>
      <c r="N2210" s="2276"/>
      <c r="S2210" s="364"/>
      <c r="Z2210" s="609" t="s">
        <v>925</v>
      </c>
      <c r="AA2210" s="609" t="s">
        <v>3451</v>
      </c>
    </row>
    <row r="2211" spans="1:29" ht="18">
      <c r="A2211" s="2714"/>
      <c r="B2211" s="371">
        <v>105</v>
      </c>
      <c r="C2211" s="371"/>
      <c r="D2211" s="2716">
        <f t="shared" si="226"/>
        <v>1</v>
      </c>
      <c r="E2211" s="2721">
        <v>1</v>
      </c>
      <c r="F2211" s="294"/>
      <c r="G2211" s="1474" t="s">
        <v>3449</v>
      </c>
      <c r="H2211" s="2275"/>
      <c r="I2211" s="2275"/>
      <c r="J2211" s="1476">
        <f t="shared" si="227"/>
        <v>0</v>
      </c>
      <c r="K2211" s="2275"/>
      <c r="L2211" s="2275"/>
      <c r="M2211" s="1476">
        <f t="shared" si="228"/>
        <v>0</v>
      </c>
      <c r="N2211" s="2276"/>
      <c r="S2211" s="364"/>
      <c r="Z2211" s="609" t="s">
        <v>925</v>
      </c>
      <c r="AA2211" s="609" t="s">
        <v>3451</v>
      </c>
    </row>
    <row r="2212" spans="1:29" ht="18">
      <c r="A2212" s="2714"/>
      <c r="B2212" s="371">
        <v>106</v>
      </c>
      <c r="C2212" s="371"/>
      <c r="D2212" s="2716">
        <f t="shared" si="226"/>
        <v>1</v>
      </c>
      <c r="E2212" s="2721">
        <v>1</v>
      </c>
      <c r="F2212" s="294"/>
      <c r="G2212" s="1474" t="s">
        <v>3450</v>
      </c>
      <c r="H2212" s="2275"/>
      <c r="I2212" s="2275"/>
      <c r="J2212" s="1476">
        <f t="shared" si="227"/>
        <v>0</v>
      </c>
      <c r="K2212" s="2275"/>
      <c r="L2212" s="2275"/>
      <c r="M2212" s="1476">
        <f t="shared" si="228"/>
        <v>0</v>
      </c>
      <c r="N2212" s="2276"/>
      <c r="S2212" s="364"/>
      <c r="Z2212" s="609" t="s">
        <v>925</v>
      </c>
      <c r="AA2212" s="609" t="s">
        <v>3451</v>
      </c>
    </row>
    <row r="2213" spans="1:29" ht="18">
      <c r="A2213" s="2714"/>
      <c r="B2213" s="371">
        <v>107</v>
      </c>
      <c r="C2213" s="371" t="s">
        <v>2791</v>
      </c>
      <c r="D2213" s="2716">
        <f t="shared" si="226"/>
        <v>0</v>
      </c>
      <c r="E2213" s="2721">
        <v>1</v>
      </c>
      <c r="F2213" s="294"/>
      <c r="G2213" s="2284" t="s">
        <v>2792</v>
      </c>
      <c r="H2213" s="2275"/>
      <c r="I2213" s="2275"/>
      <c r="J2213" s="1476">
        <f t="shared" si="227"/>
        <v>0</v>
      </c>
      <c r="K2213" s="2275"/>
      <c r="L2213" s="2275"/>
      <c r="M2213" s="1476">
        <f t="shared" si="228"/>
        <v>0</v>
      </c>
      <c r="N2213" s="2276"/>
      <c r="S2213" s="364"/>
      <c r="Z2213" s="609" t="s">
        <v>925</v>
      </c>
      <c r="AA2213" s="609" t="s">
        <v>3451</v>
      </c>
    </row>
    <row r="2214" spans="1:29" ht="18">
      <c r="A2214" s="2714"/>
      <c r="B2214" s="371">
        <v>108</v>
      </c>
      <c r="C2214" s="371" t="s">
        <v>2791</v>
      </c>
      <c r="D2214" s="2716">
        <f t="shared" si="226"/>
        <v>0</v>
      </c>
      <c r="E2214" s="2721">
        <v>1</v>
      </c>
      <c r="F2214" s="294"/>
      <c r="G2214" s="2284" t="s">
        <v>2792</v>
      </c>
      <c r="H2214" s="2275"/>
      <c r="I2214" s="2275"/>
      <c r="J2214" s="1476">
        <f t="shared" si="227"/>
        <v>0</v>
      </c>
      <c r="K2214" s="2275"/>
      <c r="L2214" s="2275"/>
      <c r="M2214" s="1476">
        <f t="shared" si="228"/>
        <v>0</v>
      </c>
      <c r="N2214" s="2276"/>
      <c r="S2214" s="364"/>
      <c r="Z2214" s="609" t="s">
        <v>925</v>
      </c>
      <c r="AA2214" s="609" t="s">
        <v>3451</v>
      </c>
    </row>
    <row r="2215" spans="1:29" ht="18">
      <c r="A2215" s="2714"/>
      <c r="B2215" s="371">
        <v>109</v>
      </c>
      <c r="C2215" s="371" t="s">
        <v>2791</v>
      </c>
      <c r="D2215" s="2716">
        <f t="shared" si="226"/>
        <v>1</v>
      </c>
      <c r="E2215" s="2721">
        <v>-1</v>
      </c>
      <c r="F2215" s="294"/>
      <c r="G2215" s="2692" t="s">
        <v>6401</v>
      </c>
      <c r="H2215" s="2275"/>
      <c r="I2215" s="2275"/>
      <c r="J2215" s="2275">
        <v>0</v>
      </c>
      <c r="K2215" s="2275"/>
      <c r="L2215" s="2275"/>
      <c r="M2215" s="2275">
        <v>0</v>
      </c>
      <c r="N2215" s="2276"/>
      <c r="O2215" s="1534" t="str">
        <f ca="1">HYPERLINK("#'"&amp;$G$1&amp;"'!"&amp;ADDRESS(ROW(Notes!K1795),COLUMN(Notes!K1795),4),"* 请勿删除此行！点击往勾稽单元格，F5+Enter返回")</f>
        <v>* 请勿删除此行！点击往勾稽单元格，F5+Enter返回</v>
      </c>
      <c r="S2215" s="364"/>
      <c r="Z2215" s="609" t="s">
        <v>925</v>
      </c>
      <c r="AA2215" s="609" t="s">
        <v>3451</v>
      </c>
      <c r="AC2215" s="369" t="s">
        <v>6573</v>
      </c>
    </row>
    <row r="2216" spans="1:29" ht="18.75" thickBot="1">
      <c r="A2216" s="2714"/>
      <c r="B2216" s="371"/>
      <c r="C2216" s="371"/>
      <c r="D2216" s="2716">
        <f t="shared" si="226"/>
        <v>1</v>
      </c>
      <c r="E2216" s="2721" t="s">
        <v>2751</v>
      </c>
      <c r="F2216" s="294"/>
      <c r="G2216" s="374" t="s">
        <v>2752</v>
      </c>
      <c r="H2216" s="1478">
        <f t="shared" ref="H2216:M2216" si="229">SUMPRODUCT($E2206:$E2215,H2206:H2215)</f>
        <v>0</v>
      </c>
      <c r="I2216" s="1478">
        <f t="shared" si="229"/>
        <v>0</v>
      </c>
      <c r="J2216" s="1478">
        <f t="shared" si="229"/>
        <v>0</v>
      </c>
      <c r="K2216" s="1478">
        <f t="shared" si="229"/>
        <v>0</v>
      </c>
      <c r="L2216" s="1478">
        <f t="shared" si="229"/>
        <v>0</v>
      </c>
      <c r="M2216" s="1478">
        <f t="shared" si="229"/>
        <v>0</v>
      </c>
      <c r="N2216" s="2260"/>
      <c r="O2216" s="1534" t="str">
        <f ca="1">HYPERLINK("#'"&amp;$G$1&amp;"'!"&amp;ADDRESS(ROW(Notes!H2228),COLUMN(Notes!H2228),4),"* 请勿删除此行！点击往勾稽单元格，F5+Enter返回")</f>
        <v>* 请勿删除此行！点击往勾稽单元格，F5+Enter返回</v>
      </c>
      <c r="S2216" s="364"/>
      <c r="Z2216" s="609" t="s">
        <v>925</v>
      </c>
      <c r="AA2216" s="609" t="s">
        <v>3451</v>
      </c>
      <c r="AC2216" s="369" t="s">
        <v>6573</v>
      </c>
    </row>
    <row r="2217" spans="1:29" ht="18">
      <c r="A2217" s="2714"/>
      <c r="B2217" s="371"/>
      <c r="C2217" s="371" t="s">
        <v>2755</v>
      </c>
      <c r="D2217" s="371"/>
      <c r="F2217" s="294"/>
      <c r="G2217" s="301"/>
      <c r="H2217" s="315"/>
      <c r="I2217" s="315"/>
      <c r="J2217" s="315"/>
      <c r="K2217" s="315"/>
      <c r="L2217" s="315"/>
      <c r="M2217" s="315"/>
      <c r="N2217" s="393"/>
      <c r="S2217" s="364"/>
      <c r="Z2217" s="609" t="s">
        <v>925</v>
      </c>
      <c r="AA2217" s="609" t="s">
        <v>3451</v>
      </c>
    </row>
    <row r="2218" spans="1:29" ht="36">
      <c r="A2218" s="2714" t="s">
        <v>5919</v>
      </c>
      <c r="B2218" s="371">
        <v>2.1</v>
      </c>
      <c r="C2218" s="371"/>
      <c r="D2218" s="2716" t="str">
        <f>VLOOKUP($A2218,Sheet_NoteList,2,0)</f>
        <v>长期应收款按坏账计提方法分类披露（三阶段模型）</v>
      </c>
      <c r="E2218" s="2716" t="s">
        <v>6531</v>
      </c>
      <c r="F2218" s="293"/>
      <c r="G2218" s="372" t="str">
        <f>"("&amp;B2218&amp;")"&amp;D2218</f>
        <v>(2.1)长期应收款按坏账计提方法分类披露（三阶段模型）</v>
      </c>
      <c r="H2218" s="1517" t="str">
        <f>$A2218</f>
        <v>1531t</v>
      </c>
      <c r="I2218" s="343" t="s">
        <v>5950</v>
      </c>
      <c r="J2218" s="301" t="s">
        <v>5951</v>
      </c>
      <c r="K2218" s="2210">
        <f>H2225</f>
        <v>0</v>
      </c>
      <c r="L2218" s="349" t="str">
        <f>IF($I2218="适用",IF(ROUND(K$2201-K2218,2)=0,"F/S",ROUND(K$2201-K2218,2)),"#N/A")</f>
        <v>F/S</v>
      </c>
      <c r="M2218" s="301"/>
      <c r="N2218" s="391"/>
      <c r="O2218" s="349"/>
      <c r="P2218" s="301"/>
      <c r="S2218" s="364"/>
      <c r="Z2218" s="609" t="s">
        <v>925</v>
      </c>
      <c r="AA2218" s="609" t="s">
        <v>3451</v>
      </c>
    </row>
    <row r="2219" spans="1:29" ht="0.75" customHeight="1" thickBot="1">
      <c r="A2219" s="2714"/>
      <c r="B2219" s="371"/>
      <c r="C2219" s="371"/>
      <c r="D2219" s="2716"/>
      <c r="E2219" s="586"/>
      <c r="F2219" s="586"/>
      <c r="G2219" s="2224" t="s">
        <v>5952</v>
      </c>
      <c r="H2219" s="1617" t="s">
        <v>6178</v>
      </c>
      <c r="I2219" s="371" t="s">
        <v>6217</v>
      </c>
      <c r="J2219" s="371" t="s">
        <v>6218</v>
      </c>
      <c r="K2219" s="391"/>
      <c r="L2219" s="349"/>
      <c r="M2219" s="301"/>
      <c r="N2219" s="391"/>
      <c r="O2219" s="349"/>
      <c r="P2219" s="301"/>
      <c r="S2219" s="364"/>
      <c r="Z2219" s="609" t="s">
        <v>925</v>
      </c>
      <c r="AA2219" s="609" t="s">
        <v>3451</v>
      </c>
    </row>
    <row r="2220" spans="1:29" ht="18.75" thickTop="1">
      <c r="A2220" s="2714"/>
      <c r="B2220" s="371"/>
      <c r="C2220" s="371"/>
      <c r="D2220" s="2716"/>
      <c r="E2220" s="586" t="s">
        <v>2749</v>
      </c>
      <c r="F2220" s="414"/>
      <c r="G2220" s="2289" t="s">
        <v>6029</v>
      </c>
      <c r="H2220" s="2232" t="s">
        <v>2861</v>
      </c>
      <c r="I2220" s="2232" t="s">
        <v>2862</v>
      </c>
      <c r="J2220" s="2293" t="s">
        <v>2863</v>
      </c>
      <c r="K2220" s="355" t="s">
        <v>5282</v>
      </c>
      <c r="L2220" s="1584" t="str">
        <f>H2220</f>
        <v>账面余额</v>
      </c>
      <c r="M2220" s="1584" t="str">
        <f>I2220</f>
        <v>坏账准备</v>
      </c>
      <c r="N2220" s="2659" t="str">
        <f>J2220</f>
        <v>账面价值</v>
      </c>
      <c r="O2220" s="2658" t="str">
        <f>""&amp;"NoteID"&amp;""</f>
        <v>NoteID</v>
      </c>
      <c r="P2220" s="301"/>
      <c r="S2220" s="364"/>
      <c r="Z2220" s="609" t="s">
        <v>925</v>
      </c>
      <c r="AA2220" s="609" t="s">
        <v>3451</v>
      </c>
    </row>
    <row r="2221" spans="1:29" ht="18">
      <c r="A2221" s="2714"/>
      <c r="B2221" s="371">
        <v>101</v>
      </c>
      <c r="C2221" s="371"/>
      <c r="D2221" s="2716">
        <f t="shared" ref="D2221:D2225" si="230">IF(OR(G2221="*",G2221="",G2221=0),0,COUNTIF($G$2221:$G$2225,G2221))</f>
        <v>1</v>
      </c>
      <c r="E2221" s="2721">
        <v>1</v>
      </c>
      <c r="F2221" s="293"/>
      <c r="G2221" s="1474" t="s">
        <v>6030</v>
      </c>
      <c r="H2221" s="2275"/>
      <c r="I2221" s="2275"/>
      <c r="J2221" s="1477">
        <f>H2221-I2221</f>
        <v>0</v>
      </c>
      <c r="K2221" s="391"/>
      <c r="L2221" s="2252">
        <f ca="1">HYPERLINK("#'"&amp;$G$1&amp;"'!"&amp;ADDRESS(ROW(Notes!H2245),COLUMN(Notes!H2245),4),H2245-H2221)</f>
        <v>0</v>
      </c>
      <c r="M2221" s="2252">
        <f ca="1">HYPERLINK("#'"&amp;$G$1&amp;"'!"&amp;ADDRESS(ROW(Notes!J2245),COLUMN(Notes!J2245),4),J2245-I2221)</f>
        <v>0</v>
      </c>
      <c r="N2221" s="2252">
        <f ca="1">HYPERLINK("#'"&amp;$G$1&amp;"'!"&amp;ADDRESS(ROW(Notes!K2245),COLUMN(Notes!K2245),4),K2245-J2221)</f>
        <v>0</v>
      </c>
      <c r="O2221" s="2632" t="str">
        <f>H2234</f>
        <v>1531i</v>
      </c>
      <c r="P2221" s="301"/>
      <c r="S2221" s="364"/>
      <c r="Z2221" s="609" t="s">
        <v>925</v>
      </c>
      <c r="AA2221" s="609" t="s">
        <v>3451</v>
      </c>
    </row>
    <row r="2222" spans="1:29" ht="18">
      <c r="A2222" s="2714"/>
      <c r="B2222" s="371">
        <v>102</v>
      </c>
      <c r="C2222" s="371"/>
      <c r="D2222" s="2716">
        <f t="shared" si="230"/>
        <v>1</v>
      </c>
      <c r="E2222" s="2721">
        <v>1</v>
      </c>
      <c r="F2222" s="293"/>
      <c r="G2222" s="1474" t="s">
        <v>6031</v>
      </c>
      <c r="H2222" s="2275"/>
      <c r="I2222" s="2275"/>
      <c r="J2222" s="1477">
        <f t="shared" ref="J2222:J2224" si="231">H2222-I2222</f>
        <v>0</v>
      </c>
      <c r="K2222" s="391"/>
      <c r="L2222" s="2252">
        <f ca="1">HYPERLINK("#'"&amp;$G$1&amp;"'!"&amp;ADDRESS(ROW(Notes!H2258),COLUMN(Notes!H2258),4),H2258-H2222)</f>
        <v>0</v>
      </c>
      <c r="M2222" s="2252">
        <f ca="1">HYPERLINK("#'"&amp;$G$1&amp;"'!"&amp;ADDRESS(ROW(Notes!J2258),COLUMN(Notes!J2258),4),J2258-I2222)</f>
        <v>0</v>
      </c>
      <c r="N2222" s="2252">
        <f ca="1">HYPERLINK("#'"&amp;$G$1&amp;"'!"&amp;ADDRESS(ROW(Notes!K2258),COLUMN(Notes!K2258),4),K2258-J2222)</f>
        <v>0</v>
      </c>
      <c r="O2222" s="2632" t="str">
        <f>H2247</f>
        <v>1531j</v>
      </c>
      <c r="P2222" s="301"/>
      <c r="S2222" s="364"/>
      <c r="Z2222" s="609" t="s">
        <v>925</v>
      </c>
      <c r="AA2222" s="609" t="s">
        <v>3451</v>
      </c>
    </row>
    <row r="2223" spans="1:29" ht="18">
      <c r="A2223" s="2714"/>
      <c r="B2223" s="371">
        <v>103</v>
      </c>
      <c r="C2223" s="371"/>
      <c r="D2223" s="2716">
        <f t="shared" si="230"/>
        <v>1</v>
      </c>
      <c r="E2223" s="2721">
        <v>1</v>
      </c>
      <c r="F2223" s="293"/>
      <c r="G2223" s="1474" t="s">
        <v>6032</v>
      </c>
      <c r="H2223" s="2275"/>
      <c r="I2223" s="2275"/>
      <c r="J2223" s="1477">
        <f t="shared" si="231"/>
        <v>0</v>
      </c>
      <c r="K2223" s="391"/>
      <c r="L2223" s="2252">
        <f ca="1">HYPERLINK("#'"&amp;$G$1&amp;"'!"&amp;ADDRESS(ROW(Notes!H2271),COLUMN(Notes!H2271),4),H2271-H2223)</f>
        <v>0</v>
      </c>
      <c r="M2223" s="2252">
        <f ca="1">HYPERLINK("#'"&amp;$G$1&amp;"'!"&amp;ADDRESS(ROW(Notes!J2271),COLUMN(Notes!J2271),4),J2271-I2223)</f>
        <v>0</v>
      </c>
      <c r="N2223" s="2252">
        <f ca="1">HYPERLINK("#'"&amp;$G$1&amp;"'!"&amp;ADDRESS(ROW(Notes!K2271),COLUMN(Notes!K2271),4),K2271-J2223)</f>
        <v>0</v>
      </c>
      <c r="O2223" s="2632" t="str">
        <f>H2260</f>
        <v>1531k</v>
      </c>
      <c r="P2223" s="301"/>
      <c r="S2223" s="364"/>
      <c r="Z2223" s="609" t="s">
        <v>925</v>
      </c>
      <c r="AA2223" s="609" t="s">
        <v>3451</v>
      </c>
    </row>
    <row r="2224" spans="1:29" ht="18">
      <c r="A2224" s="2714"/>
      <c r="B2224" s="371">
        <v>104</v>
      </c>
      <c r="C2224" s="371" t="s">
        <v>2791</v>
      </c>
      <c r="D2224" s="2716">
        <f t="shared" si="230"/>
        <v>0</v>
      </c>
      <c r="E2224" s="2721">
        <v>1</v>
      </c>
      <c r="F2224" s="293"/>
      <c r="G2224" s="2284" t="s">
        <v>2792</v>
      </c>
      <c r="H2224" s="2275"/>
      <c r="I2224" s="2275"/>
      <c r="J2224" s="1477">
        <f t="shared" si="231"/>
        <v>0</v>
      </c>
      <c r="K2224" s="391"/>
      <c r="L2224" s="456"/>
      <c r="M2224" s="456"/>
      <c r="N2224" s="456"/>
      <c r="O2224" s="456"/>
      <c r="P2224" s="301"/>
      <c r="S2224" s="364"/>
      <c r="Z2224" s="609" t="s">
        <v>925</v>
      </c>
      <c r="AA2224" s="609" t="s">
        <v>3451</v>
      </c>
    </row>
    <row r="2225" spans="1:27" ht="18.75" thickBot="1">
      <c r="A2225" s="2714"/>
      <c r="B2225" s="371"/>
      <c r="C2225" s="371"/>
      <c r="D2225" s="2716">
        <f t="shared" si="230"/>
        <v>1</v>
      </c>
      <c r="E2225" s="2721" t="s">
        <v>2751</v>
      </c>
      <c r="F2225" s="293"/>
      <c r="G2225" s="2234" t="s">
        <v>2752</v>
      </c>
      <c r="H2225" s="2235">
        <f>SUMPRODUCT($E2220:$E2224,H2220:H2224)</f>
        <v>0</v>
      </c>
      <c r="I2225" s="2235">
        <f>SUMPRODUCT($E2220:$E2224,I2220:I2224)</f>
        <v>0</v>
      </c>
      <c r="J2225" s="2236">
        <f>SUMPRODUCT($E2220:$E2224,J2220:J2224)</f>
        <v>0</v>
      </c>
      <c r="K2225" s="391"/>
      <c r="L2225" s="1531">
        <f t="shared" ref="L2225:O2225" ca="1" si="232">SUM(L2221:L2224)</f>
        <v>0</v>
      </c>
      <c r="M2225" s="1531">
        <f t="shared" ca="1" si="232"/>
        <v>0</v>
      </c>
      <c r="N2225" s="1531">
        <f t="shared" ca="1" si="232"/>
        <v>0</v>
      </c>
      <c r="O2225" s="1531">
        <f t="shared" si="232"/>
        <v>0</v>
      </c>
      <c r="P2225" s="301"/>
      <c r="S2225" s="364"/>
      <c r="Z2225" s="609" t="s">
        <v>925</v>
      </c>
      <c r="AA2225" s="609" t="s">
        <v>3451</v>
      </c>
    </row>
    <row r="2226" spans="1:27" ht="18.75" thickBot="1">
      <c r="A2226" s="2714"/>
      <c r="B2226" s="371"/>
      <c r="C2226" s="371" t="s">
        <v>2755</v>
      </c>
      <c r="D2226" s="2716"/>
      <c r="F2226" s="293"/>
      <c r="G2226" s="376"/>
      <c r="H2226" s="2626" t="s">
        <v>3002</v>
      </c>
      <c r="I2226" s="2253" t="s">
        <v>3002</v>
      </c>
      <c r="J2226" s="527" t="s">
        <v>3002</v>
      </c>
      <c r="K2226" s="391"/>
      <c r="L2226" s="1539" t="s">
        <v>5495</v>
      </c>
      <c r="M2226" s="354"/>
      <c r="N2226" s="317"/>
      <c r="O2226" s="317"/>
      <c r="P2226" s="301"/>
      <c r="S2226" s="364"/>
      <c r="Z2226" s="609" t="s">
        <v>925</v>
      </c>
      <c r="AA2226" s="609" t="s">
        <v>3451</v>
      </c>
    </row>
    <row r="2227" spans="1:27" ht="18.75" thickTop="1">
      <c r="A2227" s="2714"/>
      <c r="B2227" s="371"/>
      <c r="C2227" s="371" t="s">
        <v>2565</v>
      </c>
      <c r="D2227" s="2716"/>
      <c r="F2227" s="293"/>
      <c r="G2227" s="1549" t="s">
        <v>5367</v>
      </c>
      <c r="H2227" s="1550" t="str">
        <f>G2202</f>
        <v>(1)长期应收款情况</v>
      </c>
      <c r="I2227" s="1552"/>
      <c r="J2227" s="1552"/>
      <c r="K2227" s="1553" t="s">
        <v>5368</v>
      </c>
      <c r="L2227" s="349"/>
      <c r="M2227" s="301"/>
      <c r="N2227" s="391"/>
      <c r="O2227" s="349"/>
      <c r="P2227" s="301"/>
      <c r="S2227" s="364"/>
      <c r="Z2227" s="609" t="s">
        <v>925</v>
      </c>
      <c r="AA2227" s="609" t="s">
        <v>3451</v>
      </c>
    </row>
    <row r="2228" spans="1:27" ht="18">
      <c r="A2228" s="2714"/>
      <c r="B2228" s="371"/>
      <c r="C2228" s="371" t="s">
        <v>2565</v>
      </c>
      <c r="D2228" s="2716"/>
      <c r="F2228" s="293"/>
      <c r="G2228" s="604" t="str">
        <f>"注释A:"&amp; G2216</f>
        <v>注释A:合       计</v>
      </c>
      <c r="H2228" s="2252">
        <f ca="1">HYPERLINK("#'"&amp;$G$1&amp;"'!"&amp;ADDRESS(ROW(Notes!H2216),COLUMN(Notes!H2216),4),H2216)</f>
        <v>0</v>
      </c>
      <c r="I2228" s="2252">
        <f ca="1">HYPERLINK("#'"&amp;$G$1&amp;"'!"&amp;ADDRESS(ROW(Notes!I2216),COLUMN(Notes!I2216),4),I2216)</f>
        <v>0</v>
      </c>
      <c r="J2228" s="2252">
        <f ca="1">HYPERLINK("#'"&amp;$G$1&amp;"'!"&amp;ADDRESS(ROW(Notes!J2216),COLUMN(Notes!J2216),4),J2216)</f>
        <v>0</v>
      </c>
      <c r="K2228" s="2632" t="str">
        <f>H2202</f>
        <v>1531a</v>
      </c>
      <c r="L2228" s="349"/>
      <c r="M2228" s="301"/>
      <c r="N2228" s="391"/>
      <c r="O2228" s="349"/>
      <c r="P2228" s="301"/>
      <c r="S2228" s="364"/>
      <c r="Z2228" s="609" t="s">
        <v>925</v>
      </c>
      <c r="AA2228" s="609" t="s">
        <v>3451</v>
      </c>
    </row>
    <row r="2229" spans="1:27" ht="18">
      <c r="A2229" s="2714"/>
      <c r="B2229" s="371"/>
      <c r="C2229" s="371" t="s">
        <v>2565</v>
      </c>
      <c r="D2229" s="2716"/>
      <c r="F2229" s="293"/>
      <c r="G2229" s="604" t="str">
        <f>"本注释B:"&amp; G2225</f>
        <v>本注释B:合       计</v>
      </c>
      <c r="H2229" s="456">
        <f>H2225</f>
        <v>0</v>
      </c>
      <c r="I2229" s="456">
        <f t="shared" ref="I2229:J2229" si="233">I2225</f>
        <v>0</v>
      </c>
      <c r="J2229" s="456">
        <f t="shared" si="233"/>
        <v>0</v>
      </c>
      <c r="K2229" s="2638" t="s">
        <v>5919</v>
      </c>
      <c r="L2229" s="349"/>
      <c r="M2229" s="301"/>
      <c r="N2229" s="391"/>
      <c r="O2229" s="349"/>
      <c r="P2229" s="301"/>
      <c r="S2229" s="364"/>
      <c r="Z2229" s="609" t="s">
        <v>925</v>
      </c>
      <c r="AA2229" s="609" t="s">
        <v>3451</v>
      </c>
    </row>
    <row r="2230" spans="1:27" ht="18.75" thickBot="1">
      <c r="A2230" s="2714"/>
      <c r="B2230" s="371"/>
      <c r="C2230" s="371" t="s">
        <v>2565</v>
      </c>
      <c r="D2230" s="2716"/>
      <c r="F2230" s="293"/>
      <c r="G2230" s="1554" t="s">
        <v>2757</v>
      </c>
      <c r="H2230" s="1531">
        <f ca="1">IF(AND(H2228="",H2229=""),"",ROUND(H2228-H2229,2))</f>
        <v>0</v>
      </c>
      <c r="I2230" s="1531">
        <f ca="1">IF(AND(I2228="",I2229=""),"",ROUND(I2228-I2229,2))</f>
        <v>0</v>
      </c>
      <c r="J2230" s="1531">
        <f ca="1">IF(AND(J2228="",J2229=""),"",ROUND(J2228-J2229,2))</f>
        <v>0</v>
      </c>
      <c r="K2230" s="1555"/>
      <c r="L2230" s="349"/>
      <c r="M2230" s="301"/>
      <c r="N2230" s="391"/>
      <c r="O2230" s="349"/>
      <c r="P2230" s="301"/>
      <c r="S2230" s="364"/>
      <c r="Z2230" s="609" t="s">
        <v>925</v>
      </c>
      <c r="AA2230" s="609" t="s">
        <v>3451</v>
      </c>
    </row>
    <row r="2231" spans="1:27" ht="18.75" thickTop="1">
      <c r="A2231" s="2714"/>
      <c r="B2231" s="371"/>
      <c r="C2231" s="371" t="s">
        <v>2565</v>
      </c>
      <c r="D2231" s="2716"/>
      <c r="F2231" s="293"/>
      <c r="G2231" s="1545"/>
      <c r="H2231" s="459" t="str">
        <f ca="1">IF(OR(H2230=0,H2230=""),"√","？")</f>
        <v>√</v>
      </c>
      <c r="I2231" s="459" t="str">
        <f ca="1">IF(OR(I2230=0,I2230=""),"√","？")</f>
        <v>√</v>
      </c>
      <c r="J2231" s="459" t="str">
        <f ca="1">IF(OR(J2230=0,J2230=""),"√","？")</f>
        <v>√</v>
      </c>
      <c r="K2231" s="317"/>
      <c r="L2231" s="349"/>
      <c r="M2231" s="301"/>
      <c r="N2231" s="391"/>
      <c r="O2231" s="349"/>
      <c r="P2231" s="301"/>
      <c r="S2231" s="364"/>
      <c r="Z2231" s="609" t="s">
        <v>925</v>
      </c>
      <c r="AA2231" s="609" t="s">
        <v>3451</v>
      </c>
    </row>
    <row r="2232" spans="1:27" ht="18">
      <c r="A2232" s="2714"/>
      <c r="B2232" s="371"/>
      <c r="C2232" s="371" t="s">
        <v>2565</v>
      </c>
      <c r="D2232" s="2716"/>
      <c r="F2232" s="293"/>
      <c r="G2232" s="1559" t="s">
        <v>2759</v>
      </c>
      <c r="H2232" s="461"/>
      <c r="I2232" s="461"/>
      <c r="J2232" s="461"/>
      <c r="K2232" s="352">
        <f ca="1">SUMIF($H$2231:$K$2231,"&lt;&gt;√",$H$2230:$K$2230)</f>
        <v>0</v>
      </c>
      <c r="L2232" s="2628" t="str">
        <f ca="1">IF(OR(K2232=0,K2232=""),"√","？")</f>
        <v>√</v>
      </c>
      <c r="M2232" s="301"/>
      <c r="N2232" s="391"/>
      <c r="O2232" s="349"/>
      <c r="P2232" s="301"/>
      <c r="S2232" s="364"/>
      <c r="Z2232" s="609" t="s">
        <v>925</v>
      </c>
      <c r="AA2232" s="609" t="s">
        <v>3451</v>
      </c>
    </row>
    <row r="2233" spans="1:27" ht="18">
      <c r="A2233" s="2714"/>
      <c r="B2233" s="371"/>
      <c r="C2233" s="371" t="s">
        <v>2565</v>
      </c>
      <c r="D2233" s="2716"/>
      <c r="F2233" s="293"/>
      <c r="G2233" s="1545"/>
      <c r="H2233" s="461"/>
      <c r="I2233" s="461"/>
      <c r="J2233" s="461"/>
      <c r="K2233" s="317"/>
      <c r="L2233" s="349"/>
      <c r="M2233" s="301"/>
      <c r="N2233" s="391"/>
      <c r="O2233" s="349"/>
      <c r="P2233" s="301"/>
      <c r="S2233" s="364"/>
      <c r="Z2233" s="609" t="s">
        <v>925</v>
      </c>
      <c r="AA2233" s="609" t="s">
        <v>3451</v>
      </c>
    </row>
    <row r="2234" spans="1:27" ht="36">
      <c r="A2234" s="2714" t="s">
        <v>928</v>
      </c>
      <c r="B2234" s="371" t="s">
        <v>6556</v>
      </c>
      <c r="C2234" s="371"/>
      <c r="D2234" s="2716" t="str">
        <f>VLOOKUP($A2234,Sheet_NoteList,2,0)</f>
        <v>期末处于第一阶段的长期应收款坏账准备（三阶段模型）</v>
      </c>
      <c r="E2234" s="2716" t="s">
        <v>2742</v>
      </c>
      <c r="F2234" s="293"/>
      <c r="G2234" s="372" t="str">
        <f>"("&amp;B2234&amp;")"&amp;D2234</f>
        <v>(2.1A)期末处于第一阶段的长期应收款坏账准备（三阶段模型）</v>
      </c>
      <c r="H2234" s="1517" t="str">
        <f>$A2234</f>
        <v>1531i</v>
      </c>
      <c r="I2234" s="343" t="s">
        <v>2743</v>
      </c>
      <c r="J2234" s="301" t="s">
        <v>2744</v>
      </c>
      <c r="K2234" s="2210">
        <f>K2245</f>
        <v>0</v>
      </c>
      <c r="L2234" s="349"/>
      <c r="M2234" s="301"/>
      <c r="N2234" s="391"/>
      <c r="O2234" s="349"/>
      <c r="P2234" s="301"/>
      <c r="S2234" s="364"/>
      <c r="Z2234" s="609" t="s">
        <v>925</v>
      </c>
      <c r="AA2234" s="609" t="s">
        <v>3451</v>
      </c>
    </row>
    <row r="2235" spans="1:27" ht="0.75" customHeight="1" thickBot="1">
      <c r="A2235" s="2714"/>
      <c r="B2235" s="371"/>
      <c r="C2235" s="371"/>
      <c r="D2235" s="2716"/>
      <c r="E2235" s="586"/>
      <c r="F2235" s="586"/>
      <c r="G2235" s="2224" t="s">
        <v>3452</v>
      </c>
      <c r="H2235" s="371" t="s">
        <v>2747</v>
      </c>
      <c r="I2235" s="371" t="s">
        <v>2947</v>
      </c>
      <c r="J2235" s="371" t="s">
        <v>2948</v>
      </c>
      <c r="K2235" s="547" t="s">
        <v>3034</v>
      </c>
      <c r="L2235" s="547" t="s">
        <v>3453</v>
      </c>
      <c r="M2235" s="433"/>
      <c r="N2235" s="428"/>
      <c r="O2235" s="428"/>
      <c r="P2235" s="433"/>
      <c r="Q2235" s="442"/>
      <c r="R2235" s="443"/>
      <c r="S2235" s="364"/>
      <c r="Z2235" s="609" t="s">
        <v>925</v>
      </c>
      <c r="AA2235" s="609" t="s">
        <v>3451</v>
      </c>
    </row>
    <row r="2236" spans="1:27" ht="36">
      <c r="A2236" s="2714"/>
      <c r="B2236" s="371"/>
      <c r="C2236" s="371"/>
      <c r="D2236" s="2716"/>
      <c r="E2236" s="586" t="s">
        <v>2749</v>
      </c>
      <c r="F2236" s="414"/>
      <c r="G2236" s="2289" t="s">
        <v>5135</v>
      </c>
      <c r="H2236" s="2291" t="s">
        <v>2861</v>
      </c>
      <c r="I2236" s="2291" t="s">
        <v>3146</v>
      </c>
      <c r="J2236" s="2291" t="s">
        <v>2862</v>
      </c>
      <c r="K2236" s="2311" t="s">
        <v>2863</v>
      </c>
      <c r="L2236" s="2312" t="s">
        <v>3147</v>
      </c>
      <c r="M2236" s="355" t="s">
        <v>5282</v>
      </c>
      <c r="N2236" s="434"/>
      <c r="O2236" s="434"/>
      <c r="P2236" s="435"/>
      <c r="Q2236" s="442"/>
      <c r="R2236" s="443"/>
      <c r="S2236" s="364"/>
      <c r="Z2236" s="609" t="s">
        <v>925</v>
      </c>
      <c r="AA2236" s="609" t="s">
        <v>3451</v>
      </c>
    </row>
    <row r="2237" spans="1:27" ht="18">
      <c r="A2237" s="2714"/>
      <c r="B2237" s="371">
        <v>101</v>
      </c>
      <c r="C2237" s="371"/>
      <c r="D2237" s="2716">
        <f t="shared" ref="D2237:D2245" si="234">IF(OR(G2237="*",G2237="",G2237=0),0,COUNTIF($G$2237:$G$2245,G2237))</f>
        <v>1</v>
      </c>
      <c r="E2237" s="2721">
        <v>1</v>
      </c>
      <c r="F2237" s="293"/>
      <c r="G2237" s="1474" t="s">
        <v>2890</v>
      </c>
      <c r="H2237" s="2275">
        <f>SUM(H2238:H2240)</f>
        <v>0</v>
      </c>
      <c r="I2237" s="2298"/>
      <c r="J2237" s="2275">
        <f>SUM(J2238:J2240)</f>
        <v>0</v>
      </c>
      <c r="K2237" s="1476">
        <f>H2237-J2237</f>
        <v>0</v>
      </c>
      <c r="L2237" s="2276"/>
      <c r="M2237" s="438"/>
      <c r="N2237" s="439"/>
      <c r="O2237" s="437"/>
      <c r="P2237" s="438"/>
      <c r="Q2237" s="442"/>
      <c r="R2237" s="443"/>
      <c r="S2237" s="364"/>
      <c r="Z2237" s="609" t="s">
        <v>925</v>
      </c>
      <c r="AA2237" s="609" t="s">
        <v>3451</v>
      </c>
    </row>
    <row r="2238" spans="1:27" ht="18">
      <c r="A2238" s="2714"/>
      <c r="B2238" s="371">
        <v>102</v>
      </c>
      <c r="C2238" s="371" t="s">
        <v>2791</v>
      </c>
      <c r="D2238" s="2716">
        <f t="shared" si="234"/>
        <v>0</v>
      </c>
      <c r="E2238" s="2721">
        <v>0</v>
      </c>
      <c r="F2238" s="293"/>
      <c r="G2238" s="2284" t="s">
        <v>2792</v>
      </c>
      <c r="H2238" s="2275"/>
      <c r="I2238" s="2298"/>
      <c r="J2238" s="2275"/>
      <c r="K2238" s="1476">
        <f t="shared" ref="K2238:K2244" si="235">H2238-J2238</f>
        <v>0</v>
      </c>
      <c r="L2238" s="2276"/>
      <c r="M2238" s="438"/>
      <c r="N2238" s="439"/>
      <c r="O2238" s="437"/>
      <c r="P2238" s="438"/>
      <c r="Q2238" s="442"/>
      <c r="R2238" s="443"/>
      <c r="S2238" s="364"/>
      <c r="Z2238" s="609" t="s">
        <v>925</v>
      </c>
      <c r="AA2238" s="609" t="s">
        <v>3451</v>
      </c>
    </row>
    <row r="2239" spans="1:27" ht="18">
      <c r="A2239" s="2714"/>
      <c r="B2239" s="371">
        <v>103</v>
      </c>
      <c r="C2239" s="371" t="s">
        <v>2791</v>
      </c>
      <c r="D2239" s="2716">
        <f t="shared" si="234"/>
        <v>0</v>
      </c>
      <c r="E2239" s="2721">
        <v>0</v>
      </c>
      <c r="F2239" s="293"/>
      <c r="G2239" s="2284" t="s">
        <v>2792</v>
      </c>
      <c r="H2239" s="2275"/>
      <c r="I2239" s="2298"/>
      <c r="J2239" s="2275"/>
      <c r="K2239" s="1476">
        <f t="shared" si="235"/>
        <v>0</v>
      </c>
      <c r="L2239" s="2276"/>
      <c r="M2239" s="438"/>
      <c r="N2239" s="439"/>
      <c r="O2239" s="437"/>
      <c r="P2239" s="438"/>
      <c r="Q2239" s="442"/>
      <c r="R2239" s="443"/>
      <c r="S2239" s="364"/>
      <c r="Z2239" s="609" t="s">
        <v>925</v>
      </c>
      <c r="AA2239" s="609" t="s">
        <v>3451</v>
      </c>
    </row>
    <row r="2240" spans="1:27" ht="18">
      <c r="A2240" s="2714"/>
      <c r="B2240" s="371">
        <v>104</v>
      </c>
      <c r="C2240" s="371" t="s">
        <v>2791</v>
      </c>
      <c r="D2240" s="2716">
        <f t="shared" si="234"/>
        <v>0</v>
      </c>
      <c r="E2240" s="2721">
        <v>0</v>
      </c>
      <c r="F2240" s="293"/>
      <c r="G2240" s="2284" t="s">
        <v>2792</v>
      </c>
      <c r="H2240" s="2275"/>
      <c r="I2240" s="2298"/>
      <c r="J2240" s="2275"/>
      <c r="K2240" s="1476">
        <f t="shared" si="235"/>
        <v>0</v>
      </c>
      <c r="L2240" s="2276"/>
      <c r="M2240" s="438"/>
      <c r="N2240" s="439"/>
      <c r="O2240" s="437"/>
      <c r="P2240" s="438"/>
      <c r="Q2240" s="442"/>
      <c r="R2240" s="443"/>
      <c r="S2240" s="364"/>
      <c r="Z2240" s="609" t="s">
        <v>925</v>
      </c>
      <c r="AA2240" s="609" t="s">
        <v>3451</v>
      </c>
    </row>
    <row r="2241" spans="1:29" ht="18">
      <c r="A2241" s="2714"/>
      <c r="B2241" s="371">
        <v>105</v>
      </c>
      <c r="C2241" s="371"/>
      <c r="D2241" s="2716">
        <f t="shared" si="234"/>
        <v>1</v>
      </c>
      <c r="E2241" s="2721">
        <v>1</v>
      </c>
      <c r="F2241" s="293"/>
      <c r="G2241" s="1474" t="s">
        <v>2892</v>
      </c>
      <c r="H2241" s="2275">
        <f>SUM(H2242:H2244)</f>
        <v>0</v>
      </c>
      <c r="I2241" s="2298"/>
      <c r="J2241" s="2275">
        <f>SUM(J2242:J2244)</f>
        <v>0</v>
      </c>
      <c r="K2241" s="1476">
        <f t="shared" si="235"/>
        <v>0</v>
      </c>
      <c r="L2241" s="2276"/>
      <c r="M2241" s="438"/>
      <c r="N2241" s="439"/>
      <c r="O2241" s="437"/>
      <c r="P2241" s="438"/>
      <c r="Q2241" s="442"/>
      <c r="R2241" s="443"/>
      <c r="S2241" s="364"/>
      <c r="Z2241" s="609" t="s">
        <v>925</v>
      </c>
      <c r="AA2241" s="609" t="s">
        <v>3451</v>
      </c>
    </row>
    <row r="2242" spans="1:29" ht="18">
      <c r="A2242" s="2714"/>
      <c r="B2242" s="371">
        <v>106</v>
      </c>
      <c r="C2242" s="371" t="s">
        <v>2791</v>
      </c>
      <c r="D2242" s="2716">
        <f t="shared" si="234"/>
        <v>0</v>
      </c>
      <c r="E2242" s="2721">
        <v>0</v>
      </c>
      <c r="F2242" s="293"/>
      <c r="G2242" s="2284" t="s">
        <v>2792</v>
      </c>
      <c r="H2242" s="2275"/>
      <c r="I2242" s="2298"/>
      <c r="J2242" s="2275"/>
      <c r="K2242" s="1476">
        <f t="shared" si="235"/>
        <v>0</v>
      </c>
      <c r="L2242" s="2276"/>
      <c r="M2242" s="438"/>
      <c r="N2242" s="439"/>
      <c r="O2242" s="437"/>
      <c r="P2242" s="438"/>
      <c r="Q2242" s="442"/>
      <c r="R2242" s="443"/>
      <c r="S2242" s="364"/>
      <c r="Z2242" s="609" t="s">
        <v>925</v>
      </c>
      <c r="AA2242" s="609" t="s">
        <v>3451</v>
      </c>
    </row>
    <row r="2243" spans="1:29" ht="18">
      <c r="A2243" s="2714"/>
      <c r="B2243" s="371">
        <v>107</v>
      </c>
      <c r="C2243" s="371" t="s">
        <v>2791</v>
      </c>
      <c r="D2243" s="2716">
        <f t="shared" si="234"/>
        <v>0</v>
      </c>
      <c r="E2243" s="2721">
        <v>0</v>
      </c>
      <c r="F2243" s="293"/>
      <c r="G2243" s="2284" t="s">
        <v>2792</v>
      </c>
      <c r="H2243" s="2275"/>
      <c r="I2243" s="2298"/>
      <c r="J2243" s="2275"/>
      <c r="K2243" s="1476">
        <f t="shared" si="235"/>
        <v>0</v>
      </c>
      <c r="L2243" s="2276"/>
      <c r="M2243" s="438"/>
      <c r="N2243" s="439"/>
      <c r="O2243" s="437"/>
      <c r="P2243" s="438"/>
      <c r="Q2243" s="442"/>
      <c r="R2243" s="443"/>
      <c r="S2243" s="364"/>
      <c r="Z2243" s="609" t="s">
        <v>925</v>
      </c>
      <c r="AA2243" s="609" t="s">
        <v>3451</v>
      </c>
    </row>
    <row r="2244" spans="1:29" ht="18">
      <c r="A2244" s="2714"/>
      <c r="B2244" s="371">
        <v>108</v>
      </c>
      <c r="C2244" s="371" t="s">
        <v>2791</v>
      </c>
      <c r="D2244" s="2716">
        <f t="shared" si="234"/>
        <v>0</v>
      </c>
      <c r="E2244" s="2721">
        <v>0</v>
      </c>
      <c r="F2244" s="293"/>
      <c r="G2244" s="2284" t="s">
        <v>2792</v>
      </c>
      <c r="H2244" s="2275"/>
      <c r="I2244" s="2298"/>
      <c r="J2244" s="2275"/>
      <c r="K2244" s="1476">
        <f t="shared" si="235"/>
        <v>0</v>
      </c>
      <c r="L2244" s="2276"/>
      <c r="M2244" s="438"/>
      <c r="N2244" s="439"/>
      <c r="O2244" s="437"/>
      <c r="P2244" s="438"/>
      <c r="Q2244" s="442"/>
      <c r="R2244" s="443"/>
      <c r="S2244" s="364"/>
      <c r="Z2244" s="609" t="s">
        <v>925</v>
      </c>
      <c r="AA2244" s="609" t="s">
        <v>3451</v>
      </c>
    </row>
    <row r="2245" spans="1:29" ht="18.75" thickBot="1">
      <c r="A2245" s="2714"/>
      <c r="B2245" s="371"/>
      <c r="C2245" s="371"/>
      <c r="D2245" s="2716">
        <f t="shared" si="234"/>
        <v>1</v>
      </c>
      <c r="E2245" s="2721" t="s">
        <v>2751</v>
      </c>
      <c r="F2245" s="293"/>
      <c r="G2245" s="2234" t="s">
        <v>2752</v>
      </c>
      <c r="H2245" s="2235">
        <f>SUMPRODUCT($E2236:$E2244,H2236:H2244)</f>
        <v>0</v>
      </c>
      <c r="I2245" s="2241"/>
      <c r="J2245" s="2235">
        <f>SUMPRODUCT($E2236:$E2244,J2236:J2244)</f>
        <v>0</v>
      </c>
      <c r="K2245" s="2235">
        <f>SUMPRODUCT($E2236:$E2244,K2236:K2244)</f>
        <v>0</v>
      </c>
      <c r="L2245" s="2244"/>
      <c r="M2245" s="1597" t="str">
        <f ca="1">HYPERLINK("#'"&amp;$G$1&amp;"'!"&amp;ADDRESS(ROW(Notes!L2221),COLUMN(Notes!L2221),4),"* 请勿删除此行！点击往勾稽单元格，F5+Enter返回")</f>
        <v>* 请勿删除此行！点击往勾稽单元格，F5+Enter返回</v>
      </c>
      <c r="N2245" s="439"/>
      <c r="O2245" s="437"/>
      <c r="P2245" s="440"/>
      <c r="Q2245" s="442"/>
      <c r="R2245" s="443"/>
      <c r="S2245" s="364"/>
      <c r="Z2245" s="609" t="s">
        <v>925</v>
      </c>
      <c r="AA2245" s="609" t="s">
        <v>3451</v>
      </c>
      <c r="AC2245" s="369" t="s">
        <v>6573</v>
      </c>
    </row>
    <row r="2246" spans="1:29" ht="18">
      <c r="A2246" s="2714"/>
      <c r="B2246" s="371"/>
      <c r="C2246" s="371" t="s">
        <v>2755</v>
      </c>
      <c r="D2246" s="2716"/>
      <c r="F2246" s="293"/>
      <c r="G2246" s="376"/>
      <c r="H2246" s="315"/>
      <c r="I2246" s="432"/>
      <c r="J2246" s="315"/>
      <c r="K2246" s="423"/>
      <c r="L2246" s="393"/>
      <c r="M2246" s="425"/>
      <c r="N2246" s="426"/>
      <c r="O2246" s="427"/>
      <c r="P2246" s="425"/>
      <c r="Q2246" s="442"/>
      <c r="R2246" s="443"/>
      <c r="S2246" s="364"/>
      <c r="Z2246" s="609" t="s">
        <v>925</v>
      </c>
      <c r="AA2246" s="609" t="s">
        <v>3451</v>
      </c>
    </row>
    <row r="2247" spans="1:29" ht="36">
      <c r="A2247" s="2714" t="s">
        <v>931</v>
      </c>
      <c r="B2247" s="371" t="s">
        <v>6557</v>
      </c>
      <c r="C2247" s="371"/>
      <c r="D2247" s="2716" t="str">
        <f>VLOOKUP($A2247,Sheet_NoteList,2,0)</f>
        <v>期末处于第二阶段的长期应收款坏账准备（三阶段模型）</v>
      </c>
      <c r="E2247" s="2716" t="s">
        <v>2742</v>
      </c>
      <c r="F2247" s="293"/>
      <c r="G2247" s="372" t="str">
        <f>"("&amp;B2247&amp;")"&amp;D2247</f>
        <v>(2.1B)期末处于第二阶段的长期应收款坏账准备（三阶段模型）</v>
      </c>
      <c r="H2247" s="1517" t="str">
        <f>$A2247</f>
        <v>1531j</v>
      </c>
      <c r="I2247" s="343" t="s">
        <v>2743</v>
      </c>
      <c r="J2247" s="301" t="s">
        <v>2744</v>
      </c>
      <c r="K2247" s="2210">
        <f>K2258</f>
        <v>0</v>
      </c>
      <c r="L2247" s="349"/>
      <c r="M2247" s="301"/>
      <c r="N2247" s="391"/>
      <c r="O2247" s="349"/>
      <c r="P2247" s="301"/>
      <c r="S2247" s="364"/>
      <c r="Z2247" s="609" t="s">
        <v>925</v>
      </c>
      <c r="AA2247" s="609" t="s">
        <v>3451</v>
      </c>
    </row>
    <row r="2248" spans="1:29" ht="0.75" customHeight="1" thickBot="1">
      <c r="A2248" s="2714"/>
      <c r="B2248" s="371"/>
      <c r="C2248" s="371"/>
      <c r="D2248" s="2716"/>
      <c r="E2248" s="586"/>
      <c r="F2248" s="586"/>
      <c r="G2248" s="2224" t="s">
        <v>3454</v>
      </c>
      <c r="H2248" s="371" t="s">
        <v>2747</v>
      </c>
      <c r="I2248" s="371" t="s">
        <v>2947</v>
      </c>
      <c r="J2248" s="371" t="s">
        <v>2948</v>
      </c>
      <c r="K2248" s="547" t="s">
        <v>3034</v>
      </c>
      <c r="L2248" s="547" t="s">
        <v>3453</v>
      </c>
      <c r="M2248" s="433"/>
      <c r="N2248" s="428"/>
      <c r="O2248" s="428"/>
      <c r="P2248" s="433"/>
      <c r="Q2248" s="442"/>
      <c r="R2248" s="443"/>
      <c r="S2248" s="364"/>
      <c r="Z2248" s="609" t="s">
        <v>925</v>
      </c>
      <c r="AA2248" s="609" t="s">
        <v>3451</v>
      </c>
    </row>
    <row r="2249" spans="1:29" ht="36">
      <c r="A2249" s="2714"/>
      <c r="B2249" s="371"/>
      <c r="C2249" s="371"/>
      <c r="D2249" s="2716"/>
      <c r="E2249" s="586" t="s">
        <v>2749</v>
      </c>
      <c r="F2249" s="414"/>
      <c r="G2249" s="2289" t="s">
        <v>6033</v>
      </c>
      <c r="H2249" s="2291" t="s">
        <v>2861</v>
      </c>
      <c r="I2249" s="2291" t="s">
        <v>3148</v>
      </c>
      <c r="J2249" s="2291" t="s">
        <v>2862</v>
      </c>
      <c r="K2249" s="2311" t="s">
        <v>2863</v>
      </c>
      <c r="L2249" s="2312" t="s">
        <v>3147</v>
      </c>
      <c r="M2249" s="355" t="s">
        <v>5282</v>
      </c>
      <c r="N2249" s="434"/>
      <c r="O2249" s="434"/>
      <c r="P2249" s="435"/>
      <c r="Q2249" s="442"/>
      <c r="R2249" s="443"/>
      <c r="S2249" s="364"/>
      <c r="Z2249" s="609" t="s">
        <v>925</v>
      </c>
      <c r="AA2249" s="609" t="s">
        <v>3451</v>
      </c>
    </row>
    <row r="2250" spans="1:29" ht="18">
      <c r="A2250" s="2714"/>
      <c r="B2250" s="371">
        <v>101</v>
      </c>
      <c r="C2250" s="371"/>
      <c r="D2250" s="2716">
        <f t="shared" ref="D2250:D2258" si="236">IF(OR(G2250="*",G2250="",G2250=0),0,COUNTIF($G$2250:$G$2258,G2250))</f>
        <v>1</v>
      </c>
      <c r="E2250" s="2721">
        <v>1</v>
      </c>
      <c r="F2250" s="293"/>
      <c r="G2250" s="1474" t="s">
        <v>2890</v>
      </c>
      <c r="H2250" s="2275">
        <f>SUM(H2251:H2253)</f>
        <v>0</v>
      </c>
      <c r="I2250" s="2298"/>
      <c r="J2250" s="2275">
        <f>SUM(J2251:J2253)</f>
        <v>0</v>
      </c>
      <c r="K2250" s="1476">
        <f>H2250-J2250</f>
        <v>0</v>
      </c>
      <c r="L2250" s="2276"/>
      <c r="M2250" s="438"/>
      <c r="N2250" s="439"/>
      <c r="O2250" s="437"/>
      <c r="P2250" s="438"/>
      <c r="Q2250" s="442"/>
      <c r="R2250" s="443"/>
      <c r="S2250" s="364"/>
      <c r="Z2250" s="609" t="s">
        <v>925</v>
      </c>
      <c r="AA2250" s="609" t="s">
        <v>3451</v>
      </c>
    </row>
    <row r="2251" spans="1:29" ht="18">
      <c r="A2251" s="2714"/>
      <c r="B2251" s="371">
        <v>102</v>
      </c>
      <c r="C2251" s="371" t="s">
        <v>2791</v>
      </c>
      <c r="D2251" s="2716">
        <f t="shared" si="236"/>
        <v>0</v>
      </c>
      <c r="E2251" s="2721">
        <v>0</v>
      </c>
      <c r="F2251" s="293"/>
      <c r="G2251" s="2284" t="s">
        <v>2792</v>
      </c>
      <c r="H2251" s="2275"/>
      <c r="I2251" s="2298"/>
      <c r="J2251" s="2275"/>
      <c r="K2251" s="1476">
        <f t="shared" ref="K2251:K2257" si="237">H2251-J2251</f>
        <v>0</v>
      </c>
      <c r="L2251" s="2276"/>
      <c r="M2251" s="438"/>
      <c r="N2251" s="439"/>
      <c r="O2251" s="437"/>
      <c r="P2251" s="438"/>
      <c r="Q2251" s="442"/>
      <c r="R2251" s="443"/>
      <c r="S2251" s="364"/>
      <c r="Z2251" s="609" t="s">
        <v>925</v>
      </c>
      <c r="AA2251" s="609" t="s">
        <v>3451</v>
      </c>
    </row>
    <row r="2252" spans="1:29" ht="18">
      <c r="A2252" s="2714"/>
      <c r="B2252" s="371">
        <v>103</v>
      </c>
      <c r="C2252" s="371" t="s">
        <v>2791</v>
      </c>
      <c r="D2252" s="2716">
        <f t="shared" si="236"/>
        <v>0</v>
      </c>
      <c r="E2252" s="2721">
        <v>0</v>
      </c>
      <c r="F2252" s="293"/>
      <c r="G2252" s="2284" t="s">
        <v>2792</v>
      </c>
      <c r="H2252" s="2275"/>
      <c r="I2252" s="2298"/>
      <c r="J2252" s="2275"/>
      <c r="K2252" s="1476">
        <f t="shared" si="237"/>
        <v>0</v>
      </c>
      <c r="L2252" s="2276"/>
      <c r="M2252" s="438"/>
      <c r="N2252" s="439"/>
      <c r="O2252" s="437"/>
      <c r="P2252" s="438"/>
      <c r="Q2252" s="442"/>
      <c r="R2252" s="443"/>
      <c r="S2252" s="364"/>
      <c r="Z2252" s="609" t="s">
        <v>925</v>
      </c>
      <c r="AA2252" s="609" t="s">
        <v>3451</v>
      </c>
    </row>
    <row r="2253" spans="1:29" ht="18">
      <c r="A2253" s="2714"/>
      <c r="B2253" s="371">
        <v>104</v>
      </c>
      <c r="C2253" s="371" t="s">
        <v>2791</v>
      </c>
      <c r="D2253" s="2716">
        <f t="shared" si="236"/>
        <v>0</v>
      </c>
      <c r="E2253" s="2721">
        <v>0</v>
      </c>
      <c r="F2253" s="293"/>
      <c r="G2253" s="2284" t="s">
        <v>2792</v>
      </c>
      <c r="H2253" s="2275"/>
      <c r="I2253" s="2298"/>
      <c r="J2253" s="2275"/>
      <c r="K2253" s="1476">
        <f t="shared" si="237"/>
        <v>0</v>
      </c>
      <c r="L2253" s="2276"/>
      <c r="M2253" s="438"/>
      <c r="N2253" s="439"/>
      <c r="O2253" s="437"/>
      <c r="P2253" s="438"/>
      <c r="Q2253" s="442"/>
      <c r="R2253" s="443"/>
      <c r="S2253" s="364"/>
      <c r="Z2253" s="609" t="s">
        <v>925</v>
      </c>
      <c r="AA2253" s="609" t="s">
        <v>3451</v>
      </c>
    </row>
    <row r="2254" spans="1:29" ht="18">
      <c r="A2254" s="2714"/>
      <c r="B2254" s="371">
        <v>105</v>
      </c>
      <c r="C2254" s="371"/>
      <c r="D2254" s="2716">
        <f t="shared" si="236"/>
        <v>1</v>
      </c>
      <c r="E2254" s="2721">
        <v>1</v>
      </c>
      <c r="F2254" s="293"/>
      <c r="G2254" s="1474" t="s">
        <v>2892</v>
      </c>
      <c r="H2254" s="2275">
        <f>SUM(H2255:H2257)</f>
        <v>0</v>
      </c>
      <c r="I2254" s="2298"/>
      <c r="J2254" s="2275">
        <f>SUM(J2255:J2257)</f>
        <v>0</v>
      </c>
      <c r="K2254" s="1476">
        <f t="shared" si="237"/>
        <v>0</v>
      </c>
      <c r="L2254" s="2276"/>
      <c r="M2254" s="438"/>
      <c r="N2254" s="439"/>
      <c r="O2254" s="437"/>
      <c r="P2254" s="438"/>
      <c r="Q2254" s="442"/>
      <c r="R2254" s="443"/>
      <c r="S2254" s="364"/>
      <c r="Z2254" s="609" t="s">
        <v>925</v>
      </c>
      <c r="AA2254" s="609" t="s">
        <v>3451</v>
      </c>
    </row>
    <row r="2255" spans="1:29" ht="18">
      <c r="A2255" s="2714"/>
      <c r="B2255" s="371">
        <v>106</v>
      </c>
      <c r="C2255" s="371" t="s">
        <v>2791</v>
      </c>
      <c r="D2255" s="2716">
        <f t="shared" si="236"/>
        <v>0</v>
      </c>
      <c r="E2255" s="2721">
        <v>0</v>
      </c>
      <c r="F2255" s="293"/>
      <c r="G2255" s="2284" t="s">
        <v>2792</v>
      </c>
      <c r="H2255" s="2275"/>
      <c r="I2255" s="2298"/>
      <c r="J2255" s="2275"/>
      <c r="K2255" s="1476">
        <f t="shared" si="237"/>
        <v>0</v>
      </c>
      <c r="L2255" s="2276"/>
      <c r="M2255" s="438"/>
      <c r="N2255" s="439"/>
      <c r="O2255" s="437"/>
      <c r="P2255" s="438"/>
      <c r="Q2255" s="442"/>
      <c r="R2255" s="443"/>
      <c r="S2255" s="364"/>
      <c r="Z2255" s="609" t="s">
        <v>925</v>
      </c>
      <c r="AA2255" s="609" t="s">
        <v>3451</v>
      </c>
    </row>
    <row r="2256" spans="1:29" ht="18">
      <c r="A2256" s="2714"/>
      <c r="B2256" s="371">
        <v>107</v>
      </c>
      <c r="C2256" s="371" t="s">
        <v>2791</v>
      </c>
      <c r="D2256" s="2716">
        <f t="shared" si="236"/>
        <v>0</v>
      </c>
      <c r="E2256" s="2721">
        <v>0</v>
      </c>
      <c r="F2256" s="293"/>
      <c r="G2256" s="2284" t="s">
        <v>2792</v>
      </c>
      <c r="H2256" s="2275"/>
      <c r="I2256" s="2298"/>
      <c r="J2256" s="2275"/>
      <c r="K2256" s="1476">
        <f t="shared" si="237"/>
        <v>0</v>
      </c>
      <c r="L2256" s="2276"/>
      <c r="M2256" s="438"/>
      <c r="N2256" s="439"/>
      <c r="O2256" s="437"/>
      <c r="P2256" s="438"/>
      <c r="Q2256" s="442"/>
      <c r="R2256" s="443"/>
      <c r="S2256" s="364"/>
      <c r="Z2256" s="609" t="s">
        <v>925</v>
      </c>
      <c r="AA2256" s="609" t="s">
        <v>3451</v>
      </c>
    </row>
    <row r="2257" spans="1:29" ht="18">
      <c r="A2257" s="2714"/>
      <c r="B2257" s="371">
        <v>108</v>
      </c>
      <c r="C2257" s="371" t="s">
        <v>2791</v>
      </c>
      <c r="D2257" s="2716">
        <f t="shared" si="236"/>
        <v>0</v>
      </c>
      <c r="E2257" s="2721">
        <v>0</v>
      </c>
      <c r="F2257" s="293"/>
      <c r="G2257" s="2284" t="s">
        <v>2792</v>
      </c>
      <c r="H2257" s="2275"/>
      <c r="I2257" s="2298"/>
      <c r="J2257" s="2275"/>
      <c r="K2257" s="1476">
        <f t="shared" si="237"/>
        <v>0</v>
      </c>
      <c r="L2257" s="2276"/>
      <c r="M2257" s="438"/>
      <c r="N2257" s="439"/>
      <c r="O2257" s="437"/>
      <c r="P2257" s="438"/>
      <c r="Q2257" s="442"/>
      <c r="R2257" s="443"/>
      <c r="S2257" s="364"/>
      <c r="Z2257" s="609" t="s">
        <v>925</v>
      </c>
      <c r="AA2257" s="609" t="s">
        <v>3451</v>
      </c>
    </row>
    <row r="2258" spans="1:29" ht="18.75" thickBot="1">
      <c r="A2258" s="2714"/>
      <c r="B2258" s="371"/>
      <c r="C2258" s="371"/>
      <c r="D2258" s="2716">
        <f t="shared" si="236"/>
        <v>1</v>
      </c>
      <c r="E2258" s="2721" t="s">
        <v>2751</v>
      </c>
      <c r="F2258" s="293"/>
      <c r="G2258" s="2234" t="s">
        <v>2752</v>
      </c>
      <c r="H2258" s="2235">
        <f>SUMPRODUCT($E2249:$E2257,H2249:H2257)</f>
        <v>0</v>
      </c>
      <c r="I2258" s="2241"/>
      <c r="J2258" s="2235">
        <f>SUMPRODUCT($E2249:$E2257,J2249:J2257)</f>
        <v>0</v>
      </c>
      <c r="K2258" s="2235">
        <f>SUMPRODUCT($E2249:$E2257,K2249:K2257)</f>
        <v>0</v>
      </c>
      <c r="L2258" s="2244"/>
      <c r="M2258" s="1597" t="str">
        <f ca="1">HYPERLINK("#'"&amp;$G$1&amp;"'!"&amp;ADDRESS(ROW(Notes!L2222),COLUMN(Notes!L2222),4),"* 请勿删除此行！点击往勾稽单元格，F5+Enter返回")</f>
        <v>* 请勿删除此行！点击往勾稽单元格，F5+Enter返回</v>
      </c>
      <c r="N2258" s="439"/>
      <c r="O2258" s="437"/>
      <c r="P2258" s="440"/>
      <c r="Q2258" s="442"/>
      <c r="R2258" s="443"/>
      <c r="S2258" s="364"/>
      <c r="Z2258" s="609" t="s">
        <v>925</v>
      </c>
      <c r="AA2258" s="609" t="s">
        <v>3451</v>
      </c>
      <c r="AC2258" s="369" t="s">
        <v>6573</v>
      </c>
    </row>
    <row r="2259" spans="1:29" ht="18">
      <c r="A2259" s="2714"/>
      <c r="B2259" s="371"/>
      <c r="C2259" s="371" t="s">
        <v>2755</v>
      </c>
      <c r="D2259" s="2716"/>
      <c r="F2259" s="293"/>
      <c r="G2259" s="376"/>
      <c r="H2259" s="315"/>
      <c r="I2259" s="432"/>
      <c r="J2259" s="315"/>
      <c r="K2259" s="423"/>
      <c r="L2259" s="393"/>
      <c r="M2259" s="425"/>
      <c r="N2259" s="426"/>
      <c r="O2259" s="427"/>
      <c r="P2259" s="425"/>
      <c r="Q2259" s="442"/>
      <c r="R2259" s="443"/>
      <c r="S2259" s="364"/>
      <c r="Z2259" s="609" t="s">
        <v>925</v>
      </c>
      <c r="AA2259" s="609" t="s">
        <v>3451</v>
      </c>
    </row>
    <row r="2260" spans="1:29" ht="36">
      <c r="A2260" s="2714" t="s">
        <v>934</v>
      </c>
      <c r="B2260" s="371" t="s">
        <v>6558</v>
      </c>
      <c r="C2260" s="371"/>
      <c r="D2260" s="2716" t="str">
        <f>VLOOKUP($A2260,Sheet_NoteList,2,0)</f>
        <v>期末处于第三阶段的长期应收款坏账准备（三阶段模型）</v>
      </c>
      <c r="E2260" s="2716" t="s">
        <v>2742</v>
      </c>
      <c r="F2260" s="293"/>
      <c r="G2260" s="372" t="str">
        <f>"("&amp;B2260&amp;")"&amp;D2260</f>
        <v>(2.1C)期末处于第三阶段的长期应收款坏账准备（三阶段模型）</v>
      </c>
      <c r="H2260" s="1517" t="str">
        <f>$A2260</f>
        <v>1531k</v>
      </c>
      <c r="I2260" s="343" t="s">
        <v>2743</v>
      </c>
      <c r="J2260" s="301" t="s">
        <v>2744</v>
      </c>
      <c r="K2260" s="2210">
        <f>K2271</f>
        <v>0</v>
      </c>
      <c r="L2260" s="349"/>
      <c r="M2260" s="301"/>
      <c r="N2260" s="391"/>
      <c r="O2260" s="349"/>
      <c r="P2260" s="301"/>
      <c r="S2260" s="364"/>
      <c r="Z2260" s="609" t="s">
        <v>925</v>
      </c>
      <c r="AA2260" s="609" t="s">
        <v>3451</v>
      </c>
    </row>
    <row r="2261" spans="1:29" ht="0.75" customHeight="1" thickBot="1">
      <c r="A2261" s="2714"/>
      <c r="B2261" s="371"/>
      <c r="C2261" s="371"/>
      <c r="D2261" s="2716"/>
      <c r="E2261" s="586"/>
      <c r="F2261" s="586"/>
      <c r="G2261" s="2224" t="s">
        <v>3455</v>
      </c>
      <c r="H2261" s="371" t="s">
        <v>2747</v>
      </c>
      <c r="I2261" s="371" t="s">
        <v>2947</v>
      </c>
      <c r="J2261" s="371" t="s">
        <v>2948</v>
      </c>
      <c r="K2261" s="547" t="s">
        <v>3034</v>
      </c>
      <c r="L2261" s="547" t="s">
        <v>3453</v>
      </c>
      <c r="M2261" s="433"/>
      <c r="N2261" s="428"/>
      <c r="O2261" s="428"/>
      <c r="P2261" s="433"/>
      <c r="Q2261" s="442"/>
      <c r="R2261" s="443"/>
      <c r="S2261" s="364"/>
      <c r="Z2261" s="609" t="s">
        <v>925</v>
      </c>
      <c r="AA2261" s="609" t="s">
        <v>3451</v>
      </c>
    </row>
    <row r="2262" spans="1:29" ht="36">
      <c r="A2262" s="2714"/>
      <c r="B2262" s="371"/>
      <c r="C2262" s="371"/>
      <c r="D2262" s="2716"/>
      <c r="E2262" s="586" t="s">
        <v>2749</v>
      </c>
      <c r="F2262" s="414"/>
      <c r="G2262" s="2289" t="s">
        <v>6009</v>
      </c>
      <c r="H2262" s="2291" t="s">
        <v>2861</v>
      </c>
      <c r="I2262" s="2291" t="s">
        <v>3148</v>
      </c>
      <c r="J2262" s="2291" t="s">
        <v>2862</v>
      </c>
      <c r="K2262" s="2311" t="s">
        <v>2863</v>
      </c>
      <c r="L2262" s="2312" t="s">
        <v>3147</v>
      </c>
      <c r="M2262" s="355" t="s">
        <v>5282</v>
      </c>
      <c r="N2262" s="434"/>
      <c r="O2262" s="434"/>
      <c r="P2262" s="435"/>
      <c r="Q2262" s="442"/>
      <c r="R2262" s="443"/>
      <c r="S2262" s="364"/>
      <c r="Z2262" s="609" t="s">
        <v>925</v>
      </c>
      <c r="AA2262" s="609" t="s">
        <v>3451</v>
      </c>
    </row>
    <row r="2263" spans="1:29" ht="18">
      <c r="A2263" s="2714"/>
      <c r="B2263" s="371">
        <v>101</v>
      </c>
      <c r="C2263" s="371"/>
      <c r="D2263" s="2716">
        <f t="shared" ref="D2263:D2271" si="238">IF(OR(G2263="*",G2263="",G2263=0),0,COUNTIF($G$2263:$G$2271,G2263))</f>
        <v>1</v>
      </c>
      <c r="E2263" s="2721">
        <v>1</v>
      </c>
      <c r="F2263" s="293"/>
      <c r="G2263" s="1474" t="s">
        <v>2890</v>
      </c>
      <c r="H2263" s="2275">
        <f>SUM(H2264:H2266)</f>
        <v>0</v>
      </c>
      <c r="I2263" s="2298"/>
      <c r="J2263" s="2275">
        <f>SUM(J2264:J2266)</f>
        <v>0</v>
      </c>
      <c r="K2263" s="1476">
        <f>H2263-J2263</f>
        <v>0</v>
      </c>
      <c r="L2263" s="2276"/>
      <c r="M2263" s="438"/>
      <c r="N2263" s="439"/>
      <c r="O2263" s="437"/>
      <c r="P2263" s="438"/>
      <c r="Q2263" s="442"/>
      <c r="R2263" s="443"/>
      <c r="S2263" s="364"/>
      <c r="Z2263" s="609" t="s">
        <v>925</v>
      </c>
      <c r="AA2263" s="609" t="s">
        <v>3451</v>
      </c>
    </row>
    <row r="2264" spans="1:29" ht="18">
      <c r="A2264" s="2714"/>
      <c r="B2264" s="371">
        <v>102</v>
      </c>
      <c r="C2264" s="371" t="s">
        <v>2791</v>
      </c>
      <c r="D2264" s="2716">
        <f t="shared" si="238"/>
        <v>0</v>
      </c>
      <c r="E2264" s="2721">
        <v>0</v>
      </c>
      <c r="F2264" s="293"/>
      <c r="G2264" s="2284" t="s">
        <v>2792</v>
      </c>
      <c r="H2264" s="2275"/>
      <c r="I2264" s="2298"/>
      <c r="J2264" s="2275"/>
      <c r="K2264" s="1476">
        <f t="shared" ref="K2264:K2270" si="239">H2264-J2264</f>
        <v>0</v>
      </c>
      <c r="L2264" s="2276"/>
      <c r="M2264" s="438"/>
      <c r="N2264" s="439"/>
      <c r="O2264" s="437"/>
      <c r="P2264" s="438"/>
      <c r="Q2264" s="442"/>
      <c r="R2264" s="443"/>
      <c r="S2264" s="364"/>
      <c r="Z2264" s="609" t="s">
        <v>925</v>
      </c>
      <c r="AA2264" s="609" t="s">
        <v>3451</v>
      </c>
    </row>
    <row r="2265" spans="1:29" ht="18">
      <c r="A2265" s="2714"/>
      <c r="B2265" s="371">
        <v>103</v>
      </c>
      <c r="C2265" s="371" t="s">
        <v>2791</v>
      </c>
      <c r="D2265" s="2716">
        <f t="shared" si="238"/>
        <v>0</v>
      </c>
      <c r="E2265" s="2721">
        <v>0</v>
      </c>
      <c r="F2265" s="293"/>
      <c r="G2265" s="2284" t="s">
        <v>2792</v>
      </c>
      <c r="H2265" s="2275"/>
      <c r="I2265" s="2298"/>
      <c r="J2265" s="2275"/>
      <c r="K2265" s="1476">
        <f t="shared" si="239"/>
        <v>0</v>
      </c>
      <c r="L2265" s="2276"/>
      <c r="M2265" s="438"/>
      <c r="N2265" s="439"/>
      <c r="O2265" s="437"/>
      <c r="P2265" s="438"/>
      <c r="Q2265" s="442"/>
      <c r="R2265" s="443"/>
      <c r="S2265" s="364"/>
      <c r="Z2265" s="609" t="s">
        <v>925</v>
      </c>
      <c r="AA2265" s="609" t="s">
        <v>3451</v>
      </c>
    </row>
    <row r="2266" spans="1:29" ht="18">
      <c r="A2266" s="2714"/>
      <c r="B2266" s="371">
        <v>104</v>
      </c>
      <c r="C2266" s="371" t="s">
        <v>2791</v>
      </c>
      <c r="D2266" s="2716">
        <f t="shared" si="238"/>
        <v>0</v>
      </c>
      <c r="E2266" s="2721">
        <v>0</v>
      </c>
      <c r="F2266" s="293"/>
      <c r="G2266" s="2284" t="s">
        <v>2792</v>
      </c>
      <c r="H2266" s="2275"/>
      <c r="I2266" s="2298"/>
      <c r="J2266" s="2275"/>
      <c r="K2266" s="1476">
        <f t="shared" si="239"/>
        <v>0</v>
      </c>
      <c r="L2266" s="2276"/>
      <c r="M2266" s="438"/>
      <c r="N2266" s="439"/>
      <c r="O2266" s="437"/>
      <c r="P2266" s="438"/>
      <c r="Q2266" s="442"/>
      <c r="R2266" s="443"/>
      <c r="S2266" s="364"/>
      <c r="Z2266" s="609" t="s">
        <v>925</v>
      </c>
      <c r="AA2266" s="609" t="s">
        <v>3451</v>
      </c>
    </row>
    <row r="2267" spans="1:29" ht="18">
      <c r="A2267" s="2714"/>
      <c r="B2267" s="371">
        <v>105</v>
      </c>
      <c r="C2267" s="371"/>
      <c r="D2267" s="2716">
        <f t="shared" si="238"/>
        <v>1</v>
      </c>
      <c r="E2267" s="2721">
        <v>1</v>
      </c>
      <c r="F2267" s="293"/>
      <c r="G2267" s="1474" t="s">
        <v>2892</v>
      </c>
      <c r="H2267" s="2275">
        <f>SUM(H2268:H2270)</f>
        <v>0</v>
      </c>
      <c r="I2267" s="2298"/>
      <c r="J2267" s="2275">
        <f>SUM(J2268:J2270)</f>
        <v>0</v>
      </c>
      <c r="K2267" s="1476">
        <f t="shared" si="239"/>
        <v>0</v>
      </c>
      <c r="L2267" s="2276"/>
      <c r="M2267" s="438"/>
      <c r="N2267" s="439"/>
      <c r="O2267" s="437"/>
      <c r="P2267" s="438"/>
      <c r="Q2267" s="442"/>
      <c r="R2267" s="443"/>
      <c r="S2267" s="364"/>
      <c r="Z2267" s="609" t="s">
        <v>925</v>
      </c>
      <c r="AA2267" s="609" t="s">
        <v>3451</v>
      </c>
    </row>
    <row r="2268" spans="1:29" ht="18">
      <c r="A2268" s="2714"/>
      <c r="B2268" s="371">
        <v>106</v>
      </c>
      <c r="C2268" s="371" t="s">
        <v>2791</v>
      </c>
      <c r="D2268" s="2716">
        <f t="shared" si="238"/>
        <v>0</v>
      </c>
      <c r="E2268" s="2721">
        <v>0</v>
      </c>
      <c r="F2268" s="293"/>
      <c r="G2268" s="2284" t="s">
        <v>2792</v>
      </c>
      <c r="H2268" s="2275"/>
      <c r="I2268" s="2298"/>
      <c r="J2268" s="2275"/>
      <c r="K2268" s="1476">
        <f t="shared" si="239"/>
        <v>0</v>
      </c>
      <c r="L2268" s="2276"/>
      <c r="M2268" s="438"/>
      <c r="N2268" s="439"/>
      <c r="O2268" s="437"/>
      <c r="P2268" s="438"/>
      <c r="Q2268" s="442"/>
      <c r="R2268" s="443"/>
      <c r="S2268" s="364"/>
      <c r="Z2268" s="609" t="s">
        <v>925</v>
      </c>
      <c r="AA2268" s="609" t="s">
        <v>3451</v>
      </c>
    </row>
    <row r="2269" spans="1:29" ht="18">
      <c r="A2269" s="2714"/>
      <c r="B2269" s="371">
        <v>107</v>
      </c>
      <c r="C2269" s="371" t="s">
        <v>2791</v>
      </c>
      <c r="D2269" s="2716">
        <f t="shared" si="238"/>
        <v>0</v>
      </c>
      <c r="E2269" s="2721">
        <v>0</v>
      </c>
      <c r="F2269" s="293"/>
      <c r="G2269" s="2284" t="s">
        <v>2792</v>
      </c>
      <c r="H2269" s="2275"/>
      <c r="I2269" s="2298"/>
      <c r="J2269" s="2275"/>
      <c r="K2269" s="1476">
        <f t="shared" si="239"/>
        <v>0</v>
      </c>
      <c r="L2269" s="2276"/>
      <c r="M2269" s="438"/>
      <c r="N2269" s="439"/>
      <c r="O2269" s="437"/>
      <c r="P2269" s="438"/>
      <c r="Q2269" s="442"/>
      <c r="R2269" s="443"/>
      <c r="S2269" s="364"/>
      <c r="Z2269" s="609" t="s">
        <v>925</v>
      </c>
      <c r="AA2269" s="609" t="s">
        <v>3451</v>
      </c>
    </row>
    <row r="2270" spans="1:29" ht="18">
      <c r="A2270" s="2714"/>
      <c r="B2270" s="371">
        <v>108</v>
      </c>
      <c r="C2270" s="371" t="s">
        <v>2791</v>
      </c>
      <c r="D2270" s="2716">
        <f t="shared" si="238"/>
        <v>0</v>
      </c>
      <c r="E2270" s="2721">
        <v>0</v>
      </c>
      <c r="F2270" s="293"/>
      <c r="G2270" s="2284" t="s">
        <v>2792</v>
      </c>
      <c r="H2270" s="2275"/>
      <c r="I2270" s="2298"/>
      <c r="J2270" s="2275"/>
      <c r="K2270" s="1476">
        <f t="shared" si="239"/>
        <v>0</v>
      </c>
      <c r="L2270" s="2276"/>
      <c r="M2270" s="438"/>
      <c r="N2270" s="439"/>
      <c r="O2270" s="437"/>
      <c r="P2270" s="438"/>
      <c r="Q2270" s="442"/>
      <c r="R2270" s="443"/>
      <c r="S2270" s="364"/>
      <c r="Z2270" s="609" t="s">
        <v>925</v>
      </c>
      <c r="AA2270" s="609" t="s">
        <v>3451</v>
      </c>
    </row>
    <row r="2271" spans="1:29" ht="18.75" thickBot="1">
      <c r="A2271" s="2714"/>
      <c r="B2271" s="371"/>
      <c r="C2271" s="371"/>
      <c r="D2271" s="2716">
        <f t="shared" si="238"/>
        <v>1</v>
      </c>
      <c r="E2271" s="2721" t="s">
        <v>2751</v>
      </c>
      <c r="F2271" s="293"/>
      <c r="G2271" s="2234" t="s">
        <v>2752</v>
      </c>
      <c r="H2271" s="2235">
        <f>SUMPRODUCT($E2262:$E2270,H2262:H2270)</f>
        <v>0</v>
      </c>
      <c r="I2271" s="2241"/>
      <c r="J2271" s="2235">
        <f>SUMPRODUCT($E2262:$E2270,J2262:J2270)</f>
        <v>0</v>
      </c>
      <c r="K2271" s="2235">
        <f>SUMPRODUCT($E2262:$E2270,K2262:K2270)</f>
        <v>0</v>
      </c>
      <c r="L2271" s="2244"/>
      <c r="M2271" s="1597" t="str">
        <f ca="1">HYPERLINK("#'"&amp;$G$1&amp;"'!"&amp;ADDRESS(ROW(Notes!L2223),COLUMN(Notes!L2223),4),"* 请勿删除此行！点击往勾稽单元格，F5+Enter返回")</f>
        <v>* 请勿删除此行！点击往勾稽单元格，F5+Enter返回</v>
      </c>
      <c r="N2271" s="439"/>
      <c r="O2271" s="437"/>
      <c r="P2271" s="440"/>
      <c r="Q2271" s="442"/>
      <c r="R2271" s="443"/>
      <c r="S2271" s="364"/>
      <c r="Z2271" s="609" t="s">
        <v>925</v>
      </c>
      <c r="AA2271" s="609" t="s">
        <v>3451</v>
      </c>
      <c r="AC2271" s="369" t="s">
        <v>6573</v>
      </c>
    </row>
    <row r="2272" spans="1:29" ht="18">
      <c r="A2272" s="2714"/>
      <c r="B2272" s="371"/>
      <c r="C2272" s="371" t="s">
        <v>2755</v>
      </c>
      <c r="D2272" s="2716"/>
      <c r="F2272" s="293"/>
      <c r="G2272" s="376"/>
      <c r="H2272" s="315"/>
      <c r="I2272" s="432"/>
      <c r="J2272" s="315"/>
      <c r="K2272" s="423"/>
      <c r="L2272" s="393"/>
      <c r="M2272" s="425"/>
      <c r="N2272" s="426"/>
      <c r="O2272" s="427"/>
      <c r="P2272" s="425"/>
      <c r="Q2272" s="442"/>
      <c r="R2272" s="443"/>
      <c r="S2272" s="364"/>
      <c r="Z2272" s="609" t="s">
        <v>925</v>
      </c>
      <c r="AA2272" s="609" t="s">
        <v>3451</v>
      </c>
    </row>
    <row r="2273" spans="1:29" ht="36">
      <c r="A2273" s="2714" t="s">
        <v>946</v>
      </c>
      <c r="B2273" s="371">
        <v>2.2000000000000002</v>
      </c>
      <c r="C2273" s="371"/>
      <c r="D2273" s="2716" t="str">
        <f>VLOOKUP($A2273,Sheet_NoteList,2,0)</f>
        <v>长期应收款按坏账计提方法分类披露（已发生损失模型）</v>
      </c>
      <c r="E2273" s="2716" t="s">
        <v>2742</v>
      </c>
      <c r="F2273" s="293"/>
      <c r="G2273" s="372" t="str">
        <f>"("&amp;B2273&amp;")"&amp;D2273</f>
        <v>(2.2)长期应收款按坏账计提方法分类披露（已发生损失模型）</v>
      </c>
      <c r="H2273" s="1517" t="str">
        <f>$A2273</f>
        <v>1531p</v>
      </c>
      <c r="I2273" s="343" t="s">
        <v>2743</v>
      </c>
      <c r="J2273" s="301" t="s">
        <v>2744</v>
      </c>
      <c r="K2273" s="2210">
        <f>H2284</f>
        <v>0</v>
      </c>
      <c r="L2273" s="349"/>
      <c r="M2273" s="301" t="s">
        <v>2745</v>
      </c>
      <c r="N2273" s="2210">
        <f>L2284</f>
        <v>0</v>
      </c>
      <c r="O2273" s="349"/>
      <c r="P2273" s="301"/>
      <c r="S2273" s="364"/>
      <c r="Z2273" s="609" t="s">
        <v>925</v>
      </c>
      <c r="AA2273" s="609" t="s">
        <v>3451</v>
      </c>
    </row>
    <row r="2274" spans="1:29" ht="0.75" customHeight="1">
      <c r="A2274" s="2714"/>
      <c r="B2274" s="371"/>
      <c r="C2274" s="371"/>
      <c r="D2274" s="2716"/>
      <c r="E2274" s="586"/>
      <c r="F2274" s="586"/>
      <c r="G2274" s="2224" t="s">
        <v>3459</v>
      </c>
      <c r="H2274" s="371" t="s">
        <v>2747</v>
      </c>
      <c r="I2274" s="371" t="s">
        <v>2947</v>
      </c>
      <c r="J2274" s="371" t="s">
        <v>2948</v>
      </c>
      <c r="K2274" s="547" t="s">
        <v>2949</v>
      </c>
      <c r="L2274" s="371" t="s">
        <v>3242</v>
      </c>
      <c r="M2274" s="433"/>
      <c r="N2274" s="428"/>
      <c r="O2274" s="428"/>
      <c r="P2274" s="433"/>
      <c r="Q2274" s="442"/>
      <c r="R2274" s="443"/>
      <c r="S2274" s="364"/>
      <c r="Z2274" s="609" t="s">
        <v>925</v>
      </c>
      <c r="AA2274" s="609" t="s">
        <v>3451</v>
      </c>
    </row>
    <row r="2275" spans="1:29" ht="0.75" customHeight="1" thickBot="1">
      <c r="A2275" s="2714"/>
      <c r="B2275" s="371"/>
      <c r="C2275" s="371"/>
      <c r="D2275" s="2716"/>
      <c r="E2275" s="586"/>
      <c r="F2275" s="586"/>
      <c r="G2275" s="2224"/>
      <c r="H2275" s="371" t="s">
        <v>3150</v>
      </c>
      <c r="I2275" s="371" t="s">
        <v>3151</v>
      </c>
      <c r="J2275" s="371" t="s">
        <v>3152</v>
      </c>
      <c r="K2275" s="547" t="s">
        <v>3153</v>
      </c>
      <c r="L2275" s="547" t="s">
        <v>2951</v>
      </c>
      <c r="M2275" s="433"/>
      <c r="N2275" s="428"/>
      <c r="O2275" s="428"/>
      <c r="P2275" s="433"/>
      <c r="Q2275" s="442"/>
      <c r="R2275" s="443"/>
      <c r="S2275" s="364"/>
      <c r="Z2275" s="609" t="s">
        <v>925</v>
      </c>
      <c r="AA2275" s="609" t="s">
        <v>3451</v>
      </c>
    </row>
    <row r="2276" spans="1:29" ht="18" customHeight="1">
      <c r="A2276" s="2714"/>
      <c r="B2276" s="371"/>
      <c r="C2276" s="371"/>
      <c r="D2276" s="2716"/>
      <c r="E2276" s="586" t="s">
        <v>2749</v>
      </c>
      <c r="F2276" s="414"/>
      <c r="G2276" s="3472" t="s">
        <v>5135</v>
      </c>
      <c r="H2276" s="3431" t="str">
        <f>$W$3&amp;"账面余额"</f>
        <v>2018年12月31日账面余额</v>
      </c>
      <c r="I2276" s="3432"/>
      <c r="J2276" s="3431" t="str">
        <f>$W$3&amp;"坏账准备"</f>
        <v>2018年12月31日坏账准备</v>
      </c>
      <c r="K2276" s="3432"/>
      <c r="L2276" s="3388" t="str">
        <f>$W$3&amp;"账面价值"</f>
        <v>2018年12月31日账面价值</v>
      </c>
      <c r="M2276" s="355" t="s">
        <v>5282</v>
      </c>
      <c r="N2276" s="428"/>
      <c r="O2276" s="428"/>
      <c r="P2276" s="433"/>
      <c r="Q2276" s="442"/>
      <c r="R2276" s="443"/>
      <c r="S2276" s="364"/>
      <c r="Z2276" s="609" t="s">
        <v>925</v>
      </c>
      <c r="AA2276" s="609" t="s">
        <v>3451</v>
      </c>
    </row>
    <row r="2277" spans="1:29" ht="18">
      <c r="A2277" s="2714"/>
      <c r="B2277" s="371"/>
      <c r="C2277" s="371"/>
      <c r="D2277" s="2716"/>
      <c r="E2277" s="586" t="s">
        <v>2749</v>
      </c>
      <c r="F2277" s="414"/>
      <c r="G2277" s="3473"/>
      <c r="H2277" s="2294" t="s">
        <v>2887</v>
      </c>
      <c r="I2277" s="2294" t="s">
        <v>2888</v>
      </c>
      <c r="J2277" s="2294" t="s">
        <v>2887</v>
      </c>
      <c r="K2277" s="2239" t="s">
        <v>2889</v>
      </c>
      <c r="L2277" s="3389"/>
      <c r="M2277" s="435"/>
      <c r="N2277" s="434"/>
      <c r="O2277" s="434"/>
      <c r="P2277" s="435"/>
      <c r="Q2277" s="442"/>
      <c r="R2277" s="443"/>
      <c r="S2277" s="364"/>
      <c r="Z2277" s="609" t="s">
        <v>925</v>
      </c>
      <c r="AA2277" s="609" t="s">
        <v>3451</v>
      </c>
    </row>
    <row r="2278" spans="1:29" ht="24">
      <c r="A2278" s="2714"/>
      <c r="B2278" s="371">
        <v>101</v>
      </c>
      <c r="C2278" s="371"/>
      <c r="D2278" s="2716">
        <f t="shared" ref="D2278:D2284" si="240">IF(OR(G2278="*",G2278="",G2278=0),0,COUNTIF($G$2278:$G$2284,G2278))</f>
        <v>1</v>
      </c>
      <c r="E2278" s="2721">
        <v>1</v>
      </c>
      <c r="F2278" s="293"/>
      <c r="G2278" s="1474" t="s">
        <v>3460</v>
      </c>
      <c r="H2278" s="2275"/>
      <c r="I2278" s="2298"/>
      <c r="J2278" s="2275"/>
      <c r="K2278" s="2298"/>
      <c r="L2278" s="1477">
        <f>H2278-J2278</f>
        <v>0</v>
      </c>
      <c r="M2278" s="1589" t="str">
        <f ca="1">HYPERLINK("#'"&amp;$G$1&amp;"'!"&amp;ADDRESS(ROW(Notes!H2309),COLUMN(Notes!H2309),4),"* 请勿删除此行！点击往勾稽单元格，F5+Enter返回")</f>
        <v>* 请勿删除此行！点击往勾稽单元格，F5+Enter返回</v>
      </c>
      <c r="N2278" s="439"/>
      <c r="O2278" s="437"/>
      <c r="P2278" s="438"/>
      <c r="Q2278" s="442"/>
      <c r="R2278" s="443"/>
      <c r="S2278" s="364"/>
      <c r="Z2278" s="609" t="s">
        <v>925</v>
      </c>
      <c r="AA2278" s="609" t="s">
        <v>3451</v>
      </c>
      <c r="AC2278" s="369" t="s">
        <v>6573</v>
      </c>
    </row>
    <row r="2279" spans="1:29" ht="24">
      <c r="A2279" s="2714"/>
      <c r="B2279" s="371">
        <v>102</v>
      </c>
      <c r="C2279" s="371"/>
      <c r="D2279" s="2716">
        <f t="shared" si="240"/>
        <v>1</v>
      </c>
      <c r="E2279" s="2721">
        <v>1</v>
      </c>
      <c r="F2279" s="293"/>
      <c r="G2279" s="1474" t="s">
        <v>3461</v>
      </c>
      <c r="H2279" s="2275"/>
      <c r="I2279" s="2298"/>
      <c r="J2279" s="2275"/>
      <c r="K2279" s="2298"/>
      <c r="L2279" s="1477">
        <f t="shared" ref="L2279:L2283" si="241">H2279-J2279</f>
        <v>0</v>
      </c>
      <c r="M2279" s="438"/>
      <c r="N2279" s="439"/>
      <c r="O2279" s="437"/>
      <c r="P2279" s="438"/>
      <c r="Q2279" s="442"/>
      <c r="R2279" s="443"/>
      <c r="S2279" s="364"/>
      <c r="Z2279" s="609" t="s">
        <v>925</v>
      </c>
      <c r="AA2279" s="609" t="s">
        <v>3451</v>
      </c>
    </row>
    <row r="2280" spans="1:29" ht="24">
      <c r="A2280" s="2714"/>
      <c r="B2280" s="371">
        <v>103</v>
      </c>
      <c r="C2280" s="371"/>
      <c r="D2280" s="2716">
        <f t="shared" si="240"/>
        <v>1</v>
      </c>
      <c r="E2280" s="2721">
        <v>1</v>
      </c>
      <c r="F2280" s="293"/>
      <c r="G2280" s="1474" t="s">
        <v>3462</v>
      </c>
      <c r="H2280" s="2275"/>
      <c r="I2280" s="2298"/>
      <c r="J2280" s="2275"/>
      <c r="K2280" s="2298"/>
      <c r="L2280" s="1477">
        <f t="shared" si="241"/>
        <v>0</v>
      </c>
      <c r="M2280" s="438"/>
      <c r="N2280" s="439"/>
      <c r="O2280" s="437"/>
      <c r="P2280" s="438"/>
      <c r="Q2280" s="442"/>
      <c r="R2280" s="443"/>
      <c r="S2280" s="364"/>
      <c r="Z2280" s="609" t="s">
        <v>925</v>
      </c>
      <c r="AA2280" s="609" t="s">
        <v>3451</v>
      </c>
    </row>
    <row r="2281" spans="1:29" ht="18">
      <c r="A2281" s="2714"/>
      <c r="B2281" s="371">
        <v>104</v>
      </c>
      <c r="C2281" s="371" t="s">
        <v>2791</v>
      </c>
      <c r="D2281" s="2716">
        <f t="shared" si="240"/>
        <v>0</v>
      </c>
      <c r="E2281" s="2721">
        <v>1</v>
      </c>
      <c r="F2281" s="293"/>
      <c r="G2281" s="2284" t="s">
        <v>2792</v>
      </c>
      <c r="H2281" s="2275"/>
      <c r="I2281" s="2298"/>
      <c r="J2281" s="2275"/>
      <c r="K2281" s="2298"/>
      <c r="L2281" s="1477">
        <f t="shared" si="241"/>
        <v>0</v>
      </c>
      <c r="M2281" s="438"/>
      <c r="N2281" s="439"/>
      <c r="O2281" s="437"/>
      <c r="P2281" s="438"/>
      <c r="Q2281" s="442"/>
      <c r="R2281" s="443"/>
      <c r="S2281" s="364"/>
      <c r="Z2281" s="609" t="s">
        <v>925</v>
      </c>
      <c r="AA2281" s="609" t="s">
        <v>3451</v>
      </c>
    </row>
    <row r="2282" spans="1:29" ht="18">
      <c r="A2282" s="2714"/>
      <c r="B2282" s="371">
        <v>105</v>
      </c>
      <c r="C2282" s="371" t="s">
        <v>2791</v>
      </c>
      <c r="D2282" s="2716">
        <f t="shared" si="240"/>
        <v>0</v>
      </c>
      <c r="E2282" s="2721">
        <v>1</v>
      </c>
      <c r="F2282" s="293"/>
      <c r="G2282" s="2284" t="s">
        <v>2792</v>
      </c>
      <c r="H2282" s="2275"/>
      <c r="I2282" s="2298"/>
      <c r="J2282" s="2275"/>
      <c r="K2282" s="2298"/>
      <c r="L2282" s="1477">
        <f t="shared" si="241"/>
        <v>0</v>
      </c>
      <c r="M2282" s="438"/>
      <c r="N2282" s="439"/>
      <c r="O2282" s="437"/>
      <c r="P2282" s="438"/>
      <c r="Q2282" s="442"/>
      <c r="R2282" s="443"/>
      <c r="S2282" s="364"/>
      <c r="Z2282" s="609" t="s">
        <v>925</v>
      </c>
      <c r="AA2282" s="609" t="s">
        <v>3451</v>
      </c>
    </row>
    <row r="2283" spans="1:29" ht="18">
      <c r="A2283" s="2714"/>
      <c r="B2283" s="371">
        <v>106</v>
      </c>
      <c r="C2283" s="371" t="s">
        <v>2791</v>
      </c>
      <c r="D2283" s="2716">
        <f t="shared" si="240"/>
        <v>0</v>
      </c>
      <c r="E2283" s="2721">
        <v>1</v>
      </c>
      <c r="F2283" s="293"/>
      <c r="G2283" s="2284" t="s">
        <v>2792</v>
      </c>
      <c r="H2283" s="2275"/>
      <c r="I2283" s="2298"/>
      <c r="J2283" s="2275"/>
      <c r="K2283" s="2298"/>
      <c r="L2283" s="1477">
        <f t="shared" si="241"/>
        <v>0</v>
      </c>
      <c r="M2283" s="438"/>
      <c r="N2283" s="439"/>
      <c r="O2283" s="437"/>
      <c r="P2283" s="438"/>
      <c r="Q2283" s="442"/>
      <c r="R2283" s="443"/>
      <c r="S2283" s="364"/>
      <c r="Z2283" s="609" t="s">
        <v>925</v>
      </c>
      <c r="AA2283" s="609" t="s">
        <v>3451</v>
      </c>
    </row>
    <row r="2284" spans="1:29" ht="18.75" thickBot="1">
      <c r="A2284" s="2714"/>
      <c r="B2284" s="371"/>
      <c r="C2284" s="371"/>
      <c r="D2284" s="2716">
        <f t="shared" si="240"/>
        <v>1</v>
      </c>
      <c r="E2284" s="2721" t="s">
        <v>2751</v>
      </c>
      <c r="F2284" s="293"/>
      <c r="G2284" s="2234" t="s">
        <v>5141</v>
      </c>
      <c r="H2284" s="2235">
        <f>SUMPRODUCT($E2277:$E2283,H2277:H2283)</f>
        <v>0</v>
      </c>
      <c r="I2284" s="2242">
        <f>SUMPRODUCT($E2277:$E2283,I2277:I2283)</f>
        <v>0</v>
      </c>
      <c r="J2284" s="2235">
        <f>SUMPRODUCT($E2277:$E2283,J2277:J2283)</f>
        <v>0</v>
      </c>
      <c r="K2284" s="2241"/>
      <c r="L2284" s="2236">
        <f>SUMPRODUCT($E2277:$E2283,L2277:L2283)</f>
        <v>0</v>
      </c>
      <c r="M2284" s="440"/>
      <c r="N2284" s="439"/>
      <c r="O2284" s="437"/>
      <c r="P2284" s="440"/>
      <c r="Q2284" s="442"/>
      <c r="R2284" s="443"/>
      <c r="S2284" s="364"/>
      <c r="Z2284" s="609" t="s">
        <v>925</v>
      </c>
      <c r="AA2284" s="609" t="s">
        <v>3451</v>
      </c>
    </row>
    <row r="2285" spans="1:29" ht="18.75" thickBot="1">
      <c r="A2285" s="2714"/>
      <c r="B2285" s="371"/>
      <c r="C2285" s="371" t="s">
        <v>2755</v>
      </c>
      <c r="D2285" s="2716"/>
      <c r="F2285" s="293"/>
      <c r="G2285" s="376"/>
      <c r="H2285" s="527" t="s">
        <v>3002</v>
      </c>
      <c r="I2285" s="432"/>
      <c r="J2285" s="527" t="s">
        <v>3002</v>
      </c>
      <c r="K2285" s="392"/>
      <c r="L2285" s="527" t="s">
        <v>3002</v>
      </c>
      <c r="M2285" s="425"/>
      <c r="N2285" s="426"/>
      <c r="O2285" s="427"/>
      <c r="P2285" s="425"/>
      <c r="Q2285" s="442"/>
      <c r="R2285" s="443"/>
      <c r="S2285" s="364"/>
      <c r="Z2285" s="609" t="s">
        <v>925</v>
      </c>
      <c r="AA2285" s="609" t="s">
        <v>3451</v>
      </c>
    </row>
    <row r="2286" spans="1:29" ht="18.75" thickTop="1">
      <c r="A2286" s="2714"/>
      <c r="B2286" s="371"/>
      <c r="C2286" s="371" t="s">
        <v>2565</v>
      </c>
      <c r="D2286" s="2716"/>
      <c r="F2286" s="293"/>
      <c r="G2286" s="1549" t="s">
        <v>5367</v>
      </c>
      <c r="H2286" s="1550" t="str">
        <f>G2202</f>
        <v>(1)长期应收款情况</v>
      </c>
      <c r="I2286" s="1551"/>
      <c r="J2286" s="1552"/>
      <c r="K2286" s="1551"/>
      <c r="L2286" s="1552"/>
      <c r="M2286" s="1553" t="s">
        <v>5368</v>
      </c>
      <c r="N2286" s="426"/>
      <c r="O2286" s="427"/>
      <c r="P2286" s="425"/>
      <c r="Q2286" s="442"/>
      <c r="R2286" s="442"/>
      <c r="S2286" s="364"/>
      <c r="Z2286" s="609" t="s">
        <v>925</v>
      </c>
      <c r="AA2286" s="609" t="s">
        <v>3451</v>
      </c>
    </row>
    <row r="2287" spans="1:29" ht="18">
      <c r="A2287" s="2714"/>
      <c r="B2287" s="371"/>
      <c r="C2287" s="371" t="s">
        <v>2565</v>
      </c>
      <c r="D2287" s="2716"/>
      <c r="F2287" s="293"/>
      <c r="G2287" s="604" t="str">
        <f>"注释A:"&amp; G2216</f>
        <v>注释A:合       计</v>
      </c>
      <c r="H2287" s="2252">
        <f ca="1">HYPERLINK("#'"&amp;$G$1&amp;"'!"&amp;ADDRESS(ROW(Notes!K2216),COLUMN(Notes!K2216),4),K2216)</f>
        <v>0</v>
      </c>
      <c r="I2287" s="351"/>
      <c r="J2287" s="2252">
        <f ca="1">HYPERLINK("#'"&amp;$G$1&amp;"'!"&amp;ADDRESS(ROW(Notes!L2216),COLUMN(Notes!L2216),4),L2216)</f>
        <v>0</v>
      </c>
      <c r="K2287" s="351"/>
      <c r="L2287" s="2252">
        <f ca="1">HYPERLINK("#'"&amp;$G$1&amp;"'!"&amp;ADDRESS(ROW(Notes!M2216),COLUMN(Notes!M2216),4),M2216)</f>
        <v>0</v>
      </c>
      <c r="M2287" s="2636" t="str">
        <f>H2202</f>
        <v>1531a</v>
      </c>
      <c r="N2287" s="426"/>
      <c r="O2287" s="427"/>
      <c r="P2287" s="425"/>
      <c r="Q2287" s="442"/>
      <c r="R2287" s="442"/>
      <c r="S2287" s="364"/>
      <c r="Z2287" s="609" t="s">
        <v>925</v>
      </c>
      <c r="AA2287" s="609" t="s">
        <v>3451</v>
      </c>
    </row>
    <row r="2288" spans="1:29" ht="18">
      <c r="A2288" s="2714"/>
      <c r="B2288" s="371"/>
      <c r="C2288" s="371" t="s">
        <v>2565</v>
      </c>
      <c r="D2288" s="2716"/>
      <c r="F2288" s="293"/>
      <c r="G2288" s="604" t="str">
        <f>"本注释B:"&amp; G2284</f>
        <v>本注释B:合       计</v>
      </c>
      <c r="H2288" s="456">
        <f>H2284</f>
        <v>0</v>
      </c>
      <c r="I2288" s="351"/>
      <c r="J2288" s="456">
        <f>J2284</f>
        <v>0</v>
      </c>
      <c r="K2288" s="351"/>
      <c r="L2288" s="456">
        <f>L2284</f>
        <v>0</v>
      </c>
      <c r="M2288" s="2639" t="s">
        <v>946</v>
      </c>
      <c r="N2288" s="426"/>
      <c r="O2288" s="427"/>
      <c r="P2288" s="425"/>
      <c r="Q2288" s="442"/>
      <c r="R2288" s="442"/>
      <c r="S2288" s="364"/>
      <c r="Z2288" s="609" t="s">
        <v>925</v>
      </c>
      <c r="AA2288" s="609" t="s">
        <v>3451</v>
      </c>
    </row>
    <row r="2289" spans="1:27" ht="18.75" thickBot="1">
      <c r="A2289" s="2714"/>
      <c r="B2289" s="371"/>
      <c r="C2289" s="371" t="s">
        <v>2565</v>
      </c>
      <c r="D2289" s="2716"/>
      <c r="F2289" s="293"/>
      <c r="G2289" s="1554" t="s">
        <v>2757</v>
      </c>
      <c r="H2289" s="1531">
        <f ca="1">IF(AND(H2287="",H2288=""),"",ROUND(H2287-H2288,2))</f>
        <v>0</v>
      </c>
      <c r="I2289" s="1555"/>
      <c r="J2289" s="1531">
        <f ca="1">IF(AND(J2287="",J2288=""),"",ROUND(J2287-J2288,2))</f>
        <v>0</v>
      </c>
      <c r="K2289" s="1555"/>
      <c r="L2289" s="1531">
        <f ca="1">IF(AND(L2287="",L2288=""),"",ROUND(L2287-L2288,2))</f>
        <v>0</v>
      </c>
      <c r="M2289" s="1556"/>
      <c r="N2289" s="426"/>
      <c r="O2289" s="427"/>
      <c r="P2289" s="425"/>
      <c r="Q2289" s="442"/>
      <c r="R2289" s="442"/>
      <c r="S2289" s="364"/>
      <c r="Z2289" s="609" t="s">
        <v>925</v>
      </c>
      <c r="AA2289" s="609" t="s">
        <v>3451</v>
      </c>
    </row>
    <row r="2290" spans="1:27" ht="18.75" thickTop="1">
      <c r="A2290" s="2714"/>
      <c r="B2290" s="371"/>
      <c r="C2290" s="371" t="s">
        <v>2565</v>
      </c>
      <c r="D2290" s="2716"/>
      <c r="F2290" s="293"/>
      <c r="G2290" s="1545"/>
      <c r="H2290" s="459" t="str">
        <f ca="1">IF(OR(H2289=0,H2289=""),"√","？")</f>
        <v>√</v>
      </c>
      <c r="I2290" s="317"/>
      <c r="J2290" s="459" t="str">
        <f ca="1">IF(OR(J2289=0,J2289=""),"√","？")</f>
        <v>√</v>
      </c>
      <c r="K2290" s="317"/>
      <c r="L2290" s="459" t="str">
        <f ca="1">IF(OR(L2289=0,L2289=""),"√","？")</f>
        <v>√</v>
      </c>
      <c r="M2290" s="1547"/>
      <c r="N2290" s="426"/>
      <c r="O2290" s="427"/>
      <c r="P2290" s="425"/>
      <c r="Q2290" s="442"/>
      <c r="R2290" s="442"/>
      <c r="S2290" s="364"/>
      <c r="Z2290" s="609" t="s">
        <v>925</v>
      </c>
      <c r="AA2290" s="609" t="s">
        <v>3451</v>
      </c>
    </row>
    <row r="2291" spans="1:27" ht="18">
      <c r="A2291" s="2714"/>
      <c r="B2291" s="371"/>
      <c r="C2291" s="371" t="s">
        <v>2565</v>
      </c>
      <c r="D2291" s="2716"/>
      <c r="F2291" s="293"/>
      <c r="G2291" s="1559" t="s">
        <v>2759</v>
      </c>
      <c r="H2291" s="461"/>
      <c r="I2291" s="317"/>
      <c r="J2291" s="461"/>
      <c r="K2291" s="352">
        <f ca="1">SUMIF($H$2290:$M$2290,"&lt;&gt;√",$H$2289:$M$2289)</f>
        <v>0</v>
      </c>
      <c r="L2291" s="353" t="str">
        <f ca="1">IF(OR(K2291=0,K2291=""),"√","？")</f>
        <v>√</v>
      </c>
      <c r="M2291" s="1547"/>
      <c r="N2291" s="426"/>
      <c r="O2291" s="427"/>
      <c r="P2291" s="425"/>
      <c r="Q2291" s="442"/>
      <c r="R2291" s="442"/>
      <c r="S2291" s="364"/>
      <c r="Z2291" s="609" t="s">
        <v>925</v>
      </c>
      <c r="AA2291" s="609" t="s">
        <v>3451</v>
      </c>
    </row>
    <row r="2292" spans="1:27" ht="18">
      <c r="A2292" s="2714"/>
      <c r="B2292" s="371"/>
      <c r="C2292" s="371" t="s">
        <v>2565</v>
      </c>
      <c r="D2292" s="2716"/>
      <c r="F2292" s="293"/>
      <c r="G2292" s="1545"/>
      <c r="H2292" s="461"/>
      <c r="I2292" s="317"/>
      <c r="J2292" s="461"/>
      <c r="K2292" s="317"/>
      <c r="L2292" s="461"/>
      <c r="M2292" s="1547"/>
      <c r="N2292" s="426"/>
      <c r="O2292" s="427"/>
      <c r="P2292" s="425"/>
      <c r="Q2292" s="442"/>
      <c r="R2292" s="442"/>
      <c r="S2292" s="364"/>
      <c r="Z2292" s="609" t="s">
        <v>925</v>
      </c>
      <c r="AA2292" s="609" t="s">
        <v>3451</v>
      </c>
    </row>
    <row r="2293" spans="1:27" ht="48">
      <c r="A2293" s="2714" t="s">
        <v>949</v>
      </c>
      <c r="B2293" s="371" t="s">
        <v>6559</v>
      </c>
      <c r="C2293" s="371"/>
      <c r="D2293" s="2716" t="str">
        <f>VLOOKUP($A2293,Sheet_NoteList,2,0)</f>
        <v>上期末按单项金额重大并单项计提坏账准备的长期应收款（已发生损失模型）</v>
      </c>
      <c r="E2293" s="2716" t="s">
        <v>2742</v>
      </c>
      <c r="F2293" s="293"/>
      <c r="G2293" s="372" t="str">
        <f>"("&amp;B2293&amp;")"&amp;D2293</f>
        <v>(2.2A)上期末按单项金额重大并单项计提坏账准备的长期应收款（已发生损失模型）</v>
      </c>
      <c r="H2293" s="1517" t="str">
        <f>$A2293</f>
        <v>1531h</v>
      </c>
      <c r="I2293" s="343" t="s">
        <v>2743</v>
      </c>
      <c r="J2293" s="301"/>
      <c r="K2293" s="391"/>
      <c r="L2293" s="349"/>
      <c r="M2293" s="301" t="s">
        <v>2745</v>
      </c>
      <c r="N2293" s="2210">
        <f>H2306</f>
        <v>0</v>
      </c>
      <c r="O2293" s="349"/>
      <c r="P2293" s="301"/>
      <c r="S2293" s="364"/>
      <c r="Z2293" s="609" t="s">
        <v>925</v>
      </c>
      <c r="AA2293" s="609" t="s">
        <v>3451</v>
      </c>
    </row>
    <row r="2294" spans="1:27" ht="0.75" customHeight="1">
      <c r="A2294" s="2714"/>
      <c r="B2294" s="371"/>
      <c r="C2294" s="371"/>
      <c r="D2294" s="2716"/>
      <c r="E2294" s="586"/>
      <c r="F2294" s="586"/>
      <c r="G2294" s="2224" t="s">
        <v>3463</v>
      </c>
      <c r="H2294" s="371" t="s">
        <v>2747</v>
      </c>
      <c r="I2294" s="371" t="s">
        <v>2748</v>
      </c>
      <c r="J2294" s="371" t="s">
        <v>2957</v>
      </c>
      <c r="K2294" s="547" t="s">
        <v>2898</v>
      </c>
      <c r="L2294" s="428"/>
      <c r="M2294" s="433"/>
      <c r="N2294" s="428"/>
      <c r="O2294" s="428"/>
      <c r="P2294" s="433"/>
      <c r="Q2294" s="442"/>
      <c r="R2294" s="443"/>
      <c r="S2294" s="364"/>
      <c r="Z2294" s="609" t="s">
        <v>925</v>
      </c>
      <c r="AA2294" s="609" t="s">
        <v>3451</v>
      </c>
    </row>
    <row r="2295" spans="1:27" ht="0.75" customHeight="1" thickBot="1">
      <c r="A2295" s="2714"/>
      <c r="B2295" s="371"/>
      <c r="C2295" s="371"/>
      <c r="D2295" s="2716"/>
      <c r="E2295" s="586"/>
      <c r="F2295" s="586"/>
      <c r="G2295" s="2224"/>
      <c r="H2295" s="371" t="s">
        <v>3464</v>
      </c>
      <c r="I2295" s="371" t="s">
        <v>2859</v>
      </c>
      <c r="J2295" s="371" t="s">
        <v>3160</v>
      </c>
      <c r="K2295" s="547" t="s">
        <v>2999</v>
      </c>
      <c r="L2295" s="428"/>
      <c r="M2295" s="433"/>
      <c r="N2295" s="428"/>
      <c r="O2295" s="428"/>
      <c r="P2295" s="433"/>
      <c r="Q2295" s="442"/>
      <c r="R2295" s="443"/>
      <c r="S2295" s="364"/>
      <c r="Z2295" s="609" t="s">
        <v>925</v>
      </c>
      <c r="AA2295" s="609" t="s">
        <v>3451</v>
      </c>
    </row>
    <row r="2296" spans="1:27" ht="18" customHeight="1">
      <c r="A2296" s="2714"/>
      <c r="B2296" s="371"/>
      <c r="C2296" s="371"/>
      <c r="D2296" s="2716"/>
      <c r="E2296" s="586" t="s">
        <v>2749</v>
      </c>
      <c r="F2296" s="414"/>
      <c r="G2296" s="3472" t="s">
        <v>6140</v>
      </c>
      <c r="H2296" s="3418" t="str">
        <f>$V$3</f>
        <v>2018年12月31日</v>
      </c>
      <c r="I2296" s="3419"/>
      <c r="J2296" s="3419"/>
      <c r="K2296" s="3419"/>
      <c r="L2296" s="355" t="s">
        <v>5282</v>
      </c>
      <c r="M2296" s="433"/>
      <c r="N2296" s="428"/>
      <c r="O2296" s="428"/>
      <c r="P2296" s="433"/>
      <c r="Q2296" s="442"/>
      <c r="R2296" s="443"/>
      <c r="S2296" s="364"/>
      <c r="Z2296" s="609" t="s">
        <v>925</v>
      </c>
      <c r="AA2296" s="609" t="s">
        <v>3451</v>
      </c>
    </row>
    <row r="2297" spans="1:27" ht="18">
      <c r="A2297" s="2714"/>
      <c r="B2297" s="371"/>
      <c r="C2297" s="371"/>
      <c r="D2297" s="2716"/>
      <c r="E2297" s="586" t="s">
        <v>2749</v>
      </c>
      <c r="F2297" s="414"/>
      <c r="G2297" s="3473"/>
      <c r="H2297" s="2559" t="s">
        <v>6139</v>
      </c>
      <c r="I2297" s="2294" t="s">
        <v>2862</v>
      </c>
      <c r="J2297" s="2294" t="s">
        <v>2889</v>
      </c>
      <c r="K2297" s="2280" t="s">
        <v>2899</v>
      </c>
      <c r="L2297" s="434"/>
      <c r="M2297" s="435"/>
      <c r="N2297" s="434"/>
      <c r="O2297" s="434"/>
      <c r="P2297" s="435"/>
      <c r="Q2297" s="442"/>
      <c r="R2297" s="443"/>
      <c r="S2297" s="364"/>
      <c r="Z2297" s="609" t="s">
        <v>925</v>
      </c>
      <c r="AA2297" s="609" t="s">
        <v>3451</v>
      </c>
    </row>
    <row r="2298" spans="1:27" ht="18">
      <c r="A2298" s="2714"/>
      <c r="B2298" s="371">
        <v>101</v>
      </c>
      <c r="C2298" s="371" t="s">
        <v>2791</v>
      </c>
      <c r="D2298" s="2716">
        <f t="shared" ref="D2298:D2306" si="242">IF(OR(G2298="*",G2298="",G2298=0),0,COUNTIF($G$2298:$G$2306,G2298))</f>
        <v>0</v>
      </c>
      <c r="E2298" s="2721">
        <v>1</v>
      </c>
      <c r="F2298" s="293"/>
      <c r="G2298" s="2284" t="s">
        <v>2792</v>
      </c>
      <c r="H2298" s="2275"/>
      <c r="I2298" s="2275"/>
      <c r="J2298" s="2298"/>
      <c r="K2298" s="2276"/>
      <c r="L2298" s="437"/>
      <c r="M2298" s="438"/>
      <c r="N2298" s="439"/>
      <c r="O2298" s="437"/>
      <c r="P2298" s="438"/>
      <c r="Q2298" s="442"/>
      <c r="R2298" s="443"/>
      <c r="S2298" s="364"/>
      <c r="Z2298" s="609" t="s">
        <v>925</v>
      </c>
      <c r="AA2298" s="609" t="s">
        <v>3451</v>
      </c>
    </row>
    <row r="2299" spans="1:27" ht="18">
      <c r="A2299" s="2714"/>
      <c r="B2299" s="371">
        <v>102</v>
      </c>
      <c r="C2299" s="371" t="s">
        <v>2791</v>
      </c>
      <c r="D2299" s="2716">
        <f t="shared" si="242"/>
        <v>0</v>
      </c>
      <c r="E2299" s="2721">
        <v>1</v>
      </c>
      <c r="F2299" s="293"/>
      <c r="G2299" s="2284" t="s">
        <v>2792</v>
      </c>
      <c r="H2299" s="2275"/>
      <c r="I2299" s="2275"/>
      <c r="J2299" s="2298"/>
      <c r="K2299" s="2276"/>
      <c r="L2299" s="437"/>
      <c r="M2299" s="438"/>
      <c r="N2299" s="439"/>
      <c r="O2299" s="437"/>
      <c r="P2299" s="438"/>
      <c r="Q2299" s="442"/>
      <c r="R2299" s="443"/>
      <c r="S2299" s="364"/>
      <c r="Z2299" s="609" t="s">
        <v>925</v>
      </c>
      <c r="AA2299" s="609" t="s">
        <v>3451</v>
      </c>
    </row>
    <row r="2300" spans="1:27" ht="18">
      <c r="A2300" s="2714"/>
      <c r="B2300" s="371">
        <v>103</v>
      </c>
      <c r="C2300" s="371" t="s">
        <v>2791</v>
      </c>
      <c r="D2300" s="2716">
        <f t="shared" si="242"/>
        <v>0</v>
      </c>
      <c r="E2300" s="2721">
        <v>1</v>
      </c>
      <c r="F2300" s="293"/>
      <c r="G2300" s="2284" t="s">
        <v>2792</v>
      </c>
      <c r="H2300" s="2275"/>
      <c r="I2300" s="2275"/>
      <c r="J2300" s="2298"/>
      <c r="K2300" s="2276"/>
      <c r="L2300" s="437"/>
      <c r="M2300" s="438"/>
      <c r="N2300" s="439"/>
      <c r="O2300" s="437"/>
      <c r="P2300" s="438"/>
      <c r="Q2300" s="442"/>
      <c r="R2300" s="443"/>
      <c r="S2300" s="364"/>
      <c r="Z2300" s="609" t="s">
        <v>925</v>
      </c>
      <c r="AA2300" s="609" t="s">
        <v>3451</v>
      </c>
    </row>
    <row r="2301" spans="1:27" ht="18">
      <c r="A2301" s="2714"/>
      <c r="B2301" s="371">
        <v>104</v>
      </c>
      <c r="C2301" s="371" t="s">
        <v>2791</v>
      </c>
      <c r="D2301" s="2716">
        <f t="shared" si="242"/>
        <v>0</v>
      </c>
      <c r="E2301" s="2721">
        <v>1</v>
      </c>
      <c r="F2301" s="293"/>
      <c r="G2301" s="2284" t="s">
        <v>2792</v>
      </c>
      <c r="H2301" s="2275"/>
      <c r="I2301" s="2275"/>
      <c r="J2301" s="2298"/>
      <c r="K2301" s="2276"/>
      <c r="L2301" s="437"/>
      <c r="M2301" s="438"/>
      <c r="N2301" s="439"/>
      <c r="O2301" s="437"/>
      <c r="P2301" s="438"/>
      <c r="Q2301" s="442"/>
      <c r="R2301" s="443"/>
      <c r="S2301" s="364"/>
      <c r="Z2301" s="609" t="s">
        <v>925</v>
      </c>
      <c r="AA2301" s="609" t="s">
        <v>3451</v>
      </c>
    </row>
    <row r="2302" spans="1:27" ht="18">
      <c r="A2302" s="2714"/>
      <c r="B2302" s="371">
        <v>105</v>
      </c>
      <c r="C2302" s="371" t="s">
        <v>2791</v>
      </c>
      <c r="D2302" s="2716">
        <f t="shared" si="242"/>
        <v>0</v>
      </c>
      <c r="E2302" s="2721">
        <v>1</v>
      </c>
      <c r="F2302" s="293"/>
      <c r="G2302" s="2284" t="s">
        <v>2792</v>
      </c>
      <c r="H2302" s="2275"/>
      <c r="I2302" s="2275"/>
      <c r="J2302" s="2298"/>
      <c r="K2302" s="2276"/>
      <c r="L2302" s="437"/>
      <c r="M2302" s="438"/>
      <c r="N2302" s="439"/>
      <c r="O2302" s="437"/>
      <c r="P2302" s="438"/>
      <c r="Q2302" s="442"/>
      <c r="R2302" s="443"/>
      <c r="S2302" s="364"/>
      <c r="Z2302" s="609" t="s">
        <v>925</v>
      </c>
      <c r="AA2302" s="609" t="s">
        <v>3451</v>
      </c>
    </row>
    <row r="2303" spans="1:27" ht="18">
      <c r="A2303" s="2714"/>
      <c r="B2303" s="371">
        <v>106</v>
      </c>
      <c r="C2303" s="371" t="s">
        <v>2791</v>
      </c>
      <c r="D2303" s="2716">
        <f t="shared" si="242"/>
        <v>0</v>
      </c>
      <c r="E2303" s="2721">
        <v>1</v>
      </c>
      <c r="F2303" s="293"/>
      <c r="G2303" s="2284" t="s">
        <v>2792</v>
      </c>
      <c r="H2303" s="2275"/>
      <c r="I2303" s="2275"/>
      <c r="J2303" s="2298"/>
      <c r="K2303" s="2276"/>
      <c r="L2303" s="437"/>
      <c r="M2303" s="438"/>
      <c r="N2303" s="439"/>
      <c r="O2303" s="437"/>
      <c r="P2303" s="438"/>
      <c r="Q2303" s="442"/>
      <c r="R2303" s="443"/>
      <c r="S2303" s="364"/>
      <c r="Z2303" s="609" t="s">
        <v>925</v>
      </c>
      <c r="AA2303" s="609" t="s">
        <v>3451</v>
      </c>
    </row>
    <row r="2304" spans="1:27" ht="18">
      <c r="A2304" s="2714"/>
      <c r="B2304" s="371">
        <v>107</v>
      </c>
      <c r="C2304" s="371" t="s">
        <v>2791</v>
      </c>
      <c r="D2304" s="2716">
        <f t="shared" si="242"/>
        <v>0</v>
      </c>
      <c r="E2304" s="2721">
        <v>1</v>
      </c>
      <c r="F2304" s="293"/>
      <c r="G2304" s="2284" t="s">
        <v>2792</v>
      </c>
      <c r="H2304" s="2275"/>
      <c r="I2304" s="2275"/>
      <c r="J2304" s="2298"/>
      <c r="K2304" s="2276"/>
      <c r="L2304" s="437"/>
      <c r="M2304" s="438"/>
      <c r="N2304" s="439"/>
      <c r="O2304" s="437"/>
      <c r="P2304" s="438"/>
      <c r="Q2304" s="442"/>
      <c r="R2304" s="443"/>
      <c r="S2304" s="364"/>
      <c r="Z2304" s="609" t="s">
        <v>925</v>
      </c>
      <c r="AA2304" s="609" t="s">
        <v>3451</v>
      </c>
    </row>
    <row r="2305" spans="1:27" ht="18">
      <c r="A2305" s="2714"/>
      <c r="B2305" s="371">
        <v>108</v>
      </c>
      <c r="C2305" s="371" t="s">
        <v>2791</v>
      </c>
      <c r="D2305" s="2716">
        <f t="shared" si="242"/>
        <v>0</v>
      </c>
      <c r="E2305" s="2721">
        <v>1</v>
      </c>
      <c r="F2305" s="293"/>
      <c r="G2305" s="2284" t="s">
        <v>2792</v>
      </c>
      <c r="H2305" s="2275"/>
      <c r="I2305" s="2275"/>
      <c r="J2305" s="2298"/>
      <c r="K2305" s="2276"/>
      <c r="L2305" s="437"/>
      <c r="M2305" s="438"/>
      <c r="N2305" s="439"/>
      <c r="O2305" s="437"/>
      <c r="P2305" s="438"/>
      <c r="Q2305" s="442"/>
      <c r="R2305" s="443"/>
      <c r="S2305" s="364"/>
      <c r="Z2305" s="609" t="s">
        <v>925</v>
      </c>
      <c r="AA2305" s="609" t="s">
        <v>3451</v>
      </c>
    </row>
    <row r="2306" spans="1:27" ht="18.75" thickBot="1">
      <c r="A2306" s="2714"/>
      <c r="B2306" s="371"/>
      <c r="C2306" s="371"/>
      <c r="D2306" s="2716">
        <f t="shared" si="242"/>
        <v>1</v>
      </c>
      <c r="E2306" s="2721" t="s">
        <v>2751</v>
      </c>
      <c r="F2306" s="293"/>
      <c r="G2306" s="2234" t="s">
        <v>2752</v>
      </c>
      <c r="H2306" s="2235">
        <f>SUMPRODUCT($E2297:$E2305,H2297:H2305)</f>
        <v>0</v>
      </c>
      <c r="I2306" s="2235">
        <f>SUMPRODUCT($E2297:$E2305,I2297:I2305)</f>
        <v>0</v>
      </c>
      <c r="J2306" s="2242"/>
      <c r="K2306" s="2244"/>
      <c r="L2306" s="437"/>
      <c r="M2306" s="440"/>
      <c r="N2306" s="439"/>
      <c r="O2306" s="437"/>
      <c r="P2306" s="440"/>
      <c r="Q2306" s="442"/>
      <c r="R2306" s="443"/>
      <c r="S2306" s="364"/>
      <c r="Z2306" s="609" t="s">
        <v>925</v>
      </c>
      <c r="AA2306" s="609" t="s">
        <v>3451</v>
      </c>
    </row>
    <row r="2307" spans="1:27" ht="18.75" thickBot="1">
      <c r="A2307" s="2714"/>
      <c r="B2307" s="371"/>
      <c r="C2307" s="371" t="s">
        <v>2755</v>
      </c>
      <c r="D2307" s="2716"/>
      <c r="F2307" s="293"/>
      <c r="G2307" s="376"/>
      <c r="H2307" s="527" t="s">
        <v>3002</v>
      </c>
      <c r="I2307" s="2253" t="s">
        <v>3002</v>
      </c>
      <c r="J2307" s="393"/>
      <c r="K2307" s="392"/>
      <c r="L2307" s="427"/>
      <c r="M2307" s="425"/>
      <c r="N2307" s="426"/>
      <c r="O2307" s="427"/>
      <c r="P2307" s="425"/>
      <c r="Q2307" s="442"/>
      <c r="R2307" s="443"/>
      <c r="S2307" s="364"/>
      <c r="Z2307" s="609" t="s">
        <v>925</v>
      </c>
      <c r="AA2307" s="609" t="s">
        <v>3451</v>
      </c>
    </row>
    <row r="2308" spans="1:27" ht="18.75" thickTop="1">
      <c r="A2308" s="2714"/>
      <c r="B2308" s="371"/>
      <c r="C2308" s="371" t="s">
        <v>2565</v>
      </c>
      <c r="D2308" s="2716"/>
      <c r="F2308" s="293"/>
      <c r="G2308" s="1549" t="s">
        <v>5367</v>
      </c>
      <c r="H2308" s="1550" t="str">
        <f>G2273</f>
        <v>(2.2)长期应收款按坏账计提方法分类披露（已发生损失模型）</v>
      </c>
      <c r="I2308" s="1552"/>
      <c r="J2308" s="1551"/>
      <c r="K2308" s="1551"/>
      <c r="L2308" s="1553" t="s">
        <v>5368</v>
      </c>
      <c r="M2308" s="425"/>
      <c r="N2308" s="426"/>
      <c r="O2308" s="427"/>
      <c r="P2308" s="425"/>
      <c r="Q2308" s="442"/>
      <c r="R2308" s="442"/>
      <c r="S2308" s="364"/>
      <c r="Z2308" s="609" t="s">
        <v>925</v>
      </c>
      <c r="AA2308" s="609" t="s">
        <v>3451</v>
      </c>
    </row>
    <row r="2309" spans="1:27" ht="24">
      <c r="A2309" s="2714"/>
      <c r="B2309" s="371"/>
      <c r="C2309" s="371" t="s">
        <v>2565</v>
      </c>
      <c r="D2309" s="2716"/>
      <c r="F2309" s="293"/>
      <c r="G2309" s="604" t="str">
        <f>"注释A:"&amp; G2278</f>
        <v>注释A:单项金额重大并单独计提坏账准备的长期应收款</v>
      </c>
      <c r="H2309" s="2252">
        <f ca="1">HYPERLINK("#'"&amp;$G$1&amp;"'!"&amp;ADDRESS(ROW(Notes!H2278),COLUMN(Notes!H2278),4),H2278)</f>
        <v>0</v>
      </c>
      <c r="I2309" s="2252">
        <f ca="1">HYPERLINK("#'"&amp;$G$1&amp;"'!"&amp;ADDRESS(ROW(Notes!J2278),COLUMN(Notes!J2278),4),J2278)</f>
        <v>0</v>
      </c>
      <c r="J2309" s="351"/>
      <c r="K2309" s="351"/>
      <c r="L2309" s="2636" t="str">
        <f>H2273</f>
        <v>1531p</v>
      </c>
      <c r="M2309" s="425"/>
      <c r="N2309" s="426"/>
      <c r="O2309" s="427"/>
      <c r="P2309" s="425"/>
      <c r="Q2309" s="442"/>
      <c r="R2309" s="442"/>
      <c r="S2309" s="364"/>
      <c r="Z2309" s="609" t="s">
        <v>925</v>
      </c>
      <c r="AA2309" s="609" t="s">
        <v>3451</v>
      </c>
    </row>
    <row r="2310" spans="1:27" ht="18">
      <c r="A2310" s="2714"/>
      <c r="B2310" s="371"/>
      <c r="C2310" s="371" t="s">
        <v>2565</v>
      </c>
      <c r="D2310" s="2716"/>
      <c r="F2310" s="293"/>
      <c r="G2310" s="604" t="str">
        <f>"本注释B:"&amp; G2306</f>
        <v>本注释B:合       计</v>
      </c>
      <c r="H2310" s="456">
        <f>H2306</f>
        <v>0</v>
      </c>
      <c r="I2310" s="456">
        <f>I2306</f>
        <v>0</v>
      </c>
      <c r="J2310" s="351"/>
      <c r="K2310" s="351"/>
      <c r="L2310" s="2639" t="s">
        <v>949</v>
      </c>
      <c r="M2310" s="425"/>
      <c r="N2310" s="426"/>
      <c r="O2310" s="427"/>
      <c r="P2310" s="425"/>
      <c r="Q2310" s="442"/>
      <c r="R2310" s="442"/>
      <c r="S2310" s="364"/>
      <c r="Z2310" s="609" t="s">
        <v>925</v>
      </c>
      <c r="AA2310" s="609" t="s">
        <v>3451</v>
      </c>
    </row>
    <row r="2311" spans="1:27" ht="18.75" thickBot="1">
      <c r="A2311" s="2714"/>
      <c r="B2311" s="371"/>
      <c r="C2311" s="371" t="s">
        <v>2565</v>
      </c>
      <c r="D2311" s="2716"/>
      <c r="F2311" s="293"/>
      <c r="G2311" s="1554" t="s">
        <v>2757</v>
      </c>
      <c r="H2311" s="1531">
        <f ca="1">IF(AND(H2309="",H2310=""),"",ROUND(H2309-H2310,2))</f>
        <v>0</v>
      </c>
      <c r="I2311" s="1531">
        <f ca="1">IF(AND(I2309="",I2310=""),"",ROUND(I2309-I2310,2))</f>
        <v>0</v>
      </c>
      <c r="J2311" s="1555"/>
      <c r="K2311" s="1555"/>
      <c r="L2311" s="1556"/>
      <c r="M2311" s="425"/>
      <c r="N2311" s="426"/>
      <c r="O2311" s="427"/>
      <c r="P2311" s="425"/>
      <c r="Q2311" s="442"/>
      <c r="R2311" s="442"/>
      <c r="S2311" s="364"/>
      <c r="Z2311" s="609" t="s">
        <v>925</v>
      </c>
      <c r="AA2311" s="609" t="s">
        <v>3451</v>
      </c>
    </row>
    <row r="2312" spans="1:27" ht="18.75" thickTop="1">
      <c r="A2312" s="2714"/>
      <c r="B2312" s="371"/>
      <c r="C2312" s="371" t="s">
        <v>2565</v>
      </c>
      <c r="D2312" s="2716"/>
      <c r="F2312" s="293"/>
      <c r="G2312" s="1545"/>
      <c r="H2312" s="459" t="str">
        <f ca="1">IF(OR(H2311=0,H2311=""),"√","？")</f>
        <v>√</v>
      </c>
      <c r="I2312" s="459" t="str">
        <f ca="1">IF(OR(I2311=0,I2311=""),"√","？")</f>
        <v>√</v>
      </c>
      <c r="J2312" s="317"/>
      <c r="K2312" s="317"/>
      <c r="L2312" s="1547"/>
      <c r="M2312" s="425"/>
      <c r="N2312" s="426"/>
      <c r="O2312" s="427"/>
      <c r="P2312" s="425"/>
      <c r="Q2312" s="442"/>
      <c r="R2312" s="442"/>
      <c r="S2312" s="364"/>
      <c r="Z2312" s="609" t="s">
        <v>925</v>
      </c>
      <c r="AA2312" s="609" t="s">
        <v>3451</v>
      </c>
    </row>
    <row r="2313" spans="1:27" ht="18">
      <c r="A2313" s="2714"/>
      <c r="B2313" s="371"/>
      <c r="C2313" s="371" t="s">
        <v>2565</v>
      </c>
      <c r="D2313" s="2716"/>
      <c r="F2313" s="293"/>
      <c r="G2313" s="1559" t="s">
        <v>2759</v>
      </c>
      <c r="H2313" s="461"/>
      <c r="I2313" s="461"/>
      <c r="J2313" s="317"/>
      <c r="K2313" s="352">
        <f ca="1">SUMIF($H$2312:$L$2312,"&lt;&gt;√",$H$2311:$L$2311)</f>
        <v>0</v>
      </c>
      <c r="L2313" s="2254" t="str">
        <f ca="1">IF(OR(K2313=0,K2313=""),"√","？")</f>
        <v>√</v>
      </c>
      <c r="M2313" s="425"/>
      <c r="N2313" s="426"/>
      <c r="O2313" s="427"/>
      <c r="P2313" s="425"/>
      <c r="Q2313" s="442"/>
      <c r="R2313" s="442"/>
      <c r="S2313" s="364"/>
      <c r="Z2313" s="609" t="s">
        <v>925</v>
      </c>
      <c r="AA2313" s="609" t="s">
        <v>3451</v>
      </c>
    </row>
    <row r="2314" spans="1:27" ht="18">
      <c r="A2314" s="2714"/>
      <c r="B2314" s="371"/>
      <c r="C2314" s="371" t="s">
        <v>2565</v>
      </c>
      <c r="D2314" s="2716"/>
      <c r="F2314" s="293"/>
      <c r="G2314" s="1545"/>
      <c r="H2314" s="461"/>
      <c r="I2314" s="461"/>
      <c r="J2314" s="317"/>
      <c r="K2314" s="317"/>
      <c r="L2314" s="1547"/>
      <c r="M2314" s="425"/>
      <c r="N2314" s="426"/>
      <c r="O2314" s="427"/>
      <c r="P2314" s="425"/>
      <c r="Q2314" s="442"/>
      <c r="R2314" s="442"/>
      <c r="S2314" s="364"/>
      <c r="Z2314" s="609" t="s">
        <v>925</v>
      </c>
      <c r="AA2314" s="609" t="s">
        <v>3451</v>
      </c>
    </row>
    <row r="2315" spans="1:27" ht="36">
      <c r="A2315" s="2714" t="s">
        <v>939</v>
      </c>
      <c r="B2315" s="371" t="s">
        <v>6560</v>
      </c>
      <c r="C2315" s="371"/>
      <c r="D2315" s="2716" t="str">
        <f>VLOOKUP($A2315,Sheet_NoteList,2,0)</f>
        <v>上期末按组合计提坏账准备的长期应收款（已发生损失模型）</v>
      </c>
      <c r="E2315" s="2716" t="s">
        <v>2742</v>
      </c>
      <c r="F2315" s="293"/>
      <c r="G2315" s="372" t="str">
        <f>"("&amp;B2315&amp;")"&amp;D2315</f>
        <v>(2.2B)上期末按组合计提坏账准备的长期应收款（已发生损失模型）</v>
      </c>
      <c r="H2315" s="1517" t="str">
        <f>$A2315</f>
        <v>1531m</v>
      </c>
      <c r="I2315" s="343" t="s">
        <v>2743</v>
      </c>
      <c r="J2315" s="301" t="s">
        <v>2744</v>
      </c>
      <c r="K2315" s="2210">
        <f>H2328</f>
        <v>0</v>
      </c>
      <c r="L2315" s="349"/>
      <c r="M2315" s="301"/>
      <c r="N2315" s="391"/>
      <c r="O2315" s="349"/>
      <c r="P2315" s="301"/>
      <c r="S2315" s="364"/>
      <c r="Z2315" s="609" t="s">
        <v>925</v>
      </c>
      <c r="AA2315" s="609" t="s">
        <v>3451</v>
      </c>
    </row>
    <row r="2316" spans="1:27" ht="0.75" customHeight="1">
      <c r="A2316" s="2714"/>
      <c r="B2316" s="371"/>
      <c r="C2316" s="371"/>
      <c r="D2316" s="2716"/>
      <c r="F2316" s="371"/>
      <c r="G2316" s="405" t="s">
        <v>3456</v>
      </c>
      <c r="H2316" s="371" t="s">
        <v>2747</v>
      </c>
      <c r="I2316" s="371" t="s">
        <v>2748</v>
      </c>
      <c r="J2316" s="371" t="s">
        <v>2957</v>
      </c>
      <c r="K2316" s="1604"/>
      <c r="L2316" s="1604"/>
      <c r="M2316" s="1604"/>
      <c r="N2316" s="1604"/>
      <c r="O2316" s="1604"/>
      <c r="P2316" s="1604"/>
      <c r="Q2316" s="1604"/>
      <c r="R2316" s="1604"/>
      <c r="S2316" s="364"/>
      <c r="Z2316" s="609" t="s">
        <v>925</v>
      </c>
      <c r="AA2316" s="609" t="s">
        <v>3451</v>
      </c>
    </row>
    <row r="2317" spans="1:27" ht="0.75" customHeight="1" thickBot="1">
      <c r="A2317" s="2714"/>
      <c r="B2317" s="371"/>
      <c r="C2317" s="371"/>
      <c r="D2317" s="2716"/>
      <c r="F2317" s="371"/>
      <c r="G2317" s="405"/>
      <c r="H2317" s="371" t="s">
        <v>3457</v>
      </c>
      <c r="I2317" s="371" t="s">
        <v>3458</v>
      </c>
      <c r="J2317" s="371" t="s">
        <v>3342</v>
      </c>
      <c r="K2317" s="1604"/>
      <c r="L2317" s="1604"/>
      <c r="M2317" s="1604"/>
      <c r="N2317" s="1604"/>
      <c r="O2317" s="1604"/>
      <c r="P2317" s="1604"/>
      <c r="Q2317" s="1604"/>
      <c r="R2317" s="1604"/>
      <c r="S2317" s="364"/>
      <c r="Z2317" s="609" t="s">
        <v>925</v>
      </c>
      <c r="AA2317" s="609" t="s">
        <v>3451</v>
      </c>
    </row>
    <row r="2318" spans="1:27" ht="18" customHeight="1">
      <c r="A2318" s="2714"/>
      <c r="B2318" s="371"/>
      <c r="C2318" s="371"/>
      <c r="D2318" s="2716"/>
      <c r="E2318" s="2716" t="s">
        <v>2749</v>
      </c>
      <c r="F2318" s="293"/>
      <c r="G2318" s="3512" t="s">
        <v>5948</v>
      </c>
      <c r="H2318" s="3391" t="str">
        <f>$V$3</f>
        <v>2018年12月31日</v>
      </c>
      <c r="I2318" s="3392"/>
      <c r="J2318" s="3392"/>
      <c r="K2318" s="355" t="s">
        <v>5949</v>
      </c>
      <c r="L2318" s="1604"/>
      <c r="M2318" s="1604"/>
      <c r="N2318" s="1604"/>
      <c r="O2318" s="1604"/>
      <c r="P2318" s="1604"/>
      <c r="Q2318" s="1604"/>
      <c r="R2318" s="1604"/>
      <c r="S2318" s="364"/>
      <c r="Z2318" s="609" t="s">
        <v>925</v>
      </c>
      <c r="AA2318" s="609" t="s">
        <v>3451</v>
      </c>
    </row>
    <row r="2319" spans="1:27" ht="18">
      <c r="A2319" s="2714"/>
      <c r="B2319" s="371"/>
      <c r="C2319" s="371"/>
      <c r="D2319" s="2716"/>
      <c r="E2319" s="2716" t="s">
        <v>2749</v>
      </c>
      <c r="F2319" s="293"/>
      <c r="G2319" s="3513"/>
      <c r="H2319" s="2207" t="s">
        <v>2861</v>
      </c>
      <c r="I2319" s="2207" t="s">
        <v>2862</v>
      </c>
      <c r="J2319" s="2208" t="s">
        <v>2889</v>
      </c>
      <c r="K2319" s="1604"/>
      <c r="L2319" s="1604"/>
      <c r="M2319" s="1604"/>
      <c r="N2319" s="1604"/>
      <c r="O2319" s="1604"/>
      <c r="P2319" s="1604"/>
      <c r="Q2319" s="1604"/>
      <c r="R2319" s="1604"/>
      <c r="S2319" s="364"/>
      <c r="Z2319" s="609" t="s">
        <v>925</v>
      </c>
      <c r="AA2319" s="609" t="s">
        <v>3451</v>
      </c>
    </row>
    <row r="2320" spans="1:27" ht="18">
      <c r="A2320" s="2714"/>
      <c r="B2320" s="371">
        <v>101</v>
      </c>
      <c r="C2320" s="371" t="s">
        <v>2791</v>
      </c>
      <c r="D2320" s="2716">
        <f t="shared" ref="D2320:D2328" si="243">IF(OR(G2320="*",G2320="",G2320=0),0,COUNTIF($G$2320:$G$2328,G2320))</f>
        <v>0</v>
      </c>
      <c r="E2320" s="2721">
        <v>1</v>
      </c>
      <c r="F2320" s="293"/>
      <c r="G2320" s="2215" t="s">
        <v>2792</v>
      </c>
      <c r="H2320" s="309"/>
      <c r="I2320" s="422"/>
      <c r="J2320" s="388"/>
      <c r="K2320" s="1604"/>
      <c r="L2320" s="1604"/>
      <c r="M2320" s="1604"/>
      <c r="N2320" s="1604"/>
      <c r="O2320" s="1604"/>
      <c r="P2320" s="1604"/>
      <c r="Q2320" s="1604"/>
      <c r="R2320" s="1604"/>
      <c r="S2320" s="364"/>
      <c r="Z2320" s="609" t="s">
        <v>925</v>
      </c>
      <c r="AA2320" s="609" t="s">
        <v>3451</v>
      </c>
    </row>
    <row r="2321" spans="1:27" ht="18">
      <c r="A2321" s="2714"/>
      <c r="B2321" s="371">
        <v>102</v>
      </c>
      <c r="C2321" s="371" t="s">
        <v>2791</v>
      </c>
      <c r="D2321" s="2716">
        <f t="shared" si="243"/>
        <v>0</v>
      </c>
      <c r="E2321" s="2721">
        <v>1</v>
      </c>
      <c r="F2321" s="293"/>
      <c r="G2321" s="2215" t="s">
        <v>2792</v>
      </c>
      <c r="H2321" s="309"/>
      <c r="I2321" s="422"/>
      <c r="J2321" s="388"/>
      <c r="K2321" s="1604"/>
      <c r="L2321" s="1604"/>
      <c r="M2321" s="1604"/>
      <c r="N2321" s="1604"/>
      <c r="O2321" s="1604"/>
      <c r="P2321" s="1604"/>
      <c r="Q2321" s="1604"/>
      <c r="R2321" s="1604"/>
      <c r="S2321" s="364"/>
      <c r="Z2321" s="609" t="s">
        <v>925</v>
      </c>
      <c r="AA2321" s="609" t="s">
        <v>3451</v>
      </c>
    </row>
    <row r="2322" spans="1:27" ht="18">
      <c r="A2322" s="2714"/>
      <c r="B2322" s="371">
        <v>103</v>
      </c>
      <c r="C2322" s="371" t="s">
        <v>2791</v>
      </c>
      <c r="D2322" s="2716">
        <f t="shared" si="243"/>
        <v>0</v>
      </c>
      <c r="E2322" s="2721">
        <v>1</v>
      </c>
      <c r="F2322" s="293"/>
      <c r="G2322" s="2215" t="s">
        <v>2792</v>
      </c>
      <c r="H2322" s="309"/>
      <c r="I2322" s="422"/>
      <c r="J2322" s="388"/>
      <c r="K2322" s="1604"/>
      <c r="L2322" s="1604"/>
      <c r="M2322" s="1604"/>
      <c r="N2322" s="1604"/>
      <c r="O2322" s="1604"/>
      <c r="P2322" s="1604"/>
      <c r="Q2322" s="1604"/>
      <c r="R2322" s="1604"/>
      <c r="S2322" s="364"/>
      <c r="Z2322" s="609" t="s">
        <v>925</v>
      </c>
      <c r="AA2322" s="609" t="s">
        <v>3451</v>
      </c>
    </row>
    <row r="2323" spans="1:27" ht="18">
      <c r="A2323" s="2714"/>
      <c r="B2323" s="371">
        <v>104</v>
      </c>
      <c r="C2323" s="371" t="s">
        <v>2791</v>
      </c>
      <c r="D2323" s="2716">
        <f t="shared" si="243"/>
        <v>0</v>
      </c>
      <c r="E2323" s="2721">
        <v>1</v>
      </c>
      <c r="F2323" s="293"/>
      <c r="G2323" s="2215" t="s">
        <v>2792</v>
      </c>
      <c r="H2323" s="309"/>
      <c r="I2323" s="422"/>
      <c r="J2323" s="388"/>
      <c r="K2323" s="1604"/>
      <c r="L2323" s="1604"/>
      <c r="M2323" s="1604"/>
      <c r="N2323" s="1604"/>
      <c r="O2323" s="1604"/>
      <c r="P2323" s="1604"/>
      <c r="Q2323" s="1604"/>
      <c r="R2323" s="1604"/>
      <c r="S2323" s="364"/>
      <c r="Z2323" s="609" t="s">
        <v>925</v>
      </c>
      <c r="AA2323" s="609" t="s">
        <v>3451</v>
      </c>
    </row>
    <row r="2324" spans="1:27" ht="18">
      <c r="A2324" s="2714"/>
      <c r="B2324" s="371">
        <v>105</v>
      </c>
      <c r="C2324" s="371" t="s">
        <v>2791</v>
      </c>
      <c r="D2324" s="2716">
        <f t="shared" si="243"/>
        <v>0</v>
      </c>
      <c r="E2324" s="2721">
        <v>1</v>
      </c>
      <c r="F2324" s="293"/>
      <c r="G2324" s="2215" t="s">
        <v>2792</v>
      </c>
      <c r="H2324" s="309"/>
      <c r="I2324" s="422"/>
      <c r="J2324" s="388"/>
      <c r="K2324" s="1604"/>
      <c r="L2324" s="1604"/>
      <c r="M2324" s="1604"/>
      <c r="N2324" s="1604"/>
      <c r="O2324" s="1604"/>
      <c r="P2324" s="1604"/>
      <c r="Q2324" s="1604"/>
      <c r="R2324" s="1604"/>
      <c r="S2324" s="364"/>
      <c r="Z2324" s="609" t="s">
        <v>925</v>
      </c>
      <c r="AA2324" s="609" t="s">
        <v>3451</v>
      </c>
    </row>
    <row r="2325" spans="1:27" ht="18">
      <c r="A2325" s="2714"/>
      <c r="B2325" s="371">
        <v>106</v>
      </c>
      <c r="C2325" s="371" t="s">
        <v>2791</v>
      </c>
      <c r="D2325" s="2716">
        <f t="shared" si="243"/>
        <v>0</v>
      </c>
      <c r="E2325" s="2721">
        <v>1</v>
      </c>
      <c r="F2325" s="293"/>
      <c r="G2325" s="2215" t="s">
        <v>2792</v>
      </c>
      <c r="H2325" s="309"/>
      <c r="I2325" s="422"/>
      <c r="J2325" s="388"/>
      <c r="K2325" s="1604"/>
      <c r="L2325" s="1604"/>
      <c r="M2325" s="1604"/>
      <c r="N2325" s="1604"/>
      <c r="O2325" s="1604"/>
      <c r="P2325" s="1604"/>
      <c r="Q2325" s="1604"/>
      <c r="R2325" s="1604"/>
      <c r="S2325" s="364"/>
      <c r="Z2325" s="609" t="s">
        <v>925</v>
      </c>
      <c r="AA2325" s="609" t="s">
        <v>3451</v>
      </c>
    </row>
    <row r="2326" spans="1:27" ht="18">
      <c r="A2326" s="2714"/>
      <c r="B2326" s="371">
        <v>107</v>
      </c>
      <c r="C2326" s="371" t="s">
        <v>2791</v>
      </c>
      <c r="D2326" s="2716">
        <f t="shared" si="243"/>
        <v>0</v>
      </c>
      <c r="E2326" s="2721">
        <v>1</v>
      </c>
      <c r="F2326" s="293"/>
      <c r="G2326" s="2215" t="s">
        <v>2792</v>
      </c>
      <c r="H2326" s="309"/>
      <c r="I2326" s="422"/>
      <c r="J2326" s="388"/>
      <c r="K2326" s="1604"/>
      <c r="L2326" s="1604"/>
      <c r="M2326" s="1604"/>
      <c r="N2326" s="1604"/>
      <c r="O2326" s="1604"/>
      <c r="P2326" s="1604"/>
      <c r="Q2326" s="1604"/>
      <c r="R2326" s="1604"/>
      <c r="S2326" s="364"/>
      <c r="Z2326" s="609" t="s">
        <v>925</v>
      </c>
      <c r="AA2326" s="609" t="s">
        <v>3451</v>
      </c>
    </row>
    <row r="2327" spans="1:27" ht="18">
      <c r="A2327" s="2714"/>
      <c r="B2327" s="371">
        <v>108</v>
      </c>
      <c r="C2327" s="371" t="s">
        <v>2791</v>
      </c>
      <c r="D2327" s="2716">
        <f t="shared" si="243"/>
        <v>0</v>
      </c>
      <c r="E2327" s="2721">
        <v>1</v>
      </c>
      <c r="F2327" s="293"/>
      <c r="G2327" s="2215" t="s">
        <v>2792</v>
      </c>
      <c r="H2327" s="309"/>
      <c r="I2327" s="422"/>
      <c r="J2327" s="388"/>
      <c r="K2327" s="1604"/>
      <c r="L2327" s="1604"/>
      <c r="M2327" s="1604"/>
      <c r="N2327" s="1604"/>
      <c r="O2327" s="1604"/>
      <c r="P2327" s="1604"/>
      <c r="Q2327" s="1604"/>
      <c r="R2327" s="1604"/>
      <c r="S2327" s="364"/>
      <c r="Z2327" s="609" t="s">
        <v>925</v>
      </c>
      <c r="AA2327" s="609" t="s">
        <v>3451</v>
      </c>
    </row>
    <row r="2328" spans="1:27" ht="18.75" thickBot="1">
      <c r="A2328" s="2714"/>
      <c r="B2328" s="371"/>
      <c r="C2328" s="371"/>
      <c r="D2328" s="2716">
        <f t="shared" si="243"/>
        <v>1</v>
      </c>
      <c r="E2328" s="2721" t="s">
        <v>2751</v>
      </c>
      <c r="F2328" s="293"/>
      <c r="G2328" s="1529" t="s">
        <v>2752</v>
      </c>
      <c r="H2328" s="1527">
        <f>SUMPRODUCT($E2319:$E2327,H2319:H2327)</f>
        <v>0</v>
      </c>
      <c r="I2328" s="1527">
        <f>SUMPRODUCT($E2319:$E2327,I2319:I2327)</f>
        <v>0</v>
      </c>
      <c r="J2328" s="2214"/>
      <c r="K2328" s="1604"/>
      <c r="L2328" s="1604"/>
      <c r="M2328" s="1604"/>
      <c r="N2328" s="1604"/>
      <c r="O2328" s="1604"/>
      <c r="P2328" s="1604"/>
      <c r="Q2328" s="1604"/>
      <c r="R2328" s="1604"/>
      <c r="S2328" s="364"/>
      <c r="Z2328" s="609" t="s">
        <v>925</v>
      </c>
      <c r="AA2328" s="609" t="s">
        <v>3451</v>
      </c>
    </row>
    <row r="2329" spans="1:27" ht="18">
      <c r="A2329" s="2714"/>
      <c r="B2329" s="371"/>
      <c r="C2329" s="371" t="s">
        <v>2755</v>
      </c>
      <c r="D2329" s="2716"/>
      <c r="F2329" s="293"/>
      <c r="G2329" s="376"/>
      <c r="H2329" s="315"/>
      <c r="I2329" s="396"/>
      <c r="J2329" s="393"/>
      <c r="K2329" s="1604"/>
      <c r="L2329" s="1604"/>
      <c r="M2329" s="1604"/>
      <c r="N2329" s="1604"/>
      <c r="O2329" s="1604"/>
      <c r="P2329" s="1604"/>
      <c r="Q2329" s="1604"/>
      <c r="R2329" s="1604"/>
      <c r="S2329" s="364"/>
      <c r="Z2329" s="609" t="s">
        <v>925</v>
      </c>
      <c r="AA2329" s="609" t="s">
        <v>3451</v>
      </c>
    </row>
    <row r="2330" spans="1:27" ht="24">
      <c r="A2330" s="2714" t="s">
        <v>954</v>
      </c>
      <c r="B2330" s="371">
        <v>3</v>
      </c>
      <c r="C2330" s="371"/>
      <c r="D2330" s="2716" t="str">
        <f>VLOOKUP($A2330,Sheet_NoteList,2,0)</f>
        <v>长期应收款坏账准备的变动情况</v>
      </c>
      <c r="E2330" s="2716" t="s">
        <v>2742</v>
      </c>
      <c r="F2330" s="293"/>
      <c r="G2330" s="372" t="str">
        <f>"("&amp;B2330&amp;")"&amp;D2330</f>
        <v>(3)长期应收款坏账准备的变动情况</v>
      </c>
      <c r="H2330" s="1517" t="str">
        <f>$A2330</f>
        <v>1531g</v>
      </c>
      <c r="I2330" s="343" t="s">
        <v>2743</v>
      </c>
      <c r="J2330" s="301" t="s">
        <v>2744</v>
      </c>
      <c r="K2330" s="2210">
        <f>N2340</f>
        <v>0</v>
      </c>
      <c r="L2330" s="349"/>
      <c r="M2330" s="301" t="s">
        <v>2745</v>
      </c>
      <c r="N2330" s="2210">
        <f>H2340</f>
        <v>0</v>
      </c>
      <c r="O2330" s="349"/>
      <c r="P2330" s="301"/>
      <c r="S2330" s="364"/>
      <c r="Z2330" s="609" t="s">
        <v>925</v>
      </c>
      <c r="AA2330" s="609" t="s">
        <v>3451</v>
      </c>
    </row>
    <row r="2331" spans="1:27" ht="0.75" customHeight="1">
      <c r="A2331" s="2714"/>
      <c r="B2331" s="371"/>
      <c r="C2331" s="371"/>
      <c r="D2331" s="2716"/>
      <c r="E2331" s="586"/>
      <c r="F2331" s="586"/>
      <c r="G2331" s="2224" t="s">
        <v>3466</v>
      </c>
      <c r="H2331" s="371" t="s">
        <v>2747</v>
      </c>
      <c r="I2331" s="371" t="s">
        <v>2748</v>
      </c>
      <c r="J2331" s="371" t="s">
        <v>2948</v>
      </c>
      <c r="K2331" s="547" t="s">
        <v>3034</v>
      </c>
      <c r="L2331" s="547" t="s">
        <v>3035</v>
      </c>
      <c r="M2331" s="371" t="s">
        <v>3036</v>
      </c>
      <c r="N2331" s="547" t="s">
        <v>3037</v>
      </c>
      <c r="O2331" s="428"/>
      <c r="P2331" s="433"/>
      <c r="Q2331" s="442"/>
      <c r="R2331" s="443"/>
      <c r="S2331" s="364"/>
      <c r="Z2331" s="609" t="s">
        <v>925</v>
      </c>
      <c r="AA2331" s="609" t="s">
        <v>3451</v>
      </c>
    </row>
    <row r="2332" spans="1:27" ht="0.75" customHeight="1" thickBot="1">
      <c r="A2332" s="2714"/>
      <c r="B2332" s="371"/>
      <c r="C2332" s="371"/>
      <c r="D2332" s="2716"/>
      <c r="E2332" s="586"/>
      <c r="F2332" s="586"/>
      <c r="G2332" s="2224"/>
      <c r="H2332" s="371" t="s">
        <v>2911</v>
      </c>
      <c r="I2332" s="371" t="s">
        <v>2912</v>
      </c>
      <c r="J2332" s="371" t="s">
        <v>3038</v>
      </c>
      <c r="K2332" s="547" t="s">
        <v>2914</v>
      </c>
      <c r="L2332" s="547" t="s">
        <v>2915</v>
      </c>
      <c r="M2332" s="371" t="s">
        <v>2916</v>
      </c>
      <c r="N2332" s="547" t="s">
        <v>2917</v>
      </c>
      <c r="O2332" s="428"/>
      <c r="P2332" s="433"/>
      <c r="Q2332" s="442"/>
      <c r="R2332" s="443"/>
      <c r="S2332" s="364"/>
      <c r="Z2332" s="609" t="s">
        <v>925</v>
      </c>
      <c r="AA2332" s="609" t="s">
        <v>3451</v>
      </c>
    </row>
    <row r="2333" spans="1:27" ht="18" customHeight="1">
      <c r="A2333" s="2714"/>
      <c r="B2333" s="371"/>
      <c r="C2333" s="371"/>
      <c r="D2333" s="2716"/>
      <c r="E2333" s="586" t="s">
        <v>2749</v>
      </c>
      <c r="F2333" s="414"/>
      <c r="G2333" s="3472" t="s">
        <v>6009</v>
      </c>
      <c r="H2333" s="3413" t="str">
        <f>$V$3</f>
        <v>2018年12月31日</v>
      </c>
      <c r="I2333" s="3415" t="s">
        <v>6010</v>
      </c>
      <c r="J2333" s="3413" t="str">
        <f>$X$3</f>
        <v>2019年1月1日</v>
      </c>
      <c r="K2333" s="3417" t="s">
        <v>2919</v>
      </c>
      <c r="L2333" s="3417"/>
      <c r="M2333" s="3417"/>
      <c r="N2333" s="3396" t="str">
        <f>$V$2</f>
        <v>2019年12月31日</v>
      </c>
      <c r="O2333" s="355" t="s">
        <v>5282</v>
      </c>
      <c r="P2333" s="433"/>
      <c r="Q2333" s="442"/>
      <c r="R2333" s="443"/>
      <c r="S2333" s="364"/>
      <c r="Z2333" s="609" t="s">
        <v>925</v>
      </c>
      <c r="AA2333" s="609" t="s">
        <v>3451</v>
      </c>
    </row>
    <row r="2334" spans="1:27" ht="18">
      <c r="A2334" s="2714"/>
      <c r="B2334" s="371"/>
      <c r="C2334" s="371"/>
      <c r="D2334" s="2716"/>
      <c r="E2334" s="586" t="s">
        <v>2749</v>
      </c>
      <c r="F2334" s="414"/>
      <c r="G2334" s="3473"/>
      <c r="H2334" s="3414"/>
      <c r="I2334" s="3416"/>
      <c r="J2334" s="3414"/>
      <c r="K2334" s="2239" t="s">
        <v>6027</v>
      </c>
      <c r="L2334" s="2239" t="s">
        <v>6012</v>
      </c>
      <c r="M2334" s="2294" t="s">
        <v>6034</v>
      </c>
      <c r="N2334" s="3397"/>
      <c r="O2334" s="434"/>
      <c r="P2334" s="435"/>
      <c r="Q2334" s="442"/>
      <c r="R2334" s="443"/>
      <c r="S2334" s="364"/>
      <c r="Z2334" s="609" t="s">
        <v>925</v>
      </c>
      <c r="AA2334" s="609" t="s">
        <v>3451</v>
      </c>
    </row>
    <row r="2335" spans="1:27" ht="18">
      <c r="A2335" s="2714"/>
      <c r="B2335" s="371">
        <v>101</v>
      </c>
      <c r="C2335" s="371" t="s">
        <v>2791</v>
      </c>
      <c r="D2335" s="2716">
        <f t="shared" ref="D2335:D2340" si="244">IF(OR(G2335="*",G2335="",G2335=0),0,COUNTIF($G$2335:$G$2340,G2335))</f>
        <v>0</v>
      </c>
      <c r="E2335" s="2721">
        <v>1</v>
      </c>
      <c r="F2335" s="293"/>
      <c r="G2335" s="2284" t="s">
        <v>2792</v>
      </c>
      <c r="H2335" s="2275"/>
      <c r="I2335" s="2275"/>
      <c r="J2335" s="1476">
        <f>SUM(H2335:I2335)</f>
        <v>0</v>
      </c>
      <c r="K2335" s="2275"/>
      <c r="L2335" s="2275"/>
      <c r="M2335" s="2275"/>
      <c r="N2335" s="1477">
        <f>SUM(J2335:K2335,-L2335,-M2335)</f>
        <v>0</v>
      </c>
      <c r="O2335" s="437"/>
      <c r="P2335" s="438"/>
      <c r="Q2335" s="442"/>
      <c r="R2335" s="443"/>
      <c r="S2335" s="364"/>
      <c r="Z2335" s="609" t="s">
        <v>925</v>
      </c>
      <c r="AA2335" s="609" t="s">
        <v>3451</v>
      </c>
    </row>
    <row r="2336" spans="1:27" ht="18">
      <c r="A2336" s="2714"/>
      <c r="B2336" s="371">
        <v>102</v>
      </c>
      <c r="C2336" s="371" t="s">
        <v>2791</v>
      </c>
      <c r="D2336" s="2716">
        <f t="shared" si="244"/>
        <v>0</v>
      </c>
      <c r="E2336" s="2721">
        <v>1</v>
      </c>
      <c r="F2336" s="293"/>
      <c r="G2336" s="2284" t="s">
        <v>2792</v>
      </c>
      <c r="H2336" s="2275"/>
      <c r="I2336" s="2275"/>
      <c r="J2336" s="1476">
        <f t="shared" ref="J2336:J2339" si="245">SUM(H2336:I2336)</f>
        <v>0</v>
      </c>
      <c r="K2336" s="2275"/>
      <c r="L2336" s="2275"/>
      <c r="M2336" s="2275"/>
      <c r="N2336" s="1477">
        <f t="shared" ref="N2336:N2339" si="246">SUM(J2336:K2336,-L2336,-M2336)</f>
        <v>0</v>
      </c>
      <c r="O2336" s="437"/>
      <c r="P2336" s="438"/>
      <c r="Q2336" s="442"/>
      <c r="R2336" s="443"/>
      <c r="S2336" s="364"/>
      <c r="Z2336" s="609" t="s">
        <v>925</v>
      </c>
      <c r="AA2336" s="609" t="s">
        <v>3451</v>
      </c>
    </row>
    <row r="2337" spans="1:27" ht="18">
      <c r="A2337" s="2714"/>
      <c r="B2337" s="371">
        <v>103</v>
      </c>
      <c r="C2337" s="371" t="s">
        <v>2791</v>
      </c>
      <c r="D2337" s="2716">
        <f t="shared" si="244"/>
        <v>0</v>
      </c>
      <c r="E2337" s="2721">
        <v>1</v>
      </c>
      <c r="F2337" s="293"/>
      <c r="G2337" s="2284" t="s">
        <v>2792</v>
      </c>
      <c r="H2337" s="2275"/>
      <c r="I2337" s="2275"/>
      <c r="J2337" s="1476">
        <f t="shared" si="245"/>
        <v>0</v>
      </c>
      <c r="K2337" s="2275"/>
      <c r="L2337" s="2275"/>
      <c r="M2337" s="2275"/>
      <c r="N2337" s="1477">
        <f t="shared" si="246"/>
        <v>0</v>
      </c>
      <c r="O2337" s="437"/>
      <c r="P2337" s="438"/>
      <c r="Q2337" s="442"/>
      <c r="R2337" s="443"/>
      <c r="S2337" s="364"/>
      <c r="Z2337" s="609" t="s">
        <v>925</v>
      </c>
      <c r="AA2337" s="609" t="s">
        <v>3451</v>
      </c>
    </row>
    <row r="2338" spans="1:27" ht="18">
      <c r="A2338" s="2714"/>
      <c r="B2338" s="371">
        <v>104</v>
      </c>
      <c r="C2338" s="371" t="s">
        <v>2791</v>
      </c>
      <c r="D2338" s="2716">
        <f t="shared" si="244"/>
        <v>0</v>
      </c>
      <c r="E2338" s="2721">
        <v>1</v>
      </c>
      <c r="F2338" s="293"/>
      <c r="G2338" s="2284" t="s">
        <v>2792</v>
      </c>
      <c r="H2338" s="2275"/>
      <c r="I2338" s="2275"/>
      <c r="J2338" s="1476">
        <f t="shared" si="245"/>
        <v>0</v>
      </c>
      <c r="K2338" s="2275"/>
      <c r="L2338" s="2275"/>
      <c r="M2338" s="2275"/>
      <c r="N2338" s="1477">
        <f t="shared" si="246"/>
        <v>0</v>
      </c>
      <c r="O2338" s="437"/>
      <c r="P2338" s="438"/>
      <c r="Q2338" s="442"/>
      <c r="R2338" s="443"/>
      <c r="S2338" s="364"/>
      <c r="Z2338" s="609" t="s">
        <v>925</v>
      </c>
      <c r="AA2338" s="609" t="s">
        <v>3451</v>
      </c>
    </row>
    <row r="2339" spans="1:27" ht="18">
      <c r="A2339" s="2714"/>
      <c r="B2339" s="371">
        <v>105</v>
      </c>
      <c r="C2339" s="371" t="s">
        <v>2791</v>
      </c>
      <c r="D2339" s="2716">
        <f t="shared" si="244"/>
        <v>0</v>
      </c>
      <c r="E2339" s="2721">
        <v>1</v>
      </c>
      <c r="F2339" s="293"/>
      <c r="G2339" s="2284" t="s">
        <v>2792</v>
      </c>
      <c r="H2339" s="2275"/>
      <c r="I2339" s="2275"/>
      <c r="J2339" s="1476">
        <f t="shared" si="245"/>
        <v>0</v>
      </c>
      <c r="K2339" s="2275"/>
      <c r="L2339" s="2275"/>
      <c r="M2339" s="2275"/>
      <c r="N2339" s="1477">
        <f t="shared" si="246"/>
        <v>0</v>
      </c>
      <c r="O2339" s="437"/>
      <c r="P2339" s="438"/>
      <c r="Q2339" s="442"/>
      <c r="R2339" s="443"/>
      <c r="S2339" s="364"/>
      <c r="Z2339" s="609" t="s">
        <v>925</v>
      </c>
      <c r="AA2339" s="609" t="s">
        <v>3451</v>
      </c>
    </row>
    <row r="2340" spans="1:27" ht="18.75" thickBot="1">
      <c r="A2340" s="2714"/>
      <c r="B2340" s="371"/>
      <c r="C2340" s="371"/>
      <c r="D2340" s="2716">
        <f t="shared" si="244"/>
        <v>1</v>
      </c>
      <c r="E2340" s="2721" t="s">
        <v>2751</v>
      </c>
      <c r="F2340" s="293"/>
      <c r="G2340" s="2234" t="s">
        <v>5141</v>
      </c>
      <c r="H2340" s="2235">
        <f t="shared" ref="H2340:N2340" si="247">SUMPRODUCT($E2334:$E2339,H2334:H2339)</f>
        <v>0</v>
      </c>
      <c r="I2340" s="2235">
        <f t="shared" si="247"/>
        <v>0</v>
      </c>
      <c r="J2340" s="2235">
        <f t="shared" si="247"/>
        <v>0</v>
      </c>
      <c r="K2340" s="2235">
        <f t="shared" si="247"/>
        <v>0</v>
      </c>
      <c r="L2340" s="2235">
        <f t="shared" si="247"/>
        <v>0</v>
      </c>
      <c r="M2340" s="2235">
        <f t="shared" si="247"/>
        <v>0</v>
      </c>
      <c r="N2340" s="2236">
        <f t="shared" si="247"/>
        <v>0</v>
      </c>
      <c r="O2340" s="437"/>
      <c r="P2340" s="440"/>
      <c r="Q2340" s="442"/>
      <c r="R2340" s="443"/>
      <c r="S2340" s="364"/>
      <c r="Z2340" s="609" t="s">
        <v>925</v>
      </c>
      <c r="AA2340" s="609" t="s">
        <v>3451</v>
      </c>
    </row>
    <row r="2341" spans="1:27" ht="18.75" thickBot="1">
      <c r="A2341" s="2714"/>
      <c r="B2341" s="371"/>
      <c r="C2341" s="371" t="s">
        <v>2755</v>
      </c>
      <c r="D2341" s="2716"/>
      <c r="F2341" s="293"/>
      <c r="G2341" s="376"/>
      <c r="H2341" s="527" t="s">
        <v>3002</v>
      </c>
      <c r="I2341" s="396"/>
      <c r="J2341" s="315"/>
      <c r="K2341" s="423"/>
      <c r="L2341" s="315"/>
      <c r="M2341" s="315"/>
      <c r="N2341" s="2259" t="s">
        <v>3002</v>
      </c>
      <c r="O2341" s="427"/>
      <c r="P2341" s="425"/>
      <c r="Q2341" s="442"/>
      <c r="R2341" s="443"/>
      <c r="S2341" s="364"/>
      <c r="Z2341" s="609" t="s">
        <v>925</v>
      </c>
      <c r="AA2341" s="609" t="s">
        <v>3451</v>
      </c>
    </row>
    <row r="2342" spans="1:27" ht="18.75" thickTop="1">
      <c r="A2342" s="2714"/>
      <c r="B2342" s="371"/>
      <c r="C2342" s="371" t="s">
        <v>2565</v>
      </c>
      <c r="D2342" s="2716"/>
      <c r="F2342" s="293"/>
      <c r="G2342" s="1549" t="s">
        <v>5367</v>
      </c>
      <c r="H2342" s="1550" t="str">
        <f>G2202</f>
        <v>(1)长期应收款情况</v>
      </c>
      <c r="I2342" s="1551"/>
      <c r="J2342" s="1551"/>
      <c r="K2342" s="1551"/>
      <c r="L2342" s="1551"/>
      <c r="M2342" s="1551"/>
      <c r="N2342" s="1552"/>
      <c r="O2342" s="1553" t="s">
        <v>5368</v>
      </c>
      <c r="P2342" s="425"/>
      <c r="Q2342" s="442"/>
      <c r="R2342" s="442"/>
      <c r="S2342" s="364"/>
      <c r="Z2342" s="609" t="s">
        <v>925</v>
      </c>
      <c r="AA2342" s="609" t="s">
        <v>3451</v>
      </c>
    </row>
    <row r="2343" spans="1:27" ht="18">
      <c r="A2343" s="2714"/>
      <c r="B2343" s="371"/>
      <c r="C2343" s="371" t="s">
        <v>2565</v>
      </c>
      <c r="D2343" s="2716"/>
      <c r="F2343" s="293"/>
      <c r="G2343" s="604" t="str">
        <f>"注释A:"&amp; G2216</f>
        <v>注释A:合       计</v>
      </c>
      <c r="H2343" s="2252">
        <f ca="1">HYPERLINK("#'"&amp;$G$1&amp;"'!"&amp;ADDRESS(ROW(Notes!L2216),COLUMN(Notes!L2216),4),L2216)</f>
        <v>0</v>
      </c>
      <c r="I2343" s="351"/>
      <c r="J2343" s="351"/>
      <c r="K2343" s="351"/>
      <c r="L2343" s="351"/>
      <c r="M2343" s="351"/>
      <c r="N2343" s="2252">
        <f ca="1">HYPERLINK("#'"&amp;$G$1&amp;"'!"&amp;ADDRESS(ROW(Notes!I2216),COLUMN(Notes!I2216),4),I2216)</f>
        <v>0</v>
      </c>
      <c r="O2343" s="2636" t="str">
        <f>H2202</f>
        <v>1531a</v>
      </c>
      <c r="P2343" s="425"/>
      <c r="Q2343" s="442"/>
      <c r="R2343" s="442"/>
      <c r="S2343" s="364"/>
      <c r="Z2343" s="609" t="s">
        <v>925</v>
      </c>
      <c r="AA2343" s="609" t="s">
        <v>3451</v>
      </c>
    </row>
    <row r="2344" spans="1:27" ht="18">
      <c r="A2344" s="2714"/>
      <c r="B2344" s="371"/>
      <c r="C2344" s="371" t="s">
        <v>2565</v>
      </c>
      <c r="D2344" s="2716"/>
      <c r="F2344" s="293"/>
      <c r="G2344" s="604" t="str">
        <f>"本注释B:"&amp; G2340</f>
        <v>本注释B:合       计</v>
      </c>
      <c r="H2344" s="456">
        <f>H2340</f>
        <v>0</v>
      </c>
      <c r="I2344" s="351"/>
      <c r="J2344" s="351"/>
      <c r="K2344" s="351"/>
      <c r="L2344" s="351"/>
      <c r="M2344" s="351"/>
      <c r="N2344" s="456">
        <f>N2340</f>
        <v>0</v>
      </c>
      <c r="O2344" s="2639" t="s">
        <v>954</v>
      </c>
      <c r="P2344" s="425"/>
      <c r="Q2344" s="442"/>
      <c r="R2344" s="442"/>
      <c r="S2344" s="364"/>
      <c r="Z2344" s="609" t="s">
        <v>925</v>
      </c>
      <c r="AA2344" s="609" t="s">
        <v>3451</v>
      </c>
    </row>
    <row r="2345" spans="1:27" ht="18.75" thickBot="1">
      <c r="A2345" s="2714"/>
      <c r="B2345" s="371"/>
      <c r="C2345" s="371" t="s">
        <v>2565</v>
      </c>
      <c r="D2345" s="2716"/>
      <c r="F2345" s="293"/>
      <c r="G2345" s="1554" t="s">
        <v>2757</v>
      </c>
      <c r="H2345" s="1531">
        <f ca="1">IF(AND(H2343="",H2344=""),"",ROUND(H2343-H2344,2))</f>
        <v>0</v>
      </c>
      <c r="I2345" s="1555"/>
      <c r="J2345" s="1555"/>
      <c r="K2345" s="1555"/>
      <c r="L2345" s="1555"/>
      <c r="M2345" s="1555"/>
      <c r="N2345" s="1531">
        <f ca="1">IF(AND(N2343="",N2344=""),"",ROUND(N2343-N2344,2))</f>
        <v>0</v>
      </c>
      <c r="O2345" s="1556"/>
      <c r="P2345" s="425"/>
      <c r="Q2345" s="442"/>
      <c r="R2345" s="442"/>
      <c r="S2345" s="364"/>
      <c r="Z2345" s="609" t="s">
        <v>925</v>
      </c>
      <c r="AA2345" s="609" t="s">
        <v>3451</v>
      </c>
    </row>
    <row r="2346" spans="1:27" ht="18.75" thickTop="1">
      <c r="A2346" s="2714"/>
      <c r="B2346" s="371"/>
      <c r="C2346" s="371" t="s">
        <v>2565</v>
      </c>
      <c r="D2346" s="2716"/>
      <c r="F2346" s="293"/>
      <c r="G2346" s="1545"/>
      <c r="H2346" s="459" t="str">
        <f ca="1">IF(OR(H2345=0,H2345=""),"√","？")</f>
        <v>√</v>
      </c>
      <c r="I2346" s="317"/>
      <c r="J2346" s="317"/>
      <c r="K2346" s="317"/>
      <c r="L2346" s="317"/>
      <c r="M2346" s="317"/>
      <c r="N2346" s="459" t="str">
        <f ca="1">IF(OR(N2345=0,N2345=""),"√","？")</f>
        <v>√</v>
      </c>
      <c r="O2346" s="1547"/>
      <c r="P2346" s="425"/>
      <c r="Q2346" s="442"/>
      <c r="R2346" s="442"/>
      <c r="S2346" s="364"/>
      <c r="Z2346" s="609" t="s">
        <v>925</v>
      </c>
      <c r="AA2346" s="609" t="s">
        <v>3451</v>
      </c>
    </row>
    <row r="2347" spans="1:27" ht="18">
      <c r="A2347" s="2714"/>
      <c r="B2347" s="371"/>
      <c r="C2347" s="371" t="s">
        <v>2565</v>
      </c>
      <c r="D2347" s="2716"/>
      <c r="F2347" s="293"/>
      <c r="G2347" s="1559" t="s">
        <v>2759</v>
      </c>
      <c r="H2347" s="461"/>
      <c r="I2347" s="317"/>
      <c r="J2347" s="317"/>
      <c r="K2347" s="352">
        <f ca="1">SUMIF($H$2346:$O$2346,"&lt;&gt;√",$H$2345:$O$2345)</f>
        <v>0</v>
      </c>
      <c r="L2347" s="353" t="str">
        <f ca="1">IF(OR(K2347=0,K2347=""),"√","？")</f>
        <v>√</v>
      </c>
      <c r="M2347" s="317"/>
      <c r="N2347" s="461"/>
      <c r="O2347" s="1547"/>
      <c r="P2347" s="425"/>
      <c r="Q2347" s="442"/>
      <c r="R2347" s="442"/>
      <c r="S2347" s="364"/>
      <c r="Z2347" s="609" t="s">
        <v>925</v>
      </c>
      <c r="AA2347" s="609" t="s">
        <v>3451</v>
      </c>
    </row>
    <row r="2348" spans="1:27" ht="18">
      <c r="A2348" s="2714"/>
      <c r="B2348" s="371"/>
      <c r="C2348" s="371" t="s">
        <v>2565</v>
      </c>
      <c r="D2348" s="2716"/>
      <c r="F2348" s="293"/>
      <c r="G2348" s="1545"/>
      <c r="H2348" s="461"/>
      <c r="I2348" s="317"/>
      <c r="J2348" s="317"/>
      <c r="K2348" s="317"/>
      <c r="L2348" s="317"/>
      <c r="M2348" s="317"/>
      <c r="N2348" s="461"/>
      <c r="O2348" s="1547"/>
      <c r="P2348" s="425"/>
      <c r="Q2348" s="442"/>
      <c r="R2348" s="442"/>
      <c r="S2348" s="364"/>
      <c r="Z2348" s="609" t="s">
        <v>925</v>
      </c>
      <c r="AA2348" s="609" t="s">
        <v>3451</v>
      </c>
    </row>
    <row r="2349" spans="1:27" ht="24">
      <c r="A2349" s="2714" t="s">
        <v>951</v>
      </c>
      <c r="B2349" s="371">
        <v>3</v>
      </c>
      <c r="C2349" s="371"/>
      <c r="D2349" s="2716" t="str">
        <f>VLOOKUP($A2349,Sheet_NoteList,2,0)</f>
        <v>长期应收款坏账准备的变动情况（备选格式）</v>
      </c>
      <c r="E2349" s="2716" t="s">
        <v>2742</v>
      </c>
      <c r="F2349" s="293"/>
      <c r="G2349" s="372" t="str">
        <f>"("&amp;B2349&amp;")"&amp;D2349</f>
        <v>(3)长期应收款坏账准备的变动情况（备选格式）</v>
      </c>
      <c r="H2349" s="1517" t="str">
        <f>$A2349</f>
        <v>1531q</v>
      </c>
      <c r="I2349" s="343" t="s">
        <v>2743</v>
      </c>
      <c r="J2349" s="301" t="s">
        <v>2744</v>
      </c>
      <c r="K2349" s="2210">
        <f>K2366</f>
        <v>0</v>
      </c>
      <c r="L2349" s="349"/>
      <c r="M2349" s="301"/>
      <c r="N2349" s="391"/>
      <c r="O2349" s="349"/>
      <c r="P2349" s="301"/>
      <c r="S2349" s="364"/>
      <c r="Z2349" s="609" t="s">
        <v>925</v>
      </c>
      <c r="AA2349" s="609" t="s">
        <v>3451</v>
      </c>
    </row>
    <row r="2350" spans="1:27" ht="0.75" customHeight="1">
      <c r="A2350" s="2714"/>
      <c r="B2350" s="371"/>
      <c r="C2350" s="371"/>
      <c r="D2350" s="2716"/>
      <c r="F2350" s="371"/>
      <c r="G2350" s="405" t="s">
        <v>3465</v>
      </c>
      <c r="H2350" s="371" t="s">
        <v>2747</v>
      </c>
      <c r="I2350" s="371" t="s">
        <v>2748</v>
      </c>
      <c r="J2350" s="371" t="s">
        <v>2948</v>
      </c>
      <c r="K2350" s="547" t="s">
        <v>3034</v>
      </c>
      <c r="L2350" s="428"/>
      <c r="M2350" s="433"/>
      <c r="N2350" s="428"/>
      <c r="O2350" s="428"/>
      <c r="P2350" s="433"/>
      <c r="Q2350" s="442"/>
      <c r="R2350" s="443"/>
      <c r="S2350" s="364"/>
      <c r="Z2350" s="609" t="s">
        <v>925</v>
      </c>
      <c r="AA2350" s="609" t="s">
        <v>3451</v>
      </c>
    </row>
    <row r="2351" spans="1:27" ht="0.75" customHeight="1" thickBot="1">
      <c r="A2351" s="2714"/>
      <c r="B2351" s="371"/>
      <c r="C2351" s="371"/>
      <c r="D2351" s="2716"/>
      <c r="F2351" s="371"/>
      <c r="G2351" s="405"/>
      <c r="H2351" s="371" t="s">
        <v>3344</v>
      </c>
      <c r="I2351" s="371" t="s">
        <v>3345</v>
      </c>
      <c r="J2351" s="371" t="s">
        <v>3346</v>
      </c>
      <c r="K2351" s="547" t="s">
        <v>3347</v>
      </c>
      <c r="L2351" s="428"/>
      <c r="M2351" s="433"/>
      <c r="N2351" s="428"/>
      <c r="O2351" s="428"/>
      <c r="P2351" s="433"/>
      <c r="Q2351" s="442"/>
      <c r="R2351" s="443"/>
      <c r="S2351" s="364"/>
      <c r="Z2351" s="609" t="s">
        <v>925</v>
      </c>
      <c r="AA2351" s="609" t="s">
        <v>3451</v>
      </c>
    </row>
    <row r="2352" spans="1:27" ht="18" customHeight="1">
      <c r="A2352" s="2714"/>
      <c r="B2352" s="371"/>
      <c r="C2352" s="371"/>
      <c r="D2352" s="2716"/>
      <c r="E2352" s="2716" t="s">
        <v>2749</v>
      </c>
      <c r="F2352" s="293"/>
      <c r="G2352" s="3432" t="s">
        <v>2862</v>
      </c>
      <c r="H2352" s="2291" t="s">
        <v>3348</v>
      </c>
      <c r="I2352" s="2291" t="s">
        <v>3349</v>
      </c>
      <c r="J2352" s="2291" t="s">
        <v>3350</v>
      </c>
      <c r="K2352" s="3423" t="s">
        <v>3351</v>
      </c>
      <c r="L2352" s="355" t="s">
        <v>5282</v>
      </c>
      <c r="M2352" s="433"/>
      <c r="N2352" s="428"/>
      <c r="O2352" s="428"/>
      <c r="P2352" s="433"/>
      <c r="Q2352" s="442"/>
      <c r="R2352" s="443"/>
      <c r="S2352" s="364"/>
      <c r="Z2352" s="609" t="s">
        <v>925</v>
      </c>
      <c r="AA2352" s="609" t="s">
        <v>3451</v>
      </c>
    </row>
    <row r="2353" spans="1:27" ht="36">
      <c r="A2353" s="2714"/>
      <c r="B2353" s="371"/>
      <c r="C2353" s="371"/>
      <c r="D2353" s="2716"/>
      <c r="E2353" s="2716" t="s">
        <v>2749</v>
      </c>
      <c r="F2353" s="293"/>
      <c r="G2353" s="3471"/>
      <c r="H2353" s="2294" t="s">
        <v>3352</v>
      </c>
      <c r="I2353" s="2294" t="s">
        <v>3353</v>
      </c>
      <c r="J2353" s="2294" t="s">
        <v>3354</v>
      </c>
      <c r="K2353" s="3424"/>
      <c r="L2353" s="434"/>
      <c r="M2353" s="435"/>
      <c r="N2353" s="434"/>
      <c r="O2353" s="434"/>
      <c r="P2353" s="435"/>
      <c r="Q2353" s="442"/>
      <c r="R2353" s="443"/>
      <c r="S2353" s="364"/>
      <c r="Z2353" s="609" t="s">
        <v>925</v>
      </c>
      <c r="AA2353" s="609" t="s">
        <v>3451</v>
      </c>
    </row>
    <row r="2354" spans="1:27" ht="18">
      <c r="A2354" s="2714"/>
      <c r="B2354" s="371">
        <v>101</v>
      </c>
      <c r="C2354" s="371"/>
      <c r="D2354" s="2716">
        <f t="shared" ref="D2354:D2366" si="248">IF(OR(G2354="*",G2354="",G2354=0),0,COUNTIF($G$2354:$G$2366,G2354))</f>
        <v>1</v>
      </c>
      <c r="E2354" s="2721">
        <v>1</v>
      </c>
      <c r="F2354" s="293"/>
      <c r="G2354" s="319" t="str">
        <f>$X$3&amp;"余额"</f>
        <v>2019年1月1日余额</v>
      </c>
      <c r="H2354" s="309"/>
      <c r="I2354" s="422"/>
      <c r="J2354" s="309"/>
      <c r="K2354" s="361">
        <f>SUM(H2354:J2354)</f>
        <v>0</v>
      </c>
      <c r="L2354" s="437"/>
      <c r="M2354" s="438"/>
      <c r="N2354" s="439"/>
      <c r="O2354" s="437"/>
      <c r="P2354" s="438"/>
      <c r="Q2354" s="442"/>
      <c r="R2354" s="443"/>
      <c r="S2354" s="364"/>
      <c r="Z2354" s="609" t="s">
        <v>925</v>
      </c>
      <c r="AA2354" s="609" t="s">
        <v>3451</v>
      </c>
    </row>
    <row r="2355" spans="1:27" ht="18">
      <c r="A2355" s="2714"/>
      <c r="B2355" s="371">
        <v>102</v>
      </c>
      <c r="C2355" s="371"/>
      <c r="D2355" s="2716">
        <f t="shared" si="248"/>
        <v>1</v>
      </c>
      <c r="E2355" s="2721" t="s">
        <v>41</v>
      </c>
      <c r="F2355" s="293"/>
      <c r="G2355" s="319" t="str">
        <f>$X$3&amp;"余额在本期"</f>
        <v>2019年1月1日余额在本期</v>
      </c>
      <c r="H2355" s="309"/>
      <c r="I2355" s="422"/>
      <c r="J2355" s="309"/>
      <c r="K2355" s="361"/>
      <c r="L2355" s="437"/>
      <c r="M2355" s="438"/>
      <c r="N2355" s="439"/>
      <c r="O2355" s="437"/>
      <c r="P2355" s="438"/>
      <c r="Q2355" s="442"/>
      <c r="R2355" s="443"/>
      <c r="S2355" s="364"/>
      <c r="Z2355" s="609" t="s">
        <v>925</v>
      </c>
      <c r="AA2355" s="609" t="s">
        <v>3451</v>
      </c>
    </row>
    <row r="2356" spans="1:27" ht="24">
      <c r="A2356" s="2714"/>
      <c r="B2356" s="371">
        <v>103</v>
      </c>
      <c r="C2356" s="371"/>
      <c r="D2356" s="2716">
        <f t="shared" si="248"/>
        <v>1</v>
      </c>
      <c r="E2356" s="2721">
        <v>1</v>
      </c>
      <c r="F2356" s="293"/>
      <c r="G2356" s="578" t="s">
        <v>5202</v>
      </c>
      <c r="H2356" s="309"/>
      <c r="I2356" s="1465">
        <v>0</v>
      </c>
      <c r="J2356" s="1465">
        <v>0</v>
      </c>
      <c r="K2356" s="361">
        <f>SUM(H2356:J2356)</f>
        <v>0</v>
      </c>
      <c r="L2356" s="1493"/>
      <c r="M2356" s="438"/>
      <c r="N2356" s="439"/>
      <c r="O2356" s="437"/>
      <c r="P2356" s="438"/>
      <c r="Q2356" s="442"/>
      <c r="R2356" s="443"/>
      <c r="S2356" s="364"/>
      <c r="Z2356" s="609" t="s">
        <v>925</v>
      </c>
      <c r="AA2356" s="609" t="s">
        <v>3451</v>
      </c>
    </row>
    <row r="2357" spans="1:27" ht="24">
      <c r="A2357" s="2714"/>
      <c r="B2357" s="371">
        <v>104</v>
      </c>
      <c r="C2357" s="371"/>
      <c r="D2357" s="2716">
        <f t="shared" si="248"/>
        <v>1</v>
      </c>
      <c r="E2357" s="2721">
        <v>1</v>
      </c>
      <c r="F2357" s="293"/>
      <c r="G2357" s="578" t="s">
        <v>5203</v>
      </c>
      <c r="H2357" s="309"/>
      <c r="I2357" s="309"/>
      <c r="J2357" s="1465">
        <v>0</v>
      </c>
      <c r="K2357" s="361">
        <f t="shared" ref="K2357:K2365" si="249">SUM(H2357:J2357)</f>
        <v>0</v>
      </c>
      <c r="L2357" s="1493"/>
      <c r="M2357" s="438"/>
      <c r="N2357" s="439"/>
      <c r="O2357" s="437"/>
      <c r="P2357" s="438"/>
      <c r="Q2357" s="442"/>
      <c r="R2357" s="443"/>
      <c r="S2357" s="364"/>
      <c r="Z2357" s="609" t="s">
        <v>925</v>
      </c>
      <c r="AA2357" s="609" t="s">
        <v>3451</v>
      </c>
    </row>
    <row r="2358" spans="1:27" ht="24">
      <c r="A2358" s="2714"/>
      <c r="B2358" s="371">
        <v>105</v>
      </c>
      <c r="C2358" s="371"/>
      <c r="D2358" s="2716">
        <f t="shared" si="248"/>
        <v>1</v>
      </c>
      <c r="E2358" s="2721">
        <v>1</v>
      </c>
      <c r="F2358" s="293"/>
      <c r="G2358" s="578" t="s">
        <v>5204</v>
      </c>
      <c r="H2358" s="1465">
        <v>0</v>
      </c>
      <c r="I2358" s="1465">
        <v>0</v>
      </c>
      <c r="J2358" s="309"/>
      <c r="K2358" s="361">
        <f t="shared" si="249"/>
        <v>0</v>
      </c>
      <c r="L2358" s="1493"/>
      <c r="M2358" s="438"/>
      <c r="N2358" s="439"/>
      <c r="O2358" s="437"/>
      <c r="P2358" s="438"/>
      <c r="Q2358" s="442"/>
      <c r="R2358" s="443"/>
      <c r="S2358" s="364"/>
      <c r="Z2358" s="609" t="s">
        <v>925</v>
      </c>
      <c r="AA2358" s="609" t="s">
        <v>3451</v>
      </c>
    </row>
    <row r="2359" spans="1:27" ht="24">
      <c r="A2359" s="2714"/>
      <c r="B2359" s="371">
        <v>106</v>
      </c>
      <c r="C2359" s="371"/>
      <c r="D2359" s="2716">
        <f t="shared" si="248"/>
        <v>1</v>
      </c>
      <c r="E2359" s="2721">
        <v>1</v>
      </c>
      <c r="F2359" s="293"/>
      <c r="G2359" s="578" t="s">
        <v>5205</v>
      </c>
      <c r="H2359" s="1465">
        <v>0</v>
      </c>
      <c r="I2359" s="309"/>
      <c r="J2359" s="309"/>
      <c r="K2359" s="361">
        <f t="shared" si="249"/>
        <v>0</v>
      </c>
      <c r="L2359" s="1493"/>
      <c r="M2359" s="438"/>
      <c r="N2359" s="439"/>
      <c r="O2359" s="437"/>
      <c r="P2359" s="438"/>
      <c r="Q2359" s="442"/>
      <c r="R2359" s="443"/>
      <c r="S2359" s="364"/>
      <c r="Z2359" s="609" t="s">
        <v>925</v>
      </c>
      <c r="AA2359" s="609" t="s">
        <v>3451</v>
      </c>
    </row>
    <row r="2360" spans="1:27" ht="18">
      <c r="A2360" s="2714"/>
      <c r="B2360" s="371">
        <v>107</v>
      </c>
      <c r="C2360" s="371"/>
      <c r="D2360" s="2716">
        <f t="shared" si="248"/>
        <v>1</v>
      </c>
      <c r="E2360" s="2721">
        <v>1</v>
      </c>
      <c r="F2360" s="293"/>
      <c r="G2360" s="1486" t="s">
        <v>5206</v>
      </c>
      <c r="H2360" s="309"/>
      <c r="I2360" s="422"/>
      <c r="J2360" s="309"/>
      <c r="K2360" s="361">
        <f t="shared" si="249"/>
        <v>0</v>
      </c>
      <c r="L2360" s="437"/>
      <c r="M2360" s="438"/>
      <c r="N2360" s="439"/>
      <c r="O2360" s="437"/>
      <c r="P2360" s="438"/>
      <c r="Q2360" s="442"/>
      <c r="R2360" s="443"/>
      <c r="S2360" s="364"/>
      <c r="Z2360" s="609" t="s">
        <v>925</v>
      </c>
      <c r="AA2360" s="609" t="s">
        <v>3451</v>
      </c>
    </row>
    <row r="2361" spans="1:27" ht="18">
      <c r="A2361" s="2714"/>
      <c r="B2361" s="371">
        <v>108</v>
      </c>
      <c r="C2361" s="371"/>
      <c r="D2361" s="2716">
        <f t="shared" si="248"/>
        <v>1</v>
      </c>
      <c r="E2361" s="2721">
        <v>-1</v>
      </c>
      <c r="F2361" s="293"/>
      <c r="G2361" s="1486" t="s">
        <v>5207</v>
      </c>
      <c r="H2361" s="309"/>
      <c r="I2361" s="422"/>
      <c r="J2361" s="309"/>
      <c r="K2361" s="361">
        <f t="shared" si="249"/>
        <v>0</v>
      </c>
      <c r="L2361" s="437"/>
      <c r="M2361" s="438"/>
      <c r="N2361" s="439"/>
      <c r="O2361" s="437"/>
      <c r="P2361" s="438"/>
      <c r="Q2361" s="442"/>
      <c r="R2361" s="443"/>
      <c r="S2361" s="364"/>
      <c r="Z2361" s="609" t="s">
        <v>925</v>
      </c>
      <c r="AA2361" s="609" t="s">
        <v>3451</v>
      </c>
    </row>
    <row r="2362" spans="1:27" ht="18">
      <c r="A2362" s="2714"/>
      <c r="B2362" s="371">
        <v>109</v>
      </c>
      <c r="C2362" s="371"/>
      <c r="D2362" s="2716">
        <f t="shared" si="248"/>
        <v>1</v>
      </c>
      <c r="E2362" s="2721">
        <v>-1</v>
      </c>
      <c r="F2362" s="293"/>
      <c r="G2362" s="578" t="s">
        <v>3356</v>
      </c>
      <c r="H2362" s="309"/>
      <c r="I2362" s="422"/>
      <c r="J2362" s="309"/>
      <c r="K2362" s="361">
        <f t="shared" si="249"/>
        <v>0</v>
      </c>
      <c r="L2362" s="437"/>
      <c r="M2362" s="438"/>
      <c r="N2362" s="439"/>
      <c r="O2362" s="437"/>
      <c r="P2362" s="438"/>
      <c r="Q2362" s="442"/>
      <c r="R2362" s="443"/>
      <c r="S2362" s="364"/>
      <c r="Z2362" s="609" t="s">
        <v>925</v>
      </c>
      <c r="AA2362" s="609" t="s">
        <v>3451</v>
      </c>
    </row>
    <row r="2363" spans="1:27" ht="18">
      <c r="A2363" s="2714"/>
      <c r="B2363" s="371">
        <v>110</v>
      </c>
      <c r="C2363" s="371"/>
      <c r="D2363" s="2716">
        <f t="shared" si="248"/>
        <v>1</v>
      </c>
      <c r="E2363" s="2721">
        <v>-1</v>
      </c>
      <c r="F2363" s="293"/>
      <c r="G2363" s="578" t="s">
        <v>3357</v>
      </c>
      <c r="H2363" s="309"/>
      <c r="I2363" s="422"/>
      <c r="J2363" s="309"/>
      <c r="K2363" s="361">
        <f t="shared" si="249"/>
        <v>0</v>
      </c>
      <c r="L2363" s="437"/>
      <c r="M2363" s="438"/>
      <c r="N2363" s="439"/>
      <c r="O2363" s="437"/>
      <c r="P2363" s="438"/>
      <c r="Q2363" s="442"/>
      <c r="R2363" s="443"/>
      <c r="S2363" s="364"/>
      <c r="Z2363" s="609" t="s">
        <v>925</v>
      </c>
      <c r="AA2363" s="609" t="s">
        <v>3451</v>
      </c>
    </row>
    <row r="2364" spans="1:27" ht="24">
      <c r="A2364" s="2714"/>
      <c r="B2364" s="371">
        <v>111</v>
      </c>
      <c r="C2364" s="371"/>
      <c r="D2364" s="2716">
        <f t="shared" si="248"/>
        <v>1</v>
      </c>
      <c r="E2364" s="2721">
        <v>1</v>
      </c>
      <c r="F2364" s="293"/>
      <c r="G2364" s="1486" t="s">
        <v>5208</v>
      </c>
      <c r="H2364" s="309"/>
      <c r="I2364" s="422"/>
      <c r="J2364" s="309"/>
      <c r="K2364" s="361">
        <f t="shared" si="249"/>
        <v>0</v>
      </c>
      <c r="L2364" s="437"/>
      <c r="M2364" s="438"/>
      <c r="N2364" s="439"/>
      <c r="O2364" s="437"/>
      <c r="P2364" s="438"/>
      <c r="Q2364" s="442"/>
      <c r="R2364" s="443"/>
      <c r="S2364" s="364"/>
      <c r="Z2364" s="609" t="s">
        <v>925</v>
      </c>
      <c r="AA2364" s="609" t="s">
        <v>3451</v>
      </c>
    </row>
    <row r="2365" spans="1:27" ht="18">
      <c r="A2365" s="2714"/>
      <c r="B2365" s="371">
        <v>112</v>
      </c>
      <c r="C2365" s="371" t="s">
        <v>2791</v>
      </c>
      <c r="D2365" s="2716">
        <f t="shared" si="248"/>
        <v>0</v>
      </c>
      <c r="E2365" s="2721">
        <v>1</v>
      </c>
      <c r="F2365" s="293"/>
      <c r="G2365" s="1472" t="s">
        <v>5148</v>
      </c>
      <c r="H2365" s="309"/>
      <c r="I2365" s="422"/>
      <c r="J2365" s="309"/>
      <c r="K2365" s="361">
        <f t="shared" si="249"/>
        <v>0</v>
      </c>
      <c r="L2365" s="437"/>
      <c r="M2365" s="438"/>
      <c r="N2365" s="439"/>
      <c r="O2365" s="437"/>
      <c r="P2365" s="438"/>
      <c r="Q2365" s="442"/>
      <c r="R2365" s="443"/>
      <c r="S2365" s="364"/>
      <c r="Z2365" s="609" t="s">
        <v>925</v>
      </c>
      <c r="AA2365" s="609" t="s">
        <v>3451</v>
      </c>
    </row>
    <row r="2366" spans="1:27" ht="18.75" thickBot="1">
      <c r="A2366" s="2714"/>
      <c r="B2366" s="371"/>
      <c r="C2366" s="371"/>
      <c r="D2366" s="2716">
        <f t="shared" si="248"/>
        <v>1</v>
      </c>
      <c r="E2366" s="2721" t="s">
        <v>2751</v>
      </c>
      <c r="F2366" s="293"/>
      <c r="G2366" s="2234" t="str">
        <f>$W$2&amp;"余额"</f>
        <v>2019年12月31日余额</v>
      </c>
      <c r="H2366" s="2325">
        <f>SUMPRODUCT($E2353:$E2365,H2353:H2365)</f>
        <v>0</v>
      </c>
      <c r="I2366" s="2325">
        <f>SUMPRODUCT($E2353:$E2365,I2353:I2365)</f>
        <v>0</v>
      </c>
      <c r="J2366" s="2325">
        <f>SUMPRODUCT($E2353:$E2365,J2353:J2365)</f>
        <v>0</v>
      </c>
      <c r="K2366" s="2342">
        <f>SUMPRODUCT($E2353:$E2365,K2353:K2365)</f>
        <v>0</v>
      </c>
      <c r="L2366" s="437"/>
      <c r="M2366" s="440"/>
      <c r="N2366" s="439"/>
      <c r="O2366" s="437"/>
      <c r="P2366" s="440"/>
      <c r="Q2366" s="442"/>
      <c r="R2366" s="443"/>
      <c r="S2366" s="364"/>
      <c r="Z2366" s="609" t="s">
        <v>925</v>
      </c>
      <c r="AA2366" s="609" t="s">
        <v>3451</v>
      </c>
    </row>
    <row r="2367" spans="1:27" ht="18">
      <c r="A2367" s="2714"/>
      <c r="B2367" s="371"/>
      <c r="C2367" s="371" t="s">
        <v>2755</v>
      </c>
      <c r="D2367" s="2716"/>
      <c r="F2367" s="293"/>
      <c r="G2367" s="376"/>
      <c r="H2367" s="315"/>
      <c r="I2367" s="396"/>
      <c r="J2367" s="315"/>
      <c r="K2367" s="423"/>
      <c r="L2367" s="427"/>
      <c r="M2367" s="425"/>
      <c r="N2367" s="426"/>
      <c r="O2367" s="427"/>
      <c r="P2367" s="425"/>
      <c r="Q2367" s="442"/>
      <c r="R2367" s="443"/>
      <c r="S2367" s="364"/>
      <c r="Z2367" s="609" t="s">
        <v>925</v>
      </c>
      <c r="AA2367" s="609" t="s">
        <v>3451</v>
      </c>
    </row>
    <row r="2368" spans="1:27" ht="24">
      <c r="A2368" s="2714" t="s">
        <v>973</v>
      </c>
      <c r="B2368" s="371">
        <v>4</v>
      </c>
      <c r="C2368" s="371"/>
      <c r="D2368" s="2716" t="str">
        <f>VLOOKUP($A2368,Sheet_NoteList,2,0)</f>
        <v>因金融资产转移而终止确认的长期应收款</v>
      </c>
      <c r="E2368" s="2716" t="s">
        <v>6531</v>
      </c>
      <c r="F2368" s="294"/>
      <c r="G2368" s="372" t="str">
        <f>"("&amp;B2368&amp;")"&amp;D2368</f>
        <v>(4)因金融资产转移而终止确认的长期应收款</v>
      </c>
      <c r="H2368" s="1517" t="str">
        <f>$A2368</f>
        <v>1531c</v>
      </c>
      <c r="I2368" s="343" t="s">
        <v>5974</v>
      </c>
      <c r="J2368" s="301" t="s">
        <v>5973</v>
      </c>
      <c r="K2368" s="2210">
        <f>I2376</f>
        <v>0</v>
      </c>
      <c r="L2368" s="345"/>
      <c r="M2368" s="301"/>
      <c r="N2368" s="391"/>
      <c r="O2368" s="345"/>
      <c r="P2368" s="301"/>
      <c r="Q2368" s="290" t="str">
        <f>IF($I2368="不适用","",IF(ROUND(SUM($H$2371:$J$2376),2)=0,"请输入",""))</f>
        <v>请输入</v>
      </c>
      <c r="S2368" s="364"/>
      <c r="Z2368" s="609" t="s">
        <v>925</v>
      </c>
      <c r="AA2368" s="609" t="s">
        <v>3451</v>
      </c>
    </row>
    <row r="2369" spans="1:27" ht="0.75" customHeight="1" thickBot="1">
      <c r="A2369" s="2714"/>
      <c r="B2369" s="371"/>
      <c r="C2369" s="371"/>
      <c r="D2369" s="371"/>
      <c r="E2369" s="586"/>
      <c r="F2369" s="518"/>
      <c r="G2369" s="518" t="s">
        <v>3470</v>
      </c>
      <c r="H2369" s="304" t="s">
        <v>3060</v>
      </c>
      <c r="I2369" s="304" t="s">
        <v>3061</v>
      </c>
      <c r="J2369" s="304" t="s">
        <v>3062</v>
      </c>
      <c r="K2369" s="291"/>
      <c r="L2369" s="291"/>
      <c r="M2369" s="291"/>
      <c r="S2369" s="364"/>
      <c r="Z2369" s="609" t="s">
        <v>925</v>
      </c>
      <c r="AA2369" s="609" t="s">
        <v>3451</v>
      </c>
    </row>
    <row r="2370" spans="1:27" ht="24">
      <c r="A2370" s="2714"/>
      <c r="B2370" s="371"/>
      <c r="C2370" s="371"/>
      <c r="D2370" s="371"/>
      <c r="E2370" s="586" t="s">
        <v>2749</v>
      </c>
      <c r="F2370" s="363"/>
      <c r="G2370" s="2228" t="s">
        <v>47</v>
      </c>
      <c r="H2370" s="2282" t="s">
        <v>3068</v>
      </c>
      <c r="I2370" s="2282" t="s">
        <v>3064</v>
      </c>
      <c r="J2370" s="417" t="s">
        <v>3065</v>
      </c>
      <c r="K2370" s="355" t="s">
        <v>5282</v>
      </c>
      <c r="L2370" s="291"/>
      <c r="M2370" s="291"/>
      <c r="S2370" s="364"/>
      <c r="Z2370" s="609" t="s">
        <v>925</v>
      </c>
      <c r="AA2370" s="609" t="s">
        <v>3451</v>
      </c>
    </row>
    <row r="2371" spans="1:27" ht="18">
      <c r="A2371" s="2714"/>
      <c r="B2371" s="371">
        <v>101</v>
      </c>
      <c r="C2371" s="371" t="s">
        <v>2791</v>
      </c>
      <c r="D2371" s="2716">
        <f t="shared" ref="D2371:D2376" si="250">IF(OR(G2371="*",G2371="",G2371=0),0,COUNTIF($G$2371:$G$2376,G2371))</f>
        <v>0</v>
      </c>
      <c r="E2371" s="2721">
        <v>1</v>
      </c>
      <c r="F2371" s="294"/>
      <c r="G2371" s="2284" t="s">
        <v>2792</v>
      </c>
      <c r="H2371" s="2298"/>
      <c r="I2371" s="2275"/>
      <c r="J2371" s="2296"/>
      <c r="K2371" s="343"/>
      <c r="L2371" s="291"/>
      <c r="M2371" s="291"/>
      <c r="S2371" s="364"/>
      <c r="Z2371" s="609" t="s">
        <v>925</v>
      </c>
      <c r="AA2371" s="609" t="s">
        <v>3451</v>
      </c>
    </row>
    <row r="2372" spans="1:27" ht="18">
      <c r="A2372" s="2714"/>
      <c r="B2372" s="371">
        <v>102</v>
      </c>
      <c r="C2372" s="371" t="s">
        <v>2791</v>
      </c>
      <c r="D2372" s="2716">
        <f t="shared" si="250"/>
        <v>0</v>
      </c>
      <c r="E2372" s="2721">
        <v>1</v>
      </c>
      <c r="F2372" s="294"/>
      <c r="G2372" s="2284" t="s">
        <v>2792</v>
      </c>
      <c r="H2372" s="2298"/>
      <c r="I2372" s="2275"/>
      <c r="J2372" s="2296"/>
      <c r="K2372" s="291"/>
      <c r="L2372" s="291"/>
      <c r="M2372" s="291"/>
      <c r="S2372" s="364"/>
      <c r="Z2372" s="609" t="s">
        <v>925</v>
      </c>
      <c r="AA2372" s="609" t="s">
        <v>3451</v>
      </c>
    </row>
    <row r="2373" spans="1:27" ht="18">
      <c r="A2373" s="2714"/>
      <c r="B2373" s="371">
        <v>103</v>
      </c>
      <c r="C2373" s="371" t="s">
        <v>2791</v>
      </c>
      <c r="D2373" s="2716">
        <f t="shared" si="250"/>
        <v>0</v>
      </c>
      <c r="E2373" s="2721">
        <v>1</v>
      </c>
      <c r="F2373" s="294"/>
      <c r="G2373" s="2284" t="s">
        <v>2792</v>
      </c>
      <c r="H2373" s="2298"/>
      <c r="I2373" s="2275"/>
      <c r="J2373" s="2296"/>
      <c r="K2373" s="291"/>
      <c r="L2373" s="291"/>
      <c r="M2373" s="291"/>
      <c r="S2373" s="364"/>
      <c r="Z2373" s="609" t="s">
        <v>925</v>
      </c>
      <c r="AA2373" s="609" t="s">
        <v>3451</v>
      </c>
    </row>
    <row r="2374" spans="1:27" ht="18">
      <c r="A2374" s="2714"/>
      <c r="B2374" s="371">
        <v>104</v>
      </c>
      <c r="C2374" s="371" t="s">
        <v>2791</v>
      </c>
      <c r="D2374" s="2716">
        <f t="shared" si="250"/>
        <v>0</v>
      </c>
      <c r="E2374" s="2721">
        <v>1</v>
      </c>
      <c r="F2374" s="294"/>
      <c r="G2374" s="2284" t="s">
        <v>2792</v>
      </c>
      <c r="H2374" s="2298"/>
      <c r="I2374" s="2275"/>
      <c r="J2374" s="2296"/>
      <c r="K2374" s="291"/>
      <c r="L2374" s="291"/>
      <c r="M2374" s="291"/>
      <c r="S2374" s="364"/>
      <c r="Z2374" s="609" t="s">
        <v>925</v>
      </c>
      <c r="AA2374" s="609" t="s">
        <v>3451</v>
      </c>
    </row>
    <row r="2375" spans="1:27" ht="18">
      <c r="A2375" s="2714"/>
      <c r="B2375" s="371">
        <v>105</v>
      </c>
      <c r="C2375" s="371" t="s">
        <v>2791</v>
      </c>
      <c r="D2375" s="2716">
        <f t="shared" si="250"/>
        <v>0</v>
      </c>
      <c r="E2375" s="2721">
        <v>1</v>
      </c>
      <c r="F2375" s="294"/>
      <c r="G2375" s="2284" t="s">
        <v>2792</v>
      </c>
      <c r="H2375" s="2298"/>
      <c r="I2375" s="2275"/>
      <c r="J2375" s="2296"/>
      <c r="K2375" s="291"/>
      <c r="L2375" s="291"/>
      <c r="M2375" s="291"/>
      <c r="S2375" s="364"/>
      <c r="Z2375" s="609" t="s">
        <v>925</v>
      </c>
      <c r="AA2375" s="609" t="s">
        <v>3451</v>
      </c>
    </row>
    <row r="2376" spans="1:27" ht="18.75" thickBot="1">
      <c r="A2376" s="2714"/>
      <c r="B2376" s="371"/>
      <c r="C2376" s="371"/>
      <c r="D2376" s="2716">
        <f t="shared" si="250"/>
        <v>1</v>
      </c>
      <c r="E2376" s="2721" t="s">
        <v>2751</v>
      </c>
      <c r="F2376" s="294"/>
      <c r="G2376" s="374" t="s">
        <v>2752</v>
      </c>
      <c r="H2376" s="2261"/>
      <c r="I2376" s="1478">
        <f>SUMPRODUCT($E2370:$E2375,I2370:I2375)</f>
        <v>0</v>
      </c>
      <c r="J2376" s="1479">
        <f>SUMPRODUCT($E2370:$E2375,J2370:J2375)</f>
        <v>0</v>
      </c>
      <c r="K2376" s="291"/>
      <c r="L2376" s="291"/>
      <c r="M2376" s="291"/>
      <c r="S2376" s="364"/>
      <c r="Z2376" s="609" t="s">
        <v>925</v>
      </c>
      <c r="AA2376" s="609" t="s">
        <v>3451</v>
      </c>
    </row>
    <row r="2377" spans="1:27" ht="18">
      <c r="A2377" s="2714"/>
      <c r="B2377" s="371"/>
      <c r="C2377" s="371" t="s">
        <v>2755</v>
      </c>
      <c r="D2377" s="371"/>
      <c r="F2377" s="294"/>
      <c r="G2377" s="301"/>
      <c r="H2377" s="393"/>
      <c r="I2377" s="315"/>
      <c r="J2377" s="315"/>
      <c r="K2377" s="291"/>
      <c r="L2377" s="291"/>
      <c r="M2377" s="291"/>
      <c r="S2377" s="364"/>
      <c r="Z2377" s="609" t="s">
        <v>925</v>
      </c>
      <c r="AA2377" s="609" t="s">
        <v>3451</v>
      </c>
    </row>
    <row r="2378" spans="1:27" ht="24">
      <c r="A2378" s="2714" t="s">
        <v>959</v>
      </c>
      <c r="B2378" s="371">
        <v>5</v>
      </c>
      <c r="C2378" s="371"/>
      <c r="D2378" s="2716" t="str">
        <f>VLOOKUP($A2378,Sheet_NoteList,2,0)</f>
        <v>转移长期应收款且继续涉入形成的资产、负债金额</v>
      </c>
      <c r="E2378" s="2716" t="s">
        <v>2742</v>
      </c>
      <c r="F2378" s="293"/>
      <c r="G2378" s="372" t="str">
        <f>"("&amp;B2378&amp;")"&amp;D2378</f>
        <v>(5)转移长期应收款且继续涉入形成的资产、负债金额</v>
      </c>
      <c r="H2378" s="1517" t="str">
        <f>$A2378</f>
        <v>1531s</v>
      </c>
      <c r="I2378" s="343" t="s">
        <v>2743</v>
      </c>
      <c r="J2378" s="301" t="s">
        <v>2744</v>
      </c>
      <c r="K2378" s="2210">
        <f>H2389</f>
        <v>0</v>
      </c>
      <c r="L2378" s="349"/>
      <c r="M2378" s="301"/>
      <c r="N2378" s="391"/>
      <c r="O2378" s="349"/>
      <c r="P2378" s="301"/>
      <c r="S2378" s="364"/>
      <c r="Z2378" s="609" t="s">
        <v>925</v>
      </c>
      <c r="AA2378" s="609" t="s">
        <v>3451</v>
      </c>
    </row>
    <row r="2379" spans="1:27" ht="0.75" customHeight="1" thickBot="1">
      <c r="A2379" s="2714"/>
      <c r="B2379" s="371"/>
      <c r="C2379" s="371"/>
      <c r="D2379" s="2716"/>
      <c r="E2379" s="586"/>
      <c r="F2379" s="586"/>
      <c r="G2379" s="2224" t="s">
        <v>3467</v>
      </c>
      <c r="H2379" s="371" t="s">
        <v>3067</v>
      </c>
      <c r="I2379" s="371" t="s">
        <v>2748</v>
      </c>
      <c r="J2379" s="371" t="s">
        <v>2948</v>
      </c>
      <c r="K2379" s="428"/>
      <c r="L2379" s="428"/>
      <c r="M2379" s="433"/>
      <c r="N2379" s="428"/>
      <c r="O2379" s="428"/>
      <c r="P2379" s="433"/>
      <c r="Q2379" s="442"/>
      <c r="R2379" s="443"/>
      <c r="S2379" s="364"/>
      <c r="Z2379" s="609" t="s">
        <v>925</v>
      </c>
      <c r="AA2379" s="609" t="s">
        <v>3451</v>
      </c>
    </row>
    <row r="2380" spans="1:27" ht="24">
      <c r="A2380" s="2714"/>
      <c r="B2380" s="371"/>
      <c r="C2380" s="371"/>
      <c r="D2380" s="2716"/>
      <c r="E2380" s="586" t="s">
        <v>2749</v>
      </c>
      <c r="F2380" s="414"/>
      <c r="G2380" s="2228" t="s">
        <v>5134</v>
      </c>
      <c r="H2380" s="2282" t="s">
        <v>3068</v>
      </c>
      <c r="I2380" s="2282" t="s">
        <v>3069</v>
      </c>
      <c r="J2380" s="417" t="s">
        <v>3070</v>
      </c>
      <c r="K2380" s="355" t="s">
        <v>5282</v>
      </c>
      <c r="L2380" s="434"/>
      <c r="M2380" s="435"/>
      <c r="N2380" s="434"/>
      <c r="O2380" s="434"/>
      <c r="P2380" s="435"/>
      <c r="Q2380" s="442"/>
      <c r="R2380" s="443"/>
      <c r="S2380" s="364"/>
      <c r="Z2380" s="609" t="s">
        <v>925</v>
      </c>
      <c r="AA2380" s="609" t="s">
        <v>3451</v>
      </c>
    </row>
    <row r="2381" spans="1:27" ht="18">
      <c r="A2381" s="2714"/>
      <c r="B2381" s="371">
        <v>101</v>
      </c>
      <c r="C2381" s="371" t="s">
        <v>2791</v>
      </c>
      <c r="D2381" s="2716">
        <f t="shared" ref="D2381:D2389" si="251">IF(OR(G2381="*",G2381="",G2381=0),0,COUNTIF($G$2381:$G$2389,G2381))</f>
        <v>0</v>
      </c>
      <c r="E2381" s="2721">
        <v>1</v>
      </c>
      <c r="F2381" s="293"/>
      <c r="G2381" s="2284" t="s">
        <v>2792</v>
      </c>
      <c r="H2381" s="2298"/>
      <c r="I2381" s="2275"/>
      <c r="J2381" s="2296"/>
      <c r="K2381" s="439"/>
      <c r="L2381" s="437"/>
      <c r="M2381" s="438"/>
      <c r="N2381" s="439"/>
      <c r="O2381" s="437"/>
      <c r="P2381" s="438"/>
      <c r="Q2381" s="442"/>
      <c r="R2381" s="443"/>
      <c r="S2381" s="364"/>
      <c r="Z2381" s="609" t="s">
        <v>925</v>
      </c>
      <c r="AA2381" s="609" t="s">
        <v>3451</v>
      </c>
    </row>
    <row r="2382" spans="1:27" ht="18">
      <c r="A2382" s="2714"/>
      <c r="B2382" s="371">
        <v>102</v>
      </c>
      <c r="C2382" s="371" t="s">
        <v>2791</v>
      </c>
      <c r="D2382" s="2716">
        <f t="shared" si="251"/>
        <v>0</v>
      </c>
      <c r="E2382" s="2721">
        <v>1</v>
      </c>
      <c r="F2382" s="293"/>
      <c r="G2382" s="2284" t="s">
        <v>2792</v>
      </c>
      <c r="H2382" s="2298"/>
      <c r="I2382" s="2275"/>
      <c r="J2382" s="2296"/>
      <c r="K2382" s="439"/>
      <c r="L2382" s="437"/>
      <c r="M2382" s="438"/>
      <c r="N2382" s="439"/>
      <c r="O2382" s="437"/>
      <c r="P2382" s="438"/>
      <c r="Q2382" s="442"/>
      <c r="R2382" s="443"/>
      <c r="S2382" s="364"/>
      <c r="Z2382" s="609" t="s">
        <v>925</v>
      </c>
      <c r="AA2382" s="609" t="s">
        <v>3451</v>
      </c>
    </row>
    <row r="2383" spans="1:27" ht="18">
      <c r="A2383" s="2714"/>
      <c r="B2383" s="371">
        <v>103</v>
      </c>
      <c r="C2383" s="371" t="s">
        <v>2791</v>
      </c>
      <c r="D2383" s="2716">
        <f t="shared" si="251"/>
        <v>0</v>
      </c>
      <c r="E2383" s="2721">
        <v>1</v>
      </c>
      <c r="F2383" s="293"/>
      <c r="G2383" s="2284" t="s">
        <v>2792</v>
      </c>
      <c r="H2383" s="2298"/>
      <c r="I2383" s="2275"/>
      <c r="J2383" s="2296"/>
      <c r="K2383" s="439"/>
      <c r="L2383" s="437"/>
      <c r="M2383" s="438"/>
      <c r="N2383" s="439"/>
      <c r="O2383" s="437"/>
      <c r="P2383" s="438"/>
      <c r="Q2383" s="442"/>
      <c r="R2383" s="443"/>
      <c r="S2383" s="364"/>
      <c r="Z2383" s="609" t="s">
        <v>925</v>
      </c>
      <c r="AA2383" s="609" t="s">
        <v>3451</v>
      </c>
    </row>
    <row r="2384" spans="1:27" ht="18">
      <c r="A2384" s="2714"/>
      <c r="B2384" s="371">
        <v>104</v>
      </c>
      <c r="C2384" s="371" t="s">
        <v>2791</v>
      </c>
      <c r="D2384" s="2716">
        <f t="shared" si="251"/>
        <v>0</v>
      </c>
      <c r="E2384" s="2721">
        <v>1</v>
      </c>
      <c r="F2384" s="293"/>
      <c r="G2384" s="2284" t="s">
        <v>2792</v>
      </c>
      <c r="H2384" s="2298"/>
      <c r="I2384" s="2275"/>
      <c r="J2384" s="2296"/>
      <c r="K2384" s="439"/>
      <c r="L2384" s="437"/>
      <c r="M2384" s="438"/>
      <c r="N2384" s="439"/>
      <c r="O2384" s="437"/>
      <c r="P2384" s="438"/>
      <c r="Q2384" s="442"/>
      <c r="R2384" s="443"/>
      <c r="S2384" s="364"/>
      <c r="Z2384" s="609" t="s">
        <v>925</v>
      </c>
      <c r="AA2384" s="609" t="s">
        <v>3451</v>
      </c>
    </row>
    <row r="2385" spans="1:27" ht="18">
      <c r="A2385" s="2714"/>
      <c r="B2385" s="371">
        <v>105</v>
      </c>
      <c r="C2385" s="371" t="s">
        <v>2791</v>
      </c>
      <c r="D2385" s="2716">
        <f t="shared" si="251"/>
        <v>0</v>
      </c>
      <c r="E2385" s="2721">
        <v>1</v>
      </c>
      <c r="F2385" s="293"/>
      <c r="G2385" s="2284" t="s">
        <v>2792</v>
      </c>
      <c r="H2385" s="2298"/>
      <c r="I2385" s="2275"/>
      <c r="J2385" s="2296"/>
      <c r="K2385" s="439"/>
      <c r="L2385" s="437"/>
      <c r="M2385" s="438"/>
      <c r="N2385" s="439"/>
      <c r="O2385" s="437"/>
      <c r="P2385" s="438"/>
      <c r="Q2385" s="442"/>
      <c r="R2385" s="443"/>
      <c r="S2385" s="364"/>
      <c r="Z2385" s="609" t="s">
        <v>925</v>
      </c>
      <c r="AA2385" s="609" t="s">
        <v>3451</v>
      </c>
    </row>
    <row r="2386" spans="1:27" ht="18">
      <c r="A2386" s="2714"/>
      <c r="B2386" s="371">
        <v>106</v>
      </c>
      <c r="C2386" s="371" t="s">
        <v>2791</v>
      </c>
      <c r="D2386" s="2716">
        <f t="shared" si="251"/>
        <v>0</v>
      </c>
      <c r="E2386" s="2721">
        <v>1</v>
      </c>
      <c r="F2386" s="293"/>
      <c r="G2386" s="2284" t="s">
        <v>2792</v>
      </c>
      <c r="H2386" s="2298"/>
      <c r="I2386" s="2275"/>
      <c r="J2386" s="2296"/>
      <c r="K2386" s="439"/>
      <c r="L2386" s="437"/>
      <c r="M2386" s="438"/>
      <c r="N2386" s="439"/>
      <c r="O2386" s="437"/>
      <c r="P2386" s="438"/>
      <c r="Q2386" s="442"/>
      <c r="R2386" s="443"/>
      <c r="S2386" s="364"/>
      <c r="Z2386" s="609" t="s">
        <v>925</v>
      </c>
      <c r="AA2386" s="609" t="s">
        <v>3451</v>
      </c>
    </row>
    <row r="2387" spans="1:27" ht="18">
      <c r="A2387" s="2714"/>
      <c r="B2387" s="371">
        <v>107</v>
      </c>
      <c r="C2387" s="371" t="s">
        <v>2791</v>
      </c>
      <c r="D2387" s="2716">
        <f t="shared" si="251"/>
        <v>0</v>
      </c>
      <c r="E2387" s="2721">
        <v>1</v>
      </c>
      <c r="F2387" s="293"/>
      <c r="G2387" s="2284" t="s">
        <v>2792</v>
      </c>
      <c r="H2387" s="2298"/>
      <c r="I2387" s="2275"/>
      <c r="J2387" s="2296"/>
      <c r="K2387" s="439"/>
      <c r="L2387" s="437"/>
      <c r="M2387" s="438"/>
      <c r="N2387" s="439"/>
      <c r="O2387" s="437"/>
      <c r="P2387" s="438"/>
      <c r="Q2387" s="442"/>
      <c r="R2387" s="443"/>
      <c r="S2387" s="364"/>
      <c r="Z2387" s="609" t="s">
        <v>925</v>
      </c>
      <c r="AA2387" s="609" t="s">
        <v>3451</v>
      </c>
    </row>
    <row r="2388" spans="1:27" ht="18">
      <c r="A2388" s="2714"/>
      <c r="B2388" s="371">
        <v>108</v>
      </c>
      <c r="C2388" s="371" t="s">
        <v>2791</v>
      </c>
      <c r="D2388" s="2716">
        <f t="shared" si="251"/>
        <v>0</v>
      </c>
      <c r="E2388" s="2721">
        <v>1</v>
      </c>
      <c r="F2388" s="293"/>
      <c r="G2388" s="2284" t="s">
        <v>2792</v>
      </c>
      <c r="H2388" s="2298"/>
      <c r="I2388" s="2275"/>
      <c r="J2388" s="2296"/>
      <c r="K2388" s="439"/>
      <c r="L2388" s="437"/>
      <c r="M2388" s="438"/>
      <c r="N2388" s="439"/>
      <c r="O2388" s="437"/>
      <c r="P2388" s="438"/>
      <c r="Q2388" s="442"/>
      <c r="R2388" s="443"/>
      <c r="S2388" s="364"/>
      <c r="Z2388" s="609" t="s">
        <v>925</v>
      </c>
      <c r="AA2388" s="609" t="s">
        <v>3451</v>
      </c>
    </row>
    <row r="2389" spans="1:27" ht="18.75" thickBot="1">
      <c r="A2389" s="2714"/>
      <c r="B2389" s="371"/>
      <c r="C2389" s="371"/>
      <c r="D2389" s="2716">
        <f t="shared" si="251"/>
        <v>1</v>
      </c>
      <c r="E2389" s="2721" t="s">
        <v>2751</v>
      </c>
      <c r="F2389" s="293"/>
      <c r="G2389" s="374" t="s">
        <v>2752</v>
      </c>
      <c r="H2389" s="2261"/>
      <c r="I2389" s="1478">
        <f>SUMPRODUCT($E2380:$E2388,I2380:I2388)</f>
        <v>0</v>
      </c>
      <c r="J2389" s="1479">
        <f>SUMPRODUCT($E2380:$E2388,J2380:J2388)</f>
        <v>0</v>
      </c>
      <c r="K2389" s="439"/>
      <c r="L2389" s="437"/>
      <c r="M2389" s="440"/>
      <c r="N2389" s="439"/>
      <c r="O2389" s="437"/>
      <c r="P2389" s="440"/>
      <c r="Q2389" s="442"/>
      <c r="R2389" s="443"/>
      <c r="S2389" s="364"/>
      <c r="Z2389" s="609" t="s">
        <v>925</v>
      </c>
      <c r="AA2389" s="609" t="s">
        <v>3451</v>
      </c>
    </row>
    <row r="2390" spans="1:27" ht="18">
      <c r="A2390" s="2714"/>
      <c r="B2390" s="371"/>
      <c r="C2390" s="371" t="s">
        <v>2755</v>
      </c>
      <c r="D2390" s="2716"/>
      <c r="F2390" s="293"/>
      <c r="G2390" s="376"/>
      <c r="H2390" s="393"/>
      <c r="I2390" s="396"/>
      <c r="J2390" s="315"/>
      <c r="K2390" s="426"/>
      <c r="L2390" s="427"/>
      <c r="M2390" s="425"/>
      <c r="N2390" s="426"/>
      <c r="O2390" s="427"/>
      <c r="P2390" s="425"/>
      <c r="Q2390" s="442"/>
      <c r="R2390" s="443"/>
      <c r="S2390" s="364"/>
      <c r="Z2390" s="609" t="s">
        <v>925</v>
      </c>
      <c r="AA2390" s="609" t="s">
        <v>3451</v>
      </c>
    </row>
    <row r="2391" spans="1:27" ht="18">
      <c r="A2391" s="2714" t="s">
        <v>969</v>
      </c>
      <c r="B2391" s="371">
        <v>6</v>
      </c>
      <c r="C2391" s="371"/>
      <c r="D2391" s="2716" t="str">
        <f>VLOOKUP($A2391,Sheet_NoteList,2,0)</f>
        <v>长期应收款逾期情况分析</v>
      </c>
      <c r="E2391" s="2716" t="s">
        <v>6531</v>
      </c>
      <c r="F2391" s="294"/>
      <c r="G2391" s="307" t="str">
        <f>"("&amp;B2391&amp;")"&amp;D2391</f>
        <v>(6)长期应收款逾期情况分析</v>
      </c>
      <c r="H2391" s="1517" t="str">
        <f>$A2391</f>
        <v>1531b</v>
      </c>
      <c r="I2391" s="343" t="s">
        <v>5965</v>
      </c>
      <c r="J2391" s="301" t="s">
        <v>5963</v>
      </c>
      <c r="K2391" s="2210">
        <f>H2399</f>
        <v>0</v>
      </c>
      <c r="L2391" s="345" t="str">
        <f>IF($I2391="适用",IF(ROUND(K$2201-K2391,2)=0,"F/S",ROUND(K$2201-K2391,2)),"#N/A")</f>
        <v>F/S</v>
      </c>
      <c r="M2391" s="301" t="s">
        <v>5964</v>
      </c>
      <c r="N2391" s="2210">
        <f>I2399</f>
        <v>0</v>
      </c>
      <c r="O2391" s="345" t="str">
        <f>IF($I2391="适用",IF(ROUND(N$2201-N2391,2)=0,"F/S",ROUND(N$2201-N2391,2)),"#N/A")</f>
        <v>F/S</v>
      </c>
      <c r="P2391" s="301"/>
      <c r="Q2391" s="290" t="str">
        <f>IF($I2391="不适用","",IF(ROUND(SUM($H$2394:$I$2399),2)=0,"请输入",""))</f>
        <v>请输入</v>
      </c>
      <c r="S2391" s="364"/>
      <c r="Z2391" s="609" t="s">
        <v>925</v>
      </c>
      <c r="AA2391" s="609" t="s">
        <v>3451</v>
      </c>
    </row>
    <row r="2392" spans="1:27" ht="0.75" customHeight="1" thickBot="1">
      <c r="A2392" s="2714"/>
      <c r="B2392" s="371"/>
      <c r="C2392" s="371"/>
      <c r="D2392" s="371"/>
      <c r="E2392" s="586"/>
      <c r="F2392" s="518"/>
      <c r="G2392" s="518" t="s">
        <v>3468</v>
      </c>
      <c r="H2392" s="304" t="s">
        <v>2747</v>
      </c>
      <c r="I2392" s="304" t="s">
        <v>2748</v>
      </c>
      <c r="J2392" s="291"/>
      <c r="K2392" s="291"/>
      <c r="L2392" s="291"/>
      <c r="M2392" s="291"/>
      <c r="S2392" s="364"/>
      <c r="Z2392" s="609" t="s">
        <v>925</v>
      </c>
      <c r="AA2392" s="609" t="s">
        <v>3451</v>
      </c>
    </row>
    <row r="2393" spans="1:27" ht="18">
      <c r="A2393" s="2714"/>
      <c r="B2393" s="371"/>
      <c r="C2393" s="371"/>
      <c r="D2393" s="371"/>
      <c r="E2393" s="586" t="s">
        <v>2749</v>
      </c>
      <c r="F2393" s="363"/>
      <c r="G2393" s="2288" t="s">
        <v>3469</v>
      </c>
      <c r="H2393" s="2290" t="s">
        <v>2775</v>
      </c>
      <c r="I2393" s="2281" t="s">
        <v>2776</v>
      </c>
      <c r="J2393" s="355" t="s">
        <v>6176</v>
      </c>
      <c r="K2393" s="291"/>
      <c r="L2393" s="291"/>
      <c r="M2393" s="291"/>
      <c r="S2393" s="364"/>
      <c r="Z2393" s="609" t="s">
        <v>925</v>
      </c>
      <c r="AA2393" s="609" t="s">
        <v>3451</v>
      </c>
    </row>
    <row r="2394" spans="1:27" ht="18">
      <c r="A2394" s="2714"/>
      <c r="B2394" s="371">
        <v>101</v>
      </c>
      <c r="C2394" s="371"/>
      <c r="D2394" s="2716">
        <f t="shared" ref="D2394:D2399" si="252">IF(OR(G2394="*",G2394="",G2394=0),0,COUNTIF($G$2394:$G$2399,G2394))</f>
        <v>1</v>
      </c>
      <c r="E2394" s="2721">
        <v>1</v>
      </c>
      <c r="F2394" s="294"/>
      <c r="G2394" s="1474" t="s">
        <v>2938</v>
      </c>
      <c r="H2394" s="2275"/>
      <c r="I2394" s="2296"/>
      <c r="J2394" s="291"/>
      <c r="K2394" s="291"/>
      <c r="L2394" s="291"/>
      <c r="M2394" s="291"/>
      <c r="S2394" s="364"/>
      <c r="Z2394" s="609" t="s">
        <v>925</v>
      </c>
      <c r="AA2394" s="609" t="s">
        <v>3451</v>
      </c>
    </row>
    <row r="2395" spans="1:27" ht="18">
      <c r="A2395" s="2714"/>
      <c r="B2395" s="371">
        <v>102</v>
      </c>
      <c r="C2395" s="371"/>
      <c r="D2395" s="2716">
        <f t="shared" si="252"/>
        <v>1</v>
      </c>
      <c r="E2395" s="2721">
        <v>1</v>
      </c>
      <c r="F2395" s="294"/>
      <c r="G2395" s="1474" t="s">
        <v>2940</v>
      </c>
      <c r="H2395" s="2275"/>
      <c r="I2395" s="2296"/>
      <c r="J2395" s="291"/>
      <c r="K2395" s="291"/>
      <c r="L2395" s="291"/>
      <c r="M2395" s="291"/>
      <c r="S2395" s="364"/>
      <c r="Z2395" s="609" t="s">
        <v>925</v>
      </c>
      <c r="AA2395" s="609" t="s">
        <v>3451</v>
      </c>
    </row>
    <row r="2396" spans="1:27" ht="18">
      <c r="A2396" s="2714"/>
      <c r="B2396" s="371">
        <v>103</v>
      </c>
      <c r="C2396" s="371"/>
      <c r="D2396" s="2716">
        <f t="shared" si="252"/>
        <v>1</v>
      </c>
      <c r="E2396" s="2721">
        <v>1</v>
      </c>
      <c r="F2396" s="294"/>
      <c r="G2396" s="1474" t="s">
        <v>2941</v>
      </c>
      <c r="H2396" s="2275"/>
      <c r="I2396" s="2296"/>
      <c r="J2396" s="291"/>
      <c r="K2396" s="291"/>
      <c r="L2396" s="291"/>
      <c r="M2396" s="291"/>
      <c r="S2396" s="364"/>
      <c r="Z2396" s="609" t="s">
        <v>925</v>
      </c>
      <c r="AA2396" s="609" t="s">
        <v>3451</v>
      </c>
    </row>
    <row r="2397" spans="1:27" ht="18">
      <c r="A2397" s="2714"/>
      <c r="B2397" s="371">
        <v>104</v>
      </c>
      <c r="C2397" s="371" t="s">
        <v>2791</v>
      </c>
      <c r="D2397" s="2716">
        <f t="shared" si="252"/>
        <v>1</v>
      </c>
      <c r="E2397" s="2721">
        <v>1</v>
      </c>
      <c r="F2397" s="294"/>
      <c r="G2397" s="2284" t="s">
        <v>3108</v>
      </c>
      <c r="H2397" s="2275"/>
      <c r="I2397" s="2296"/>
      <c r="J2397" s="291"/>
      <c r="K2397" s="291"/>
      <c r="L2397" s="291"/>
      <c r="M2397" s="291"/>
      <c r="S2397" s="364"/>
      <c r="Z2397" s="609" t="s">
        <v>925</v>
      </c>
      <c r="AA2397" s="609" t="s">
        <v>3451</v>
      </c>
    </row>
    <row r="2398" spans="1:27" ht="18">
      <c r="A2398" s="2714"/>
      <c r="B2398" s="371">
        <v>105</v>
      </c>
      <c r="C2398" s="371" t="s">
        <v>2791</v>
      </c>
      <c r="D2398" s="2716">
        <f t="shared" si="252"/>
        <v>0</v>
      </c>
      <c r="E2398" s="2721">
        <v>1</v>
      </c>
      <c r="F2398" s="294"/>
      <c r="G2398" s="2284" t="s">
        <v>2792</v>
      </c>
      <c r="H2398" s="2275"/>
      <c r="I2398" s="2296"/>
      <c r="J2398" s="291"/>
      <c r="K2398" s="291"/>
      <c r="L2398" s="291"/>
      <c r="M2398" s="291"/>
      <c r="S2398" s="364"/>
      <c r="Z2398" s="609" t="s">
        <v>925</v>
      </c>
      <c r="AA2398" s="609" t="s">
        <v>3451</v>
      </c>
    </row>
    <row r="2399" spans="1:27" ht="18.75" thickBot="1">
      <c r="A2399" s="2714"/>
      <c r="B2399" s="371"/>
      <c r="C2399" s="371"/>
      <c r="D2399" s="2716">
        <f t="shared" si="252"/>
        <v>1</v>
      </c>
      <c r="E2399" s="2721" t="s">
        <v>2751</v>
      </c>
      <c r="F2399" s="294"/>
      <c r="G2399" s="1529" t="s">
        <v>2752</v>
      </c>
      <c r="H2399" s="1527">
        <f>SUMPRODUCT($E2393:$E2398,H2393:H2398)</f>
        <v>0</v>
      </c>
      <c r="I2399" s="1528">
        <f>SUMPRODUCT($E2393:$E2398,I2393:I2398)</f>
        <v>0</v>
      </c>
      <c r="J2399" s="291"/>
      <c r="K2399" s="291"/>
      <c r="L2399" s="291"/>
      <c r="M2399" s="291"/>
      <c r="S2399" s="364"/>
      <c r="Z2399" s="609" t="s">
        <v>925</v>
      </c>
      <c r="AA2399" s="609" t="s">
        <v>3451</v>
      </c>
    </row>
    <row r="2400" spans="1:27" ht="18">
      <c r="A2400" s="2714"/>
      <c r="B2400" s="371"/>
      <c r="C2400" s="371" t="s">
        <v>2755</v>
      </c>
      <c r="D2400" s="371"/>
      <c r="F2400" s="294"/>
      <c r="G2400" s="301"/>
      <c r="H2400" s="315"/>
      <c r="I2400" s="315"/>
      <c r="J2400" s="291"/>
      <c r="K2400" s="291"/>
      <c r="L2400" s="291"/>
      <c r="M2400" s="291"/>
      <c r="S2400" s="364"/>
      <c r="Z2400" s="609" t="s">
        <v>925</v>
      </c>
      <c r="AA2400" s="609" t="s">
        <v>3451</v>
      </c>
    </row>
    <row r="2401" spans="1:27" ht="18">
      <c r="A2401" s="2714" t="s">
        <v>977</v>
      </c>
      <c r="B2401" s="371">
        <v>7</v>
      </c>
      <c r="C2401" s="371"/>
      <c r="D2401" s="2716" t="str">
        <f>VLOOKUP($A2401,Sheet_NoteList,2,0)</f>
        <v>外币长期应收款</v>
      </c>
      <c r="E2401" s="2716" t="s">
        <v>6531</v>
      </c>
      <c r="F2401" s="294"/>
      <c r="G2401" s="372" t="str">
        <f>"("&amp;B2401&amp;")"&amp;D2401</f>
        <v>(7)外币长期应收款</v>
      </c>
      <c r="H2401" s="1517" t="str">
        <f>$A2401</f>
        <v>1531f</v>
      </c>
      <c r="I2401" s="343" t="s">
        <v>5582</v>
      </c>
      <c r="J2401" s="301" t="s">
        <v>5583</v>
      </c>
      <c r="K2401" s="2210">
        <f>J2409</f>
        <v>0</v>
      </c>
      <c r="L2401" s="345"/>
      <c r="M2401" s="301"/>
      <c r="N2401" s="391"/>
      <c r="O2401" s="345"/>
      <c r="P2401" s="301"/>
      <c r="Q2401" s="290" t="str">
        <f>IF($I2401="不适用","",IF(ROUND(SUM($H$2404:$J$2409),2)=0,"请输入",""))</f>
        <v>请输入</v>
      </c>
      <c r="S2401" s="364"/>
      <c r="Z2401" s="609" t="s">
        <v>925</v>
      </c>
      <c r="AA2401" s="609" t="s">
        <v>3451</v>
      </c>
    </row>
    <row r="2402" spans="1:27" ht="0.75" customHeight="1" thickBot="1">
      <c r="A2402" s="2714"/>
      <c r="B2402" s="371"/>
      <c r="C2402" s="371"/>
      <c r="D2402" s="371"/>
      <c r="F2402" s="304"/>
      <c r="G2402" s="304" t="s">
        <v>3471</v>
      </c>
      <c r="H2402" s="304" t="s">
        <v>3073</v>
      </c>
      <c r="I2402" s="304" t="s">
        <v>3074</v>
      </c>
      <c r="J2402" s="304" t="s">
        <v>3075</v>
      </c>
      <c r="K2402" s="387"/>
      <c r="L2402" s="387"/>
      <c r="M2402" s="387"/>
      <c r="N2402" s="291"/>
      <c r="O2402" s="291"/>
      <c r="P2402" s="291"/>
      <c r="Q2402" s="367"/>
      <c r="R2402" s="367"/>
      <c r="S2402" s="364"/>
      <c r="Z2402" s="609" t="s">
        <v>925</v>
      </c>
      <c r="AA2402" s="609" t="s">
        <v>3451</v>
      </c>
    </row>
    <row r="2403" spans="1:27" ht="24">
      <c r="A2403" s="2714"/>
      <c r="B2403" s="371"/>
      <c r="C2403" s="371"/>
      <c r="D2403" s="371"/>
      <c r="E2403" s="2716" t="s">
        <v>2749</v>
      </c>
      <c r="F2403" s="294"/>
      <c r="G2403" s="1629" t="s">
        <v>1371</v>
      </c>
      <c r="H2403" s="1627" t="s">
        <v>3076</v>
      </c>
      <c r="I2403" s="1627" t="s">
        <v>3077</v>
      </c>
      <c r="J2403" s="1628" t="s">
        <v>3078</v>
      </c>
      <c r="K2403" s="355" t="s">
        <v>5604</v>
      </c>
      <c r="L2403" s="291"/>
      <c r="M2403" s="291"/>
      <c r="N2403" s="291"/>
      <c r="O2403" s="291"/>
      <c r="P2403" s="291"/>
      <c r="Q2403" s="367"/>
      <c r="R2403" s="367"/>
      <c r="S2403" s="364"/>
      <c r="Z2403" s="609" t="s">
        <v>925</v>
      </c>
      <c r="AA2403" s="609" t="s">
        <v>3451</v>
      </c>
    </row>
    <row r="2404" spans="1:27" ht="18">
      <c r="A2404" s="2714"/>
      <c r="B2404" s="371">
        <v>101</v>
      </c>
      <c r="C2404" s="371" t="s">
        <v>2791</v>
      </c>
      <c r="D2404" s="2716">
        <f t="shared" ref="D2404:D2409" si="253">IF(OR(G2404="*",G2404="",G2404=0),0,COUNTIF($G$2404:$G$2409,G2404))</f>
        <v>1</v>
      </c>
      <c r="E2404" s="2721">
        <v>1</v>
      </c>
      <c r="F2404" s="294"/>
      <c r="G2404" s="1626" t="s">
        <v>3079</v>
      </c>
      <c r="H2404" s="309"/>
      <c r="I2404" s="360"/>
      <c r="J2404" s="346"/>
      <c r="K2404" s="355" t="s">
        <v>5364</v>
      </c>
      <c r="L2404" s="1522" t="s">
        <v>5365</v>
      </c>
      <c r="M2404" s="291"/>
      <c r="N2404" s="291"/>
      <c r="O2404" s="291"/>
      <c r="P2404" s="291"/>
      <c r="Q2404" s="367"/>
      <c r="R2404" s="367"/>
      <c r="S2404" s="364"/>
      <c r="Z2404" s="609" t="s">
        <v>925</v>
      </c>
      <c r="AA2404" s="609" t="s">
        <v>3451</v>
      </c>
    </row>
    <row r="2405" spans="1:27" ht="18">
      <c r="A2405" s="2714"/>
      <c r="B2405" s="371">
        <v>102</v>
      </c>
      <c r="C2405" s="371" t="s">
        <v>2791</v>
      </c>
      <c r="D2405" s="2716">
        <f t="shared" si="253"/>
        <v>1</v>
      </c>
      <c r="E2405" s="2721">
        <v>1</v>
      </c>
      <c r="F2405" s="294"/>
      <c r="G2405" s="1626" t="s">
        <v>3080</v>
      </c>
      <c r="H2405" s="309"/>
      <c r="I2405" s="360"/>
      <c r="J2405" s="346"/>
      <c r="K2405" s="291"/>
      <c r="L2405" s="291"/>
      <c r="M2405" s="291"/>
      <c r="N2405" s="291"/>
      <c r="O2405" s="291"/>
      <c r="P2405" s="291"/>
      <c r="Q2405" s="367"/>
      <c r="R2405" s="367"/>
      <c r="S2405" s="364"/>
      <c r="Z2405" s="609" t="s">
        <v>925</v>
      </c>
      <c r="AA2405" s="609" t="s">
        <v>3451</v>
      </c>
    </row>
    <row r="2406" spans="1:27" ht="18">
      <c r="A2406" s="2714"/>
      <c r="B2406" s="371">
        <v>103</v>
      </c>
      <c r="C2406" s="371" t="s">
        <v>2791</v>
      </c>
      <c r="D2406" s="2716">
        <f t="shared" si="253"/>
        <v>1</v>
      </c>
      <c r="E2406" s="2721">
        <v>1</v>
      </c>
      <c r="F2406" s="294"/>
      <c r="G2406" s="1626" t="s">
        <v>3081</v>
      </c>
      <c r="H2406" s="309"/>
      <c r="I2406" s="360"/>
      <c r="J2406" s="346"/>
      <c r="K2406" s="291"/>
      <c r="L2406" s="291"/>
      <c r="M2406" s="291"/>
      <c r="N2406" s="291"/>
      <c r="O2406" s="291"/>
      <c r="P2406" s="291"/>
      <c r="Q2406" s="367"/>
      <c r="R2406" s="367"/>
      <c r="S2406" s="364"/>
      <c r="Z2406" s="609" t="s">
        <v>925</v>
      </c>
      <c r="AA2406" s="609" t="s">
        <v>3451</v>
      </c>
    </row>
    <row r="2407" spans="1:27" ht="18">
      <c r="A2407" s="2714"/>
      <c r="B2407" s="371">
        <v>104</v>
      </c>
      <c r="C2407" s="371" t="s">
        <v>2791</v>
      </c>
      <c r="D2407" s="2716">
        <f t="shared" si="253"/>
        <v>0</v>
      </c>
      <c r="E2407" s="2721">
        <v>1</v>
      </c>
      <c r="F2407" s="294"/>
      <c r="G2407" s="1626" t="s">
        <v>2792</v>
      </c>
      <c r="H2407" s="309"/>
      <c r="I2407" s="360"/>
      <c r="J2407" s="346"/>
      <c r="K2407" s="291"/>
      <c r="L2407" s="291"/>
      <c r="M2407" s="291"/>
      <c r="N2407" s="291"/>
      <c r="O2407" s="291"/>
      <c r="P2407" s="291"/>
      <c r="Q2407" s="367"/>
      <c r="R2407" s="367"/>
      <c r="S2407" s="364"/>
      <c r="Z2407" s="609" t="s">
        <v>925</v>
      </c>
      <c r="AA2407" s="609" t="s">
        <v>3451</v>
      </c>
    </row>
    <row r="2408" spans="1:27" ht="18">
      <c r="A2408" s="2714"/>
      <c r="B2408" s="371">
        <v>105</v>
      </c>
      <c r="C2408" s="371" t="s">
        <v>2791</v>
      </c>
      <c r="D2408" s="2716">
        <f t="shared" si="253"/>
        <v>0</v>
      </c>
      <c r="E2408" s="2721">
        <v>1</v>
      </c>
      <c r="F2408" s="294"/>
      <c r="G2408" s="1626" t="s">
        <v>2792</v>
      </c>
      <c r="H2408" s="309"/>
      <c r="I2408" s="360"/>
      <c r="J2408" s="346"/>
      <c r="K2408" s="291"/>
      <c r="L2408" s="291"/>
      <c r="M2408" s="291"/>
      <c r="N2408" s="291"/>
      <c r="O2408" s="291"/>
      <c r="P2408" s="291"/>
      <c r="Q2408" s="367"/>
      <c r="R2408" s="367"/>
      <c r="S2408" s="364"/>
      <c r="Z2408" s="609" t="s">
        <v>925</v>
      </c>
      <c r="AA2408" s="609" t="s">
        <v>3451</v>
      </c>
    </row>
    <row r="2409" spans="1:27" ht="18.75" thickBot="1">
      <c r="A2409" s="2714"/>
      <c r="B2409" s="371"/>
      <c r="C2409" s="371"/>
      <c r="D2409" s="2716">
        <f t="shared" si="253"/>
        <v>1</v>
      </c>
      <c r="E2409" s="2721" t="s">
        <v>2751</v>
      </c>
      <c r="F2409" s="294"/>
      <c r="G2409" s="1529" t="s">
        <v>2752</v>
      </c>
      <c r="H2409" s="1525"/>
      <c r="I2409" s="1526"/>
      <c r="J2409" s="1528">
        <f>SUMPRODUCT($E2403:$E2408,J2403:J2408)</f>
        <v>0</v>
      </c>
      <c r="K2409" s="291"/>
      <c r="L2409" s="291"/>
      <c r="M2409" s="291"/>
      <c r="N2409" s="291"/>
      <c r="O2409" s="291"/>
      <c r="P2409" s="291"/>
      <c r="Q2409" s="367"/>
      <c r="R2409" s="367"/>
      <c r="S2409" s="364"/>
      <c r="Z2409" s="609" t="s">
        <v>925</v>
      </c>
      <c r="AA2409" s="609" t="s">
        <v>3451</v>
      </c>
    </row>
    <row r="2410" spans="1:27" ht="18">
      <c r="A2410" s="2714"/>
      <c r="B2410" s="371"/>
      <c r="C2410" s="371" t="s">
        <v>2755</v>
      </c>
      <c r="D2410" s="371"/>
      <c r="F2410" s="294"/>
      <c r="G2410" s="301"/>
      <c r="H2410" s="315"/>
      <c r="I2410" s="393"/>
      <c r="J2410" s="315"/>
      <c r="K2410" s="291"/>
      <c r="L2410" s="291"/>
      <c r="M2410" s="291"/>
      <c r="N2410" s="291"/>
      <c r="O2410" s="291"/>
      <c r="P2410" s="291"/>
      <c r="Q2410" s="367"/>
      <c r="R2410" s="367"/>
      <c r="S2410" s="364"/>
      <c r="Z2410" s="609" t="s">
        <v>925</v>
      </c>
      <c r="AA2410" s="609" t="s">
        <v>3451</v>
      </c>
    </row>
    <row r="2411" spans="1:27" ht="18">
      <c r="A2411" s="2714">
        <v>1511</v>
      </c>
      <c r="B2411" s="371">
        <v>19</v>
      </c>
      <c r="C2411" s="2716" t="str">
        <f>VLOOKUP($A2411,Sheet_Items,2,0)</f>
        <v>长期股权投资</v>
      </c>
      <c r="D2411" s="371"/>
      <c r="E2411" s="2716" t="s">
        <v>2739</v>
      </c>
      <c r="F2411" s="294"/>
      <c r="G2411" s="305" t="str">
        <f>B2411&amp;" "&amp;C2411</f>
        <v>19 长期股权投资</v>
      </c>
      <c r="H2411" s="306"/>
      <c r="I2411" s="306"/>
      <c r="J2411" s="306" t="s">
        <v>2740</v>
      </c>
      <c r="K2411" s="341">
        <f>VLOOKUP($A2411,Sheet_Trialbal,6,0)</f>
        <v>0</v>
      </c>
      <c r="L2411" s="342"/>
      <c r="M2411" s="306" t="s">
        <v>2741</v>
      </c>
      <c r="N2411" s="341">
        <f>VLOOKUP($A2411,Sheet_Trialbal,10,0)</f>
        <v>0</v>
      </c>
      <c r="O2411" s="306"/>
      <c r="P2411" s="301"/>
      <c r="S2411" s="364"/>
      <c r="Z2411" s="609" t="s">
        <v>983</v>
      </c>
      <c r="AA2411" s="609" t="s">
        <v>5662</v>
      </c>
    </row>
    <row r="2412" spans="1:27" ht="18">
      <c r="A2412" s="2714" t="s">
        <v>5621</v>
      </c>
      <c r="B2412" s="371">
        <v>1</v>
      </c>
      <c r="C2412" s="371"/>
      <c r="D2412" s="2716" t="str">
        <f>VLOOKUP($A2412,Sheet_NoteList,2,0)</f>
        <v>长期股权投资情况</v>
      </c>
      <c r="E2412" s="2716" t="s">
        <v>6530</v>
      </c>
      <c r="F2412" s="293"/>
      <c r="G2412" s="372" t="str">
        <f>"("&amp;B2412&amp;")"&amp;D2412</f>
        <v>(1)长期股权投资情况</v>
      </c>
      <c r="H2412" s="1517" t="str">
        <f>$A2412</f>
        <v>1511c</v>
      </c>
      <c r="I2412" s="343" t="s">
        <v>5863</v>
      </c>
      <c r="J2412" s="301" t="s">
        <v>5864</v>
      </c>
      <c r="K2412" s="2210">
        <f>H2422</f>
        <v>0</v>
      </c>
      <c r="L2412" s="349" t="str">
        <f>IF($I2412="适用",IF(ROUND(K$2411-K2412,2)=0,"F/S",ROUND(K$2411-K2412,2)),"#N/A")</f>
        <v>F/S</v>
      </c>
      <c r="M2412" s="301" t="s">
        <v>5865</v>
      </c>
      <c r="N2412" s="2210">
        <f>I2422</f>
        <v>0</v>
      </c>
      <c r="O2412" s="349" t="str">
        <f>IF($I2412="适用",IF(ROUND(N$2411-N2412,2)=0,"F/S",ROUND(N$2411-N2412,2)),"#N/A")</f>
        <v>F/S</v>
      </c>
      <c r="P2412" s="301"/>
      <c r="S2412" s="364"/>
      <c r="Z2412" s="609" t="s">
        <v>983</v>
      </c>
      <c r="AA2412" s="609" t="s">
        <v>5662</v>
      </c>
    </row>
    <row r="2413" spans="1:27" ht="0.75" customHeight="1">
      <c r="A2413" s="2714"/>
      <c r="B2413" s="371"/>
      <c r="C2413" s="371"/>
      <c r="D2413" s="2716"/>
      <c r="F2413" s="371"/>
      <c r="G2413" s="405" t="s">
        <v>5866</v>
      </c>
      <c r="H2413" s="371" t="s">
        <v>2882</v>
      </c>
      <c r="I2413" s="371" t="s">
        <v>3365</v>
      </c>
      <c r="J2413" s="371" t="s">
        <v>3208</v>
      </c>
      <c r="K2413" s="371" t="s">
        <v>3209</v>
      </c>
      <c r="L2413" s="371" t="s">
        <v>3366</v>
      </c>
      <c r="M2413" s="371" t="s">
        <v>3211</v>
      </c>
      <c r="N2413" s="391"/>
      <c r="O2413" s="349"/>
      <c r="P2413" s="301"/>
      <c r="S2413" s="364"/>
      <c r="Z2413" s="609" t="s">
        <v>983</v>
      </c>
      <c r="AA2413" s="609" t="s">
        <v>5662</v>
      </c>
    </row>
    <row r="2414" spans="1:27" ht="0.75" customHeight="1" thickBot="1">
      <c r="A2414" s="2714"/>
      <c r="B2414" s="371"/>
      <c r="C2414" s="371"/>
      <c r="D2414" s="2716"/>
      <c r="F2414" s="371"/>
      <c r="G2414" s="405"/>
      <c r="H2414" s="371" t="s">
        <v>2855</v>
      </c>
      <c r="I2414" s="371" t="s">
        <v>3096</v>
      </c>
      <c r="J2414" s="371" t="s">
        <v>2857</v>
      </c>
      <c r="K2414" s="371" t="s">
        <v>3213</v>
      </c>
      <c r="L2414" s="371" t="s">
        <v>3367</v>
      </c>
      <c r="M2414" s="371" t="s">
        <v>3215</v>
      </c>
      <c r="N2414" s="391"/>
      <c r="O2414" s="349"/>
      <c r="P2414" s="301"/>
      <c r="S2414" s="364"/>
      <c r="Z2414" s="609" t="s">
        <v>983</v>
      </c>
      <c r="AA2414" s="609" t="s">
        <v>5662</v>
      </c>
    </row>
    <row r="2415" spans="1:27" ht="18" customHeight="1">
      <c r="A2415" s="2714"/>
      <c r="B2415" s="371"/>
      <c r="C2415" s="371"/>
      <c r="D2415" s="2716"/>
      <c r="E2415" s="2716" t="s">
        <v>2749</v>
      </c>
      <c r="F2415" s="293"/>
      <c r="G2415" s="3550" t="s">
        <v>47</v>
      </c>
      <c r="H2415" s="3547" t="str">
        <f>$V$2</f>
        <v>2019年12月31日</v>
      </c>
      <c r="I2415" s="3548"/>
      <c r="J2415" s="3549"/>
      <c r="K2415" s="3547" t="str">
        <f>$V$3</f>
        <v>2018年12月31日</v>
      </c>
      <c r="L2415" s="3548"/>
      <c r="M2415" s="3548"/>
      <c r="N2415" s="355" t="s">
        <v>6176</v>
      </c>
      <c r="O2415" s="349"/>
      <c r="P2415" s="301"/>
      <c r="S2415" s="364"/>
      <c r="Z2415" s="609" t="s">
        <v>983</v>
      </c>
      <c r="AA2415" s="609" t="s">
        <v>5662</v>
      </c>
    </row>
    <row r="2416" spans="1:27" ht="18">
      <c r="A2416" s="2714"/>
      <c r="B2416" s="371"/>
      <c r="C2416" s="371"/>
      <c r="D2416" s="2716"/>
      <c r="E2416" s="2716" t="s">
        <v>2749</v>
      </c>
      <c r="F2416" s="293"/>
      <c r="G2416" s="3551"/>
      <c r="H2416" s="2189" t="s">
        <v>2861</v>
      </c>
      <c r="I2416" s="2189" t="s">
        <v>3097</v>
      </c>
      <c r="J2416" s="2189" t="s">
        <v>2863</v>
      </c>
      <c r="K2416" s="2189" t="s">
        <v>2861</v>
      </c>
      <c r="L2416" s="2189" t="s">
        <v>3097</v>
      </c>
      <c r="M2416" s="1524" t="s">
        <v>2863</v>
      </c>
      <c r="N2416" s="391"/>
      <c r="O2416" s="349"/>
      <c r="P2416" s="301"/>
      <c r="S2416" s="364"/>
      <c r="Z2416" s="609" t="s">
        <v>983</v>
      </c>
      <c r="AA2416" s="609" t="s">
        <v>5662</v>
      </c>
    </row>
    <row r="2417" spans="1:29" ht="18">
      <c r="A2417" s="2714"/>
      <c r="B2417" s="371">
        <v>101</v>
      </c>
      <c r="C2417" s="371"/>
      <c r="D2417" s="2716">
        <f t="shared" ref="D2417:D2422" si="254">IF(OR(G2417="*",G2417="",G2417=0),0,COUNTIF($G$2417:$G$2422,G2417))</f>
        <v>1</v>
      </c>
      <c r="E2417" s="2721">
        <v>1</v>
      </c>
      <c r="F2417" s="293"/>
      <c r="G2417" s="1474" t="s">
        <v>5867</v>
      </c>
      <c r="H2417" s="1577"/>
      <c r="I2417" s="422"/>
      <c r="J2417" s="1476">
        <f>H2417-I2417</f>
        <v>0</v>
      </c>
      <c r="K2417" s="320"/>
      <c r="L2417" s="309"/>
      <c r="M2417" s="1477">
        <f>K2417-L2417</f>
        <v>0</v>
      </c>
      <c r="N2417" s="391"/>
      <c r="O2417" s="349"/>
      <c r="P2417" s="301"/>
      <c r="S2417" s="364"/>
      <c r="Z2417" s="609" t="s">
        <v>983</v>
      </c>
      <c r="AA2417" s="609" t="s">
        <v>5662</v>
      </c>
    </row>
    <row r="2418" spans="1:29" ht="18">
      <c r="A2418" s="2714"/>
      <c r="B2418" s="371">
        <v>102</v>
      </c>
      <c r="C2418" s="371" t="s">
        <v>2791</v>
      </c>
      <c r="D2418" s="2716">
        <f t="shared" si="254"/>
        <v>1</v>
      </c>
      <c r="E2418" s="2721">
        <v>1</v>
      </c>
      <c r="F2418" s="293"/>
      <c r="G2418" s="2631" t="s">
        <v>6356</v>
      </c>
      <c r="H2418" s="1577"/>
      <c r="I2418" s="422"/>
      <c r="J2418" s="1476">
        <f>H2418-I2418</f>
        <v>0</v>
      </c>
      <c r="K2418" s="320"/>
      <c r="L2418" s="309"/>
      <c r="M2418" s="1477">
        <f>K2418-L2418</f>
        <v>0</v>
      </c>
      <c r="N2418" s="391"/>
      <c r="O2418" s="349"/>
      <c r="P2418" s="301"/>
      <c r="S2418" s="364"/>
      <c r="Z2418" s="609" t="s">
        <v>983</v>
      </c>
      <c r="AA2418" s="609" t="s">
        <v>5662</v>
      </c>
    </row>
    <row r="2419" spans="1:29" ht="18">
      <c r="A2419" s="2714"/>
      <c r="B2419" s="371">
        <v>103</v>
      </c>
      <c r="C2419" s="371" t="s">
        <v>2791</v>
      </c>
      <c r="D2419" s="2716">
        <f t="shared" si="254"/>
        <v>0</v>
      </c>
      <c r="E2419" s="2721">
        <v>1</v>
      </c>
      <c r="F2419" s="293"/>
      <c r="G2419" s="2190" t="s">
        <v>2792</v>
      </c>
      <c r="H2419" s="1577"/>
      <c r="I2419" s="422"/>
      <c r="J2419" s="309"/>
      <c r="K2419" s="320"/>
      <c r="L2419" s="309"/>
      <c r="M2419" s="346"/>
      <c r="N2419" s="391"/>
      <c r="O2419" s="349"/>
      <c r="P2419" s="301"/>
      <c r="S2419" s="364"/>
      <c r="Z2419" s="609" t="s">
        <v>983</v>
      </c>
      <c r="AA2419" s="609" t="s">
        <v>5662</v>
      </c>
    </row>
    <row r="2420" spans="1:29" ht="18">
      <c r="A2420" s="2714"/>
      <c r="B2420" s="371">
        <v>104</v>
      </c>
      <c r="C2420" s="371" t="s">
        <v>2791</v>
      </c>
      <c r="D2420" s="2716">
        <f t="shared" si="254"/>
        <v>0</v>
      </c>
      <c r="E2420" s="2721">
        <v>1</v>
      </c>
      <c r="F2420" s="293"/>
      <c r="G2420" s="2190" t="s">
        <v>2792</v>
      </c>
      <c r="H2420" s="1577"/>
      <c r="I2420" s="422"/>
      <c r="J2420" s="309"/>
      <c r="K2420" s="320"/>
      <c r="L2420" s="309"/>
      <c r="M2420" s="346"/>
      <c r="N2420" s="391"/>
      <c r="O2420" s="349"/>
      <c r="P2420" s="301"/>
      <c r="S2420" s="364"/>
      <c r="Z2420" s="609" t="s">
        <v>983</v>
      </c>
      <c r="AA2420" s="609" t="s">
        <v>5662</v>
      </c>
    </row>
    <row r="2421" spans="1:29" ht="18">
      <c r="A2421" s="2714"/>
      <c r="B2421" s="371">
        <v>105</v>
      </c>
      <c r="C2421" s="371" t="s">
        <v>2791</v>
      </c>
      <c r="D2421" s="2716">
        <f t="shared" si="254"/>
        <v>0</v>
      </c>
      <c r="E2421" s="2721">
        <v>1</v>
      </c>
      <c r="F2421" s="293"/>
      <c r="G2421" s="2190" t="s">
        <v>2792</v>
      </c>
      <c r="H2421" s="1577"/>
      <c r="I2421" s="422"/>
      <c r="J2421" s="309"/>
      <c r="K2421" s="320"/>
      <c r="L2421" s="309"/>
      <c r="M2421" s="346"/>
      <c r="N2421" s="391"/>
      <c r="O2421" s="349"/>
      <c r="P2421" s="301"/>
      <c r="S2421" s="364"/>
      <c r="Z2421" s="609" t="s">
        <v>983</v>
      </c>
      <c r="AA2421" s="609" t="s">
        <v>5662</v>
      </c>
    </row>
    <row r="2422" spans="1:29" ht="18.75" thickBot="1">
      <c r="A2422" s="2714"/>
      <c r="B2422" s="371"/>
      <c r="C2422" s="371"/>
      <c r="D2422" s="2716">
        <f t="shared" si="254"/>
        <v>1</v>
      </c>
      <c r="E2422" s="2721" t="s">
        <v>2751</v>
      </c>
      <c r="F2422" s="293"/>
      <c r="G2422" s="1529" t="s">
        <v>2752</v>
      </c>
      <c r="H2422" s="1527">
        <f t="shared" ref="H2422:M2422" si="255">SUMPRODUCT($E2416:$E2421,H2416:H2421)</f>
        <v>0</v>
      </c>
      <c r="I2422" s="1527">
        <f t="shared" si="255"/>
        <v>0</v>
      </c>
      <c r="J2422" s="1527">
        <f t="shared" si="255"/>
        <v>0</v>
      </c>
      <c r="K2422" s="1527">
        <f t="shared" si="255"/>
        <v>0</v>
      </c>
      <c r="L2422" s="1527">
        <f t="shared" si="255"/>
        <v>0</v>
      </c>
      <c r="M2422" s="1528">
        <f t="shared" si="255"/>
        <v>0</v>
      </c>
      <c r="N2422" s="1533" t="str">
        <f ca="1">HYPERLINK("#'"&amp;$G$1&amp;"'!"&amp;ADDRESS(ROW(Notes!H2457),COLUMN(Notes!H2457),4),"* 请勿删除此行！点击往勾稽单元格，F5+Enter返回")</f>
        <v>* 请勿删除此行！点击往勾稽单元格，F5+Enter返回</v>
      </c>
      <c r="O2422" s="349"/>
      <c r="P2422" s="301"/>
      <c r="S2422" s="364"/>
      <c r="Z2422" s="609" t="s">
        <v>983</v>
      </c>
      <c r="AA2422" s="609" t="s">
        <v>5662</v>
      </c>
      <c r="AC2422" s="369" t="s">
        <v>6573</v>
      </c>
    </row>
    <row r="2423" spans="1:29" ht="18.75" thickBot="1">
      <c r="A2423" s="2714"/>
      <c r="B2423" s="371"/>
      <c r="C2423" s="371" t="s">
        <v>2755</v>
      </c>
      <c r="D2423" s="2716"/>
      <c r="F2423" s="293"/>
      <c r="G2423" s="376"/>
      <c r="H2423" s="1576"/>
      <c r="I2423" s="2253" t="s">
        <v>3002</v>
      </c>
      <c r="J2423" s="527" t="s">
        <v>3002</v>
      </c>
      <c r="K2423" s="423"/>
      <c r="L2423" s="315"/>
      <c r="M2423" s="527" t="s">
        <v>3002</v>
      </c>
      <c r="N2423" s="391"/>
      <c r="O2423" s="349"/>
      <c r="P2423" s="301"/>
      <c r="S2423" s="364"/>
      <c r="Z2423" s="609" t="s">
        <v>983</v>
      </c>
      <c r="AA2423" s="609" t="s">
        <v>5662</v>
      </c>
    </row>
    <row r="2424" spans="1:29" ht="18.75" thickTop="1">
      <c r="A2424" s="2714"/>
      <c r="B2424" s="371"/>
      <c r="C2424" s="371" t="s">
        <v>2565</v>
      </c>
      <c r="D2424" s="2716"/>
      <c r="F2424" s="293"/>
      <c r="G2424" s="1549" t="s">
        <v>5367</v>
      </c>
      <c r="H2424" s="1550" t="str">
        <f>G2463</f>
        <v>(3)长期股权投资——对联营、合营企业投资明细</v>
      </c>
      <c r="I2424" s="1552"/>
      <c r="J2424" s="1552"/>
      <c r="K2424" s="1551"/>
      <c r="L2424" s="1551"/>
      <c r="M2424" s="1552"/>
      <c r="N2424" s="1553" t="s">
        <v>5368</v>
      </c>
      <c r="O2424" s="349"/>
      <c r="P2424" s="301"/>
      <c r="S2424" s="364"/>
      <c r="Z2424" s="609" t="s">
        <v>983</v>
      </c>
      <c r="AA2424" s="609" t="s">
        <v>5662</v>
      </c>
    </row>
    <row r="2425" spans="1:29" ht="18">
      <c r="A2425" s="2714"/>
      <c r="B2425" s="371"/>
      <c r="C2425" s="371" t="s">
        <v>2565</v>
      </c>
      <c r="D2425" s="2716"/>
      <c r="F2425" s="293"/>
      <c r="G2425" s="604" t="str">
        <f>"注释A:"&amp; G2494</f>
        <v>注释A:合       计</v>
      </c>
      <c r="H2425" s="351"/>
      <c r="I2425" s="2252">
        <f ca="1">HYPERLINK("#'"&amp;$G$1&amp;"'!"&amp;ADDRESS(ROW(Notes!R2494),COLUMN(Notes!R2494),4),R2494)</f>
        <v>0</v>
      </c>
      <c r="J2425" s="2252">
        <f ca="1">HYPERLINK("#'"&amp;$G$1&amp;"'!"&amp;ADDRESS(ROW(Notes!Q2494),COLUMN(Notes!Q2494),4),Q2494)</f>
        <v>0</v>
      </c>
      <c r="K2425" s="351"/>
      <c r="L2425" s="351"/>
      <c r="M2425" s="2252">
        <f ca="1">HYPERLINK("#'"&amp;$G$1&amp;"'!"&amp;ADDRESS(ROW(Notes!H2494),COLUMN(Notes!H2494),4),H2494)</f>
        <v>0</v>
      </c>
      <c r="N2425" s="2632" t="str">
        <f>H2463</f>
        <v>1511b</v>
      </c>
      <c r="O2425" s="349"/>
      <c r="P2425" s="301"/>
      <c r="S2425" s="364"/>
      <c r="Z2425" s="609" t="s">
        <v>983</v>
      </c>
      <c r="AA2425" s="609" t="s">
        <v>5662</v>
      </c>
    </row>
    <row r="2426" spans="1:29" ht="24">
      <c r="A2426" s="2714"/>
      <c r="B2426" s="371"/>
      <c r="C2426" s="371" t="s">
        <v>2565</v>
      </c>
      <c r="D2426" s="2716"/>
      <c r="F2426" s="293"/>
      <c r="G2426" s="604" t="str">
        <f>"本注释B:"&amp; G2418</f>
        <v>本注释B:对联营、合营企业投资</v>
      </c>
      <c r="H2426" s="351"/>
      <c r="I2426" s="456">
        <f>I2422</f>
        <v>0</v>
      </c>
      <c r="J2426" s="456">
        <f>J2422</f>
        <v>0</v>
      </c>
      <c r="K2426" s="351"/>
      <c r="L2426" s="351"/>
      <c r="M2426" s="456">
        <f>M2422</f>
        <v>0</v>
      </c>
      <c r="N2426" s="2638" t="s">
        <v>5621</v>
      </c>
      <c r="O2426" s="349"/>
      <c r="P2426" s="301"/>
      <c r="S2426" s="364"/>
      <c r="Z2426" s="609" t="s">
        <v>983</v>
      </c>
      <c r="AA2426" s="609" t="s">
        <v>5662</v>
      </c>
    </row>
    <row r="2427" spans="1:29" ht="18.75" thickBot="1">
      <c r="A2427" s="2714"/>
      <c r="B2427" s="371"/>
      <c r="C2427" s="371" t="s">
        <v>2565</v>
      </c>
      <c r="D2427" s="2716"/>
      <c r="F2427" s="293"/>
      <c r="G2427" s="1554" t="s">
        <v>2757</v>
      </c>
      <c r="H2427" s="1555"/>
      <c r="I2427" s="1531">
        <f ca="1">IF(AND(I2425="",I2426=""),"",ROUND(I2425-I2426,2))</f>
        <v>0</v>
      </c>
      <c r="J2427" s="1531">
        <f ca="1">IF(AND(J2425="",J2426=""),"",ROUND(J2425-J2426,2))</f>
        <v>0</v>
      </c>
      <c r="K2427" s="1555"/>
      <c r="L2427" s="1555"/>
      <c r="M2427" s="1531">
        <f ca="1">IF(AND(M2425="",M2426=""),"",ROUND(M2425-M2426,2))</f>
        <v>0</v>
      </c>
      <c r="N2427" s="1555"/>
      <c r="O2427" s="349"/>
      <c r="P2427" s="301"/>
      <c r="S2427" s="364"/>
      <c r="Z2427" s="609" t="s">
        <v>983</v>
      </c>
      <c r="AA2427" s="609" t="s">
        <v>5662</v>
      </c>
    </row>
    <row r="2428" spans="1:29" ht="18.75" thickTop="1">
      <c r="A2428" s="2714"/>
      <c r="B2428" s="371"/>
      <c r="C2428" s="371" t="s">
        <v>2565</v>
      </c>
      <c r="D2428" s="2716"/>
      <c r="F2428" s="293"/>
      <c r="G2428" s="1545"/>
      <c r="H2428" s="317"/>
      <c r="I2428" s="459" t="str">
        <f ca="1">IF(OR(I2427=0,I2427=""),"√","？")</f>
        <v>√</v>
      </c>
      <c r="J2428" s="459" t="str">
        <f ca="1">IF(OR(J2427=0,J2427=""),"√","？")</f>
        <v>√</v>
      </c>
      <c r="K2428" s="317"/>
      <c r="L2428" s="317"/>
      <c r="M2428" s="459" t="str">
        <f ca="1">IF(OR(M2427=0,M2427=""),"√","？")</f>
        <v>√</v>
      </c>
      <c r="N2428" s="317"/>
      <c r="O2428" s="349"/>
      <c r="P2428" s="301"/>
      <c r="S2428" s="364"/>
      <c r="Z2428" s="609" t="s">
        <v>983</v>
      </c>
      <c r="AA2428" s="609" t="s">
        <v>5662</v>
      </c>
    </row>
    <row r="2429" spans="1:29" ht="18">
      <c r="A2429" s="2714"/>
      <c r="B2429" s="371"/>
      <c r="C2429" s="371" t="s">
        <v>2565</v>
      </c>
      <c r="D2429" s="2716"/>
      <c r="F2429" s="293"/>
      <c r="G2429" s="1559" t="s">
        <v>2759</v>
      </c>
      <c r="H2429" s="317"/>
      <c r="I2429" s="461"/>
      <c r="J2429" s="461"/>
      <c r="K2429" s="352">
        <f ca="1">SUMIF($H$2428:$N$2428,"&lt;&gt;√",$H$2427:$N$2427)</f>
        <v>0</v>
      </c>
      <c r="L2429" s="353" t="str">
        <f ca="1">IF(OR(K2429=0,K2429=""),"√","？")</f>
        <v>√</v>
      </c>
      <c r="M2429" s="461"/>
      <c r="N2429" s="317"/>
      <c r="O2429" s="349"/>
      <c r="P2429" s="301"/>
      <c r="S2429" s="364"/>
      <c r="Z2429" s="609" t="s">
        <v>983</v>
      </c>
      <c r="AA2429" s="609" t="s">
        <v>5662</v>
      </c>
    </row>
    <row r="2430" spans="1:29" ht="18">
      <c r="A2430" s="2714"/>
      <c r="B2430" s="371"/>
      <c r="C2430" s="371" t="s">
        <v>2565</v>
      </c>
      <c r="D2430" s="2716"/>
      <c r="F2430" s="293"/>
      <c r="G2430" s="1545"/>
      <c r="H2430" s="317"/>
      <c r="I2430" s="461"/>
      <c r="J2430" s="461"/>
      <c r="K2430" s="317"/>
      <c r="L2430" s="317"/>
      <c r="M2430" s="461"/>
      <c r="N2430" s="317"/>
      <c r="O2430" s="349"/>
      <c r="P2430" s="301"/>
      <c r="S2430" s="364"/>
      <c r="Z2430" s="609" t="s">
        <v>983</v>
      </c>
      <c r="AA2430" s="609" t="s">
        <v>5662</v>
      </c>
    </row>
    <row r="2431" spans="1:29" ht="24">
      <c r="A2431" s="2714" t="s">
        <v>5622</v>
      </c>
      <c r="B2431" s="371">
        <v>2</v>
      </c>
      <c r="C2431" s="371"/>
      <c r="D2431" s="2716" t="str">
        <f>VLOOKUP($A2431,Sheet_NoteList,2,0)</f>
        <v>长期股权投资——对子公司投资明细</v>
      </c>
      <c r="E2431" s="2716" t="s">
        <v>6533</v>
      </c>
      <c r="F2431" s="293"/>
      <c r="G2431" s="372" t="str">
        <f>"("&amp;B2431&amp;")"&amp;D2431</f>
        <v>(2)长期股权投资——对子公司投资明细</v>
      </c>
      <c r="H2431" s="1517" t="str">
        <f>$A2431</f>
        <v>1511d</v>
      </c>
      <c r="I2431" s="343" t="s">
        <v>5124</v>
      </c>
      <c r="J2431" s="301" t="s">
        <v>5122</v>
      </c>
      <c r="K2431" s="2210">
        <f>H2454</f>
        <v>0</v>
      </c>
      <c r="L2431" s="349" t="str">
        <f>IF($I2431="适用",IF(ROUND(K$2411-K2431,2)=0,"F/S",ROUND(K$2411-K2431,2)),"#N/A")</f>
        <v>F/S</v>
      </c>
      <c r="M2431" s="301" t="s">
        <v>5123</v>
      </c>
      <c r="N2431" s="2210">
        <f>I2454</f>
        <v>0</v>
      </c>
      <c r="O2431" s="349" t="str">
        <f>IF($I2431="适用",IF(ROUND(N$2411-N2431,2)=0,"F/S",ROUND(N$2411-N2431,2)),"#N/A")</f>
        <v>F/S</v>
      </c>
      <c r="P2431" s="301"/>
      <c r="S2431" s="364"/>
      <c r="Z2431" s="609" t="s">
        <v>983</v>
      </c>
      <c r="AA2431" s="609" t="s">
        <v>5662</v>
      </c>
    </row>
    <row r="2432" spans="1:29" ht="0.75" customHeight="1" thickBot="1">
      <c r="A2432" s="2714"/>
      <c r="B2432" s="371"/>
      <c r="C2432" s="371"/>
      <c r="D2432" s="2716"/>
      <c r="F2432" s="371"/>
      <c r="G2432" s="405" t="s">
        <v>5868</v>
      </c>
      <c r="H2432" s="1617" t="s">
        <v>6331</v>
      </c>
      <c r="I2432" s="371" t="s">
        <v>6341</v>
      </c>
      <c r="J2432" s="371" t="s">
        <v>6342</v>
      </c>
      <c r="K2432" s="547" t="s">
        <v>6334</v>
      </c>
      <c r="L2432" s="547" t="s">
        <v>6343</v>
      </c>
      <c r="M2432" s="371" t="s">
        <v>6344</v>
      </c>
      <c r="N2432" s="391"/>
      <c r="O2432" s="349"/>
      <c r="P2432" s="301"/>
      <c r="S2432" s="364"/>
      <c r="Z2432" s="609" t="s">
        <v>983</v>
      </c>
      <c r="AA2432" s="609" t="s">
        <v>5662</v>
      </c>
    </row>
    <row r="2433" spans="1:27" ht="24">
      <c r="A2433" s="2714"/>
      <c r="B2433" s="371"/>
      <c r="C2433" s="371"/>
      <c r="D2433" s="2716"/>
      <c r="E2433" s="2716" t="s">
        <v>2749</v>
      </c>
      <c r="F2433" s="293"/>
      <c r="G2433" s="1635" t="s">
        <v>3376</v>
      </c>
      <c r="H2433" s="2191" t="str">
        <f>$V$3</f>
        <v>2018年12月31日</v>
      </c>
      <c r="I2433" s="2191" t="s">
        <v>5871</v>
      </c>
      <c r="J2433" s="2191" t="s">
        <v>5872</v>
      </c>
      <c r="K2433" s="2191" t="str">
        <f>$V$2</f>
        <v>2019年12月31日</v>
      </c>
      <c r="L2433" s="2191" t="s">
        <v>5869</v>
      </c>
      <c r="M2433" s="2192" t="s">
        <v>5870</v>
      </c>
      <c r="N2433" s="355" t="s">
        <v>6176</v>
      </c>
      <c r="O2433" s="349"/>
      <c r="P2433" s="301"/>
      <c r="S2433" s="364"/>
      <c r="Z2433" s="609" t="s">
        <v>983</v>
      </c>
      <c r="AA2433" s="609" t="s">
        <v>5662</v>
      </c>
    </row>
    <row r="2434" spans="1:27" ht="18">
      <c r="A2434" s="2714"/>
      <c r="B2434" s="371">
        <v>101</v>
      </c>
      <c r="C2434" s="371" t="s">
        <v>2791</v>
      </c>
      <c r="D2434" s="2716">
        <f t="shared" ref="D2434:D2454" si="256">IF(OR(G2434="*",G2434="",G2434=0),0,COUNTIF($G$2434:$G$2454,G2434))</f>
        <v>0</v>
      </c>
      <c r="E2434" s="2721">
        <v>1</v>
      </c>
      <c r="F2434" s="293"/>
      <c r="G2434" s="2190" t="s">
        <v>2792</v>
      </c>
      <c r="H2434" s="1577"/>
      <c r="I2434" s="422"/>
      <c r="J2434" s="309"/>
      <c r="K2434" s="1476">
        <f>H2434+I2434-J2434</f>
        <v>0</v>
      </c>
      <c r="L2434" s="309"/>
      <c r="M2434" s="346"/>
      <c r="N2434" s="391"/>
      <c r="O2434" s="349"/>
      <c r="P2434" s="301"/>
      <c r="S2434" s="364"/>
      <c r="Z2434" s="609" t="s">
        <v>983</v>
      </c>
      <c r="AA2434" s="609" t="s">
        <v>5662</v>
      </c>
    </row>
    <row r="2435" spans="1:27" ht="18">
      <c r="A2435" s="2714"/>
      <c r="B2435" s="371">
        <v>102</v>
      </c>
      <c r="C2435" s="371" t="s">
        <v>2791</v>
      </c>
      <c r="D2435" s="2716">
        <f t="shared" si="256"/>
        <v>0</v>
      </c>
      <c r="E2435" s="2721">
        <v>1</v>
      </c>
      <c r="F2435" s="293"/>
      <c r="G2435" s="2190" t="s">
        <v>2792</v>
      </c>
      <c r="H2435" s="1577"/>
      <c r="I2435" s="422"/>
      <c r="J2435" s="309"/>
      <c r="K2435" s="1476">
        <f t="shared" ref="K2435:K2453" si="257">H2435+I2435-J2435</f>
        <v>0</v>
      </c>
      <c r="L2435" s="309"/>
      <c r="M2435" s="346"/>
      <c r="N2435" s="391"/>
      <c r="O2435" s="349"/>
      <c r="P2435" s="301"/>
      <c r="S2435" s="364"/>
      <c r="Z2435" s="609" t="s">
        <v>983</v>
      </c>
      <c r="AA2435" s="609" t="s">
        <v>5662</v>
      </c>
    </row>
    <row r="2436" spans="1:27" ht="18">
      <c r="A2436" s="2714"/>
      <c r="B2436" s="371">
        <v>103</v>
      </c>
      <c r="C2436" s="371" t="s">
        <v>2791</v>
      </c>
      <c r="D2436" s="2716">
        <f t="shared" si="256"/>
        <v>0</v>
      </c>
      <c r="E2436" s="2721">
        <v>1</v>
      </c>
      <c r="F2436" s="293"/>
      <c r="G2436" s="2190" t="s">
        <v>2792</v>
      </c>
      <c r="H2436" s="1577"/>
      <c r="I2436" s="422"/>
      <c r="J2436" s="309"/>
      <c r="K2436" s="1476">
        <f t="shared" si="257"/>
        <v>0</v>
      </c>
      <c r="L2436" s="309"/>
      <c r="M2436" s="346"/>
      <c r="N2436" s="391"/>
      <c r="O2436" s="349"/>
      <c r="P2436" s="301"/>
      <c r="S2436" s="364"/>
      <c r="Z2436" s="609" t="s">
        <v>983</v>
      </c>
      <c r="AA2436" s="609" t="s">
        <v>5662</v>
      </c>
    </row>
    <row r="2437" spans="1:27" ht="18">
      <c r="A2437" s="2714"/>
      <c r="B2437" s="371">
        <v>104</v>
      </c>
      <c r="C2437" s="371" t="s">
        <v>2791</v>
      </c>
      <c r="D2437" s="2716">
        <f t="shared" si="256"/>
        <v>0</v>
      </c>
      <c r="E2437" s="2721">
        <v>1</v>
      </c>
      <c r="F2437" s="293"/>
      <c r="G2437" s="2190" t="s">
        <v>2792</v>
      </c>
      <c r="H2437" s="1577"/>
      <c r="I2437" s="422"/>
      <c r="J2437" s="309"/>
      <c r="K2437" s="1476">
        <f t="shared" si="257"/>
        <v>0</v>
      </c>
      <c r="L2437" s="309"/>
      <c r="M2437" s="346"/>
      <c r="N2437" s="391"/>
      <c r="O2437" s="349"/>
      <c r="P2437" s="301"/>
      <c r="S2437" s="364"/>
      <c r="Z2437" s="609" t="s">
        <v>983</v>
      </c>
      <c r="AA2437" s="609" t="s">
        <v>5662</v>
      </c>
    </row>
    <row r="2438" spans="1:27" ht="18">
      <c r="A2438" s="2714"/>
      <c r="B2438" s="371">
        <v>105</v>
      </c>
      <c r="C2438" s="371" t="s">
        <v>2791</v>
      </c>
      <c r="D2438" s="2716">
        <f t="shared" si="256"/>
        <v>0</v>
      </c>
      <c r="E2438" s="2721">
        <v>1</v>
      </c>
      <c r="F2438" s="293"/>
      <c r="G2438" s="2190" t="s">
        <v>2792</v>
      </c>
      <c r="H2438" s="1577"/>
      <c r="I2438" s="422"/>
      <c r="J2438" s="309"/>
      <c r="K2438" s="1476">
        <f t="shared" si="257"/>
        <v>0</v>
      </c>
      <c r="L2438" s="309"/>
      <c r="M2438" s="346"/>
      <c r="N2438" s="391"/>
      <c r="O2438" s="349"/>
      <c r="P2438" s="301"/>
      <c r="S2438" s="364"/>
      <c r="Z2438" s="609" t="s">
        <v>983</v>
      </c>
      <c r="AA2438" s="609" t="s">
        <v>5662</v>
      </c>
    </row>
    <row r="2439" spans="1:27" ht="18">
      <c r="A2439" s="2714"/>
      <c r="B2439" s="371">
        <v>106</v>
      </c>
      <c r="C2439" s="371" t="s">
        <v>2791</v>
      </c>
      <c r="D2439" s="2716">
        <f t="shared" si="256"/>
        <v>0</v>
      </c>
      <c r="E2439" s="2721">
        <v>1</v>
      </c>
      <c r="F2439" s="293"/>
      <c r="G2439" s="2190" t="s">
        <v>2792</v>
      </c>
      <c r="H2439" s="1577"/>
      <c r="I2439" s="422"/>
      <c r="J2439" s="309"/>
      <c r="K2439" s="1476">
        <f t="shared" si="257"/>
        <v>0</v>
      </c>
      <c r="L2439" s="309"/>
      <c r="M2439" s="346"/>
      <c r="N2439" s="391"/>
      <c r="O2439" s="349"/>
      <c r="P2439" s="301"/>
      <c r="S2439" s="364"/>
      <c r="Z2439" s="609" t="s">
        <v>983</v>
      </c>
      <c r="AA2439" s="609" t="s">
        <v>5662</v>
      </c>
    </row>
    <row r="2440" spans="1:27" ht="18">
      <c r="A2440" s="2714"/>
      <c r="B2440" s="371">
        <v>107</v>
      </c>
      <c r="C2440" s="371" t="s">
        <v>2791</v>
      </c>
      <c r="D2440" s="2716">
        <f t="shared" si="256"/>
        <v>0</v>
      </c>
      <c r="E2440" s="2721">
        <v>1</v>
      </c>
      <c r="F2440" s="293"/>
      <c r="G2440" s="2190" t="s">
        <v>2792</v>
      </c>
      <c r="H2440" s="1577"/>
      <c r="I2440" s="422"/>
      <c r="J2440" s="309"/>
      <c r="K2440" s="1476">
        <f t="shared" si="257"/>
        <v>0</v>
      </c>
      <c r="L2440" s="309"/>
      <c r="M2440" s="346"/>
      <c r="N2440" s="391"/>
      <c r="O2440" s="349"/>
      <c r="P2440" s="301"/>
      <c r="S2440" s="364"/>
      <c r="Z2440" s="609" t="s">
        <v>983</v>
      </c>
      <c r="AA2440" s="609" t="s">
        <v>5662</v>
      </c>
    </row>
    <row r="2441" spans="1:27" ht="18">
      <c r="A2441" s="2714"/>
      <c r="B2441" s="371">
        <v>108</v>
      </c>
      <c r="C2441" s="371" t="s">
        <v>2791</v>
      </c>
      <c r="D2441" s="2716">
        <f t="shared" si="256"/>
        <v>0</v>
      </c>
      <c r="E2441" s="2721">
        <v>1</v>
      </c>
      <c r="F2441" s="293"/>
      <c r="G2441" s="2190" t="s">
        <v>2792</v>
      </c>
      <c r="H2441" s="1577"/>
      <c r="I2441" s="422"/>
      <c r="J2441" s="309"/>
      <c r="K2441" s="1476">
        <f t="shared" si="257"/>
        <v>0</v>
      </c>
      <c r="L2441" s="309"/>
      <c r="M2441" s="346"/>
      <c r="N2441" s="391"/>
      <c r="O2441" s="349"/>
      <c r="P2441" s="301"/>
      <c r="S2441" s="364"/>
      <c r="Z2441" s="609" t="s">
        <v>983</v>
      </c>
      <c r="AA2441" s="609" t="s">
        <v>5662</v>
      </c>
    </row>
    <row r="2442" spans="1:27" ht="18">
      <c r="A2442" s="2714"/>
      <c r="B2442" s="371">
        <v>109</v>
      </c>
      <c r="C2442" s="371" t="s">
        <v>2791</v>
      </c>
      <c r="D2442" s="2716">
        <f t="shared" si="256"/>
        <v>0</v>
      </c>
      <c r="E2442" s="2721">
        <v>1</v>
      </c>
      <c r="F2442" s="293"/>
      <c r="G2442" s="2190" t="s">
        <v>2792</v>
      </c>
      <c r="H2442" s="1577"/>
      <c r="I2442" s="422"/>
      <c r="J2442" s="309"/>
      <c r="K2442" s="1476">
        <f t="shared" si="257"/>
        <v>0</v>
      </c>
      <c r="L2442" s="309"/>
      <c r="M2442" s="346"/>
      <c r="N2442" s="391"/>
      <c r="O2442" s="349"/>
      <c r="P2442" s="301"/>
      <c r="S2442" s="364"/>
      <c r="Z2442" s="609" t="s">
        <v>983</v>
      </c>
      <c r="AA2442" s="609" t="s">
        <v>5662</v>
      </c>
    </row>
    <row r="2443" spans="1:27" ht="18">
      <c r="A2443" s="2714"/>
      <c r="B2443" s="371">
        <v>110</v>
      </c>
      <c r="C2443" s="371" t="s">
        <v>2791</v>
      </c>
      <c r="D2443" s="2716">
        <f t="shared" si="256"/>
        <v>0</v>
      </c>
      <c r="E2443" s="2721">
        <v>1</v>
      </c>
      <c r="F2443" s="293"/>
      <c r="G2443" s="2190" t="s">
        <v>2792</v>
      </c>
      <c r="H2443" s="1577"/>
      <c r="I2443" s="422"/>
      <c r="J2443" s="309"/>
      <c r="K2443" s="1476">
        <f t="shared" si="257"/>
        <v>0</v>
      </c>
      <c r="L2443" s="309"/>
      <c r="M2443" s="346"/>
      <c r="N2443" s="391"/>
      <c r="O2443" s="349"/>
      <c r="P2443" s="301"/>
      <c r="S2443" s="364"/>
      <c r="Z2443" s="609" t="s">
        <v>983</v>
      </c>
      <c r="AA2443" s="609" t="s">
        <v>5662</v>
      </c>
    </row>
    <row r="2444" spans="1:27" ht="18">
      <c r="A2444" s="2714"/>
      <c r="B2444" s="371">
        <v>111</v>
      </c>
      <c r="C2444" s="371" t="s">
        <v>2791</v>
      </c>
      <c r="D2444" s="2716">
        <f t="shared" si="256"/>
        <v>0</v>
      </c>
      <c r="E2444" s="2721">
        <v>1</v>
      </c>
      <c r="F2444" s="293"/>
      <c r="G2444" s="2190" t="s">
        <v>2792</v>
      </c>
      <c r="H2444" s="1577"/>
      <c r="I2444" s="422"/>
      <c r="J2444" s="309"/>
      <c r="K2444" s="1476">
        <f t="shared" si="257"/>
        <v>0</v>
      </c>
      <c r="L2444" s="309"/>
      <c r="M2444" s="346"/>
      <c r="N2444" s="391"/>
      <c r="O2444" s="349"/>
      <c r="P2444" s="301"/>
      <c r="S2444" s="364"/>
      <c r="Z2444" s="609" t="s">
        <v>983</v>
      </c>
      <c r="AA2444" s="609" t="s">
        <v>5662</v>
      </c>
    </row>
    <row r="2445" spans="1:27" ht="18">
      <c r="A2445" s="2714"/>
      <c r="B2445" s="371">
        <v>112</v>
      </c>
      <c r="C2445" s="371" t="s">
        <v>2791</v>
      </c>
      <c r="D2445" s="2716">
        <f t="shared" si="256"/>
        <v>0</v>
      </c>
      <c r="E2445" s="2721">
        <v>1</v>
      </c>
      <c r="F2445" s="293"/>
      <c r="G2445" s="2190" t="s">
        <v>2792</v>
      </c>
      <c r="H2445" s="1577"/>
      <c r="I2445" s="422"/>
      <c r="J2445" s="309"/>
      <c r="K2445" s="1476">
        <f t="shared" si="257"/>
        <v>0</v>
      </c>
      <c r="L2445" s="309"/>
      <c r="M2445" s="346"/>
      <c r="N2445" s="391"/>
      <c r="O2445" s="349"/>
      <c r="P2445" s="301"/>
      <c r="S2445" s="364"/>
      <c r="Z2445" s="609" t="s">
        <v>983</v>
      </c>
      <c r="AA2445" s="609" t="s">
        <v>5662</v>
      </c>
    </row>
    <row r="2446" spans="1:27" ht="18">
      <c r="A2446" s="2714"/>
      <c r="B2446" s="371">
        <v>113</v>
      </c>
      <c r="C2446" s="371" t="s">
        <v>2791</v>
      </c>
      <c r="D2446" s="2716">
        <f t="shared" si="256"/>
        <v>0</v>
      </c>
      <c r="E2446" s="2721">
        <v>1</v>
      </c>
      <c r="F2446" s="293"/>
      <c r="G2446" s="2190" t="s">
        <v>2792</v>
      </c>
      <c r="H2446" s="1577"/>
      <c r="I2446" s="422"/>
      <c r="J2446" s="309"/>
      <c r="K2446" s="1476">
        <f t="shared" si="257"/>
        <v>0</v>
      </c>
      <c r="L2446" s="309"/>
      <c r="M2446" s="346"/>
      <c r="N2446" s="391"/>
      <c r="O2446" s="349"/>
      <c r="P2446" s="301"/>
      <c r="S2446" s="364"/>
      <c r="Z2446" s="609" t="s">
        <v>983</v>
      </c>
      <c r="AA2446" s="609" t="s">
        <v>5662</v>
      </c>
    </row>
    <row r="2447" spans="1:27" ht="18">
      <c r="A2447" s="2714"/>
      <c r="B2447" s="371">
        <v>114</v>
      </c>
      <c r="C2447" s="371" t="s">
        <v>2791</v>
      </c>
      <c r="D2447" s="2716">
        <f t="shared" si="256"/>
        <v>0</v>
      </c>
      <c r="E2447" s="2721">
        <v>1</v>
      </c>
      <c r="F2447" s="293"/>
      <c r="G2447" s="2190" t="s">
        <v>2792</v>
      </c>
      <c r="H2447" s="1577"/>
      <c r="I2447" s="422"/>
      <c r="J2447" s="309"/>
      <c r="K2447" s="1476">
        <f t="shared" si="257"/>
        <v>0</v>
      </c>
      <c r="L2447" s="309"/>
      <c r="M2447" s="346"/>
      <c r="N2447" s="391"/>
      <c r="O2447" s="349"/>
      <c r="P2447" s="301"/>
      <c r="S2447" s="364"/>
      <c r="Z2447" s="609" t="s">
        <v>983</v>
      </c>
      <c r="AA2447" s="609" t="s">
        <v>5662</v>
      </c>
    </row>
    <row r="2448" spans="1:27" ht="18">
      <c r="A2448" s="2714"/>
      <c r="B2448" s="371">
        <v>115</v>
      </c>
      <c r="C2448" s="371" t="s">
        <v>2791</v>
      </c>
      <c r="D2448" s="2716">
        <f t="shared" si="256"/>
        <v>0</v>
      </c>
      <c r="E2448" s="2721">
        <v>1</v>
      </c>
      <c r="F2448" s="293"/>
      <c r="G2448" s="2190" t="s">
        <v>2792</v>
      </c>
      <c r="H2448" s="1577"/>
      <c r="I2448" s="422"/>
      <c r="J2448" s="309"/>
      <c r="K2448" s="1476">
        <f t="shared" si="257"/>
        <v>0</v>
      </c>
      <c r="L2448" s="309"/>
      <c r="M2448" s="346"/>
      <c r="N2448" s="391"/>
      <c r="O2448" s="349"/>
      <c r="P2448" s="301"/>
      <c r="S2448" s="364"/>
      <c r="Z2448" s="609" t="s">
        <v>983</v>
      </c>
      <c r="AA2448" s="609" t="s">
        <v>5662</v>
      </c>
    </row>
    <row r="2449" spans="1:34" ht="18">
      <c r="A2449" s="2714"/>
      <c r="B2449" s="371">
        <v>116</v>
      </c>
      <c r="C2449" s="371" t="s">
        <v>2791</v>
      </c>
      <c r="D2449" s="2716">
        <f t="shared" si="256"/>
        <v>0</v>
      </c>
      <c r="E2449" s="2721">
        <v>1</v>
      </c>
      <c r="F2449" s="293"/>
      <c r="G2449" s="2190" t="s">
        <v>2792</v>
      </c>
      <c r="H2449" s="1577"/>
      <c r="I2449" s="422"/>
      <c r="J2449" s="309"/>
      <c r="K2449" s="1476">
        <f t="shared" si="257"/>
        <v>0</v>
      </c>
      <c r="L2449" s="309"/>
      <c r="M2449" s="346"/>
      <c r="N2449" s="391"/>
      <c r="O2449" s="349"/>
      <c r="P2449" s="301"/>
      <c r="S2449" s="364"/>
      <c r="Z2449" s="609" t="s">
        <v>983</v>
      </c>
      <c r="AA2449" s="609" t="s">
        <v>5662</v>
      </c>
    </row>
    <row r="2450" spans="1:34" ht="18">
      <c r="A2450" s="2714"/>
      <c r="B2450" s="371">
        <v>117</v>
      </c>
      <c r="C2450" s="371" t="s">
        <v>2791</v>
      </c>
      <c r="D2450" s="2716">
        <f t="shared" si="256"/>
        <v>0</v>
      </c>
      <c r="E2450" s="2721">
        <v>1</v>
      </c>
      <c r="F2450" s="293"/>
      <c r="G2450" s="2190" t="s">
        <v>2792</v>
      </c>
      <c r="H2450" s="1577"/>
      <c r="I2450" s="422"/>
      <c r="J2450" s="309"/>
      <c r="K2450" s="1476">
        <f t="shared" si="257"/>
        <v>0</v>
      </c>
      <c r="L2450" s="309"/>
      <c r="M2450" s="346"/>
      <c r="N2450" s="391"/>
      <c r="O2450" s="349"/>
      <c r="P2450" s="301"/>
      <c r="S2450" s="364"/>
      <c r="Z2450" s="609" t="s">
        <v>983</v>
      </c>
      <c r="AA2450" s="609" t="s">
        <v>5662</v>
      </c>
    </row>
    <row r="2451" spans="1:34" ht="18">
      <c r="A2451" s="2714"/>
      <c r="B2451" s="371">
        <v>118</v>
      </c>
      <c r="C2451" s="371" t="s">
        <v>6532</v>
      </c>
      <c r="D2451" s="2716">
        <f t="shared" si="256"/>
        <v>0</v>
      </c>
      <c r="E2451" s="2721">
        <v>1</v>
      </c>
      <c r="F2451" s="293"/>
      <c r="G2451" s="2190" t="s">
        <v>2792</v>
      </c>
      <c r="H2451" s="1577"/>
      <c r="I2451" s="422"/>
      <c r="J2451" s="309"/>
      <c r="K2451" s="1476">
        <f>H2451+I2451-J2451</f>
        <v>0</v>
      </c>
      <c r="L2451" s="309"/>
      <c r="M2451" s="346"/>
      <c r="N2451" s="391"/>
      <c r="O2451" s="349"/>
      <c r="P2451" s="301"/>
      <c r="S2451" s="364"/>
      <c r="Z2451" s="609" t="s">
        <v>983</v>
      </c>
      <c r="AA2451" s="609" t="s">
        <v>5662</v>
      </c>
    </row>
    <row r="2452" spans="1:34" ht="18">
      <c r="A2452" s="2714"/>
      <c r="B2452" s="371">
        <v>119</v>
      </c>
      <c r="C2452" s="371" t="s">
        <v>2791</v>
      </c>
      <c r="D2452" s="2716">
        <f t="shared" si="256"/>
        <v>0</v>
      </c>
      <c r="E2452" s="2721">
        <v>1</v>
      </c>
      <c r="F2452" s="293"/>
      <c r="G2452" s="2190" t="s">
        <v>2792</v>
      </c>
      <c r="H2452" s="1577"/>
      <c r="I2452" s="422"/>
      <c r="J2452" s="309"/>
      <c r="K2452" s="1476">
        <f t="shared" si="257"/>
        <v>0</v>
      </c>
      <c r="L2452" s="309"/>
      <c r="M2452" s="346"/>
      <c r="N2452" s="391"/>
      <c r="O2452" s="349"/>
      <c r="P2452" s="301"/>
      <c r="S2452" s="364"/>
      <c r="Z2452" s="609" t="s">
        <v>983</v>
      </c>
      <c r="AA2452" s="609" t="s">
        <v>5662</v>
      </c>
    </row>
    <row r="2453" spans="1:34" ht="18">
      <c r="A2453" s="2714"/>
      <c r="B2453" s="371">
        <v>120</v>
      </c>
      <c r="C2453" s="371" t="s">
        <v>2791</v>
      </c>
      <c r="D2453" s="2716">
        <f t="shared" si="256"/>
        <v>0</v>
      </c>
      <c r="E2453" s="2721">
        <v>1</v>
      </c>
      <c r="F2453" s="293"/>
      <c r="G2453" s="2190" t="s">
        <v>2792</v>
      </c>
      <c r="H2453" s="1577"/>
      <c r="I2453" s="422"/>
      <c r="J2453" s="309"/>
      <c r="K2453" s="1476">
        <f t="shared" si="257"/>
        <v>0</v>
      </c>
      <c r="L2453" s="309"/>
      <c r="M2453" s="346"/>
      <c r="N2453" s="391"/>
      <c r="O2453" s="349"/>
      <c r="P2453" s="301"/>
      <c r="S2453" s="364"/>
      <c r="Z2453" s="609" t="s">
        <v>983</v>
      </c>
      <c r="AA2453" s="609" t="s">
        <v>5662</v>
      </c>
    </row>
    <row r="2454" spans="1:34" ht="18.75" thickBot="1">
      <c r="A2454" s="2714"/>
      <c r="B2454" s="371"/>
      <c r="C2454" s="371"/>
      <c r="D2454" s="2716">
        <f t="shared" si="256"/>
        <v>1</v>
      </c>
      <c r="E2454" s="2721" t="s">
        <v>2751</v>
      </c>
      <c r="F2454" s="293"/>
      <c r="G2454" s="1529" t="s">
        <v>2752</v>
      </c>
      <c r="H2454" s="1527">
        <f t="shared" ref="H2454:M2454" si="258">SUMPRODUCT($E2433:$E2453,H2433:H2453)</f>
        <v>0</v>
      </c>
      <c r="I2454" s="1527">
        <f t="shared" si="258"/>
        <v>0</v>
      </c>
      <c r="J2454" s="1527">
        <f t="shared" si="258"/>
        <v>0</v>
      </c>
      <c r="K2454" s="1527">
        <f t="shared" si="258"/>
        <v>0</v>
      </c>
      <c r="L2454" s="1527">
        <f t="shared" si="258"/>
        <v>0</v>
      </c>
      <c r="M2454" s="1528">
        <f t="shared" si="258"/>
        <v>0</v>
      </c>
      <c r="N2454" s="391"/>
      <c r="O2454" s="349"/>
      <c r="P2454" s="301"/>
      <c r="S2454" s="364"/>
      <c r="Z2454" s="609" t="s">
        <v>983</v>
      </c>
      <c r="AA2454" s="609" t="s">
        <v>5662</v>
      </c>
    </row>
    <row r="2455" spans="1:34" ht="18.75" thickBot="1">
      <c r="A2455" s="2714"/>
      <c r="B2455" s="371"/>
      <c r="C2455" s="371" t="s">
        <v>2755</v>
      </c>
      <c r="D2455" s="2716"/>
      <c r="F2455" s="293"/>
      <c r="G2455" s="376"/>
      <c r="H2455" s="2626" t="s">
        <v>3002</v>
      </c>
      <c r="I2455" s="396"/>
      <c r="J2455" s="315"/>
      <c r="K2455" s="2259" t="s">
        <v>3002</v>
      </c>
      <c r="L2455" s="315"/>
      <c r="M2455" s="527" t="s">
        <v>3002</v>
      </c>
      <c r="N2455" s="391"/>
      <c r="O2455" s="349"/>
      <c r="P2455" s="301"/>
      <c r="S2455" s="364"/>
      <c r="Z2455" s="609" t="s">
        <v>983</v>
      </c>
      <c r="AA2455" s="609" t="s">
        <v>5662</v>
      </c>
    </row>
    <row r="2456" spans="1:34" ht="18.75" thickTop="1">
      <c r="A2456" s="2714"/>
      <c r="B2456" s="371"/>
      <c r="C2456" s="371" t="s">
        <v>2565</v>
      </c>
      <c r="D2456" s="2716"/>
      <c r="F2456" s="293"/>
      <c r="G2456" s="1549" t="s">
        <v>5367</v>
      </c>
      <c r="H2456" s="1550" t="str">
        <f>G2412</f>
        <v>(1)长期股权投资情况</v>
      </c>
      <c r="I2456" s="1551"/>
      <c r="J2456" s="1551"/>
      <c r="K2456" s="1552"/>
      <c r="L2456" s="1551"/>
      <c r="M2456" s="1552"/>
      <c r="N2456" s="1553" t="s">
        <v>5368</v>
      </c>
      <c r="O2456" s="349"/>
      <c r="P2456" s="301"/>
      <c r="S2456" s="364"/>
      <c r="Z2456" s="609" t="s">
        <v>983</v>
      </c>
      <c r="AA2456" s="609" t="s">
        <v>5662</v>
      </c>
    </row>
    <row r="2457" spans="1:34" ht="18">
      <c r="A2457" s="2714"/>
      <c r="B2457" s="371"/>
      <c r="C2457" s="371" t="s">
        <v>2565</v>
      </c>
      <c r="D2457" s="2716"/>
      <c r="F2457" s="293"/>
      <c r="G2457" s="604" t="str">
        <f>"注释A:"&amp; G2417</f>
        <v>注释A:对子公司投资</v>
      </c>
      <c r="H2457" s="2252">
        <f ca="1">HYPERLINK("#'"&amp;$G$1&amp;"'!"&amp;ADDRESS(ROW(Notes!K2422),COLUMN(Notes!K2422),4),K2422)</f>
        <v>0</v>
      </c>
      <c r="I2457" s="351"/>
      <c r="J2457" s="351"/>
      <c r="K2457" s="2252">
        <f ca="1">HYPERLINK("#'"&amp;$G$1&amp;"'!"&amp;ADDRESS(ROW(Notes!H2422),COLUMN(Notes!H2422),4),H2422)</f>
        <v>0</v>
      </c>
      <c r="L2457" s="351"/>
      <c r="M2457" s="2252">
        <f ca="1">HYPERLINK("#'"&amp;$G$1&amp;"'!"&amp;ADDRESS(ROW(Notes!I2422),COLUMN(Notes!I2422),4),I2422)</f>
        <v>0</v>
      </c>
      <c r="N2457" s="2632" t="str">
        <f>H2412</f>
        <v>1511c</v>
      </c>
      <c r="O2457" s="349"/>
      <c r="P2457" s="301"/>
      <c r="S2457" s="364"/>
      <c r="Z2457" s="609" t="s">
        <v>983</v>
      </c>
      <c r="AA2457" s="609" t="s">
        <v>5662</v>
      </c>
    </row>
    <row r="2458" spans="1:34" ht="18">
      <c r="A2458" s="2714"/>
      <c r="B2458" s="371"/>
      <c r="C2458" s="371" t="s">
        <v>2565</v>
      </c>
      <c r="D2458" s="2716"/>
      <c r="F2458" s="293"/>
      <c r="G2458" s="604" t="str">
        <f>"本注释B:"&amp; G2454</f>
        <v>本注释B:合       计</v>
      </c>
      <c r="H2458" s="456">
        <f>H2454</f>
        <v>0</v>
      </c>
      <c r="I2458" s="351"/>
      <c r="J2458" s="351"/>
      <c r="K2458" s="456">
        <f>K2454</f>
        <v>0</v>
      </c>
      <c r="L2458" s="351"/>
      <c r="M2458" s="456">
        <f>M2454</f>
        <v>0</v>
      </c>
      <c r="N2458" s="2638" t="s">
        <v>5622</v>
      </c>
      <c r="O2458" s="349"/>
      <c r="P2458" s="301"/>
      <c r="S2458" s="364"/>
      <c r="Z2458" s="609" t="s">
        <v>983</v>
      </c>
      <c r="AA2458" s="609" t="s">
        <v>5662</v>
      </c>
    </row>
    <row r="2459" spans="1:34" ht="18.75" thickBot="1">
      <c r="A2459" s="2714"/>
      <c r="B2459" s="371"/>
      <c r="C2459" s="371" t="s">
        <v>2565</v>
      </c>
      <c r="D2459" s="2716"/>
      <c r="F2459" s="293"/>
      <c r="G2459" s="1554" t="s">
        <v>2757</v>
      </c>
      <c r="H2459" s="1531">
        <f ca="1">IF(AND(H2457="",H2458=""),"",ROUND(H2457-H2458,2))</f>
        <v>0</v>
      </c>
      <c r="I2459" s="1555"/>
      <c r="J2459" s="1555"/>
      <c r="K2459" s="1531">
        <f ca="1">IF(AND(K2457="",K2458=""),"",ROUND(K2457-K2458,2))</f>
        <v>0</v>
      </c>
      <c r="L2459" s="1555"/>
      <c r="M2459" s="1531">
        <f ca="1">IF(AND(M2457="",M2458=""),"",ROUND(M2457-M2458,2))</f>
        <v>0</v>
      </c>
      <c r="N2459" s="1555"/>
      <c r="O2459" s="349"/>
      <c r="P2459" s="301"/>
      <c r="S2459" s="364"/>
      <c r="Z2459" s="609" t="s">
        <v>983</v>
      </c>
      <c r="AA2459" s="609" t="s">
        <v>5662</v>
      </c>
    </row>
    <row r="2460" spans="1:34" ht="18.75" thickTop="1">
      <c r="A2460" s="2714"/>
      <c r="B2460" s="371"/>
      <c r="C2460" s="371" t="s">
        <v>2565</v>
      </c>
      <c r="D2460" s="2716"/>
      <c r="F2460" s="293"/>
      <c r="G2460" s="1545"/>
      <c r="H2460" s="459" t="str">
        <f ca="1">IF(OR(H2459=0,H2459=""),"√","？")</f>
        <v>√</v>
      </c>
      <c r="I2460" s="317"/>
      <c r="J2460" s="317"/>
      <c r="K2460" s="459" t="str">
        <f ca="1">IF(OR(K2459=0,K2459=""),"√","？")</f>
        <v>√</v>
      </c>
      <c r="L2460" s="317"/>
      <c r="M2460" s="459" t="str">
        <f ca="1">IF(OR(M2459=0,M2459=""),"√","？")</f>
        <v>√</v>
      </c>
      <c r="N2460" s="317"/>
      <c r="O2460" s="349"/>
      <c r="P2460" s="301"/>
      <c r="S2460" s="364"/>
      <c r="Z2460" s="609" t="s">
        <v>983</v>
      </c>
      <c r="AA2460" s="609" t="s">
        <v>5662</v>
      </c>
    </row>
    <row r="2461" spans="1:34" ht="18">
      <c r="A2461" s="2714"/>
      <c r="B2461" s="371"/>
      <c r="C2461" s="371" t="s">
        <v>2565</v>
      </c>
      <c r="D2461" s="2716"/>
      <c r="F2461" s="293"/>
      <c r="G2461" s="1559" t="s">
        <v>2759</v>
      </c>
      <c r="H2461" s="461"/>
      <c r="I2461" s="317"/>
      <c r="J2461" s="317"/>
      <c r="K2461" s="605">
        <f ca="1">SUMIF($H$2460:$N$2460,"&lt;&gt;√",$H$2459:$N$2459)</f>
        <v>0</v>
      </c>
      <c r="L2461" s="353" t="str">
        <f ca="1">IF(OR(K2461=0,K2461=""),"√","？")</f>
        <v>√</v>
      </c>
      <c r="M2461" s="461"/>
      <c r="N2461" s="317"/>
      <c r="O2461" s="349"/>
      <c r="P2461" s="301"/>
      <c r="S2461" s="364"/>
      <c r="Z2461" s="609" t="s">
        <v>983</v>
      </c>
      <c r="AA2461" s="609" t="s">
        <v>5662</v>
      </c>
    </row>
    <row r="2462" spans="1:34" ht="18">
      <c r="A2462" s="2714"/>
      <c r="B2462" s="371"/>
      <c r="C2462" s="371" t="s">
        <v>2565</v>
      </c>
      <c r="D2462" s="2716"/>
      <c r="F2462" s="293"/>
      <c r="G2462" s="1545"/>
      <c r="H2462" s="461"/>
      <c r="I2462" s="317"/>
      <c r="J2462" s="317"/>
      <c r="K2462" s="461"/>
      <c r="L2462" s="317"/>
      <c r="M2462" s="461"/>
      <c r="N2462" s="317"/>
      <c r="O2462" s="349"/>
      <c r="P2462" s="301"/>
      <c r="S2462" s="364"/>
      <c r="Z2462" s="609" t="s">
        <v>983</v>
      </c>
      <c r="AA2462" s="609" t="s">
        <v>5662</v>
      </c>
    </row>
    <row r="2463" spans="1:34" ht="24">
      <c r="A2463" s="2714" t="s">
        <v>982</v>
      </c>
      <c r="B2463" s="371">
        <v>3</v>
      </c>
      <c r="C2463" s="371"/>
      <c r="D2463" s="2716" t="str">
        <f>VLOOKUP($A2463,Sheet_NoteList,2,0)</f>
        <v>长期股权投资——对联营、合营企业投资明细</v>
      </c>
      <c r="E2463" s="2716" t="s">
        <v>2742</v>
      </c>
      <c r="F2463" s="294"/>
      <c r="G2463" s="372" t="str">
        <f>"("&amp;B2463&amp;")"&amp;D2463</f>
        <v>(3)长期股权投资——对联营、合营企业投资明细</v>
      </c>
      <c r="H2463" s="1517" t="str">
        <f>$A2463</f>
        <v>1511b</v>
      </c>
      <c r="I2463" s="343" t="s">
        <v>2743</v>
      </c>
      <c r="J2463" s="301" t="s">
        <v>2744</v>
      </c>
      <c r="K2463" s="2210">
        <f>Q2494</f>
        <v>0</v>
      </c>
      <c r="L2463" s="345"/>
      <c r="M2463" s="301" t="s">
        <v>5123</v>
      </c>
      <c r="N2463" s="423">
        <f>H2494</f>
        <v>0</v>
      </c>
      <c r="O2463" s="315"/>
      <c r="P2463" s="301"/>
      <c r="Q2463" s="290" t="str">
        <f>IF($I2463="不适用","",IF(ROUND(SUM($I$2468:$P$2494),2)=0,"请输入",""))</f>
        <v>请输入</v>
      </c>
      <c r="S2463" s="364"/>
      <c r="Z2463" s="609" t="s">
        <v>983</v>
      </c>
      <c r="AA2463" s="609" t="s">
        <v>5662</v>
      </c>
    </row>
    <row r="2464" spans="1:34" s="289" customFormat="1" ht="0.75" customHeight="1">
      <c r="A2464" s="2714"/>
      <c r="B2464" s="371"/>
      <c r="C2464" s="371"/>
      <c r="D2464" s="371"/>
      <c r="E2464" s="586"/>
      <c r="F2464" s="586"/>
      <c r="G2464" s="586" t="s">
        <v>3498</v>
      </c>
      <c r="H2464" s="371" t="s">
        <v>6219</v>
      </c>
      <c r="I2464" s="371" t="s">
        <v>6220</v>
      </c>
      <c r="J2464" s="371" t="s">
        <v>6221</v>
      </c>
      <c r="K2464" s="371" t="s">
        <v>6222</v>
      </c>
      <c r="L2464" s="371" t="s">
        <v>6223</v>
      </c>
      <c r="M2464" s="371" t="s">
        <v>6224</v>
      </c>
      <c r="N2464" s="371" t="s">
        <v>6225</v>
      </c>
      <c r="O2464" s="371" t="s">
        <v>6226</v>
      </c>
      <c r="P2464" s="371" t="s">
        <v>6227</v>
      </c>
      <c r="Q2464" s="371" t="s">
        <v>6228</v>
      </c>
      <c r="R2464" s="371" t="s">
        <v>6229</v>
      </c>
      <c r="S2464" s="564"/>
      <c r="T2464" s="292"/>
      <c r="U2464" s="292"/>
      <c r="V2464" s="292"/>
      <c r="W2464" s="292"/>
      <c r="X2464" s="292"/>
      <c r="Y2464" s="292"/>
      <c r="Z2464" s="609" t="s">
        <v>983</v>
      </c>
      <c r="AA2464" s="609" t="s">
        <v>5662</v>
      </c>
      <c r="AB2464" s="369"/>
      <c r="AC2464" s="369"/>
      <c r="AD2464" s="369"/>
      <c r="AE2464" s="369"/>
      <c r="AF2464" s="292"/>
      <c r="AG2464" s="292"/>
      <c r="AH2464" s="292"/>
    </row>
    <row r="2465" spans="1:34" s="289" customFormat="1" ht="0.75" customHeight="1" thickBot="1">
      <c r="A2465" s="2714"/>
      <c r="B2465" s="371"/>
      <c r="C2465" s="371"/>
      <c r="D2465" s="371"/>
      <c r="E2465" s="586"/>
      <c r="F2465" s="586"/>
      <c r="G2465" s="586"/>
      <c r="H2465" s="371" t="s">
        <v>3293</v>
      </c>
      <c r="I2465" s="371" t="s">
        <v>3500</v>
      </c>
      <c r="J2465" s="371" t="s">
        <v>3501</v>
      </c>
      <c r="K2465" s="371" t="s">
        <v>3502</v>
      </c>
      <c r="L2465" s="371" t="s">
        <v>3503</v>
      </c>
      <c r="M2465" s="371" t="s">
        <v>3504</v>
      </c>
      <c r="N2465" s="371" t="s">
        <v>3505</v>
      </c>
      <c r="O2465" s="371" t="s">
        <v>3506</v>
      </c>
      <c r="P2465" s="371" t="s">
        <v>3507</v>
      </c>
      <c r="Q2465" s="371" t="s">
        <v>3508</v>
      </c>
      <c r="R2465" s="371" t="s">
        <v>3509</v>
      </c>
      <c r="S2465" s="565"/>
      <c r="T2465" s="292"/>
      <c r="U2465" s="292"/>
      <c r="V2465" s="292"/>
      <c r="W2465" s="292"/>
      <c r="X2465" s="292"/>
      <c r="Y2465" s="292"/>
      <c r="Z2465" s="609" t="s">
        <v>983</v>
      </c>
      <c r="AA2465" s="609" t="s">
        <v>5662</v>
      </c>
      <c r="AB2465" s="369"/>
      <c r="AC2465" s="369"/>
      <c r="AD2465" s="369"/>
      <c r="AE2465" s="369"/>
      <c r="AF2465" s="292"/>
      <c r="AG2465" s="292"/>
      <c r="AH2465" s="292"/>
    </row>
    <row r="2466" spans="1:34" s="289" customFormat="1" ht="17.25" customHeight="1">
      <c r="A2466" s="2714"/>
      <c r="B2466" s="371"/>
      <c r="C2466" s="371"/>
      <c r="D2466" s="371"/>
      <c r="E2466" s="586" t="s">
        <v>2749</v>
      </c>
      <c r="F2466" s="563"/>
      <c r="G2466" s="3465" t="s">
        <v>3376</v>
      </c>
      <c r="H2466" s="3386" t="str">
        <f>$V$3</f>
        <v>2018年12月31日</v>
      </c>
      <c r="I2466" s="3433" t="s">
        <v>3510</v>
      </c>
      <c r="J2466" s="3433"/>
      <c r="K2466" s="3433"/>
      <c r="L2466" s="3433"/>
      <c r="M2466" s="3433"/>
      <c r="N2466" s="3433"/>
      <c r="O2466" s="3433"/>
      <c r="P2466" s="3433"/>
      <c r="Q2466" s="3386" t="str">
        <f>$V$2</f>
        <v>2019年12月31日</v>
      </c>
      <c r="R2466" s="3394" t="s">
        <v>3511</v>
      </c>
      <c r="S2466" s="355" t="s">
        <v>5283</v>
      </c>
      <c r="T2466" s="292"/>
      <c r="U2466" s="292"/>
      <c r="V2466" s="292"/>
      <c r="W2466" s="292"/>
      <c r="X2466" s="292"/>
      <c r="Y2466" s="292"/>
      <c r="Z2466" s="609" t="s">
        <v>983</v>
      </c>
      <c r="AA2466" s="609" t="s">
        <v>5662</v>
      </c>
      <c r="AB2466" s="369"/>
      <c r="AC2466" s="369"/>
      <c r="AD2466" s="369"/>
      <c r="AE2466" s="369"/>
      <c r="AF2466" s="292"/>
      <c r="AG2466" s="292"/>
      <c r="AH2466" s="292"/>
    </row>
    <row r="2467" spans="1:34" ht="36">
      <c r="A2467" s="2714"/>
      <c r="B2467" s="371"/>
      <c r="C2467" s="371"/>
      <c r="D2467" s="371"/>
      <c r="E2467" s="586" t="s">
        <v>2749</v>
      </c>
      <c r="F2467" s="363"/>
      <c r="G2467" s="3466"/>
      <c r="H2467" s="3387"/>
      <c r="I2467" s="2283" t="s">
        <v>3512</v>
      </c>
      <c r="J2467" s="2283" t="s">
        <v>3513</v>
      </c>
      <c r="K2467" s="2283" t="s">
        <v>3514</v>
      </c>
      <c r="L2467" s="2283" t="s">
        <v>3515</v>
      </c>
      <c r="M2467" s="2283" t="s">
        <v>3516</v>
      </c>
      <c r="N2467" s="2283" t="s">
        <v>3517</v>
      </c>
      <c r="O2467" s="2283" t="s">
        <v>3518</v>
      </c>
      <c r="P2467" s="2283" t="s">
        <v>3519</v>
      </c>
      <c r="Q2467" s="3387"/>
      <c r="R2467" s="3395"/>
      <c r="S2467" s="367"/>
      <c r="Z2467" s="609" t="s">
        <v>983</v>
      </c>
      <c r="AA2467" s="609" t="s">
        <v>5662</v>
      </c>
    </row>
    <row r="2468" spans="1:34" ht="18">
      <c r="A2468" s="2714"/>
      <c r="B2468" s="371">
        <v>101</v>
      </c>
      <c r="C2468" s="371"/>
      <c r="D2468" s="2716">
        <f t="shared" ref="D2468:D2494" si="259">IF(OR(G2468="*",G2468="",G2468=0),0,COUNTIF($G$2468:$G$2494,G2468))</f>
        <v>1</v>
      </c>
      <c r="E2468" s="2721" t="s">
        <v>41</v>
      </c>
      <c r="F2468" s="294"/>
      <c r="G2468" s="1474" t="s">
        <v>3520</v>
      </c>
      <c r="H2468" s="2275"/>
      <c r="I2468" s="2275"/>
      <c r="J2468" s="2275"/>
      <c r="K2468" s="2275"/>
      <c r="L2468" s="2275"/>
      <c r="M2468" s="2275"/>
      <c r="N2468" s="2275"/>
      <c r="O2468" s="2275"/>
      <c r="P2468" s="2275"/>
      <c r="Q2468" s="2275"/>
      <c r="R2468" s="2296"/>
      <c r="S2468" s="367"/>
      <c r="Z2468" s="609" t="s">
        <v>983</v>
      </c>
      <c r="AA2468" s="609" t="s">
        <v>5662</v>
      </c>
    </row>
    <row r="2469" spans="1:34" ht="18">
      <c r="A2469" s="2714"/>
      <c r="B2469" s="371">
        <v>101.001</v>
      </c>
      <c r="C2469" s="371" t="s">
        <v>2791</v>
      </c>
      <c r="D2469" s="2716">
        <f t="shared" si="259"/>
        <v>0</v>
      </c>
      <c r="E2469" s="2721" t="s">
        <v>3521</v>
      </c>
      <c r="F2469" s="294"/>
      <c r="G2469" s="2284" t="s">
        <v>2792</v>
      </c>
      <c r="H2469" s="2275"/>
      <c r="I2469" s="2275"/>
      <c r="J2469" s="2275"/>
      <c r="K2469" s="2275"/>
      <c r="L2469" s="2275"/>
      <c r="M2469" s="2275"/>
      <c r="N2469" s="2275"/>
      <c r="O2469" s="2275"/>
      <c r="P2469" s="2275"/>
      <c r="Q2469" s="1476">
        <f>SUM(H2469:I2469,-J2469,K2469:M2469,-N2469,-O2469,P2469)</f>
        <v>0</v>
      </c>
      <c r="R2469" s="2296"/>
      <c r="S2469" s="367"/>
      <c r="Z2469" s="609" t="s">
        <v>983</v>
      </c>
      <c r="AA2469" s="609" t="s">
        <v>5662</v>
      </c>
    </row>
    <row r="2470" spans="1:34" ht="18">
      <c r="A2470" s="2714"/>
      <c r="B2470" s="371">
        <v>101.002</v>
      </c>
      <c r="C2470" s="371" t="s">
        <v>2791</v>
      </c>
      <c r="D2470" s="2716">
        <f t="shared" si="259"/>
        <v>0</v>
      </c>
      <c r="E2470" s="2721" t="s">
        <v>3521</v>
      </c>
      <c r="F2470" s="294"/>
      <c r="G2470" s="2284" t="s">
        <v>2792</v>
      </c>
      <c r="H2470" s="2275"/>
      <c r="I2470" s="2275"/>
      <c r="J2470" s="2275"/>
      <c r="K2470" s="2275"/>
      <c r="L2470" s="2275"/>
      <c r="M2470" s="2275"/>
      <c r="N2470" s="2275"/>
      <c r="O2470" s="2275"/>
      <c r="P2470" s="2275"/>
      <c r="Q2470" s="1476">
        <f t="shared" ref="Q2470:Q2478" si="260">SUM(H2470:I2470,-J2470,K2470:M2470,-N2470,-O2470,P2470)</f>
        <v>0</v>
      </c>
      <c r="R2470" s="2296"/>
      <c r="S2470" s="367"/>
      <c r="Z2470" s="609" t="s">
        <v>983</v>
      </c>
      <c r="AA2470" s="609" t="s">
        <v>5662</v>
      </c>
    </row>
    <row r="2471" spans="1:34" ht="18">
      <c r="A2471" s="2714"/>
      <c r="B2471" s="371">
        <v>101.003</v>
      </c>
      <c r="C2471" s="371" t="s">
        <v>2791</v>
      </c>
      <c r="D2471" s="2716">
        <f t="shared" si="259"/>
        <v>0</v>
      </c>
      <c r="E2471" s="2721" t="s">
        <v>3521</v>
      </c>
      <c r="F2471" s="294"/>
      <c r="G2471" s="2284" t="s">
        <v>2792</v>
      </c>
      <c r="H2471" s="2275"/>
      <c r="I2471" s="2275"/>
      <c r="J2471" s="2275"/>
      <c r="K2471" s="2275"/>
      <c r="L2471" s="2275"/>
      <c r="M2471" s="2275"/>
      <c r="N2471" s="2275"/>
      <c r="O2471" s="2275"/>
      <c r="P2471" s="2275"/>
      <c r="Q2471" s="1476">
        <f t="shared" si="260"/>
        <v>0</v>
      </c>
      <c r="R2471" s="2296"/>
      <c r="S2471" s="367"/>
      <c r="Z2471" s="609" t="s">
        <v>983</v>
      </c>
      <c r="AA2471" s="609" t="s">
        <v>5662</v>
      </c>
    </row>
    <row r="2472" spans="1:34" ht="18">
      <c r="A2472" s="2714"/>
      <c r="B2472" s="371">
        <v>101.004</v>
      </c>
      <c r="C2472" s="371" t="s">
        <v>2791</v>
      </c>
      <c r="D2472" s="2716">
        <f t="shared" si="259"/>
        <v>0</v>
      </c>
      <c r="E2472" s="2721" t="s">
        <v>3521</v>
      </c>
      <c r="F2472" s="294"/>
      <c r="G2472" s="2284" t="s">
        <v>2792</v>
      </c>
      <c r="H2472" s="2275"/>
      <c r="I2472" s="2275"/>
      <c r="J2472" s="2275"/>
      <c r="K2472" s="2275"/>
      <c r="L2472" s="2275"/>
      <c r="M2472" s="2275"/>
      <c r="N2472" s="2275"/>
      <c r="O2472" s="2275"/>
      <c r="P2472" s="2275"/>
      <c r="Q2472" s="1476">
        <f t="shared" si="260"/>
        <v>0</v>
      </c>
      <c r="R2472" s="2296"/>
      <c r="S2472" s="367"/>
      <c r="Z2472" s="609" t="s">
        <v>983</v>
      </c>
      <c r="AA2472" s="609" t="s">
        <v>5662</v>
      </c>
    </row>
    <row r="2473" spans="1:34" ht="18">
      <c r="A2473" s="2714"/>
      <c r="B2473" s="371">
        <v>101.005</v>
      </c>
      <c r="C2473" s="371" t="s">
        <v>2791</v>
      </c>
      <c r="D2473" s="2716">
        <f t="shared" si="259"/>
        <v>0</v>
      </c>
      <c r="E2473" s="2721" t="s">
        <v>3521</v>
      </c>
      <c r="F2473" s="294"/>
      <c r="G2473" s="2284" t="s">
        <v>2792</v>
      </c>
      <c r="H2473" s="2275"/>
      <c r="I2473" s="2275"/>
      <c r="J2473" s="2275"/>
      <c r="K2473" s="2275"/>
      <c r="L2473" s="2275"/>
      <c r="M2473" s="2275"/>
      <c r="N2473" s="2275"/>
      <c r="O2473" s="2275"/>
      <c r="P2473" s="2275"/>
      <c r="Q2473" s="1476">
        <f t="shared" si="260"/>
        <v>0</v>
      </c>
      <c r="R2473" s="2296"/>
      <c r="S2473" s="367"/>
      <c r="Z2473" s="609" t="s">
        <v>983</v>
      </c>
      <c r="AA2473" s="609" t="s">
        <v>5662</v>
      </c>
    </row>
    <row r="2474" spans="1:34" ht="18">
      <c r="A2474" s="2714"/>
      <c r="B2474" s="371">
        <v>101.006</v>
      </c>
      <c r="C2474" s="371" t="s">
        <v>2791</v>
      </c>
      <c r="D2474" s="2716">
        <f t="shared" si="259"/>
        <v>0</v>
      </c>
      <c r="E2474" s="2721" t="s">
        <v>3521</v>
      </c>
      <c r="F2474" s="294"/>
      <c r="G2474" s="2284" t="s">
        <v>2792</v>
      </c>
      <c r="H2474" s="2275"/>
      <c r="I2474" s="2275"/>
      <c r="J2474" s="2275"/>
      <c r="K2474" s="2275"/>
      <c r="L2474" s="2275"/>
      <c r="M2474" s="2275"/>
      <c r="N2474" s="2275"/>
      <c r="O2474" s="2275"/>
      <c r="P2474" s="2275"/>
      <c r="Q2474" s="1476">
        <f t="shared" si="260"/>
        <v>0</v>
      </c>
      <c r="R2474" s="2296"/>
      <c r="S2474" s="367"/>
      <c r="Z2474" s="609" t="s">
        <v>983</v>
      </c>
      <c r="AA2474" s="609" t="s">
        <v>5662</v>
      </c>
    </row>
    <row r="2475" spans="1:34" ht="18">
      <c r="A2475" s="2714"/>
      <c r="B2475" s="371">
        <v>101.00700000000001</v>
      </c>
      <c r="C2475" s="371" t="s">
        <v>2791</v>
      </c>
      <c r="D2475" s="2716">
        <f t="shared" si="259"/>
        <v>0</v>
      </c>
      <c r="E2475" s="2721" t="s">
        <v>3521</v>
      </c>
      <c r="F2475" s="294"/>
      <c r="G2475" s="2284" t="s">
        <v>2792</v>
      </c>
      <c r="H2475" s="2275"/>
      <c r="I2475" s="2275"/>
      <c r="J2475" s="2275"/>
      <c r="K2475" s="2275"/>
      <c r="L2475" s="2275"/>
      <c r="M2475" s="2275"/>
      <c r="N2475" s="2275"/>
      <c r="O2475" s="2275"/>
      <c r="P2475" s="2275"/>
      <c r="Q2475" s="1476">
        <f t="shared" si="260"/>
        <v>0</v>
      </c>
      <c r="R2475" s="2296"/>
      <c r="S2475" s="367"/>
      <c r="Z2475" s="609" t="s">
        <v>983</v>
      </c>
      <c r="AA2475" s="609" t="s">
        <v>5662</v>
      </c>
    </row>
    <row r="2476" spans="1:34" ht="18">
      <c r="A2476" s="2714"/>
      <c r="B2476" s="371">
        <v>101.008</v>
      </c>
      <c r="C2476" s="371" t="s">
        <v>2791</v>
      </c>
      <c r="D2476" s="2716">
        <f t="shared" si="259"/>
        <v>0</v>
      </c>
      <c r="E2476" s="2721" t="s">
        <v>3521</v>
      </c>
      <c r="F2476" s="294"/>
      <c r="G2476" s="2284" t="s">
        <v>2792</v>
      </c>
      <c r="H2476" s="2275"/>
      <c r="I2476" s="2275"/>
      <c r="J2476" s="2275"/>
      <c r="K2476" s="2275"/>
      <c r="L2476" s="2275"/>
      <c r="M2476" s="2275"/>
      <c r="N2476" s="2275"/>
      <c r="O2476" s="2275"/>
      <c r="P2476" s="2275"/>
      <c r="Q2476" s="1476">
        <f t="shared" si="260"/>
        <v>0</v>
      </c>
      <c r="R2476" s="2296"/>
      <c r="S2476" s="367"/>
      <c r="Z2476" s="609" t="s">
        <v>983</v>
      </c>
      <c r="AA2476" s="609" t="s">
        <v>5662</v>
      </c>
    </row>
    <row r="2477" spans="1:34" ht="18">
      <c r="A2477" s="2714"/>
      <c r="B2477" s="371">
        <v>101.009</v>
      </c>
      <c r="C2477" s="371" t="s">
        <v>2791</v>
      </c>
      <c r="D2477" s="2716">
        <f t="shared" si="259"/>
        <v>0</v>
      </c>
      <c r="E2477" s="2721" t="s">
        <v>3521</v>
      </c>
      <c r="F2477" s="294"/>
      <c r="G2477" s="2284" t="s">
        <v>2792</v>
      </c>
      <c r="H2477" s="2275"/>
      <c r="I2477" s="2275"/>
      <c r="J2477" s="2275"/>
      <c r="K2477" s="2275"/>
      <c r="L2477" s="2275"/>
      <c r="M2477" s="2275"/>
      <c r="N2477" s="2275"/>
      <c r="O2477" s="2275"/>
      <c r="P2477" s="2275"/>
      <c r="Q2477" s="1476">
        <f t="shared" si="260"/>
        <v>0</v>
      </c>
      <c r="R2477" s="2296"/>
      <c r="S2477" s="367"/>
      <c r="Z2477" s="609" t="s">
        <v>983</v>
      </c>
      <c r="AA2477" s="609" t="s">
        <v>5662</v>
      </c>
    </row>
    <row r="2478" spans="1:34" ht="18">
      <c r="A2478" s="2714"/>
      <c r="B2478" s="371">
        <v>101.01</v>
      </c>
      <c r="C2478" s="371" t="s">
        <v>2791</v>
      </c>
      <c r="D2478" s="2716">
        <f t="shared" si="259"/>
        <v>0</v>
      </c>
      <c r="E2478" s="2721" t="s">
        <v>3521</v>
      </c>
      <c r="F2478" s="294"/>
      <c r="G2478" s="2284" t="s">
        <v>2792</v>
      </c>
      <c r="H2478" s="2275"/>
      <c r="I2478" s="2275"/>
      <c r="J2478" s="2275"/>
      <c r="K2478" s="2275"/>
      <c r="L2478" s="2275"/>
      <c r="M2478" s="2275"/>
      <c r="N2478" s="2275"/>
      <c r="O2478" s="2275"/>
      <c r="P2478" s="2275"/>
      <c r="Q2478" s="1476">
        <f t="shared" si="260"/>
        <v>0</v>
      </c>
      <c r="R2478" s="2296"/>
      <c r="S2478" s="367"/>
      <c r="Z2478" s="609" t="s">
        <v>983</v>
      </c>
      <c r="AA2478" s="609" t="s">
        <v>5662</v>
      </c>
    </row>
    <row r="2479" spans="1:34" ht="18">
      <c r="A2479" s="2714"/>
      <c r="B2479" s="371">
        <v>101.999</v>
      </c>
      <c r="C2479" s="371" t="s">
        <v>2793</v>
      </c>
      <c r="D2479" s="2716">
        <f t="shared" si="259"/>
        <v>1</v>
      </c>
      <c r="E2479" s="2721">
        <v>1</v>
      </c>
      <c r="F2479" s="294"/>
      <c r="G2479" s="1474" t="s">
        <v>3521</v>
      </c>
      <c r="H2479" s="1476">
        <f t="shared" ref="H2479:R2479" si="261">SUMIF($E$2467:$E$2493,$G2479,H$2467:H$2493)</f>
        <v>0</v>
      </c>
      <c r="I2479" s="1476">
        <f t="shared" si="261"/>
        <v>0</v>
      </c>
      <c r="J2479" s="1476">
        <f t="shared" si="261"/>
        <v>0</v>
      </c>
      <c r="K2479" s="1476">
        <f t="shared" si="261"/>
        <v>0</v>
      </c>
      <c r="L2479" s="1476">
        <f t="shared" si="261"/>
        <v>0</v>
      </c>
      <c r="M2479" s="1476">
        <f t="shared" si="261"/>
        <v>0</v>
      </c>
      <c r="N2479" s="1476">
        <f t="shared" si="261"/>
        <v>0</v>
      </c>
      <c r="O2479" s="1476">
        <f t="shared" si="261"/>
        <v>0</v>
      </c>
      <c r="P2479" s="1476">
        <f t="shared" si="261"/>
        <v>0</v>
      </c>
      <c r="Q2479" s="1476">
        <f t="shared" si="261"/>
        <v>0</v>
      </c>
      <c r="R2479" s="1477">
        <f t="shared" si="261"/>
        <v>0</v>
      </c>
      <c r="S2479" s="367"/>
      <c r="Z2479" s="609" t="s">
        <v>983</v>
      </c>
      <c r="AA2479" s="609" t="s">
        <v>5662</v>
      </c>
    </row>
    <row r="2480" spans="1:34" ht="18">
      <c r="A2480" s="2714"/>
      <c r="B2480" s="371">
        <v>102</v>
      </c>
      <c r="C2480" s="371"/>
      <c r="D2480" s="2716">
        <f t="shared" si="259"/>
        <v>1</v>
      </c>
      <c r="E2480" s="2721" t="s">
        <v>41</v>
      </c>
      <c r="F2480" s="294"/>
      <c r="G2480" s="1474" t="s">
        <v>3522</v>
      </c>
      <c r="H2480" s="2275"/>
      <c r="I2480" s="2275"/>
      <c r="J2480" s="2275"/>
      <c r="K2480" s="2275"/>
      <c r="L2480" s="2275"/>
      <c r="M2480" s="2275"/>
      <c r="N2480" s="2275"/>
      <c r="O2480" s="2275"/>
      <c r="P2480" s="2275"/>
      <c r="Q2480" s="1476">
        <f t="shared" ref="Q2480:Q2490" si="262">SUM(H2480:I2480,-J2480,K2480:M2480,-N2480,-O2480,P2480)</f>
        <v>0</v>
      </c>
      <c r="R2480" s="2296"/>
      <c r="S2480" s="367"/>
      <c r="Z2480" s="609" t="s">
        <v>983</v>
      </c>
      <c r="AA2480" s="609" t="s">
        <v>5662</v>
      </c>
    </row>
    <row r="2481" spans="1:29" ht="18">
      <c r="A2481" s="2714"/>
      <c r="B2481" s="371">
        <v>102.001</v>
      </c>
      <c r="C2481" s="371" t="s">
        <v>2791</v>
      </c>
      <c r="D2481" s="2716">
        <f t="shared" si="259"/>
        <v>0</v>
      </c>
      <c r="E2481" s="2721" t="s">
        <v>3523</v>
      </c>
      <c r="F2481" s="294"/>
      <c r="G2481" s="2284" t="s">
        <v>2792</v>
      </c>
      <c r="H2481" s="2275"/>
      <c r="I2481" s="2275"/>
      <c r="J2481" s="2275"/>
      <c r="K2481" s="2275"/>
      <c r="L2481" s="2275"/>
      <c r="M2481" s="2275"/>
      <c r="N2481" s="2275"/>
      <c r="O2481" s="2275"/>
      <c r="P2481" s="2275"/>
      <c r="Q2481" s="1476">
        <f t="shared" si="262"/>
        <v>0</v>
      </c>
      <c r="R2481" s="2296"/>
      <c r="S2481" s="367"/>
      <c r="Z2481" s="609" t="s">
        <v>983</v>
      </c>
      <c r="AA2481" s="609" t="s">
        <v>5662</v>
      </c>
    </row>
    <row r="2482" spans="1:29" ht="18">
      <c r="A2482" s="2714"/>
      <c r="B2482" s="371">
        <v>102.002</v>
      </c>
      <c r="C2482" s="371" t="s">
        <v>2791</v>
      </c>
      <c r="D2482" s="2716">
        <f t="shared" si="259"/>
        <v>0</v>
      </c>
      <c r="E2482" s="2721" t="s">
        <v>3523</v>
      </c>
      <c r="F2482" s="294"/>
      <c r="G2482" s="2284" t="s">
        <v>2792</v>
      </c>
      <c r="H2482" s="2275"/>
      <c r="I2482" s="2275"/>
      <c r="J2482" s="2275"/>
      <c r="K2482" s="2275"/>
      <c r="L2482" s="2275"/>
      <c r="M2482" s="2275"/>
      <c r="N2482" s="2275"/>
      <c r="O2482" s="2275"/>
      <c r="P2482" s="2275"/>
      <c r="Q2482" s="1476">
        <f t="shared" si="262"/>
        <v>0</v>
      </c>
      <c r="R2482" s="2296"/>
      <c r="S2482" s="367"/>
      <c r="Z2482" s="609" t="s">
        <v>983</v>
      </c>
      <c r="AA2482" s="609" t="s">
        <v>5662</v>
      </c>
    </row>
    <row r="2483" spans="1:29" ht="18">
      <c r="A2483" s="2714"/>
      <c r="B2483" s="371">
        <v>102.003</v>
      </c>
      <c r="C2483" s="371" t="s">
        <v>2791</v>
      </c>
      <c r="D2483" s="2716">
        <f t="shared" si="259"/>
        <v>0</v>
      </c>
      <c r="E2483" s="2721" t="s">
        <v>3523</v>
      </c>
      <c r="F2483" s="294"/>
      <c r="G2483" s="2284" t="s">
        <v>2792</v>
      </c>
      <c r="H2483" s="2275"/>
      <c r="I2483" s="2275"/>
      <c r="J2483" s="2275"/>
      <c r="K2483" s="2275"/>
      <c r="L2483" s="2275"/>
      <c r="M2483" s="2275"/>
      <c r="N2483" s="2275"/>
      <c r="O2483" s="2275"/>
      <c r="P2483" s="2275"/>
      <c r="Q2483" s="1476">
        <f t="shared" si="262"/>
        <v>0</v>
      </c>
      <c r="R2483" s="2296"/>
      <c r="S2483" s="367"/>
      <c r="Z2483" s="609" t="s">
        <v>983</v>
      </c>
      <c r="AA2483" s="609" t="s">
        <v>5662</v>
      </c>
    </row>
    <row r="2484" spans="1:29" ht="18">
      <c r="A2484" s="2714"/>
      <c r="B2484" s="371">
        <v>102.004</v>
      </c>
      <c r="C2484" s="371" t="s">
        <v>2791</v>
      </c>
      <c r="D2484" s="2716">
        <f t="shared" si="259"/>
        <v>0</v>
      </c>
      <c r="E2484" s="2721" t="s">
        <v>3523</v>
      </c>
      <c r="F2484" s="294"/>
      <c r="G2484" s="2284" t="s">
        <v>2792</v>
      </c>
      <c r="H2484" s="2275"/>
      <c r="I2484" s="2275"/>
      <c r="J2484" s="2275"/>
      <c r="K2484" s="2275"/>
      <c r="L2484" s="2275"/>
      <c r="M2484" s="2275"/>
      <c r="N2484" s="2275"/>
      <c r="O2484" s="2275"/>
      <c r="P2484" s="2275"/>
      <c r="Q2484" s="1476">
        <f t="shared" si="262"/>
        <v>0</v>
      </c>
      <c r="R2484" s="2296"/>
      <c r="S2484" s="367"/>
      <c r="Z2484" s="609" t="s">
        <v>983</v>
      </c>
      <c r="AA2484" s="609" t="s">
        <v>5662</v>
      </c>
    </row>
    <row r="2485" spans="1:29" ht="18">
      <c r="A2485" s="2714"/>
      <c r="B2485" s="371">
        <v>102.005</v>
      </c>
      <c r="C2485" s="371" t="s">
        <v>2791</v>
      </c>
      <c r="D2485" s="2716">
        <f t="shared" si="259"/>
        <v>0</v>
      </c>
      <c r="E2485" s="2721" t="s">
        <v>3523</v>
      </c>
      <c r="F2485" s="294"/>
      <c r="G2485" s="2284" t="s">
        <v>2792</v>
      </c>
      <c r="H2485" s="2275"/>
      <c r="I2485" s="2275"/>
      <c r="J2485" s="2275"/>
      <c r="K2485" s="2275"/>
      <c r="L2485" s="2275"/>
      <c r="M2485" s="2275"/>
      <c r="N2485" s="2275"/>
      <c r="O2485" s="2275"/>
      <c r="P2485" s="2275"/>
      <c r="Q2485" s="1476">
        <f t="shared" si="262"/>
        <v>0</v>
      </c>
      <c r="R2485" s="2296"/>
      <c r="S2485" s="367"/>
      <c r="Z2485" s="609" t="s">
        <v>983</v>
      </c>
      <c r="AA2485" s="609" t="s">
        <v>5662</v>
      </c>
    </row>
    <row r="2486" spans="1:29" ht="18">
      <c r="A2486" s="2714"/>
      <c r="B2486" s="371">
        <v>102.006</v>
      </c>
      <c r="C2486" s="371" t="s">
        <v>2791</v>
      </c>
      <c r="D2486" s="2716">
        <f t="shared" si="259"/>
        <v>0</v>
      </c>
      <c r="E2486" s="2721" t="s">
        <v>3523</v>
      </c>
      <c r="F2486" s="294"/>
      <c r="G2486" s="2284" t="s">
        <v>2792</v>
      </c>
      <c r="H2486" s="2275"/>
      <c r="I2486" s="2275"/>
      <c r="J2486" s="2275"/>
      <c r="K2486" s="2275"/>
      <c r="L2486" s="2275"/>
      <c r="M2486" s="2275"/>
      <c r="N2486" s="2275"/>
      <c r="O2486" s="2275"/>
      <c r="P2486" s="2275"/>
      <c r="Q2486" s="1476">
        <f t="shared" si="262"/>
        <v>0</v>
      </c>
      <c r="R2486" s="2296"/>
      <c r="S2486" s="367"/>
      <c r="Z2486" s="609" t="s">
        <v>983</v>
      </c>
      <c r="AA2486" s="609" t="s">
        <v>5662</v>
      </c>
    </row>
    <row r="2487" spans="1:29" ht="18">
      <c r="A2487" s="2714"/>
      <c r="B2487" s="371">
        <v>102.00700000000001</v>
      </c>
      <c r="C2487" s="371" t="s">
        <v>2791</v>
      </c>
      <c r="D2487" s="2716">
        <f t="shared" si="259"/>
        <v>0</v>
      </c>
      <c r="E2487" s="2721" t="s">
        <v>3523</v>
      </c>
      <c r="F2487" s="294"/>
      <c r="G2487" s="2284" t="s">
        <v>2792</v>
      </c>
      <c r="H2487" s="2275"/>
      <c r="I2487" s="2275"/>
      <c r="J2487" s="2275"/>
      <c r="K2487" s="2275"/>
      <c r="L2487" s="2275"/>
      <c r="M2487" s="2275"/>
      <c r="N2487" s="2275"/>
      <c r="O2487" s="2275"/>
      <c r="P2487" s="2275"/>
      <c r="Q2487" s="1476">
        <f t="shared" si="262"/>
        <v>0</v>
      </c>
      <c r="R2487" s="2296"/>
      <c r="S2487" s="367"/>
      <c r="Z2487" s="609" t="s">
        <v>983</v>
      </c>
      <c r="AA2487" s="609" t="s">
        <v>5662</v>
      </c>
    </row>
    <row r="2488" spans="1:29" ht="18">
      <c r="A2488" s="2714"/>
      <c r="B2488" s="371">
        <v>102.008</v>
      </c>
      <c r="C2488" s="371" t="s">
        <v>2791</v>
      </c>
      <c r="D2488" s="2716">
        <f t="shared" si="259"/>
        <v>0</v>
      </c>
      <c r="E2488" s="2721" t="s">
        <v>3523</v>
      </c>
      <c r="F2488" s="294"/>
      <c r="G2488" s="2284" t="s">
        <v>2792</v>
      </c>
      <c r="H2488" s="2275"/>
      <c r="I2488" s="2275"/>
      <c r="J2488" s="2275"/>
      <c r="K2488" s="2275"/>
      <c r="L2488" s="2275"/>
      <c r="M2488" s="2275"/>
      <c r="N2488" s="2275"/>
      <c r="O2488" s="2275"/>
      <c r="P2488" s="2275"/>
      <c r="Q2488" s="1476">
        <f t="shared" si="262"/>
        <v>0</v>
      </c>
      <c r="R2488" s="2296"/>
      <c r="S2488" s="367"/>
      <c r="Z2488" s="609" t="s">
        <v>983</v>
      </c>
      <c r="AA2488" s="609" t="s">
        <v>5662</v>
      </c>
    </row>
    <row r="2489" spans="1:29" ht="18">
      <c r="A2489" s="2714"/>
      <c r="B2489" s="371">
        <v>102.009</v>
      </c>
      <c r="C2489" s="371" t="s">
        <v>2791</v>
      </c>
      <c r="D2489" s="2716">
        <f t="shared" si="259"/>
        <v>0</v>
      </c>
      <c r="E2489" s="2721" t="s">
        <v>3523</v>
      </c>
      <c r="F2489" s="294"/>
      <c r="G2489" s="2284" t="s">
        <v>2792</v>
      </c>
      <c r="H2489" s="2275"/>
      <c r="I2489" s="2275"/>
      <c r="J2489" s="2275"/>
      <c r="K2489" s="2275"/>
      <c r="L2489" s="2275"/>
      <c r="M2489" s="2275"/>
      <c r="N2489" s="2275"/>
      <c r="O2489" s="2275"/>
      <c r="P2489" s="2275"/>
      <c r="Q2489" s="1476">
        <f t="shared" si="262"/>
        <v>0</v>
      </c>
      <c r="R2489" s="2296"/>
      <c r="S2489" s="367"/>
      <c r="Z2489" s="609" t="s">
        <v>983</v>
      </c>
      <c r="AA2489" s="609" t="s">
        <v>5662</v>
      </c>
    </row>
    <row r="2490" spans="1:29" ht="18">
      <c r="A2490" s="2714"/>
      <c r="B2490" s="371">
        <v>102.01</v>
      </c>
      <c r="C2490" s="371" t="s">
        <v>2791</v>
      </c>
      <c r="D2490" s="2716">
        <f t="shared" si="259"/>
        <v>0</v>
      </c>
      <c r="E2490" s="2721" t="s">
        <v>3523</v>
      </c>
      <c r="F2490" s="294"/>
      <c r="G2490" s="2284" t="s">
        <v>2792</v>
      </c>
      <c r="H2490" s="2275"/>
      <c r="I2490" s="2275"/>
      <c r="J2490" s="2275"/>
      <c r="K2490" s="2275"/>
      <c r="L2490" s="2275"/>
      <c r="M2490" s="2275"/>
      <c r="N2490" s="2275"/>
      <c r="O2490" s="2275"/>
      <c r="P2490" s="2275"/>
      <c r="Q2490" s="1476">
        <f t="shared" si="262"/>
        <v>0</v>
      </c>
      <c r="R2490" s="2296"/>
      <c r="S2490" s="367"/>
      <c r="Z2490" s="609" t="s">
        <v>983</v>
      </c>
      <c r="AA2490" s="609" t="s">
        <v>5662</v>
      </c>
    </row>
    <row r="2491" spans="1:29" ht="18">
      <c r="A2491" s="2714"/>
      <c r="B2491" s="371">
        <v>102.999</v>
      </c>
      <c r="C2491" s="371" t="s">
        <v>2793</v>
      </c>
      <c r="D2491" s="2716">
        <f t="shared" si="259"/>
        <v>1</v>
      </c>
      <c r="E2491" s="2721">
        <v>1</v>
      </c>
      <c r="F2491" s="294"/>
      <c r="G2491" s="1474" t="s">
        <v>3523</v>
      </c>
      <c r="H2491" s="1476">
        <f t="shared" ref="H2491:R2491" si="263">SUMIF($E$2467:$E$2493,$G2491,H$2467:H$2493)</f>
        <v>0</v>
      </c>
      <c r="I2491" s="1476">
        <f t="shared" si="263"/>
        <v>0</v>
      </c>
      <c r="J2491" s="1476">
        <f t="shared" si="263"/>
        <v>0</v>
      </c>
      <c r="K2491" s="1476">
        <f t="shared" si="263"/>
        <v>0</v>
      </c>
      <c r="L2491" s="1476">
        <f t="shared" si="263"/>
        <v>0</v>
      </c>
      <c r="M2491" s="1476">
        <f t="shared" si="263"/>
        <v>0</v>
      </c>
      <c r="N2491" s="1476">
        <f t="shared" si="263"/>
        <v>0</v>
      </c>
      <c r="O2491" s="1476">
        <f t="shared" si="263"/>
        <v>0</v>
      </c>
      <c r="P2491" s="1476">
        <f t="shared" si="263"/>
        <v>0</v>
      </c>
      <c r="Q2491" s="1476">
        <f t="shared" si="263"/>
        <v>0</v>
      </c>
      <c r="R2491" s="1477">
        <f t="shared" si="263"/>
        <v>0</v>
      </c>
      <c r="S2491" s="367"/>
      <c r="Z2491" s="609" t="s">
        <v>983</v>
      </c>
      <c r="AA2491" s="609" t="s">
        <v>5662</v>
      </c>
    </row>
    <row r="2492" spans="1:29" ht="18">
      <c r="A2492" s="2714"/>
      <c r="B2492" s="371">
        <v>103</v>
      </c>
      <c r="C2492" s="371" t="s">
        <v>6561</v>
      </c>
      <c r="D2492" s="2716">
        <f t="shared" si="259"/>
        <v>0</v>
      </c>
      <c r="E2492" s="2721">
        <v>1</v>
      </c>
      <c r="F2492" s="294"/>
      <c r="G2492" s="2284" t="s">
        <v>2792</v>
      </c>
      <c r="H2492" s="2275"/>
      <c r="I2492" s="2275"/>
      <c r="J2492" s="2275"/>
      <c r="K2492" s="2275"/>
      <c r="L2492" s="2275"/>
      <c r="M2492" s="2275"/>
      <c r="N2492" s="2275"/>
      <c r="O2492" s="2275"/>
      <c r="P2492" s="2275"/>
      <c r="Q2492" s="1476">
        <f t="shared" ref="Q2492:Q2493" si="264">SUM(H2492:I2492,-J2492,K2492:M2492,-N2492,-O2492,P2492)</f>
        <v>0</v>
      </c>
      <c r="R2492" s="2296"/>
      <c r="S2492" s="367"/>
      <c r="Z2492" s="609" t="s">
        <v>983</v>
      </c>
      <c r="AA2492" s="609" t="s">
        <v>5662</v>
      </c>
    </row>
    <row r="2493" spans="1:29" ht="18">
      <c r="A2493" s="2714"/>
      <c r="B2493" s="371">
        <v>104</v>
      </c>
      <c r="C2493" s="371" t="s">
        <v>2791</v>
      </c>
      <c r="D2493" s="2716">
        <f t="shared" si="259"/>
        <v>0</v>
      </c>
      <c r="E2493" s="2721">
        <v>1</v>
      </c>
      <c r="F2493" s="294"/>
      <c r="G2493" s="2284" t="s">
        <v>2792</v>
      </c>
      <c r="H2493" s="2275"/>
      <c r="I2493" s="2275"/>
      <c r="J2493" s="2275"/>
      <c r="K2493" s="2275"/>
      <c r="L2493" s="2275"/>
      <c r="M2493" s="2275"/>
      <c r="N2493" s="2275"/>
      <c r="O2493" s="2275"/>
      <c r="P2493" s="2275"/>
      <c r="Q2493" s="1476">
        <f t="shared" si="264"/>
        <v>0</v>
      </c>
      <c r="R2493" s="2296"/>
      <c r="S2493" s="367"/>
      <c r="Z2493" s="609" t="s">
        <v>983</v>
      </c>
      <c r="AA2493" s="609" t="s">
        <v>5662</v>
      </c>
    </row>
    <row r="2494" spans="1:29" ht="18.75" thickBot="1">
      <c r="A2494" s="2714"/>
      <c r="B2494" s="371"/>
      <c r="C2494" s="371"/>
      <c r="D2494" s="2716">
        <f t="shared" si="259"/>
        <v>1</v>
      </c>
      <c r="E2494" s="2721" t="s">
        <v>3032</v>
      </c>
      <c r="F2494" s="294"/>
      <c r="G2494" s="374" t="s">
        <v>2752</v>
      </c>
      <c r="H2494" s="1478">
        <f t="shared" ref="H2494:R2494" si="265">SUMPRODUCT($E2467:$E2493,H2467:H2493)</f>
        <v>0</v>
      </c>
      <c r="I2494" s="1478">
        <f t="shared" si="265"/>
        <v>0</v>
      </c>
      <c r="J2494" s="1478">
        <f t="shared" si="265"/>
        <v>0</v>
      </c>
      <c r="K2494" s="1478">
        <f t="shared" si="265"/>
        <v>0</v>
      </c>
      <c r="L2494" s="1478">
        <f t="shared" si="265"/>
        <v>0</v>
      </c>
      <c r="M2494" s="1478">
        <f t="shared" si="265"/>
        <v>0</v>
      </c>
      <c r="N2494" s="1478">
        <f t="shared" si="265"/>
        <v>0</v>
      </c>
      <c r="O2494" s="1478">
        <f t="shared" si="265"/>
        <v>0</v>
      </c>
      <c r="P2494" s="1478">
        <f t="shared" si="265"/>
        <v>0</v>
      </c>
      <c r="Q2494" s="1478">
        <f t="shared" si="265"/>
        <v>0</v>
      </c>
      <c r="R2494" s="1479">
        <f t="shared" si="265"/>
        <v>0</v>
      </c>
      <c r="S2494" s="1596" t="str">
        <f ca="1">HYPERLINK("#'"&amp;$G$1&amp;"'!"&amp;ADDRESS(ROW(Notes!L4893),COLUMN(Notes!L4893),4),"* 请勿删除此行！点击往勾稽单元格，F5+Enter返回")</f>
        <v>* 请勿删除此行！点击往勾稽单元格，F5+Enter返回</v>
      </c>
      <c r="Z2494" s="609" t="s">
        <v>983</v>
      </c>
      <c r="AA2494" s="609" t="s">
        <v>5662</v>
      </c>
      <c r="AC2494" s="369" t="s">
        <v>6573</v>
      </c>
    </row>
    <row r="2495" spans="1:29" ht="18">
      <c r="A2495" s="2714"/>
      <c r="B2495" s="371"/>
      <c r="C2495" s="371" t="s">
        <v>2755</v>
      </c>
      <c r="D2495" s="371"/>
      <c r="F2495" s="294"/>
      <c r="G2495" s="557"/>
      <c r="H2495" s="315"/>
      <c r="I2495" s="315"/>
      <c r="J2495" s="315"/>
      <c r="K2495" s="315"/>
      <c r="L2495" s="315"/>
      <c r="M2495" s="315"/>
      <c r="N2495" s="315"/>
      <c r="O2495" s="315"/>
      <c r="P2495" s="315"/>
      <c r="Q2495" s="566"/>
      <c r="R2495" s="566"/>
      <c r="S2495" s="364"/>
      <c r="Z2495" s="609" t="s">
        <v>983</v>
      </c>
      <c r="AA2495" s="609" t="s">
        <v>5662</v>
      </c>
    </row>
    <row r="2496" spans="1:29" ht="17.25">
      <c r="A2496" s="2715">
        <v>1538</v>
      </c>
      <c r="B2496" s="371">
        <v>20</v>
      </c>
      <c r="C2496" s="2716" t="str">
        <f>VLOOKUP($A2496,Sheet_Items,2,0)</f>
        <v>其他权益工具投资</v>
      </c>
      <c r="D2496" s="371"/>
      <c r="E2496" s="2716" t="s">
        <v>2739</v>
      </c>
      <c r="F2496" s="293"/>
      <c r="G2496" s="305" t="str">
        <f>B2496&amp;" "&amp;C2496</f>
        <v>20 其他权益工具投资</v>
      </c>
      <c r="H2496" s="306"/>
      <c r="I2496" s="306"/>
      <c r="J2496" s="306" t="s">
        <v>2740</v>
      </c>
      <c r="K2496" s="341">
        <f>VLOOKUP($A2496,Sheet_Trialbal,6,0)</f>
        <v>0</v>
      </c>
      <c r="L2496" s="342"/>
      <c r="M2496" s="306" t="s">
        <v>2741</v>
      </c>
      <c r="N2496" s="341">
        <f>VLOOKUP($A2496,Sheet_Trialbal,10,0)</f>
        <v>0</v>
      </c>
      <c r="O2496" s="342"/>
      <c r="P2496" s="301"/>
      <c r="S2496" s="364"/>
      <c r="Z2496" s="609" t="s">
        <v>995</v>
      </c>
      <c r="AA2496" s="609" t="s">
        <v>3525</v>
      </c>
    </row>
    <row r="2497" spans="1:27" ht="18">
      <c r="A2497" s="2714" t="s">
        <v>993</v>
      </c>
      <c r="B2497" s="371">
        <v>1</v>
      </c>
      <c r="C2497" s="371"/>
      <c r="D2497" s="2716" t="str">
        <f>VLOOKUP($A2497,Sheet_NoteList,2,0)</f>
        <v>其他权益工具投资情况</v>
      </c>
      <c r="E2497" s="2716" t="s">
        <v>2742</v>
      </c>
      <c r="F2497" s="293"/>
      <c r="G2497" s="372" t="str">
        <f>"("&amp;B2497&amp;")"&amp;D2497</f>
        <v>(1)其他权益工具投资情况</v>
      </c>
      <c r="H2497" s="1517" t="str">
        <f>$A2497</f>
        <v>1538a</v>
      </c>
      <c r="I2497" s="343" t="s">
        <v>2743</v>
      </c>
      <c r="J2497" s="301" t="s">
        <v>2744</v>
      </c>
      <c r="K2497" s="2210">
        <f>H2504</f>
        <v>0</v>
      </c>
      <c r="L2497" s="349" t="str">
        <f>IF($I2497="适用",IF(ROUND(K$2496-K2497,2)=0,"F/S",ROUND(K$2496-K2497,2)),"#N/A")</f>
        <v>F/S</v>
      </c>
      <c r="M2497" s="301" t="s">
        <v>2745</v>
      </c>
      <c r="N2497" s="2210">
        <f>I2504</f>
        <v>0</v>
      </c>
      <c r="O2497" s="349" t="str">
        <f>IF($I2497="适用",IF(ROUND(N$2496-N2497,2)=0,"F/S",ROUND(N$2496-N2497,2)),"#N/A")</f>
        <v>F/S</v>
      </c>
      <c r="P2497" s="301"/>
      <c r="S2497" s="364"/>
      <c r="Z2497" s="609" t="s">
        <v>995</v>
      </c>
      <c r="AA2497" s="609" t="s">
        <v>3525</v>
      </c>
    </row>
    <row r="2498" spans="1:27" ht="0.75" customHeight="1" thickBot="1">
      <c r="A2498" s="2714"/>
      <c r="B2498" s="371"/>
      <c r="C2498" s="371"/>
      <c r="D2498" s="2716"/>
      <c r="F2498" s="371"/>
      <c r="G2498" s="405" t="s">
        <v>3526</v>
      </c>
      <c r="H2498" s="371" t="s">
        <v>2747</v>
      </c>
      <c r="I2498" s="371" t="s">
        <v>2748</v>
      </c>
      <c r="J2498" s="433"/>
      <c r="K2498" s="428"/>
      <c r="L2498" s="428"/>
      <c r="M2498" s="433"/>
      <c r="N2498" s="428"/>
      <c r="O2498" s="428"/>
      <c r="P2498" s="433"/>
      <c r="Q2498" s="442"/>
      <c r="R2498" s="443"/>
      <c r="S2498" s="364"/>
      <c r="Z2498" s="609" t="s">
        <v>995</v>
      </c>
      <c r="AA2498" s="609" t="s">
        <v>3525</v>
      </c>
    </row>
    <row r="2499" spans="1:27" ht="18">
      <c r="A2499" s="2714"/>
      <c r="B2499" s="371"/>
      <c r="C2499" s="371"/>
      <c r="D2499" s="2716"/>
      <c r="E2499" s="2716" t="s">
        <v>2749</v>
      </c>
      <c r="F2499" s="293"/>
      <c r="G2499" s="2305" t="s">
        <v>5488</v>
      </c>
      <c r="H2499" s="2306" t="str">
        <f>$V$2</f>
        <v>2019年12月31日</v>
      </c>
      <c r="I2499" s="2307" t="str">
        <f>$V$3</f>
        <v>2018年12月31日</v>
      </c>
      <c r="J2499" s="355" t="s">
        <v>5284</v>
      </c>
      <c r="K2499" s="434"/>
      <c r="L2499" s="434"/>
      <c r="M2499" s="435"/>
      <c r="N2499" s="434"/>
      <c r="O2499" s="434"/>
      <c r="P2499" s="435"/>
      <c r="Q2499" s="442"/>
      <c r="R2499" s="443"/>
      <c r="S2499" s="364"/>
      <c r="Z2499" s="609" t="s">
        <v>995</v>
      </c>
      <c r="AA2499" s="609" t="s">
        <v>3525</v>
      </c>
    </row>
    <row r="2500" spans="1:27" ht="18">
      <c r="A2500" s="2714"/>
      <c r="B2500" s="371">
        <v>101</v>
      </c>
      <c r="C2500" s="371"/>
      <c r="D2500" s="2716">
        <f>IF(OR(G2500="*",G2500="",G2500=0),0,COUNTIF($G$2500:$G$2504,G2500))</f>
        <v>1</v>
      </c>
      <c r="E2500" s="2721">
        <v>1</v>
      </c>
      <c r="F2500" s="293"/>
      <c r="G2500" s="308" t="s">
        <v>3527</v>
      </c>
      <c r="H2500" s="309"/>
      <c r="I2500" s="1475">
        <v>0</v>
      </c>
      <c r="J2500" s="438"/>
      <c r="K2500" s="439"/>
      <c r="L2500" s="437"/>
      <c r="M2500" s="438"/>
      <c r="N2500" s="439"/>
      <c r="O2500" s="437"/>
      <c r="P2500" s="438"/>
      <c r="Q2500" s="442"/>
      <c r="R2500" s="443"/>
      <c r="S2500" s="364"/>
      <c r="Z2500" s="609" t="s">
        <v>995</v>
      </c>
      <c r="AA2500" s="609" t="s">
        <v>3525</v>
      </c>
    </row>
    <row r="2501" spans="1:27" ht="18">
      <c r="A2501" s="2714"/>
      <c r="B2501" s="371">
        <v>102</v>
      </c>
      <c r="C2501" s="371"/>
      <c r="D2501" s="2716">
        <f>IF(OR(G2501="*",G2501="",G2501=0),0,COUNTIF($G$2500:$G$2504,G2501))</f>
        <v>1</v>
      </c>
      <c r="E2501" s="2721">
        <v>1</v>
      </c>
      <c r="F2501" s="293"/>
      <c r="G2501" s="308" t="s">
        <v>3528</v>
      </c>
      <c r="H2501" s="309"/>
      <c r="I2501" s="1475">
        <v>0</v>
      </c>
      <c r="J2501" s="438"/>
      <c r="K2501" s="439"/>
      <c r="L2501" s="437"/>
      <c r="M2501" s="438"/>
      <c r="N2501" s="439"/>
      <c r="O2501" s="437"/>
      <c r="P2501" s="438"/>
      <c r="Q2501" s="442"/>
      <c r="R2501" s="443"/>
      <c r="S2501" s="364"/>
      <c r="Z2501" s="609" t="s">
        <v>995</v>
      </c>
      <c r="AA2501" s="609" t="s">
        <v>3525</v>
      </c>
    </row>
    <row r="2502" spans="1:27" ht="18">
      <c r="A2502" s="2714"/>
      <c r="B2502" s="371">
        <v>107</v>
      </c>
      <c r="C2502" s="371" t="s">
        <v>2791</v>
      </c>
      <c r="D2502" s="2716">
        <f>IF(OR(G2502="*",G2502="",G2502=0),0,COUNTIF($G$2500:$G$2504,G2502))</f>
        <v>0</v>
      </c>
      <c r="E2502" s="2721">
        <v>1</v>
      </c>
      <c r="F2502" s="293"/>
      <c r="G2502" s="319" t="s">
        <v>2792</v>
      </c>
      <c r="H2502" s="309"/>
      <c r="I2502" s="1475">
        <v>0</v>
      </c>
      <c r="J2502" s="438"/>
      <c r="K2502" s="439"/>
      <c r="L2502" s="437"/>
      <c r="M2502" s="438"/>
      <c r="N2502" s="439"/>
      <c r="O2502" s="437"/>
      <c r="P2502" s="438"/>
      <c r="Q2502" s="442"/>
      <c r="R2502" s="443"/>
      <c r="S2502" s="364"/>
      <c r="Z2502" s="609" t="s">
        <v>995</v>
      </c>
      <c r="AA2502" s="609" t="s">
        <v>3525</v>
      </c>
    </row>
    <row r="2503" spans="1:27" ht="18">
      <c r="A2503" s="2714"/>
      <c r="B2503" s="371">
        <v>108</v>
      </c>
      <c r="C2503" s="371" t="s">
        <v>2791</v>
      </c>
      <c r="D2503" s="2716">
        <f>IF(OR(G2503="*",G2503="",G2503=0),0,COUNTIF($G$2500:$G$2504,G2503))</f>
        <v>0</v>
      </c>
      <c r="E2503" s="2721">
        <v>1</v>
      </c>
      <c r="F2503" s="293"/>
      <c r="G2503" s="319" t="s">
        <v>2792</v>
      </c>
      <c r="H2503" s="309"/>
      <c r="I2503" s="1475">
        <v>0</v>
      </c>
      <c r="J2503" s="438"/>
      <c r="K2503" s="439"/>
      <c r="L2503" s="437"/>
      <c r="M2503" s="438"/>
      <c r="N2503" s="439"/>
      <c r="O2503" s="437"/>
      <c r="P2503" s="438"/>
      <c r="Q2503" s="442"/>
      <c r="R2503" s="443"/>
      <c r="S2503" s="364"/>
      <c r="Z2503" s="609" t="s">
        <v>995</v>
      </c>
      <c r="AA2503" s="609" t="s">
        <v>3525</v>
      </c>
    </row>
    <row r="2504" spans="1:27" ht="18.75" thickBot="1">
      <c r="A2504" s="2714"/>
      <c r="B2504" s="371"/>
      <c r="C2504" s="371"/>
      <c r="D2504" s="2716">
        <f>IF(OR(G2504="*",G2504="",G2504=0),0,COUNTIF($G$2500:$G$2504,G2504))</f>
        <v>1</v>
      </c>
      <c r="E2504" s="2721" t="s">
        <v>2751</v>
      </c>
      <c r="F2504" s="293"/>
      <c r="G2504" s="2234" t="s">
        <v>5487</v>
      </c>
      <c r="H2504" s="2325">
        <f>SUMPRODUCT($E2499:$E2503,H2499:H2503)</f>
        <v>0</v>
      </c>
      <c r="I2504" s="2342">
        <f>SUMPRODUCT($E2499:$E2503,I2499:I2503)</f>
        <v>0</v>
      </c>
      <c r="J2504" s="440"/>
      <c r="K2504" s="439"/>
      <c r="L2504" s="437"/>
      <c r="M2504" s="440"/>
      <c r="N2504" s="439"/>
      <c r="O2504" s="437"/>
      <c r="P2504" s="440"/>
      <c r="Q2504" s="442"/>
      <c r="R2504" s="443"/>
      <c r="S2504" s="364"/>
      <c r="Z2504" s="609" t="s">
        <v>995</v>
      </c>
      <c r="AA2504" s="609" t="s">
        <v>3525</v>
      </c>
    </row>
    <row r="2505" spans="1:27" ht="18">
      <c r="A2505" s="2714"/>
      <c r="B2505" s="371"/>
      <c r="C2505" s="371" t="s">
        <v>2755</v>
      </c>
      <c r="D2505" s="2716"/>
      <c r="F2505" s="293"/>
      <c r="G2505" s="376"/>
      <c r="H2505" s="315"/>
      <c r="I2505" s="396"/>
      <c r="J2505" s="425"/>
      <c r="K2505" s="426"/>
      <c r="L2505" s="427"/>
      <c r="M2505" s="425"/>
      <c r="N2505" s="426"/>
      <c r="O2505" s="427"/>
      <c r="P2505" s="425"/>
      <c r="Q2505" s="442"/>
      <c r="R2505" s="443"/>
      <c r="S2505" s="364"/>
      <c r="Z2505" s="609" t="s">
        <v>995</v>
      </c>
      <c r="AA2505" s="609" t="s">
        <v>3525</v>
      </c>
    </row>
    <row r="2506" spans="1:27" ht="24">
      <c r="A2506" s="2714" t="s">
        <v>1000</v>
      </c>
      <c r="B2506" s="371">
        <v>2</v>
      </c>
      <c r="C2506" s="371"/>
      <c r="D2506" s="2716" t="str">
        <f>VLOOKUP($A2506,Sheet_NoteList,2,0)</f>
        <v>非交易性权益工具的投资情况</v>
      </c>
      <c r="E2506" s="2716" t="s">
        <v>2742</v>
      </c>
      <c r="F2506" s="293"/>
      <c r="G2506" s="372" t="str">
        <f>"("&amp;B2506&amp;")"&amp;D2506</f>
        <v>(2)非交易性权益工具的投资情况</v>
      </c>
      <c r="H2506" s="1517" t="str">
        <f>$A2506</f>
        <v>1538b</v>
      </c>
      <c r="I2506" s="343" t="s">
        <v>2743</v>
      </c>
      <c r="J2506" s="301" t="s">
        <v>2744</v>
      </c>
      <c r="K2506" s="2210">
        <f>H2517</f>
        <v>0</v>
      </c>
      <c r="L2506" s="349"/>
      <c r="M2506" s="301"/>
      <c r="N2506" s="391"/>
      <c r="O2506" s="349"/>
      <c r="P2506" s="301"/>
      <c r="S2506" s="364"/>
      <c r="Z2506" s="609" t="s">
        <v>995</v>
      </c>
      <c r="AA2506" s="609" t="s">
        <v>3525</v>
      </c>
    </row>
    <row r="2507" spans="1:27" ht="0.75" customHeight="1" thickBot="1">
      <c r="A2507" s="2714"/>
      <c r="B2507" s="371"/>
      <c r="C2507" s="371"/>
      <c r="D2507" s="2716"/>
      <c r="E2507" s="586"/>
      <c r="F2507" s="586"/>
      <c r="G2507" s="2224" t="s">
        <v>3529</v>
      </c>
      <c r="H2507" s="371" t="s">
        <v>2747</v>
      </c>
      <c r="I2507" s="371" t="s">
        <v>2748</v>
      </c>
      <c r="J2507" s="371" t="s">
        <v>2948</v>
      </c>
      <c r="K2507" s="547" t="s">
        <v>3034</v>
      </c>
      <c r="L2507" s="547" t="s">
        <v>3145</v>
      </c>
      <c r="M2507" s="371" t="s">
        <v>3530</v>
      </c>
      <c r="N2507" s="428"/>
      <c r="O2507" s="428"/>
      <c r="P2507" s="433"/>
      <c r="Q2507" s="442"/>
      <c r="R2507" s="443"/>
      <c r="S2507" s="364"/>
      <c r="Z2507" s="609" t="s">
        <v>995</v>
      </c>
      <c r="AA2507" s="609" t="s">
        <v>3525</v>
      </c>
    </row>
    <row r="2508" spans="1:27" ht="51">
      <c r="A2508" s="2714"/>
      <c r="B2508" s="371"/>
      <c r="C2508" s="371"/>
      <c r="D2508" s="2716"/>
      <c r="E2508" s="586" t="s">
        <v>2749</v>
      </c>
      <c r="F2508" s="414"/>
      <c r="G2508" s="2289" t="s">
        <v>5134</v>
      </c>
      <c r="H2508" s="2291" t="s">
        <v>3531</v>
      </c>
      <c r="I2508" s="2291" t="s">
        <v>3532</v>
      </c>
      <c r="J2508" s="2291" t="s">
        <v>3533</v>
      </c>
      <c r="K2508" s="2311" t="s">
        <v>3534</v>
      </c>
      <c r="L2508" s="2311" t="s">
        <v>3535</v>
      </c>
      <c r="M2508" s="2293" t="s">
        <v>3536</v>
      </c>
      <c r="N2508" s="355" t="s">
        <v>5284</v>
      </c>
      <c r="O2508" s="434"/>
      <c r="P2508" s="435"/>
      <c r="Q2508" s="442"/>
      <c r="R2508" s="443"/>
      <c r="S2508" s="364"/>
      <c r="Z2508" s="609" t="s">
        <v>995</v>
      </c>
      <c r="AA2508" s="609" t="s">
        <v>3525</v>
      </c>
    </row>
    <row r="2509" spans="1:27" ht="18">
      <c r="A2509" s="2714"/>
      <c r="B2509" s="371">
        <v>101</v>
      </c>
      <c r="C2509" s="371" t="s">
        <v>2791</v>
      </c>
      <c r="D2509" s="2716">
        <f t="shared" ref="D2509:D2517" si="266">IF(OR(G2509="*",G2509="",G2509=0),0,COUNTIF($G$2509:$G$2517,G2509))</f>
        <v>0</v>
      </c>
      <c r="E2509" s="2721">
        <v>1</v>
      </c>
      <c r="F2509" s="293"/>
      <c r="G2509" s="2284" t="s">
        <v>2792</v>
      </c>
      <c r="H2509" s="2275"/>
      <c r="I2509" s="2275"/>
      <c r="J2509" s="2275"/>
      <c r="K2509" s="2275"/>
      <c r="L2509" s="2298"/>
      <c r="M2509" s="2276"/>
      <c r="N2509" s="439"/>
      <c r="O2509" s="437"/>
      <c r="P2509" s="438"/>
      <c r="Q2509" s="442"/>
      <c r="R2509" s="443"/>
      <c r="S2509" s="364"/>
      <c r="Z2509" s="609" t="s">
        <v>995</v>
      </c>
      <c r="AA2509" s="609" t="s">
        <v>3525</v>
      </c>
    </row>
    <row r="2510" spans="1:27" ht="18">
      <c r="A2510" s="2714"/>
      <c r="B2510" s="371">
        <v>102</v>
      </c>
      <c r="C2510" s="371" t="s">
        <v>2791</v>
      </c>
      <c r="D2510" s="2716">
        <f t="shared" si="266"/>
        <v>0</v>
      </c>
      <c r="E2510" s="2721">
        <v>1</v>
      </c>
      <c r="F2510" s="293"/>
      <c r="G2510" s="2284" t="s">
        <v>2792</v>
      </c>
      <c r="H2510" s="2275"/>
      <c r="I2510" s="2275"/>
      <c r="J2510" s="2275"/>
      <c r="K2510" s="2275"/>
      <c r="L2510" s="2298"/>
      <c r="M2510" s="2276"/>
      <c r="N2510" s="439"/>
      <c r="O2510" s="437"/>
      <c r="P2510" s="438"/>
      <c r="Q2510" s="442"/>
      <c r="R2510" s="443"/>
      <c r="S2510" s="364"/>
      <c r="Z2510" s="609" t="s">
        <v>995</v>
      </c>
      <c r="AA2510" s="609" t="s">
        <v>3525</v>
      </c>
    </row>
    <row r="2511" spans="1:27" ht="18">
      <c r="A2511" s="2714"/>
      <c r="B2511" s="371">
        <v>103</v>
      </c>
      <c r="C2511" s="371" t="s">
        <v>2791</v>
      </c>
      <c r="D2511" s="2716">
        <f t="shared" si="266"/>
        <v>0</v>
      </c>
      <c r="E2511" s="2721">
        <v>1</v>
      </c>
      <c r="F2511" s="293"/>
      <c r="G2511" s="2284" t="s">
        <v>2792</v>
      </c>
      <c r="H2511" s="2275"/>
      <c r="I2511" s="2275"/>
      <c r="J2511" s="2275"/>
      <c r="K2511" s="2275"/>
      <c r="L2511" s="2298"/>
      <c r="M2511" s="2276"/>
      <c r="N2511" s="439"/>
      <c r="O2511" s="437"/>
      <c r="P2511" s="438"/>
      <c r="Q2511" s="442"/>
      <c r="R2511" s="443"/>
      <c r="S2511" s="364"/>
      <c r="Z2511" s="609" t="s">
        <v>995</v>
      </c>
      <c r="AA2511" s="609" t="s">
        <v>3525</v>
      </c>
    </row>
    <row r="2512" spans="1:27" ht="18">
      <c r="A2512" s="2714"/>
      <c r="B2512" s="371">
        <v>104</v>
      </c>
      <c r="C2512" s="371" t="s">
        <v>2791</v>
      </c>
      <c r="D2512" s="2716">
        <f t="shared" si="266"/>
        <v>0</v>
      </c>
      <c r="E2512" s="2721">
        <v>1</v>
      </c>
      <c r="F2512" s="293"/>
      <c r="G2512" s="2284" t="s">
        <v>2792</v>
      </c>
      <c r="H2512" s="2275"/>
      <c r="I2512" s="2275"/>
      <c r="J2512" s="2275"/>
      <c r="K2512" s="2275"/>
      <c r="L2512" s="2298"/>
      <c r="M2512" s="2276"/>
      <c r="N2512" s="439"/>
      <c r="O2512" s="437"/>
      <c r="P2512" s="438"/>
      <c r="Q2512" s="442"/>
      <c r="R2512" s="443"/>
      <c r="S2512" s="364"/>
      <c r="Z2512" s="609" t="s">
        <v>995</v>
      </c>
      <c r="AA2512" s="609" t="s">
        <v>3525</v>
      </c>
    </row>
    <row r="2513" spans="1:27" ht="18">
      <c r="A2513" s="2714"/>
      <c r="B2513" s="371">
        <v>105</v>
      </c>
      <c r="C2513" s="371" t="s">
        <v>2791</v>
      </c>
      <c r="D2513" s="2716">
        <f t="shared" si="266"/>
        <v>0</v>
      </c>
      <c r="E2513" s="2721">
        <v>1</v>
      </c>
      <c r="F2513" s="293"/>
      <c r="G2513" s="2284" t="s">
        <v>2792</v>
      </c>
      <c r="H2513" s="2275"/>
      <c r="I2513" s="2275"/>
      <c r="J2513" s="2275"/>
      <c r="K2513" s="2275"/>
      <c r="L2513" s="2298"/>
      <c r="M2513" s="2276"/>
      <c r="N2513" s="439"/>
      <c r="O2513" s="437"/>
      <c r="P2513" s="438"/>
      <c r="Q2513" s="442"/>
      <c r="R2513" s="443"/>
      <c r="S2513" s="364"/>
      <c r="Z2513" s="609" t="s">
        <v>995</v>
      </c>
      <c r="AA2513" s="609" t="s">
        <v>3525</v>
      </c>
    </row>
    <row r="2514" spans="1:27" ht="18">
      <c r="A2514" s="2714"/>
      <c r="B2514" s="371">
        <v>106</v>
      </c>
      <c r="C2514" s="371" t="s">
        <v>2791</v>
      </c>
      <c r="D2514" s="2716">
        <f t="shared" si="266"/>
        <v>0</v>
      </c>
      <c r="E2514" s="2721">
        <v>1</v>
      </c>
      <c r="F2514" s="293"/>
      <c r="G2514" s="2284" t="s">
        <v>2792</v>
      </c>
      <c r="H2514" s="2275"/>
      <c r="I2514" s="2275"/>
      <c r="J2514" s="2275"/>
      <c r="K2514" s="2275"/>
      <c r="L2514" s="2298"/>
      <c r="M2514" s="2276"/>
      <c r="N2514" s="439"/>
      <c r="O2514" s="437"/>
      <c r="P2514" s="438"/>
      <c r="Q2514" s="442"/>
      <c r="R2514" s="443"/>
      <c r="S2514" s="364"/>
      <c r="Z2514" s="609" t="s">
        <v>995</v>
      </c>
      <c r="AA2514" s="609" t="s">
        <v>3525</v>
      </c>
    </row>
    <row r="2515" spans="1:27" ht="18">
      <c r="A2515" s="2714"/>
      <c r="B2515" s="371">
        <v>107</v>
      </c>
      <c r="C2515" s="371" t="s">
        <v>2791</v>
      </c>
      <c r="D2515" s="2716">
        <f t="shared" si="266"/>
        <v>0</v>
      </c>
      <c r="E2515" s="2721">
        <v>1</v>
      </c>
      <c r="F2515" s="293"/>
      <c r="G2515" s="2284" t="s">
        <v>2792</v>
      </c>
      <c r="H2515" s="2275"/>
      <c r="I2515" s="2275"/>
      <c r="J2515" s="2275"/>
      <c r="K2515" s="2275"/>
      <c r="L2515" s="2298"/>
      <c r="M2515" s="2276"/>
      <c r="N2515" s="439"/>
      <c r="O2515" s="437"/>
      <c r="P2515" s="438"/>
      <c r="Q2515" s="442"/>
      <c r="R2515" s="443"/>
      <c r="S2515" s="364"/>
      <c r="Z2515" s="609" t="s">
        <v>995</v>
      </c>
      <c r="AA2515" s="609" t="s">
        <v>3525</v>
      </c>
    </row>
    <row r="2516" spans="1:27" ht="18">
      <c r="A2516" s="2714"/>
      <c r="B2516" s="371">
        <v>108</v>
      </c>
      <c r="C2516" s="371" t="s">
        <v>2791</v>
      </c>
      <c r="D2516" s="2716">
        <f t="shared" si="266"/>
        <v>0</v>
      </c>
      <c r="E2516" s="2721">
        <v>1</v>
      </c>
      <c r="F2516" s="293"/>
      <c r="G2516" s="2284" t="s">
        <v>2792</v>
      </c>
      <c r="H2516" s="2275"/>
      <c r="I2516" s="2275"/>
      <c r="J2516" s="2275"/>
      <c r="K2516" s="2275"/>
      <c r="L2516" s="2298"/>
      <c r="M2516" s="2276"/>
      <c r="N2516" s="439"/>
      <c r="O2516" s="437"/>
      <c r="P2516" s="438"/>
      <c r="Q2516" s="442"/>
      <c r="R2516" s="443"/>
      <c r="S2516" s="364"/>
      <c r="Z2516" s="609" t="s">
        <v>995</v>
      </c>
      <c r="AA2516" s="609" t="s">
        <v>3525</v>
      </c>
    </row>
    <row r="2517" spans="1:27" ht="18.75" thickBot="1">
      <c r="A2517" s="2714"/>
      <c r="B2517" s="371"/>
      <c r="C2517" s="371"/>
      <c r="D2517" s="2716">
        <f t="shared" si="266"/>
        <v>1</v>
      </c>
      <c r="E2517" s="2721" t="s">
        <v>2751</v>
      </c>
      <c r="F2517" s="293"/>
      <c r="G2517" s="2234" t="s">
        <v>2752</v>
      </c>
      <c r="H2517" s="2235">
        <f>SUMPRODUCT($E2508:$E2516,H2508:H2516)</f>
        <v>0</v>
      </c>
      <c r="I2517" s="2235">
        <f>SUMPRODUCT($E2508:$E2516,I2508:I2516)</f>
        <v>0</v>
      </c>
      <c r="J2517" s="2235">
        <f>SUMPRODUCT($E2508:$E2516,J2508:J2516)</f>
        <v>0</v>
      </c>
      <c r="K2517" s="2235">
        <f>SUMPRODUCT($E2508:$E2516,K2508:K2516)</f>
        <v>0</v>
      </c>
      <c r="L2517" s="2241"/>
      <c r="M2517" s="2313"/>
      <c r="N2517" s="439"/>
      <c r="O2517" s="437"/>
      <c r="P2517" s="440"/>
      <c r="Q2517" s="442"/>
      <c r="R2517" s="443"/>
      <c r="S2517" s="364"/>
      <c r="Z2517" s="609" t="s">
        <v>995</v>
      </c>
      <c r="AA2517" s="609" t="s">
        <v>3525</v>
      </c>
    </row>
    <row r="2518" spans="1:27" ht="18">
      <c r="A2518" s="2714"/>
      <c r="B2518" s="371"/>
      <c r="C2518" s="371" t="s">
        <v>2755</v>
      </c>
      <c r="D2518" s="2716"/>
      <c r="F2518" s="293"/>
      <c r="G2518" s="376"/>
      <c r="H2518" s="315"/>
      <c r="I2518" s="396"/>
      <c r="J2518" s="315"/>
      <c r="K2518" s="423"/>
      <c r="L2518" s="393"/>
      <c r="M2518" s="393"/>
      <c r="N2518" s="426"/>
      <c r="O2518" s="427"/>
      <c r="P2518" s="425"/>
      <c r="Q2518" s="442"/>
      <c r="R2518" s="443"/>
      <c r="S2518" s="364"/>
      <c r="Z2518" s="609" t="s">
        <v>995</v>
      </c>
      <c r="AA2518" s="609" t="s">
        <v>3525</v>
      </c>
    </row>
    <row r="2519" spans="1:27" ht="17.25">
      <c r="A2519" s="2715">
        <v>1539</v>
      </c>
      <c r="B2519" s="371">
        <v>21</v>
      </c>
      <c r="C2519" s="2716" t="str">
        <f>VLOOKUP($A2519,Sheet_Items,2,0)</f>
        <v>其他非流动金融资产</v>
      </c>
      <c r="D2519" s="371"/>
      <c r="E2519" s="2716" t="s">
        <v>2739</v>
      </c>
      <c r="F2519" s="293"/>
      <c r="G2519" s="305" t="str">
        <f>B2519&amp;" "&amp;C2519</f>
        <v>21 其他非流动金融资产</v>
      </c>
      <c r="H2519" s="306"/>
      <c r="I2519" s="306"/>
      <c r="J2519" s="306" t="s">
        <v>2740</v>
      </c>
      <c r="K2519" s="341">
        <f>VLOOKUP($A2519,Sheet_Trialbal,6,0)</f>
        <v>0</v>
      </c>
      <c r="L2519" s="342"/>
      <c r="M2519" s="306" t="s">
        <v>2741</v>
      </c>
      <c r="N2519" s="341">
        <f>VLOOKUP($A2519,Sheet_Trialbal,10,0)</f>
        <v>0</v>
      </c>
      <c r="O2519" s="342"/>
      <c r="P2519" s="301"/>
      <c r="S2519" s="364"/>
      <c r="Z2519" s="609" t="s">
        <v>1008</v>
      </c>
      <c r="AA2519" s="609" t="s">
        <v>3537</v>
      </c>
    </row>
    <row r="2520" spans="1:27" ht="24">
      <c r="A2520" s="2714" t="s">
        <v>1006</v>
      </c>
      <c r="B2520" s="371">
        <v>1</v>
      </c>
      <c r="C2520" s="371"/>
      <c r="D2520" s="2716" t="str">
        <f>VLOOKUP($A2520,Sheet_NoteList,2,0)</f>
        <v>其他非流动金融资产明细</v>
      </c>
      <c r="E2520" s="2716" t="s">
        <v>2742</v>
      </c>
      <c r="F2520" s="293"/>
      <c r="G2520" s="372" t="str">
        <f>"("&amp;B2520&amp;")"&amp;D2520</f>
        <v>(1)其他非流动金融资产明细</v>
      </c>
      <c r="H2520" s="1517" t="str">
        <f>$A2520</f>
        <v>1539a</v>
      </c>
      <c r="I2520" s="343" t="s">
        <v>2743</v>
      </c>
      <c r="J2520" s="301" t="s">
        <v>2744</v>
      </c>
      <c r="K2520" s="2210">
        <f>H2528</f>
        <v>0</v>
      </c>
      <c r="L2520" s="349" t="str">
        <f>IF($I2520="适用",IF(ROUND(K$2519-K2520,2)=0,"F/S",ROUND(K$2519-K2520,2)),"#N/A")</f>
        <v>F/S</v>
      </c>
      <c r="M2520" s="301" t="s">
        <v>2745</v>
      </c>
      <c r="N2520" s="2210">
        <f>I2528</f>
        <v>0</v>
      </c>
      <c r="O2520" s="349" t="str">
        <f>IF($I2520="适用",IF(ROUND(N$2519-N2520,2)=0,"F/S",ROUND(N$2519-N2520,2)),"#N/A")</f>
        <v>F/S</v>
      </c>
      <c r="P2520" s="301"/>
      <c r="S2520" s="364"/>
      <c r="Z2520" s="609" t="s">
        <v>1008</v>
      </c>
      <c r="AA2520" s="609" t="s">
        <v>3537</v>
      </c>
    </row>
    <row r="2521" spans="1:27" ht="0.75" customHeight="1" thickBot="1">
      <c r="A2521" s="2714"/>
      <c r="B2521" s="371"/>
      <c r="C2521" s="371"/>
      <c r="D2521" s="2716"/>
      <c r="F2521" s="371"/>
      <c r="G2521" s="405" t="s">
        <v>3538</v>
      </c>
      <c r="H2521" s="371" t="s">
        <v>2747</v>
      </c>
      <c r="I2521" s="371" t="s">
        <v>2748</v>
      </c>
      <c r="J2521" s="433"/>
      <c r="K2521" s="428"/>
      <c r="L2521" s="428"/>
      <c r="M2521" s="433"/>
      <c r="N2521" s="428"/>
      <c r="O2521" s="428"/>
      <c r="P2521" s="433"/>
      <c r="Q2521" s="442"/>
      <c r="R2521" s="443"/>
      <c r="S2521" s="364"/>
      <c r="Z2521" s="609" t="s">
        <v>1008</v>
      </c>
      <c r="AA2521" s="609" t="s">
        <v>3537</v>
      </c>
    </row>
    <row r="2522" spans="1:27" ht="18">
      <c r="A2522" s="2714"/>
      <c r="B2522" s="371"/>
      <c r="C2522" s="371"/>
      <c r="D2522" s="2716"/>
      <c r="E2522" s="2716" t="s">
        <v>2749</v>
      </c>
      <c r="F2522" s="293"/>
      <c r="G2522" s="2305" t="s">
        <v>5488</v>
      </c>
      <c r="H2522" s="2306" t="str">
        <f>$V$2</f>
        <v>2019年12月31日</v>
      </c>
      <c r="I2522" s="2307" t="str">
        <f>$V$3</f>
        <v>2018年12月31日</v>
      </c>
      <c r="J2522" s="355" t="s">
        <v>5285</v>
      </c>
      <c r="K2522" s="434"/>
      <c r="L2522" s="434"/>
      <c r="M2522" s="435"/>
      <c r="N2522" s="434"/>
      <c r="O2522" s="434"/>
      <c r="P2522" s="435"/>
      <c r="Q2522" s="442"/>
      <c r="R2522" s="443"/>
      <c r="S2522" s="364"/>
      <c r="Z2522" s="609" t="s">
        <v>1008</v>
      </c>
      <c r="AA2522" s="609" t="s">
        <v>3537</v>
      </c>
    </row>
    <row r="2523" spans="1:27" ht="18">
      <c r="A2523" s="2714"/>
      <c r="B2523" s="371">
        <v>101</v>
      </c>
      <c r="C2523" s="371"/>
      <c r="D2523" s="2716">
        <f t="shared" ref="D2523:D2528" si="267">IF(OR(G2523="*",G2523="",G2523=0),0,COUNTIF($G$2523:$G$2528,G2523))</f>
        <v>1</v>
      </c>
      <c r="E2523" s="2721">
        <v>1</v>
      </c>
      <c r="F2523" s="293"/>
      <c r="G2523" s="308" t="s">
        <v>3480</v>
      </c>
      <c r="H2523" s="309"/>
      <c r="I2523" s="1475">
        <v>0</v>
      </c>
      <c r="J2523" s="438"/>
      <c r="K2523" s="439"/>
      <c r="L2523" s="437"/>
      <c r="M2523" s="438"/>
      <c r="N2523" s="439"/>
      <c r="O2523" s="437"/>
      <c r="P2523" s="438"/>
      <c r="Q2523" s="442"/>
      <c r="R2523" s="443"/>
      <c r="S2523" s="364"/>
      <c r="Z2523" s="609" t="s">
        <v>1008</v>
      </c>
      <c r="AA2523" s="609" t="s">
        <v>3537</v>
      </c>
    </row>
    <row r="2524" spans="1:27" ht="18">
      <c r="A2524" s="2714"/>
      <c r="B2524" s="371">
        <v>102</v>
      </c>
      <c r="C2524" s="371"/>
      <c r="D2524" s="2716">
        <f t="shared" si="267"/>
        <v>1</v>
      </c>
      <c r="E2524" s="2721">
        <v>1</v>
      </c>
      <c r="F2524" s="293"/>
      <c r="G2524" s="308" t="s">
        <v>3479</v>
      </c>
      <c r="H2524" s="309"/>
      <c r="I2524" s="1475">
        <v>0</v>
      </c>
      <c r="J2524" s="438"/>
      <c r="K2524" s="439"/>
      <c r="L2524" s="437"/>
      <c r="M2524" s="438"/>
      <c r="N2524" s="439"/>
      <c r="O2524" s="437"/>
      <c r="P2524" s="438"/>
      <c r="Q2524" s="442"/>
      <c r="R2524" s="443"/>
      <c r="S2524" s="364"/>
      <c r="Z2524" s="609" t="s">
        <v>1008</v>
      </c>
      <c r="AA2524" s="609" t="s">
        <v>3537</v>
      </c>
    </row>
    <row r="2525" spans="1:27" ht="24">
      <c r="A2525" s="2714"/>
      <c r="B2525" s="371">
        <v>103</v>
      </c>
      <c r="C2525" s="371"/>
      <c r="D2525" s="2716">
        <f t="shared" si="267"/>
        <v>1</v>
      </c>
      <c r="E2525" s="2721">
        <v>1</v>
      </c>
      <c r="F2525" s="293"/>
      <c r="G2525" s="308" t="s">
        <v>3539</v>
      </c>
      <c r="H2525" s="309"/>
      <c r="I2525" s="1475">
        <v>0</v>
      </c>
      <c r="J2525" s="438"/>
      <c r="K2525" s="439"/>
      <c r="L2525" s="437"/>
      <c r="M2525" s="438"/>
      <c r="N2525" s="439"/>
      <c r="O2525" s="437"/>
      <c r="P2525" s="438"/>
      <c r="Q2525" s="442"/>
      <c r="R2525" s="443"/>
      <c r="S2525" s="364"/>
      <c r="Z2525" s="609" t="s">
        <v>1008</v>
      </c>
      <c r="AA2525" s="609" t="s">
        <v>3537</v>
      </c>
    </row>
    <row r="2526" spans="1:27" ht="18">
      <c r="A2526" s="2714"/>
      <c r="B2526" s="371">
        <v>107</v>
      </c>
      <c r="C2526" s="371" t="s">
        <v>2791</v>
      </c>
      <c r="D2526" s="2716">
        <f t="shared" si="267"/>
        <v>0</v>
      </c>
      <c r="E2526" s="2721">
        <v>1</v>
      </c>
      <c r="F2526" s="293"/>
      <c r="G2526" s="319" t="s">
        <v>2792</v>
      </c>
      <c r="H2526" s="309"/>
      <c r="I2526" s="1475">
        <v>0</v>
      </c>
      <c r="J2526" s="438"/>
      <c r="K2526" s="439"/>
      <c r="L2526" s="437"/>
      <c r="M2526" s="438"/>
      <c r="N2526" s="439"/>
      <c r="O2526" s="437"/>
      <c r="P2526" s="438"/>
      <c r="Q2526" s="442"/>
      <c r="R2526" s="443"/>
      <c r="S2526" s="364"/>
      <c r="Z2526" s="609" t="s">
        <v>1008</v>
      </c>
      <c r="AA2526" s="609" t="s">
        <v>3537</v>
      </c>
    </row>
    <row r="2527" spans="1:27" ht="18">
      <c r="A2527" s="2714"/>
      <c r="B2527" s="371">
        <v>108</v>
      </c>
      <c r="C2527" s="371" t="s">
        <v>2791</v>
      </c>
      <c r="D2527" s="2716">
        <f t="shared" si="267"/>
        <v>0</v>
      </c>
      <c r="E2527" s="2721">
        <v>1</v>
      </c>
      <c r="F2527" s="293"/>
      <c r="G2527" s="319" t="s">
        <v>2792</v>
      </c>
      <c r="H2527" s="309"/>
      <c r="I2527" s="1475">
        <v>0</v>
      </c>
      <c r="J2527" s="438"/>
      <c r="K2527" s="439"/>
      <c r="L2527" s="437"/>
      <c r="M2527" s="438"/>
      <c r="N2527" s="439"/>
      <c r="O2527" s="437"/>
      <c r="P2527" s="438"/>
      <c r="Q2527" s="442"/>
      <c r="R2527" s="443"/>
      <c r="S2527" s="364"/>
      <c r="Z2527" s="609" t="s">
        <v>1008</v>
      </c>
      <c r="AA2527" s="609" t="s">
        <v>3537</v>
      </c>
    </row>
    <row r="2528" spans="1:27" ht="18.75" thickBot="1">
      <c r="A2528" s="2714"/>
      <c r="B2528" s="371"/>
      <c r="C2528" s="371"/>
      <c r="D2528" s="2716">
        <f t="shared" si="267"/>
        <v>1</v>
      </c>
      <c r="E2528" s="2721" t="s">
        <v>2751</v>
      </c>
      <c r="F2528" s="293"/>
      <c r="G2528" s="2234" t="s">
        <v>5487</v>
      </c>
      <c r="H2528" s="2325">
        <f>SUMPRODUCT($E2522:$E2527,H2522:H2527)</f>
        <v>0</v>
      </c>
      <c r="I2528" s="2342">
        <f>SUMPRODUCT($E2522:$E2527,I2522:I2527)</f>
        <v>0</v>
      </c>
      <c r="J2528" s="440"/>
      <c r="K2528" s="439"/>
      <c r="L2528" s="437"/>
      <c r="M2528" s="440"/>
      <c r="N2528" s="439"/>
      <c r="O2528" s="437"/>
      <c r="P2528" s="440"/>
      <c r="Q2528" s="442"/>
      <c r="R2528" s="443"/>
      <c r="S2528" s="364"/>
      <c r="Z2528" s="609" t="s">
        <v>1008</v>
      </c>
      <c r="AA2528" s="609" t="s">
        <v>3537</v>
      </c>
    </row>
    <row r="2529" spans="1:27" ht="18">
      <c r="A2529" s="2714"/>
      <c r="B2529" s="371"/>
      <c r="C2529" s="371" t="s">
        <v>2755</v>
      </c>
      <c r="D2529" s="2716"/>
      <c r="F2529" s="293"/>
      <c r="G2529" s="376"/>
      <c r="H2529" s="315"/>
      <c r="I2529" s="396"/>
      <c r="J2529" s="425"/>
      <c r="K2529" s="426"/>
      <c r="L2529" s="427"/>
      <c r="M2529" s="425"/>
      <c r="N2529" s="426"/>
      <c r="O2529" s="427"/>
      <c r="P2529" s="425"/>
      <c r="Q2529" s="442"/>
      <c r="R2529" s="443"/>
      <c r="S2529" s="364"/>
      <c r="Z2529" s="609" t="s">
        <v>1008</v>
      </c>
      <c r="AA2529" s="609" t="s">
        <v>3537</v>
      </c>
    </row>
    <row r="2530" spans="1:27" ht="24">
      <c r="A2530" s="2714" t="s">
        <v>5617</v>
      </c>
      <c r="B2530" s="371">
        <v>2</v>
      </c>
      <c r="C2530" s="371"/>
      <c r="D2530" s="2716" t="str">
        <f>VLOOKUP($A2530,Sheet_NoteList,2,0)</f>
        <v>其他非流动金融资产——权益工具投资明细</v>
      </c>
      <c r="E2530" s="2716" t="s">
        <v>6531</v>
      </c>
      <c r="F2530" s="293"/>
      <c r="G2530" s="372" t="str">
        <f>"("&amp;B2530&amp;")"&amp;D2530</f>
        <v>(2)其他非流动金融资产——权益工具投资明细</v>
      </c>
      <c r="H2530" s="1517" t="str">
        <f>$A2530</f>
        <v>1539b</v>
      </c>
      <c r="I2530" s="343" t="s">
        <v>5124</v>
      </c>
      <c r="J2530" s="301" t="s">
        <v>5122</v>
      </c>
      <c r="K2530" s="2210">
        <f>H2541</f>
        <v>0</v>
      </c>
      <c r="L2530" s="349"/>
      <c r="M2530" s="301" t="s">
        <v>5123</v>
      </c>
      <c r="N2530" s="2210">
        <f>I2541</f>
        <v>0</v>
      </c>
      <c r="O2530" s="349"/>
      <c r="P2530" s="301"/>
      <c r="S2530" s="364"/>
      <c r="Z2530" s="609" t="s">
        <v>1008</v>
      </c>
      <c r="AA2530" s="609" t="s">
        <v>3537</v>
      </c>
    </row>
    <row r="2531" spans="1:27" ht="0.75" customHeight="1" thickBot="1">
      <c r="A2531" s="2714"/>
      <c r="B2531" s="371"/>
      <c r="C2531" s="371"/>
      <c r="D2531" s="2716"/>
      <c r="F2531" s="371"/>
      <c r="G2531" s="405" t="s">
        <v>5625</v>
      </c>
      <c r="H2531" s="1617" t="s">
        <v>6331</v>
      </c>
      <c r="I2531" s="371" t="s">
        <v>6332</v>
      </c>
      <c r="J2531" s="371" t="s">
        <v>6333</v>
      </c>
      <c r="K2531" s="547" t="s">
        <v>6334</v>
      </c>
      <c r="L2531" s="547" t="s">
        <v>6335</v>
      </c>
      <c r="M2531" s="371" t="s">
        <v>6336</v>
      </c>
      <c r="N2531" s="391"/>
      <c r="O2531" s="349"/>
      <c r="P2531" s="301"/>
      <c r="S2531" s="364"/>
      <c r="Z2531" s="609" t="s">
        <v>1008</v>
      </c>
      <c r="AA2531" s="609" t="s">
        <v>3537</v>
      </c>
    </row>
    <row r="2532" spans="1:27" ht="25.5">
      <c r="A2532" s="2714"/>
      <c r="B2532" s="371"/>
      <c r="C2532" s="371"/>
      <c r="D2532" s="2716"/>
      <c r="E2532" s="2716" t="s">
        <v>2749</v>
      </c>
      <c r="F2532" s="293"/>
      <c r="G2532" s="1635" t="s">
        <v>3376</v>
      </c>
      <c r="H2532" s="1640" t="str">
        <f>$X$3</f>
        <v>2019年1月1日</v>
      </c>
      <c r="I2532" s="1641" t="s">
        <v>3027</v>
      </c>
      <c r="J2532" s="1641" t="s">
        <v>3028</v>
      </c>
      <c r="K2532" s="1642" t="str">
        <f>$V$2</f>
        <v>2019年12月31日</v>
      </c>
      <c r="L2532" s="1643" t="s">
        <v>5630</v>
      </c>
      <c r="M2532" s="1644" t="s">
        <v>3379</v>
      </c>
      <c r="N2532" s="355" t="s">
        <v>6176</v>
      </c>
      <c r="O2532" s="349"/>
      <c r="P2532" s="301"/>
      <c r="S2532" s="364"/>
      <c r="Z2532" s="609" t="s">
        <v>1008</v>
      </c>
      <c r="AA2532" s="609" t="s">
        <v>3537</v>
      </c>
    </row>
    <row r="2533" spans="1:27" ht="18">
      <c r="A2533" s="2714"/>
      <c r="B2533" s="371">
        <v>101</v>
      </c>
      <c r="C2533" s="371" t="s">
        <v>2791</v>
      </c>
      <c r="D2533" s="2716">
        <f t="shared" ref="D2533:D2541" si="268">IF(OR(G2533="*",G2533="",G2533=0),0,COUNTIF($G$2533:$G$2541,G2533))</f>
        <v>0</v>
      </c>
      <c r="E2533" s="2721">
        <v>1</v>
      </c>
      <c r="F2533" s="293"/>
      <c r="G2533" s="1639" t="s">
        <v>2792</v>
      </c>
      <c r="H2533" s="1577"/>
      <c r="I2533" s="422"/>
      <c r="J2533" s="309"/>
      <c r="K2533" s="320"/>
      <c r="L2533" s="360"/>
      <c r="M2533" s="346"/>
      <c r="N2533" s="391"/>
      <c r="O2533" s="349"/>
      <c r="P2533" s="301"/>
      <c r="S2533" s="364"/>
      <c r="Z2533" s="609" t="s">
        <v>1008</v>
      </c>
      <c r="AA2533" s="609" t="s">
        <v>3537</v>
      </c>
    </row>
    <row r="2534" spans="1:27" ht="18">
      <c r="A2534" s="2714"/>
      <c r="B2534" s="371">
        <v>102</v>
      </c>
      <c r="C2534" s="371" t="s">
        <v>2791</v>
      </c>
      <c r="D2534" s="2716">
        <f t="shared" si="268"/>
        <v>0</v>
      </c>
      <c r="E2534" s="2721">
        <v>1</v>
      </c>
      <c r="F2534" s="293"/>
      <c r="G2534" s="1639" t="s">
        <v>2792</v>
      </c>
      <c r="H2534" s="1577"/>
      <c r="I2534" s="422"/>
      <c r="J2534" s="309"/>
      <c r="K2534" s="320"/>
      <c r="L2534" s="360"/>
      <c r="M2534" s="346"/>
      <c r="N2534" s="391"/>
      <c r="O2534" s="349"/>
      <c r="P2534" s="301"/>
      <c r="S2534" s="364"/>
      <c r="Z2534" s="609" t="s">
        <v>1008</v>
      </c>
      <c r="AA2534" s="609" t="s">
        <v>3537</v>
      </c>
    </row>
    <row r="2535" spans="1:27" ht="18">
      <c r="A2535" s="2714"/>
      <c r="B2535" s="371">
        <v>103</v>
      </c>
      <c r="C2535" s="371" t="s">
        <v>2791</v>
      </c>
      <c r="D2535" s="2716">
        <f t="shared" si="268"/>
        <v>0</v>
      </c>
      <c r="E2535" s="2721">
        <v>1</v>
      </c>
      <c r="F2535" s="293"/>
      <c r="G2535" s="1639" t="s">
        <v>2792</v>
      </c>
      <c r="H2535" s="1577"/>
      <c r="I2535" s="422"/>
      <c r="J2535" s="309"/>
      <c r="K2535" s="320"/>
      <c r="L2535" s="360"/>
      <c r="M2535" s="346"/>
      <c r="N2535" s="391"/>
      <c r="O2535" s="349"/>
      <c r="P2535" s="301"/>
      <c r="S2535" s="364"/>
      <c r="Z2535" s="609" t="s">
        <v>1008</v>
      </c>
      <c r="AA2535" s="609" t="s">
        <v>3537</v>
      </c>
    </row>
    <row r="2536" spans="1:27" ht="18">
      <c r="A2536" s="2714"/>
      <c r="B2536" s="371">
        <v>104</v>
      </c>
      <c r="C2536" s="371" t="s">
        <v>2791</v>
      </c>
      <c r="D2536" s="2716">
        <f t="shared" si="268"/>
        <v>0</v>
      </c>
      <c r="E2536" s="2721">
        <v>1</v>
      </c>
      <c r="F2536" s="293"/>
      <c r="G2536" s="1639" t="s">
        <v>2792</v>
      </c>
      <c r="H2536" s="1577"/>
      <c r="I2536" s="422"/>
      <c r="J2536" s="309"/>
      <c r="K2536" s="320"/>
      <c r="L2536" s="360"/>
      <c r="M2536" s="346"/>
      <c r="N2536" s="391"/>
      <c r="O2536" s="349"/>
      <c r="P2536" s="301"/>
      <c r="S2536" s="364"/>
      <c r="Z2536" s="609" t="s">
        <v>1008</v>
      </c>
      <c r="AA2536" s="609" t="s">
        <v>3537</v>
      </c>
    </row>
    <row r="2537" spans="1:27" ht="18">
      <c r="A2537" s="2714"/>
      <c r="B2537" s="371">
        <v>105</v>
      </c>
      <c r="C2537" s="371" t="s">
        <v>2791</v>
      </c>
      <c r="D2537" s="2716">
        <f t="shared" si="268"/>
        <v>0</v>
      </c>
      <c r="E2537" s="2721">
        <v>1</v>
      </c>
      <c r="F2537" s="293"/>
      <c r="G2537" s="1639" t="s">
        <v>2792</v>
      </c>
      <c r="H2537" s="1577"/>
      <c r="I2537" s="422"/>
      <c r="J2537" s="309"/>
      <c r="K2537" s="320"/>
      <c r="L2537" s="360"/>
      <c r="M2537" s="346"/>
      <c r="N2537" s="391"/>
      <c r="O2537" s="349"/>
      <c r="P2537" s="301"/>
      <c r="S2537" s="364"/>
      <c r="Z2537" s="609" t="s">
        <v>1008</v>
      </c>
      <c r="AA2537" s="609" t="s">
        <v>3537</v>
      </c>
    </row>
    <row r="2538" spans="1:27" ht="18">
      <c r="A2538" s="2714"/>
      <c r="B2538" s="371">
        <v>106</v>
      </c>
      <c r="C2538" s="371" t="s">
        <v>2791</v>
      </c>
      <c r="D2538" s="2716">
        <f t="shared" si="268"/>
        <v>0</v>
      </c>
      <c r="E2538" s="2721">
        <v>1</v>
      </c>
      <c r="F2538" s="293"/>
      <c r="G2538" s="1639" t="s">
        <v>2792</v>
      </c>
      <c r="H2538" s="1577"/>
      <c r="I2538" s="422"/>
      <c r="J2538" s="309"/>
      <c r="K2538" s="320"/>
      <c r="L2538" s="360"/>
      <c r="M2538" s="346"/>
      <c r="N2538" s="391"/>
      <c r="O2538" s="349"/>
      <c r="P2538" s="301"/>
      <c r="S2538" s="364"/>
      <c r="Z2538" s="609" t="s">
        <v>1008</v>
      </c>
      <c r="AA2538" s="609" t="s">
        <v>3537</v>
      </c>
    </row>
    <row r="2539" spans="1:27" ht="18">
      <c r="A2539" s="2714"/>
      <c r="B2539" s="371">
        <v>107</v>
      </c>
      <c r="C2539" s="371" t="s">
        <v>2791</v>
      </c>
      <c r="D2539" s="2716">
        <f t="shared" si="268"/>
        <v>0</v>
      </c>
      <c r="E2539" s="2721">
        <v>1</v>
      </c>
      <c r="F2539" s="293"/>
      <c r="G2539" s="1639" t="s">
        <v>2792</v>
      </c>
      <c r="H2539" s="1577"/>
      <c r="I2539" s="422"/>
      <c r="J2539" s="309"/>
      <c r="K2539" s="320"/>
      <c r="L2539" s="360"/>
      <c r="M2539" s="346"/>
      <c r="N2539" s="391"/>
      <c r="O2539" s="349"/>
      <c r="P2539" s="301"/>
      <c r="S2539" s="364"/>
      <c r="Z2539" s="609" t="s">
        <v>1008</v>
      </c>
      <c r="AA2539" s="609" t="s">
        <v>3537</v>
      </c>
    </row>
    <row r="2540" spans="1:27" ht="18">
      <c r="A2540" s="2714"/>
      <c r="B2540" s="371">
        <v>108</v>
      </c>
      <c r="C2540" s="371" t="s">
        <v>2791</v>
      </c>
      <c r="D2540" s="2716">
        <f t="shared" si="268"/>
        <v>0</v>
      </c>
      <c r="E2540" s="2721">
        <v>1</v>
      </c>
      <c r="F2540" s="293"/>
      <c r="G2540" s="1639" t="s">
        <v>2792</v>
      </c>
      <c r="H2540" s="1577"/>
      <c r="I2540" s="422"/>
      <c r="J2540" s="309"/>
      <c r="K2540" s="320"/>
      <c r="L2540" s="360"/>
      <c r="M2540" s="346"/>
      <c r="N2540" s="391"/>
      <c r="O2540" s="349"/>
      <c r="P2540" s="301"/>
      <c r="S2540" s="364"/>
      <c r="Z2540" s="609" t="s">
        <v>1008</v>
      </c>
      <c r="AA2540" s="609" t="s">
        <v>3537</v>
      </c>
    </row>
    <row r="2541" spans="1:27" ht="18.75" thickBot="1">
      <c r="A2541" s="2714"/>
      <c r="B2541" s="371"/>
      <c r="C2541" s="371"/>
      <c r="D2541" s="2716">
        <f t="shared" si="268"/>
        <v>1</v>
      </c>
      <c r="E2541" s="2721" t="s">
        <v>2751</v>
      </c>
      <c r="F2541" s="293"/>
      <c r="G2541" s="1529" t="s">
        <v>2752</v>
      </c>
      <c r="H2541" s="1527">
        <f>SUMPRODUCT($E2532:$E2540,H2532:H2540)</f>
        <v>0</v>
      </c>
      <c r="I2541" s="1527">
        <f>SUMPRODUCT($E2532:$E2540,I2532:I2540)</f>
        <v>0</v>
      </c>
      <c r="J2541" s="1527">
        <f>SUMPRODUCT($E2532:$E2540,J2532:J2540)</f>
        <v>0</v>
      </c>
      <c r="K2541" s="1525"/>
      <c r="L2541" s="1526"/>
      <c r="M2541" s="1528">
        <f>SUMPRODUCT($E2532:$E2540,M2532:M2540)</f>
        <v>0</v>
      </c>
      <c r="N2541" s="391"/>
      <c r="O2541" s="349"/>
      <c r="P2541" s="301"/>
      <c r="S2541" s="364"/>
      <c r="Z2541" s="609" t="s">
        <v>1008</v>
      </c>
      <c r="AA2541" s="609" t="s">
        <v>3537</v>
      </c>
    </row>
    <row r="2542" spans="1:27" ht="18">
      <c r="A2542" s="2714"/>
      <c r="B2542" s="371"/>
      <c r="C2542" s="371" t="s">
        <v>2755</v>
      </c>
      <c r="D2542" s="2716"/>
      <c r="F2542" s="293"/>
      <c r="G2542" s="376"/>
      <c r="H2542" s="1576"/>
      <c r="I2542" s="396"/>
      <c r="J2542" s="315"/>
      <c r="K2542" s="423"/>
      <c r="L2542" s="393"/>
      <c r="M2542" s="315"/>
      <c r="N2542" s="391"/>
      <c r="O2542" s="349"/>
      <c r="P2542" s="301"/>
      <c r="S2542" s="364"/>
      <c r="Z2542" s="609" t="s">
        <v>1008</v>
      </c>
      <c r="AA2542" s="609" t="s">
        <v>3537</v>
      </c>
    </row>
    <row r="2543" spans="1:27" ht="24">
      <c r="A2543" s="2714" t="s">
        <v>5618</v>
      </c>
      <c r="B2543" s="371">
        <v>3</v>
      </c>
      <c r="C2543" s="371"/>
      <c r="D2543" s="2716" t="str">
        <f>VLOOKUP($A2543,Sheet_NoteList,2,0)</f>
        <v>其他非流动金融资产——债务工具投资明细</v>
      </c>
      <c r="E2543" s="2716" t="s">
        <v>6531</v>
      </c>
      <c r="F2543" s="293"/>
      <c r="G2543" s="372" t="str">
        <f>"("&amp;B2543&amp;")"&amp;D2543</f>
        <v>(3)其他非流动金融资产——债务工具投资明细</v>
      </c>
      <c r="H2543" s="1517" t="str">
        <f>$A2543</f>
        <v>1539c</v>
      </c>
      <c r="I2543" s="343" t="s">
        <v>5626</v>
      </c>
      <c r="J2543" s="301" t="s">
        <v>5627</v>
      </c>
      <c r="K2543" s="2210">
        <f>H2554</f>
        <v>0</v>
      </c>
      <c r="L2543" s="349"/>
      <c r="M2543" s="301" t="s">
        <v>5628</v>
      </c>
      <c r="N2543" s="2210">
        <f>I2554</f>
        <v>0</v>
      </c>
      <c r="O2543" s="349"/>
      <c r="P2543" s="301"/>
      <c r="S2543" s="364"/>
      <c r="Z2543" s="609" t="s">
        <v>1008</v>
      </c>
      <c r="AA2543" s="609" t="s">
        <v>3537</v>
      </c>
    </row>
    <row r="2544" spans="1:27" ht="0.75" customHeight="1" thickBot="1">
      <c r="A2544" s="2714"/>
      <c r="B2544" s="371"/>
      <c r="C2544" s="371"/>
      <c r="D2544" s="2716"/>
      <c r="F2544" s="371"/>
      <c r="G2544" s="405" t="s">
        <v>5629</v>
      </c>
      <c r="H2544" s="1617" t="s">
        <v>6337</v>
      </c>
      <c r="I2544" s="371" t="s">
        <v>6338</v>
      </c>
      <c r="J2544" s="371" t="s">
        <v>6339</v>
      </c>
      <c r="K2544" s="547" t="s">
        <v>6340</v>
      </c>
      <c r="L2544" s="349"/>
      <c r="M2544" s="301"/>
      <c r="N2544" s="391"/>
      <c r="O2544" s="349"/>
      <c r="P2544" s="301"/>
      <c r="S2544" s="364"/>
      <c r="Z2544" s="609" t="s">
        <v>1008</v>
      </c>
      <c r="AA2544" s="609" t="s">
        <v>3537</v>
      </c>
    </row>
    <row r="2545" spans="1:27" ht="18">
      <c r="A2545" s="2714"/>
      <c r="B2545" s="371"/>
      <c r="C2545" s="371"/>
      <c r="D2545" s="2716"/>
      <c r="E2545" s="2716" t="s">
        <v>2749</v>
      </c>
      <c r="F2545" s="293"/>
      <c r="G2545" s="1635" t="s">
        <v>47</v>
      </c>
      <c r="H2545" s="1640" t="str">
        <f>$X$3</f>
        <v>2019年1月1日</v>
      </c>
      <c r="I2545" s="1641" t="s">
        <v>3027</v>
      </c>
      <c r="J2545" s="1641" t="s">
        <v>3028</v>
      </c>
      <c r="K2545" s="1645" t="str">
        <f>$V$2</f>
        <v>2019年12月31日</v>
      </c>
      <c r="L2545" s="355" t="s">
        <v>6176</v>
      </c>
      <c r="M2545" s="301"/>
      <c r="N2545" s="391"/>
      <c r="O2545" s="349"/>
      <c r="P2545" s="301"/>
      <c r="S2545" s="364"/>
      <c r="Z2545" s="609" t="s">
        <v>1008</v>
      </c>
      <c r="AA2545" s="609" t="s">
        <v>3537</v>
      </c>
    </row>
    <row r="2546" spans="1:27" ht="18">
      <c r="A2546" s="2714"/>
      <c r="B2546" s="371">
        <v>101</v>
      </c>
      <c r="C2546" s="371" t="s">
        <v>2791</v>
      </c>
      <c r="D2546" s="2716">
        <f t="shared" ref="D2546:D2554" si="269">IF(OR(G2546="*",G2546="",G2546=0),0,COUNTIF($G$2546:$G$2554,G2546))</f>
        <v>0</v>
      </c>
      <c r="E2546" s="2721">
        <v>1</v>
      </c>
      <c r="F2546" s="293"/>
      <c r="G2546" s="1639" t="s">
        <v>2792</v>
      </c>
      <c r="H2546" s="1577"/>
      <c r="I2546" s="422"/>
      <c r="J2546" s="309"/>
      <c r="K2546" s="361"/>
      <c r="L2546" s="349"/>
      <c r="M2546" s="301"/>
      <c r="N2546" s="391"/>
      <c r="O2546" s="349"/>
      <c r="P2546" s="301"/>
      <c r="S2546" s="364"/>
      <c r="Z2546" s="609" t="s">
        <v>1008</v>
      </c>
      <c r="AA2546" s="609" t="s">
        <v>3537</v>
      </c>
    </row>
    <row r="2547" spans="1:27" ht="18">
      <c r="A2547" s="2714"/>
      <c r="B2547" s="371">
        <v>102</v>
      </c>
      <c r="C2547" s="371" t="s">
        <v>2791</v>
      </c>
      <c r="D2547" s="2716">
        <f t="shared" si="269"/>
        <v>0</v>
      </c>
      <c r="E2547" s="2721">
        <v>1</v>
      </c>
      <c r="F2547" s="293"/>
      <c r="G2547" s="1639" t="s">
        <v>2792</v>
      </c>
      <c r="H2547" s="1577"/>
      <c r="I2547" s="422"/>
      <c r="J2547" s="309"/>
      <c r="K2547" s="361"/>
      <c r="L2547" s="349"/>
      <c r="M2547" s="301"/>
      <c r="N2547" s="391"/>
      <c r="O2547" s="349"/>
      <c r="P2547" s="301"/>
      <c r="S2547" s="364"/>
      <c r="Z2547" s="609" t="s">
        <v>1008</v>
      </c>
      <c r="AA2547" s="609" t="s">
        <v>3537</v>
      </c>
    </row>
    <row r="2548" spans="1:27" ht="18">
      <c r="A2548" s="2714"/>
      <c r="B2548" s="371">
        <v>103</v>
      </c>
      <c r="C2548" s="371" t="s">
        <v>2791</v>
      </c>
      <c r="D2548" s="2716">
        <f t="shared" si="269"/>
        <v>0</v>
      </c>
      <c r="E2548" s="2721">
        <v>1</v>
      </c>
      <c r="F2548" s="293"/>
      <c r="G2548" s="1639" t="s">
        <v>2792</v>
      </c>
      <c r="H2548" s="1577"/>
      <c r="I2548" s="422"/>
      <c r="J2548" s="309"/>
      <c r="K2548" s="361"/>
      <c r="L2548" s="349"/>
      <c r="M2548" s="301"/>
      <c r="N2548" s="391"/>
      <c r="O2548" s="349"/>
      <c r="P2548" s="301"/>
      <c r="S2548" s="364"/>
      <c r="Z2548" s="609" t="s">
        <v>1008</v>
      </c>
      <c r="AA2548" s="609" t="s">
        <v>3537</v>
      </c>
    </row>
    <row r="2549" spans="1:27" ht="18">
      <c r="A2549" s="2714"/>
      <c r="B2549" s="371">
        <v>104</v>
      </c>
      <c r="C2549" s="371" t="s">
        <v>2791</v>
      </c>
      <c r="D2549" s="2716">
        <f t="shared" si="269"/>
        <v>0</v>
      </c>
      <c r="E2549" s="2721">
        <v>1</v>
      </c>
      <c r="F2549" s="293"/>
      <c r="G2549" s="1639" t="s">
        <v>2792</v>
      </c>
      <c r="H2549" s="1577"/>
      <c r="I2549" s="422"/>
      <c r="J2549" s="309"/>
      <c r="K2549" s="361"/>
      <c r="L2549" s="349"/>
      <c r="M2549" s="301"/>
      <c r="N2549" s="391"/>
      <c r="O2549" s="349"/>
      <c r="P2549" s="301"/>
      <c r="S2549" s="364"/>
      <c r="Z2549" s="609" t="s">
        <v>1008</v>
      </c>
      <c r="AA2549" s="609" t="s">
        <v>3537</v>
      </c>
    </row>
    <row r="2550" spans="1:27" ht="18">
      <c r="A2550" s="2714"/>
      <c r="B2550" s="371">
        <v>105</v>
      </c>
      <c r="C2550" s="371" t="s">
        <v>2791</v>
      </c>
      <c r="D2550" s="2716">
        <f t="shared" si="269"/>
        <v>0</v>
      </c>
      <c r="E2550" s="2721">
        <v>1</v>
      </c>
      <c r="F2550" s="293"/>
      <c r="G2550" s="1639" t="s">
        <v>2792</v>
      </c>
      <c r="H2550" s="1577"/>
      <c r="I2550" s="422"/>
      <c r="J2550" s="309"/>
      <c r="K2550" s="361"/>
      <c r="L2550" s="349"/>
      <c r="M2550" s="301"/>
      <c r="N2550" s="391"/>
      <c r="O2550" s="349"/>
      <c r="P2550" s="301"/>
      <c r="S2550" s="364"/>
      <c r="Z2550" s="609" t="s">
        <v>1008</v>
      </c>
      <c r="AA2550" s="609" t="s">
        <v>3537</v>
      </c>
    </row>
    <row r="2551" spans="1:27" ht="18">
      <c r="A2551" s="2714"/>
      <c r="B2551" s="371">
        <v>106</v>
      </c>
      <c r="C2551" s="371" t="s">
        <v>2791</v>
      </c>
      <c r="D2551" s="2716">
        <f t="shared" si="269"/>
        <v>0</v>
      </c>
      <c r="E2551" s="2721">
        <v>1</v>
      </c>
      <c r="F2551" s="293"/>
      <c r="G2551" s="1639" t="s">
        <v>2792</v>
      </c>
      <c r="H2551" s="1577"/>
      <c r="I2551" s="422"/>
      <c r="J2551" s="309"/>
      <c r="K2551" s="361"/>
      <c r="L2551" s="349"/>
      <c r="M2551" s="301"/>
      <c r="N2551" s="391"/>
      <c r="O2551" s="349"/>
      <c r="P2551" s="301"/>
      <c r="S2551" s="364"/>
      <c r="Z2551" s="609" t="s">
        <v>1008</v>
      </c>
      <c r="AA2551" s="609" t="s">
        <v>3537</v>
      </c>
    </row>
    <row r="2552" spans="1:27" ht="18">
      <c r="A2552" s="2714"/>
      <c r="B2552" s="371">
        <v>107</v>
      </c>
      <c r="C2552" s="371" t="s">
        <v>2791</v>
      </c>
      <c r="D2552" s="2716">
        <f t="shared" si="269"/>
        <v>0</v>
      </c>
      <c r="E2552" s="2721">
        <v>1</v>
      </c>
      <c r="F2552" s="293"/>
      <c r="G2552" s="1639" t="s">
        <v>2792</v>
      </c>
      <c r="H2552" s="1577"/>
      <c r="I2552" s="422"/>
      <c r="J2552" s="309"/>
      <c r="K2552" s="361"/>
      <c r="L2552" s="349"/>
      <c r="M2552" s="301"/>
      <c r="N2552" s="391"/>
      <c r="O2552" s="349"/>
      <c r="P2552" s="301"/>
      <c r="S2552" s="364"/>
      <c r="Z2552" s="609" t="s">
        <v>1008</v>
      </c>
      <c r="AA2552" s="609" t="s">
        <v>3537</v>
      </c>
    </row>
    <row r="2553" spans="1:27" ht="18">
      <c r="A2553" s="2714"/>
      <c r="B2553" s="371">
        <v>108</v>
      </c>
      <c r="C2553" s="371" t="s">
        <v>2791</v>
      </c>
      <c r="D2553" s="2716">
        <f t="shared" si="269"/>
        <v>0</v>
      </c>
      <c r="E2553" s="2721">
        <v>1</v>
      </c>
      <c r="F2553" s="293"/>
      <c r="G2553" s="1639" t="s">
        <v>2792</v>
      </c>
      <c r="H2553" s="1577"/>
      <c r="I2553" s="422"/>
      <c r="J2553" s="309"/>
      <c r="K2553" s="361"/>
      <c r="L2553" s="349"/>
      <c r="M2553" s="301"/>
      <c r="N2553" s="391"/>
      <c r="O2553" s="349"/>
      <c r="P2553" s="301"/>
      <c r="S2553" s="364"/>
      <c r="Z2553" s="609" t="s">
        <v>1008</v>
      </c>
      <c r="AA2553" s="609" t="s">
        <v>3537</v>
      </c>
    </row>
    <row r="2554" spans="1:27" ht="18.75" thickBot="1">
      <c r="A2554" s="2714"/>
      <c r="B2554" s="371"/>
      <c r="C2554" s="371"/>
      <c r="D2554" s="2716">
        <f t="shared" si="269"/>
        <v>1</v>
      </c>
      <c r="E2554" s="2721" t="s">
        <v>2751</v>
      </c>
      <c r="F2554" s="293"/>
      <c r="G2554" s="1529" t="s">
        <v>2752</v>
      </c>
      <c r="H2554" s="1527">
        <f>SUMPRODUCT($E2545:$E2553,H2545:H2553)</f>
        <v>0</v>
      </c>
      <c r="I2554" s="1527">
        <f>SUMPRODUCT($E2545:$E2553,I2545:I2553)</f>
        <v>0</v>
      </c>
      <c r="J2554" s="1527">
        <f>SUMPRODUCT($E2545:$E2553,J2545:J2553)</f>
        <v>0</v>
      </c>
      <c r="K2554" s="1646"/>
      <c r="L2554" s="349"/>
      <c r="M2554" s="301"/>
      <c r="N2554" s="391"/>
      <c r="O2554" s="349"/>
      <c r="P2554" s="301"/>
      <c r="S2554" s="364"/>
      <c r="Z2554" s="609" t="s">
        <v>1008</v>
      </c>
      <c r="AA2554" s="609" t="s">
        <v>3537</v>
      </c>
    </row>
    <row r="2555" spans="1:27" ht="18">
      <c r="A2555" s="2714"/>
      <c r="B2555" s="371"/>
      <c r="C2555" s="371" t="s">
        <v>2755</v>
      </c>
      <c r="D2555" s="2716"/>
      <c r="F2555" s="293"/>
      <c r="G2555" s="376"/>
      <c r="H2555" s="1576"/>
      <c r="I2555" s="396"/>
      <c r="J2555" s="315"/>
      <c r="K2555" s="423"/>
      <c r="L2555" s="349"/>
      <c r="M2555" s="301"/>
      <c r="N2555" s="391"/>
      <c r="O2555" s="349"/>
      <c r="P2555" s="301"/>
      <c r="S2555" s="364"/>
      <c r="Z2555" s="609" t="s">
        <v>1008</v>
      </c>
      <c r="AA2555" s="609" t="s">
        <v>3537</v>
      </c>
    </row>
    <row r="2556" spans="1:27" ht="18">
      <c r="A2556" s="2714">
        <v>1521</v>
      </c>
      <c r="B2556" s="371">
        <v>22</v>
      </c>
      <c r="C2556" s="2716" t="str">
        <f>VLOOKUP($A2556,Sheet_Items,2,0)</f>
        <v>投资性房地产</v>
      </c>
      <c r="D2556" s="371"/>
      <c r="E2556" s="2716" t="s">
        <v>2739</v>
      </c>
      <c r="F2556" s="294"/>
      <c r="G2556" s="305" t="str">
        <f>B2556&amp;" "&amp;C2556</f>
        <v>22 投资性房地产</v>
      </c>
      <c r="H2556" s="306"/>
      <c r="I2556" s="306"/>
      <c r="J2556" s="306" t="s">
        <v>2740</v>
      </c>
      <c r="K2556" s="341">
        <f>VLOOKUP($A2556,Sheet_Trialbal,6,0)</f>
        <v>0</v>
      </c>
      <c r="L2556" s="342"/>
      <c r="M2556" s="306" t="s">
        <v>2741</v>
      </c>
      <c r="N2556" s="341">
        <f>VLOOKUP($A2556,Sheet_Trialbal,10,0)</f>
        <v>0</v>
      </c>
      <c r="O2556" s="306"/>
      <c r="P2556" s="301"/>
      <c r="S2556" s="364"/>
      <c r="Z2556" s="609" t="s">
        <v>1053</v>
      </c>
      <c r="AA2556" s="609" t="s">
        <v>3540</v>
      </c>
    </row>
    <row r="2557" spans="1:27" ht="24">
      <c r="A2557" s="2714" t="s">
        <v>1051</v>
      </c>
      <c r="B2557" s="371">
        <v>1</v>
      </c>
      <c r="C2557" s="371"/>
      <c r="D2557" s="2716" t="str">
        <f>VLOOKUP($A2557,Sheet_NoteList,2,0)</f>
        <v>采用成本计量模式的投资性房地产</v>
      </c>
      <c r="E2557" s="2716" t="s">
        <v>2742</v>
      </c>
      <c r="F2557" s="293"/>
      <c r="G2557" s="372" t="str">
        <f>"("&amp;B2557&amp;")"&amp;D2557</f>
        <v>(1)采用成本计量模式的投资性房地产</v>
      </c>
      <c r="H2557" s="1517" t="str">
        <f>$A2557</f>
        <v>1521h</v>
      </c>
      <c r="I2557" s="343" t="s">
        <v>2743</v>
      </c>
      <c r="J2557" s="301" t="s">
        <v>2744</v>
      </c>
      <c r="K2557" s="2210">
        <f>H2597</f>
        <v>0</v>
      </c>
      <c r="L2557" s="349" t="str">
        <f>IF($I2557="适用",IF(ROUND(K$2556-K2557,2)=0,"F/S",ROUND(K$2556-K2557,2)),"#N/A")</f>
        <v>F/S</v>
      </c>
      <c r="M2557" s="301" t="s">
        <v>2745</v>
      </c>
      <c r="N2557" s="2210">
        <f>I2597</f>
        <v>0</v>
      </c>
      <c r="O2557" s="349" t="str">
        <f>IF($I2557="适用",IF(ROUND(N$2556-N2557,2)=0,"F/S",ROUND(N$2556-N2557,2)),"#N/A")</f>
        <v>F/S</v>
      </c>
      <c r="P2557" s="301"/>
      <c r="S2557" s="364"/>
      <c r="Z2557" s="609" t="s">
        <v>1053</v>
      </c>
      <c r="AA2557" s="609" t="s">
        <v>3540</v>
      </c>
    </row>
    <row r="2558" spans="1:27" ht="0.75" customHeight="1" thickBot="1">
      <c r="A2558" s="2714"/>
      <c r="B2558" s="371"/>
      <c r="C2558" s="371"/>
      <c r="D2558" s="2716"/>
      <c r="F2558" s="371"/>
      <c r="G2558" s="405" t="s">
        <v>3541</v>
      </c>
      <c r="H2558" s="371" t="s">
        <v>2747</v>
      </c>
      <c r="I2558" s="371" t="s">
        <v>2748</v>
      </c>
      <c r="J2558" s="371" t="s">
        <v>2948</v>
      </c>
      <c r="K2558" s="547" t="s">
        <v>3034</v>
      </c>
      <c r="L2558" s="428"/>
      <c r="M2558" s="433"/>
      <c r="N2558" s="428"/>
      <c r="O2558" s="428"/>
      <c r="P2558" s="433"/>
      <c r="Q2558" s="442"/>
      <c r="R2558" s="443"/>
      <c r="S2558" s="364"/>
      <c r="Z2558" s="609" t="s">
        <v>1053</v>
      </c>
      <c r="AA2558" s="609" t="s">
        <v>3540</v>
      </c>
    </row>
    <row r="2559" spans="1:27" ht="18">
      <c r="A2559" s="2714"/>
      <c r="B2559" s="371"/>
      <c r="C2559" s="371"/>
      <c r="D2559" s="2716"/>
      <c r="E2559" s="2716" t="s">
        <v>2749</v>
      </c>
      <c r="F2559" s="293"/>
      <c r="G2559" s="1471" t="s">
        <v>47</v>
      </c>
      <c r="H2559" s="1466" t="s">
        <v>3542</v>
      </c>
      <c r="I2559" s="1466" t="s">
        <v>3543</v>
      </c>
      <c r="J2559" s="1466" t="s">
        <v>344</v>
      </c>
      <c r="K2559" s="1473" t="s">
        <v>3351</v>
      </c>
      <c r="L2559" s="355" t="s">
        <v>5286</v>
      </c>
      <c r="M2559" s="435"/>
      <c r="N2559" s="434"/>
      <c r="O2559" s="434"/>
      <c r="P2559" s="435"/>
      <c r="Q2559" s="442"/>
      <c r="R2559" s="443"/>
      <c r="S2559" s="364"/>
      <c r="Z2559" s="609" t="s">
        <v>1053</v>
      </c>
      <c r="AA2559" s="609" t="s">
        <v>3540</v>
      </c>
    </row>
    <row r="2560" spans="1:27" ht="18">
      <c r="A2560" s="2714"/>
      <c r="B2560" s="371">
        <v>101</v>
      </c>
      <c r="C2560" s="371"/>
      <c r="D2560" s="2716">
        <f t="shared" ref="D2560:D2597" si="270">IF(OR(G2560="*",G2560="",G2560=0),0,COUNTIF($G$2560:$G$2597,G2560))</f>
        <v>1</v>
      </c>
      <c r="E2560" s="2721" t="s">
        <v>41</v>
      </c>
      <c r="F2560" s="293"/>
      <c r="G2560" s="308" t="s">
        <v>3544</v>
      </c>
      <c r="H2560" s="309"/>
      <c r="I2560" s="309"/>
      <c r="J2560" s="309"/>
      <c r="K2560" s="346"/>
      <c r="L2560" s="437"/>
      <c r="M2560" s="438"/>
      <c r="N2560" s="439"/>
      <c r="O2560" s="437"/>
      <c r="P2560" s="438"/>
      <c r="Q2560" s="442"/>
      <c r="R2560" s="443"/>
      <c r="S2560" s="364"/>
      <c r="Z2560" s="609" t="s">
        <v>1053</v>
      </c>
      <c r="AA2560" s="609" t="s">
        <v>3540</v>
      </c>
    </row>
    <row r="2561" spans="1:27" ht="18">
      <c r="A2561" s="2714"/>
      <c r="B2561" s="371">
        <v>102</v>
      </c>
      <c r="C2561" s="371"/>
      <c r="D2561" s="2716">
        <f t="shared" si="270"/>
        <v>1</v>
      </c>
      <c r="E2561" s="2721">
        <v>1</v>
      </c>
      <c r="F2561" s="293"/>
      <c r="G2561" s="308" t="str">
        <f>"1."&amp;$W$3&amp;" "</f>
        <v xml:space="preserve">1.2018年12月31日 </v>
      </c>
      <c r="H2561" s="309"/>
      <c r="I2561" s="309"/>
      <c r="J2561" s="309"/>
      <c r="K2561" s="1477">
        <f>SUM(H2561:J2561)</f>
        <v>0</v>
      </c>
      <c r="L2561" s="437"/>
      <c r="M2561" s="438"/>
      <c r="N2561" s="439"/>
      <c r="O2561" s="437"/>
      <c r="P2561" s="438"/>
      <c r="Q2561" s="442"/>
      <c r="R2561" s="443"/>
      <c r="S2561" s="364"/>
      <c r="Z2561" s="609" t="s">
        <v>1053</v>
      </c>
      <c r="AA2561" s="609" t="s">
        <v>3540</v>
      </c>
    </row>
    <row r="2562" spans="1:27" ht="18">
      <c r="A2562" s="2714"/>
      <c r="B2562" s="371">
        <v>103</v>
      </c>
      <c r="C2562" s="371"/>
      <c r="D2562" s="2716">
        <f t="shared" si="270"/>
        <v>1</v>
      </c>
      <c r="E2562" s="2721">
        <v>1</v>
      </c>
      <c r="F2562" s="293"/>
      <c r="G2562" s="308" t="s">
        <v>3545</v>
      </c>
      <c r="H2562" s="1476">
        <f>SUM(H2563:H2568)</f>
        <v>0</v>
      </c>
      <c r="I2562" s="1476">
        <f>SUM(I2563:I2568)</f>
        <v>0</v>
      </c>
      <c r="J2562" s="1476">
        <f>SUM(J2563:J2568)</f>
        <v>0</v>
      </c>
      <c r="K2562" s="1477">
        <f>SUM(K2563:K2568)</f>
        <v>0</v>
      </c>
      <c r="L2562" s="437"/>
      <c r="M2562" s="438"/>
      <c r="N2562" s="439"/>
      <c r="O2562" s="437"/>
      <c r="P2562" s="438"/>
      <c r="Q2562" s="442"/>
      <c r="R2562" s="443"/>
      <c r="S2562" s="364"/>
      <c r="Z2562" s="609" t="s">
        <v>1053</v>
      </c>
      <c r="AA2562" s="609" t="s">
        <v>3540</v>
      </c>
    </row>
    <row r="2563" spans="1:27" ht="18">
      <c r="A2563" s="2714"/>
      <c r="B2563" s="371">
        <v>104</v>
      </c>
      <c r="C2563" s="371"/>
      <c r="D2563" s="2716">
        <f t="shared" si="270"/>
        <v>1</v>
      </c>
      <c r="E2563" s="2721">
        <v>1</v>
      </c>
      <c r="F2563" s="293"/>
      <c r="G2563" s="308" t="s">
        <v>3546</v>
      </c>
      <c r="H2563" s="309"/>
      <c r="I2563" s="309"/>
      <c r="J2563" s="309"/>
      <c r="K2563" s="1477">
        <f t="shared" ref="K2563:K2568" si="271">SUM(H2563:J2563)</f>
        <v>0</v>
      </c>
      <c r="L2563" s="437"/>
      <c r="M2563" s="438"/>
      <c r="N2563" s="439"/>
      <c r="O2563" s="437"/>
      <c r="P2563" s="438"/>
      <c r="Q2563" s="442"/>
      <c r="R2563" s="443"/>
      <c r="S2563" s="364"/>
      <c r="Z2563" s="609" t="s">
        <v>1053</v>
      </c>
      <c r="AA2563" s="609" t="s">
        <v>3540</v>
      </c>
    </row>
    <row r="2564" spans="1:27" ht="18">
      <c r="A2564" s="2714"/>
      <c r="B2564" s="371">
        <v>105</v>
      </c>
      <c r="C2564" s="371"/>
      <c r="D2564" s="2716">
        <f t="shared" si="270"/>
        <v>1</v>
      </c>
      <c r="E2564" s="2721">
        <v>1</v>
      </c>
      <c r="F2564" s="293"/>
      <c r="G2564" s="308" t="s">
        <v>5214</v>
      </c>
      <c r="H2564" s="309"/>
      <c r="I2564" s="309"/>
      <c r="J2564" s="309"/>
      <c r="K2564" s="1477">
        <f t="shared" si="271"/>
        <v>0</v>
      </c>
      <c r="L2564" s="437"/>
      <c r="M2564" s="438"/>
      <c r="N2564" s="439"/>
      <c r="O2564" s="437"/>
      <c r="P2564" s="438"/>
      <c r="Q2564" s="442"/>
      <c r="R2564" s="443"/>
      <c r="S2564" s="364"/>
      <c r="Z2564" s="609" t="s">
        <v>1053</v>
      </c>
      <c r="AA2564" s="609" t="s">
        <v>3540</v>
      </c>
    </row>
    <row r="2565" spans="1:27" ht="18">
      <c r="A2565" s="2714"/>
      <c r="B2565" s="371">
        <v>106</v>
      </c>
      <c r="C2565" s="371"/>
      <c r="D2565" s="2716">
        <f t="shared" si="270"/>
        <v>1</v>
      </c>
      <c r="E2565" s="2721">
        <v>1</v>
      </c>
      <c r="F2565" s="293"/>
      <c r="G2565" s="308" t="s">
        <v>5215</v>
      </c>
      <c r="H2565" s="309"/>
      <c r="I2565" s="309"/>
      <c r="J2565" s="309"/>
      <c r="K2565" s="1477">
        <f t="shared" si="271"/>
        <v>0</v>
      </c>
      <c r="L2565" s="437"/>
      <c r="M2565" s="438"/>
      <c r="N2565" s="439"/>
      <c r="O2565" s="437"/>
      <c r="P2565" s="438"/>
      <c r="Q2565" s="442"/>
      <c r="R2565" s="443"/>
      <c r="S2565" s="364"/>
      <c r="Z2565" s="609" t="s">
        <v>1053</v>
      </c>
      <c r="AA2565" s="609" t="s">
        <v>3540</v>
      </c>
    </row>
    <row r="2566" spans="1:27" ht="18">
      <c r="A2566" s="2714"/>
      <c r="B2566" s="371">
        <v>107</v>
      </c>
      <c r="C2566" s="371"/>
      <c r="D2566" s="2716">
        <f t="shared" si="270"/>
        <v>1</v>
      </c>
      <c r="E2566" s="2721">
        <v>1</v>
      </c>
      <c r="F2566" s="293"/>
      <c r="G2566" s="308" t="s">
        <v>5216</v>
      </c>
      <c r="H2566" s="309"/>
      <c r="I2566" s="309"/>
      <c r="J2566" s="309"/>
      <c r="K2566" s="1477">
        <f t="shared" ref="K2566" si="272">SUM(H2566:J2566)</f>
        <v>0</v>
      </c>
      <c r="L2566" s="437"/>
      <c r="M2566" s="438"/>
      <c r="N2566" s="439"/>
      <c r="O2566" s="437"/>
      <c r="P2566" s="438"/>
      <c r="Q2566" s="442"/>
      <c r="R2566" s="443"/>
      <c r="S2566" s="364"/>
      <c r="Z2566" s="609" t="s">
        <v>1053</v>
      </c>
      <c r="AA2566" s="609" t="s">
        <v>3540</v>
      </c>
    </row>
    <row r="2567" spans="1:27" ht="18">
      <c r="A2567" s="2714"/>
      <c r="B2567" s="371">
        <v>108</v>
      </c>
      <c r="C2567" s="371"/>
      <c r="D2567" s="2716">
        <f t="shared" si="270"/>
        <v>1</v>
      </c>
      <c r="E2567" s="2721">
        <v>1</v>
      </c>
      <c r="F2567" s="293"/>
      <c r="G2567" s="308" t="s">
        <v>5217</v>
      </c>
      <c r="H2567" s="309"/>
      <c r="I2567" s="309"/>
      <c r="J2567" s="309"/>
      <c r="K2567" s="1477">
        <f t="shared" ref="K2567" si="273">SUM(H2567:J2567)</f>
        <v>0</v>
      </c>
      <c r="L2567" s="437"/>
      <c r="M2567" s="438"/>
      <c r="N2567" s="439"/>
      <c r="O2567" s="437"/>
      <c r="P2567" s="438"/>
      <c r="Q2567" s="442"/>
      <c r="R2567" s="443"/>
      <c r="S2567" s="364"/>
      <c r="Z2567" s="609" t="s">
        <v>1053</v>
      </c>
      <c r="AA2567" s="609" t="s">
        <v>3540</v>
      </c>
    </row>
    <row r="2568" spans="1:27" ht="18">
      <c r="A2568" s="2714"/>
      <c r="B2568" s="371">
        <v>109</v>
      </c>
      <c r="C2568" s="371" t="s">
        <v>2791</v>
      </c>
      <c r="D2568" s="2716">
        <f t="shared" si="270"/>
        <v>0</v>
      </c>
      <c r="E2568" s="2721">
        <v>1</v>
      </c>
      <c r="F2568" s="293"/>
      <c r="G2568" s="1472" t="s">
        <v>2792</v>
      </c>
      <c r="H2568" s="309"/>
      <c r="I2568" s="309"/>
      <c r="J2568" s="309"/>
      <c r="K2568" s="1477">
        <f t="shared" si="271"/>
        <v>0</v>
      </c>
      <c r="L2568" s="437"/>
      <c r="M2568" s="438"/>
      <c r="N2568" s="439"/>
      <c r="O2568" s="437"/>
      <c r="P2568" s="438"/>
      <c r="Q2568" s="442"/>
      <c r="R2568" s="443"/>
      <c r="S2568" s="364"/>
      <c r="Z2568" s="609" t="s">
        <v>1053</v>
      </c>
      <c r="AA2568" s="609" t="s">
        <v>3540</v>
      </c>
    </row>
    <row r="2569" spans="1:27" ht="18">
      <c r="A2569" s="2714"/>
      <c r="B2569" s="371">
        <v>110</v>
      </c>
      <c r="C2569" s="371"/>
      <c r="D2569" s="2716">
        <f t="shared" si="270"/>
        <v>1</v>
      </c>
      <c r="E2569" s="2721">
        <v>1</v>
      </c>
      <c r="F2569" s="293"/>
      <c r="G2569" s="308" t="s">
        <v>3548</v>
      </c>
      <c r="H2569" s="1476">
        <f>SUM(H2570:H2572)</f>
        <v>0</v>
      </c>
      <c r="I2569" s="1476">
        <f>SUM(I2570:I2572)</f>
        <v>0</v>
      </c>
      <c r="J2569" s="1476">
        <f>SUM(J2570:J2572)</f>
        <v>0</v>
      </c>
      <c r="K2569" s="1477">
        <f>SUM(K2570:K2572)</f>
        <v>0</v>
      </c>
      <c r="L2569" s="437"/>
      <c r="M2569" s="438"/>
      <c r="N2569" s="439"/>
      <c r="O2569" s="437"/>
      <c r="P2569" s="438"/>
      <c r="Q2569" s="442"/>
      <c r="R2569" s="443"/>
      <c r="S2569" s="364"/>
      <c r="Z2569" s="609" t="s">
        <v>1053</v>
      </c>
      <c r="AA2569" s="609" t="s">
        <v>3540</v>
      </c>
    </row>
    <row r="2570" spans="1:27" ht="18">
      <c r="A2570" s="2714"/>
      <c r="B2570" s="371">
        <v>111</v>
      </c>
      <c r="C2570" s="371"/>
      <c r="D2570" s="2716">
        <f t="shared" si="270"/>
        <v>1</v>
      </c>
      <c r="E2570" s="2721">
        <v>1</v>
      </c>
      <c r="F2570" s="293"/>
      <c r="G2570" s="308" t="s">
        <v>3549</v>
      </c>
      <c r="H2570" s="309"/>
      <c r="I2570" s="309"/>
      <c r="J2570" s="309"/>
      <c r="K2570" s="1477">
        <f t="shared" ref="K2570:K2572" si="274">SUM(H2570:J2570)</f>
        <v>0</v>
      </c>
      <c r="L2570" s="437"/>
      <c r="M2570" s="438"/>
      <c r="N2570" s="439"/>
      <c r="O2570" s="437"/>
      <c r="P2570" s="438"/>
      <c r="Q2570" s="442"/>
      <c r="R2570" s="443"/>
      <c r="S2570" s="364"/>
      <c r="Z2570" s="609" t="s">
        <v>1053</v>
      </c>
      <c r="AA2570" s="609" t="s">
        <v>3540</v>
      </c>
    </row>
    <row r="2571" spans="1:27" ht="18">
      <c r="A2571" s="2714"/>
      <c r="B2571" s="371">
        <v>112</v>
      </c>
      <c r="C2571" s="371"/>
      <c r="D2571" s="2716">
        <f t="shared" si="270"/>
        <v>1</v>
      </c>
      <c r="E2571" s="2721">
        <v>1</v>
      </c>
      <c r="F2571" s="293"/>
      <c r="G2571" s="308" t="s">
        <v>3550</v>
      </c>
      <c r="H2571" s="309"/>
      <c r="I2571" s="309"/>
      <c r="J2571" s="309"/>
      <c r="K2571" s="1477">
        <f t="shared" si="274"/>
        <v>0</v>
      </c>
      <c r="L2571" s="437"/>
      <c r="M2571" s="438"/>
      <c r="N2571" s="439"/>
      <c r="O2571" s="437"/>
      <c r="P2571" s="438"/>
      <c r="Q2571" s="442"/>
      <c r="R2571" s="443"/>
      <c r="S2571" s="364"/>
      <c r="Z2571" s="609" t="s">
        <v>1053</v>
      </c>
      <c r="AA2571" s="609" t="s">
        <v>3540</v>
      </c>
    </row>
    <row r="2572" spans="1:27" ht="18">
      <c r="A2572" s="2714"/>
      <c r="B2572" s="371">
        <v>113</v>
      </c>
      <c r="C2572" s="371" t="s">
        <v>2791</v>
      </c>
      <c r="D2572" s="2716">
        <f t="shared" si="270"/>
        <v>0</v>
      </c>
      <c r="E2572" s="2721">
        <v>1</v>
      </c>
      <c r="F2572" s="293"/>
      <c r="G2572" s="1472" t="s">
        <v>2792</v>
      </c>
      <c r="H2572" s="309"/>
      <c r="I2572" s="309"/>
      <c r="J2572" s="309"/>
      <c r="K2572" s="1477">
        <f t="shared" si="274"/>
        <v>0</v>
      </c>
      <c r="L2572" s="437"/>
      <c r="M2572" s="438"/>
      <c r="N2572" s="439"/>
      <c r="O2572" s="437"/>
      <c r="P2572" s="438"/>
      <c r="Q2572" s="442"/>
      <c r="R2572" s="443"/>
      <c r="S2572" s="364"/>
      <c r="Z2572" s="609" t="s">
        <v>1053</v>
      </c>
      <c r="AA2572" s="609" t="s">
        <v>3540</v>
      </c>
    </row>
    <row r="2573" spans="1:27" ht="18">
      <c r="A2573" s="2714"/>
      <c r="B2573" s="371">
        <v>114</v>
      </c>
      <c r="C2573" s="371"/>
      <c r="D2573" s="2716">
        <f t="shared" si="270"/>
        <v>1</v>
      </c>
      <c r="E2573" s="2721">
        <v>1</v>
      </c>
      <c r="F2573" s="293"/>
      <c r="G2573" s="308" t="str">
        <f>"4."&amp;$W$2&amp;"  "</f>
        <v xml:space="preserve">4.2019年12月31日  </v>
      </c>
      <c r="H2573" s="1476">
        <f>SUM(H2561:H2562,-H2569)</f>
        <v>0</v>
      </c>
      <c r="I2573" s="1476">
        <f>SUM(I2561:I2562,-I2569)</f>
        <v>0</v>
      </c>
      <c r="J2573" s="1476">
        <f>SUM(J2561:J2562,-J2569)</f>
        <v>0</v>
      </c>
      <c r="K2573" s="1477">
        <f>SUM(K2561:K2562,-K2569)</f>
        <v>0</v>
      </c>
      <c r="L2573" s="437"/>
      <c r="M2573" s="438"/>
      <c r="N2573" s="439"/>
      <c r="O2573" s="437"/>
      <c r="P2573" s="438"/>
      <c r="Q2573" s="442"/>
      <c r="R2573" s="443"/>
      <c r="S2573" s="364"/>
      <c r="Z2573" s="609" t="s">
        <v>1053</v>
      </c>
      <c r="AA2573" s="609" t="s">
        <v>3540</v>
      </c>
    </row>
    <row r="2574" spans="1:27" ht="18">
      <c r="A2574" s="2714"/>
      <c r="B2574" s="371">
        <v>115</v>
      </c>
      <c r="C2574" s="371"/>
      <c r="D2574" s="2716">
        <f t="shared" si="270"/>
        <v>1</v>
      </c>
      <c r="E2574" s="2721" t="s">
        <v>41</v>
      </c>
      <c r="F2574" s="293"/>
      <c r="G2574" s="308" t="s">
        <v>3551</v>
      </c>
      <c r="H2574" s="309"/>
      <c r="I2574" s="309"/>
      <c r="J2574" s="309"/>
      <c r="K2574" s="346"/>
      <c r="L2574" s="437"/>
      <c r="M2574" s="438"/>
      <c r="N2574" s="439"/>
      <c r="O2574" s="437"/>
      <c r="P2574" s="438"/>
      <c r="Q2574" s="442"/>
      <c r="R2574" s="443"/>
      <c r="S2574" s="364"/>
      <c r="Z2574" s="609" t="s">
        <v>1053</v>
      </c>
      <c r="AA2574" s="609" t="s">
        <v>3540</v>
      </c>
    </row>
    <row r="2575" spans="1:27" ht="18">
      <c r="A2575" s="2714"/>
      <c r="B2575" s="371">
        <v>116</v>
      </c>
      <c r="C2575" s="371"/>
      <c r="D2575" s="2716">
        <f t="shared" si="270"/>
        <v>1</v>
      </c>
      <c r="E2575" s="2721">
        <v>1</v>
      </c>
      <c r="F2575" s="293"/>
      <c r="G2575" s="308" t="str">
        <f>"1."&amp;$W$3&amp;"   "</f>
        <v xml:space="preserve">1.2018年12月31日   </v>
      </c>
      <c r="H2575" s="309"/>
      <c r="I2575" s="309"/>
      <c r="J2575" s="309"/>
      <c r="K2575" s="1477">
        <f>SUM(H2575:J2575)</f>
        <v>0</v>
      </c>
      <c r="L2575" s="437"/>
      <c r="M2575" s="438"/>
      <c r="N2575" s="439"/>
      <c r="O2575" s="437"/>
      <c r="P2575" s="438"/>
      <c r="Q2575" s="442"/>
      <c r="R2575" s="443"/>
      <c r="S2575" s="364"/>
      <c r="Z2575" s="609" t="s">
        <v>1053</v>
      </c>
      <c r="AA2575" s="609" t="s">
        <v>3540</v>
      </c>
    </row>
    <row r="2576" spans="1:27" ht="18">
      <c r="A2576" s="2714"/>
      <c r="B2576" s="371">
        <v>117</v>
      </c>
      <c r="C2576" s="371"/>
      <c r="D2576" s="2716">
        <f t="shared" si="270"/>
        <v>1</v>
      </c>
      <c r="E2576" s="2721">
        <v>1</v>
      </c>
      <c r="F2576" s="293"/>
      <c r="G2576" s="308" t="s">
        <v>3552</v>
      </c>
      <c r="H2576" s="1476">
        <f>SUM(H2577:H2578)</f>
        <v>0</v>
      </c>
      <c r="I2576" s="1476">
        <f>SUM(I2577:I2578)</f>
        <v>0</v>
      </c>
      <c r="J2576" s="1476">
        <f>SUM(J2577:J2578)</f>
        <v>0</v>
      </c>
      <c r="K2576" s="1477">
        <f>SUM(K2577:K2578)</f>
        <v>0</v>
      </c>
      <c r="L2576" s="437"/>
      <c r="M2576" s="438"/>
      <c r="N2576" s="439"/>
      <c r="O2576" s="437"/>
      <c r="P2576" s="438"/>
      <c r="Q2576" s="442"/>
      <c r="R2576" s="443"/>
      <c r="S2576" s="364"/>
      <c r="Z2576" s="609" t="s">
        <v>1053</v>
      </c>
      <c r="AA2576" s="609" t="s">
        <v>3540</v>
      </c>
    </row>
    <row r="2577" spans="1:29" ht="18">
      <c r="A2577" s="2714"/>
      <c r="B2577" s="371">
        <v>118</v>
      </c>
      <c r="C2577" s="371"/>
      <c r="D2577" s="2716">
        <f t="shared" si="270"/>
        <v>1</v>
      </c>
      <c r="E2577" s="2721">
        <v>1</v>
      </c>
      <c r="F2577" s="293"/>
      <c r="G2577" s="308" t="s">
        <v>3553</v>
      </c>
      <c r="H2577" s="309"/>
      <c r="I2577" s="309"/>
      <c r="J2577" s="309"/>
      <c r="K2577" s="1477">
        <f t="shared" ref="K2577:K2578" si="275">SUM(H2577:J2577)</f>
        <v>0</v>
      </c>
      <c r="L2577" s="437"/>
      <c r="M2577" s="438"/>
      <c r="N2577" s="439"/>
      <c r="O2577" s="437"/>
      <c r="P2577" s="438"/>
      <c r="Q2577" s="442"/>
      <c r="R2577" s="443"/>
      <c r="S2577" s="364"/>
      <c r="Z2577" s="609" t="s">
        <v>1053</v>
      </c>
      <c r="AA2577" s="609" t="s">
        <v>3540</v>
      </c>
    </row>
    <row r="2578" spans="1:29" ht="18">
      <c r="A2578" s="2714"/>
      <c r="B2578" s="371">
        <v>119</v>
      </c>
      <c r="C2578" s="371" t="s">
        <v>2791</v>
      </c>
      <c r="D2578" s="2716">
        <f t="shared" si="270"/>
        <v>0</v>
      </c>
      <c r="E2578" s="2721">
        <v>1</v>
      </c>
      <c r="F2578" s="293"/>
      <c r="G2578" s="1472" t="s">
        <v>2792</v>
      </c>
      <c r="H2578" s="309"/>
      <c r="I2578" s="309"/>
      <c r="J2578" s="309"/>
      <c r="K2578" s="1477">
        <f t="shared" si="275"/>
        <v>0</v>
      </c>
      <c r="L2578" s="437"/>
      <c r="M2578" s="438"/>
      <c r="N2578" s="439"/>
      <c r="O2578" s="437"/>
      <c r="P2578" s="438"/>
      <c r="Q2578" s="442"/>
      <c r="R2578" s="443"/>
      <c r="S2578" s="364"/>
      <c r="Z2578" s="609" t="s">
        <v>1053</v>
      </c>
      <c r="AA2578" s="609" t="s">
        <v>3540</v>
      </c>
    </row>
    <row r="2579" spans="1:29" ht="18">
      <c r="A2579" s="2714"/>
      <c r="B2579" s="371">
        <v>120</v>
      </c>
      <c r="C2579" s="371"/>
      <c r="D2579" s="2716">
        <f t="shared" si="270"/>
        <v>1</v>
      </c>
      <c r="E2579" s="2721">
        <v>1</v>
      </c>
      <c r="F2579" s="293"/>
      <c r="G2579" s="308" t="s">
        <v>3554</v>
      </c>
      <c r="H2579" s="1476">
        <f>SUM(H2580:H2582)</f>
        <v>0</v>
      </c>
      <c r="I2579" s="1476">
        <f>SUM(I2580:I2582)</f>
        <v>0</v>
      </c>
      <c r="J2579" s="1476">
        <f>SUM(J2580:J2582)</f>
        <v>0</v>
      </c>
      <c r="K2579" s="1477">
        <f>SUM(K2580:K2582)</f>
        <v>0</v>
      </c>
      <c r="L2579" s="437"/>
      <c r="M2579" s="438"/>
      <c r="N2579" s="439"/>
      <c r="O2579" s="437"/>
      <c r="P2579" s="438"/>
      <c r="Q2579" s="442"/>
      <c r="R2579" s="443"/>
      <c r="S2579" s="364"/>
      <c r="Z2579" s="609" t="s">
        <v>1053</v>
      </c>
      <c r="AA2579" s="609" t="s">
        <v>3540</v>
      </c>
    </row>
    <row r="2580" spans="1:29" ht="18">
      <c r="A2580" s="2714"/>
      <c r="B2580" s="371">
        <v>121</v>
      </c>
      <c r="C2580" s="371"/>
      <c r="D2580" s="2716">
        <f t="shared" si="270"/>
        <v>1</v>
      </c>
      <c r="E2580" s="2721">
        <v>1</v>
      </c>
      <c r="F2580" s="293"/>
      <c r="G2580" s="308" t="s">
        <v>3555</v>
      </c>
      <c r="H2580" s="309"/>
      <c r="I2580" s="309"/>
      <c r="J2580" s="309"/>
      <c r="K2580" s="1477">
        <f t="shared" ref="K2580:K2582" si="276">SUM(H2580:J2580)</f>
        <v>0</v>
      </c>
      <c r="L2580" s="437"/>
      <c r="M2580" s="438"/>
      <c r="N2580" s="439"/>
      <c r="O2580" s="437"/>
      <c r="P2580" s="438"/>
      <c r="Q2580" s="442"/>
      <c r="R2580" s="443"/>
      <c r="S2580" s="364"/>
      <c r="Z2580" s="609" t="s">
        <v>1053</v>
      </c>
      <c r="AA2580" s="609" t="s">
        <v>3540</v>
      </c>
    </row>
    <row r="2581" spans="1:29" ht="18">
      <c r="A2581" s="2714"/>
      <c r="B2581" s="371">
        <v>122</v>
      </c>
      <c r="C2581" s="371"/>
      <c r="D2581" s="2716">
        <f t="shared" si="270"/>
        <v>1</v>
      </c>
      <c r="E2581" s="2721">
        <v>1</v>
      </c>
      <c r="F2581" s="293"/>
      <c r="G2581" s="308" t="s">
        <v>3556</v>
      </c>
      <c r="H2581" s="309"/>
      <c r="I2581" s="309"/>
      <c r="J2581" s="309"/>
      <c r="K2581" s="1477">
        <f t="shared" si="276"/>
        <v>0</v>
      </c>
      <c r="L2581" s="437"/>
      <c r="M2581" s="438"/>
      <c r="N2581" s="439"/>
      <c r="O2581" s="437"/>
      <c r="P2581" s="438"/>
      <c r="Q2581" s="442"/>
      <c r="R2581" s="443"/>
      <c r="S2581" s="364"/>
      <c r="Z2581" s="609" t="s">
        <v>1053</v>
      </c>
      <c r="AA2581" s="609" t="s">
        <v>3540</v>
      </c>
    </row>
    <row r="2582" spans="1:29" ht="18">
      <c r="A2582" s="2714"/>
      <c r="B2582" s="371">
        <v>123</v>
      </c>
      <c r="C2582" s="371" t="s">
        <v>2791</v>
      </c>
      <c r="D2582" s="2716">
        <f t="shared" si="270"/>
        <v>0</v>
      </c>
      <c r="E2582" s="2721">
        <v>1</v>
      </c>
      <c r="F2582" s="293"/>
      <c r="G2582" s="1472" t="s">
        <v>2792</v>
      </c>
      <c r="H2582" s="309"/>
      <c r="I2582" s="309"/>
      <c r="J2582" s="309"/>
      <c r="K2582" s="1477">
        <f t="shared" si="276"/>
        <v>0</v>
      </c>
      <c r="L2582" s="437"/>
      <c r="M2582" s="438"/>
      <c r="N2582" s="439"/>
      <c r="O2582" s="437"/>
      <c r="P2582" s="438"/>
      <c r="Q2582" s="442"/>
      <c r="R2582" s="443"/>
      <c r="S2582" s="364"/>
      <c r="Z2582" s="609" t="s">
        <v>1053</v>
      </c>
      <c r="AA2582" s="609" t="s">
        <v>3540</v>
      </c>
    </row>
    <row r="2583" spans="1:29" ht="18">
      <c r="A2583" s="2714"/>
      <c r="B2583" s="371">
        <v>124</v>
      </c>
      <c r="C2583" s="371"/>
      <c r="D2583" s="2716">
        <f t="shared" si="270"/>
        <v>1</v>
      </c>
      <c r="E2583" s="2721">
        <v>1</v>
      </c>
      <c r="F2583" s="293"/>
      <c r="G2583" s="308" t="str">
        <f>"4."&amp;$W$2&amp;"   "</f>
        <v xml:space="preserve">4.2019年12月31日   </v>
      </c>
      <c r="H2583" s="1476">
        <f>SUM(H2575:H2576,-H2579)</f>
        <v>0</v>
      </c>
      <c r="I2583" s="1476">
        <f>SUM(I2575:I2576,-I2579)</f>
        <v>0</v>
      </c>
      <c r="J2583" s="1476">
        <f>SUM(J2575:J2576,-J2579)</f>
        <v>0</v>
      </c>
      <c r="K2583" s="1477">
        <f>SUM(K2575:K2576,-K2579)</f>
        <v>0</v>
      </c>
      <c r="L2583" s="437"/>
      <c r="M2583" s="438"/>
      <c r="N2583" s="439"/>
      <c r="O2583" s="437"/>
      <c r="P2583" s="438"/>
      <c r="Q2583" s="442"/>
      <c r="R2583" s="443"/>
      <c r="S2583" s="364"/>
      <c r="Z2583" s="609" t="s">
        <v>1053</v>
      </c>
      <c r="AA2583" s="609" t="s">
        <v>3540</v>
      </c>
    </row>
    <row r="2584" spans="1:29" ht="18">
      <c r="A2584" s="2714"/>
      <c r="B2584" s="371">
        <v>125</v>
      </c>
      <c r="C2584" s="371"/>
      <c r="D2584" s="2716">
        <f t="shared" si="270"/>
        <v>1</v>
      </c>
      <c r="E2584" s="2721" t="s">
        <v>41</v>
      </c>
      <c r="F2584" s="293"/>
      <c r="G2584" s="308" t="s">
        <v>3557</v>
      </c>
      <c r="H2584" s="309"/>
      <c r="I2584" s="309"/>
      <c r="J2584" s="309"/>
      <c r="K2584" s="346"/>
      <c r="L2584" s="437"/>
      <c r="M2584" s="438"/>
      <c r="N2584" s="439"/>
      <c r="O2584" s="437"/>
      <c r="P2584" s="438"/>
      <c r="Q2584" s="442"/>
      <c r="R2584" s="443"/>
      <c r="S2584" s="364"/>
      <c r="Z2584" s="609" t="s">
        <v>1053</v>
      </c>
      <c r="AA2584" s="609" t="s">
        <v>3540</v>
      </c>
    </row>
    <row r="2585" spans="1:29" ht="18">
      <c r="A2585" s="2714"/>
      <c r="B2585" s="371">
        <v>126</v>
      </c>
      <c r="C2585" s="371"/>
      <c r="D2585" s="2716">
        <f t="shared" si="270"/>
        <v>1</v>
      </c>
      <c r="E2585" s="2721">
        <v>1</v>
      </c>
      <c r="F2585" s="293"/>
      <c r="G2585" s="308" t="str">
        <f>"1."&amp;$W$3&amp;""</f>
        <v>1.2018年12月31日</v>
      </c>
      <c r="H2585" s="309"/>
      <c r="I2585" s="309"/>
      <c r="J2585" s="309"/>
      <c r="K2585" s="1477">
        <f>SUM(H2585:J2585)</f>
        <v>0</v>
      </c>
      <c r="L2585" s="437"/>
      <c r="M2585" s="438"/>
      <c r="N2585" s="439"/>
      <c r="O2585" s="437"/>
      <c r="P2585" s="438"/>
      <c r="Q2585" s="442"/>
      <c r="R2585" s="443"/>
      <c r="S2585" s="364"/>
      <c r="Z2585" s="609" t="s">
        <v>1053</v>
      </c>
      <c r="AA2585" s="609" t="s">
        <v>3540</v>
      </c>
    </row>
    <row r="2586" spans="1:29" ht="18">
      <c r="A2586" s="2714"/>
      <c r="B2586" s="371">
        <v>127</v>
      </c>
      <c r="C2586" s="371"/>
      <c r="D2586" s="2716">
        <f t="shared" si="270"/>
        <v>1</v>
      </c>
      <c r="E2586" s="2721">
        <v>1</v>
      </c>
      <c r="F2586" s="293"/>
      <c r="G2586" s="308" t="s">
        <v>3558</v>
      </c>
      <c r="H2586" s="1476">
        <f>SUM(H2587:H2588)</f>
        <v>0</v>
      </c>
      <c r="I2586" s="1476">
        <f>SUM(I2587:I2588)</f>
        <v>0</v>
      </c>
      <c r="J2586" s="1476">
        <f>SUM(J2587:J2588)</f>
        <v>0</v>
      </c>
      <c r="K2586" s="1477">
        <f>SUM(K2587:K2588)</f>
        <v>0</v>
      </c>
      <c r="L2586" s="437"/>
      <c r="M2586" s="438"/>
      <c r="N2586" s="439"/>
      <c r="O2586" s="437"/>
      <c r="P2586" s="438"/>
      <c r="Q2586" s="442"/>
      <c r="R2586" s="443"/>
      <c r="S2586" s="364"/>
      <c r="Z2586" s="609" t="s">
        <v>1053</v>
      </c>
      <c r="AA2586" s="609" t="s">
        <v>3540</v>
      </c>
    </row>
    <row r="2587" spans="1:29" ht="18">
      <c r="A2587" s="2714"/>
      <c r="B2587" s="371">
        <v>128</v>
      </c>
      <c r="C2587" s="371"/>
      <c r="D2587" s="2716">
        <f t="shared" si="270"/>
        <v>1</v>
      </c>
      <c r="E2587" s="2721">
        <v>1</v>
      </c>
      <c r="F2587" s="293"/>
      <c r="G2587" s="308" t="s">
        <v>3559</v>
      </c>
      <c r="H2587" s="309"/>
      <c r="I2587" s="309"/>
      <c r="J2587" s="309"/>
      <c r="K2587" s="1477">
        <f t="shared" ref="K2587:K2588" si="277">SUM(H2587:J2587)</f>
        <v>0</v>
      </c>
      <c r="L2587" s="1589" t="str">
        <f ca="1">HYPERLINK("#'"&amp;$G$1&amp;"'!"&amp;ADDRESS(ROW(Notes!L4894),COLUMN(Notes!L4894),4),"* 请勿删除此行！点击往勾稽单元格，F5+Enter返回")</f>
        <v>* 请勿删除此行！点击往勾稽单元格，F5+Enter返回</v>
      </c>
      <c r="M2587" s="438"/>
      <c r="N2587" s="439"/>
      <c r="O2587" s="437"/>
      <c r="P2587" s="438"/>
      <c r="Q2587" s="442"/>
      <c r="R2587" s="443"/>
      <c r="S2587" s="364"/>
      <c r="Z2587" s="609" t="s">
        <v>1053</v>
      </c>
      <c r="AA2587" s="609" t="s">
        <v>3540</v>
      </c>
      <c r="AC2587" s="369" t="s">
        <v>2794</v>
      </c>
    </row>
    <row r="2588" spans="1:29" ht="18">
      <c r="A2588" s="2714"/>
      <c r="B2588" s="371">
        <v>129</v>
      </c>
      <c r="C2588" s="371" t="s">
        <v>2791</v>
      </c>
      <c r="D2588" s="2716">
        <f t="shared" si="270"/>
        <v>0</v>
      </c>
      <c r="E2588" s="2721">
        <v>1</v>
      </c>
      <c r="F2588" s="293"/>
      <c r="G2588" s="1472" t="s">
        <v>2792</v>
      </c>
      <c r="H2588" s="309"/>
      <c r="I2588" s="309"/>
      <c r="J2588" s="309"/>
      <c r="K2588" s="1477">
        <f t="shared" si="277"/>
        <v>0</v>
      </c>
      <c r="L2588" s="437"/>
      <c r="M2588" s="438"/>
      <c r="N2588" s="439"/>
      <c r="O2588" s="437"/>
      <c r="P2588" s="438"/>
      <c r="Q2588" s="442"/>
      <c r="R2588" s="443"/>
      <c r="S2588" s="364"/>
      <c r="Z2588" s="609" t="s">
        <v>1053</v>
      </c>
      <c r="AA2588" s="609" t="s">
        <v>3540</v>
      </c>
    </row>
    <row r="2589" spans="1:29" ht="18">
      <c r="A2589" s="2714"/>
      <c r="B2589" s="371">
        <v>130</v>
      </c>
      <c r="C2589" s="371"/>
      <c r="D2589" s="2716">
        <f t="shared" si="270"/>
        <v>1</v>
      </c>
      <c r="E2589" s="2721">
        <v>1</v>
      </c>
      <c r="F2589" s="293"/>
      <c r="G2589" s="308" t="s">
        <v>3560</v>
      </c>
      <c r="H2589" s="1476">
        <f>SUM(H2590:H2592)</f>
        <v>0</v>
      </c>
      <c r="I2589" s="1476">
        <f>SUM(I2590:I2592)</f>
        <v>0</v>
      </c>
      <c r="J2589" s="1476">
        <f>SUM(J2590:J2592)</f>
        <v>0</v>
      </c>
      <c r="K2589" s="1477">
        <f>SUM(K2590:K2592)</f>
        <v>0</v>
      </c>
      <c r="L2589" s="437"/>
      <c r="M2589" s="438"/>
      <c r="N2589" s="439"/>
      <c r="O2589" s="437"/>
      <c r="P2589" s="438"/>
      <c r="Q2589" s="442"/>
      <c r="R2589" s="443"/>
      <c r="S2589" s="364"/>
      <c r="Z2589" s="609" t="s">
        <v>1053</v>
      </c>
      <c r="AA2589" s="609" t="s">
        <v>3540</v>
      </c>
    </row>
    <row r="2590" spans="1:29" ht="18">
      <c r="A2590" s="2714"/>
      <c r="B2590" s="371">
        <v>131</v>
      </c>
      <c r="C2590" s="371"/>
      <c r="D2590" s="2716">
        <f t="shared" si="270"/>
        <v>1</v>
      </c>
      <c r="E2590" s="2721">
        <v>1</v>
      </c>
      <c r="F2590" s="293"/>
      <c r="G2590" s="308" t="s">
        <v>3561</v>
      </c>
      <c r="H2590" s="309"/>
      <c r="I2590" s="309"/>
      <c r="J2590" s="309"/>
      <c r="K2590" s="1477">
        <f t="shared" ref="K2590:K2592" si="278">SUM(H2590:J2590)</f>
        <v>0</v>
      </c>
      <c r="L2590" s="437"/>
      <c r="M2590" s="438"/>
      <c r="N2590" s="439"/>
      <c r="O2590" s="437"/>
      <c r="P2590" s="438"/>
      <c r="Q2590" s="442"/>
      <c r="R2590" s="443"/>
      <c r="S2590" s="364"/>
      <c r="Z2590" s="609" t="s">
        <v>1053</v>
      </c>
      <c r="AA2590" s="609" t="s">
        <v>3540</v>
      </c>
    </row>
    <row r="2591" spans="1:29" ht="18">
      <c r="A2591" s="2714"/>
      <c r="B2591" s="371">
        <v>132</v>
      </c>
      <c r="C2591" s="371"/>
      <c r="D2591" s="2716">
        <f t="shared" si="270"/>
        <v>1</v>
      </c>
      <c r="E2591" s="2721">
        <v>1</v>
      </c>
      <c r="F2591" s="293"/>
      <c r="G2591" s="308" t="s">
        <v>3562</v>
      </c>
      <c r="H2591" s="309"/>
      <c r="I2591" s="309"/>
      <c r="J2591" s="309"/>
      <c r="K2591" s="1477">
        <f t="shared" si="278"/>
        <v>0</v>
      </c>
      <c r="L2591" s="437"/>
      <c r="M2591" s="438"/>
      <c r="N2591" s="439"/>
      <c r="O2591" s="437"/>
      <c r="P2591" s="438"/>
      <c r="Q2591" s="442"/>
      <c r="R2591" s="443"/>
      <c r="S2591" s="364"/>
      <c r="Z2591" s="609" t="s">
        <v>1053</v>
      </c>
      <c r="AA2591" s="609" t="s">
        <v>3540</v>
      </c>
    </row>
    <row r="2592" spans="1:29" ht="18">
      <c r="A2592" s="2714"/>
      <c r="B2592" s="371">
        <v>133</v>
      </c>
      <c r="C2592" s="371" t="s">
        <v>2791</v>
      </c>
      <c r="D2592" s="2716">
        <f t="shared" si="270"/>
        <v>0</v>
      </c>
      <c r="E2592" s="2721">
        <v>1</v>
      </c>
      <c r="F2592" s="293"/>
      <c r="G2592" s="1472" t="s">
        <v>2792</v>
      </c>
      <c r="H2592" s="309"/>
      <c r="I2592" s="309"/>
      <c r="J2592" s="309"/>
      <c r="K2592" s="1477">
        <f t="shared" si="278"/>
        <v>0</v>
      </c>
      <c r="L2592" s="437"/>
      <c r="M2592" s="438"/>
      <c r="N2592" s="439"/>
      <c r="O2592" s="437"/>
      <c r="P2592" s="438"/>
      <c r="Q2592" s="442"/>
      <c r="R2592" s="443"/>
      <c r="S2592" s="364"/>
      <c r="Z2592" s="609" t="s">
        <v>1053</v>
      </c>
      <c r="AA2592" s="609" t="s">
        <v>3540</v>
      </c>
    </row>
    <row r="2593" spans="1:27" ht="18">
      <c r="A2593" s="2714"/>
      <c r="B2593" s="371">
        <v>134</v>
      </c>
      <c r="C2593" s="371"/>
      <c r="D2593" s="2716">
        <f t="shared" si="270"/>
        <v>1</v>
      </c>
      <c r="E2593" s="2721">
        <v>1</v>
      </c>
      <c r="F2593" s="293"/>
      <c r="G2593" s="308" t="str">
        <f>"4."&amp;$W$2&amp;""</f>
        <v>4.2019年12月31日</v>
      </c>
      <c r="H2593" s="1476">
        <f>SUM(H2585:H2586,-H2589)</f>
        <v>0</v>
      </c>
      <c r="I2593" s="1476">
        <f>SUM(I2585:I2586,-I2589)</f>
        <v>0</v>
      </c>
      <c r="J2593" s="1476">
        <f>SUM(J2585:J2586,-J2589)</f>
        <v>0</v>
      </c>
      <c r="K2593" s="1477">
        <f>SUM(K2585:K2586,-K2589)</f>
        <v>0</v>
      </c>
      <c r="L2593" s="437"/>
      <c r="M2593" s="438"/>
      <c r="N2593" s="439"/>
      <c r="O2593" s="437"/>
      <c r="P2593" s="438"/>
      <c r="Q2593" s="442"/>
      <c r="R2593" s="443"/>
      <c r="S2593" s="364"/>
      <c r="Z2593" s="609" t="s">
        <v>1053</v>
      </c>
      <c r="AA2593" s="609" t="s">
        <v>3540</v>
      </c>
    </row>
    <row r="2594" spans="1:27" ht="18">
      <c r="A2594" s="2714"/>
      <c r="B2594" s="371">
        <v>135</v>
      </c>
      <c r="C2594" s="371"/>
      <c r="D2594" s="2716">
        <f t="shared" si="270"/>
        <v>1</v>
      </c>
      <c r="E2594" s="2721" t="s">
        <v>41</v>
      </c>
      <c r="F2594" s="293"/>
      <c r="G2594" s="308" t="s">
        <v>3563</v>
      </c>
      <c r="H2594" s="309"/>
      <c r="I2594" s="309"/>
      <c r="J2594" s="309"/>
      <c r="K2594" s="346"/>
      <c r="L2594" s="437"/>
      <c r="M2594" s="438"/>
      <c r="N2594" s="439"/>
      <c r="O2594" s="437"/>
      <c r="P2594" s="438"/>
      <c r="Q2594" s="442"/>
      <c r="R2594" s="443"/>
      <c r="S2594" s="364"/>
      <c r="Z2594" s="609" t="s">
        <v>1053</v>
      </c>
      <c r="AA2594" s="609" t="s">
        <v>3540</v>
      </c>
    </row>
    <row r="2595" spans="1:27" ht="18">
      <c r="A2595" s="2714"/>
      <c r="B2595" s="371">
        <v>136</v>
      </c>
      <c r="C2595" s="371"/>
      <c r="D2595" s="2716">
        <f t="shared" si="270"/>
        <v>1</v>
      </c>
      <c r="E2595" s="2721">
        <v>1</v>
      </c>
      <c r="F2595" s="293"/>
      <c r="G2595" s="308" t="str">
        <f>"1."&amp;$W$2&amp;"账面价值"</f>
        <v>1.2019年12月31日账面价值</v>
      </c>
      <c r="H2595" s="1476">
        <f>SUM(H2573,-H2583,-H2593)</f>
        <v>0</v>
      </c>
      <c r="I2595" s="1476">
        <f>SUM(I2573,-I2583,-I2593)</f>
        <v>0</v>
      </c>
      <c r="J2595" s="1476">
        <f>SUM(J2573,-J2583,-J2593)</f>
        <v>0</v>
      </c>
      <c r="K2595" s="1477">
        <f>SUM(K2573,-K2583,-K2593)</f>
        <v>0</v>
      </c>
      <c r="L2595" s="437"/>
      <c r="M2595" s="438"/>
      <c r="N2595" s="439"/>
      <c r="O2595" s="437"/>
      <c r="P2595" s="438"/>
      <c r="Q2595" s="442"/>
      <c r="R2595" s="443"/>
      <c r="S2595" s="364"/>
      <c r="Z2595" s="609" t="s">
        <v>1053</v>
      </c>
      <c r="AA2595" s="609" t="s">
        <v>3540</v>
      </c>
    </row>
    <row r="2596" spans="1:27" ht="18">
      <c r="A2596" s="2714"/>
      <c r="B2596" s="371">
        <v>137</v>
      </c>
      <c r="C2596" s="371"/>
      <c r="D2596" s="2716">
        <f t="shared" si="270"/>
        <v>1</v>
      </c>
      <c r="E2596" s="2721">
        <v>1</v>
      </c>
      <c r="F2596" s="293"/>
      <c r="G2596" s="308" t="str">
        <f>"2."&amp;$W$3&amp;"账面价值"</f>
        <v>2.2018年12月31日账面价值</v>
      </c>
      <c r="H2596" s="1476">
        <f>SUM(H2561,-H2575,-H2585)</f>
        <v>0</v>
      </c>
      <c r="I2596" s="1476">
        <f>SUM(I2561,-I2575,-I2585)</f>
        <v>0</v>
      </c>
      <c r="J2596" s="1476">
        <f>SUM(J2561,-J2575,-J2585)</f>
        <v>0</v>
      </c>
      <c r="K2596" s="1477">
        <f>SUM(K2561,-K2575,-K2585)</f>
        <v>0</v>
      </c>
      <c r="L2596" s="437"/>
      <c r="M2596" s="438"/>
      <c r="N2596" s="439"/>
      <c r="O2596" s="437"/>
      <c r="P2596" s="438"/>
      <c r="Q2596" s="442"/>
      <c r="R2596" s="443"/>
      <c r="S2596" s="364"/>
      <c r="Z2596" s="609" t="s">
        <v>1053</v>
      </c>
      <c r="AA2596" s="609" t="s">
        <v>3540</v>
      </c>
    </row>
    <row r="2597" spans="1:27" ht="18.75" thickBot="1">
      <c r="A2597" s="2714"/>
      <c r="B2597" s="371"/>
      <c r="C2597" s="371"/>
      <c r="D2597" s="2716">
        <f t="shared" si="270"/>
        <v>0</v>
      </c>
      <c r="E2597" s="2721" t="s">
        <v>6555</v>
      </c>
      <c r="F2597" s="293"/>
      <c r="G2597" s="2381"/>
      <c r="H2597" s="607"/>
      <c r="I2597" s="607"/>
      <c r="J2597" s="607"/>
      <c r="K2597" s="608"/>
      <c r="L2597" s="437"/>
      <c r="M2597" s="440"/>
      <c r="N2597" s="439"/>
      <c r="O2597" s="437"/>
      <c r="P2597" s="440"/>
      <c r="Q2597" s="442"/>
      <c r="R2597" s="443"/>
      <c r="S2597" s="364"/>
      <c r="Z2597" s="609" t="s">
        <v>1053</v>
      </c>
      <c r="AA2597" s="609" t="s">
        <v>3540</v>
      </c>
    </row>
    <row r="2598" spans="1:27" ht="18">
      <c r="A2598" s="2714"/>
      <c r="B2598" s="371"/>
      <c r="C2598" s="371" t="s">
        <v>2755</v>
      </c>
      <c r="D2598" s="2716"/>
      <c r="F2598" s="293"/>
      <c r="G2598" s="376"/>
      <c r="H2598" s="315"/>
      <c r="I2598" s="396"/>
      <c r="J2598" s="315"/>
      <c r="K2598" s="423"/>
      <c r="L2598" s="427"/>
      <c r="M2598" s="425"/>
      <c r="N2598" s="426"/>
      <c r="O2598" s="427"/>
      <c r="P2598" s="425"/>
      <c r="Q2598" s="442"/>
      <c r="R2598" s="443"/>
      <c r="S2598" s="364"/>
      <c r="Z2598" s="609" t="s">
        <v>1053</v>
      </c>
      <c r="AA2598" s="609" t="s">
        <v>3540</v>
      </c>
    </row>
    <row r="2599" spans="1:27" ht="24">
      <c r="A2599" s="2714" t="s">
        <v>1058</v>
      </c>
      <c r="B2599" s="371">
        <v>2</v>
      </c>
      <c r="C2599" s="371"/>
      <c r="D2599" s="2716" t="str">
        <f>VLOOKUP($A2599,Sheet_NoteList,2,0)</f>
        <v>采用公允价值计量模式的投资性房地产</v>
      </c>
      <c r="E2599" s="2716" t="s">
        <v>2742</v>
      </c>
      <c r="F2599" s="294"/>
      <c r="G2599" s="372" t="str">
        <f>"("&amp;B2599&amp;")"&amp;D2599</f>
        <v>(2)采用公允价值计量模式的投资性房地产</v>
      </c>
      <c r="H2599" s="1517" t="str">
        <f>$A2599</f>
        <v>1521b</v>
      </c>
      <c r="I2599" s="343" t="s">
        <v>2743</v>
      </c>
      <c r="J2599" s="301" t="s">
        <v>2744</v>
      </c>
      <c r="K2599" s="2210">
        <f>K2616</f>
        <v>0</v>
      </c>
      <c r="L2599" s="345" t="str">
        <f>IF($I2599="适用",IF(K2599="请设置公式",0,IF(ROUND(K$2556-K2599,2)=0,"F/S",ROUND(K$2556-K2599,2))),"#N/A")</f>
        <v>F/S</v>
      </c>
      <c r="M2599" s="301" t="s">
        <v>2745</v>
      </c>
      <c r="N2599" s="2210">
        <f>K2602</f>
        <v>0</v>
      </c>
      <c r="O2599" s="345" t="str">
        <f>IF($I2599="适用",IF(N2599="请设置公式",0,IF(ROUND(N$2556-N2599,2)=0,"F/S",ROUND(N$2556-N2599,2))),"#N/A")</f>
        <v>F/S</v>
      </c>
      <c r="P2599" s="301"/>
      <c r="Q2599" s="290" t="str">
        <f>IF($I2599="不适用","",IF(ROUND(SUM($H$2602:$P$2616),2)=0,"请输入",""))</f>
        <v>请输入</v>
      </c>
      <c r="S2599" s="364"/>
      <c r="Z2599" s="609" t="s">
        <v>1053</v>
      </c>
      <c r="AA2599" s="609" t="s">
        <v>3540</v>
      </c>
    </row>
    <row r="2600" spans="1:27" ht="0.75" customHeight="1" thickBot="1">
      <c r="A2600" s="2714"/>
      <c r="B2600" s="371"/>
      <c r="C2600" s="371"/>
      <c r="D2600" s="371"/>
      <c r="F2600" s="371"/>
      <c r="G2600" s="371" t="s">
        <v>3583</v>
      </c>
      <c r="H2600" s="371" t="s">
        <v>6230</v>
      </c>
      <c r="I2600" s="371" t="s">
        <v>6231</v>
      </c>
      <c r="J2600" s="371" t="s">
        <v>6232</v>
      </c>
      <c r="K2600" s="371" t="s">
        <v>6233</v>
      </c>
      <c r="L2600" s="433"/>
      <c r="M2600" s="433"/>
      <c r="N2600" s="433"/>
      <c r="O2600" s="433"/>
      <c r="P2600" s="433"/>
      <c r="Q2600" s="472"/>
      <c r="R2600" s="524"/>
      <c r="S2600" s="364"/>
      <c r="Z2600" s="609" t="s">
        <v>1053</v>
      </c>
      <c r="AA2600" s="609" t="s">
        <v>3540</v>
      </c>
    </row>
    <row r="2601" spans="1:27" ht="18">
      <c r="A2601" s="2714"/>
      <c r="B2601" s="371"/>
      <c r="C2601" s="371"/>
      <c r="D2601" s="371"/>
      <c r="E2601" s="2716" t="s">
        <v>2749</v>
      </c>
      <c r="F2601" s="294"/>
      <c r="G2601" s="1578" t="s">
        <v>5488</v>
      </c>
      <c r="H2601" s="1468" t="s">
        <v>3542</v>
      </c>
      <c r="I2601" s="1469" t="s">
        <v>3543</v>
      </c>
      <c r="J2601" s="1469" t="s">
        <v>344</v>
      </c>
      <c r="K2601" s="1470" t="s">
        <v>3351</v>
      </c>
      <c r="L2601" s="355" t="s">
        <v>5286</v>
      </c>
      <c r="M2601" s="478"/>
      <c r="N2601" s="478"/>
      <c r="O2601" s="568"/>
      <c r="P2601" s="479"/>
      <c r="Q2601" s="472"/>
      <c r="R2601" s="524"/>
      <c r="S2601" s="364"/>
      <c r="Z2601" s="609" t="s">
        <v>1053</v>
      </c>
      <c r="AA2601" s="609" t="s">
        <v>3540</v>
      </c>
    </row>
    <row r="2602" spans="1:27" ht="18">
      <c r="A2602" s="2714"/>
      <c r="B2602" s="371">
        <v>101</v>
      </c>
      <c r="C2602" s="371"/>
      <c r="D2602" s="2716">
        <f t="shared" ref="D2602:D2616" si="279">IF(OR(G2602="*",G2602="",G2602=0),0,COUNTIF($G$2602:$G$2616,G2602))</f>
        <v>1</v>
      </c>
      <c r="E2602" s="2721">
        <v>1</v>
      </c>
      <c r="F2602" s="294"/>
      <c r="G2602" s="308" t="str">
        <f>"1."&amp;$W$3&amp;""</f>
        <v>1.2018年12月31日</v>
      </c>
      <c r="H2602" s="320"/>
      <c r="I2602" s="320"/>
      <c r="J2602" s="320"/>
      <c r="K2602" s="1477">
        <f>SUM(H2602:J2602)</f>
        <v>0</v>
      </c>
      <c r="L2602" s="520"/>
      <c r="M2602" s="520"/>
      <c r="N2602" s="520"/>
      <c r="O2602" s="438"/>
      <c r="P2602" s="569"/>
      <c r="Q2602" s="472"/>
      <c r="R2602" s="524"/>
      <c r="S2602" s="364"/>
      <c r="Z2602" s="609" t="s">
        <v>1053</v>
      </c>
      <c r="AA2602" s="609" t="s">
        <v>3540</v>
      </c>
    </row>
    <row r="2603" spans="1:27" ht="18">
      <c r="A2603" s="2714"/>
      <c r="B2603" s="371">
        <v>102</v>
      </c>
      <c r="C2603" s="371"/>
      <c r="D2603" s="2716">
        <f t="shared" si="279"/>
        <v>1</v>
      </c>
      <c r="E2603" s="2721">
        <v>1</v>
      </c>
      <c r="F2603" s="294"/>
      <c r="G2603" s="308" t="s">
        <v>3558</v>
      </c>
      <c r="H2603" s="1476">
        <f>SUM(H2604:H2610)</f>
        <v>0</v>
      </c>
      <c r="I2603" s="1476">
        <f t="shared" ref="I2603:K2603" si="280">SUM(I2604:I2610)</f>
        <v>0</v>
      </c>
      <c r="J2603" s="1476">
        <f t="shared" si="280"/>
        <v>0</v>
      </c>
      <c r="K2603" s="1477">
        <f t="shared" si="280"/>
        <v>0</v>
      </c>
      <c r="L2603" s="520"/>
      <c r="M2603" s="520"/>
      <c r="N2603" s="520"/>
      <c r="O2603" s="438"/>
      <c r="P2603" s="569"/>
      <c r="Q2603" s="472"/>
      <c r="R2603" s="524"/>
      <c r="S2603" s="364"/>
      <c r="Z2603" s="609" t="s">
        <v>1053</v>
      </c>
      <c r="AA2603" s="609" t="s">
        <v>3540</v>
      </c>
    </row>
    <row r="2604" spans="1:27" ht="18">
      <c r="A2604" s="2714"/>
      <c r="B2604" s="371">
        <v>103</v>
      </c>
      <c r="C2604" s="371"/>
      <c r="D2604" s="2716">
        <f t="shared" si="279"/>
        <v>1</v>
      </c>
      <c r="E2604" s="2721">
        <v>0</v>
      </c>
      <c r="F2604" s="294"/>
      <c r="G2604" s="308" t="s">
        <v>3546</v>
      </c>
      <c r="H2604" s="320"/>
      <c r="I2604" s="320"/>
      <c r="J2604" s="320"/>
      <c r="K2604" s="1477">
        <f t="shared" ref="K2604:K2610" si="281">SUM(H2604:J2604)</f>
        <v>0</v>
      </c>
      <c r="L2604" s="520"/>
      <c r="M2604" s="520"/>
      <c r="N2604" s="520"/>
      <c r="O2604" s="438"/>
      <c r="P2604" s="569"/>
      <c r="Q2604" s="472"/>
      <c r="R2604" s="524"/>
      <c r="S2604" s="364"/>
      <c r="Z2604" s="609" t="s">
        <v>1053</v>
      </c>
      <c r="AA2604" s="609" t="s">
        <v>3540</v>
      </c>
    </row>
    <row r="2605" spans="1:27" ht="18">
      <c r="A2605" s="2714"/>
      <c r="B2605" s="371">
        <v>104</v>
      </c>
      <c r="C2605" s="371"/>
      <c r="D2605" s="2716">
        <f t="shared" si="279"/>
        <v>1</v>
      </c>
      <c r="E2605" s="2721">
        <v>0</v>
      </c>
      <c r="F2605" s="294"/>
      <c r="G2605" s="308" t="s">
        <v>5214</v>
      </c>
      <c r="H2605" s="320"/>
      <c r="I2605" s="320"/>
      <c r="J2605" s="320"/>
      <c r="K2605" s="1477">
        <f t="shared" si="281"/>
        <v>0</v>
      </c>
      <c r="L2605" s="520"/>
      <c r="M2605" s="520"/>
      <c r="N2605" s="520"/>
      <c r="O2605" s="438"/>
      <c r="P2605" s="569"/>
      <c r="Q2605" s="472"/>
      <c r="R2605" s="524"/>
      <c r="S2605" s="364"/>
      <c r="Z2605" s="609" t="s">
        <v>1053</v>
      </c>
      <c r="AA2605" s="609" t="s">
        <v>3540</v>
      </c>
    </row>
    <row r="2606" spans="1:27" ht="18">
      <c r="A2606" s="2714"/>
      <c r="B2606" s="371">
        <v>105</v>
      </c>
      <c r="C2606" s="371"/>
      <c r="D2606" s="2716">
        <f t="shared" si="279"/>
        <v>1</v>
      </c>
      <c r="E2606" s="2721">
        <v>0</v>
      </c>
      <c r="F2606" s="294"/>
      <c r="G2606" s="308" t="s">
        <v>5215</v>
      </c>
      <c r="H2606" s="320"/>
      <c r="I2606" s="320"/>
      <c r="J2606" s="320"/>
      <c r="K2606" s="1477">
        <f t="shared" si="281"/>
        <v>0</v>
      </c>
      <c r="L2606" s="520"/>
      <c r="M2606" s="520"/>
      <c r="N2606" s="520"/>
      <c r="O2606" s="438"/>
      <c r="P2606" s="569"/>
      <c r="Q2606" s="472"/>
      <c r="R2606" s="524"/>
      <c r="S2606" s="364"/>
      <c r="Z2606" s="609" t="s">
        <v>1053</v>
      </c>
      <c r="AA2606" s="609" t="s">
        <v>3540</v>
      </c>
    </row>
    <row r="2607" spans="1:27" ht="18">
      <c r="A2607" s="2714"/>
      <c r="B2607" s="371">
        <v>106</v>
      </c>
      <c r="C2607" s="371"/>
      <c r="D2607" s="2716">
        <f t="shared" si="279"/>
        <v>1</v>
      </c>
      <c r="E2607" s="2721">
        <v>0</v>
      </c>
      <c r="F2607" s="294"/>
      <c r="G2607" s="308" t="s">
        <v>5216</v>
      </c>
      <c r="H2607" s="320"/>
      <c r="I2607" s="320"/>
      <c r="J2607" s="320"/>
      <c r="K2607" s="1477">
        <f t="shared" ref="K2607" si="282">SUM(H2607:J2607)</f>
        <v>0</v>
      </c>
      <c r="L2607" s="520"/>
      <c r="M2607" s="520"/>
      <c r="N2607" s="520"/>
      <c r="O2607" s="438"/>
      <c r="P2607" s="569"/>
      <c r="Q2607" s="472"/>
      <c r="R2607" s="524"/>
      <c r="S2607" s="364"/>
      <c r="Z2607" s="609" t="s">
        <v>1053</v>
      </c>
      <c r="AA2607" s="609" t="s">
        <v>3540</v>
      </c>
    </row>
    <row r="2608" spans="1:27" ht="18">
      <c r="A2608" s="2714"/>
      <c r="B2608" s="371">
        <v>107</v>
      </c>
      <c r="C2608" s="371"/>
      <c r="D2608" s="2716">
        <f t="shared" si="279"/>
        <v>1</v>
      </c>
      <c r="E2608" s="2721">
        <v>0</v>
      </c>
      <c r="F2608" s="294"/>
      <c r="G2608" s="308" t="s">
        <v>5217</v>
      </c>
      <c r="H2608" s="320"/>
      <c r="I2608" s="320"/>
      <c r="J2608" s="320"/>
      <c r="K2608" s="1477">
        <f t="shared" ref="K2608" si="283">SUM(H2608:J2608)</f>
        <v>0</v>
      </c>
      <c r="L2608" s="520"/>
      <c r="M2608" s="520"/>
      <c r="N2608" s="520"/>
      <c r="O2608" s="438"/>
      <c r="P2608" s="569"/>
      <c r="Q2608" s="472"/>
      <c r="R2608" s="524"/>
      <c r="S2608" s="364"/>
      <c r="Z2608" s="609" t="s">
        <v>1053</v>
      </c>
      <c r="AA2608" s="609" t="s">
        <v>3540</v>
      </c>
    </row>
    <row r="2609" spans="1:27" ht="18">
      <c r="A2609" s="2714"/>
      <c r="B2609" s="371">
        <v>109</v>
      </c>
      <c r="C2609" s="371"/>
      <c r="D2609" s="2716">
        <f t="shared" si="279"/>
        <v>1</v>
      </c>
      <c r="E2609" s="2721">
        <v>0</v>
      </c>
      <c r="F2609" s="294"/>
      <c r="G2609" s="308" t="s">
        <v>5218</v>
      </c>
      <c r="H2609" s="320"/>
      <c r="I2609" s="320"/>
      <c r="J2609" s="320"/>
      <c r="K2609" s="1477">
        <f t="shared" si="281"/>
        <v>0</v>
      </c>
      <c r="L2609" s="520"/>
      <c r="M2609" s="520"/>
      <c r="N2609" s="520"/>
      <c r="O2609" s="438"/>
      <c r="P2609" s="569"/>
      <c r="Q2609" s="472"/>
      <c r="R2609" s="524"/>
      <c r="S2609" s="364"/>
      <c r="Z2609" s="609" t="s">
        <v>1053</v>
      </c>
      <c r="AA2609" s="609" t="s">
        <v>3540</v>
      </c>
    </row>
    <row r="2610" spans="1:27" ht="18">
      <c r="A2610" s="2714"/>
      <c r="B2610" s="371">
        <v>110</v>
      </c>
      <c r="C2610" s="371" t="s">
        <v>2791</v>
      </c>
      <c r="D2610" s="2716">
        <f t="shared" si="279"/>
        <v>0</v>
      </c>
      <c r="E2610" s="2721">
        <v>0</v>
      </c>
      <c r="F2610" s="294"/>
      <c r="G2610" s="1472" t="s">
        <v>2792</v>
      </c>
      <c r="H2610" s="309"/>
      <c r="I2610" s="309"/>
      <c r="J2610" s="309"/>
      <c r="K2610" s="1477">
        <f t="shared" si="281"/>
        <v>0</v>
      </c>
      <c r="L2610" s="438"/>
      <c r="M2610" s="438"/>
      <c r="N2610" s="520"/>
      <c r="O2610" s="438"/>
      <c r="P2610" s="569"/>
      <c r="Q2610" s="472"/>
      <c r="R2610" s="524"/>
      <c r="S2610" s="364"/>
      <c r="Z2610" s="609" t="s">
        <v>1053</v>
      </c>
      <c r="AA2610" s="609" t="s">
        <v>3540</v>
      </c>
    </row>
    <row r="2611" spans="1:27" ht="18">
      <c r="A2611" s="2714"/>
      <c r="B2611" s="371">
        <v>111</v>
      </c>
      <c r="C2611" s="371"/>
      <c r="D2611" s="2716">
        <f t="shared" si="279"/>
        <v>1</v>
      </c>
      <c r="E2611" s="2721">
        <v>-1</v>
      </c>
      <c r="F2611" s="294"/>
      <c r="G2611" s="308" t="s">
        <v>3560</v>
      </c>
      <c r="H2611" s="1476">
        <f>SUM(H2612:H2615)</f>
        <v>0</v>
      </c>
      <c r="I2611" s="1476">
        <f t="shared" ref="I2611:K2611" si="284">SUM(I2612:I2615)</f>
        <v>0</v>
      </c>
      <c r="J2611" s="1476">
        <f t="shared" si="284"/>
        <v>0</v>
      </c>
      <c r="K2611" s="1477">
        <f t="shared" si="284"/>
        <v>0</v>
      </c>
      <c r="L2611" s="438"/>
      <c r="M2611" s="438"/>
      <c r="N2611" s="520"/>
      <c r="O2611" s="438"/>
      <c r="P2611" s="569"/>
      <c r="Q2611" s="472"/>
      <c r="R2611" s="524"/>
      <c r="S2611" s="364"/>
      <c r="Z2611" s="609" t="s">
        <v>1053</v>
      </c>
      <c r="AA2611" s="609" t="s">
        <v>3540</v>
      </c>
    </row>
    <row r="2612" spans="1:27" ht="18">
      <c r="A2612" s="2714"/>
      <c r="B2612" s="371">
        <v>112</v>
      </c>
      <c r="C2612" s="371"/>
      <c r="D2612" s="2716">
        <f t="shared" si="279"/>
        <v>1</v>
      </c>
      <c r="E2612" s="2721">
        <v>0</v>
      </c>
      <c r="F2612" s="294"/>
      <c r="G2612" s="308" t="s">
        <v>3561</v>
      </c>
      <c r="H2612" s="309"/>
      <c r="I2612" s="309"/>
      <c r="J2612" s="309"/>
      <c r="K2612" s="1477">
        <f t="shared" ref="K2612:K2615" si="285">SUM(H2612:J2612)</f>
        <v>0</v>
      </c>
      <c r="L2612" s="438"/>
      <c r="M2612" s="438"/>
      <c r="N2612" s="520"/>
      <c r="O2612" s="438"/>
      <c r="P2612" s="569"/>
      <c r="Q2612" s="472"/>
      <c r="R2612" s="524"/>
      <c r="S2612" s="364"/>
      <c r="Z2612" s="609" t="s">
        <v>1053</v>
      </c>
      <c r="AA2612" s="609" t="s">
        <v>3540</v>
      </c>
    </row>
    <row r="2613" spans="1:27" ht="18">
      <c r="A2613" s="2714"/>
      <c r="B2613" s="371">
        <v>113</v>
      </c>
      <c r="C2613" s="371"/>
      <c r="D2613" s="2716">
        <f t="shared" si="279"/>
        <v>1</v>
      </c>
      <c r="E2613" s="2721">
        <v>0</v>
      </c>
      <c r="F2613" s="294"/>
      <c r="G2613" s="308" t="s">
        <v>3562</v>
      </c>
      <c r="H2613" s="309"/>
      <c r="I2613" s="309"/>
      <c r="J2613" s="309"/>
      <c r="K2613" s="1477">
        <f t="shared" si="285"/>
        <v>0</v>
      </c>
      <c r="L2613" s="438"/>
      <c r="M2613" s="438"/>
      <c r="N2613" s="520"/>
      <c r="O2613" s="438"/>
      <c r="P2613" s="569"/>
      <c r="Q2613" s="472"/>
      <c r="R2613" s="524"/>
      <c r="S2613" s="364"/>
      <c r="Z2613" s="609" t="s">
        <v>1053</v>
      </c>
      <c r="AA2613" s="609" t="s">
        <v>3540</v>
      </c>
    </row>
    <row r="2614" spans="1:27" ht="18">
      <c r="A2614" s="2714"/>
      <c r="B2614" s="371">
        <v>114</v>
      </c>
      <c r="C2614" s="371"/>
      <c r="D2614" s="2716">
        <f t="shared" si="279"/>
        <v>1</v>
      </c>
      <c r="E2614" s="2721">
        <v>0</v>
      </c>
      <c r="F2614" s="294"/>
      <c r="G2614" s="308" t="s">
        <v>3584</v>
      </c>
      <c r="H2614" s="309"/>
      <c r="I2614" s="309"/>
      <c r="J2614" s="309"/>
      <c r="K2614" s="1477">
        <f t="shared" si="285"/>
        <v>0</v>
      </c>
      <c r="L2614" s="438"/>
      <c r="M2614" s="438"/>
      <c r="N2614" s="520"/>
      <c r="O2614" s="438"/>
      <c r="P2614" s="569"/>
      <c r="Q2614" s="472"/>
      <c r="R2614" s="524"/>
      <c r="S2614" s="364"/>
      <c r="Z2614" s="609" t="s">
        <v>1053</v>
      </c>
      <c r="AA2614" s="609" t="s">
        <v>3540</v>
      </c>
    </row>
    <row r="2615" spans="1:27" ht="18">
      <c r="A2615" s="2714"/>
      <c r="B2615" s="371">
        <v>115</v>
      </c>
      <c r="C2615" s="371" t="s">
        <v>2791</v>
      </c>
      <c r="D2615" s="2716">
        <f t="shared" si="279"/>
        <v>0</v>
      </c>
      <c r="E2615" s="2721">
        <v>0</v>
      </c>
      <c r="F2615" s="294"/>
      <c r="G2615" s="1472" t="s">
        <v>2792</v>
      </c>
      <c r="H2615" s="309"/>
      <c r="I2615" s="309"/>
      <c r="J2615" s="309"/>
      <c r="K2615" s="1477">
        <f t="shared" si="285"/>
        <v>0</v>
      </c>
      <c r="L2615" s="438"/>
      <c r="M2615" s="438"/>
      <c r="N2615" s="520"/>
      <c r="O2615" s="438"/>
      <c r="P2615" s="569"/>
      <c r="Q2615" s="472"/>
      <c r="R2615" s="524"/>
      <c r="S2615" s="364"/>
      <c r="Z2615" s="609" t="s">
        <v>1053</v>
      </c>
      <c r="AA2615" s="609" t="s">
        <v>3540</v>
      </c>
    </row>
    <row r="2616" spans="1:27" ht="18.75" thickBot="1">
      <c r="A2616" s="2714"/>
      <c r="B2616" s="371"/>
      <c r="C2616" s="371"/>
      <c r="D2616" s="2716">
        <f t="shared" si="279"/>
        <v>1</v>
      </c>
      <c r="E2616" s="2721" t="s">
        <v>3032</v>
      </c>
      <c r="F2616" s="294"/>
      <c r="G2616" s="374" t="str">
        <f>"4. "&amp;$W$2&amp;""</f>
        <v>4. 2019年12月31日</v>
      </c>
      <c r="H2616" s="1478">
        <f>SUMPRODUCT($E2601:$E2615,H2601:H2615)</f>
        <v>0</v>
      </c>
      <c r="I2616" s="1478">
        <f>SUMPRODUCT($E2601:$E2615,I2601:I2615)</f>
        <v>0</v>
      </c>
      <c r="J2616" s="1478">
        <f>SUMPRODUCT($E2601:$E2615,J2601:J2615)</f>
        <v>0</v>
      </c>
      <c r="K2616" s="1479">
        <f>SUMPRODUCT($E2601:$E2615,K2601:K2615)</f>
        <v>0</v>
      </c>
      <c r="L2616" s="498"/>
      <c r="M2616" s="498"/>
      <c r="N2616" s="498"/>
      <c r="O2616" s="498"/>
      <c r="P2616" s="498"/>
      <c r="Q2616" s="472"/>
      <c r="R2616" s="524"/>
      <c r="S2616" s="364"/>
      <c r="Z2616" s="609" t="s">
        <v>1053</v>
      </c>
      <c r="AA2616" s="609" t="s">
        <v>3540</v>
      </c>
    </row>
    <row r="2617" spans="1:27" ht="18">
      <c r="A2617" s="2714"/>
      <c r="B2617" s="371"/>
      <c r="C2617" s="371" t="s">
        <v>2755</v>
      </c>
      <c r="D2617" s="371"/>
      <c r="F2617" s="294"/>
      <c r="G2617" s="301"/>
      <c r="H2617" s="315"/>
      <c r="I2617" s="315"/>
      <c r="J2617" s="315"/>
      <c r="K2617" s="315"/>
      <c r="L2617" s="438"/>
      <c r="M2617" s="438"/>
      <c r="N2617" s="438"/>
      <c r="O2617" s="438"/>
      <c r="P2617" s="438"/>
      <c r="Q2617" s="472"/>
      <c r="R2617" s="524"/>
      <c r="S2617" s="364"/>
      <c r="Z2617" s="609" t="s">
        <v>1053</v>
      </c>
      <c r="AA2617" s="609" t="s">
        <v>3540</v>
      </c>
    </row>
    <row r="2618" spans="1:27" ht="24">
      <c r="A2618" s="2714" t="s">
        <v>1062</v>
      </c>
      <c r="B2618" s="371">
        <v>3</v>
      </c>
      <c r="C2618" s="371"/>
      <c r="D2618" s="2716" t="str">
        <f>VLOOKUP($A2618,Sheet_NoteList,2,0)</f>
        <v>未办妥产权证书的投资性房地产情况</v>
      </c>
      <c r="E2618" s="2716" t="s">
        <v>2742</v>
      </c>
      <c r="F2618" s="294"/>
      <c r="G2618" s="372" t="str">
        <f>"("&amp;B2618&amp;")"&amp;D2618</f>
        <v>(3)未办妥产权证书的投资性房地产情况</v>
      </c>
      <c r="H2618" s="1517" t="str">
        <f>$A2618</f>
        <v>1521c</v>
      </c>
      <c r="I2618" s="343" t="s">
        <v>2743</v>
      </c>
      <c r="J2618" s="301"/>
      <c r="K2618" s="3083"/>
      <c r="L2618" s="315"/>
      <c r="M2618" s="301"/>
      <c r="N2618" s="3083"/>
      <c r="O2618" s="315"/>
      <c r="P2618" s="301"/>
      <c r="Q2618" s="290" t="str">
        <f>IF($I2618="不适用","",IF(ROUND(SUM($H$2621:$M$2626),2)=0,"请输入",""))</f>
        <v>请输入</v>
      </c>
      <c r="S2618" s="364"/>
      <c r="Z2618" s="609" t="s">
        <v>1053</v>
      </c>
      <c r="AA2618" s="609" t="s">
        <v>3540</v>
      </c>
    </row>
    <row r="2619" spans="1:27" ht="0.75" customHeight="1" thickBot="1">
      <c r="A2619" s="2714"/>
      <c r="B2619" s="371"/>
      <c r="C2619" s="371"/>
      <c r="D2619" s="371"/>
      <c r="F2619" s="371"/>
      <c r="G2619" s="371" t="s">
        <v>3585</v>
      </c>
      <c r="H2619" s="371" t="s">
        <v>3287</v>
      </c>
      <c r="I2619" s="371" t="s">
        <v>3586</v>
      </c>
      <c r="J2619" s="505"/>
      <c r="K2619" s="505"/>
      <c r="L2619" s="505"/>
      <c r="M2619" s="570"/>
      <c r="N2619" s="442"/>
      <c r="O2619" s="442"/>
      <c r="P2619" s="442"/>
      <c r="Q2619" s="442"/>
      <c r="R2619" s="443"/>
      <c r="S2619" s="364"/>
      <c r="Z2619" s="609" t="s">
        <v>1053</v>
      </c>
      <c r="AA2619" s="609" t="s">
        <v>3540</v>
      </c>
    </row>
    <row r="2620" spans="1:27" ht="24">
      <c r="A2620" s="2714"/>
      <c r="B2620" s="371"/>
      <c r="C2620" s="371"/>
      <c r="D2620" s="371"/>
      <c r="E2620" s="2716" t="s">
        <v>2749</v>
      </c>
      <c r="F2620" s="294"/>
      <c r="G2620" s="1578" t="s">
        <v>5488</v>
      </c>
      <c r="H2620" s="506" t="s">
        <v>2863</v>
      </c>
      <c r="I2620" s="1510" t="s">
        <v>5287</v>
      </c>
      <c r="J2620" s="355" t="s">
        <v>5286</v>
      </c>
      <c r="K2620" s="571"/>
      <c r="L2620" s="571"/>
      <c r="M2620" s="572"/>
      <c r="N2620" s="573"/>
      <c r="O2620" s="442"/>
      <c r="P2620" s="442"/>
      <c r="Q2620" s="442"/>
      <c r="R2620" s="443"/>
      <c r="S2620" s="364"/>
      <c r="Z2620" s="609" t="s">
        <v>1053</v>
      </c>
      <c r="AA2620" s="609" t="s">
        <v>3540</v>
      </c>
    </row>
    <row r="2621" spans="1:27" ht="18">
      <c r="A2621" s="2714"/>
      <c r="B2621" s="371">
        <v>101</v>
      </c>
      <c r="C2621" s="371" t="s">
        <v>2791</v>
      </c>
      <c r="D2621" s="2716">
        <f t="shared" ref="D2621:D2626" si="286">IF(OR(G2621="*",G2621="",G2621=0),0,COUNTIF($G$2621:$G$2626,G2621))</f>
        <v>0</v>
      </c>
      <c r="E2621" s="2721">
        <v>1</v>
      </c>
      <c r="F2621" s="294"/>
      <c r="G2621" s="319" t="s">
        <v>2792</v>
      </c>
      <c r="H2621" s="309"/>
      <c r="I2621" s="388"/>
      <c r="J2621" s="438"/>
      <c r="K2621" s="438"/>
      <c r="L2621" s="438"/>
      <c r="M2621" s="437"/>
      <c r="N2621" s="574"/>
      <c r="O2621" s="442"/>
      <c r="P2621" s="442"/>
      <c r="Q2621" s="442"/>
      <c r="R2621" s="443"/>
      <c r="S2621" s="364"/>
      <c r="Z2621" s="609" t="s">
        <v>1053</v>
      </c>
      <c r="AA2621" s="609" t="s">
        <v>3540</v>
      </c>
    </row>
    <row r="2622" spans="1:27" ht="18">
      <c r="A2622" s="2714"/>
      <c r="B2622" s="371">
        <v>102</v>
      </c>
      <c r="C2622" s="371" t="s">
        <v>2791</v>
      </c>
      <c r="D2622" s="2716">
        <f t="shared" si="286"/>
        <v>0</v>
      </c>
      <c r="E2622" s="2721">
        <v>1</v>
      </c>
      <c r="F2622" s="294"/>
      <c r="G2622" s="319" t="s">
        <v>2792</v>
      </c>
      <c r="H2622" s="309"/>
      <c r="I2622" s="388"/>
      <c r="J2622" s="438"/>
      <c r="K2622" s="438"/>
      <c r="L2622" s="438"/>
      <c r="M2622" s="437"/>
      <c r="N2622" s="442"/>
      <c r="O2622" s="442"/>
      <c r="P2622" s="442"/>
      <c r="Q2622" s="442"/>
      <c r="R2622" s="443"/>
      <c r="S2622" s="364"/>
      <c r="Z2622" s="609" t="s">
        <v>1053</v>
      </c>
      <c r="AA2622" s="609" t="s">
        <v>3540</v>
      </c>
    </row>
    <row r="2623" spans="1:27" ht="18">
      <c r="A2623" s="2714"/>
      <c r="B2623" s="371">
        <v>103</v>
      </c>
      <c r="C2623" s="371" t="s">
        <v>2791</v>
      </c>
      <c r="D2623" s="2716">
        <f t="shared" si="286"/>
        <v>0</v>
      </c>
      <c r="E2623" s="2721">
        <v>1</v>
      </c>
      <c r="F2623" s="294"/>
      <c r="G2623" s="319" t="s">
        <v>2792</v>
      </c>
      <c r="H2623" s="309"/>
      <c r="I2623" s="388"/>
      <c r="J2623" s="438"/>
      <c r="K2623" s="438"/>
      <c r="L2623" s="438"/>
      <c r="M2623" s="437"/>
      <c r="N2623" s="442"/>
      <c r="O2623" s="442"/>
      <c r="P2623" s="442"/>
      <c r="Q2623" s="442"/>
      <c r="R2623" s="443"/>
      <c r="S2623" s="364"/>
      <c r="Z2623" s="609" t="s">
        <v>1053</v>
      </c>
      <c r="AA2623" s="609" t="s">
        <v>3540</v>
      </c>
    </row>
    <row r="2624" spans="1:27" ht="18">
      <c r="A2624" s="2714"/>
      <c r="B2624" s="371">
        <v>104</v>
      </c>
      <c r="C2624" s="371" t="s">
        <v>2791</v>
      </c>
      <c r="D2624" s="2716">
        <f t="shared" si="286"/>
        <v>0</v>
      </c>
      <c r="E2624" s="2721">
        <v>1</v>
      </c>
      <c r="F2624" s="294"/>
      <c r="G2624" s="319" t="s">
        <v>2792</v>
      </c>
      <c r="H2624" s="309"/>
      <c r="I2624" s="388"/>
      <c r="J2624" s="438"/>
      <c r="K2624" s="438"/>
      <c r="L2624" s="438"/>
      <c r="M2624" s="437"/>
      <c r="N2624" s="442"/>
      <c r="O2624" s="442"/>
      <c r="P2624" s="442"/>
      <c r="Q2624" s="442"/>
      <c r="R2624" s="443"/>
      <c r="S2624" s="364"/>
      <c r="Z2624" s="609" t="s">
        <v>1053</v>
      </c>
      <c r="AA2624" s="609" t="s">
        <v>3540</v>
      </c>
    </row>
    <row r="2625" spans="1:27" ht="18">
      <c r="A2625" s="2714"/>
      <c r="B2625" s="371">
        <v>105</v>
      </c>
      <c r="C2625" s="371" t="s">
        <v>2791</v>
      </c>
      <c r="D2625" s="2716">
        <f t="shared" si="286"/>
        <v>0</v>
      </c>
      <c r="E2625" s="2721">
        <v>1</v>
      </c>
      <c r="F2625" s="294"/>
      <c r="G2625" s="319" t="s">
        <v>2792</v>
      </c>
      <c r="H2625" s="309"/>
      <c r="I2625" s="388"/>
      <c r="J2625" s="438"/>
      <c r="K2625" s="438"/>
      <c r="L2625" s="438"/>
      <c r="M2625" s="437"/>
      <c r="N2625" s="442"/>
      <c r="O2625" s="442"/>
      <c r="P2625" s="442"/>
      <c r="Q2625" s="442"/>
      <c r="R2625" s="443"/>
      <c r="S2625" s="364"/>
      <c r="Z2625" s="609" t="s">
        <v>1053</v>
      </c>
      <c r="AA2625" s="609" t="s">
        <v>3540</v>
      </c>
    </row>
    <row r="2626" spans="1:27" ht="18.75" thickBot="1">
      <c r="A2626" s="2714"/>
      <c r="B2626" s="371"/>
      <c r="C2626" s="371"/>
      <c r="D2626" s="2716">
        <f t="shared" si="286"/>
        <v>1</v>
      </c>
      <c r="E2626" s="2721" t="s">
        <v>2751</v>
      </c>
      <c r="F2626" s="294"/>
      <c r="G2626" s="374" t="s">
        <v>2752</v>
      </c>
      <c r="H2626" s="375">
        <f>SUMPRODUCT($E2620:$E2625,H2620:H2625)</f>
        <v>0</v>
      </c>
      <c r="I2626" s="550"/>
      <c r="J2626" s="438"/>
      <c r="K2626" s="438"/>
      <c r="L2626" s="438"/>
      <c r="M2626" s="437"/>
      <c r="N2626" s="442"/>
      <c r="O2626" s="442"/>
      <c r="P2626" s="442"/>
      <c r="Q2626" s="442"/>
      <c r="R2626" s="443"/>
      <c r="S2626" s="364"/>
      <c r="Z2626" s="609" t="s">
        <v>1053</v>
      </c>
      <c r="AA2626" s="609" t="s">
        <v>3540</v>
      </c>
    </row>
    <row r="2627" spans="1:27" ht="18">
      <c r="A2627" s="2714"/>
      <c r="B2627" s="371"/>
      <c r="C2627" s="371" t="s">
        <v>2755</v>
      </c>
      <c r="D2627" s="371"/>
      <c r="F2627" s="294"/>
      <c r="G2627" s="301"/>
      <c r="H2627" s="315"/>
      <c r="I2627" s="393"/>
      <c r="J2627" s="438"/>
      <c r="K2627" s="438"/>
      <c r="L2627" s="438"/>
      <c r="M2627" s="437"/>
      <c r="N2627" s="437"/>
      <c r="O2627" s="442"/>
      <c r="P2627" s="442"/>
      <c r="Q2627" s="442"/>
      <c r="R2627" s="443"/>
      <c r="S2627" s="364"/>
      <c r="Z2627" s="609" t="s">
        <v>1053</v>
      </c>
      <c r="AA2627" s="609" t="s">
        <v>3540</v>
      </c>
    </row>
    <row r="2628" spans="1:27" ht="18">
      <c r="A2628" s="2714" t="s">
        <v>1088</v>
      </c>
      <c r="B2628" s="371">
        <v>4</v>
      </c>
      <c r="C2628" s="371"/>
      <c r="D2628" s="2716" t="str">
        <f>VLOOKUP($A2628,Sheet_NoteList,2,0)</f>
        <v>投资性房地产抵押情况</v>
      </c>
      <c r="E2628" s="2716" t="s">
        <v>6531</v>
      </c>
      <c r="F2628" s="294"/>
      <c r="G2628" s="307" t="str">
        <f>"("&amp;B2628&amp;")"&amp;D2628</f>
        <v>(4)投资性房地产抵押情况</v>
      </c>
      <c r="H2628" s="1517" t="str">
        <f>$A2628</f>
        <v>1521s</v>
      </c>
      <c r="I2628" s="343" t="s">
        <v>5965</v>
      </c>
      <c r="J2628" s="301"/>
      <c r="K2628" s="3083"/>
      <c r="L2628" s="315"/>
      <c r="M2628" s="301"/>
      <c r="N2628" s="3083"/>
      <c r="O2628" s="315"/>
      <c r="P2628" s="301"/>
      <c r="S2628" s="364"/>
      <c r="Z2628" s="609" t="s">
        <v>1053</v>
      </c>
      <c r="AA2628" s="609" t="s">
        <v>3540</v>
      </c>
    </row>
    <row r="2629" spans="1:27" ht="0.75" customHeight="1" thickBot="1">
      <c r="A2629" s="2714"/>
      <c r="B2629" s="371"/>
      <c r="C2629" s="371"/>
      <c r="D2629" s="371"/>
      <c r="E2629" s="586"/>
      <c r="F2629" s="518"/>
      <c r="G2629" s="518" t="s">
        <v>3587</v>
      </c>
      <c r="H2629" s="304" t="s">
        <v>3588</v>
      </c>
      <c r="I2629" s="304" t="s">
        <v>3589</v>
      </c>
      <c r="J2629" s="304" t="s">
        <v>3590</v>
      </c>
      <c r="K2629" s="304" t="s">
        <v>3591</v>
      </c>
      <c r="L2629" s="304" t="s">
        <v>3592</v>
      </c>
      <c r="S2629" s="364"/>
      <c r="Z2629" s="609" t="s">
        <v>1053</v>
      </c>
      <c r="AA2629" s="609" t="s">
        <v>3540</v>
      </c>
    </row>
    <row r="2630" spans="1:27" ht="18">
      <c r="A2630" s="2714"/>
      <c r="B2630" s="371"/>
      <c r="C2630" s="371"/>
      <c r="D2630" s="371"/>
      <c r="E2630" s="586" t="s">
        <v>2749</v>
      </c>
      <c r="F2630" s="363"/>
      <c r="G2630" s="2288" t="s">
        <v>5116</v>
      </c>
      <c r="H2630" s="2290" t="s">
        <v>3593</v>
      </c>
      <c r="I2630" s="2290" t="s">
        <v>486</v>
      </c>
      <c r="J2630" s="2290" t="s">
        <v>3097</v>
      </c>
      <c r="K2630" s="2290" t="s">
        <v>2863</v>
      </c>
      <c r="L2630" s="2281" t="s">
        <v>3594</v>
      </c>
      <c r="M2630" s="355" t="s">
        <v>6176</v>
      </c>
      <c r="S2630" s="364"/>
      <c r="Z2630" s="609" t="s">
        <v>1053</v>
      </c>
      <c r="AA2630" s="609" t="s">
        <v>3540</v>
      </c>
    </row>
    <row r="2631" spans="1:27" ht="18">
      <c r="A2631" s="2714"/>
      <c r="B2631" s="371">
        <v>101</v>
      </c>
      <c r="C2631" s="371" t="s">
        <v>2791</v>
      </c>
      <c r="D2631" s="2716">
        <f t="shared" ref="D2631:D2636" si="287">IF(OR(G2631="*",G2631="",G2631=0),0,COUNTIF($G$2631:$G$2636,G2631))</f>
        <v>0</v>
      </c>
      <c r="E2631" s="2721">
        <v>1</v>
      </c>
      <c r="F2631" s="294"/>
      <c r="G2631" s="2284" t="s">
        <v>2792</v>
      </c>
      <c r="H2631" s="2275"/>
      <c r="I2631" s="2275"/>
      <c r="J2631" s="2275"/>
      <c r="K2631" s="2275"/>
      <c r="L2631" s="2276"/>
      <c r="M2631" s="575"/>
      <c r="S2631" s="364"/>
      <c r="Z2631" s="609" t="s">
        <v>1053</v>
      </c>
      <c r="AA2631" s="609" t="s">
        <v>3540</v>
      </c>
    </row>
    <row r="2632" spans="1:27" ht="18">
      <c r="A2632" s="2714"/>
      <c r="B2632" s="371">
        <v>102</v>
      </c>
      <c r="C2632" s="371" t="s">
        <v>2791</v>
      </c>
      <c r="D2632" s="2716">
        <f t="shared" si="287"/>
        <v>0</v>
      </c>
      <c r="E2632" s="2721">
        <v>1</v>
      </c>
      <c r="F2632" s="294"/>
      <c r="G2632" s="2284" t="s">
        <v>2792</v>
      </c>
      <c r="H2632" s="2275"/>
      <c r="I2632" s="2275"/>
      <c r="J2632" s="2275"/>
      <c r="K2632" s="2275"/>
      <c r="L2632" s="2276"/>
      <c r="S2632" s="364"/>
      <c r="Z2632" s="609" t="s">
        <v>1053</v>
      </c>
      <c r="AA2632" s="609" t="s">
        <v>3540</v>
      </c>
    </row>
    <row r="2633" spans="1:27" ht="18">
      <c r="A2633" s="2714"/>
      <c r="B2633" s="371">
        <v>103</v>
      </c>
      <c r="C2633" s="371" t="s">
        <v>2791</v>
      </c>
      <c r="D2633" s="2716">
        <f t="shared" si="287"/>
        <v>0</v>
      </c>
      <c r="E2633" s="2721">
        <v>1</v>
      </c>
      <c r="F2633" s="294"/>
      <c r="G2633" s="2284" t="s">
        <v>2792</v>
      </c>
      <c r="H2633" s="2275"/>
      <c r="I2633" s="2275"/>
      <c r="J2633" s="2275"/>
      <c r="K2633" s="2275"/>
      <c r="L2633" s="2276"/>
      <c r="S2633" s="364"/>
      <c r="Z2633" s="609" t="s">
        <v>1053</v>
      </c>
      <c r="AA2633" s="609" t="s">
        <v>3540</v>
      </c>
    </row>
    <row r="2634" spans="1:27" ht="18">
      <c r="A2634" s="2714"/>
      <c r="B2634" s="371">
        <v>104</v>
      </c>
      <c r="C2634" s="371" t="s">
        <v>2791</v>
      </c>
      <c r="D2634" s="2716">
        <f t="shared" si="287"/>
        <v>0</v>
      </c>
      <c r="E2634" s="2721">
        <v>1</v>
      </c>
      <c r="F2634" s="294"/>
      <c r="G2634" s="2284" t="s">
        <v>2792</v>
      </c>
      <c r="H2634" s="2275"/>
      <c r="I2634" s="2275"/>
      <c r="J2634" s="2275"/>
      <c r="K2634" s="2275"/>
      <c r="L2634" s="2276"/>
      <c r="S2634" s="364"/>
      <c r="Z2634" s="609" t="s">
        <v>1053</v>
      </c>
      <c r="AA2634" s="609" t="s">
        <v>3540</v>
      </c>
    </row>
    <row r="2635" spans="1:27" ht="18">
      <c r="A2635" s="2714"/>
      <c r="B2635" s="371">
        <v>105</v>
      </c>
      <c r="C2635" s="371" t="s">
        <v>2791</v>
      </c>
      <c r="D2635" s="2716">
        <f t="shared" si="287"/>
        <v>0</v>
      </c>
      <c r="E2635" s="2721">
        <v>1</v>
      </c>
      <c r="F2635" s="294"/>
      <c r="G2635" s="2284" t="s">
        <v>2792</v>
      </c>
      <c r="H2635" s="2275"/>
      <c r="I2635" s="2275"/>
      <c r="J2635" s="2275"/>
      <c r="K2635" s="2275"/>
      <c r="L2635" s="2276"/>
      <c r="S2635" s="364"/>
      <c r="Z2635" s="609" t="s">
        <v>1053</v>
      </c>
      <c r="AA2635" s="609" t="s">
        <v>3540</v>
      </c>
    </row>
    <row r="2636" spans="1:27" ht="18.75" thickBot="1">
      <c r="A2636" s="2714"/>
      <c r="B2636" s="371"/>
      <c r="C2636" s="371"/>
      <c r="D2636" s="2716">
        <f t="shared" si="287"/>
        <v>0</v>
      </c>
      <c r="E2636" s="2721" t="s">
        <v>3595</v>
      </c>
      <c r="F2636" s="294"/>
      <c r="G2636" s="590"/>
      <c r="H2636" s="2317"/>
      <c r="I2636" s="2317"/>
      <c r="J2636" s="2317"/>
      <c r="K2636" s="2317"/>
      <c r="L2636" s="2304"/>
      <c r="S2636" s="364"/>
      <c r="Z2636" s="609" t="s">
        <v>1053</v>
      </c>
      <c r="AA2636" s="609" t="s">
        <v>3540</v>
      </c>
    </row>
    <row r="2637" spans="1:27" ht="18">
      <c r="A2637" s="2714"/>
      <c r="B2637" s="371"/>
      <c r="C2637" s="371" t="s">
        <v>2755</v>
      </c>
      <c r="D2637" s="371"/>
      <c r="F2637" s="294"/>
      <c r="G2637" s="301"/>
      <c r="H2637" s="315"/>
      <c r="I2637" s="315"/>
      <c r="J2637" s="315"/>
      <c r="K2637" s="315"/>
      <c r="L2637" s="393"/>
      <c r="M2637" s="349"/>
      <c r="S2637" s="364"/>
      <c r="Z2637" s="609" t="s">
        <v>1053</v>
      </c>
      <c r="AA2637" s="609" t="s">
        <v>3540</v>
      </c>
    </row>
    <row r="2638" spans="1:27" ht="17.25">
      <c r="A2638" s="2715">
        <v>1611</v>
      </c>
      <c r="B2638" s="371">
        <v>23</v>
      </c>
      <c r="C2638" s="2716" t="str">
        <f>VLOOKUP($A2638,Sheet_Items,2,0)</f>
        <v>固定资产（报表项目）</v>
      </c>
      <c r="D2638" s="371"/>
      <c r="E2638" s="2716" t="s">
        <v>2739</v>
      </c>
      <c r="F2638" s="371"/>
      <c r="G2638" s="305" t="str">
        <f>B2638&amp;" "&amp;C2638</f>
        <v>23 固定资产（报表项目）</v>
      </c>
      <c r="H2638" s="306"/>
      <c r="I2638" s="306"/>
      <c r="J2638" s="306" t="s">
        <v>2740</v>
      </c>
      <c r="K2638" s="341">
        <f>VLOOKUP($A2638,Sheet_Trialbal,6,0)</f>
        <v>18818300.170000002</v>
      </c>
      <c r="L2638" s="342"/>
      <c r="M2638" s="306" t="s">
        <v>2741</v>
      </c>
      <c r="N2638" s="341">
        <f>VLOOKUP($A2638,Sheet_Trialbal,10,0)</f>
        <v>20288571.73</v>
      </c>
      <c r="O2638" s="342"/>
      <c r="P2638" s="301"/>
      <c r="S2638" s="364"/>
      <c r="Z2638" s="609" t="s">
        <v>1100</v>
      </c>
      <c r="AA2638" s="609"/>
    </row>
    <row r="2639" spans="1:27" ht="18">
      <c r="A2639" s="2714" t="s">
        <v>1098</v>
      </c>
      <c r="B2639" s="371">
        <v>1</v>
      </c>
      <c r="C2639" s="371"/>
      <c r="D2639" s="2716" t="str">
        <f>VLOOKUP($A2639,Sheet_NoteList,2,0)</f>
        <v>固定资产分类列示</v>
      </c>
      <c r="E2639" s="2716" t="s">
        <v>2742</v>
      </c>
      <c r="F2639" s="371"/>
      <c r="G2639" s="372" t="str">
        <f>"("&amp;B2639&amp;")"&amp;D2639</f>
        <v>(1)固定资产分类列示</v>
      </c>
      <c r="H2639" s="1517" t="str">
        <f>$A2639</f>
        <v>1611a</v>
      </c>
      <c r="I2639" s="343" t="s">
        <v>2743</v>
      </c>
      <c r="J2639" s="301" t="s">
        <v>2744</v>
      </c>
      <c r="K2639" s="2210">
        <f>H2645</f>
        <v>18818300.170000002</v>
      </c>
      <c r="L2639" s="349" t="str">
        <f>IF($I2639="适用",IF(ROUND(K$2638-K2639,2)=0,"F/S",ROUND(K$2638-K2639,2)),"#N/A")</f>
        <v>F/S</v>
      </c>
      <c r="M2639" s="301" t="s">
        <v>2745</v>
      </c>
      <c r="N2639" s="2210">
        <f>I2645</f>
        <v>20288571.73</v>
      </c>
      <c r="O2639" s="349" t="str">
        <f>IF($I2639="适用",IF(ROUND(N$2638-N2639,2)=0,"F/S",ROUND(N$2638-N2639,2)),"#N/A")</f>
        <v>F/S</v>
      </c>
      <c r="P2639" s="301"/>
      <c r="S2639" s="364"/>
      <c r="Z2639" s="609" t="s">
        <v>1100</v>
      </c>
      <c r="AA2639" s="609"/>
    </row>
    <row r="2640" spans="1:27" ht="0.75" customHeight="1" thickBot="1">
      <c r="A2640" s="2714"/>
      <c r="B2640" s="371"/>
      <c r="C2640" s="371"/>
      <c r="D2640" s="2716"/>
      <c r="F2640" s="371"/>
      <c r="G2640" s="405" t="s">
        <v>3597</v>
      </c>
      <c r="H2640" s="371" t="s">
        <v>2747</v>
      </c>
      <c r="I2640" s="371" t="s">
        <v>2748</v>
      </c>
      <c r="J2640" s="301"/>
      <c r="K2640" s="391"/>
      <c r="L2640" s="349"/>
      <c r="M2640" s="301"/>
      <c r="N2640" s="391"/>
      <c r="O2640" s="349"/>
      <c r="P2640" s="301"/>
      <c r="S2640" s="364"/>
      <c r="Z2640" s="609" t="s">
        <v>1100</v>
      </c>
      <c r="AA2640" s="609"/>
    </row>
    <row r="2641" spans="1:27" ht="18.75" thickTop="1">
      <c r="A2641" s="2714"/>
      <c r="B2641" s="371"/>
      <c r="C2641" s="371"/>
      <c r="D2641" s="2716"/>
      <c r="E2641" s="2716" t="s">
        <v>2749</v>
      </c>
      <c r="F2641" s="371"/>
      <c r="G2641" s="373" t="s">
        <v>47</v>
      </c>
      <c r="H2641" s="1454" t="str">
        <f>$V$2</f>
        <v>2019年12月31日</v>
      </c>
      <c r="I2641" s="1455" t="str">
        <f>$V$3</f>
        <v>2018年12月31日</v>
      </c>
      <c r="J2641" s="355" t="s">
        <v>5288</v>
      </c>
      <c r="K2641" s="1584" t="str">
        <f>""&amp;"&gt;本期:"&amp;""</f>
        <v>&gt;本期:</v>
      </c>
      <c r="L2641" s="1584" t="str">
        <f>""&amp;"&gt;上期:"&amp;""</f>
        <v>&gt;上期:</v>
      </c>
      <c r="M2641" s="2658" t="str">
        <f>""&amp;"NoteID"&amp;""</f>
        <v>NoteID</v>
      </c>
      <c r="N2641" s="391"/>
      <c r="O2641" s="349"/>
      <c r="P2641" s="301"/>
      <c r="S2641" s="364"/>
      <c r="Z2641" s="609" t="s">
        <v>1100</v>
      </c>
      <c r="AA2641" s="609"/>
    </row>
    <row r="2642" spans="1:27" ht="18">
      <c r="A2642" s="2714"/>
      <c r="B2642" s="371">
        <v>101</v>
      </c>
      <c r="C2642" s="371"/>
      <c r="D2642" s="2716">
        <f t="shared" ref="D2642:D2645" si="288">IF(OR(G2642="*",G2642="",G2642=0),0,COUNTIF($G$2642:$G$2645,G2642))</f>
        <v>1</v>
      </c>
      <c r="E2642" s="2721">
        <v>1</v>
      </c>
      <c r="F2642" s="371"/>
      <c r="G2642" s="308" t="s">
        <v>337</v>
      </c>
      <c r="H2642" s="309">
        <f>P2696</f>
        <v>18818300.170000002</v>
      </c>
      <c r="I2642" s="394">
        <f>H2696</f>
        <v>20288571.73</v>
      </c>
      <c r="J2642" s="301"/>
      <c r="K2642" s="2252">
        <f ca="1">HYPERLINK("#'"&amp;$G$1&amp;"'!"&amp;ADDRESS(ROW(Notes!P2696),COLUMN(Notes!P2696),4),P2696-H2642)</f>
        <v>0</v>
      </c>
      <c r="L2642" s="2252">
        <f ca="1">HYPERLINK("#'"&amp;$G$1&amp;"'!"&amp;ADDRESS(ROW(Notes!H2696),COLUMN(Notes!H2696),4),H2696-I2642)</f>
        <v>0</v>
      </c>
      <c r="M2642" s="2632" t="str">
        <f>H2648</f>
        <v>1601k</v>
      </c>
      <c r="N2642" s="391"/>
      <c r="O2642" s="349"/>
      <c r="P2642" s="301"/>
      <c r="S2642" s="364"/>
      <c r="Z2642" s="609" t="s">
        <v>1100</v>
      </c>
      <c r="AA2642" s="609"/>
    </row>
    <row r="2643" spans="1:27" ht="18">
      <c r="A2643" s="2714"/>
      <c r="B2643" s="371">
        <v>102</v>
      </c>
      <c r="C2643" s="371"/>
      <c r="D2643" s="2716">
        <f t="shared" si="288"/>
        <v>1</v>
      </c>
      <c r="E2643" s="2721">
        <v>1</v>
      </c>
      <c r="F2643" s="371"/>
      <c r="G2643" s="308" t="s">
        <v>359</v>
      </c>
      <c r="H2643" s="309"/>
      <c r="I2643" s="394"/>
      <c r="J2643" s="301"/>
      <c r="K2643" s="2252">
        <f ca="1">HYPERLINK("#'"&amp;$G$1&amp;"'!"&amp;ADDRESS(ROW(Notes!H2808),COLUMN(Notes!H2808),4),H2808-H2643)</f>
        <v>0</v>
      </c>
      <c r="L2643" s="2252">
        <f ca="1">HYPERLINK("#'"&amp;$G$1&amp;"'!"&amp;ADDRESS(ROW(Notes!I2808),COLUMN(Notes!I2808),4),I2808-I2643)</f>
        <v>0</v>
      </c>
      <c r="M2643" s="2632" t="str">
        <f>H2797</f>
        <v>1606b</v>
      </c>
      <c r="N2643" s="391"/>
      <c r="O2643" s="349"/>
      <c r="P2643" s="301"/>
      <c r="S2643" s="364"/>
      <c r="Z2643" s="609" t="s">
        <v>1100</v>
      </c>
      <c r="AA2643" s="609"/>
    </row>
    <row r="2644" spans="1:27" ht="18">
      <c r="A2644" s="2714"/>
      <c r="B2644" s="371">
        <v>103</v>
      </c>
      <c r="C2644" s="371" t="s">
        <v>2791</v>
      </c>
      <c r="D2644" s="2716">
        <f t="shared" si="288"/>
        <v>0</v>
      </c>
      <c r="E2644" s="2721">
        <v>1</v>
      </c>
      <c r="F2644" s="371"/>
      <c r="G2644" s="2568" t="s">
        <v>2792</v>
      </c>
      <c r="H2644" s="309"/>
      <c r="I2644" s="394"/>
      <c r="J2644" s="301"/>
      <c r="K2644" s="456"/>
      <c r="L2644" s="456"/>
      <c r="M2644" s="456"/>
      <c r="N2644" s="391"/>
      <c r="O2644" s="349"/>
      <c r="P2644" s="301"/>
      <c r="S2644" s="364"/>
      <c r="Z2644" s="609" t="s">
        <v>1100</v>
      </c>
      <c r="AA2644" s="609"/>
    </row>
    <row r="2645" spans="1:27" ht="18.75" thickBot="1">
      <c r="A2645" s="2714"/>
      <c r="B2645" s="371"/>
      <c r="C2645" s="371"/>
      <c r="D2645" s="2716">
        <f t="shared" si="288"/>
        <v>1</v>
      </c>
      <c r="E2645" s="2721" t="s">
        <v>2751</v>
      </c>
      <c r="F2645" s="371"/>
      <c r="G2645" s="374" t="s">
        <v>2752</v>
      </c>
      <c r="H2645" s="1478">
        <f>SUMPRODUCT($E2641:$E2644,H2641:H2644)</f>
        <v>18818300.170000002</v>
      </c>
      <c r="I2645" s="1479">
        <f>SUMPRODUCT($E2641:$E2644,I2641:I2644)</f>
        <v>20288571.73</v>
      </c>
      <c r="J2645" s="301"/>
      <c r="K2645" s="1531">
        <f t="shared" ref="K2645:M2645" ca="1" si="289">SUM(K2642:K2644)</f>
        <v>0</v>
      </c>
      <c r="L2645" s="1531">
        <f t="shared" ca="1" si="289"/>
        <v>0</v>
      </c>
      <c r="M2645" s="1531">
        <f t="shared" si="289"/>
        <v>0</v>
      </c>
      <c r="N2645" s="391"/>
      <c r="O2645" s="349"/>
      <c r="P2645" s="301"/>
      <c r="S2645" s="364"/>
      <c r="Z2645" s="609" t="s">
        <v>1100</v>
      </c>
      <c r="AA2645" s="609"/>
    </row>
    <row r="2646" spans="1:27" ht="18">
      <c r="A2646" s="2714"/>
      <c r="B2646" s="371"/>
      <c r="C2646" s="371" t="s">
        <v>2755</v>
      </c>
      <c r="D2646" s="2716"/>
      <c r="F2646" s="371"/>
      <c r="G2646" s="376"/>
      <c r="H2646" s="315"/>
      <c r="I2646" s="396"/>
      <c r="J2646" s="301"/>
      <c r="K2646" s="1539" t="s">
        <v>5495</v>
      </c>
      <c r="L2646" s="317"/>
      <c r="M2646" s="354"/>
      <c r="N2646" s="391"/>
      <c r="O2646" s="349"/>
      <c r="P2646" s="301"/>
      <c r="S2646" s="364"/>
      <c r="Z2646" s="609" t="s">
        <v>1100</v>
      </c>
      <c r="AA2646" s="609"/>
    </row>
    <row r="2647" spans="1:27" ht="18">
      <c r="A2647" s="2714">
        <v>1601</v>
      </c>
      <c r="B2647" s="371">
        <v>23.1</v>
      </c>
      <c r="C2647" s="2716" t="str">
        <f>VLOOKUP($A2647,Sheet_Items,2,0)</f>
        <v>固定资产</v>
      </c>
      <c r="D2647" s="371"/>
      <c r="E2647" s="2716" t="s">
        <v>2739</v>
      </c>
      <c r="F2647" s="294"/>
      <c r="G2647" s="305" t="str">
        <f>B2647&amp;" "&amp;C2647</f>
        <v>23.1 固定资产</v>
      </c>
      <c r="H2647" s="306"/>
      <c r="I2647" s="306"/>
      <c r="J2647" s="306" t="s">
        <v>2740</v>
      </c>
      <c r="K2647" s="341">
        <f>VLOOKUP($A2647,Sheet_Trialbal,6,0)</f>
        <v>18818300.170000002</v>
      </c>
      <c r="L2647" s="342"/>
      <c r="M2647" s="306" t="s">
        <v>2741</v>
      </c>
      <c r="N2647" s="341">
        <f>VLOOKUP($A2647,Sheet_Trialbal,10,0)</f>
        <v>20288571.73</v>
      </c>
      <c r="O2647" s="306"/>
      <c r="P2647" s="301"/>
      <c r="S2647" s="364"/>
      <c r="Z2647" s="609" t="s">
        <v>1107</v>
      </c>
      <c r="AA2647" s="609" t="s">
        <v>3598</v>
      </c>
    </row>
    <row r="2648" spans="1:27" ht="18">
      <c r="A2648" s="2714" t="s">
        <v>1105</v>
      </c>
      <c r="B2648" s="371">
        <v>1</v>
      </c>
      <c r="C2648" s="371"/>
      <c r="D2648" s="2716" t="str">
        <f>VLOOKUP($A2648,Sheet_NoteList,2,0)</f>
        <v>固定资产情况</v>
      </c>
      <c r="E2648" s="2716" t="s">
        <v>2742</v>
      </c>
      <c r="F2648" s="293"/>
      <c r="G2648" s="372" t="str">
        <f>"("&amp;B2648&amp;")"&amp;D2648</f>
        <v>(1)固定资产情况</v>
      </c>
      <c r="H2648" s="1517" t="str">
        <f>$A2648</f>
        <v>1601k</v>
      </c>
      <c r="I2648" s="343" t="s">
        <v>2743</v>
      </c>
      <c r="J2648" s="301" t="s">
        <v>2744</v>
      </c>
      <c r="K2648" s="2210">
        <f>P2696</f>
        <v>18818300.170000002</v>
      </c>
      <c r="L2648" s="349" t="str">
        <f>IF($I2648="适用",IF(ROUND(K$2647-K2648,2)=0,"F/S",ROUND(K$2647-K2648,2)),"#N/A")</f>
        <v>F/S</v>
      </c>
      <c r="M2648" s="301" t="s">
        <v>2745</v>
      </c>
      <c r="N2648" s="2210">
        <f>H2696</f>
        <v>20288571.73</v>
      </c>
      <c r="O2648" s="349" t="str">
        <f>IF($I2648="适用",IF(ROUND(N$2647-N2648,2)=0,"F/S",ROUND(N$2647-N2648,2)),"#N/A")</f>
        <v>F/S</v>
      </c>
      <c r="P2648" s="301"/>
      <c r="S2648" s="364"/>
      <c r="Z2648" s="609" t="s">
        <v>1107</v>
      </c>
      <c r="AA2648" s="609" t="s">
        <v>3598</v>
      </c>
    </row>
    <row r="2649" spans="1:27" ht="0.75" customHeight="1">
      <c r="A2649" s="2714"/>
      <c r="B2649" s="371"/>
      <c r="C2649" s="371"/>
      <c r="D2649" s="2716"/>
      <c r="F2649" s="371"/>
      <c r="G2649" s="405" t="s">
        <v>3599</v>
      </c>
      <c r="H2649" s="371" t="s">
        <v>5435</v>
      </c>
      <c r="I2649" s="371" t="s">
        <v>5436</v>
      </c>
      <c r="J2649" s="371" t="s">
        <v>5437</v>
      </c>
      <c r="K2649" s="371" t="s">
        <v>5438</v>
      </c>
      <c r="L2649" s="371" t="s">
        <v>5439</v>
      </c>
      <c r="M2649" s="371" t="s">
        <v>5440</v>
      </c>
      <c r="N2649" s="371" t="s">
        <v>5441</v>
      </c>
      <c r="O2649" s="371" t="s">
        <v>5442</v>
      </c>
      <c r="P2649" s="371" t="s">
        <v>5443</v>
      </c>
      <c r="Q2649" s="442"/>
      <c r="R2649" s="443"/>
      <c r="S2649" s="364"/>
      <c r="Z2649" s="609" t="s">
        <v>1107</v>
      </c>
      <c r="AA2649" s="609" t="s">
        <v>3598</v>
      </c>
    </row>
    <row r="2650" spans="1:27" ht="0.75" customHeight="1" thickBot="1">
      <c r="A2650" s="2714"/>
      <c r="B2650" s="371"/>
      <c r="C2650" s="371"/>
      <c r="D2650" s="2716"/>
      <c r="F2650" s="371"/>
      <c r="G2650" s="405"/>
      <c r="H2650" s="371" t="s">
        <v>3570</v>
      </c>
      <c r="I2650" s="371" t="s">
        <v>3571</v>
      </c>
      <c r="J2650" s="371" t="s">
        <v>5263</v>
      </c>
      <c r="K2650" s="547" t="s">
        <v>3572</v>
      </c>
      <c r="L2650" s="547" t="s">
        <v>5160</v>
      </c>
      <c r="M2650" s="371" t="s">
        <v>5264</v>
      </c>
      <c r="N2650" s="1569" t="s">
        <v>3607</v>
      </c>
      <c r="O2650" s="1569" t="s">
        <v>3608</v>
      </c>
      <c r="P2650" s="612" t="s">
        <v>3573</v>
      </c>
      <c r="Q2650" s="442"/>
      <c r="R2650" s="443"/>
      <c r="S2650" s="364"/>
      <c r="Z2650" s="609" t="s">
        <v>1107</v>
      </c>
      <c r="AA2650" s="609" t="s">
        <v>3598</v>
      </c>
    </row>
    <row r="2651" spans="1:27" ht="18" customHeight="1">
      <c r="A2651" s="2714"/>
      <c r="B2651" s="371"/>
      <c r="C2651" s="371"/>
      <c r="D2651" s="2716"/>
      <c r="E2651" s="2716" t="s">
        <v>2749</v>
      </c>
      <c r="F2651" s="293"/>
      <c r="G2651" s="3506" t="s">
        <v>47</v>
      </c>
      <c r="H2651" s="3390" t="s">
        <v>3574</v>
      </c>
      <c r="I2651" s="3390" t="s">
        <v>3558</v>
      </c>
      <c r="J2651" s="3390"/>
      <c r="K2651" s="3390"/>
      <c r="L2651" s="3390"/>
      <c r="M2651" s="3390"/>
      <c r="N2651" s="3390" t="s">
        <v>3560</v>
      </c>
      <c r="O2651" s="3390"/>
      <c r="P2651" s="3438" t="s">
        <v>3575</v>
      </c>
      <c r="Q2651" s="355" t="s">
        <v>5288</v>
      </c>
      <c r="R2651" s="443"/>
      <c r="S2651" s="364"/>
      <c r="Z2651" s="609" t="s">
        <v>1107</v>
      </c>
      <c r="AA2651" s="609" t="s">
        <v>3598</v>
      </c>
    </row>
    <row r="2652" spans="1:27" ht="24">
      <c r="A2652" s="2714"/>
      <c r="B2652" s="371"/>
      <c r="C2652" s="371"/>
      <c r="D2652" s="2716"/>
      <c r="E2652" s="2716" t="s">
        <v>2749</v>
      </c>
      <c r="F2652" s="293"/>
      <c r="G2652" s="3507"/>
      <c r="H2652" s="3393"/>
      <c r="I2652" s="2286" t="s">
        <v>3576</v>
      </c>
      <c r="J2652" s="2286" t="s">
        <v>3603</v>
      </c>
      <c r="K2652" s="2279" t="s">
        <v>3547</v>
      </c>
      <c r="L2652" s="2344" t="s">
        <v>5158</v>
      </c>
      <c r="M2652" s="2344" t="s">
        <v>5157</v>
      </c>
      <c r="N2652" s="2286" t="s">
        <v>3605</v>
      </c>
      <c r="O2652" s="2286" t="s">
        <v>3609</v>
      </c>
      <c r="P2652" s="3408"/>
      <c r="Q2652" s="442"/>
      <c r="R2652" s="443"/>
      <c r="S2652" s="364"/>
      <c r="Z2652" s="609" t="s">
        <v>1107</v>
      </c>
      <c r="AA2652" s="609" t="s">
        <v>3598</v>
      </c>
    </row>
    <row r="2653" spans="1:27" ht="18">
      <c r="A2653" s="2714"/>
      <c r="B2653" s="371">
        <v>101</v>
      </c>
      <c r="C2653" s="371"/>
      <c r="D2653" s="2716">
        <f t="shared" ref="D2653:D2696" si="290">IF(OR(G2653="*",G2653="",G2653=0),0,COUNTIF($G$2653:$G$2696,G2653))</f>
        <v>1</v>
      </c>
      <c r="E2653" s="2721" t="s">
        <v>6534</v>
      </c>
      <c r="F2653" s="294"/>
      <c r="G2653" s="308" t="s">
        <v>3577</v>
      </c>
      <c r="H2653" s="320"/>
      <c r="I2653" s="320"/>
      <c r="J2653" s="320"/>
      <c r="K2653" s="320"/>
      <c r="L2653" s="309"/>
      <c r="M2653" s="320"/>
      <c r="N2653" s="309"/>
      <c r="O2653" s="309"/>
      <c r="P2653" s="346"/>
      <c r="Q2653" s="442"/>
      <c r="R2653" s="443"/>
      <c r="S2653" s="364"/>
      <c r="Z2653" s="609" t="s">
        <v>1107</v>
      </c>
      <c r="AA2653" s="609" t="s">
        <v>3598</v>
      </c>
    </row>
    <row r="2654" spans="1:27" ht="18">
      <c r="A2654" s="2714"/>
      <c r="B2654" s="371">
        <v>101.001</v>
      </c>
      <c r="C2654" s="371"/>
      <c r="D2654" s="2716">
        <f t="shared" si="290"/>
        <v>1</v>
      </c>
      <c r="E2654" s="2721" t="s">
        <v>5159</v>
      </c>
      <c r="F2654" s="294"/>
      <c r="G2654" s="308" t="s">
        <v>3600</v>
      </c>
      <c r="H2654" s="309">
        <v>27543539.43</v>
      </c>
      <c r="I2654" s="309">
        <v>305444.69</v>
      </c>
      <c r="J2654" s="309">
        <v>241362.66</v>
      </c>
      <c r="K2654" s="309"/>
      <c r="L2654" s="1465">
        <v>0</v>
      </c>
      <c r="M2654" s="309"/>
      <c r="N2654" s="320"/>
      <c r="O2654" s="309"/>
      <c r="P2654" s="1477">
        <f t="shared" ref="P2654:P2662" si="291">SUM(H2654:M2654,-N2654,-O2654)</f>
        <v>28090346.780000001</v>
      </c>
      <c r="Q2654" s="442"/>
      <c r="R2654" s="443"/>
      <c r="S2654" s="364"/>
      <c r="Z2654" s="609" t="s">
        <v>1107</v>
      </c>
      <c r="AA2654" s="609" t="s">
        <v>3598</v>
      </c>
    </row>
    <row r="2655" spans="1:27" ht="18">
      <c r="A2655" s="2714"/>
      <c r="B2655" s="371">
        <v>101.002</v>
      </c>
      <c r="C2655" s="371"/>
      <c r="D2655" s="2716">
        <f t="shared" si="290"/>
        <v>1</v>
      </c>
      <c r="E2655" s="2721" t="s">
        <v>5159</v>
      </c>
      <c r="F2655" s="294"/>
      <c r="G2655" s="308" t="s">
        <v>3601</v>
      </c>
      <c r="H2655" s="309">
        <v>20025718.91</v>
      </c>
      <c r="I2655" s="309">
        <v>868499.34</v>
      </c>
      <c r="J2655" s="309"/>
      <c r="K2655" s="309"/>
      <c r="L2655" s="1465">
        <v>0</v>
      </c>
      <c r="M2655" s="309"/>
      <c r="N2655" s="320"/>
      <c r="O2655" s="309"/>
      <c r="P2655" s="1477">
        <f t="shared" si="291"/>
        <v>20894218.25</v>
      </c>
      <c r="Q2655" s="442"/>
      <c r="R2655" s="443"/>
      <c r="S2655" s="364"/>
      <c r="Z2655" s="609" t="s">
        <v>1107</v>
      </c>
      <c r="AA2655" s="609" t="s">
        <v>3598</v>
      </c>
    </row>
    <row r="2656" spans="1:27" ht="18">
      <c r="A2656" s="2714"/>
      <c r="B2656" s="371">
        <v>101.003</v>
      </c>
      <c r="C2656" s="371"/>
      <c r="D2656" s="2716">
        <f t="shared" si="290"/>
        <v>1</v>
      </c>
      <c r="E2656" s="2721" t="s">
        <v>5159</v>
      </c>
      <c r="F2656" s="294"/>
      <c r="G2656" s="308" t="s">
        <v>3602</v>
      </c>
      <c r="H2656" s="309">
        <v>2536451.8199999998</v>
      </c>
      <c r="I2656" s="309">
        <v>51769.91</v>
      </c>
      <c r="J2656" s="309"/>
      <c r="K2656" s="309"/>
      <c r="L2656" s="1465">
        <v>0</v>
      </c>
      <c r="M2656" s="309"/>
      <c r="N2656" s="320"/>
      <c r="O2656" s="309"/>
      <c r="P2656" s="1477">
        <f t="shared" si="291"/>
        <v>2588221.73</v>
      </c>
      <c r="Q2656" s="442"/>
      <c r="R2656" s="443"/>
      <c r="S2656" s="364"/>
      <c r="Z2656" s="609" t="s">
        <v>1107</v>
      </c>
      <c r="AA2656" s="609" t="s">
        <v>3598</v>
      </c>
    </row>
    <row r="2657" spans="1:27" ht="18">
      <c r="A2657" s="2714"/>
      <c r="B2657" s="371">
        <v>101.004</v>
      </c>
      <c r="C2657" s="371" t="s">
        <v>2791</v>
      </c>
      <c r="D2657" s="2716">
        <f t="shared" si="290"/>
        <v>1</v>
      </c>
      <c r="E2657" s="2721" t="s">
        <v>5159</v>
      </c>
      <c r="F2657" s="294"/>
      <c r="G2657" s="1506" t="s">
        <v>6854</v>
      </c>
      <c r="H2657" s="309">
        <v>3275490.16</v>
      </c>
      <c r="I2657" s="309">
        <v>28448.28</v>
      </c>
      <c r="J2657" s="309"/>
      <c r="K2657" s="309"/>
      <c r="L2657" s="1465">
        <v>0</v>
      </c>
      <c r="M2657" s="309"/>
      <c r="N2657" s="320"/>
      <c r="O2657" s="309"/>
      <c r="P2657" s="1477">
        <f t="shared" si="291"/>
        <v>3303938.44</v>
      </c>
      <c r="Q2657" s="442"/>
      <c r="R2657" s="443"/>
      <c r="S2657" s="364"/>
      <c r="Z2657" s="609" t="s">
        <v>1107</v>
      </c>
      <c r="AA2657" s="609" t="s">
        <v>3598</v>
      </c>
    </row>
    <row r="2658" spans="1:27" ht="18">
      <c r="A2658" s="2714"/>
      <c r="B2658" s="371">
        <v>101.005</v>
      </c>
      <c r="C2658" s="371" t="s">
        <v>2791</v>
      </c>
      <c r="D2658" s="2716">
        <f t="shared" si="290"/>
        <v>1</v>
      </c>
      <c r="E2658" s="2721" t="s">
        <v>5159</v>
      </c>
      <c r="F2658" s="294"/>
      <c r="G2658" s="1506" t="s">
        <v>5187</v>
      </c>
      <c r="H2658" s="309"/>
      <c r="I2658" s="309"/>
      <c r="J2658" s="309"/>
      <c r="K2658" s="309"/>
      <c r="L2658" s="1465">
        <v>0</v>
      </c>
      <c r="M2658" s="309"/>
      <c r="N2658" s="320"/>
      <c r="O2658" s="309"/>
      <c r="P2658" s="1477">
        <f t="shared" si="291"/>
        <v>0</v>
      </c>
      <c r="Q2658" s="442"/>
      <c r="R2658" s="443"/>
      <c r="S2658" s="364"/>
      <c r="Z2658" s="609" t="s">
        <v>1107</v>
      </c>
      <c r="AA2658" s="609" t="s">
        <v>3598</v>
      </c>
    </row>
    <row r="2659" spans="1:27" ht="18">
      <c r="A2659" s="2714"/>
      <c r="B2659" s="371">
        <v>101.006</v>
      </c>
      <c r="C2659" s="371" t="s">
        <v>2791</v>
      </c>
      <c r="D2659" s="2716">
        <f t="shared" si="290"/>
        <v>1</v>
      </c>
      <c r="E2659" s="2721" t="s">
        <v>5159</v>
      </c>
      <c r="F2659" s="294"/>
      <c r="G2659" s="1506" t="s">
        <v>5188</v>
      </c>
      <c r="H2659" s="309"/>
      <c r="I2659" s="309"/>
      <c r="J2659" s="309"/>
      <c r="K2659" s="309"/>
      <c r="L2659" s="1465">
        <v>0</v>
      </c>
      <c r="M2659" s="309"/>
      <c r="N2659" s="320"/>
      <c r="O2659" s="309"/>
      <c r="P2659" s="1477">
        <f t="shared" si="291"/>
        <v>0</v>
      </c>
      <c r="Q2659" s="442"/>
      <c r="R2659" s="443"/>
      <c r="S2659" s="364"/>
      <c r="Z2659" s="609" t="s">
        <v>1107</v>
      </c>
      <c r="AA2659" s="609" t="s">
        <v>3598</v>
      </c>
    </row>
    <row r="2660" spans="1:27" ht="18">
      <c r="A2660" s="2714"/>
      <c r="B2660" s="371">
        <v>101.00700000000001</v>
      </c>
      <c r="C2660" s="371" t="s">
        <v>2791</v>
      </c>
      <c r="D2660" s="2716">
        <f t="shared" si="290"/>
        <v>1</v>
      </c>
      <c r="E2660" s="2721" t="s">
        <v>5159</v>
      </c>
      <c r="F2660" s="294"/>
      <c r="G2660" s="1506" t="s">
        <v>5189</v>
      </c>
      <c r="H2660" s="309"/>
      <c r="I2660" s="309"/>
      <c r="J2660" s="309"/>
      <c r="K2660" s="309"/>
      <c r="L2660" s="1465">
        <v>0</v>
      </c>
      <c r="M2660" s="309"/>
      <c r="N2660" s="320"/>
      <c r="O2660" s="309"/>
      <c r="P2660" s="1477">
        <f t="shared" si="291"/>
        <v>0</v>
      </c>
      <c r="Q2660" s="442"/>
      <c r="R2660" s="443"/>
      <c r="S2660" s="364"/>
      <c r="Z2660" s="609" t="s">
        <v>1107</v>
      </c>
      <c r="AA2660" s="609" t="s">
        <v>3598</v>
      </c>
    </row>
    <row r="2661" spans="1:27" ht="18">
      <c r="A2661" s="2714"/>
      <c r="B2661" s="371">
        <v>101.008</v>
      </c>
      <c r="C2661" s="371" t="s">
        <v>6532</v>
      </c>
      <c r="D2661" s="2716">
        <f t="shared" si="290"/>
        <v>1</v>
      </c>
      <c r="E2661" s="2721" t="s">
        <v>5159</v>
      </c>
      <c r="F2661" s="294"/>
      <c r="G2661" s="1506" t="s">
        <v>5190</v>
      </c>
      <c r="H2661" s="309"/>
      <c r="I2661" s="309"/>
      <c r="J2661" s="309"/>
      <c r="K2661" s="309"/>
      <c r="L2661" s="1465">
        <v>0</v>
      </c>
      <c r="M2661" s="309"/>
      <c r="N2661" s="320"/>
      <c r="O2661" s="309"/>
      <c r="P2661" s="1477">
        <f t="shared" si="291"/>
        <v>0</v>
      </c>
      <c r="Q2661" s="442"/>
      <c r="R2661" s="443"/>
      <c r="S2661" s="364"/>
      <c r="Z2661" s="609" t="s">
        <v>1107</v>
      </c>
      <c r="AA2661" s="609" t="s">
        <v>3598</v>
      </c>
    </row>
    <row r="2662" spans="1:27" ht="18">
      <c r="A2662" s="2714"/>
      <c r="B2662" s="371">
        <v>101.009</v>
      </c>
      <c r="C2662" s="371" t="s">
        <v>2791</v>
      </c>
      <c r="D2662" s="2716">
        <f t="shared" si="290"/>
        <v>1</v>
      </c>
      <c r="E2662" s="2721" t="s">
        <v>5159</v>
      </c>
      <c r="F2662" s="294"/>
      <c r="G2662" s="1506" t="s">
        <v>5191</v>
      </c>
      <c r="H2662" s="309"/>
      <c r="I2662" s="309"/>
      <c r="J2662" s="309"/>
      <c r="K2662" s="309"/>
      <c r="L2662" s="1465">
        <v>0</v>
      </c>
      <c r="M2662" s="309"/>
      <c r="N2662" s="320"/>
      <c r="O2662" s="309"/>
      <c r="P2662" s="1477">
        <f t="shared" si="291"/>
        <v>0</v>
      </c>
      <c r="Q2662" s="442"/>
      <c r="R2662" s="443"/>
      <c r="S2662" s="364"/>
      <c r="Z2662" s="609" t="s">
        <v>1107</v>
      </c>
      <c r="AA2662" s="609" t="s">
        <v>3598</v>
      </c>
    </row>
    <row r="2663" spans="1:27" ht="18">
      <c r="A2663" s="2714"/>
      <c r="B2663" s="371">
        <v>101.999</v>
      </c>
      <c r="C2663" s="371" t="s">
        <v>6562</v>
      </c>
      <c r="D2663" s="2716">
        <f t="shared" si="290"/>
        <v>1</v>
      </c>
      <c r="E2663" s="2721">
        <v>1</v>
      </c>
      <c r="F2663" s="294"/>
      <c r="G2663" s="632" t="s">
        <v>5161</v>
      </c>
      <c r="H2663" s="1476">
        <f t="shared" ref="H2663:P2663" si="292">SUMIF($E$2652:$E$2695,$G2663,H$2652:H$2695)</f>
        <v>53381200.32</v>
      </c>
      <c r="I2663" s="1476">
        <f t="shared" si="292"/>
        <v>1254162.22</v>
      </c>
      <c r="J2663" s="1476">
        <f t="shared" si="292"/>
        <v>241362.66</v>
      </c>
      <c r="K2663" s="1476">
        <f t="shared" si="292"/>
        <v>0</v>
      </c>
      <c r="L2663" s="1483">
        <f t="shared" si="292"/>
        <v>0</v>
      </c>
      <c r="M2663" s="1476">
        <f t="shared" si="292"/>
        <v>0</v>
      </c>
      <c r="N2663" s="1476">
        <f t="shared" si="292"/>
        <v>0</v>
      </c>
      <c r="O2663" s="1476">
        <f t="shared" si="292"/>
        <v>0</v>
      </c>
      <c r="P2663" s="1477">
        <f t="shared" si="292"/>
        <v>54876725.200000003</v>
      </c>
      <c r="Q2663" s="442"/>
      <c r="R2663" s="443"/>
      <c r="S2663" s="364"/>
      <c r="Z2663" s="609" t="s">
        <v>1107</v>
      </c>
      <c r="AA2663" s="609" t="s">
        <v>3598</v>
      </c>
    </row>
    <row r="2664" spans="1:27" ht="18">
      <c r="A2664" s="2714"/>
      <c r="B2664" s="371">
        <v>102</v>
      </c>
      <c r="C2664" s="371"/>
      <c r="D2664" s="2716">
        <f t="shared" si="290"/>
        <v>1</v>
      </c>
      <c r="E2664" s="2721" t="s">
        <v>6563</v>
      </c>
      <c r="F2664" s="294"/>
      <c r="G2664" s="308" t="s">
        <v>3610</v>
      </c>
      <c r="H2664" s="309"/>
      <c r="I2664" s="309"/>
      <c r="J2664" s="309"/>
      <c r="K2664" s="309"/>
      <c r="L2664" s="309"/>
      <c r="M2664" s="309"/>
      <c r="N2664" s="320"/>
      <c r="O2664" s="309"/>
      <c r="P2664" s="1477"/>
      <c r="Q2664" s="442"/>
      <c r="R2664" s="443"/>
      <c r="S2664" s="364"/>
      <c r="Z2664" s="609" t="s">
        <v>1107</v>
      </c>
      <c r="AA2664" s="609" t="s">
        <v>3598</v>
      </c>
    </row>
    <row r="2665" spans="1:27" ht="18">
      <c r="A2665" s="2714"/>
      <c r="B2665" s="371">
        <v>102.001</v>
      </c>
      <c r="C2665" s="371"/>
      <c r="D2665" s="2716">
        <f t="shared" si="290"/>
        <v>1</v>
      </c>
      <c r="E2665" s="2721" t="s">
        <v>486</v>
      </c>
      <c r="F2665" s="294"/>
      <c r="G2665" s="1506" t="str">
        <f>G$2654&amp;" "</f>
        <v xml:space="preserve">房屋及建筑物 </v>
      </c>
      <c r="H2665" s="309">
        <v>13847122.15</v>
      </c>
      <c r="I2665" s="1465">
        <v>0</v>
      </c>
      <c r="J2665" s="1465">
        <v>0</v>
      </c>
      <c r="K2665" s="1465">
        <v>0</v>
      </c>
      <c r="L2665" s="309">
        <v>1309290.8400000001</v>
      </c>
      <c r="M2665" s="309"/>
      <c r="N2665" s="320"/>
      <c r="O2665" s="309"/>
      <c r="P2665" s="1477">
        <f t="shared" ref="P2665:P2673" si="293">SUM(H2665:M2665,-N2665,-O2665)</f>
        <v>15156412.99</v>
      </c>
      <c r="Q2665" s="442"/>
      <c r="R2665" s="443"/>
      <c r="S2665" s="364"/>
      <c r="Z2665" s="609" t="s">
        <v>1107</v>
      </c>
      <c r="AA2665" s="609" t="s">
        <v>3598</v>
      </c>
    </row>
    <row r="2666" spans="1:27" ht="18">
      <c r="A2666" s="2714"/>
      <c r="B2666" s="371">
        <v>102.002</v>
      </c>
      <c r="C2666" s="371"/>
      <c r="D2666" s="2716">
        <f t="shared" si="290"/>
        <v>1</v>
      </c>
      <c r="E2666" s="2721" t="s">
        <v>486</v>
      </c>
      <c r="F2666" s="294"/>
      <c r="G2666" s="1506" t="str">
        <f>G$2655&amp;" "</f>
        <v xml:space="preserve">机器设备 </v>
      </c>
      <c r="H2666" s="309">
        <v>14194841.24</v>
      </c>
      <c r="I2666" s="1465">
        <v>0</v>
      </c>
      <c r="J2666" s="1465">
        <v>0</v>
      </c>
      <c r="K2666" s="1465">
        <v>0</v>
      </c>
      <c r="L2666" s="309">
        <v>854567.62</v>
      </c>
      <c r="M2666" s="309"/>
      <c r="N2666" s="320"/>
      <c r="O2666" s="309"/>
      <c r="P2666" s="1477">
        <f t="shared" si="293"/>
        <v>15049408.859999999</v>
      </c>
      <c r="Q2666" s="442"/>
      <c r="R2666" s="443"/>
      <c r="S2666" s="364"/>
      <c r="Z2666" s="609" t="s">
        <v>1107</v>
      </c>
      <c r="AA2666" s="609" t="s">
        <v>3598</v>
      </c>
    </row>
    <row r="2667" spans="1:27" ht="18">
      <c r="A2667" s="2714"/>
      <c r="B2667" s="371">
        <v>102.003</v>
      </c>
      <c r="C2667" s="371"/>
      <c r="D2667" s="2716">
        <f t="shared" si="290"/>
        <v>1</v>
      </c>
      <c r="E2667" s="2721" t="s">
        <v>486</v>
      </c>
      <c r="F2667" s="294"/>
      <c r="G2667" s="1506" t="str">
        <f>G$2656&amp;" "</f>
        <v xml:space="preserve">运输工具 </v>
      </c>
      <c r="H2667" s="309">
        <v>2098648.9</v>
      </c>
      <c r="I2667" s="1465">
        <v>0</v>
      </c>
      <c r="J2667" s="1465">
        <v>0</v>
      </c>
      <c r="K2667" s="1465">
        <v>0</v>
      </c>
      <c r="L2667" s="309">
        <v>92281.64</v>
      </c>
      <c r="M2667" s="309"/>
      <c r="N2667" s="320"/>
      <c r="O2667" s="309"/>
      <c r="P2667" s="1477">
        <f t="shared" si="293"/>
        <v>2190930.54</v>
      </c>
      <c r="Q2667" s="442"/>
      <c r="R2667" s="443"/>
      <c r="S2667" s="364"/>
      <c r="Z2667" s="609" t="s">
        <v>1107</v>
      </c>
      <c r="AA2667" s="609" t="s">
        <v>3598</v>
      </c>
    </row>
    <row r="2668" spans="1:27" ht="18">
      <c r="A2668" s="2714"/>
      <c r="B2668" s="371">
        <v>102.004</v>
      </c>
      <c r="C2668" s="371" t="s">
        <v>2791</v>
      </c>
      <c r="D2668" s="2716">
        <f t="shared" si="290"/>
        <v>1</v>
      </c>
      <c r="E2668" s="2721" t="s">
        <v>486</v>
      </c>
      <c r="F2668" s="294"/>
      <c r="G2668" s="1506" t="str">
        <f>G$2657&amp;" "</f>
        <v xml:space="preserve">电子设备及其他 </v>
      </c>
      <c r="H2668" s="309">
        <v>2952016.3</v>
      </c>
      <c r="I2668" s="1465">
        <v>0</v>
      </c>
      <c r="J2668" s="1465">
        <v>0</v>
      </c>
      <c r="K2668" s="1465">
        <v>0</v>
      </c>
      <c r="L2668" s="309">
        <v>76298.570000000007</v>
      </c>
      <c r="M2668" s="309"/>
      <c r="N2668" s="320"/>
      <c r="O2668" s="309"/>
      <c r="P2668" s="1477">
        <f t="shared" si="293"/>
        <v>3028314.87</v>
      </c>
      <c r="Q2668" s="442"/>
      <c r="R2668" s="443"/>
      <c r="S2668" s="364"/>
      <c r="Z2668" s="609" t="s">
        <v>1107</v>
      </c>
      <c r="AA2668" s="609" t="s">
        <v>3598</v>
      </c>
    </row>
    <row r="2669" spans="1:27" ht="18">
      <c r="A2669" s="2714"/>
      <c r="B2669" s="371">
        <v>102.005</v>
      </c>
      <c r="C2669" s="371" t="s">
        <v>2791</v>
      </c>
      <c r="D2669" s="2716">
        <f t="shared" si="290"/>
        <v>1</v>
      </c>
      <c r="E2669" s="2721" t="s">
        <v>486</v>
      </c>
      <c r="F2669" s="294"/>
      <c r="G2669" s="1506" t="str">
        <f>G$2658&amp;" "</f>
        <v xml:space="preserve">*5（在原值处修改或清除） </v>
      </c>
      <c r="H2669" s="309"/>
      <c r="I2669" s="1465">
        <v>0</v>
      </c>
      <c r="J2669" s="1465">
        <v>0</v>
      </c>
      <c r="K2669" s="1465">
        <v>0</v>
      </c>
      <c r="L2669" s="309"/>
      <c r="M2669" s="309"/>
      <c r="N2669" s="320"/>
      <c r="O2669" s="309"/>
      <c r="P2669" s="1477">
        <f t="shared" si="293"/>
        <v>0</v>
      </c>
      <c r="Q2669" s="442"/>
      <c r="R2669" s="443"/>
      <c r="S2669" s="364"/>
      <c r="Z2669" s="609" t="s">
        <v>1107</v>
      </c>
      <c r="AA2669" s="609" t="s">
        <v>3598</v>
      </c>
    </row>
    <row r="2670" spans="1:27" ht="18">
      <c r="A2670" s="2714"/>
      <c r="B2670" s="371">
        <v>102.006</v>
      </c>
      <c r="C2670" s="371" t="s">
        <v>2791</v>
      </c>
      <c r="D2670" s="2716">
        <f t="shared" si="290"/>
        <v>1</v>
      </c>
      <c r="E2670" s="2721" t="s">
        <v>486</v>
      </c>
      <c r="F2670" s="294"/>
      <c r="G2670" s="1506" t="str">
        <f>G$2659&amp;" "</f>
        <v xml:space="preserve">*6（在原值处修改或清除） </v>
      </c>
      <c r="H2670" s="309"/>
      <c r="I2670" s="1465">
        <v>0</v>
      </c>
      <c r="J2670" s="1465">
        <v>0</v>
      </c>
      <c r="K2670" s="1465">
        <v>0</v>
      </c>
      <c r="L2670" s="309"/>
      <c r="M2670" s="309"/>
      <c r="N2670" s="320"/>
      <c r="O2670" s="309"/>
      <c r="P2670" s="1477">
        <f t="shared" si="293"/>
        <v>0</v>
      </c>
      <c r="Q2670" s="442"/>
      <c r="R2670" s="443"/>
      <c r="S2670" s="364"/>
      <c r="Z2670" s="609" t="s">
        <v>1107</v>
      </c>
      <c r="AA2670" s="609" t="s">
        <v>3598</v>
      </c>
    </row>
    <row r="2671" spans="1:27" ht="18">
      <c r="A2671" s="2714"/>
      <c r="B2671" s="371">
        <v>102.00700000000001</v>
      </c>
      <c r="C2671" s="371" t="s">
        <v>2791</v>
      </c>
      <c r="D2671" s="2716">
        <f t="shared" si="290"/>
        <v>1</v>
      </c>
      <c r="E2671" s="2721" t="s">
        <v>486</v>
      </c>
      <c r="F2671" s="294"/>
      <c r="G2671" s="1506" t="str">
        <f>G$2660&amp;" "</f>
        <v xml:space="preserve">*7（在原值处修改或清除） </v>
      </c>
      <c r="H2671" s="309"/>
      <c r="I2671" s="1465">
        <v>0</v>
      </c>
      <c r="J2671" s="1465">
        <v>0</v>
      </c>
      <c r="K2671" s="1465">
        <v>0</v>
      </c>
      <c r="L2671" s="309"/>
      <c r="M2671" s="309"/>
      <c r="N2671" s="320"/>
      <c r="O2671" s="309"/>
      <c r="P2671" s="1477">
        <f t="shared" si="293"/>
        <v>0</v>
      </c>
      <c r="Q2671" s="442"/>
      <c r="R2671" s="443"/>
      <c r="S2671" s="364"/>
      <c r="Z2671" s="609" t="s">
        <v>1107</v>
      </c>
      <c r="AA2671" s="609" t="s">
        <v>3598</v>
      </c>
    </row>
    <row r="2672" spans="1:27" ht="18">
      <c r="A2672" s="2714"/>
      <c r="B2672" s="371">
        <v>102.008</v>
      </c>
      <c r="C2672" s="371" t="s">
        <v>2791</v>
      </c>
      <c r="D2672" s="2716">
        <f t="shared" si="290"/>
        <v>1</v>
      </c>
      <c r="E2672" s="2721" t="s">
        <v>486</v>
      </c>
      <c r="F2672" s="294"/>
      <c r="G2672" s="1506" t="str">
        <f>G$2661&amp;" "</f>
        <v xml:space="preserve">*8（在原值处修改或清除） </v>
      </c>
      <c r="H2672" s="309"/>
      <c r="I2672" s="1465">
        <v>0</v>
      </c>
      <c r="J2672" s="1465">
        <v>0</v>
      </c>
      <c r="K2672" s="1465">
        <v>0</v>
      </c>
      <c r="L2672" s="309"/>
      <c r="M2672" s="309"/>
      <c r="N2672" s="320"/>
      <c r="O2672" s="309"/>
      <c r="P2672" s="1477">
        <f t="shared" si="293"/>
        <v>0</v>
      </c>
      <c r="Q2672" s="442"/>
      <c r="R2672" s="443"/>
      <c r="S2672" s="364"/>
      <c r="Z2672" s="609" t="s">
        <v>1107</v>
      </c>
      <c r="AA2672" s="609" t="s">
        <v>3598</v>
      </c>
    </row>
    <row r="2673" spans="1:29" ht="18">
      <c r="A2673" s="2714"/>
      <c r="B2673" s="371">
        <v>102.009</v>
      </c>
      <c r="C2673" s="371" t="s">
        <v>2791</v>
      </c>
      <c r="D2673" s="2716">
        <f t="shared" si="290"/>
        <v>1</v>
      </c>
      <c r="E2673" s="2721" t="s">
        <v>486</v>
      </c>
      <c r="F2673" s="294"/>
      <c r="G2673" s="1506" t="str">
        <f>G$2662&amp;" "</f>
        <v xml:space="preserve">*9（在原值处修改或清除） </v>
      </c>
      <c r="H2673" s="309"/>
      <c r="I2673" s="1465">
        <v>0</v>
      </c>
      <c r="J2673" s="1465">
        <v>0</v>
      </c>
      <c r="K2673" s="1465">
        <v>0</v>
      </c>
      <c r="L2673" s="309"/>
      <c r="M2673" s="309"/>
      <c r="N2673" s="320"/>
      <c r="O2673" s="309"/>
      <c r="P2673" s="1477">
        <f t="shared" si="293"/>
        <v>0</v>
      </c>
      <c r="Q2673" s="442"/>
      <c r="R2673" s="443"/>
      <c r="S2673" s="364"/>
      <c r="Z2673" s="609" t="s">
        <v>1107</v>
      </c>
      <c r="AA2673" s="609" t="s">
        <v>3598</v>
      </c>
    </row>
    <row r="2674" spans="1:29" ht="18">
      <c r="A2674" s="2714"/>
      <c r="B2674" s="371">
        <v>102.999</v>
      </c>
      <c r="C2674" s="371" t="s">
        <v>2793</v>
      </c>
      <c r="D2674" s="2716">
        <f t="shared" si="290"/>
        <v>1</v>
      </c>
      <c r="E2674" s="2721">
        <v>-1</v>
      </c>
      <c r="F2674" s="294"/>
      <c r="G2674" s="632" t="s">
        <v>5162</v>
      </c>
      <c r="H2674" s="1476">
        <f t="shared" ref="H2674:P2674" si="294">SUMIF($E$2652:$E$2695,$G2674,H$2652:H$2695)</f>
        <v>33092628.59</v>
      </c>
      <c r="I2674" s="1483">
        <f t="shared" si="294"/>
        <v>0</v>
      </c>
      <c r="J2674" s="1483">
        <f t="shared" si="294"/>
        <v>0</v>
      </c>
      <c r="K2674" s="1483">
        <f t="shared" si="294"/>
        <v>0</v>
      </c>
      <c r="L2674" s="1476">
        <f t="shared" si="294"/>
        <v>2332438.67</v>
      </c>
      <c r="M2674" s="1476">
        <f t="shared" si="294"/>
        <v>0</v>
      </c>
      <c r="N2674" s="1476">
        <f t="shared" si="294"/>
        <v>0</v>
      </c>
      <c r="O2674" s="1476">
        <f t="shared" si="294"/>
        <v>0</v>
      </c>
      <c r="P2674" s="1477">
        <f t="shared" si="294"/>
        <v>35425067.259999998</v>
      </c>
      <c r="Q2674" s="442"/>
      <c r="R2674" s="443"/>
      <c r="S2674" s="364"/>
      <c r="Z2674" s="609" t="s">
        <v>1107</v>
      </c>
      <c r="AA2674" s="609" t="s">
        <v>3598</v>
      </c>
    </row>
    <row r="2675" spans="1:29" ht="18">
      <c r="A2675" s="2714"/>
      <c r="B2675" s="371">
        <v>103</v>
      </c>
      <c r="C2675" s="371"/>
      <c r="D2675" s="2716">
        <f t="shared" si="290"/>
        <v>1</v>
      </c>
      <c r="E2675" s="2721" t="s">
        <v>6564</v>
      </c>
      <c r="F2675" s="294"/>
      <c r="G2675" s="308" t="s">
        <v>3581</v>
      </c>
      <c r="H2675" s="309"/>
      <c r="I2675" s="309"/>
      <c r="J2675" s="309"/>
      <c r="K2675" s="309"/>
      <c r="L2675" s="309"/>
      <c r="M2675" s="309"/>
      <c r="N2675" s="320"/>
      <c r="O2675" s="309"/>
      <c r="P2675" s="1477"/>
      <c r="Q2675" s="442"/>
      <c r="R2675" s="443"/>
      <c r="S2675" s="364"/>
      <c r="Z2675" s="609" t="s">
        <v>1107</v>
      </c>
      <c r="AA2675" s="609" t="s">
        <v>3598</v>
      </c>
    </row>
    <row r="2676" spans="1:29" ht="18">
      <c r="A2676" s="2714"/>
      <c r="B2676" s="371">
        <v>103.001</v>
      </c>
      <c r="C2676" s="371"/>
      <c r="D2676" s="2716">
        <f t="shared" si="290"/>
        <v>1</v>
      </c>
      <c r="E2676" s="2721" t="s">
        <v>3097</v>
      </c>
      <c r="F2676" s="294"/>
      <c r="G2676" s="1506" t="str">
        <f>G$2654&amp;"  "</f>
        <v xml:space="preserve">房屋及建筑物  </v>
      </c>
      <c r="H2676" s="309"/>
      <c r="I2676" s="1465">
        <v>0</v>
      </c>
      <c r="J2676" s="1465">
        <v>0</v>
      </c>
      <c r="K2676" s="1465">
        <v>0</v>
      </c>
      <c r="L2676" s="309">
        <f>AJE!O54</f>
        <v>633357.77</v>
      </c>
      <c r="M2676" s="309"/>
      <c r="N2676" s="320"/>
      <c r="O2676" s="309"/>
      <c r="P2676" s="1477">
        <f t="shared" ref="P2676:P2684" si="295">SUM(H2676:M2676,-N2676,-O2676)</f>
        <v>633357.77</v>
      </c>
      <c r="Q2676" s="442"/>
      <c r="R2676" s="443"/>
      <c r="S2676" s="364"/>
      <c r="Z2676" s="609" t="s">
        <v>1107</v>
      </c>
      <c r="AA2676" s="609" t="s">
        <v>3598</v>
      </c>
    </row>
    <row r="2677" spans="1:29" ht="18">
      <c r="A2677" s="2714"/>
      <c r="B2677" s="371">
        <v>103.002</v>
      </c>
      <c r="C2677" s="371"/>
      <c r="D2677" s="2716">
        <f t="shared" si="290"/>
        <v>1</v>
      </c>
      <c r="E2677" s="2721" t="s">
        <v>3097</v>
      </c>
      <c r="F2677" s="294"/>
      <c r="G2677" s="1506" t="str">
        <f>G$2655&amp;"  "</f>
        <v xml:space="preserve">机器设备  </v>
      </c>
      <c r="H2677" s="309"/>
      <c r="I2677" s="1465">
        <v>0</v>
      </c>
      <c r="J2677" s="1465">
        <v>0</v>
      </c>
      <c r="K2677" s="1465">
        <v>0</v>
      </c>
      <c r="L2677" s="309"/>
      <c r="M2677" s="309"/>
      <c r="N2677" s="320"/>
      <c r="O2677" s="309"/>
      <c r="P2677" s="1477">
        <f t="shared" si="295"/>
        <v>0</v>
      </c>
      <c r="Q2677" s="442"/>
      <c r="R2677" s="443"/>
      <c r="S2677" s="364"/>
      <c r="Z2677" s="609" t="s">
        <v>1107</v>
      </c>
      <c r="AA2677" s="609" t="s">
        <v>3598</v>
      </c>
    </row>
    <row r="2678" spans="1:29" ht="18">
      <c r="A2678" s="2714"/>
      <c r="B2678" s="371">
        <v>103.003</v>
      </c>
      <c r="C2678" s="371"/>
      <c r="D2678" s="2716">
        <f t="shared" si="290"/>
        <v>1</v>
      </c>
      <c r="E2678" s="2721" t="s">
        <v>3097</v>
      </c>
      <c r="F2678" s="294"/>
      <c r="G2678" s="1506" t="str">
        <f>G$2656&amp;"  "</f>
        <v xml:space="preserve">运输工具  </v>
      </c>
      <c r="H2678" s="309"/>
      <c r="I2678" s="1465">
        <v>0</v>
      </c>
      <c r="J2678" s="1465">
        <v>0</v>
      </c>
      <c r="K2678" s="1465">
        <v>0</v>
      </c>
      <c r="L2678" s="309"/>
      <c r="M2678" s="309"/>
      <c r="N2678" s="320"/>
      <c r="O2678" s="309"/>
      <c r="P2678" s="1477">
        <f t="shared" si="295"/>
        <v>0</v>
      </c>
      <c r="Q2678" s="442"/>
      <c r="R2678" s="443"/>
      <c r="S2678" s="364"/>
      <c r="Z2678" s="609" t="s">
        <v>1107</v>
      </c>
      <c r="AA2678" s="609" t="s">
        <v>3598</v>
      </c>
    </row>
    <row r="2679" spans="1:29" ht="18">
      <c r="A2679" s="2714"/>
      <c r="B2679" s="371">
        <v>103.004</v>
      </c>
      <c r="C2679" s="371" t="s">
        <v>2791</v>
      </c>
      <c r="D2679" s="2716">
        <f t="shared" si="290"/>
        <v>1</v>
      </c>
      <c r="E2679" s="2721" t="s">
        <v>3097</v>
      </c>
      <c r="F2679" s="294"/>
      <c r="G2679" s="1506" t="str">
        <f>G$2657&amp;"  "</f>
        <v xml:space="preserve">电子设备及其他  </v>
      </c>
      <c r="H2679" s="309"/>
      <c r="I2679" s="1465">
        <v>0</v>
      </c>
      <c r="J2679" s="1465">
        <v>0</v>
      </c>
      <c r="K2679" s="1465">
        <v>0</v>
      </c>
      <c r="L2679" s="309"/>
      <c r="M2679" s="309"/>
      <c r="N2679" s="320"/>
      <c r="O2679" s="309"/>
      <c r="P2679" s="1477">
        <f t="shared" si="295"/>
        <v>0</v>
      </c>
      <c r="Q2679" s="442"/>
      <c r="R2679" s="443"/>
      <c r="S2679" s="364"/>
      <c r="Z2679" s="609" t="s">
        <v>1107</v>
      </c>
      <c r="AA2679" s="609" t="s">
        <v>3598</v>
      </c>
    </row>
    <row r="2680" spans="1:29" ht="18">
      <c r="A2680" s="2714"/>
      <c r="B2680" s="371">
        <v>103.005</v>
      </c>
      <c r="C2680" s="371" t="s">
        <v>2791</v>
      </c>
      <c r="D2680" s="2716">
        <f t="shared" si="290"/>
        <v>1</v>
      </c>
      <c r="E2680" s="2721" t="s">
        <v>3097</v>
      </c>
      <c r="F2680" s="294"/>
      <c r="G2680" s="1506" t="str">
        <f>G$2658&amp;"  "</f>
        <v xml:space="preserve">*5（在原值处修改或清除）  </v>
      </c>
      <c r="H2680" s="309"/>
      <c r="I2680" s="1465">
        <v>0</v>
      </c>
      <c r="J2680" s="1465">
        <v>0</v>
      </c>
      <c r="K2680" s="1465">
        <v>0</v>
      </c>
      <c r="L2680" s="309"/>
      <c r="M2680" s="309"/>
      <c r="N2680" s="320"/>
      <c r="O2680" s="309"/>
      <c r="P2680" s="1477">
        <f t="shared" si="295"/>
        <v>0</v>
      </c>
      <c r="Q2680" s="442"/>
      <c r="R2680" s="443"/>
      <c r="S2680" s="364"/>
      <c r="Z2680" s="609" t="s">
        <v>1107</v>
      </c>
      <c r="AA2680" s="609" t="s">
        <v>3598</v>
      </c>
    </row>
    <row r="2681" spans="1:29" ht="18">
      <c r="A2681" s="2714"/>
      <c r="B2681" s="371">
        <v>103.006</v>
      </c>
      <c r="C2681" s="371" t="s">
        <v>2791</v>
      </c>
      <c r="D2681" s="2716">
        <f t="shared" si="290"/>
        <v>1</v>
      </c>
      <c r="E2681" s="2721" t="s">
        <v>3097</v>
      </c>
      <c r="F2681" s="294"/>
      <c r="G2681" s="1506" t="str">
        <f>G$2659&amp;"  "</f>
        <v xml:space="preserve">*6（在原值处修改或清除）  </v>
      </c>
      <c r="H2681" s="309"/>
      <c r="I2681" s="1465">
        <v>0</v>
      </c>
      <c r="J2681" s="1465">
        <v>0</v>
      </c>
      <c r="K2681" s="1465">
        <v>0</v>
      </c>
      <c r="L2681" s="309"/>
      <c r="M2681" s="309"/>
      <c r="N2681" s="320"/>
      <c r="O2681" s="309"/>
      <c r="P2681" s="1477">
        <f t="shared" si="295"/>
        <v>0</v>
      </c>
      <c r="Q2681" s="442"/>
      <c r="R2681" s="443"/>
      <c r="S2681" s="364"/>
      <c r="Z2681" s="609" t="s">
        <v>1107</v>
      </c>
      <c r="AA2681" s="609" t="s">
        <v>3598</v>
      </c>
    </row>
    <row r="2682" spans="1:29" ht="18">
      <c r="A2682" s="2714"/>
      <c r="B2682" s="371">
        <v>103.00700000000001</v>
      </c>
      <c r="C2682" s="371" t="s">
        <v>2791</v>
      </c>
      <c r="D2682" s="2716">
        <f t="shared" si="290"/>
        <v>1</v>
      </c>
      <c r="E2682" s="2721" t="s">
        <v>3097</v>
      </c>
      <c r="F2682" s="294"/>
      <c r="G2682" s="1506" t="str">
        <f>G$2660&amp;"  "</f>
        <v xml:space="preserve">*7（在原值处修改或清除）  </v>
      </c>
      <c r="H2682" s="309"/>
      <c r="I2682" s="1465">
        <v>0</v>
      </c>
      <c r="J2682" s="1465">
        <v>0</v>
      </c>
      <c r="K2682" s="1465">
        <v>0</v>
      </c>
      <c r="L2682" s="309"/>
      <c r="M2682" s="309"/>
      <c r="N2682" s="320"/>
      <c r="O2682" s="309"/>
      <c r="P2682" s="1477">
        <f t="shared" si="295"/>
        <v>0</v>
      </c>
      <c r="Q2682" s="442"/>
      <c r="R2682" s="443"/>
      <c r="S2682" s="364"/>
      <c r="Z2682" s="609" t="s">
        <v>1107</v>
      </c>
      <c r="AA2682" s="609" t="s">
        <v>3598</v>
      </c>
    </row>
    <row r="2683" spans="1:29" ht="18">
      <c r="A2683" s="2714"/>
      <c r="B2683" s="371">
        <v>103.008</v>
      </c>
      <c r="C2683" s="371" t="s">
        <v>2791</v>
      </c>
      <c r="D2683" s="2716">
        <f t="shared" si="290"/>
        <v>1</v>
      </c>
      <c r="E2683" s="2721" t="s">
        <v>3097</v>
      </c>
      <c r="F2683" s="294"/>
      <c r="G2683" s="1506" t="str">
        <f>G$2661&amp;"  "</f>
        <v xml:space="preserve">*8（在原值处修改或清除）  </v>
      </c>
      <c r="H2683" s="309"/>
      <c r="I2683" s="1465">
        <v>0</v>
      </c>
      <c r="J2683" s="1465">
        <v>0</v>
      </c>
      <c r="K2683" s="1465">
        <v>0</v>
      </c>
      <c r="L2683" s="309"/>
      <c r="M2683" s="309"/>
      <c r="N2683" s="320"/>
      <c r="O2683" s="309"/>
      <c r="P2683" s="1477">
        <f t="shared" si="295"/>
        <v>0</v>
      </c>
      <c r="Q2683" s="442"/>
      <c r="R2683" s="443"/>
      <c r="S2683" s="364"/>
      <c r="Z2683" s="609" t="s">
        <v>1107</v>
      </c>
      <c r="AA2683" s="609" t="s">
        <v>3598</v>
      </c>
    </row>
    <row r="2684" spans="1:29" ht="18">
      <c r="A2684" s="2714"/>
      <c r="B2684" s="371">
        <v>103.009</v>
      </c>
      <c r="C2684" s="371" t="s">
        <v>2791</v>
      </c>
      <c r="D2684" s="2716">
        <f t="shared" si="290"/>
        <v>1</v>
      </c>
      <c r="E2684" s="2721" t="s">
        <v>3097</v>
      </c>
      <c r="F2684" s="294"/>
      <c r="G2684" s="1506" t="str">
        <f>G$2662&amp;"  "</f>
        <v xml:space="preserve">*9（在原值处修改或清除）  </v>
      </c>
      <c r="H2684" s="309"/>
      <c r="I2684" s="1465">
        <v>0</v>
      </c>
      <c r="J2684" s="1465">
        <v>0</v>
      </c>
      <c r="K2684" s="1465">
        <v>0</v>
      </c>
      <c r="L2684" s="309"/>
      <c r="M2684" s="309"/>
      <c r="N2684" s="320"/>
      <c r="O2684" s="309"/>
      <c r="P2684" s="1477">
        <f t="shared" si="295"/>
        <v>0</v>
      </c>
      <c r="Q2684" s="442"/>
      <c r="R2684" s="443"/>
      <c r="S2684" s="364"/>
      <c r="Z2684" s="609" t="s">
        <v>1107</v>
      </c>
      <c r="AA2684" s="609" t="s">
        <v>3598</v>
      </c>
    </row>
    <row r="2685" spans="1:29" ht="18">
      <c r="A2685" s="2714"/>
      <c r="B2685" s="371">
        <v>103.999</v>
      </c>
      <c r="C2685" s="371" t="s">
        <v>2793</v>
      </c>
      <c r="D2685" s="2716">
        <f t="shared" si="290"/>
        <v>1</v>
      </c>
      <c r="E2685" s="2721">
        <v>-1</v>
      </c>
      <c r="F2685" s="294"/>
      <c r="G2685" s="632" t="s">
        <v>5145</v>
      </c>
      <c r="H2685" s="1476">
        <f t="shared" ref="H2685:P2685" si="296">SUMIF($E$2652:$E$2695,$G2685,H$2652:H$2695)</f>
        <v>0</v>
      </c>
      <c r="I2685" s="1483">
        <f t="shared" si="296"/>
        <v>0</v>
      </c>
      <c r="J2685" s="1483">
        <f t="shared" si="296"/>
        <v>0</v>
      </c>
      <c r="K2685" s="1483">
        <f t="shared" si="296"/>
        <v>0</v>
      </c>
      <c r="L2685" s="1476">
        <f t="shared" si="296"/>
        <v>633357.77</v>
      </c>
      <c r="M2685" s="1476">
        <f t="shared" si="296"/>
        <v>0</v>
      </c>
      <c r="N2685" s="1476">
        <f t="shared" si="296"/>
        <v>0</v>
      </c>
      <c r="O2685" s="1476">
        <f t="shared" si="296"/>
        <v>0</v>
      </c>
      <c r="P2685" s="1477">
        <f t="shared" si="296"/>
        <v>633357.77</v>
      </c>
      <c r="Q2685" s="1597" t="str">
        <f ca="1">HYPERLINK("#'"&amp;$G$1&amp;"'!"&amp;ADDRESS(ROW(Notes!L4895),COLUMN(Notes!L4895),4),"* 请勿删除此行！点击往勾稽单元格，F5+Enter返回")</f>
        <v>* 请勿删除此行！点击往勾稽单元格，F5+Enter返回</v>
      </c>
      <c r="R2685" s="443"/>
      <c r="S2685" s="364"/>
      <c r="Z2685" s="609" t="s">
        <v>1107</v>
      </c>
      <c r="AA2685" s="609" t="s">
        <v>3598</v>
      </c>
      <c r="AC2685" s="369" t="s">
        <v>2794</v>
      </c>
    </row>
    <row r="2686" spans="1:29" ht="18">
      <c r="A2686" s="2714"/>
      <c r="B2686" s="371">
        <v>104</v>
      </c>
      <c r="C2686" s="371"/>
      <c r="D2686" s="2716">
        <f t="shared" si="290"/>
        <v>1</v>
      </c>
      <c r="E2686" s="2721" t="s">
        <v>6564</v>
      </c>
      <c r="F2686" s="294"/>
      <c r="G2686" s="308" t="s">
        <v>3582</v>
      </c>
      <c r="H2686" s="309"/>
      <c r="I2686" s="309"/>
      <c r="J2686" s="309"/>
      <c r="K2686" s="309"/>
      <c r="L2686" s="309"/>
      <c r="M2686" s="309"/>
      <c r="N2686" s="320"/>
      <c r="O2686" s="309"/>
      <c r="P2686" s="1477"/>
      <c r="Q2686" s="442"/>
      <c r="R2686" s="443"/>
      <c r="S2686" s="364"/>
      <c r="Z2686" s="609" t="s">
        <v>1107</v>
      </c>
      <c r="AA2686" s="609" t="s">
        <v>3598</v>
      </c>
    </row>
    <row r="2687" spans="1:29" ht="18">
      <c r="A2687" s="2714"/>
      <c r="B2687" s="371">
        <v>105</v>
      </c>
      <c r="C2687" s="371"/>
      <c r="D2687" s="2716">
        <f t="shared" si="290"/>
        <v>1</v>
      </c>
      <c r="E2687" s="2721">
        <v>0</v>
      </c>
      <c r="F2687" s="294"/>
      <c r="G2687" s="1506" t="str">
        <f>G$2654&amp;"   "</f>
        <v xml:space="preserve">房屋及建筑物   </v>
      </c>
      <c r="H2687" s="1476">
        <f>H2654-H2665-H2676</f>
        <v>13696417.279999999</v>
      </c>
      <c r="I2687" s="1465">
        <v>0</v>
      </c>
      <c r="J2687" s="1465">
        <v>0</v>
      </c>
      <c r="K2687" s="1465">
        <v>0</v>
      </c>
      <c r="L2687" s="1465">
        <v>0</v>
      </c>
      <c r="M2687" s="1465">
        <v>0</v>
      </c>
      <c r="N2687" s="1465">
        <v>0</v>
      </c>
      <c r="O2687" s="1465">
        <v>0</v>
      </c>
      <c r="P2687" s="1477">
        <f>P2654-P2665-P2676</f>
        <v>12300576.02</v>
      </c>
      <c r="Q2687" s="442"/>
      <c r="R2687" s="443"/>
      <c r="S2687" s="364"/>
      <c r="Z2687" s="609" t="s">
        <v>1107</v>
      </c>
      <c r="AA2687" s="609" t="s">
        <v>3598</v>
      </c>
    </row>
    <row r="2688" spans="1:29" ht="18">
      <c r="A2688" s="2714"/>
      <c r="B2688" s="371">
        <v>106</v>
      </c>
      <c r="C2688" s="371"/>
      <c r="D2688" s="2716">
        <f t="shared" si="290"/>
        <v>1</v>
      </c>
      <c r="E2688" s="2721">
        <v>0</v>
      </c>
      <c r="F2688" s="294"/>
      <c r="G2688" s="1506" t="str">
        <f>G$2655&amp;"   "</f>
        <v xml:space="preserve">机器设备   </v>
      </c>
      <c r="H2688" s="1476">
        <f t="shared" ref="H2688:H2695" si="297">H2655-H2666-H2677</f>
        <v>5830877.6699999999</v>
      </c>
      <c r="I2688" s="1465">
        <v>0</v>
      </c>
      <c r="J2688" s="1465">
        <v>0</v>
      </c>
      <c r="K2688" s="1465">
        <v>0</v>
      </c>
      <c r="L2688" s="1465">
        <v>0</v>
      </c>
      <c r="M2688" s="1465">
        <v>0</v>
      </c>
      <c r="N2688" s="1465">
        <v>0</v>
      </c>
      <c r="O2688" s="1465">
        <v>0</v>
      </c>
      <c r="P2688" s="1477">
        <f t="shared" ref="P2688:P2695" si="298">P2655-P2666-P2677</f>
        <v>5844809.3899999997</v>
      </c>
      <c r="Q2688" s="442"/>
      <c r="R2688" s="443"/>
      <c r="S2688" s="364"/>
      <c r="Z2688" s="609" t="s">
        <v>1107</v>
      </c>
      <c r="AA2688" s="609" t="s">
        <v>3598</v>
      </c>
    </row>
    <row r="2689" spans="1:29" ht="18">
      <c r="A2689" s="2714"/>
      <c r="B2689" s="371">
        <v>107</v>
      </c>
      <c r="C2689" s="371"/>
      <c r="D2689" s="2716">
        <f t="shared" si="290"/>
        <v>1</v>
      </c>
      <c r="E2689" s="2721">
        <v>0</v>
      </c>
      <c r="F2689" s="294"/>
      <c r="G2689" s="1506" t="str">
        <f>G$2656&amp;"   "</f>
        <v xml:space="preserve">运输工具   </v>
      </c>
      <c r="H2689" s="1476">
        <f t="shared" si="297"/>
        <v>437802.92</v>
      </c>
      <c r="I2689" s="1465">
        <v>0</v>
      </c>
      <c r="J2689" s="1465">
        <v>0</v>
      </c>
      <c r="K2689" s="1465">
        <v>0</v>
      </c>
      <c r="L2689" s="1465">
        <v>0</v>
      </c>
      <c r="M2689" s="1465">
        <v>0</v>
      </c>
      <c r="N2689" s="1465">
        <v>0</v>
      </c>
      <c r="O2689" s="1465">
        <v>0</v>
      </c>
      <c r="P2689" s="1477">
        <f t="shared" si="298"/>
        <v>397291.19</v>
      </c>
      <c r="Q2689" s="442"/>
      <c r="R2689" s="443"/>
      <c r="S2689" s="364"/>
      <c r="Z2689" s="609" t="s">
        <v>1107</v>
      </c>
      <c r="AA2689" s="609" t="s">
        <v>3598</v>
      </c>
    </row>
    <row r="2690" spans="1:29" ht="18">
      <c r="A2690" s="2714"/>
      <c r="B2690" s="371">
        <v>108</v>
      </c>
      <c r="C2690" s="371" t="s">
        <v>2791</v>
      </c>
      <c r="D2690" s="2716">
        <f t="shared" si="290"/>
        <v>1</v>
      </c>
      <c r="E2690" s="2721">
        <v>0</v>
      </c>
      <c r="F2690" s="294"/>
      <c r="G2690" s="1506" t="str">
        <f>G$2657&amp;"   "</f>
        <v xml:space="preserve">电子设备及其他   </v>
      </c>
      <c r="H2690" s="1476">
        <f t="shared" si="297"/>
        <v>323473.86</v>
      </c>
      <c r="I2690" s="1465">
        <v>0</v>
      </c>
      <c r="J2690" s="1465">
        <v>0</v>
      </c>
      <c r="K2690" s="1465">
        <v>0</v>
      </c>
      <c r="L2690" s="1465">
        <v>0</v>
      </c>
      <c r="M2690" s="1465">
        <v>0</v>
      </c>
      <c r="N2690" s="1465">
        <v>0</v>
      </c>
      <c r="O2690" s="1465">
        <v>0</v>
      </c>
      <c r="P2690" s="1477">
        <f t="shared" si="298"/>
        <v>275623.57</v>
      </c>
      <c r="Q2690" s="442"/>
      <c r="R2690" s="443"/>
      <c r="S2690" s="364"/>
      <c r="Z2690" s="609" t="s">
        <v>1107</v>
      </c>
      <c r="AA2690" s="609" t="s">
        <v>3598</v>
      </c>
    </row>
    <row r="2691" spans="1:29" ht="18">
      <c r="A2691" s="2714"/>
      <c r="B2691" s="371">
        <v>109</v>
      </c>
      <c r="C2691" s="371" t="s">
        <v>2791</v>
      </c>
      <c r="D2691" s="2716">
        <f t="shared" si="290"/>
        <v>1</v>
      </c>
      <c r="E2691" s="2721">
        <v>0</v>
      </c>
      <c r="F2691" s="294"/>
      <c r="G2691" s="1506" t="str">
        <f>G$2658&amp;"   "</f>
        <v xml:space="preserve">*5（在原值处修改或清除）   </v>
      </c>
      <c r="H2691" s="1476">
        <f t="shared" si="297"/>
        <v>0</v>
      </c>
      <c r="I2691" s="1465">
        <v>0</v>
      </c>
      <c r="J2691" s="1465">
        <v>0</v>
      </c>
      <c r="K2691" s="1465">
        <v>0</v>
      </c>
      <c r="L2691" s="1465">
        <v>0</v>
      </c>
      <c r="M2691" s="1465">
        <v>0</v>
      </c>
      <c r="N2691" s="1465">
        <v>0</v>
      </c>
      <c r="O2691" s="1465">
        <v>0</v>
      </c>
      <c r="P2691" s="1477">
        <f t="shared" si="298"/>
        <v>0</v>
      </c>
      <c r="Q2691" s="442"/>
      <c r="R2691" s="443"/>
      <c r="S2691" s="364"/>
      <c r="Z2691" s="609" t="s">
        <v>1107</v>
      </c>
      <c r="AA2691" s="609" t="s">
        <v>3598</v>
      </c>
    </row>
    <row r="2692" spans="1:29" ht="18">
      <c r="A2692" s="2714"/>
      <c r="B2692" s="371">
        <v>110</v>
      </c>
      <c r="C2692" s="371" t="s">
        <v>2791</v>
      </c>
      <c r="D2692" s="2716">
        <f t="shared" si="290"/>
        <v>1</v>
      </c>
      <c r="E2692" s="2721">
        <v>0</v>
      </c>
      <c r="F2692" s="294"/>
      <c r="G2692" s="1506" t="str">
        <f>G$2659&amp;"   "</f>
        <v xml:space="preserve">*6（在原值处修改或清除）   </v>
      </c>
      <c r="H2692" s="1476">
        <f t="shared" si="297"/>
        <v>0</v>
      </c>
      <c r="I2692" s="1465">
        <v>0</v>
      </c>
      <c r="J2692" s="1465">
        <v>0</v>
      </c>
      <c r="K2692" s="1465">
        <v>0</v>
      </c>
      <c r="L2692" s="1465">
        <v>0</v>
      </c>
      <c r="M2692" s="1465">
        <v>0</v>
      </c>
      <c r="N2692" s="1465">
        <v>0</v>
      </c>
      <c r="O2692" s="1465">
        <v>0</v>
      </c>
      <c r="P2692" s="1477">
        <f t="shared" si="298"/>
        <v>0</v>
      </c>
      <c r="Q2692" s="442"/>
      <c r="R2692" s="443"/>
      <c r="S2692" s="364"/>
      <c r="Z2692" s="609" t="s">
        <v>1107</v>
      </c>
      <c r="AA2692" s="609" t="s">
        <v>3598</v>
      </c>
    </row>
    <row r="2693" spans="1:29" ht="18">
      <c r="A2693" s="2714"/>
      <c r="B2693" s="371">
        <v>111</v>
      </c>
      <c r="C2693" s="371" t="s">
        <v>2791</v>
      </c>
      <c r="D2693" s="2716">
        <f t="shared" si="290"/>
        <v>1</v>
      </c>
      <c r="E2693" s="2721">
        <v>0</v>
      </c>
      <c r="F2693" s="294"/>
      <c r="G2693" s="1506" t="str">
        <f>G$2660&amp;"   "</f>
        <v xml:space="preserve">*7（在原值处修改或清除）   </v>
      </c>
      <c r="H2693" s="1476">
        <f t="shared" si="297"/>
        <v>0</v>
      </c>
      <c r="I2693" s="1465">
        <v>0</v>
      </c>
      <c r="J2693" s="1465">
        <v>0</v>
      </c>
      <c r="K2693" s="1465">
        <v>0</v>
      </c>
      <c r="L2693" s="1465">
        <v>0</v>
      </c>
      <c r="M2693" s="1465">
        <v>0</v>
      </c>
      <c r="N2693" s="1465">
        <v>0</v>
      </c>
      <c r="O2693" s="1465">
        <v>0</v>
      </c>
      <c r="P2693" s="1477">
        <f t="shared" si="298"/>
        <v>0</v>
      </c>
      <c r="Q2693" s="442"/>
      <c r="R2693" s="443"/>
      <c r="S2693" s="364"/>
      <c r="Z2693" s="609" t="s">
        <v>1107</v>
      </c>
      <c r="AA2693" s="609" t="s">
        <v>3598</v>
      </c>
    </row>
    <row r="2694" spans="1:29" ht="18">
      <c r="A2694" s="2714"/>
      <c r="B2694" s="371">
        <v>112</v>
      </c>
      <c r="C2694" s="371" t="s">
        <v>2791</v>
      </c>
      <c r="D2694" s="2716">
        <f t="shared" si="290"/>
        <v>1</v>
      </c>
      <c r="E2694" s="2721">
        <v>0</v>
      </c>
      <c r="F2694" s="294"/>
      <c r="G2694" s="1506" t="str">
        <f>G$2661&amp;"   "</f>
        <v xml:space="preserve">*8（在原值处修改或清除）   </v>
      </c>
      <c r="H2694" s="1476">
        <f t="shared" si="297"/>
        <v>0</v>
      </c>
      <c r="I2694" s="1465">
        <v>0</v>
      </c>
      <c r="J2694" s="1465">
        <v>0</v>
      </c>
      <c r="K2694" s="1465">
        <v>0</v>
      </c>
      <c r="L2694" s="1465">
        <v>0</v>
      </c>
      <c r="M2694" s="1465">
        <v>0</v>
      </c>
      <c r="N2694" s="1465">
        <v>0</v>
      </c>
      <c r="O2694" s="1465">
        <v>0</v>
      </c>
      <c r="P2694" s="1477">
        <f t="shared" si="298"/>
        <v>0</v>
      </c>
      <c r="Q2694" s="442"/>
      <c r="R2694" s="443"/>
      <c r="S2694" s="364"/>
      <c r="Z2694" s="609" t="s">
        <v>1107</v>
      </c>
      <c r="AA2694" s="609" t="s">
        <v>3598</v>
      </c>
    </row>
    <row r="2695" spans="1:29" ht="18">
      <c r="A2695" s="2714"/>
      <c r="B2695" s="371">
        <v>113</v>
      </c>
      <c r="C2695" s="371" t="s">
        <v>2791</v>
      </c>
      <c r="D2695" s="2716">
        <f t="shared" si="290"/>
        <v>1</v>
      </c>
      <c r="E2695" s="2721">
        <v>0</v>
      </c>
      <c r="F2695" s="294"/>
      <c r="G2695" s="1506" t="str">
        <f>G$2662&amp;"   "</f>
        <v xml:space="preserve">*9（在原值处修改或清除）   </v>
      </c>
      <c r="H2695" s="1476">
        <f t="shared" si="297"/>
        <v>0</v>
      </c>
      <c r="I2695" s="1465">
        <v>0</v>
      </c>
      <c r="J2695" s="1465">
        <v>0</v>
      </c>
      <c r="K2695" s="1465">
        <v>0</v>
      </c>
      <c r="L2695" s="1465">
        <v>0</v>
      </c>
      <c r="M2695" s="1465">
        <v>0</v>
      </c>
      <c r="N2695" s="1465">
        <v>0</v>
      </c>
      <c r="O2695" s="1465">
        <v>0</v>
      </c>
      <c r="P2695" s="1477">
        <f t="shared" si="298"/>
        <v>0</v>
      </c>
      <c r="Q2695" s="442"/>
      <c r="R2695" s="443"/>
      <c r="S2695" s="364"/>
      <c r="Z2695" s="609" t="s">
        <v>1107</v>
      </c>
      <c r="AA2695" s="609" t="s">
        <v>3598</v>
      </c>
    </row>
    <row r="2696" spans="1:29" ht="18.75" thickBot="1">
      <c r="A2696" s="2714"/>
      <c r="B2696" s="371"/>
      <c r="C2696" s="371"/>
      <c r="D2696" s="2716">
        <f t="shared" si="290"/>
        <v>1</v>
      </c>
      <c r="E2696" s="2721" t="s">
        <v>2751</v>
      </c>
      <c r="F2696" s="293"/>
      <c r="G2696" s="2345" t="s">
        <v>2863</v>
      </c>
      <c r="H2696" s="1478">
        <f t="shared" ref="H2696:P2696" si="299">SUMPRODUCT($E2652:$E2695,H2652:H2695)</f>
        <v>20288571.73</v>
      </c>
      <c r="I2696" s="1478">
        <f t="shared" si="299"/>
        <v>1254162.22</v>
      </c>
      <c r="J2696" s="1478">
        <f t="shared" si="299"/>
        <v>241362.66</v>
      </c>
      <c r="K2696" s="1478">
        <f t="shared" si="299"/>
        <v>0</v>
      </c>
      <c r="L2696" s="1478">
        <f t="shared" si="299"/>
        <v>-2965796.44</v>
      </c>
      <c r="M2696" s="1478">
        <f t="shared" si="299"/>
        <v>0</v>
      </c>
      <c r="N2696" s="1478">
        <f t="shared" si="299"/>
        <v>0</v>
      </c>
      <c r="O2696" s="1478">
        <f t="shared" si="299"/>
        <v>0</v>
      </c>
      <c r="P2696" s="1479">
        <f t="shared" si="299"/>
        <v>18818300.170000002</v>
      </c>
      <c r="Q2696" s="1597" t="str">
        <f ca="1">HYPERLINK("#'"&amp;$G$1&amp;"'!"&amp;ADDRESS(ROW(Notes!K2642),COLUMN(Notes!K2642),4),"* 请勿删除此行！点击往勾稽单元格，F5+Enter返回")</f>
        <v>* 请勿删除此行！点击往勾稽单元格，F5+Enter返回</v>
      </c>
      <c r="R2696" s="443"/>
      <c r="S2696" s="364"/>
      <c r="Z2696" s="609" t="s">
        <v>1107</v>
      </c>
      <c r="AA2696" s="609" t="s">
        <v>3598</v>
      </c>
      <c r="AC2696" s="369" t="s">
        <v>6573</v>
      </c>
    </row>
    <row r="2697" spans="1:29" ht="18.75" thickBot="1">
      <c r="A2697" s="2714"/>
      <c r="B2697" s="371"/>
      <c r="C2697" s="371" t="s">
        <v>2755</v>
      </c>
      <c r="D2697" s="2716"/>
      <c r="F2697" s="293"/>
      <c r="G2697" s="376"/>
      <c r="H2697" s="527" t="s">
        <v>3002</v>
      </c>
      <c r="I2697" s="396"/>
      <c r="J2697" s="315"/>
      <c r="K2697" s="423"/>
      <c r="L2697" s="315"/>
      <c r="M2697" s="315"/>
      <c r="N2697" s="577"/>
      <c r="O2697" s="425"/>
      <c r="P2697" s="486" t="s">
        <v>3002</v>
      </c>
      <c r="Q2697" s="442"/>
      <c r="R2697" s="443"/>
      <c r="S2697" s="364"/>
      <c r="Z2697" s="609" t="s">
        <v>1107</v>
      </c>
      <c r="AA2697" s="609" t="s">
        <v>3598</v>
      </c>
    </row>
    <row r="2698" spans="1:29" ht="18.75" thickTop="1">
      <c r="A2698" s="2714"/>
      <c r="B2698" s="371"/>
      <c r="C2698" s="371" t="s">
        <v>2565</v>
      </c>
      <c r="D2698" s="2716"/>
      <c r="F2698" s="293"/>
      <c r="G2698" s="1549" t="s">
        <v>5369</v>
      </c>
      <c r="H2698" s="1550"/>
      <c r="I2698" s="1551"/>
      <c r="J2698" s="1551"/>
      <c r="K2698" s="1551"/>
      <c r="L2698" s="1551"/>
      <c r="M2698" s="1551"/>
      <c r="N2698" s="1551"/>
      <c r="O2698" s="1551"/>
      <c r="P2698" s="1552"/>
      <c r="Q2698" s="1553" t="s">
        <v>5368</v>
      </c>
      <c r="R2698" s="442"/>
      <c r="S2698" s="364"/>
      <c r="Z2698" s="609" t="s">
        <v>1107</v>
      </c>
      <c r="AA2698" s="609" t="s">
        <v>3598</v>
      </c>
    </row>
    <row r="2699" spans="1:29" ht="18">
      <c r="A2699" s="2714"/>
      <c r="B2699" s="371"/>
      <c r="C2699" s="371" t="s">
        <v>2565</v>
      </c>
      <c r="D2699" s="2716"/>
      <c r="F2699" s="293"/>
      <c r="G2699" s="604" t="str">
        <f>"本注释A:"&amp; "账面价值分类加计"</f>
        <v>本注释A:账面价值分类加计</v>
      </c>
      <c r="H2699" s="456">
        <f>SUM(H2687:H2695)</f>
        <v>20288571.73</v>
      </c>
      <c r="I2699" s="351"/>
      <c r="J2699" s="351"/>
      <c r="K2699" s="351"/>
      <c r="L2699" s="351"/>
      <c r="M2699" s="351"/>
      <c r="N2699" s="1543"/>
      <c r="O2699" s="1543"/>
      <c r="P2699" s="1544">
        <f>SUM(P2687:P2695)</f>
        <v>18818300.170000002</v>
      </c>
      <c r="Q2699" s="1544"/>
      <c r="R2699" s="442"/>
      <c r="S2699" s="364"/>
      <c r="Z2699" s="609" t="s">
        <v>1107</v>
      </c>
      <c r="AA2699" s="609" t="s">
        <v>3598</v>
      </c>
    </row>
    <row r="2700" spans="1:29" ht="18">
      <c r="A2700" s="2714"/>
      <c r="B2700" s="371"/>
      <c r="C2700" s="371" t="s">
        <v>2565</v>
      </c>
      <c r="D2700" s="2716"/>
      <c r="F2700" s="293"/>
      <c r="G2700" s="604" t="str">
        <f>"本注释B:"&amp; G2696</f>
        <v>本注释B:账面价值</v>
      </c>
      <c r="H2700" s="456">
        <f>H2696</f>
        <v>20288571.73</v>
      </c>
      <c r="I2700" s="351"/>
      <c r="J2700" s="351"/>
      <c r="K2700" s="351"/>
      <c r="L2700" s="351"/>
      <c r="M2700" s="351"/>
      <c r="N2700" s="1543"/>
      <c r="O2700" s="1543"/>
      <c r="P2700" s="1544">
        <f>P2696</f>
        <v>18818300.170000002</v>
      </c>
      <c r="Q2700" s="1544" t="s">
        <v>1105</v>
      </c>
      <c r="R2700" s="442"/>
      <c r="S2700" s="364"/>
      <c r="Z2700" s="609" t="s">
        <v>1107</v>
      </c>
      <c r="AA2700" s="609" t="s">
        <v>3598</v>
      </c>
    </row>
    <row r="2701" spans="1:29" ht="18.75" thickBot="1">
      <c r="A2701" s="2714"/>
      <c r="B2701" s="371"/>
      <c r="C2701" s="371" t="s">
        <v>2565</v>
      </c>
      <c r="D2701" s="2716"/>
      <c r="F2701" s="293"/>
      <c r="G2701" s="1554" t="s">
        <v>2757</v>
      </c>
      <c r="H2701" s="1531">
        <f>IF(AND(H2699="",H2700=""),"",ROUND(H2699-H2700,2))</f>
        <v>0</v>
      </c>
      <c r="I2701" s="1555"/>
      <c r="J2701" s="1555"/>
      <c r="K2701" s="1555"/>
      <c r="L2701" s="1555"/>
      <c r="M2701" s="1555"/>
      <c r="N2701" s="1556"/>
      <c r="O2701" s="1556"/>
      <c r="P2701" s="1557">
        <f>IF(AND(P2699="",P2700=""),"",ROUND(P2699-P2700,2))</f>
        <v>0</v>
      </c>
      <c r="Q2701" s="1556"/>
      <c r="R2701" s="442"/>
      <c r="S2701" s="364"/>
      <c r="Z2701" s="609" t="s">
        <v>1107</v>
      </c>
      <c r="AA2701" s="609" t="s">
        <v>3598</v>
      </c>
    </row>
    <row r="2702" spans="1:29" ht="18.75" thickTop="1">
      <c r="A2702" s="2714"/>
      <c r="B2702" s="371"/>
      <c r="C2702" s="371" t="s">
        <v>2565</v>
      </c>
      <c r="D2702" s="2716"/>
      <c r="F2702" s="293"/>
      <c r="G2702" s="1545"/>
      <c r="H2702" s="459" t="str">
        <f>IF(OR(H2701=0,H2701=""),"√","？")</f>
        <v>√</v>
      </c>
      <c r="I2702" s="317"/>
      <c r="J2702" s="317"/>
      <c r="K2702" s="317"/>
      <c r="L2702" s="317"/>
      <c r="M2702" s="317"/>
      <c r="N2702" s="1547"/>
      <c r="O2702" s="1547"/>
      <c r="P2702" s="1558" t="str">
        <f>IF(OR(P2701=0,P2701=""),"√","？")</f>
        <v>√</v>
      </c>
      <c r="Q2702" s="1546"/>
      <c r="R2702" s="442"/>
      <c r="S2702" s="364"/>
      <c r="Z2702" s="609" t="s">
        <v>1107</v>
      </c>
      <c r="AA2702" s="609" t="s">
        <v>3598</v>
      </c>
    </row>
    <row r="2703" spans="1:29" ht="18">
      <c r="A2703" s="2714"/>
      <c r="B2703" s="371"/>
      <c r="C2703" s="371" t="s">
        <v>2565</v>
      </c>
      <c r="D2703" s="2716"/>
      <c r="F2703" s="293"/>
      <c r="G2703" s="1559" t="s">
        <v>2759</v>
      </c>
      <c r="H2703" s="461"/>
      <c r="I2703" s="317"/>
      <c r="J2703" s="317"/>
      <c r="K2703" s="352">
        <f>SUMIF($H$2702:$Q$2702,"&lt;&gt;√",$H$2701:$Q$2701)</f>
        <v>0</v>
      </c>
      <c r="L2703" s="353" t="str">
        <f>IF(OR(K2703=0,K2703=""),"√","？")</f>
        <v>√</v>
      </c>
      <c r="M2703" s="317"/>
      <c r="N2703" s="1547"/>
      <c r="O2703" s="1547"/>
      <c r="P2703" s="1548"/>
      <c r="Q2703" s="1546"/>
      <c r="R2703" s="442"/>
      <c r="S2703" s="364"/>
      <c r="Z2703" s="609" t="s">
        <v>1107</v>
      </c>
      <c r="AA2703" s="609" t="s">
        <v>3598</v>
      </c>
    </row>
    <row r="2704" spans="1:29" ht="18">
      <c r="A2704" s="2714"/>
      <c r="B2704" s="371"/>
      <c r="C2704" s="371" t="s">
        <v>2565</v>
      </c>
      <c r="D2704" s="2716"/>
      <c r="F2704" s="293"/>
      <c r="G2704" s="1545"/>
      <c r="H2704" s="461"/>
      <c r="I2704" s="317"/>
      <c r="J2704" s="317"/>
      <c r="K2704" s="317"/>
      <c r="L2704" s="317"/>
      <c r="M2704" s="317"/>
      <c r="N2704" s="1547"/>
      <c r="O2704" s="1547"/>
      <c r="P2704" s="1548"/>
      <c r="Q2704" s="1546"/>
      <c r="R2704" s="442"/>
      <c r="S2704" s="364"/>
      <c r="Z2704" s="609" t="s">
        <v>1107</v>
      </c>
      <c r="AA2704" s="609" t="s">
        <v>3598</v>
      </c>
    </row>
    <row r="2705" spans="1:27" ht="24">
      <c r="A2705" s="2714" t="s">
        <v>1116</v>
      </c>
      <c r="B2705" s="371">
        <v>2</v>
      </c>
      <c r="C2705" s="371"/>
      <c r="D2705" s="2716" t="str">
        <f>VLOOKUP($A2705,Sheet_NoteList,2,0)</f>
        <v>暂时闲置的固定资产情况</v>
      </c>
      <c r="E2705" s="2716" t="s">
        <v>2742</v>
      </c>
      <c r="F2705" s="294"/>
      <c r="G2705" s="1519" t="str">
        <f>"("&amp;B2705&amp;")"&amp;D2705</f>
        <v>(2)暂时闲置的固定资产情况</v>
      </c>
      <c r="H2705" s="1517" t="str">
        <f>$A2705</f>
        <v>1601b</v>
      </c>
      <c r="I2705" s="343" t="s">
        <v>2743</v>
      </c>
      <c r="J2705" s="301" t="s">
        <v>2744</v>
      </c>
      <c r="K2705" s="2210">
        <f>K2717</f>
        <v>0</v>
      </c>
      <c r="L2705" s="345" t="str">
        <f>IF($I2705="适用",IF(ROUND(K$2647-K2705,2)&gt;=0,"","#Logical!"),"#N/A")</f>
        <v/>
      </c>
      <c r="M2705" s="301"/>
      <c r="N2705" s="3083"/>
      <c r="O2705" s="315"/>
      <c r="P2705" s="301"/>
      <c r="Q2705" s="290" t="str">
        <f>IF($I2705="不适用","",IF(ROUND(SUM($H$2708:$L$2717),2)=0,"请输入",""))</f>
        <v>请输入</v>
      </c>
      <c r="S2705" s="364"/>
      <c r="Z2705" s="609" t="s">
        <v>1107</v>
      </c>
      <c r="AA2705" s="609" t="s">
        <v>3598</v>
      </c>
    </row>
    <row r="2706" spans="1:27" ht="0.75" customHeight="1" thickBot="1">
      <c r="A2706" s="2714"/>
      <c r="B2706" s="371"/>
      <c r="C2706" s="371"/>
      <c r="D2706" s="371"/>
      <c r="E2706" s="586"/>
      <c r="F2706" s="518"/>
      <c r="G2706" s="518" t="s">
        <v>3623</v>
      </c>
      <c r="H2706" s="1480" t="s">
        <v>3624</v>
      </c>
      <c r="I2706" s="304" t="s">
        <v>3625</v>
      </c>
      <c r="J2706" s="304" t="s">
        <v>3626</v>
      </c>
      <c r="K2706" s="304" t="s">
        <v>3627</v>
      </c>
      <c r="L2706" s="304" t="s">
        <v>3145</v>
      </c>
      <c r="M2706" s="291"/>
      <c r="N2706" s="291"/>
      <c r="O2706" s="291"/>
      <c r="P2706" s="291"/>
      <c r="S2706" s="364"/>
      <c r="Z2706" s="609" t="s">
        <v>1107</v>
      </c>
      <c r="AA2706" s="609" t="s">
        <v>3598</v>
      </c>
    </row>
    <row r="2707" spans="1:27" ht="18">
      <c r="A2707" s="2714"/>
      <c r="B2707" s="371"/>
      <c r="C2707" s="371"/>
      <c r="D2707" s="371"/>
      <c r="E2707" s="586" t="s">
        <v>2749</v>
      </c>
      <c r="F2707" s="363"/>
      <c r="G2707" s="2289" t="s">
        <v>47</v>
      </c>
      <c r="H2707" s="2311" t="s">
        <v>6035</v>
      </c>
      <c r="I2707" s="2291" t="s">
        <v>486</v>
      </c>
      <c r="J2707" s="2291" t="s">
        <v>3097</v>
      </c>
      <c r="K2707" s="2291" t="s">
        <v>2863</v>
      </c>
      <c r="L2707" s="2293" t="s">
        <v>2508</v>
      </c>
      <c r="M2707" s="355" t="s">
        <v>5288</v>
      </c>
      <c r="N2707" s="291"/>
      <c r="O2707" s="291"/>
      <c r="P2707" s="291"/>
      <c r="S2707" s="364"/>
      <c r="Z2707" s="609" t="s">
        <v>1107</v>
      </c>
      <c r="AA2707" s="609" t="s">
        <v>3598</v>
      </c>
    </row>
    <row r="2708" spans="1:27" ht="18">
      <c r="A2708" s="2714"/>
      <c r="B2708" s="371">
        <v>101</v>
      </c>
      <c r="C2708" s="371" t="s">
        <v>2791</v>
      </c>
      <c r="D2708" s="2716">
        <f t="shared" ref="D2708:D2717" si="300">IF(OR(G2708="*",G2708="",G2708=0),0,COUNTIF($G$2708:$G$2717,G2708))</f>
        <v>0</v>
      </c>
      <c r="E2708" s="2721">
        <v>1</v>
      </c>
      <c r="F2708" s="294"/>
      <c r="G2708" s="2284" t="s">
        <v>5146</v>
      </c>
      <c r="H2708" s="2275"/>
      <c r="I2708" s="2275"/>
      <c r="J2708" s="2275"/>
      <c r="K2708" s="1476">
        <f t="shared" ref="K2708:K2716" si="301">H2708-I2708-J2708</f>
        <v>0</v>
      </c>
      <c r="L2708" s="2276"/>
      <c r="M2708" s="291"/>
      <c r="N2708" s="291"/>
      <c r="O2708" s="291"/>
      <c r="P2708" s="291"/>
      <c r="S2708" s="364"/>
      <c r="Z2708" s="609" t="s">
        <v>1107</v>
      </c>
      <c r="AA2708" s="609" t="s">
        <v>3598</v>
      </c>
    </row>
    <row r="2709" spans="1:27" ht="18">
      <c r="A2709" s="2714"/>
      <c r="B2709" s="371">
        <v>102</v>
      </c>
      <c r="C2709" s="371" t="s">
        <v>2791</v>
      </c>
      <c r="D2709" s="2716">
        <f t="shared" si="300"/>
        <v>0</v>
      </c>
      <c r="E2709" s="2721">
        <v>1</v>
      </c>
      <c r="F2709" s="294"/>
      <c r="G2709" s="2284" t="s">
        <v>5146</v>
      </c>
      <c r="H2709" s="2275"/>
      <c r="I2709" s="2275"/>
      <c r="J2709" s="2275"/>
      <c r="K2709" s="1476">
        <f t="shared" si="301"/>
        <v>0</v>
      </c>
      <c r="L2709" s="2276"/>
      <c r="M2709" s="291"/>
      <c r="N2709" s="291"/>
      <c r="O2709" s="291"/>
      <c r="P2709" s="291"/>
      <c r="S2709" s="364"/>
      <c r="Z2709" s="609" t="s">
        <v>1107</v>
      </c>
      <c r="AA2709" s="609" t="s">
        <v>3598</v>
      </c>
    </row>
    <row r="2710" spans="1:27" ht="18">
      <c r="A2710" s="2714"/>
      <c r="B2710" s="371">
        <v>103</v>
      </c>
      <c r="C2710" s="371" t="s">
        <v>2791</v>
      </c>
      <c r="D2710" s="2716">
        <f t="shared" si="300"/>
        <v>0</v>
      </c>
      <c r="E2710" s="2721">
        <v>1</v>
      </c>
      <c r="F2710" s="294"/>
      <c r="G2710" s="2284" t="s">
        <v>5146</v>
      </c>
      <c r="H2710" s="2275"/>
      <c r="I2710" s="2275"/>
      <c r="J2710" s="2275"/>
      <c r="K2710" s="1476">
        <f t="shared" si="301"/>
        <v>0</v>
      </c>
      <c r="L2710" s="2276"/>
      <c r="M2710" s="291"/>
      <c r="N2710" s="291"/>
      <c r="O2710" s="291"/>
      <c r="P2710" s="291"/>
      <c r="S2710" s="364"/>
      <c r="Z2710" s="609" t="s">
        <v>1107</v>
      </c>
      <c r="AA2710" s="609" t="s">
        <v>3598</v>
      </c>
    </row>
    <row r="2711" spans="1:27" ht="18">
      <c r="A2711" s="2714"/>
      <c r="B2711" s="371">
        <v>104</v>
      </c>
      <c r="C2711" s="371" t="s">
        <v>2791</v>
      </c>
      <c r="D2711" s="2716">
        <f t="shared" si="300"/>
        <v>0</v>
      </c>
      <c r="E2711" s="2721">
        <v>1</v>
      </c>
      <c r="F2711" s="294"/>
      <c r="G2711" s="2284" t="s">
        <v>5146</v>
      </c>
      <c r="H2711" s="2275"/>
      <c r="I2711" s="2275"/>
      <c r="J2711" s="2275"/>
      <c r="K2711" s="1476">
        <f t="shared" si="301"/>
        <v>0</v>
      </c>
      <c r="L2711" s="2276"/>
      <c r="M2711" s="291"/>
      <c r="N2711" s="291"/>
      <c r="O2711" s="291"/>
      <c r="P2711" s="291"/>
      <c r="S2711" s="364"/>
      <c r="Z2711" s="609" t="s">
        <v>1107</v>
      </c>
      <c r="AA2711" s="609" t="s">
        <v>3598</v>
      </c>
    </row>
    <row r="2712" spans="1:27" ht="18">
      <c r="A2712" s="2714"/>
      <c r="B2712" s="371">
        <v>105</v>
      </c>
      <c r="C2712" s="371" t="s">
        <v>2791</v>
      </c>
      <c r="D2712" s="2716">
        <f t="shared" si="300"/>
        <v>0</v>
      </c>
      <c r="E2712" s="2721">
        <v>1</v>
      </c>
      <c r="F2712" s="294"/>
      <c r="G2712" s="2284" t="s">
        <v>5146</v>
      </c>
      <c r="H2712" s="2275"/>
      <c r="I2712" s="2275"/>
      <c r="J2712" s="2275"/>
      <c r="K2712" s="1476">
        <f t="shared" si="301"/>
        <v>0</v>
      </c>
      <c r="L2712" s="2276"/>
      <c r="M2712" s="291"/>
      <c r="N2712" s="291"/>
      <c r="O2712" s="291"/>
      <c r="P2712" s="291"/>
      <c r="S2712" s="364"/>
      <c r="Z2712" s="609" t="s">
        <v>1107</v>
      </c>
      <c r="AA2712" s="609" t="s">
        <v>3598</v>
      </c>
    </row>
    <row r="2713" spans="1:27" ht="18">
      <c r="A2713" s="2714"/>
      <c r="B2713" s="371">
        <v>106</v>
      </c>
      <c r="C2713" s="371" t="s">
        <v>2791</v>
      </c>
      <c r="D2713" s="2716">
        <f t="shared" si="300"/>
        <v>0</v>
      </c>
      <c r="E2713" s="2721">
        <v>1</v>
      </c>
      <c r="F2713" s="294"/>
      <c r="G2713" s="2284" t="s">
        <v>5146</v>
      </c>
      <c r="H2713" s="2275"/>
      <c r="I2713" s="2275"/>
      <c r="J2713" s="2275"/>
      <c r="K2713" s="1476">
        <f t="shared" si="301"/>
        <v>0</v>
      </c>
      <c r="L2713" s="2276"/>
      <c r="M2713" s="291"/>
      <c r="N2713" s="291"/>
      <c r="O2713" s="291"/>
      <c r="P2713" s="291"/>
      <c r="S2713" s="364"/>
      <c r="Z2713" s="609" t="s">
        <v>1107</v>
      </c>
      <c r="AA2713" s="609" t="s">
        <v>3598</v>
      </c>
    </row>
    <row r="2714" spans="1:27" ht="18">
      <c r="A2714" s="2714"/>
      <c r="B2714" s="371">
        <v>107</v>
      </c>
      <c r="C2714" s="371" t="s">
        <v>2791</v>
      </c>
      <c r="D2714" s="2716">
        <f t="shared" si="300"/>
        <v>0</v>
      </c>
      <c r="E2714" s="2721">
        <v>1</v>
      </c>
      <c r="F2714" s="294"/>
      <c r="G2714" s="2284" t="s">
        <v>5146</v>
      </c>
      <c r="H2714" s="2275"/>
      <c r="I2714" s="2275"/>
      <c r="J2714" s="2275"/>
      <c r="K2714" s="1476">
        <f t="shared" si="301"/>
        <v>0</v>
      </c>
      <c r="L2714" s="2276"/>
      <c r="M2714" s="291"/>
      <c r="N2714" s="291"/>
      <c r="O2714" s="291"/>
      <c r="P2714" s="291"/>
      <c r="S2714" s="364"/>
      <c r="Z2714" s="609" t="s">
        <v>1107</v>
      </c>
      <c r="AA2714" s="609" t="s">
        <v>3598</v>
      </c>
    </row>
    <row r="2715" spans="1:27" ht="18">
      <c r="A2715" s="2714"/>
      <c r="B2715" s="371">
        <v>108</v>
      </c>
      <c r="C2715" s="371" t="s">
        <v>2791</v>
      </c>
      <c r="D2715" s="2716">
        <f t="shared" si="300"/>
        <v>0</v>
      </c>
      <c r="E2715" s="2721">
        <v>1</v>
      </c>
      <c r="F2715" s="294"/>
      <c r="G2715" s="2284" t="s">
        <v>5146</v>
      </c>
      <c r="H2715" s="2275"/>
      <c r="I2715" s="2275"/>
      <c r="J2715" s="2275"/>
      <c r="K2715" s="1476">
        <f t="shared" si="301"/>
        <v>0</v>
      </c>
      <c r="L2715" s="2276"/>
      <c r="M2715" s="291"/>
      <c r="N2715" s="291"/>
      <c r="O2715" s="291"/>
      <c r="P2715" s="291"/>
      <c r="S2715" s="364"/>
      <c r="Z2715" s="609" t="s">
        <v>1107</v>
      </c>
      <c r="AA2715" s="609" t="s">
        <v>3598</v>
      </c>
    </row>
    <row r="2716" spans="1:27" ht="18">
      <c r="A2716" s="2714"/>
      <c r="B2716" s="371">
        <v>109</v>
      </c>
      <c r="C2716" s="371" t="s">
        <v>2791</v>
      </c>
      <c r="D2716" s="2716">
        <f t="shared" si="300"/>
        <v>0</v>
      </c>
      <c r="E2716" s="2721">
        <v>1</v>
      </c>
      <c r="F2716" s="294"/>
      <c r="G2716" s="2284" t="s">
        <v>5146</v>
      </c>
      <c r="H2716" s="2275"/>
      <c r="I2716" s="2275"/>
      <c r="J2716" s="2275"/>
      <c r="K2716" s="1476">
        <f t="shared" si="301"/>
        <v>0</v>
      </c>
      <c r="L2716" s="2276"/>
      <c r="M2716" s="291"/>
      <c r="N2716" s="291"/>
      <c r="O2716" s="291"/>
      <c r="P2716" s="291"/>
      <c r="S2716" s="364"/>
      <c r="Z2716" s="609" t="s">
        <v>1107</v>
      </c>
      <c r="AA2716" s="609" t="s">
        <v>3598</v>
      </c>
    </row>
    <row r="2717" spans="1:27" ht="18.75" thickBot="1">
      <c r="A2717" s="2714"/>
      <c r="B2717" s="371"/>
      <c r="C2717" s="371"/>
      <c r="D2717" s="2716">
        <f t="shared" si="300"/>
        <v>1</v>
      </c>
      <c r="E2717" s="2721" t="s">
        <v>3032</v>
      </c>
      <c r="F2717" s="294"/>
      <c r="G2717" s="2234" t="s">
        <v>2752</v>
      </c>
      <c r="H2717" s="2235">
        <f>SUMPRODUCT($E2707:$E2716,H2707:H2716)</f>
        <v>0</v>
      </c>
      <c r="I2717" s="2235">
        <f>SUMPRODUCT($E2707:$E2716,I2707:I2716)</f>
        <v>0</v>
      </c>
      <c r="J2717" s="2235">
        <f>SUMPRODUCT($E2707:$E2716,J2707:J2716)</f>
        <v>0</v>
      </c>
      <c r="K2717" s="2235">
        <f>SUMPRODUCT($E2707:$E2716,K2707:K2716)</f>
        <v>0</v>
      </c>
      <c r="L2717" s="2244"/>
      <c r="M2717" s="291"/>
      <c r="N2717" s="291"/>
      <c r="O2717" s="291"/>
      <c r="P2717" s="291"/>
      <c r="S2717" s="364"/>
      <c r="Z2717" s="609" t="s">
        <v>1107</v>
      </c>
      <c r="AA2717" s="609" t="s">
        <v>3598</v>
      </c>
    </row>
    <row r="2718" spans="1:27" ht="18">
      <c r="A2718" s="2714"/>
      <c r="B2718" s="371"/>
      <c r="C2718" s="371" t="s">
        <v>2755</v>
      </c>
      <c r="D2718" s="371"/>
      <c r="F2718" s="294"/>
      <c r="G2718" s="301"/>
      <c r="H2718" s="315"/>
      <c r="I2718" s="315"/>
      <c r="J2718" s="315"/>
      <c r="K2718" s="315"/>
      <c r="L2718" s="393"/>
      <c r="M2718" s="291"/>
      <c r="N2718" s="291"/>
      <c r="O2718" s="291"/>
      <c r="P2718" s="291"/>
      <c r="S2718" s="364"/>
      <c r="Z2718" s="609" t="s">
        <v>1107</v>
      </c>
      <c r="AA2718" s="609" t="s">
        <v>3598</v>
      </c>
    </row>
    <row r="2719" spans="1:27" ht="24">
      <c r="A2719" s="2714" t="s">
        <v>1120</v>
      </c>
      <c r="B2719" s="371">
        <v>3</v>
      </c>
      <c r="C2719" s="371"/>
      <c r="D2719" s="2716" t="str">
        <f>VLOOKUP($A2719,Sheet_NoteList,2,0)</f>
        <v>通过融资租赁租入的固定资产情况</v>
      </c>
      <c r="E2719" s="2716" t="s">
        <v>2742</v>
      </c>
      <c r="F2719" s="294"/>
      <c r="G2719" s="1519" t="str">
        <f>"("&amp;B2719&amp;")"&amp;D2719</f>
        <v>(3)通过融资租赁租入的固定资产情况</v>
      </c>
      <c r="H2719" s="1517" t="str">
        <f>$A2719</f>
        <v>1601c</v>
      </c>
      <c r="I2719" s="343" t="s">
        <v>2743</v>
      </c>
      <c r="J2719" s="301" t="s">
        <v>2744</v>
      </c>
      <c r="K2719" s="2210">
        <f>K2731</f>
        <v>0</v>
      </c>
      <c r="L2719" s="345"/>
      <c r="M2719" s="301"/>
      <c r="N2719" s="3083"/>
      <c r="O2719" s="315"/>
      <c r="P2719" s="301"/>
      <c r="Q2719" s="290" t="str">
        <f>IF($I2719="不适用","",IF(ROUND(SUM($H$2722:$K$2731),2)=0,"请输入",""))</f>
        <v>请输入</v>
      </c>
      <c r="S2719" s="364"/>
      <c r="Z2719" s="609" t="s">
        <v>1107</v>
      </c>
      <c r="AA2719" s="609" t="s">
        <v>3598</v>
      </c>
    </row>
    <row r="2720" spans="1:27" ht="0.75" customHeight="1" thickBot="1">
      <c r="A2720" s="2714"/>
      <c r="B2720" s="371"/>
      <c r="C2720" s="371"/>
      <c r="D2720" s="371"/>
      <c r="E2720" s="586"/>
      <c r="F2720" s="518"/>
      <c r="G2720" s="518" t="s">
        <v>3628</v>
      </c>
      <c r="H2720" s="1480" t="s">
        <v>3629</v>
      </c>
      <c r="I2720" s="304" t="s">
        <v>3625</v>
      </c>
      <c r="J2720" s="304" t="s">
        <v>3630</v>
      </c>
      <c r="K2720" s="304" t="s">
        <v>3631</v>
      </c>
      <c r="L2720" s="291"/>
      <c r="M2720" s="291"/>
      <c r="N2720" s="291"/>
      <c r="O2720" s="291"/>
      <c r="S2720" s="364"/>
      <c r="Z2720" s="609" t="s">
        <v>1107</v>
      </c>
      <c r="AA2720" s="609" t="s">
        <v>3598</v>
      </c>
    </row>
    <row r="2721" spans="1:27" ht="18">
      <c r="A2721" s="2714"/>
      <c r="B2721" s="371"/>
      <c r="C2721" s="371"/>
      <c r="D2721" s="371"/>
      <c r="E2721" s="586" t="s">
        <v>2749</v>
      </c>
      <c r="F2721" s="363"/>
      <c r="G2721" s="2228" t="s">
        <v>47</v>
      </c>
      <c r="H2721" s="548" t="s">
        <v>6035</v>
      </c>
      <c r="I2721" s="2282" t="s">
        <v>486</v>
      </c>
      <c r="J2721" s="2282" t="s">
        <v>3097</v>
      </c>
      <c r="K2721" s="417" t="s">
        <v>2863</v>
      </c>
      <c r="L2721" s="355" t="s">
        <v>5288</v>
      </c>
      <c r="M2721" s="291"/>
      <c r="N2721" s="291"/>
      <c r="O2721" s="291"/>
      <c r="S2721" s="364"/>
      <c r="Z2721" s="609" t="s">
        <v>1107</v>
      </c>
      <c r="AA2721" s="609" t="s">
        <v>3598</v>
      </c>
    </row>
    <row r="2722" spans="1:27" ht="18">
      <c r="A2722" s="2714"/>
      <c r="B2722" s="371">
        <v>101</v>
      </c>
      <c r="C2722" s="371" t="s">
        <v>2791</v>
      </c>
      <c r="D2722" s="2716">
        <f t="shared" ref="D2722:D2731" si="302">IF(OR(G2722="*",G2722="",G2722=0),0,COUNTIF($G$2722:$G$2731,G2722))</f>
        <v>0</v>
      </c>
      <c r="E2722" s="2721">
        <v>1</v>
      </c>
      <c r="F2722" s="294"/>
      <c r="G2722" s="2284" t="s">
        <v>5146</v>
      </c>
      <c r="H2722" s="2275"/>
      <c r="I2722" s="2275"/>
      <c r="J2722" s="2275"/>
      <c r="K2722" s="1477">
        <f>H2722-I2722-J2722</f>
        <v>0</v>
      </c>
      <c r="L2722" s="291"/>
      <c r="M2722" s="291"/>
      <c r="N2722" s="291"/>
      <c r="O2722" s="291"/>
      <c r="S2722" s="364"/>
      <c r="Z2722" s="609" t="s">
        <v>1107</v>
      </c>
      <c r="AA2722" s="609" t="s">
        <v>3598</v>
      </c>
    </row>
    <row r="2723" spans="1:27" ht="18">
      <c r="A2723" s="2714"/>
      <c r="B2723" s="371">
        <v>102</v>
      </c>
      <c r="C2723" s="371" t="s">
        <v>2791</v>
      </c>
      <c r="D2723" s="2716">
        <f t="shared" si="302"/>
        <v>0</v>
      </c>
      <c r="E2723" s="2721">
        <v>1</v>
      </c>
      <c r="F2723" s="294"/>
      <c r="G2723" s="2284" t="s">
        <v>5146</v>
      </c>
      <c r="H2723" s="2275"/>
      <c r="I2723" s="2275"/>
      <c r="J2723" s="2275"/>
      <c r="K2723" s="1477">
        <f>H2723-I2723-J2723</f>
        <v>0</v>
      </c>
      <c r="L2723" s="291"/>
      <c r="M2723" s="291"/>
      <c r="N2723" s="291"/>
      <c r="O2723" s="291"/>
      <c r="S2723" s="364"/>
      <c r="Z2723" s="609" t="s">
        <v>1107</v>
      </c>
      <c r="AA2723" s="609" t="s">
        <v>3598</v>
      </c>
    </row>
    <row r="2724" spans="1:27" ht="18">
      <c r="A2724" s="2714"/>
      <c r="B2724" s="371">
        <v>103</v>
      </c>
      <c r="C2724" s="371" t="s">
        <v>2791</v>
      </c>
      <c r="D2724" s="2716">
        <f t="shared" si="302"/>
        <v>0</v>
      </c>
      <c r="E2724" s="2721">
        <v>1</v>
      </c>
      <c r="F2724" s="294"/>
      <c r="G2724" s="2284" t="s">
        <v>5146</v>
      </c>
      <c r="H2724" s="2275"/>
      <c r="I2724" s="2275"/>
      <c r="J2724" s="2275"/>
      <c r="K2724" s="1477">
        <f>H2724-I2724-J2724</f>
        <v>0</v>
      </c>
      <c r="L2724" s="291"/>
      <c r="M2724" s="291"/>
      <c r="N2724" s="291"/>
      <c r="O2724" s="291"/>
      <c r="S2724" s="364"/>
      <c r="Z2724" s="609" t="s">
        <v>1107</v>
      </c>
      <c r="AA2724" s="609" t="s">
        <v>3598</v>
      </c>
    </row>
    <row r="2725" spans="1:27" ht="18">
      <c r="A2725" s="2714"/>
      <c r="B2725" s="371">
        <v>104</v>
      </c>
      <c r="C2725" s="371" t="s">
        <v>2791</v>
      </c>
      <c r="D2725" s="2716">
        <f t="shared" si="302"/>
        <v>0</v>
      </c>
      <c r="E2725" s="2721">
        <v>1</v>
      </c>
      <c r="F2725" s="294"/>
      <c r="G2725" s="2284" t="s">
        <v>5146</v>
      </c>
      <c r="H2725" s="2275"/>
      <c r="I2725" s="2275"/>
      <c r="J2725" s="2275"/>
      <c r="K2725" s="1477">
        <f>H2725-I2725-J2725</f>
        <v>0</v>
      </c>
      <c r="L2725" s="291"/>
      <c r="M2725" s="291"/>
      <c r="N2725" s="291"/>
      <c r="O2725" s="291"/>
      <c r="S2725" s="364"/>
      <c r="Z2725" s="609" t="s">
        <v>1107</v>
      </c>
      <c r="AA2725" s="609" t="s">
        <v>3598</v>
      </c>
    </row>
    <row r="2726" spans="1:27" ht="18">
      <c r="A2726" s="2714"/>
      <c r="B2726" s="371">
        <v>105</v>
      </c>
      <c r="C2726" s="371" t="s">
        <v>2791</v>
      </c>
      <c r="D2726" s="2716">
        <f t="shared" si="302"/>
        <v>0</v>
      </c>
      <c r="E2726" s="2721">
        <v>1</v>
      </c>
      <c r="F2726" s="294"/>
      <c r="G2726" s="2284" t="s">
        <v>5146</v>
      </c>
      <c r="H2726" s="2275"/>
      <c r="I2726" s="2275"/>
      <c r="J2726" s="2275"/>
      <c r="K2726" s="1477">
        <f>H2726-I2726-J2726</f>
        <v>0</v>
      </c>
      <c r="L2726" s="291"/>
      <c r="M2726" s="291"/>
      <c r="N2726" s="291"/>
      <c r="O2726" s="291"/>
      <c r="S2726" s="364"/>
      <c r="Z2726" s="609" t="s">
        <v>1107</v>
      </c>
      <c r="AA2726" s="609" t="s">
        <v>3598</v>
      </c>
    </row>
    <row r="2727" spans="1:27" ht="18">
      <c r="A2727" s="2714"/>
      <c r="B2727" s="371">
        <v>106</v>
      </c>
      <c r="C2727" s="371" t="s">
        <v>2791</v>
      </c>
      <c r="D2727" s="2716">
        <f t="shared" si="302"/>
        <v>0</v>
      </c>
      <c r="E2727" s="2721">
        <v>1</v>
      </c>
      <c r="F2727" s="294"/>
      <c r="G2727" s="2284" t="s">
        <v>5146</v>
      </c>
      <c r="H2727" s="2275"/>
      <c r="I2727" s="2275"/>
      <c r="J2727" s="2275"/>
      <c r="K2727" s="1477">
        <f t="shared" ref="K2727:K2730" si="303">H2727-I2727-J2727</f>
        <v>0</v>
      </c>
      <c r="L2727" s="291"/>
      <c r="M2727" s="291"/>
      <c r="N2727" s="291"/>
      <c r="O2727" s="291"/>
      <c r="S2727" s="364"/>
      <c r="Z2727" s="609" t="s">
        <v>1107</v>
      </c>
      <c r="AA2727" s="609" t="s">
        <v>3598</v>
      </c>
    </row>
    <row r="2728" spans="1:27" ht="18">
      <c r="A2728" s="2714"/>
      <c r="B2728" s="371">
        <v>107</v>
      </c>
      <c r="C2728" s="371" t="s">
        <v>2791</v>
      </c>
      <c r="D2728" s="2716">
        <f t="shared" si="302"/>
        <v>0</v>
      </c>
      <c r="E2728" s="2721">
        <v>1</v>
      </c>
      <c r="F2728" s="294"/>
      <c r="G2728" s="2284" t="s">
        <v>5146</v>
      </c>
      <c r="H2728" s="2275"/>
      <c r="I2728" s="2275"/>
      <c r="J2728" s="2275"/>
      <c r="K2728" s="1477">
        <f t="shared" si="303"/>
        <v>0</v>
      </c>
      <c r="L2728" s="291"/>
      <c r="M2728" s="291"/>
      <c r="N2728" s="291"/>
      <c r="O2728" s="291"/>
      <c r="S2728" s="364"/>
      <c r="Z2728" s="609" t="s">
        <v>1107</v>
      </c>
      <c r="AA2728" s="609" t="s">
        <v>3598</v>
      </c>
    </row>
    <row r="2729" spans="1:27" ht="18">
      <c r="A2729" s="2714"/>
      <c r="B2729" s="371">
        <v>108</v>
      </c>
      <c r="C2729" s="371" t="s">
        <v>2791</v>
      </c>
      <c r="D2729" s="2716">
        <f t="shared" si="302"/>
        <v>0</v>
      </c>
      <c r="E2729" s="2721">
        <v>1</v>
      </c>
      <c r="F2729" s="294"/>
      <c r="G2729" s="2284" t="s">
        <v>5146</v>
      </c>
      <c r="H2729" s="2275"/>
      <c r="I2729" s="2275"/>
      <c r="J2729" s="2275"/>
      <c r="K2729" s="1477">
        <f t="shared" si="303"/>
        <v>0</v>
      </c>
      <c r="L2729" s="291"/>
      <c r="M2729" s="291"/>
      <c r="N2729" s="291"/>
      <c r="O2729" s="291"/>
      <c r="S2729" s="364"/>
      <c r="Z2729" s="609" t="s">
        <v>1107</v>
      </c>
      <c r="AA2729" s="609" t="s">
        <v>3598</v>
      </c>
    </row>
    <row r="2730" spans="1:27" ht="18">
      <c r="A2730" s="2714"/>
      <c r="B2730" s="371">
        <v>109</v>
      </c>
      <c r="C2730" s="371" t="s">
        <v>2791</v>
      </c>
      <c r="D2730" s="2716">
        <f t="shared" si="302"/>
        <v>0</v>
      </c>
      <c r="E2730" s="2721">
        <v>1</v>
      </c>
      <c r="F2730" s="294"/>
      <c r="G2730" s="2284" t="s">
        <v>5146</v>
      </c>
      <c r="H2730" s="2275"/>
      <c r="I2730" s="2275"/>
      <c r="J2730" s="2275"/>
      <c r="K2730" s="1477">
        <f t="shared" si="303"/>
        <v>0</v>
      </c>
      <c r="L2730" s="291"/>
      <c r="M2730" s="291"/>
      <c r="N2730" s="291"/>
      <c r="O2730" s="291"/>
      <c r="S2730" s="364"/>
      <c r="Z2730" s="609" t="s">
        <v>1107</v>
      </c>
      <c r="AA2730" s="609" t="s">
        <v>3598</v>
      </c>
    </row>
    <row r="2731" spans="1:27" ht="18.75" thickBot="1">
      <c r="A2731" s="2714"/>
      <c r="B2731" s="371"/>
      <c r="C2731" s="371"/>
      <c r="D2731" s="2716">
        <f t="shared" si="302"/>
        <v>1</v>
      </c>
      <c r="E2731" s="2721" t="s">
        <v>2751</v>
      </c>
      <c r="F2731" s="294"/>
      <c r="G2731" s="374" t="s">
        <v>2752</v>
      </c>
      <c r="H2731" s="1478">
        <f>SUMPRODUCT($E2721:$E2730,H2721:H2730)</f>
        <v>0</v>
      </c>
      <c r="I2731" s="1478">
        <f>SUMPRODUCT($E2721:$E2730,I2721:I2730)</f>
        <v>0</v>
      </c>
      <c r="J2731" s="1478">
        <f>SUMPRODUCT($E2721:$E2730,J2721:J2730)</f>
        <v>0</v>
      </c>
      <c r="K2731" s="1479">
        <f>SUMPRODUCT($E2721:$E2730,K2721:K2730)</f>
        <v>0</v>
      </c>
      <c r="L2731" s="291"/>
      <c r="M2731" s="291"/>
      <c r="N2731" s="291"/>
      <c r="O2731" s="291"/>
      <c r="S2731" s="364"/>
      <c r="Z2731" s="609" t="s">
        <v>1107</v>
      </c>
      <c r="AA2731" s="609" t="s">
        <v>3598</v>
      </c>
    </row>
    <row r="2732" spans="1:27" ht="18">
      <c r="A2732" s="2714"/>
      <c r="B2732" s="371"/>
      <c r="C2732" s="371" t="s">
        <v>2755</v>
      </c>
      <c r="D2732" s="371"/>
      <c r="F2732" s="294"/>
      <c r="G2732" s="301"/>
      <c r="H2732" s="315"/>
      <c r="I2732" s="315"/>
      <c r="J2732" s="315"/>
      <c r="K2732" s="315"/>
      <c r="L2732" s="291"/>
      <c r="M2732" s="291"/>
      <c r="N2732" s="291"/>
      <c r="O2732" s="291"/>
      <c r="S2732" s="364"/>
      <c r="Z2732" s="609" t="s">
        <v>1107</v>
      </c>
      <c r="AA2732" s="609" t="s">
        <v>3598</v>
      </c>
    </row>
    <row r="2733" spans="1:27" ht="24">
      <c r="A2733" s="2714" t="s">
        <v>1126</v>
      </c>
      <c r="B2733" s="371">
        <v>4</v>
      </c>
      <c r="C2733" s="371"/>
      <c r="D2733" s="2716" t="str">
        <f>VLOOKUP($A2733,Sheet_NoteList,2,0)</f>
        <v>通过经营租赁租出的固定资产</v>
      </c>
      <c r="E2733" s="2716" t="s">
        <v>2742</v>
      </c>
      <c r="F2733" s="294"/>
      <c r="G2733" s="1519" t="str">
        <f>"("&amp;B2733&amp;")"&amp;D2733</f>
        <v>(4)通过经营租赁租出的固定资产</v>
      </c>
      <c r="H2733" s="1517" t="str">
        <f>$A2733</f>
        <v>1601d</v>
      </c>
      <c r="I2733" s="343" t="s">
        <v>2743</v>
      </c>
      <c r="J2733" s="301" t="s">
        <v>2744</v>
      </c>
      <c r="K2733" s="2210">
        <f>H2746</f>
        <v>0</v>
      </c>
      <c r="L2733" s="345"/>
      <c r="M2733" s="301"/>
      <c r="N2733" s="3083"/>
      <c r="O2733" s="315"/>
      <c r="P2733" s="301"/>
      <c r="Q2733" s="290" t="str">
        <f>IF($I2733="不适用","",IF(ROUND(SUM($H$2736:$I$2746),2)=0,"请输入",""))</f>
        <v>请输入</v>
      </c>
      <c r="S2733" s="364"/>
      <c r="Z2733" s="609" t="s">
        <v>1107</v>
      </c>
      <c r="AA2733" s="609" t="s">
        <v>3598</v>
      </c>
    </row>
    <row r="2734" spans="1:27" ht="0.75" customHeight="1" thickBot="1">
      <c r="A2734" s="2714"/>
      <c r="B2734" s="371"/>
      <c r="C2734" s="371"/>
      <c r="D2734" s="371"/>
      <c r="E2734" s="586"/>
      <c r="F2734" s="586"/>
      <c r="G2734" s="586" t="s">
        <v>3632</v>
      </c>
      <c r="H2734" s="547" t="s">
        <v>3633</v>
      </c>
      <c r="I2734" s="580"/>
      <c r="J2734" s="472"/>
      <c r="K2734" s="472"/>
      <c r="L2734" s="472"/>
      <c r="M2734" s="442"/>
      <c r="N2734" s="442"/>
      <c r="O2734" s="442"/>
      <c r="P2734" s="442"/>
      <c r="Q2734" s="442"/>
      <c r="R2734" s="443"/>
      <c r="S2734" s="364"/>
      <c r="Z2734" s="609" t="s">
        <v>1107</v>
      </c>
      <c r="AA2734" s="609" t="s">
        <v>3598</v>
      </c>
    </row>
    <row r="2735" spans="1:27" ht="24">
      <c r="A2735" s="2714"/>
      <c r="B2735" s="371"/>
      <c r="C2735" s="371"/>
      <c r="D2735" s="371"/>
      <c r="E2735" s="586" t="s">
        <v>2749</v>
      </c>
      <c r="F2735" s="363"/>
      <c r="G2735" s="2228" t="s">
        <v>47</v>
      </c>
      <c r="H2735" s="2285" t="s">
        <v>5149</v>
      </c>
      <c r="I2735" s="355" t="s">
        <v>5288</v>
      </c>
      <c r="J2735" s="472"/>
      <c r="K2735" s="472"/>
      <c r="L2735" s="472"/>
      <c r="M2735" s="442"/>
      <c r="N2735" s="442"/>
      <c r="O2735" s="442"/>
      <c r="P2735" s="442"/>
      <c r="Q2735" s="442"/>
      <c r="R2735" s="443"/>
      <c r="S2735" s="364"/>
      <c r="Z2735" s="609" t="s">
        <v>1107</v>
      </c>
      <c r="AA2735" s="609" t="s">
        <v>3598</v>
      </c>
    </row>
    <row r="2736" spans="1:27" ht="18">
      <c r="A2736" s="2714"/>
      <c r="B2736" s="371">
        <v>101</v>
      </c>
      <c r="C2736" s="371" t="s">
        <v>2791</v>
      </c>
      <c r="D2736" s="2716">
        <f t="shared" ref="D2736:D2746" si="304">IF(OR(G2736="*",G2736="",G2736=0),0,COUNTIF($G$2736:$G$2746,G2736))</f>
        <v>0</v>
      </c>
      <c r="E2736" s="2721">
        <v>1</v>
      </c>
      <c r="F2736" s="294"/>
      <c r="G2736" s="2284" t="s">
        <v>2792</v>
      </c>
      <c r="H2736" s="2296"/>
      <c r="I2736" s="437"/>
      <c r="J2736" s="472"/>
      <c r="K2736" s="472"/>
      <c r="L2736" s="472"/>
      <c r="M2736" s="442"/>
      <c r="N2736" s="442"/>
      <c r="O2736" s="442"/>
      <c r="P2736" s="442"/>
      <c r="Q2736" s="442"/>
      <c r="R2736" s="443"/>
      <c r="S2736" s="364"/>
      <c r="Z2736" s="609" t="s">
        <v>1107</v>
      </c>
      <c r="AA2736" s="609" t="s">
        <v>3598</v>
      </c>
    </row>
    <row r="2737" spans="1:27" ht="18">
      <c r="A2737" s="2714"/>
      <c r="B2737" s="371">
        <v>102</v>
      </c>
      <c r="C2737" s="371" t="s">
        <v>2791</v>
      </c>
      <c r="D2737" s="2716">
        <f t="shared" si="304"/>
        <v>0</v>
      </c>
      <c r="E2737" s="2721">
        <v>1</v>
      </c>
      <c r="F2737" s="294"/>
      <c r="G2737" s="2284" t="s">
        <v>2792</v>
      </c>
      <c r="H2737" s="2296"/>
      <c r="I2737" s="437"/>
      <c r="J2737" s="472"/>
      <c r="K2737" s="472"/>
      <c r="L2737" s="472"/>
      <c r="M2737" s="442"/>
      <c r="N2737" s="442"/>
      <c r="O2737" s="442"/>
      <c r="P2737" s="442"/>
      <c r="Q2737" s="442"/>
      <c r="R2737" s="443"/>
      <c r="S2737" s="364"/>
      <c r="Z2737" s="609" t="s">
        <v>1107</v>
      </c>
      <c r="AA2737" s="609" t="s">
        <v>3598</v>
      </c>
    </row>
    <row r="2738" spans="1:27" ht="18">
      <c r="A2738" s="2714"/>
      <c r="B2738" s="371">
        <v>103</v>
      </c>
      <c r="C2738" s="371" t="s">
        <v>2791</v>
      </c>
      <c r="D2738" s="2716">
        <f t="shared" si="304"/>
        <v>0</v>
      </c>
      <c r="E2738" s="2721">
        <v>1</v>
      </c>
      <c r="F2738" s="294"/>
      <c r="G2738" s="2284" t="s">
        <v>2792</v>
      </c>
      <c r="H2738" s="2296"/>
      <c r="I2738" s="437"/>
      <c r="J2738" s="472"/>
      <c r="K2738" s="472"/>
      <c r="L2738" s="472"/>
      <c r="M2738" s="442"/>
      <c r="N2738" s="442"/>
      <c r="O2738" s="442"/>
      <c r="P2738" s="442"/>
      <c r="Q2738" s="442"/>
      <c r="R2738" s="443"/>
      <c r="S2738" s="364"/>
      <c r="Z2738" s="609" t="s">
        <v>1107</v>
      </c>
      <c r="AA2738" s="609" t="s">
        <v>3598</v>
      </c>
    </row>
    <row r="2739" spans="1:27" ht="18">
      <c r="A2739" s="2714"/>
      <c r="B2739" s="371">
        <v>104</v>
      </c>
      <c r="C2739" s="371" t="s">
        <v>2791</v>
      </c>
      <c r="D2739" s="2716">
        <f t="shared" si="304"/>
        <v>0</v>
      </c>
      <c r="E2739" s="2721">
        <v>1</v>
      </c>
      <c r="F2739" s="294"/>
      <c r="G2739" s="2284" t="s">
        <v>2792</v>
      </c>
      <c r="H2739" s="2296"/>
      <c r="I2739" s="437"/>
      <c r="J2739" s="472"/>
      <c r="K2739" s="472"/>
      <c r="L2739" s="472"/>
      <c r="M2739" s="442"/>
      <c r="N2739" s="442"/>
      <c r="O2739" s="442"/>
      <c r="P2739" s="442"/>
      <c r="Q2739" s="442"/>
      <c r="R2739" s="443"/>
      <c r="S2739" s="364"/>
      <c r="Z2739" s="609" t="s">
        <v>1107</v>
      </c>
      <c r="AA2739" s="609" t="s">
        <v>3598</v>
      </c>
    </row>
    <row r="2740" spans="1:27" ht="18">
      <c r="A2740" s="2714"/>
      <c r="B2740" s="371">
        <v>105</v>
      </c>
      <c r="C2740" s="371" t="s">
        <v>2791</v>
      </c>
      <c r="D2740" s="2716">
        <f t="shared" si="304"/>
        <v>0</v>
      </c>
      <c r="E2740" s="2721">
        <v>1</v>
      </c>
      <c r="F2740" s="294"/>
      <c r="G2740" s="2284" t="s">
        <v>2792</v>
      </c>
      <c r="H2740" s="2296"/>
      <c r="I2740" s="437"/>
      <c r="J2740" s="472"/>
      <c r="K2740" s="472"/>
      <c r="L2740" s="472"/>
      <c r="M2740" s="442"/>
      <c r="N2740" s="442"/>
      <c r="O2740" s="442"/>
      <c r="P2740" s="442"/>
      <c r="Q2740" s="442"/>
      <c r="R2740" s="443"/>
      <c r="S2740" s="364"/>
      <c r="Z2740" s="609" t="s">
        <v>1107</v>
      </c>
      <c r="AA2740" s="609" t="s">
        <v>3598</v>
      </c>
    </row>
    <row r="2741" spans="1:27" ht="18">
      <c r="A2741" s="2714"/>
      <c r="B2741" s="371">
        <v>106</v>
      </c>
      <c r="C2741" s="371" t="s">
        <v>2791</v>
      </c>
      <c r="D2741" s="2716">
        <f t="shared" si="304"/>
        <v>0</v>
      </c>
      <c r="E2741" s="2721">
        <v>1</v>
      </c>
      <c r="F2741" s="294"/>
      <c r="G2741" s="2284" t="s">
        <v>2792</v>
      </c>
      <c r="H2741" s="2296"/>
      <c r="I2741" s="437"/>
      <c r="J2741" s="472"/>
      <c r="K2741" s="472"/>
      <c r="L2741" s="472"/>
      <c r="M2741" s="442"/>
      <c r="N2741" s="442"/>
      <c r="O2741" s="442"/>
      <c r="P2741" s="442"/>
      <c r="Q2741" s="442"/>
      <c r="R2741" s="443"/>
      <c r="S2741" s="364"/>
      <c r="Z2741" s="609" t="s">
        <v>1107</v>
      </c>
      <c r="AA2741" s="609" t="s">
        <v>3598</v>
      </c>
    </row>
    <row r="2742" spans="1:27" ht="18">
      <c r="A2742" s="2714"/>
      <c r="B2742" s="371">
        <v>107</v>
      </c>
      <c r="C2742" s="371" t="s">
        <v>2791</v>
      </c>
      <c r="D2742" s="2716">
        <f t="shared" si="304"/>
        <v>0</v>
      </c>
      <c r="E2742" s="2721">
        <v>1</v>
      </c>
      <c r="F2742" s="294"/>
      <c r="G2742" s="2284" t="s">
        <v>2792</v>
      </c>
      <c r="H2742" s="2296"/>
      <c r="I2742" s="437"/>
      <c r="J2742" s="472"/>
      <c r="K2742" s="472"/>
      <c r="L2742" s="472"/>
      <c r="M2742" s="442"/>
      <c r="N2742" s="442"/>
      <c r="O2742" s="442"/>
      <c r="P2742" s="442"/>
      <c r="Q2742" s="442"/>
      <c r="R2742" s="443"/>
      <c r="S2742" s="364"/>
      <c r="Z2742" s="609" t="s">
        <v>1107</v>
      </c>
      <c r="AA2742" s="609" t="s">
        <v>3598</v>
      </c>
    </row>
    <row r="2743" spans="1:27" ht="18">
      <c r="A2743" s="2714"/>
      <c r="B2743" s="371">
        <v>108</v>
      </c>
      <c r="C2743" s="371" t="s">
        <v>2791</v>
      </c>
      <c r="D2743" s="2716">
        <f t="shared" si="304"/>
        <v>0</v>
      </c>
      <c r="E2743" s="2721">
        <v>1</v>
      </c>
      <c r="F2743" s="294"/>
      <c r="G2743" s="2284" t="s">
        <v>2792</v>
      </c>
      <c r="H2743" s="2296"/>
      <c r="I2743" s="437"/>
      <c r="J2743" s="472"/>
      <c r="K2743" s="472"/>
      <c r="L2743" s="472"/>
      <c r="M2743" s="442"/>
      <c r="N2743" s="442"/>
      <c r="O2743" s="442"/>
      <c r="P2743" s="442"/>
      <c r="Q2743" s="442"/>
      <c r="R2743" s="443"/>
      <c r="S2743" s="364"/>
      <c r="Z2743" s="609" t="s">
        <v>1107</v>
      </c>
      <c r="AA2743" s="609" t="s">
        <v>3598</v>
      </c>
    </row>
    <row r="2744" spans="1:27" ht="18">
      <c r="A2744" s="2714"/>
      <c r="B2744" s="371">
        <v>109</v>
      </c>
      <c r="C2744" s="371" t="s">
        <v>2791</v>
      </c>
      <c r="D2744" s="2716">
        <f t="shared" si="304"/>
        <v>0</v>
      </c>
      <c r="E2744" s="2721">
        <v>1</v>
      </c>
      <c r="F2744" s="294"/>
      <c r="G2744" s="2284" t="s">
        <v>2792</v>
      </c>
      <c r="H2744" s="2296"/>
      <c r="I2744" s="437"/>
      <c r="J2744" s="472"/>
      <c r="K2744" s="472"/>
      <c r="L2744" s="472"/>
      <c r="M2744" s="442"/>
      <c r="N2744" s="442"/>
      <c r="O2744" s="442"/>
      <c r="P2744" s="442"/>
      <c r="Q2744" s="442"/>
      <c r="R2744" s="443"/>
      <c r="S2744" s="364"/>
      <c r="Z2744" s="609" t="s">
        <v>1107</v>
      </c>
      <c r="AA2744" s="609" t="s">
        <v>3598</v>
      </c>
    </row>
    <row r="2745" spans="1:27" ht="18">
      <c r="A2745" s="2714"/>
      <c r="B2745" s="371">
        <v>110</v>
      </c>
      <c r="C2745" s="371" t="s">
        <v>2791</v>
      </c>
      <c r="D2745" s="2716">
        <f t="shared" si="304"/>
        <v>0</v>
      </c>
      <c r="E2745" s="2721">
        <v>1</v>
      </c>
      <c r="F2745" s="294"/>
      <c r="G2745" s="2284" t="s">
        <v>2792</v>
      </c>
      <c r="H2745" s="2296"/>
      <c r="I2745" s="437"/>
      <c r="J2745" s="472"/>
      <c r="K2745" s="472"/>
      <c r="L2745" s="472"/>
      <c r="M2745" s="442"/>
      <c r="N2745" s="442"/>
      <c r="O2745" s="442"/>
      <c r="P2745" s="442"/>
      <c r="Q2745" s="442"/>
      <c r="R2745" s="443"/>
      <c r="S2745" s="364"/>
      <c r="Z2745" s="609" t="s">
        <v>1107</v>
      </c>
      <c r="AA2745" s="609" t="s">
        <v>3598</v>
      </c>
    </row>
    <row r="2746" spans="1:27" ht="18.75" thickBot="1">
      <c r="A2746" s="2714"/>
      <c r="B2746" s="371"/>
      <c r="C2746" s="371"/>
      <c r="D2746" s="2716">
        <f t="shared" si="304"/>
        <v>1</v>
      </c>
      <c r="E2746" s="2721" t="s">
        <v>3032</v>
      </c>
      <c r="F2746" s="294"/>
      <c r="G2746" s="374" t="s">
        <v>2752</v>
      </c>
      <c r="H2746" s="1479">
        <f>SUMPRODUCT($E2735:$E2745,H2735:H2745)</f>
        <v>0</v>
      </c>
      <c r="I2746" s="437"/>
      <c r="J2746" s="472"/>
      <c r="K2746" s="472"/>
      <c r="L2746" s="472"/>
      <c r="M2746" s="442"/>
      <c r="N2746" s="442"/>
      <c r="O2746" s="442"/>
      <c r="P2746" s="442"/>
      <c r="Q2746" s="442"/>
      <c r="R2746" s="443"/>
      <c r="S2746" s="364"/>
      <c r="Z2746" s="609" t="s">
        <v>1107</v>
      </c>
      <c r="AA2746" s="609" t="s">
        <v>3598</v>
      </c>
    </row>
    <row r="2747" spans="1:27" ht="18">
      <c r="A2747" s="2714"/>
      <c r="B2747" s="371"/>
      <c r="C2747" s="371" t="s">
        <v>2755</v>
      </c>
      <c r="D2747" s="371"/>
      <c r="F2747" s="294"/>
      <c r="G2747" s="301"/>
      <c r="H2747" s="315"/>
      <c r="I2747" s="437"/>
      <c r="J2747" s="472"/>
      <c r="K2747" s="472"/>
      <c r="L2747" s="472"/>
      <c r="M2747" s="442"/>
      <c r="N2747" s="442"/>
      <c r="O2747" s="442"/>
      <c r="P2747" s="442"/>
      <c r="Q2747" s="442"/>
      <c r="R2747" s="443"/>
      <c r="S2747" s="364"/>
      <c r="Z2747" s="609" t="s">
        <v>1107</v>
      </c>
      <c r="AA2747" s="609" t="s">
        <v>3598</v>
      </c>
    </row>
    <row r="2748" spans="1:27" ht="24">
      <c r="A2748" s="2714" t="s">
        <v>1131</v>
      </c>
      <c r="B2748" s="371">
        <v>5</v>
      </c>
      <c r="C2748" s="371"/>
      <c r="D2748" s="2716" t="str">
        <f>VLOOKUP($A2748,Sheet_NoteList,2,0)</f>
        <v>未办妥产权证书的固定资产情况</v>
      </c>
      <c r="E2748" s="2716" t="s">
        <v>2742</v>
      </c>
      <c r="F2748" s="293"/>
      <c r="G2748" s="372" t="str">
        <f>"("&amp;B2748&amp;")"&amp;D2748</f>
        <v>(5)未办妥产权证书的固定资产情况</v>
      </c>
      <c r="H2748" s="1517" t="str">
        <f>$A2748</f>
        <v>1601l</v>
      </c>
      <c r="I2748" s="343" t="s">
        <v>2743</v>
      </c>
      <c r="J2748" s="301" t="s">
        <v>2744</v>
      </c>
      <c r="K2748" s="2210">
        <f>H2759</f>
        <v>0</v>
      </c>
      <c r="L2748" s="349">
        <f>IF($I2748="适用",IF(ROUND(K$2647-K2748,2)=0,"F/S",ROUND(K$2647-K2748,2)),"#N/A")</f>
        <v>18818300.170000002</v>
      </c>
      <c r="M2748" s="301" t="s">
        <v>2745</v>
      </c>
      <c r="N2748" s="2210">
        <f>I2759</f>
        <v>0</v>
      </c>
      <c r="O2748" s="349">
        <f>IF($I2748="适用",IF(ROUND(N$2647-N2748,2)=0,"F/S",ROUND(N$2647-N2748,2)),"#N/A")</f>
        <v>20288571.73</v>
      </c>
      <c r="P2748" s="301"/>
      <c r="S2748" s="364"/>
      <c r="Z2748" s="609" t="s">
        <v>1107</v>
      </c>
      <c r="AA2748" s="609" t="s">
        <v>3598</v>
      </c>
    </row>
    <row r="2749" spans="1:27" ht="0.75" customHeight="1" thickBot="1">
      <c r="A2749" s="2714"/>
      <c r="B2749" s="371"/>
      <c r="C2749" s="371"/>
      <c r="D2749" s="2716"/>
      <c r="E2749" s="586"/>
      <c r="F2749" s="586"/>
      <c r="G2749" s="2224" t="s">
        <v>3634</v>
      </c>
      <c r="H2749" s="371" t="s">
        <v>2747</v>
      </c>
      <c r="I2749" s="371" t="s">
        <v>2821</v>
      </c>
      <c r="J2749" s="433"/>
      <c r="K2749" s="428"/>
      <c r="L2749" s="428"/>
      <c r="M2749" s="433"/>
      <c r="N2749" s="428"/>
      <c r="O2749" s="428"/>
      <c r="P2749" s="433"/>
      <c r="Q2749" s="442"/>
      <c r="R2749" s="443"/>
      <c r="S2749" s="364"/>
      <c r="Z2749" s="609" t="s">
        <v>1107</v>
      </c>
      <c r="AA2749" s="609" t="s">
        <v>3598</v>
      </c>
    </row>
    <row r="2750" spans="1:27" ht="24">
      <c r="A2750" s="2714"/>
      <c r="B2750" s="371"/>
      <c r="C2750" s="371"/>
      <c r="D2750" s="2716"/>
      <c r="E2750" s="586" t="s">
        <v>2749</v>
      </c>
      <c r="F2750" s="414"/>
      <c r="G2750" s="2289" t="s">
        <v>47</v>
      </c>
      <c r="H2750" s="2291" t="s">
        <v>2863</v>
      </c>
      <c r="I2750" s="2293" t="s">
        <v>3635</v>
      </c>
      <c r="J2750" s="355" t="s">
        <v>5288</v>
      </c>
      <c r="K2750" s="434"/>
      <c r="L2750" s="434"/>
      <c r="M2750" s="435"/>
      <c r="N2750" s="434"/>
      <c r="O2750" s="434"/>
      <c r="P2750" s="435"/>
      <c r="Q2750" s="442"/>
      <c r="R2750" s="443"/>
      <c r="S2750" s="364"/>
      <c r="Z2750" s="609" t="s">
        <v>1107</v>
      </c>
      <c r="AA2750" s="609" t="s">
        <v>3598</v>
      </c>
    </row>
    <row r="2751" spans="1:27" ht="18">
      <c r="A2751" s="2714"/>
      <c r="B2751" s="371">
        <v>101</v>
      </c>
      <c r="C2751" s="371" t="s">
        <v>2791</v>
      </c>
      <c r="D2751" s="2716">
        <f t="shared" ref="D2751:D2759" si="305">IF(OR(G2751="*",G2751="",G2751=0),0,COUNTIF($G$2751:$G$2759,G2751))</f>
        <v>0</v>
      </c>
      <c r="E2751" s="2721">
        <v>1</v>
      </c>
      <c r="F2751" s="293"/>
      <c r="G2751" s="2284" t="s">
        <v>2792</v>
      </c>
      <c r="H2751" s="2275"/>
      <c r="I2751" s="2276"/>
      <c r="J2751" s="438"/>
      <c r="K2751" s="439"/>
      <c r="L2751" s="437"/>
      <c r="M2751" s="438"/>
      <c r="N2751" s="439"/>
      <c r="O2751" s="437"/>
      <c r="P2751" s="438"/>
      <c r="Q2751" s="442"/>
      <c r="R2751" s="443"/>
      <c r="S2751" s="364"/>
      <c r="Z2751" s="609" t="s">
        <v>1107</v>
      </c>
      <c r="AA2751" s="609" t="s">
        <v>3598</v>
      </c>
    </row>
    <row r="2752" spans="1:27" ht="18">
      <c r="A2752" s="2714"/>
      <c r="B2752" s="371">
        <v>102</v>
      </c>
      <c r="C2752" s="371" t="s">
        <v>2791</v>
      </c>
      <c r="D2752" s="2716">
        <f t="shared" si="305"/>
        <v>0</v>
      </c>
      <c r="E2752" s="2721">
        <v>1</v>
      </c>
      <c r="F2752" s="293"/>
      <c r="G2752" s="2284" t="s">
        <v>2792</v>
      </c>
      <c r="H2752" s="2275"/>
      <c r="I2752" s="2276"/>
      <c r="J2752" s="438"/>
      <c r="K2752" s="439"/>
      <c r="L2752" s="437"/>
      <c r="M2752" s="438"/>
      <c r="N2752" s="439"/>
      <c r="O2752" s="437"/>
      <c r="P2752" s="438"/>
      <c r="Q2752" s="442"/>
      <c r="R2752" s="443"/>
      <c r="S2752" s="364"/>
      <c r="Z2752" s="609" t="s">
        <v>1107</v>
      </c>
      <c r="AA2752" s="609" t="s">
        <v>3598</v>
      </c>
    </row>
    <row r="2753" spans="1:27" ht="18">
      <c r="A2753" s="2714"/>
      <c r="B2753" s="371">
        <v>103</v>
      </c>
      <c r="C2753" s="371" t="s">
        <v>2791</v>
      </c>
      <c r="D2753" s="2716">
        <f t="shared" si="305"/>
        <v>0</v>
      </c>
      <c r="E2753" s="2721">
        <v>1</v>
      </c>
      <c r="F2753" s="293"/>
      <c r="G2753" s="2284" t="s">
        <v>2792</v>
      </c>
      <c r="H2753" s="2275"/>
      <c r="I2753" s="2276"/>
      <c r="J2753" s="438"/>
      <c r="K2753" s="439"/>
      <c r="L2753" s="437"/>
      <c r="M2753" s="438"/>
      <c r="N2753" s="439"/>
      <c r="O2753" s="437"/>
      <c r="P2753" s="438"/>
      <c r="Q2753" s="442"/>
      <c r="R2753" s="443"/>
      <c r="S2753" s="364"/>
      <c r="Z2753" s="609" t="s">
        <v>1107</v>
      </c>
      <c r="AA2753" s="609" t="s">
        <v>3598</v>
      </c>
    </row>
    <row r="2754" spans="1:27" ht="18">
      <c r="A2754" s="2714"/>
      <c r="B2754" s="371">
        <v>104</v>
      </c>
      <c r="C2754" s="371" t="s">
        <v>2791</v>
      </c>
      <c r="D2754" s="2716">
        <f t="shared" si="305"/>
        <v>0</v>
      </c>
      <c r="E2754" s="2721">
        <v>1</v>
      </c>
      <c r="F2754" s="293"/>
      <c r="G2754" s="2284" t="s">
        <v>2792</v>
      </c>
      <c r="H2754" s="2275"/>
      <c r="I2754" s="2276"/>
      <c r="J2754" s="438"/>
      <c r="K2754" s="439"/>
      <c r="L2754" s="437"/>
      <c r="M2754" s="438"/>
      <c r="N2754" s="439"/>
      <c r="O2754" s="437"/>
      <c r="P2754" s="438"/>
      <c r="Q2754" s="442"/>
      <c r="R2754" s="443"/>
      <c r="S2754" s="364"/>
      <c r="Z2754" s="609" t="s">
        <v>1107</v>
      </c>
      <c r="AA2754" s="609" t="s">
        <v>3598</v>
      </c>
    </row>
    <row r="2755" spans="1:27" ht="18">
      <c r="A2755" s="2714"/>
      <c r="B2755" s="371">
        <v>105</v>
      </c>
      <c r="C2755" s="371" t="s">
        <v>2791</v>
      </c>
      <c r="D2755" s="2716">
        <f t="shared" si="305"/>
        <v>0</v>
      </c>
      <c r="E2755" s="2721">
        <v>1</v>
      </c>
      <c r="F2755" s="293"/>
      <c r="G2755" s="2284" t="s">
        <v>2792</v>
      </c>
      <c r="H2755" s="2275"/>
      <c r="I2755" s="2276"/>
      <c r="J2755" s="438"/>
      <c r="K2755" s="439"/>
      <c r="L2755" s="437"/>
      <c r="M2755" s="438"/>
      <c r="N2755" s="439"/>
      <c r="O2755" s="437"/>
      <c r="P2755" s="438"/>
      <c r="Q2755" s="442"/>
      <c r="R2755" s="443"/>
      <c r="S2755" s="364"/>
      <c r="Z2755" s="609" t="s">
        <v>1107</v>
      </c>
      <c r="AA2755" s="609" t="s">
        <v>3598</v>
      </c>
    </row>
    <row r="2756" spans="1:27" ht="18">
      <c r="A2756" s="2714"/>
      <c r="B2756" s="371">
        <v>106</v>
      </c>
      <c r="C2756" s="371" t="s">
        <v>2791</v>
      </c>
      <c r="D2756" s="2716">
        <f t="shared" si="305"/>
        <v>0</v>
      </c>
      <c r="E2756" s="2721">
        <v>1</v>
      </c>
      <c r="F2756" s="293"/>
      <c r="G2756" s="2284" t="s">
        <v>2792</v>
      </c>
      <c r="H2756" s="2275"/>
      <c r="I2756" s="2276"/>
      <c r="J2756" s="438"/>
      <c r="K2756" s="439"/>
      <c r="L2756" s="437"/>
      <c r="M2756" s="438"/>
      <c r="N2756" s="439"/>
      <c r="O2756" s="437"/>
      <c r="P2756" s="438"/>
      <c r="Q2756" s="442"/>
      <c r="R2756" s="443"/>
      <c r="S2756" s="364"/>
      <c r="Z2756" s="609" t="s">
        <v>1107</v>
      </c>
      <c r="AA2756" s="609" t="s">
        <v>3598</v>
      </c>
    </row>
    <row r="2757" spans="1:27" ht="18">
      <c r="A2757" s="2714"/>
      <c r="B2757" s="371">
        <v>107</v>
      </c>
      <c r="C2757" s="371" t="s">
        <v>2791</v>
      </c>
      <c r="D2757" s="2716">
        <f t="shared" si="305"/>
        <v>0</v>
      </c>
      <c r="E2757" s="2721">
        <v>1</v>
      </c>
      <c r="F2757" s="293"/>
      <c r="G2757" s="2284" t="s">
        <v>2792</v>
      </c>
      <c r="H2757" s="2275"/>
      <c r="I2757" s="2276"/>
      <c r="J2757" s="438"/>
      <c r="K2757" s="439"/>
      <c r="L2757" s="437"/>
      <c r="M2757" s="438"/>
      <c r="N2757" s="439"/>
      <c r="O2757" s="437"/>
      <c r="P2757" s="438"/>
      <c r="Q2757" s="442"/>
      <c r="R2757" s="443"/>
      <c r="S2757" s="364"/>
      <c r="Z2757" s="609" t="s">
        <v>1107</v>
      </c>
      <c r="AA2757" s="609" t="s">
        <v>3598</v>
      </c>
    </row>
    <row r="2758" spans="1:27" ht="18">
      <c r="A2758" s="2714"/>
      <c r="B2758" s="371">
        <v>108</v>
      </c>
      <c r="C2758" s="371" t="s">
        <v>2791</v>
      </c>
      <c r="D2758" s="2716">
        <f t="shared" si="305"/>
        <v>0</v>
      </c>
      <c r="E2758" s="2721">
        <v>1</v>
      </c>
      <c r="F2758" s="293"/>
      <c r="G2758" s="2284" t="s">
        <v>2792</v>
      </c>
      <c r="H2758" s="2275"/>
      <c r="I2758" s="2276"/>
      <c r="J2758" s="438"/>
      <c r="K2758" s="439"/>
      <c r="L2758" s="437"/>
      <c r="M2758" s="438"/>
      <c r="N2758" s="439"/>
      <c r="O2758" s="437"/>
      <c r="P2758" s="438"/>
      <c r="Q2758" s="442"/>
      <c r="R2758" s="443"/>
      <c r="S2758" s="364"/>
      <c r="Z2758" s="609" t="s">
        <v>1107</v>
      </c>
      <c r="AA2758" s="609" t="s">
        <v>3598</v>
      </c>
    </row>
    <row r="2759" spans="1:27" ht="18.75" thickBot="1">
      <c r="A2759" s="2714"/>
      <c r="B2759" s="371"/>
      <c r="C2759" s="371"/>
      <c r="D2759" s="2716">
        <f t="shared" si="305"/>
        <v>1</v>
      </c>
      <c r="E2759" s="2721" t="s">
        <v>2751</v>
      </c>
      <c r="F2759" s="293"/>
      <c r="G2759" s="2234" t="s">
        <v>2752</v>
      </c>
      <c r="H2759" s="2235">
        <f>SUMPRODUCT($E2750:$E2758,H2750:H2758)</f>
        <v>0</v>
      </c>
      <c r="I2759" s="2244"/>
      <c r="J2759" s="440"/>
      <c r="K2759" s="439"/>
      <c r="L2759" s="437"/>
      <c r="M2759" s="440"/>
      <c r="N2759" s="439"/>
      <c r="O2759" s="437"/>
      <c r="P2759" s="440"/>
      <c r="Q2759" s="442"/>
      <c r="R2759" s="443"/>
      <c r="S2759" s="364"/>
      <c r="Z2759" s="609" t="s">
        <v>1107</v>
      </c>
      <c r="AA2759" s="609" t="s">
        <v>3598</v>
      </c>
    </row>
    <row r="2760" spans="1:27" ht="18">
      <c r="A2760" s="2714"/>
      <c r="B2760" s="371"/>
      <c r="C2760" s="371" t="s">
        <v>2755</v>
      </c>
      <c r="D2760" s="2716"/>
      <c r="F2760" s="293"/>
      <c r="G2760" s="376"/>
      <c r="H2760" s="315"/>
      <c r="I2760" s="432"/>
      <c r="J2760" s="425"/>
      <c r="K2760" s="426"/>
      <c r="L2760" s="427"/>
      <c r="M2760" s="425"/>
      <c r="N2760" s="426"/>
      <c r="O2760" s="427"/>
      <c r="P2760" s="425"/>
      <c r="Q2760" s="442"/>
      <c r="R2760" s="443"/>
      <c r="S2760" s="364"/>
      <c r="Z2760" s="609" t="s">
        <v>1107</v>
      </c>
      <c r="AA2760" s="609" t="s">
        <v>3598</v>
      </c>
    </row>
    <row r="2761" spans="1:27" ht="24">
      <c r="A2761" s="2714" t="s">
        <v>1136</v>
      </c>
      <c r="B2761" s="371">
        <v>6</v>
      </c>
      <c r="C2761" s="371"/>
      <c r="D2761" s="2716" t="str">
        <f>VLOOKUP($A2761,Sheet_NoteList,2,0)</f>
        <v>未办妥产权证书的固定资产及其累计折旧明细项目</v>
      </c>
      <c r="E2761" s="2716" t="s">
        <v>6531</v>
      </c>
      <c r="F2761" s="294"/>
      <c r="G2761" s="372" t="str">
        <f>"("&amp;B2761&amp;")"&amp;D2761</f>
        <v>(6)未办妥产权证书的固定资产及其累计折旧明细项目</v>
      </c>
      <c r="H2761" s="1517" t="str">
        <f>$A2761</f>
        <v>1601f</v>
      </c>
      <c r="I2761" s="343" t="s">
        <v>5966</v>
      </c>
      <c r="J2761" s="301"/>
      <c r="K2761" s="3083"/>
      <c r="L2761" s="345"/>
      <c r="M2761" s="301"/>
      <c r="N2761" s="3083"/>
      <c r="O2761" s="315"/>
      <c r="P2761" s="301"/>
      <c r="Q2761" s="290" t="str">
        <f>IF($I2761="不适用","",IF(ROUND(SUM($H$2764:$M$2769),2)=0,"请输入",""))</f>
        <v>请输入</v>
      </c>
      <c r="S2761" s="364"/>
      <c r="Z2761" s="609" t="s">
        <v>1107</v>
      </c>
      <c r="AA2761" s="609" t="s">
        <v>3598</v>
      </c>
    </row>
    <row r="2762" spans="1:27" ht="0.75" customHeight="1" thickBot="1">
      <c r="A2762" s="2714"/>
      <c r="B2762" s="371"/>
      <c r="C2762" s="371"/>
      <c r="D2762" s="371"/>
      <c r="E2762" s="586"/>
      <c r="F2762" s="518"/>
      <c r="G2762" s="518" t="s">
        <v>3611</v>
      </c>
      <c r="H2762" s="304" t="s">
        <v>3287</v>
      </c>
      <c r="I2762" s="304" t="s">
        <v>3586</v>
      </c>
      <c r="J2762" s="304" t="s">
        <v>3612</v>
      </c>
      <c r="K2762" s="304" t="s">
        <v>3613</v>
      </c>
      <c r="L2762" s="304" t="s">
        <v>3614</v>
      </c>
      <c r="M2762" s="304" t="s">
        <v>3615</v>
      </c>
      <c r="S2762" s="364"/>
      <c r="Z2762" s="609" t="s">
        <v>1107</v>
      </c>
      <c r="AA2762" s="609" t="s">
        <v>3598</v>
      </c>
    </row>
    <row r="2763" spans="1:27" ht="24">
      <c r="A2763" s="2714"/>
      <c r="B2763" s="371"/>
      <c r="C2763" s="371"/>
      <c r="D2763" s="371"/>
      <c r="E2763" s="586" t="s">
        <v>2749</v>
      </c>
      <c r="F2763" s="363"/>
      <c r="G2763" s="2358" t="s">
        <v>47</v>
      </c>
      <c r="H2763" s="2352" t="s">
        <v>2863</v>
      </c>
      <c r="I2763" s="2352" t="s">
        <v>3616</v>
      </c>
      <c r="J2763" s="2352" t="s">
        <v>3593</v>
      </c>
      <c r="K2763" s="2352" t="s">
        <v>486</v>
      </c>
      <c r="L2763" s="2352" t="s">
        <v>3097</v>
      </c>
      <c r="M2763" s="2351" t="s">
        <v>3617</v>
      </c>
      <c r="N2763" s="355" t="s">
        <v>6176</v>
      </c>
      <c r="S2763" s="364"/>
      <c r="Z2763" s="609" t="s">
        <v>1107</v>
      </c>
      <c r="AA2763" s="609" t="s">
        <v>3598</v>
      </c>
    </row>
    <row r="2764" spans="1:27" ht="18">
      <c r="A2764" s="2714"/>
      <c r="B2764" s="371">
        <v>101</v>
      </c>
      <c r="C2764" s="371" t="s">
        <v>2791</v>
      </c>
      <c r="D2764" s="2716">
        <f t="shared" ref="D2764:D2769" si="306">IF(OR(G2764="*",G2764="",G2764=0),0,COUNTIF($G$2764:$G$2769,G2764))</f>
        <v>0</v>
      </c>
      <c r="E2764" s="2721">
        <v>1</v>
      </c>
      <c r="F2764" s="294"/>
      <c r="G2764" s="2354" t="s">
        <v>2792</v>
      </c>
      <c r="H2764" s="2275"/>
      <c r="I2764" s="2298"/>
      <c r="J2764" s="2275"/>
      <c r="K2764" s="2275"/>
      <c r="L2764" s="2275"/>
      <c r="M2764" s="2276"/>
      <c r="N2764" s="575" t="s">
        <v>6048</v>
      </c>
      <c r="S2764" s="364"/>
      <c r="Z2764" s="609" t="s">
        <v>1107</v>
      </c>
      <c r="AA2764" s="609" t="s">
        <v>3598</v>
      </c>
    </row>
    <row r="2765" spans="1:27" ht="18">
      <c r="A2765" s="2714"/>
      <c r="B2765" s="371">
        <v>102</v>
      </c>
      <c r="C2765" s="371" t="s">
        <v>2791</v>
      </c>
      <c r="D2765" s="2716">
        <f t="shared" si="306"/>
        <v>0</v>
      </c>
      <c r="E2765" s="2721">
        <v>1</v>
      </c>
      <c r="F2765" s="294"/>
      <c r="G2765" s="2354" t="s">
        <v>2792</v>
      </c>
      <c r="H2765" s="2275"/>
      <c r="I2765" s="2298"/>
      <c r="J2765" s="2275"/>
      <c r="K2765" s="2275"/>
      <c r="L2765" s="2275"/>
      <c r="M2765" s="2276"/>
      <c r="S2765" s="364"/>
      <c r="Z2765" s="609" t="s">
        <v>1107</v>
      </c>
      <c r="AA2765" s="609" t="s">
        <v>3598</v>
      </c>
    </row>
    <row r="2766" spans="1:27" ht="18">
      <c r="A2766" s="2714"/>
      <c r="B2766" s="371">
        <v>103</v>
      </c>
      <c r="C2766" s="371" t="s">
        <v>2791</v>
      </c>
      <c r="D2766" s="2716">
        <f t="shared" si="306"/>
        <v>0</v>
      </c>
      <c r="E2766" s="2721">
        <v>1</v>
      </c>
      <c r="F2766" s="294"/>
      <c r="G2766" s="2354" t="s">
        <v>2792</v>
      </c>
      <c r="H2766" s="2275"/>
      <c r="I2766" s="2298"/>
      <c r="J2766" s="2275"/>
      <c r="K2766" s="2275"/>
      <c r="L2766" s="2275"/>
      <c r="M2766" s="2276"/>
      <c r="S2766" s="364"/>
      <c r="Z2766" s="609" t="s">
        <v>1107</v>
      </c>
      <c r="AA2766" s="609" t="s">
        <v>3598</v>
      </c>
    </row>
    <row r="2767" spans="1:27" ht="18">
      <c r="A2767" s="2714"/>
      <c r="B2767" s="371">
        <v>104</v>
      </c>
      <c r="C2767" s="371" t="s">
        <v>2791</v>
      </c>
      <c r="D2767" s="2716">
        <f t="shared" si="306"/>
        <v>0</v>
      </c>
      <c r="E2767" s="2721">
        <v>1</v>
      </c>
      <c r="F2767" s="294"/>
      <c r="G2767" s="2354" t="s">
        <v>2792</v>
      </c>
      <c r="H2767" s="2275"/>
      <c r="I2767" s="2298"/>
      <c r="J2767" s="2275"/>
      <c r="K2767" s="2275"/>
      <c r="L2767" s="2275"/>
      <c r="M2767" s="2276"/>
      <c r="S2767" s="364"/>
      <c r="Z2767" s="609" t="s">
        <v>1107</v>
      </c>
      <c r="AA2767" s="609" t="s">
        <v>3598</v>
      </c>
    </row>
    <row r="2768" spans="1:27" ht="18">
      <c r="A2768" s="2714"/>
      <c r="B2768" s="371">
        <v>105</v>
      </c>
      <c r="C2768" s="371" t="s">
        <v>2791</v>
      </c>
      <c r="D2768" s="2716">
        <f t="shared" si="306"/>
        <v>0</v>
      </c>
      <c r="E2768" s="2721">
        <v>1</v>
      </c>
      <c r="F2768" s="294"/>
      <c r="G2768" s="2354" t="s">
        <v>2792</v>
      </c>
      <c r="H2768" s="2275"/>
      <c r="I2768" s="2298"/>
      <c r="J2768" s="2275"/>
      <c r="K2768" s="2275"/>
      <c r="L2768" s="2275"/>
      <c r="M2768" s="2276"/>
      <c r="S2768" s="364"/>
      <c r="Z2768" s="609" t="s">
        <v>1107</v>
      </c>
      <c r="AA2768" s="609" t="s">
        <v>3598</v>
      </c>
    </row>
    <row r="2769" spans="1:27" ht="18.75" thickBot="1">
      <c r="A2769" s="2714"/>
      <c r="B2769" s="371"/>
      <c r="C2769" s="371"/>
      <c r="D2769" s="2716">
        <f t="shared" si="306"/>
        <v>0</v>
      </c>
      <c r="E2769" s="2721" t="s">
        <v>3595</v>
      </c>
      <c r="F2769" s="294"/>
      <c r="G2769" s="2678"/>
      <c r="H2769" s="2679"/>
      <c r="I2769" s="2316"/>
      <c r="J2769" s="2679"/>
      <c r="K2769" s="2679"/>
      <c r="L2769" s="2679"/>
      <c r="M2769" s="2266"/>
      <c r="S2769" s="364"/>
      <c r="Z2769" s="609" t="s">
        <v>1107</v>
      </c>
      <c r="AA2769" s="609" t="s">
        <v>3598</v>
      </c>
    </row>
    <row r="2770" spans="1:27" ht="18">
      <c r="A2770" s="2714"/>
      <c r="B2770" s="371"/>
      <c r="C2770" s="371" t="s">
        <v>2755</v>
      </c>
      <c r="D2770" s="371"/>
      <c r="F2770" s="294"/>
      <c r="G2770" s="301"/>
      <c r="H2770" s="315"/>
      <c r="I2770" s="393"/>
      <c r="J2770" s="315"/>
      <c r="K2770" s="315"/>
      <c r="L2770" s="315"/>
      <c r="M2770" s="393"/>
      <c r="N2770" s="350"/>
      <c r="S2770" s="364"/>
      <c r="Z2770" s="609" t="s">
        <v>1107</v>
      </c>
      <c r="AA2770" s="609" t="s">
        <v>3598</v>
      </c>
    </row>
    <row r="2771" spans="1:27" ht="18">
      <c r="A2771" s="2714" t="s">
        <v>1156</v>
      </c>
      <c r="B2771" s="371">
        <v>7</v>
      </c>
      <c r="C2771" s="371"/>
      <c r="D2771" s="2716" t="str">
        <f>VLOOKUP($A2771,Sheet_NoteList,2,0)</f>
        <v>固定资产抵押情况</v>
      </c>
      <c r="E2771" s="2716" t="s">
        <v>6531</v>
      </c>
      <c r="F2771" s="294"/>
      <c r="G2771" s="307" t="str">
        <f>"("&amp;B2771&amp;")"&amp;D2771</f>
        <v>(7)固定资产抵押情况</v>
      </c>
      <c r="H2771" s="1517" t="str">
        <f>$A2771</f>
        <v>1601s</v>
      </c>
      <c r="I2771" s="343" t="s">
        <v>5965</v>
      </c>
      <c r="J2771" s="301"/>
      <c r="K2771" s="3083"/>
      <c r="L2771" s="315"/>
      <c r="M2771" s="301"/>
      <c r="N2771" s="3083"/>
      <c r="O2771" s="315"/>
      <c r="P2771" s="301"/>
      <c r="S2771" s="364"/>
      <c r="Z2771" s="609" t="s">
        <v>1107</v>
      </c>
      <c r="AA2771" s="609" t="s">
        <v>3598</v>
      </c>
    </row>
    <row r="2772" spans="1:27" ht="0.75" customHeight="1" thickBot="1">
      <c r="A2772" s="2714"/>
      <c r="B2772" s="371"/>
      <c r="C2772" s="371"/>
      <c r="D2772" s="371"/>
      <c r="E2772" s="586"/>
      <c r="F2772" s="363"/>
      <c r="G2772" s="363" t="s">
        <v>3618</v>
      </c>
      <c r="H2772" s="294" t="s">
        <v>3588</v>
      </c>
      <c r="I2772" s="294" t="s">
        <v>3589</v>
      </c>
      <c r="J2772" s="294" t="s">
        <v>3590</v>
      </c>
      <c r="K2772" s="294" t="s">
        <v>3591</v>
      </c>
      <c r="L2772" s="294" t="s">
        <v>3592</v>
      </c>
      <c r="S2772" s="364"/>
      <c r="Z2772" s="609" t="s">
        <v>1107</v>
      </c>
      <c r="AA2772" s="609" t="s">
        <v>3598</v>
      </c>
    </row>
    <row r="2773" spans="1:27" ht="18">
      <c r="A2773" s="2714"/>
      <c r="B2773" s="371"/>
      <c r="C2773" s="371"/>
      <c r="D2773" s="371"/>
      <c r="E2773" s="586" t="s">
        <v>2749</v>
      </c>
      <c r="F2773" s="363"/>
      <c r="G2773" s="2302" t="s">
        <v>5116</v>
      </c>
      <c r="H2773" s="2300" t="s">
        <v>3593</v>
      </c>
      <c r="I2773" s="2300" t="s">
        <v>486</v>
      </c>
      <c r="J2773" s="2300" t="s">
        <v>3097</v>
      </c>
      <c r="K2773" s="2300" t="s">
        <v>2863</v>
      </c>
      <c r="L2773" s="2301" t="s">
        <v>3594</v>
      </c>
      <c r="M2773" s="355" t="s">
        <v>6176</v>
      </c>
      <c r="S2773" s="364"/>
      <c r="Z2773" s="609" t="s">
        <v>1107</v>
      </c>
      <c r="AA2773" s="609" t="s">
        <v>3598</v>
      </c>
    </row>
    <row r="2774" spans="1:27" ht="18">
      <c r="A2774" s="2714"/>
      <c r="B2774" s="371">
        <v>101</v>
      </c>
      <c r="C2774" s="371" t="s">
        <v>2791</v>
      </c>
      <c r="D2774" s="2716">
        <f t="shared" ref="D2774:D2779" si="307">IF(OR(G2774="*",G2774="",G2774=0),0,COUNTIF($G$2774:$G$2779,G2774))</f>
        <v>0</v>
      </c>
      <c r="E2774" s="2721">
        <v>1</v>
      </c>
      <c r="F2774" s="294"/>
      <c r="G2774" s="2303" t="s">
        <v>2792</v>
      </c>
      <c r="H2774" s="2275"/>
      <c r="I2774" s="2275"/>
      <c r="J2774" s="2275"/>
      <c r="K2774" s="2275"/>
      <c r="L2774" s="2276"/>
      <c r="M2774" s="579"/>
      <c r="S2774" s="364"/>
      <c r="Z2774" s="609" t="s">
        <v>1107</v>
      </c>
      <c r="AA2774" s="609" t="s">
        <v>3598</v>
      </c>
    </row>
    <row r="2775" spans="1:27" ht="18">
      <c r="A2775" s="2714"/>
      <c r="B2775" s="371">
        <v>102</v>
      </c>
      <c r="C2775" s="371" t="s">
        <v>2791</v>
      </c>
      <c r="D2775" s="2716">
        <f t="shared" si="307"/>
        <v>0</v>
      </c>
      <c r="E2775" s="2721">
        <v>1</v>
      </c>
      <c r="F2775" s="294"/>
      <c r="G2775" s="2303" t="s">
        <v>2792</v>
      </c>
      <c r="H2775" s="2275"/>
      <c r="I2775" s="2275"/>
      <c r="J2775" s="2275"/>
      <c r="K2775" s="2275"/>
      <c r="L2775" s="2276"/>
      <c r="S2775" s="364"/>
      <c r="Z2775" s="609" t="s">
        <v>1107</v>
      </c>
      <c r="AA2775" s="609" t="s">
        <v>3598</v>
      </c>
    </row>
    <row r="2776" spans="1:27" ht="18">
      <c r="A2776" s="2714"/>
      <c r="B2776" s="371">
        <v>103</v>
      </c>
      <c r="C2776" s="371" t="s">
        <v>2791</v>
      </c>
      <c r="D2776" s="2716">
        <f t="shared" si="307"/>
        <v>0</v>
      </c>
      <c r="E2776" s="2721">
        <v>1</v>
      </c>
      <c r="F2776" s="294"/>
      <c r="G2776" s="2303" t="s">
        <v>2792</v>
      </c>
      <c r="H2776" s="2275"/>
      <c r="I2776" s="2275"/>
      <c r="J2776" s="2275"/>
      <c r="K2776" s="2275"/>
      <c r="L2776" s="2276"/>
      <c r="S2776" s="364"/>
      <c r="Z2776" s="609" t="s">
        <v>1107</v>
      </c>
      <c r="AA2776" s="609" t="s">
        <v>3598</v>
      </c>
    </row>
    <row r="2777" spans="1:27" ht="18">
      <c r="A2777" s="2714"/>
      <c r="B2777" s="371">
        <v>104</v>
      </c>
      <c r="C2777" s="371" t="s">
        <v>2791</v>
      </c>
      <c r="D2777" s="2716">
        <f t="shared" si="307"/>
        <v>0</v>
      </c>
      <c r="E2777" s="2721">
        <v>1</v>
      </c>
      <c r="F2777" s="294"/>
      <c r="G2777" s="2303" t="s">
        <v>2792</v>
      </c>
      <c r="H2777" s="2275"/>
      <c r="I2777" s="2275"/>
      <c r="J2777" s="2275"/>
      <c r="K2777" s="2275"/>
      <c r="L2777" s="2276"/>
      <c r="S2777" s="364"/>
      <c r="Z2777" s="609" t="s">
        <v>1107</v>
      </c>
      <c r="AA2777" s="609" t="s">
        <v>3598</v>
      </c>
    </row>
    <row r="2778" spans="1:27" ht="18">
      <c r="A2778" s="2714"/>
      <c r="B2778" s="371">
        <v>105</v>
      </c>
      <c r="C2778" s="371" t="s">
        <v>2791</v>
      </c>
      <c r="D2778" s="2716">
        <f t="shared" si="307"/>
        <v>0</v>
      </c>
      <c r="E2778" s="2721">
        <v>1</v>
      </c>
      <c r="F2778" s="294"/>
      <c r="G2778" s="2303" t="s">
        <v>2792</v>
      </c>
      <c r="H2778" s="2275"/>
      <c r="I2778" s="2275"/>
      <c r="J2778" s="2275"/>
      <c r="K2778" s="2275"/>
      <c r="L2778" s="2276"/>
      <c r="S2778" s="364"/>
      <c r="Z2778" s="609" t="s">
        <v>1107</v>
      </c>
      <c r="AA2778" s="609" t="s">
        <v>3598</v>
      </c>
    </row>
    <row r="2779" spans="1:27" ht="18.75" thickBot="1">
      <c r="A2779" s="2714"/>
      <c r="B2779" s="371"/>
      <c r="C2779" s="371"/>
      <c r="D2779" s="2716">
        <f t="shared" si="307"/>
        <v>0</v>
      </c>
      <c r="E2779" s="2721" t="s">
        <v>3595</v>
      </c>
      <c r="F2779" s="294"/>
      <c r="G2779" s="2678"/>
      <c r="H2779" s="2679"/>
      <c r="I2779" s="2679"/>
      <c r="J2779" s="2679"/>
      <c r="K2779" s="2679"/>
      <c r="L2779" s="2266"/>
      <c r="S2779" s="364"/>
      <c r="Z2779" s="609" t="s">
        <v>1107</v>
      </c>
      <c r="AA2779" s="609" t="s">
        <v>3598</v>
      </c>
    </row>
    <row r="2780" spans="1:27" ht="18">
      <c r="A2780" s="2714"/>
      <c r="B2780" s="371"/>
      <c r="C2780" s="371" t="s">
        <v>2755</v>
      </c>
      <c r="D2780" s="371"/>
      <c r="F2780" s="294"/>
      <c r="G2780" s="301"/>
      <c r="H2780" s="315"/>
      <c r="I2780" s="315"/>
      <c r="J2780" s="315"/>
      <c r="K2780" s="315"/>
      <c r="L2780" s="393"/>
      <c r="M2780" s="349"/>
      <c r="S2780" s="364"/>
      <c r="Z2780" s="609" t="s">
        <v>1107</v>
      </c>
      <c r="AA2780" s="609" t="s">
        <v>3598</v>
      </c>
    </row>
    <row r="2781" spans="1:27" ht="24">
      <c r="A2781" s="2714" t="s">
        <v>1162</v>
      </c>
      <c r="B2781" s="371">
        <v>8</v>
      </c>
      <c r="C2781" s="371"/>
      <c r="D2781" s="2716" t="str">
        <f>VLOOKUP($A2781,Sheet_NoteList,2,0)</f>
        <v>固定资产累计折旧补充资料</v>
      </c>
      <c r="E2781" s="2716" t="s">
        <v>6531</v>
      </c>
      <c r="F2781" s="294"/>
      <c r="G2781" s="372" t="str">
        <f>"("&amp;B2781&amp;")"&amp;D2781</f>
        <v>(8)固定资产累计折旧补充资料</v>
      </c>
      <c r="H2781" s="1517" t="str">
        <f>$A2781</f>
        <v>1601x</v>
      </c>
      <c r="I2781" s="343" t="s">
        <v>5966</v>
      </c>
      <c r="J2781" s="301" t="s">
        <v>5971</v>
      </c>
      <c r="K2781" s="2210">
        <f>H2794</f>
        <v>0</v>
      </c>
      <c r="L2781" s="345"/>
      <c r="M2781" s="301"/>
      <c r="N2781" s="3083"/>
      <c r="O2781" s="315"/>
      <c r="P2781" s="301"/>
      <c r="S2781" s="364"/>
      <c r="Z2781" s="609" t="s">
        <v>1107</v>
      </c>
      <c r="AA2781" s="609" t="s">
        <v>3598</v>
      </c>
    </row>
    <row r="2782" spans="1:27" ht="0.75" customHeight="1" thickBot="1">
      <c r="A2782" s="2714"/>
      <c r="B2782" s="371"/>
      <c r="C2782" s="371"/>
      <c r="D2782" s="371"/>
      <c r="E2782" s="586"/>
      <c r="F2782" s="586"/>
      <c r="G2782" s="586" t="s">
        <v>3619</v>
      </c>
      <c r="H2782" s="371" t="s">
        <v>3620</v>
      </c>
      <c r="I2782" s="371" t="s">
        <v>2821</v>
      </c>
      <c r="J2782" s="291"/>
      <c r="K2782" s="291"/>
      <c r="L2782" s="291"/>
      <c r="S2782" s="364"/>
      <c r="Z2782" s="609" t="s">
        <v>1107</v>
      </c>
      <c r="AA2782" s="609" t="s">
        <v>3598</v>
      </c>
    </row>
    <row r="2783" spans="1:27" ht="18">
      <c r="A2783" s="2714"/>
      <c r="B2783" s="371"/>
      <c r="C2783" s="371"/>
      <c r="D2783" s="371"/>
      <c r="E2783" s="586" t="s">
        <v>2749</v>
      </c>
      <c r="F2783" s="363"/>
      <c r="G2783" s="2302" t="s">
        <v>47</v>
      </c>
      <c r="H2783" s="2300" t="s">
        <v>2887</v>
      </c>
      <c r="I2783" s="2301" t="s">
        <v>2508</v>
      </c>
      <c r="J2783" s="355" t="s">
        <v>6176</v>
      </c>
      <c r="K2783" s="291"/>
      <c r="L2783" s="291"/>
      <c r="S2783" s="364"/>
      <c r="Z2783" s="609" t="s">
        <v>1107</v>
      </c>
      <c r="AA2783" s="609" t="s">
        <v>3598</v>
      </c>
    </row>
    <row r="2784" spans="1:27" ht="18">
      <c r="A2784" s="2714"/>
      <c r="B2784" s="371">
        <v>101</v>
      </c>
      <c r="C2784" s="371"/>
      <c r="D2784" s="2716">
        <f t="shared" ref="D2784:D2794" si="308">IF(OR(G2784="*",G2784="",G2784=0),0,COUNTIF($G$2784:$G$2794,G2784))</f>
        <v>1</v>
      </c>
      <c r="E2784" s="2721" t="s">
        <v>41</v>
      </c>
      <c r="F2784" s="294"/>
      <c r="G2784" s="1474" t="s">
        <v>3621</v>
      </c>
      <c r="H2784" s="2275"/>
      <c r="I2784" s="2276"/>
      <c r="J2784" s="579"/>
      <c r="K2784" s="291"/>
      <c r="L2784" s="291"/>
      <c r="S2784" s="364"/>
      <c r="Z2784" s="609" t="s">
        <v>1107</v>
      </c>
      <c r="AA2784" s="609" t="s">
        <v>3598</v>
      </c>
    </row>
    <row r="2785" spans="1:27" ht="18">
      <c r="A2785" s="2714"/>
      <c r="B2785" s="371">
        <v>102</v>
      </c>
      <c r="C2785" s="371"/>
      <c r="D2785" s="2716">
        <f t="shared" si="308"/>
        <v>1</v>
      </c>
      <c r="E2785" s="2721">
        <v>-1</v>
      </c>
      <c r="F2785" s="294"/>
      <c r="G2785" s="1474" t="s">
        <v>3622</v>
      </c>
      <c r="H2785" s="2275"/>
      <c r="I2785" s="2276"/>
      <c r="J2785" s="291"/>
      <c r="K2785" s="291"/>
      <c r="L2785" s="291"/>
      <c r="S2785" s="364"/>
      <c r="Z2785" s="609" t="s">
        <v>1107</v>
      </c>
      <c r="AA2785" s="609" t="s">
        <v>3598</v>
      </c>
    </row>
    <row r="2786" spans="1:27" ht="18">
      <c r="A2786" s="2714"/>
      <c r="B2786" s="371">
        <v>103</v>
      </c>
      <c r="C2786" s="371" t="s">
        <v>2791</v>
      </c>
      <c r="D2786" s="2716">
        <f t="shared" si="308"/>
        <v>1</v>
      </c>
      <c r="E2786" s="2721">
        <v>1</v>
      </c>
      <c r="F2786" s="294"/>
      <c r="G2786" s="578" t="s">
        <v>685</v>
      </c>
      <c r="H2786" s="2275"/>
      <c r="I2786" s="2276"/>
      <c r="J2786" s="291"/>
      <c r="K2786" s="291"/>
      <c r="L2786" s="291"/>
      <c r="S2786" s="364"/>
      <c r="Z2786" s="609" t="s">
        <v>1107</v>
      </c>
      <c r="AA2786" s="609" t="s">
        <v>3598</v>
      </c>
    </row>
    <row r="2787" spans="1:27" ht="18">
      <c r="A2787" s="2714"/>
      <c r="B2787" s="371">
        <v>104</v>
      </c>
      <c r="C2787" s="371" t="s">
        <v>2791</v>
      </c>
      <c r="D2787" s="2716">
        <f t="shared" si="308"/>
        <v>1</v>
      </c>
      <c r="E2787" s="2721">
        <v>1</v>
      </c>
      <c r="F2787" s="294"/>
      <c r="G2787" s="578" t="s">
        <v>680</v>
      </c>
      <c r="H2787" s="2275"/>
      <c r="I2787" s="2276"/>
      <c r="J2787" s="291"/>
      <c r="K2787" s="291"/>
      <c r="L2787" s="291"/>
      <c r="S2787" s="364"/>
      <c r="Z2787" s="609" t="s">
        <v>1107</v>
      </c>
      <c r="AA2787" s="609" t="s">
        <v>3598</v>
      </c>
    </row>
    <row r="2788" spans="1:27" ht="18">
      <c r="A2788" s="2714"/>
      <c r="B2788" s="371">
        <v>105</v>
      </c>
      <c r="C2788" s="371" t="s">
        <v>2791</v>
      </c>
      <c r="D2788" s="2716">
        <f t="shared" si="308"/>
        <v>1</v>
      </c>
      <c r="E2788" s="2721">
        <v>1</v>
      </c>
      <c r="F2788" s="294"/>
      <c r="G2788" s="578" t="s">
        <v>362</v>
      </c>
      <c r="H2788" s="2275"/>
      <c r="I2788" s="2276"/>
      <c r="J2788" s="291"/>
      <c r="K2788" s="291"/>
      <c r="L2788" s="291"/>
      <c r="S2788" s="364"/>
      <c r="Z2788" s="609" t="s">
        <v>1107</v>
      </c>
      <c r="AA2788" s="609" t="s">
        <v>3598</v>
      </c>
    </row>
    <row r="2789" spans="1:27" ht="18">
      <c r="A2789" s="2714"/>
      <c r="B2789" s="371">
        <v>106</v>
      </c>
      <c r="C2789" s="371" t="s">
        <v>2791</v>
      </c>
      <c r="D2789" s="2716">
        <f t="shared" si="308"/>
        <v>1</v>
      </c>
      <c r="E2789" s="2721">
        <v>1</v>
      </c>
      <c r="F2789" s="294"/>
      <c r="G2789" s="578" t="s">
        <v>369</v>
      </c>
      <c r="H2789" s="2275"/>
      <c r="I2789" s="2276"/>
      <c r="J2789" s="291"/>
      <c r="K2789" s="291"/>
      <c r="L2789" s="291"/>
      <c r="S2789" s="364"/>
      <c r="Z2789" s="609" t="s">
        <v>1107</v>
      </c>
      <c r="AA2789" s="609" t="s">
        <v>3598</v>
      </c>
    </row>
    <row r="2790" spans="1:27" ht="18">
      <c r="A2790" s="2714"/>
      <c r="B2790" s="371">
        <v>107</v>
      </c>
      <c r="C2790" s="371" t="s">
        <v>2791</v>
      </c>
      <c r="D2790" s="2716">
        <f t="shared" si="308"/>
        <v>0</v>
      </c>
      <c r="E2790" s="2721">
        <v>1</v>
      </c>
      <c r="F2790" s="294"/>
      <c r="G2790" s="2303" t="s">
        <v>2792</v>
      </c>
      <c r="H2790" s="2275"/>
      <c r="I2790" s="2276"/>
      <c r="J2790" s="291"/>
      <c r="K2790" s="291"/>
      <c r="L2790" s="291"/>
      <c r="S2790" s="364"/>
      <c r="Z2790" s="609" t="s">
        <v>1107</v>
      </c>
      <c r="AA2790" s="609" t="s">
        <v>3598</v>
      </c>
    </row>
    <row r="2791" spans="1:27" ht="18">
      <c r="A2791" s="2714"/>
      <c r="B2791" s="371">
        <v>108</v>
      </c>
      <c r="C2791" s="371" t="s">
        <v>2791</v>
      </c>
      <c r="D2791" s="2716">
        <f t="shared" si="308"/>
        <v>0</v>
      </c>
      <c r="E2791" s="2721">
        <v>1</v>
      </c>
      <c r="F2791" s="294"/>
      <c r="G2791" s="2303" t="s">
        <v>2792</v>
      </c>
      <c r="H2791" s="2275"/>
      <c r="I2791" s="2276"/>
      <c r="J2791" s="291"/>
      <c r="K2791" s="291"/>
      <c r="L2791" s="291"/>
      <c r="S2791" s="364"/>
      <c r="Z2791" s="609" t="s">
        <v>1107</v>
      </c>
      <c r="AA2791" s="609" t="s">
        <v>3598</v>
      </c>
    </row>
    <row r="2792" spans="1:27" ht="18">
      <c r="A2792" s="2714"/>
      <c r="B2792" s="371">
        <v>109</v>
      </c>
      <c r="C2792" s="371" t="s">
        <v>2791</v>
      </c>
      <c r="D2792" s="2716">
        <f t="shared" si="308"/>
        <v>0</v>
      </c>
      <c r="E2792" s="2721">
        <v>1</v>
      </c>
      <c r="F2792" s="294"/>
      <c r="G2792" s="2303" t="s">
        <v>2792</v>
      </c>
      <c r="H2792" s="2275"/>
      <c r="I2792" s="2276"/>
      <c r="J2792" s="291"/>
      <c r="K2792" s="291"/>
      <c r="L2792" s="291"/>
      <c r="S2792" s="364"/>
      <c r="Z2792" s="609" t="s">
        <v>1107</v>
      </c>
      <c r="AA2792" s="609" t="s">
        <v>3598</v>
      </c>
    </row>
    <row r="2793" spans="1:27" ht="18">
      <c r="A2793" s="2714"/>
      <c r="B2793" s="371">
        <v>110</v>
      </c>
      <c r="C2793" s="371" t="s">
        <v>2791</v>
      </c>
      <c r="D2793" s="2716">
        <f t="shared" si="308"/>
        <v>0</v>
      </c>
      <c r="E2793" s="2721">
        <v>1</v>
      </c>
      <c r="F2793" s="294"/>
      <c r="G2793" s="2303" t="s">
        <v>2792</v>
      </c>
      <c r="H2793" s="2275"/>
      <c r="I2793" s="2276"/>
      <c r="J2793" s="291"/>
      <c r="K2793" s="291"/>
      <c r="L2793" s="291"/>
      <c r="S2793" s="364"/>
      <c r="Z2793" s="609" t="s">
        <v>1107</v>
      </c>
      <c r="AA2793" s="609" t="s">
        <v>3598</v>
      </c>
    </row>
    <row r="2794" spans="1:27" ht="18.75" thickBot="1">
      <c r="A2794" s="2714"/>
      <c r="B2794" s="371"/>
      <c r="C2794" s="371"/>
      <c r="D2794" s="2716">
        <f t="shared" si="308"/>
        <v>1</v>
      </c>
      <c r="E2794" s="2721" t="s">
        <v>3032</v>
      </c>
      <c r="F2794" s="294"/>
      <c r="G2794" s="1529" t="s">
        <v>2752</v>
      </c>
      <c r="H2794" s="1527">
        <f>SUMPRODUCT($E2783:$E2793,H2783:H2793)</f>
        <v>0</v>
      </c>
      <c r="I2794" s="2266"/>
      <c r="J2794" s="291"/>
      <c r="K2794" s="291"/>
      <c r="L2794" s="291"/>
      <c r="S2794" s="364"/>
      <c r="Z2794" s="609" t="s">
        <v>1107</v>
      </c>
      <c r="AA2794" s="609" t="s">
        <v>3598</v>
      </c>
    </row>
    <row r="2795" spans="1:27" ht="18">
      <c r="A2795" s="2714"/>
      <c r="B2795" s="371"/>
      <c r="C2795" s="371" t="s">
        <v>2755</v>
      </c>
      <c r="D2795" s="371"/>
      <c r="F2795" s="294"/>
      <c r="G2795" s="301"/>
      <c r="H2795" s="315"/>
      <c r="I2795" s="393"/>
      <c r="J2795" s="291"/>
      <c r="K2795" s="291"/>
      <c r="L2795" s="291"/>
      <c r="S2795" s="364"/>
      <c r="Z2795" s="609" t="s">
        <v>1107</v>
      </c>
      <c r="AA2795" s="609" t="s">
        <v>3598</v>
      </c>
    </row>
    <row r="2796" spans="1:27" ht="18">
      <c r="A2796" s="2714">
        <v>1606</v>
      </c>
      <c r="B2796" s="371">
        <v>23.2</v>
      </c>
      <c r="C2796" s="2716" t="str">
        <f>VLOOKUP($A2796,Sheet_Items,2,0)</f>
        <v>固定资产清理</v>
      </c>
      <c r="D2796" s="371"/>
      <c r="E2796" s="2716" t="s">
        <v>2739</v>
      </c>
      <c r="F2796" s="294"/>
      <c r="G2796" s="305" t="str">
        <f>B2796&amp;" "&amp;C2796</f>
        <v>23.2 固定资产清理</v>
      </c>
      <c r="H2796" s="306"/>
      <c r="I2796" s="306"/>
      <c r="J2796" s="306" t="s">
        <v>2740</v>
      </c>
      <c r="K2796" s="341">
        <f>VLOOKUP($A2796,Sheet_Trialbal,6,0)</f>
        <v>0</v>
      </c>
      <c r="L2796" s="342"/>
      <c r="M2796" s="306" t="s">
        <v>2741</v>
      </c>
      <c r="N2796" s="341">
        <f>VLOOKUP($A2796,Sheet_Trialbal,10,0)</f>
        <v>0</v>
      </c>
      <c r="O2796" s="306"/>
      <c r="P2796" s="301"/>
      <c r="S2796" s="364"/>
      <c r="Z2796" s="609" t="s">
        <v>1167</v>
      </c>
      <c r="AA2796" s="609" t="s">
        <v>3636</v>
      </c>
    </row>
    <row r="2797" spans="1:27" ht="18">
      <c r="A2797" s="2714" t="s">
        <v>1165</v>
      </c>
      <c r="B2797" s="371">
        <v>1</v>
      </c>
      <c r="C2797" s="371"/>
      <c r="D2797" s="2716" t="str">
        <f>VLOOKUP($A2797,Sheet_NoteList,2,0)</f>
        <v>固定资产清理明细项目</v>
      </c>
      <c r="E2797" s="2716" t="s">
        <v>2742</v>
      </c>
      <c r="F2797" s="293"/>
      <c r="G2797" s="372" t="str">
        <f>"("&amp;B2797&amp;")"&amp;D2797</f>
        <v>(1)固定资产清理明细项目</v>
      </c>
      <c r="H2797" s="1517" t="str">
        <f>$A2797</f>
        <v>1606b</v>
      </c>
      <c r="I2797" s="343" t="s">
        <v>2743</v>
      </c>
      <c r="J2797" s="301" t="s">
        <v>2744</v>
      </c>
      <c r="K2797" s="2210">
        <f>H2808</f>
        <v>0</v>
      </c>
      <c r="L2797" s="349" t="str">
        <f>IF($I2797="适用",IF(ROUND(K$2796-K2797,2)=0,"F/S",ROUND(K$2796-K2797,2)),"#N/A")</f>
        <v>F/S</v>
      </c>
      <c r="M2797" s="301" t="s">
        <v>2745</v>
      </c>
      <c r="N2797" s="2210">
        <f>I2808</f>
        <v>0</v>
      </c>
      <c r="O2797" s="349" t="str">
        <f>IF($I2797="适用",IF(ROUND(N$2796-N2797,2)=0,"F/S",ROUND(N$2796-N2797,2)),"#N/A")</f>
        <v>F/S</v>
      </c>
      <c r="P2797" s="301"/>
      <c r="S2797" s="364"/>
      <c r="Z2797" s="609" t="s">
        <v>1167</v>
      </c>
      <c r="AA2797" s="609" t="s">
        <v>3636</v>
      </c>
    </row>
    <row r="2798" spans="1:27" ht="0.75" customHeight="1" thickBot="1">
      <c r="A2798" s="2714"/>
      <c r="B2798" s="371"/>
      <c r="C2798" s="371"/>
      <c r="D2798" s="2716"/>
      <c r="F2798" s="371"/>
      <c r="G2798" s="405" t="s">
        <v>3637</v>
      </c>
      <c r="H2798" s="371" t="s">
        <v>2747</v>
      </c>
      <c r="I2798" s="371" t="s">
        <v>2748</v>
      </c>
      <c r="J2798" s="433"/>
      <c r="K2798" s="428"/>
      <c r="L2798" s="428"/>
      <c r="M2798" s="433"/>
      <c r="N2798" s="428"/>
      <c r="O2798" s="428"/>
      <c r="P2798" s="433"/>
      <c r="Q2798" s="442"/>
      <c r="R2798" s="443"/>
      <c r="S2798" s="364"/>
      <c r="Z2798" s="609" t="s">
        <v>1167</v>
      </c>
      <c r="AA2798" s="609" t="s">
        <v>3636</v>
      </c>
    </row>
    <row r="2799" spans="1:27" ht="18">
      <c r="A2799" s="2714"/>
      <c r="B2799" s="371"/>
      <c r="C2799" s="371"/>
      <c r="D2799" s="2716"/>
      <c r="E2799" s="2716" t="s">
        <v>2749</v>
      </c>
      <c r="F2799" s="293"/>
      <c r="G2799" s="373" t="s">
        <v>47</v>
      </c>
      <c r="H2799" s="1454" t="str">
        <f>$V$2</f>
        <v>2019年12月31日</v>
      </c>
      <c r="I2799" s="1455" t="str">
        <f>$V$3</f>
        <v>2018年12月31日</v>
      </c>
      <c r="J2799" s="355" t="s">
        <v>5288</v>
      </c>
      <c r="K2799" s="434"/>
      <c r="L2799" s="434"/>
      <c r="M2799" s="435"/>
      <c r="N2799" s="434"/>
      <c r="O2799" s="434"/>
      <c r="P2799" s="435"/>
      <c r="Q2799" s="442"/>
      <c r="R2799" s="443"/>
      <c r="S2799" s="364"/>
      <c r="Z2799" s="609" t="s">
        <v>1167</v>
      </c>
      <c r="AA2799" s="609" t="s">
        <v>3636</v>
      </c>
    </row>
    <row r="2800" spans="1:27" ht="18">
      <c r="A2800" s="2714"/>
      <c r="B2800" s="371">
        <v>101</v>
      </c>
      <c r="C2800" s="371" t="s">
        <v>2791</v>
      </c>
      <c r="D2800" s="2716">
        <f t="shared" ref="D2800:D2808" si="309">IF(OR(G2800="*",G2800="",G2800=0),0,COUNTIF($G$2800:$G$2808,G2800))</f>
        <v>0</v>
      </c>
      <c r="E2800" s="2721">
        <v>1</v>
      </c>
      <c r="F2800" s="293"/>
      <c r="G2800" s="319" t="s">
        <v>2792</v>
      </c>
      <c r="H2800" s="309"/>
      <c r="I2800" s="394"/>
      <c r="J2800" s="438"/>
      <c r="K2800" s="439"/>
      <c r="L2800" s="437"/>
      <c r="M2800" s="438"/>
      <c r="N2800" s="439"/>
      <c r="O2800" s="437"/>
      <c r="P2800" s="438"/>
      <c r="Q2800" s="442"/>
      <c r="R2800" s="443"/>
      <c r="S2800" s="364"/>
      <c r="Z2800" s="609" t="s">
        <v>1167</v>
      </c>
      <c r="AA2800" s="609" t="s">
        <v>3636</v>
      </c>
    </row>
    <row r="2801" spans="1:29" ht="18">
      <c r="A2801" s="2714"/>
      <c r="B2801" s="371">
        <v>102</v>
      </c>
      <c r="C2801" s="371" t="s">
        <v>2791</v>
      </c>
      <c r="D2801" s="2716">
        <f t="shared" si="309"/>
        <v>0</v>
      </c>
      <c r="E2801" s="2721">
        <v>1</v>
      </c>
      <c r="F2801" s="293"/>
      <c r="G2801" s="319" t="s">
        <v>2792</v>
      </c>
      <c r="H2801" s="309"/>
      <c r="I2801" s="394"/>
      <c r="J2801" s="438"/>
      <c r="K2801" s="439"/>
      <c r="L2801" s="437"/>
      <c r="M2801" s="438"/>
      <c r="N2801" s="439"/>
      <c r="O2801" s="437"/>
      <c r="P2801" s="438"/>
      <c r="Q2801" s="442"/>
      <c r="R2801" s="443"/>
      <c r="S2801" s="364"/>
      <c r="Z2801" s="609" t="s">
        <v>1167</v>
      </c>
      <c r="AA2801" s="609" t="s">
        <v>3636</v>
      </c>
    </row>
    <row r="2802" spans="1:29" ht="18">
      <c r="A2802" s="2714"/>
      <c r="B2802" s="371">
        <v>103</v>
      </c>
      <c r="C2802" s="371" t="s">
        <v>2791</v>
      </c>
      <c r="D2802" s="2716">
        <f t="shared" si="309"/>
        <v>0</v>
      </c>
      <c r="E2802" s="2721">
        <v>1</v>
      </c>
      <c r="F2802" s="293"/>
      <c r="G2802" s="319" t="s">
        <v>2792</v>
      </c>
      <c r="H2802" s="309"/>
      <c r="I2802" s="394"/>
      <c r="J2802" s="438"/>
      <c r="K2802" s="439"/>
      <c r="L2802" s="437"/>
      <c r="M2802" s="438"/>
      <c r="N2802" s="439"/>
      <c r="O2802" s="437"/>
      <c r="P2802" s="438"/>
      <c r="Q2802" s="442"/>
      <c r="R2802" s="443"/>
      <c r="S2802" s="364"/>
      <c r="Z2802" s="609" t="s">
        <v>1167</v>
      </c>
      <c r="AA2802" s="609" t="s">
        <v>3636</v>
      </c>
    </row>
    <row r="2803" spans="1:29" ht="18">
      <c r="A2803" s="2714"/>
      <c r="B2803" s="371">
        <v>104</v>
      </c>
      <c r="C2803" s="371" t="s">
        <v>2791</v>
      </c>
      <c r="D2803" s="2716">
        <f t="shared" si="309"/>
        <v>0</v>
      </c>
      <c r="E2803" s="2721">
        <v>1</v>
      </c>
      <c r="F2803" s="293"/>
      <c r="G2803" s="319" t="s">
        <v>2792</v>
      </c>
      <c r="H2803" s="309"/>
      <c r="I2803" s="394"/>
      <c r="J2803" s="438"/>
      <c r="K2803" s="439"/>
      <c r="L2803" s="437"/>
      <c r="M2803" s="438"/>
      <c r="N2803" s="439"/>
      <c r="O2803" s="437"/>
      <c r="P2803" s="438"/>
      <c r="Q2803" s="442"/>
      <c r="R2803" s="443"/>
      <c r="S2803" s="364"/>
      <c r="Z2803" s="609" t="s">
        <v>1167</v>
      </c>
      <c r="AA2803" s="609" t="s">
        <v>3636</v>
      </c>
    </row>
    <row r="2804" spans="1:29" ht="18">
      <c r="A2804" s="2714"/>
      <c r="B2804" s="371">
        <v>105</v>
      </c>
      <c r="C2804" s="371" t="s">
        <v>2791</v>
      </c>
      <c r="D2804" s="2716">
        <f t="shared" si="309"/>
        <v>0</v>
      </c>
      <c r="E2804" s="2721">
        <v>1</v>
      </c>
      <c r="F2804" s="293"/>
      <c r="G2804" s="319" t="s">
        <v>2792</v>
      </c>
      <c r="H2804" s="309"/>
      <c r="I2804" s="394"/>
      <c r="J2804" s="438"/>
      <c r="K2804" s="439"/>
      <c r="L2804" s="437"/>
      <c r="M2804" s="438"/>
      <c r="N2804" s="439"/>
      <c r="O2804" s="437"/>
      <c r="P2804" s="438"/>
      <c r="Q2804" s="442"/>
      <c r="R2804" s="443"/>
      <c r="S2804" s="364"/>
      <c r="Z2804" s="609" t="s">
        <v>1167</v>
      </c>
      <c r="AA2804" s="609" t="s">
        <v>3636</v>
      </c>
    </row>
    <row r="2805" spans="1:29" ht="18">
      <c r="A2805" s="2714"/>
      <c r="B2805" s="371">
        <v>106</v>
      </c>
      <c r="C2805" s="371" t="s">
        <v>2791</v>
      </c>
      <c r="D2805" s="2716">
        <f t="shared" si="309"/>
        <v>0</v>
      </c>
      <c r="E2805" s="2721">
        <v>1</v>
      </c>
      <c r="F2805" s="293"/>
      <c r="G2805" s="319" t="s">
        <v>2792</v>
      </c>
      <c r="H2805" s="309"/>
      <c r="I2805" s="394"/>
      <c r="J2805" s="438"/>
      <c r="K2805" s="439"/>
      <c r="L2805" s="437"/>
      <c r="M2805" s="438"/>
      <c r="N2805" s="439"/>
      <c r="O2805" s="437"/>
      <c r="P2805" s="438"/>
      <c r="Q2805" s="442"/>
      <c r="R2805" s="443"/>
      <c r="S2805" s="364"/>
      <c r="Z2805" s="609" t="s">
        <v>1167</v>
      </c>
      <c r="AA2805" s="609" t="s">
        <v>3636</v>
      </c>
    </row>
    <row r="2806" spans="1:29" ht="18">
      <c r="A2806" s="2714"/>
      <c r="B2806" s="371">
        <v>107</v>
      </c>
      <c r="C2806" s="371" t="s">
        <v>2791</v>
      </c>
      <c r="D2806" s="2716">
        <f t="shared" si="309"/>
        <v>0</v>
      </c>
      <c r="E2806" s="2721">
        <v>1</v>
      </c>
      <c r="F2806" s="293"/>
      <c r="G2806" s="319" t="s">
        <v>2792</v>
      </c>
      <c r="H2806" s="309"/>
      <c r="I2806" s="394"/>
      <c r="J2806" s="438"/>
      <c r="K2806" s="439"/>
      <c r="L2806" s="437"/>
      <c r="M2806" s="438"/>
      <c r="N2806" s="439"/>
      <c r="O2806" s="437"/>
      <c r="P2806" s="438"/>
      <c r="Q2806" s="442"/>
      <c r="R2806" s="443"/>
      <c r="S2806" s="364"/>
      <c r="Z2806" s="609" t="s">
        <v>1167</v>
      </c>
      <c r="AA2806" s="609" t="s">
        <v>3636</v>
      </c>
    </row>
    <row r="2807" spans="1:29" ht="18">
      <c r="A2807" s="2714"/>
      <c r="B2807" s="371">
        <v>108</v>
      </c>
      <c r="C2807" s="371" t="s">
        <v>2791</v>
      </c>
      <c r="D2807" s="2716">
        <f t="shared" si="309"/>
        <v>0</v>
      </c>
      <c r="E2807" s="2721">
        <v>1</v>
      </c>
      <c r="F2807" s="293"/>
      <c r="G2807" s="319" t="s">
        <v>2792</v>
      </c>
      <c r="H2807" s="309"/>
      <c r="I2807" s="394"/>
      <c r="J2807" s="438"/>
      <c r="K2807" s="439"/>
      <c r="L2807" s="437"/>
      <c r="M2807" s="438"/>
      <c r="N2807" s="439"/>
      <c r="O2807" s="437"/>
      <c r="P2807" s="438"/>
      <c r="Q2807" s="442"/>
      <c r="R2807" s="443"/>
      <c r="S2807" s="364"/>
      <c r="Z2807" s="609" t="s">
        <v>1167</v>
      </c>
      <c r="AA2807" s="609" t="s">
        <v>3636</v>
      </c>
    </row>
    <row r="2808" spans="1:29" ht="18.75" thickBot="1">
      <c r="A2808" s="2714"/>
      <c r="B2808" s="371"/>
      <c r="C2808" s="371"/>
      <c r="D2808" s="2716">
        <f t="shared" si="309"/>
        <v>1</v>
      </c>
      <c r="E2808" s="2721" t="s">
        <v>2751</v>
      </c>
      <c r="F2808" s="293"/>
      <c r="G2808" s="374" t="s">
        <v>2752</v>
      </c>
      <c r="H2808" s="375">
        <f>SUMPRODUCT($E2799:$E2807,H2799:H2807)</f>
        <v>0</v>
      </c>
      <c r="I2808" s="395">
        <f>SUMPRODUCT($E2799:$E2807,I2799:I2807)</f>
        <v>0</v>
      </c>
      <c r="J2808" s="1597" t="str">
        <f ca="1">HYPERLINK("#'"&amp;$G$1&amp;"'!"&amp;ADDRESS(ROW(Notes!K2643),COLUMN(Notes!K2643),4),"* 请勿删除此行！点击往勾稽单元格，F5+Enter返回")</f>
        <v>* 请勿删除此行！点击往勾稽单元格，F5+Enter返回</v>
      </c>
      <c r="K2808" s="439"/>
      <c r="L2808" s="437"/>
      <c r="M2808" s="440"/>
      <c r="N2808" s="439"/>
      <c r="O2808" s="437"/>
      <c r="P2808" s="440"/>
      <c r="Q2808" s="442"/>
      <c r="R2808" s="443"/>
      <c r="S2808" s="364"/>
      <c r="Z2808" s="609" t="s">
        <v>1167</v>
      </c>
      <c r="AA2808" s="609" t="s">
        <v>3636</v>
      </c>
      <c r="AC2808" s="369" t="s">
        <v>6573</v>
      </c>
    </row>
    <row r="2809" spans="1:29" ht="18">
      <c r="A2809" s="2714"/>
      <c r="B2809" s="371"/>
      <c r="C2809" s="371" t="s">
        <v>2755</v>
      </c>
      <c r="D2809" s="2716"/>
      <c r="F2809" s="293"/>
      <c r="G2809" s="376"/>
      <c r="H2809" s="315"/>
      <c r="I2809" s="396"/>
      <c r="J2809" s="425"/>
      <c r="K2809" s="426"/>
      <c r="L2809" s="427"/>
      <c r="M2809" s="425"/>
      <c r="N2809" s="426"/>
      <c r="O2809" s="427"/>
      <c r="P2809" s="425"/>
      <c r="Q2809" s="442"/>
      <c r="R2809" s="443"/>
      <c r="S2809" s="364"/>
      <c r="Z2809" s="609" t="s">
        <v>1167</v>
      </c>
      <c r="AA2809" s="609" t="s">
        <v>3636</v>
      </c>
    </row>
    <row r="2810" spans="1:29" ht="18">
      <c r="A2810" s="2714" t="s">
        <v>1170</v>
      </c>
      <c r="B2810" s="371">
        <v>2</v>
      </c>
      <c r="C2810" s="371"/>
      <c r="D2810" s="2716" t="str">
        <f>VLOOKUP($A2810,Sheet_NoteList,2,0)</f>
        <v>固定资产清理补充资料</v>
      </c>
      <c r="E2810" s="2716" t="s">
        <v>6531</v>
      </c>
      <c r="F2810" s="294"/>
      <c r="G2810" s="372" t="str">
        <f>"("&amp;B2810&amp;")"&amp;D2810</f>
        <v>(2)固定资产清理补充资料</v>
      </c>
      <c r="H2810" s="1517" t="str">
        <f>$A2810</f>
        <v>1606a</v>
      </c>
      <c r="I2810" s="343" t="s">
        <v>5966</v>
      </c>
      <c r="J2810" s="301" t="s">
        <v>5973</v>
      </c>
      <c r="K2810" s="2210">
        <f>H2818</f>
        <v>0</v>
      </c>
      <c r="L2810" s="345" t="str">
        <f>IF($I2810="适用",IF(ROUND(K2796-K2810,2)=0,"F/S",ROUND(K2796-K2810,2)),"#N/A")</f>
        <v>F/S</v>
      </c>
      <c r="M2810" s="301" t="s">
        <v>5967</v>
      </c>
      <c r="N2810" s="2210">
        <f>I2818</f>
        <v>0</v>
      </c>
      <c r="O2810" s="345" t="str">
        <f>IF($I2810="适用",IF(ROUND(N2796-N2810,2)=0,"F/S",ROUND(N2796-N2810,2)),"#N/A")</f>
        <v>F/S</v>
      </c>
      <c r="P2810" s="301"/>
      <c r="Q2810" s="290" t="str">
        <f>IF($I2810="不适用","",IF(ROUND(SUM($H$2813:$J$2818),2)=0,"请输入",""))</f>
        <v>请输入</v>
      </c>
      <c r="S2810" s="364"/>
      <c r="Z2810" s="609" t="s">
        <v>1167</v>
      </c>
      <c r="AA2810" s="609" t="s">
        <v>3636</v>
      </c>
    </row>
    <row r="2811" spans="1:29" ht="0.75" customHeight="1" thickBot="1">
      <c r="A2811" s="2714"/>
      <c r="B2811" s="371"/>
      <c r="C2811" s="371"/>
      <c r="D2811" s="371"/>
      <c r="E2811" s="586"/>
      <c r="F2811" s="586"/>
      <c r="G2811" s="586" t="s">
        <v>3638</v>
      </c>
      <c r="H2811" s="371" t="s">
        <v>6234</v>
      </c>
      <c r="I2811" s="371" t="s">
        <v>6235</v>
      </c>
      <c r="J2811" s="371" t="s">
        <v>6236</v>
      </c>
      <c r="K2811" s="371" t="s">
        <v>6237</v>
      </c>
      <c r="L2811" s="371" t="s">
        <v>6238</v>
      </c>
      <c r="M2811" s="291"/>
      <c r="N2811" s="291"/>
      <c r="S2811" s="364"/>
      <c r="Z2811" s="609" t="s">
        <v>1167</v>
      </c>
      <c r="AA2811" s="609" t="s">
        <v>3636</v>
      </c>
    </row>
    <row r="2812" spans="1:29" ht="24">
      <c r="A2812" s="2714"/>
      <c r="B2812" s="371"/>
      <c r="C2812" s="371"/>
      <c r="D2812" s="371"/>
      <c r="E2812" s="586" t="s">
        <v>2749</v>
      </c>
      <c r="F2812" s="363"/>
      <c r="G2812" s="2358" t="s">
        <v>47</v>
      </c>
      <c r="H2812" s="2352" t="s">
        <v>2775</v>
      </c>
      <c r="I2812" s="2352" t="s">
        <v>2776</v>
      </c>
      <c r="J2812" s="2352" t="s">
        <v>3639</v>
      </c>
      <c r="K2812" s="2352" t="s">
        <v>6049</v>
      </c>
      <c r="L2812" s="2351" t="s">
        <v>6050</v>
      </c>
      <c r="M2812" s="355" t="s">
        <v>6176</v>
      </c>
      <c r="N2812" s="291"/>
      <c r="S2812" s="364"/>
      <c r="Z2812" s="609" t="s">
        <v>1167</v>
      </c>
      <c r="AA2812" s="609" t="s">
        <v>3636</v>
      </c>
    </row>
    <row r="2813" spans="1:29" ht="18">
      <c r="A2813" s="2714"/>
      <c r="B2813" s="371">
        <v>101</v>
      </c>
      <c r="C2813" s="371" t="s">
        <v>2791</v>
      </c>
      <c r="D2813" s="2716">
        <f t="shared" ref="D2813:D2818" si="310">IF(OR(G2813="*",G2813="",G2813=0),0,COUNTIF($G$2813:$G$2818,G2813))</f>
        <v>0</v>
      </c>
      <c r="E2813" s="2721">
        <v>1</v>
      </c>
      <c r="F2813" s="294"/>
      <c r="G2813" s="2354" t="s">
        <v>2792</v>
      </c>
      <c r="H2813" s="2275"/>
      <c r="I2813" s="2275"/>
      <c r="J2813" s="2298"/>
      <c r="K2813" s="2298"/>
      <c r="L2813" s="2276"/>
      <c r="M2813" s="291"/>
      <c r="N2813" s="291"/>
      <c r="S2813" s="364"/>
      <c r="Z2813" s="609" t="s">
        <v>1167</v>
      </c>
      <c r="AA2813" s="609" t="s">
        <v>3636</v>
      </c>
    </row>
    <row r="2814" spans="1:29" ht="18">
      <c r="A2814" s="2714"/>
      <c r="B2814" s="371">
        <v>102</v>
      </c>
      <c r="C2814" s="371" t="s">
        <v>2791</v>
      </c>
      <c r="D2814" s="2716">
        <f t="shared" si="310"/>
        <v>0</v>
      </c>
      <c r="E2814" s="2721">
        <v>1</v>
      </c>
      <c r="F2814" s="294"/>
      <c r="G2814" s="2354" t="s">
        <v>2792</v>
      </c>
      <c r="H2814" s="2275"/>
      <c r="I2814" s="2275"/>
      <c r="J2814" s="2298"/>
      <c r="K2814" s="2298"/>
      <c r="L2814" s="2276"/>
      <c r="M2814" s="291"/>
      <c r="N2814" s="291"/>
      <c r="S2814" s="364"/>
      <c r="Z2814" s="609" t="s">
        <v>1167</v>
      </c>
      <c r="AA2814" s="609" t="s">
        <v>3636</v>
      </c>
    </row>
    <row r="2815" spans="1:29" ht="18">
      <c r="A2815" s="2714"/>
      <c r="B2815" s="371">
        <v>103</v>
      </c>
      <c r="C2815" s="371" t="s">
        <v>2791</v>
      </c>
      <c r="D2815" s="2716">
        <f t="shared" si="310"/>
        <v>0</v>
      </c>
      <c r="E2815" s="2721">
        <v>1</v>
      </c>
      <c r="F2815" s="294"/>
      <c r="G2815" s="2354" t="s">
        <v>2792</v>
      </c>
      <c r="H2815" s="2275"/>
      <c r="I2815" s="2275"/>
      <c r="J2815" s="2298"/>
      <c r="K2815" s="2298"/>
      <c r="L2815" s="2276"/>
      <c r="M2815" s="291"/>
      <c r="N2815" s="291"/>
      <c r="S2815" s="364"/>
      <c r="Z2815" s="609" t="s">
        <v>1167</v>
      </c>
      <c r="AA2815" s="609" t="s">
        <v>3636</v>
      </c>
    </row>
    <row r="2816" spans="1:29" ht="18">
      <c r="A2816" s="2714"/>
      <c r="B2816" s="371">
        <v>104</v>
      </c>
      <c r="C2816" s="371" t="s">
        <v>2791</v>
      </c>
      <c r="D2816" s="2716">
        <f t="shared" si="310"/>
        <v>0</v>
      </c>
      <c r="E2816" s="2721">
        <v>1</v>
      </c>
      <c r="F2816" s="294"/>
      <c r="G2816" s="2354" t="s">
        <v>2792</v>
      </c>
      <c r="H2816" s="2275"/>
      <c r="I2816" s="2275"/>
      <c r="J2816" s="2298"/>
      <c r="K2816" s="2298"/>
      <c r="L2816" s="2276"/>
      <c r="M2816" s="291"/>
      <c r="N2816" s="291"/>
      <c r="S2816" s="364"/>
      <c r="Z2816" s="609" t="s">
        <v>1167</v>
      </c>
      <c r="AA2816" s="609" t="s">
        <v>3636</v>
      </c>
    </row>
    <row r="2817" spans="1:27" ht="18">
      <c r="A2817" s="2714"/>
      <c r="B2817" s="371">
        <v>105</v>
      </c>
      <c r="C2817" s="371" t="s">
        <v>2791</v>
      </c>
      <c r="D2817" s="2716">
        <f t="shared" si="310"/>
        <v>0</v>
      </c>
      <c r="E2817" s="2721">
        <v>1</v>
      </c>
      <c r="F2817" s="294"/>
      <c r="G2817" s="2354" t="s">
        <v>2792</v>
      </c>
      <c r="H2817" s="2275"/>
      <c r="I2817" s="2275"/>
      <c r="J2817" s="2298"/>
      <c r="K2817" s="2298"/>
      <c r="L2817" s="2276"/>
      <c r="M2817" s="291"/>
      <c r="N2817" s="291"/>
      <c r="S2817" s="364"/>
      <c r="Z2817" s="609" t="s">
        <v>1167</v>
      </c>
      <c r="AA2817" s="609" t="s">
        <v>3636</v>
      </c>
    </row>
    <row r="2818" spans="1:27" ht="18.75" thickBot="1">
      <c r="A2818" s="2714"/>
      <c r="B2818" s="371"/>
      <c r="C2818" s="371"/>
      <c r="D2818" s="2716">
        <f t="shared" si="310"/>
        <v>1</v>
      </c>
      <c r="E2818" s="2721" t="s">
        <v>2751</v>
      </c>
      <c r="F2818" s="294"/>
      <c r="G2818" s="1529" t="s">
        <v>2752</v>
      </c>
      <c r="H2818" s="1527">
        <f>SUMPRODUCT($E2812:$E2817,H2812:H2817)</f>
        <v>0</v>
      </c>
      <c r="I2818" s="1527">
        <f>SUMPRODUCT($E2812:$E2817,I2812:I2817)</f>
        <v>0</v>
      </c>
      <c r="J2818" s="2316"/>
      <c r="K2818" s="2316"/>
      <c r="L2818" s="2266"/>
      <c r="M2818" s="291"/>
      <c r="N2818" s="291"/>
      <c r="S2818" s="364"/>
      <c r="Z2818" s="609" t="s">
        <v>1167</v>
      </c>
      <c r="AA2818" s="609" t="s">
        <v>3636</v>
      </c>
    </row>
    <row r="2819" spans="1:27" ht="18">
      <c r="A2819" s="2714"/>
      <c r="B2819" s="371"/>
      <c r="C2819" s="371" t="s">
        <v>2755</v>
      </c>
      <c r="D2819" s="371"/>
      <c r="F2819" s="294"/>
      <c r="G2819" s="301"/>
      <c r="H2819" s="315"/>
      <c r="I2819" s="315"/>
      <c r="J2819" s="393"/>
      <c r="K2819" s="393"/>
      <c r="L2819" s="393"/>
      <c r="M2819" s="291"/>
      <c r="N2819" s="291"/>
      <c r="S2819" s="364"/>
      <c r="Z2819" s="609" t="s">
        <v>1167</v>
      </c>
      <c r="AA2819" s="609" t="s">
        <v>3636</v>
      </c>
    </row>
    <row r="2820" spans="1:27" ht="17.25">
      <c r="A2820" s="2715">
        <v>1616</v>
      </c>
      <c r="B2820" s="371">
        <v>24</v>
      </c>
      <c r="C2820" s="2716" t="str">
        <f>VLOOKUP($A2820,Sheet_Items,2,0)</f>
        <v>在建工程（报表项目）</v>
      </c>
      <c r="D2820" s="371"/>
      <c r="E2820" s="2716" t="s">
        <v>2739</v>
      </c>
      <c r="F2820" s="371"/>
      <c r="G2820" s="305" t="str">
        <f>B2820&amp;" "&amp;C2820</f>
        <v>24 在建工程（报表项目）</v>
      </c>
      <c r="H2820" s="306"/>
      <c r="I2820" s="306"/>
      <c r="J2820" s="306" t="s">
        <v>2740</v>
      </c>
      <c r="K2820" s="341">
        <f>VLOOKUP($A2820,Sheet_Trialbal,6,0)</f>
        <v>0</v>
      </c>
      <c r="L2820" s="342"/>
      <c r="M2820" s="306" t="s">
        <v>2741</v>
      </c>
      <c r="N2820" s="341">
        <f>VLOOKUP($A2820,Sheet_Trialbal,10,0)</f>
        <v>41650</v>
      </c>
      <c r="O2820" s="342"/>
      <c r="P2820" s="301"/>
      <c r="S2820" s="364"/>
      <c r="Z2820" s="609" t="s">
        <v>1176</v>
      </c>
      <c r="AA2820" s="609" t="s">
        <v>19</v>
      </c>
    </row>
    <row r="2821" spans="1:27" ht="18">
      <c r="A2821" s="2714" t="s">
        <v>1174</v>
      </c>
      <c r="B2821" s="371">
        <v>1</v>
      </c>
      <c r="C2821" s="371"/>
      <c r="D2821" s="2716" t="str">
        <f>VLOOKUP($A2821,Sheet_NoteList,2,0)</f>
        <v>在建工程分类列示</v>
      </c>
      <c r="E2821" s="2716" t="s">
        <v>2742</v>
      </c>
      <c r="F2821" s="371"/>
      <c r="G2821" s="372" t="str">
        <f>"("&amp;B2821&amp;")"&amp;D2821</f>
        <v>(1)在建工程分类列示</v>
      </c>
      <c r="H2821" s="1517" t="str">
        <f>$A2821</f>
        <v>1616a</v>
      </c>
      <c r="I2821" s="343" t="s">
        <v>2743</v>
      </c>
      <c r="J2821" s="301" t="s">
        <v>2744</v>
      </c>
      <c r="K2821" s="2210">
        <f>H2827</f>
        <v>0</v>
      </c>
      <c r="L2821" s="349"/>
      <c r="M2821" s="301" t="s">
        <v>2745</v>
      </c>
      <c r="N2821" s="2210">
        <f>I2827</f>
        <v>41650</v>
      </c>
      <c r="O2821" s="349"/>
      <c r="P2821" s="301"/>
      <c r="S2821" s="364"/>
      <c r="Z2821" s="609" t="s">
        <v>1176</v>
      </c>
      <c r="AA2821" s="609" t="s">
        <v>19</v>
      </c>
    </row>
    <row r="2822" spans="1:27" ht="0.75" customHeight="1" thickBot="1">
      <c r="A2822" s="2714"/>
      <c r="B2822" s="371"/>
      <c r="C2822" s="371"/>
      <c r="D2822" s="2716"/>
      <c r="F2822" s="371"/>
      <c r="G2822" s="405" t="s">
        <v>3640</v>
      </c>
      <c r="H2822" s="371" t="s">
        <v>2747</v>
      </c>
      <c r="I2822" s="371" t="s">
        <v>2748</v>
      </c>
      <c r="J2822" s="301"/>
      <c r="K2822" s="391"/>
      <c r="L2822" s="349"/>
      <c r="M2822" s="301"/>
      <c r="N2822" s="391"/>
      <c r="O2822" s="349"/>
      <c r="P2822" s="301"/>
      <c r="S2822" s="364"/>
      <c r="Z2822" s="609" t="s">
        <v>1176</v>
      </c>
      <c r="AA2822" s="609" t="s">
        <v>19</v>
      </c>
    </row>
    <row r="2823" spans="1:27" ht="18.75" thickTop="1">
      <c r="A2823" s="2714"/>
      <c r="B2823" s="371"/>
      <c r="C2823" s="371"/>
      <c r="D2823" s="2716"/>
      <c r="E2823" s="2716" t="s">
        <v>2749</v>
      </c>
      <c r="F2823" s="371"/>
      <c r="G2823" s="373" t="s">
        <v>47</v>
      </c>
      <c r="H2823" s="1454" t="str">
        <f>$V$2</f>
        <v>2019年12月31日</v>
      </c>
      <c r="I2823" s="1455" t="str">
        <f>$V$3</f>
        <v>2018年12月31日</v>
      </c>
      <c r="J2823" s="355" t="s">
        <v>5289</v>
      </c>
      <c r="K2823" s="1584" t="str">
        <f>""&amp;"&gt;本期:"&amp;""</f>
        <v>&gt;本期:</v>
      </c>
      <c r="L2823" s="1584" t="str">
        <f>""&amp;"&gt;上期:"&amp;""</f>
        <v>&gt;上期:</v>
      </c>
      <c r="M2823" s="2658" t="str">
        <f>""&amp;"NoteID"&amp;""</f>
        <v>NoteID</v>
      </c>
      <c r="N2823" s="391"/>
      <c r="O2823" s="349"/>
      <c r="P2823" s="301"/>
      <c r="S2823" s="364"/>
      <c r="Z2823" s="609" t="s">
        <v>1176</v>
      </c>
      <c r="AA2823" s="609" t="s">
        <v>19</v>
      </c>
    </row>
    <row r="2824" spans="1:27" ht="18">
      <c r="A2824" s="2714"/>
      <c r="B2824" s="371">
        <v>101</v>
      </c>
      <c r="C2824" s="371"/>
      <c r="D2824" s="2716">
        <f t="shared" ref="D2824:D2827" si="311">IF(OR(G2824="*",G2824="",G2824=0),0,COUNTIF($G$2824:$G$2827,G2824))</f>
        <v>1</v>
      </c>
      <c r="E2824" s="2721">
        <v>1</v>
      </c>
      <c r="F2824" s="371"/>
      <c r="G2824" s="308" t="s">
        <v>344</v>
      </c>
      <c r="H2824" s="309">
        <f>J2845</f>
        <v>0</v>
      </c>
      <c r="I2824" s="394">
        <f>M2845</f>
        <v>41650</v>
      </c>
      <c r="J2824" s="301"/>
      <c r="K2824" s="2252">
        <f ca="1">HYPERLINK("#'"&amp;$G$1&amp;"'!"&amp;ADDRESS(ROW(Notes!J2845),COLUMN(Notes!J2845),4),J2845-H2824)</f>
        <v>0</v>
      </c>
      <c r="L2824" s="2252">
        <f ca="1">HYPERLINK("#'"&amp;$G$1&amp;"'!"&amp;ADDRESS(ROW(Notes!M2845),COLUMN(Notes!M2845),4),M2845-I2824)</f>
        <v>0</v>
      </c>
      <c r="M2824" s="2665" t="str">
        <f>H2830</f>
        <v>1604a</v>
      </c>
      <c r="N2824" s="391"/>
      <c r="O2824" s="349"/>
      <c r="P2824" s="301"/>
      <c r="S2824" s="364"/>
      <c r="Z2824" s="609" t="s">
        <v>1176</v>
      </c>
      <c r="AA2824" s="609" t="s">
        <v>19</v>
      </c>
    </row>
    <row r="2825" spans="1:27" ht="18">
      <c r="A2825" s="2714"/>
      <c r="B2825" s="371">
        <v>102</v>
      </c>
      <c r="C2825" s="371"/>
      <c r="D2825" s="2716">
        <f t="shared" si="311"/>
        <v>1</v>
      </c>
      <c r="E2825" s="2721">
        <v>1</v>
      </c>
      <c r="F2825" s="371"/>
      <c r="G2825" s="308" t="s">
        <v>351</v>
      </c>
      <c r="H2825" s="309"/>
      <c r="I2825" s="394"/>
      <c r="J2825" s="301"/>
      <c r="K2825" s="2252">
        <f ca="1">HYPERLINK("#'"&amp;$G$1&amp;"'!"&amp;ADDRESS(ROW(Notes!J2917),COLUMN(Notes!J2917),4),J2917-H2825)</f>
        <v>0</v>
      </c>
      <c r="L2825" s="2252">
        <f ca="1">HYPERLINK("#'"&amp;$G$1&amp;"'!"&amp;ADDRESS(ROW(Notes!M2917),COLUMN(Notes!M2917),4),M2917-I2825)</f>
        <v>0</v>
      </c>
      <c r="M2825" s="2665" t="str">
        <f>H2908</f>
        <v>1605a</v>
      </c>
      <c r="N2825" s="391"/>
      <c r="O2825" s="349"/>
      <c r="P2825" s="301"/>
      <c r="S2825" s="364"/>
      <c r="Z2825" s="609" t="s">
        <v>1176</v>
      </c>
      <c r="AA2825" s="609" t="s">
        <v>19</v>
      </c>
    </row>
    <row r="2826" spans="1:27" ht="18">
      <c r="A2826" s="2714"/>
      <c r="B2826" s="371">
        <v>103</v>
      </c>
      <c r="C2826" s="371" t="s">
        <v>2791</v>
      </c>
      <c r="D2826" s="2716">
        <f t="shared" si="311"/>
        <v>0</v>
      </c>
      <c r="E2826" s="2721">
        <v>1</v>
      </c>
      <c r="F2826" s="371"/>
      <c r="G2826" s="2568" t="s">
        <v>2792</v>
      </c>
      <c r="H2826" s="309"/>
      <c r="I2826" s="394"/>
      <c r="J2826" s="301"/>
      <c r="K2826" s="456"/>
      <c r="L2826" s="456"/>
      <c r="M2826" s="354"/>
      <c r="N2826" s="391"/>
      <c r="O2826" s="349"/>
      <c r="P2826" s="301"/>
      <c r="S2826" s="364"/>
      <c r="Z2826" s="609" t="s">
        <v>1176</v>
      </c>
      <c r="AA2826" s="609" t="s">
        <v>19</v>
      </c>
    </row>
    <row r="2827" spans="1:27" ht="18.75" thickBot="1">
      <c r="A2827" s="2714"/>
      <c r="B2827" s="371"/>
      <c r="C2827" s="371"/>
      <c r="D2827" s="2716">
        <f t="shared" si="311"/>
        <v>1</v>
      </c>
      <c r="E2827" s="2721" t="s">
        <v>2751</v>
      </c>
      <c r="F2827" s="371"/>
      <c r="G2827" s="374" t="s">
        <v>2752</v>
      </c>
      <c r="H2827" s="1478">
        <f>SUMPRODUCT($E2823:$E2826,H2823:H2826)</f>
        <v>0</v>
      </c>
      <c r="I2827" s="1479">
        <f>SUMPRODUCT($E2823:$E2826,I2823:I2826)</f>
        <v>41650</v>
      </c>
      <c r="J2827" s="301"/>
      <c r="K2827" s="1531">
        <f t="shared" ref="K2827:L2827" ca="1" si="312">SUM(K2824:K2826)</f>
        <v>0</v>
      </c>
      <c r="L2827" s="1531">
        <f t="shared" ca="1" si="312"/>
        <v>0</v>
      </c>
      <c r="M2827" s="2664"/>
      <c r="N2827" s="391"/>
      <c r="O2827" s="349"/>
      <c r="P2827" s="301"/>
      <c r="S2827" s="364"/>
      <c r="Z2827" s="609" t="s">
        <v>1176</v>
      </c>
      <c r="AA2827" s="609" t="s">
        <v>19</v>
      </c>
    </row>
    <row r="2828" spans="1:27" ht="18">
      <c r="A2828" s="2714"/>
      <c r="B2828" s="371"/>
      <c r="C2828" s="371" t="s">
        <v>2755</v>
      </c>
      <c r="D2828" s="2716"/>
      <c r="F2828" s="371"/>
      <c r="G2828" s="376"/>
      <c r="H2828" s="315"/>
      <c r="I2828" s="396"/>
      <c r="J2828" s="301"/>
      <c r="K2828" s="1539" t="s">
        <v>5495</v>
      </c>
      <c r="L2828" s="317"/>
      <c r="M2828" s="354"/>
      <c r="N2828" s="391"/>
      <c r="O2828" s="349"/>
      <c r="P2828" s="301"/>
      <c r="S2828" s="364"/>
      <c r="Z2828" s="609" t="s">
        <v>1176</v>
      </c>
      <c r="AA2828" s="609" t="s">
        <v>19</v>
      </c>
    </row>
    <row r="2829" spans="1:27" ht="18">
      <c r="A2829" s="2714">
        <v>1604</v>
      </c>
      <c r="B2829" s="371">
        <v>24.1</v>
      </c>
      <c r="C2829" s="2716" t="str">
        <f>VLOOKUP($A2829,Sheet_Items,2,0)</f>
        <v>在建工程</v>
      </c>
      <c r="D2829" s="371"/>
      <c r="E2829" s="2716" t="s">
        <v>2739</v>
      </c>
      <c r="F2829" s="294"/>
      <c r="G2829" s="305" t="str">
        <f>B2829&amp;" "&amp;C2829</f>
        <v>24.1 在建工程</v>
      </c>
      <c r="H2829" s="306"/>
      <c r="I2829" s="306"/>
      <c r="J2829" s="306" t="s">
        <v>2740</v>
      </c>
      <c r="K2829" s="341">
        <f>VLOOKUP($A2829,Sheet_Trialbal,6,0)</f>
        <v>0</v>
      </c>
      <c r="L2829" s="342"/>
      <c r="M2829" s="306" t="s">
        <v>2741</v>
      </c>
      <c r="N2829" s="341">
        <f>VLOOKUP($A2829,Sheet_Trialbal,10,0)</f>
        <v>41650</v>
      </c>
      <c r="O2829" s="306"/>
      <c r="P2829" s="301"/>
      <c r="S2829" s="364"/>
      <c r="Z2829" s="609" t="s">
        <v>1181</v>
      </c>
      <c r="AA2829" s="609" t="s">
        <v>3646</v>
      </c>
    </row>
    <row r="2830" spans="1:27" ht="18">
      <c r="A2830" s="2714" t="s">
        <v>1179</v>
      </c>
      <c r="B2830" s="371">
        <v>1</v>
      </c>
      <c r="C2830" s="371"/>
      <c r="D2830" s="2716" t="str">
        <f>VLOOKUP($A2830,Sheet_NoteList,2,0)</f>
        <v>在建工程情况</v>
      </c>
      <c r="E2830" s="2716" t="s">
        <v>2742</v>
      </c>
      <c r="F2830" s="294"/>
      <c r="G2830" s="307" t="str">
        <f>"("&amp;B2830&amp;")"&amp;D2830</f>
        <v>(1)在建工程情况</v>
      </c>
      <c r="H2830" s="1517" t="str">
        <f>$A2830</f>
        <v>1604a</v>
      </c>
      <c r="I2830" s="343" t="s">
        <v>2743</v>
      </c>
      <c r="J2830" s="301" t="s">
        <v>2744</v>
      </c>
      <c r="K2830" s="2210">
        <f>J2845</f>
        <v>0</v>
      </c>
      <c r="L2830" s="345" t="str">
        <f>IF($I2830="适用",IF(ROUND(K2829-K2830,2)=0,"F/S",ROUND(K2829-K2830,2)),"#N/A")</f>
        <v>F/S</v>
      </c>
      <c r="M2830" s="301" t="s">
        <v>2745</v>
      </c>
      <c r="N2830" s="2210">
        <f>M2845</f>
        <v>41650</v>
      </c>
      <c r="O2830" s="345" t="str">
        <f>IF($I2830="适用",IF(ROUND(N2829-N2830,2)=0,"F/S",ROUND(N2829-N2830,2)),"#N/A")</f>
        <v>F/S</v>
      </c>
      <c r="P2830" s="301"/>
      <c r="Q2830" s="290" t="str">
        <f>IF($I2830="不适用","",IF(ROUND(SUM($H$2835:$M$2845),2)=0,"请输入",""))</f>
        <v/>
      </c>
      <c r="S2830" s="364"/>
      <c r="Z2830" s="609" t="s">
        <v>1181</v>
      </c>
      <c r="AA2830" s="609" t="s">
        <v>3646</v>
      </c>
    </row>
    <row r="2831" spans="1:27" ht="0.75" customHeight="1">
      <c r="A2831" s="2714"/>
      <c r="B2831" s="371"/>
      <c r="C2831" s="371"/>
      <c r="D2831" s="371"/>
      <c r="E2831" s="586"/>
      <c r="F2831" s="518"/>
      <c r="G2831" s="518" t="s">
        <v>3641</v>
      </c>
      <c r="H2831" s="304" t="s">
        <v>2882</v>
      </c>
      <c r="I2831" s="304" t="s">
        <v>3365</v>
      </c>
      <c r="J2831" s="304" t="s">
        <v>3642</v>
      </c>
      <c r="K2831" s="304" t="s">
        <v>3209</v>
      </c>
      <c r="L2831" s="304" t="s">
        <v>3366</v>
      </c>
      <c r="M2831" s="304" t="s">
        <v>3643</v>
      </c>
      <c r="N2831" s="291"/>
      <c r="O2831" s="291"/>
      <c r="P2831" s="291"/>
      <c r="Q2831" s="367"/>
      <c r="R2831" s="367"/>
      <c r="S2831" s="364"/>
      <c r="Z2831" s="609" t="s">
        <v>1181</v>
      </c>
      <c r="AA2831" s="609" t="s">
        <v>3646</v>
      </c>
    </row>
    <row r="2832" spans="1:27" ht="0.75" customHeight="1" thickBot="1">
      <c r="A2832" s="2714"/>
      <c r="B2832" s="371"/>
      <c r="C2832" s="371"/>
      <c r="D2832" s="371"/>
      <c r="E2832" s="586"/>
      <c r="F2832" s="518"/>
      <c r="G2832" s="518"/>
      <c r="H2832" s="304" t="s">
        <v>2968</v>
      </c>
      <c r="I2832" s="304" t="s">
        <v>3096</v>
      </c>
      <c r="J2832" s="304" t="s">
        <v>3644</v>
      </c>
      <c r="K2832" s="304" t="s">
        <v>3105</v>
      </c>
      <c r="L2832" s="304" t="s">
        <v>3367</v>
      </c>
      <c r="M2832" s="304" t="s">
        <v>3645</v>
      </c>
      <c r="N2832" s="291"/>
      <c r="O2832" s="291"/>
      <c r="P2832" s="291"/>
      <c r="Q2832" s="367"/>
      <c r="R2832" s="367"/>
      <c r="S2832" s="364"/>
      <c r="Z2832" s="609" t="s">
        <v>1181</v>
      </c>
      <c r="AA2832" s="609" t="s">
        <v>3646</v>
      </c>
    </row>
    <row r="2833" spans="1:29" ht="18">
      <c r="A2833" s="2714"/>
      <c r="B2833" s="371"/>
      <c r="C2833" s="371"/>
      <c r="D2833" s="371"/>
      <c r="E2833" s="586" t="s">
        <v>2749</v>
      </c>
      <c r="F2833" s="363"/>
      <c r="G2833" s="3465" t="s">
        <v>47</v>
      </c>
      <c r="H2833" s="3398" t="str">
        <f>$V$2</f>
        <v>2019年12月31日</v>
      </c>
      <c r="I2833" s="3398"/>
      <c r="J2833" s="3398"/>
      <c r="K2833" s="3398" t="str">
        <f>$V$3</f>
        <v>2018年12月31日</v>
      </c>
      <c r="L2833" s="3398"/>
      <c r="M2833" s="3399"/>
      <c r="N2833" s="355" t="s">
        <v>5289</v>
      </c>
      <c r="O2833" s="291"/>
      <c r="P2833" s="291"/>
      <c r="Q2833" s="367"/>
      <c r="R2833" s="367"/>
      <c r="S2833" s="364"/>
      <c r="Z2833" s="609" t="s">
        <v>1181</v>
      </c>
      <c r="AA2833" s="609" t="s">
        <v>3646</v>
      </c>
    </row>
    <row r="2834" spans="1:29" ht="18">
      <c r="A2834" s="2714"/>
      <c r="B2834" s="371"/>
      <c r="C2834" s="371"/>
      <c r="D2834" s="371"/>
      <c r="E2834" s="586" t="s">
        <v>2749</v>
      </c>
      <c r="F2834" s="363"/>
      <c r="G2834" s="3466"/>
      <c r="H2834" s="2620" t="s">
        <v>5130</v>
      </c>
      <c r="I2834" s="2620" t="s">
        <v>3097</v>
      </c>
      <c r="J2834" s="2620" t="s">
        <v>2863</v>
      </c>
      <c r="K2834" s="2620" t="s">
        <v>2861</v>
      </c>
      <c r="L2834" s="2620" t="s">
        <v>3097</v>
      </c>
      <c r="M2834" s="2618" t="s">
        <v>2863</v>
      </c>
      <c r="N2834" s="291"/>
      <c r="O2834" s="291"/>
      <c r="P2834" s="291"/>
      <c r="Q2834" s="367"/>
      <c r="R2834" s="367"/>
      <c r="S2834" s="364"/>
      <c r="Z2834" s="609" t="s">
        <v>1181</v>
      </c>
      <c r="AA2834" s="609" t="s">
        <v>3646</v>
      </c>
    </row>
    <row r="2835" spans="1:29" ht="18">
      <c r="A2835" s="2714"/>
      <c r="B2835" s="371">
        <v>101</v>
      </c>
      <c r="C2835" s="371" t="s">
        <v>2791</v>
      </c>
      <c r="D2835" s="2716">
        <f t="shared" ref="D2835:D2845" si="313">IF(OR(G2835="*",G2835="",G2835=0),0,COUNTIF($G$2835:$G$2845,G2835))</f>
        <v>1</v>
      </c>
      <c r="E2835" s="2721">
        <v>1</v>
      </c>
      <c r="F2835" s="294"/>
      <c r="G2835" s="2619" t="s">
        <v>6855</v>
      </c>
      <c r="H2835" s="2275"/>
      <c r="I2835" s="2275"/>
      <c r="J2835" s="1476">
        <f t="shared" ref="J2835:J2844" si="314">H2835-I2835</f>
        <v>0</v>
      </c>
      <c r="K2835" s="2275">
        <v>41650</v>
      </c>
      <c r="L2835" s="2275"/>
      <c r="M2835" s="1477">
        <f t="shared" ref="M2835:M2844" si="315">K2835-L2835</f>
        <v>41650</v>
      </c>
      <c r="N2835" s="291"/>
      <c r="O2835" s="291"/>
      <c r="P2835" s="291"/>
      <c r="Q2835" s="367"/>
      <c r="R2835" s="367"/>
      <c r="S2835" s="364"/>
      <c r="Z2835" s="609" t="s">
        <v>1181</v>
      </c>
      <c r="AA2835" s="609" t="s">
        <v>3646</v>
      </c>
    </row>
    <row r="2836" spans="1:29" ht="18">
      <c r="A2836" s="2714"/>
      <c r="B2836" s="371">
        <v>102</v>
      </c>
      <c r="C2836" s="371" t="s">
        <v>2791</v>
      </c>
      <c r="D2836" s="2716">
        <f t="shared" si="313"/>
        <v>0</v>
      </c>
      <c r="E2836" s="2721">
        <v>1</v>
      </c>
      <c r="F2836" s="294"/>
      <c r="G2836" s="2619" t="s">
        <v>2792</v>
      </c>
      <c r="H2836" s="2275"/>
      <c r="I2836" s="2275"/>
      <c r="J2836" s="1476">
        <f t="shared" si="314"/>
        <v>0</v>
      </c>
      <c r="K2836" s="2275"/>
      <c r="L2836" s="2275"/>
      <c r="M2836" s="1477">
        <f t="shared" si="315"/>
        <v>0</v>
      </c>
      <c r="N2836" s="291"/>
      <c r="O2836" s="291"/>
      <c r="P2836" s="291"/>
      <c r="Q2836" s="367"/>
      <c r="R2836" s="367"/>
      <c r="S2836" s="364"/>
      <c r="Z2836" s="609" t="s">
        <v>1181</v>
      </c>
      <c r="AA2836" s="609" t="s">
        <v>3646</v>
      </c>
    </row>
    <row r="2837" spans="1:29" ht="18">
      <c r="A2837" s="2714"/>
      <c r="B2837" s="371">
        <v>103</v>
      </c>
      <c r="C2837" s="371" t="s">
        <v>2791</v>
      </c>
      <c r="D2837" s="2716">
        <f t="shared" si="313"/>
        <v>0</v>
      </c>
      <c r="E2837" s="2721">
        <v>1</v>
      </c>
      <c r="F2837" s="294"/>
      <c r="G2837" s="2619" t="s">
        <v>2792</v>
      </c>
      <c r="H2837" s="2275"/>
      <c r="I2837" s="2275"/>
      <c r="J2837" s="1476">
        <f t="shared" si="314"/>
        <v>0</v>
      </c>
      <c r="K2837" s="2275"/>
      <c r="L2837" s="2275"/>
      <c r="M2837" s="1477">
        <f t="shared" si="315"/>
        <v>0</v>
      </c>
      <c r="N2837" s="291"/>
      <c r="O2837" s="291"/>
      <c r="P2837" s="291"/>
      <c r="Q2837" s="367"/>
      <c r="R2837" s="367"/>
      <c r="S2837" s="364"/>
      <c r="Z2837" s="609" t="s">
        <v>1181</v>
      </c>
      <c r="AA2837" s="609" t="s">
        <v>3646</v>
      </c>
    </row>
    <row r="2838" spans="1:29" ht="18">
      <c r="A2838" s="2714"/>
      <c r="B2838" s="371">
        <v>104</v>
      </c>
      <c r="C2838" s="371" t="s">
        <v>2791</v>
      </c>
      <c r="D2838" s="2716">
        <f t="shared" si="313"/>
        <v>0</v>
      </c>
      <c r="E2838" s="2721">
        <v>1</v>
      </c>
      <c r="F2838" s="294"/>
      <c r="G2838" s="2619" t="s">
        <v>2792</v>
      </c>
      <c r="H2838" s="2275"/>
      <c r="I2838" s="2275"/>
      <c r="J2838" s="1476">
        <f t="shared" si="314"/>
        <v>0</v>
      </c>
      <c r="K2838" s="2275"/>
      <c r="L2838" s="2275"/>
      <c r="M2838" s="1477">
        <f t="shared" si="315"/>
        <v>0</v>
      </c>
      <c r="N2838" s="291"/>
      <c r="O2838" s="291"/>
      <c r="P2838" s="291"/>
      <c r="Q2838" s="367"/>
      <c r="R2838" s="367"/>
      <c r="S2838" s="364"/>
      <c r="Z2838" s="609" t="s">
        <v>1181</v>
      </c>
      <c r="AA2838" s="609" t="s">
        <v>3646</v>
      </c>
    </row>
    <row r="2839" spans="1:29" ht="18">
      <c r="A2839" s="2714"/>
      <c r="B2839" s="371">
        <v>105</v>
      </c>
      <c r="C2839" s="371" t="s">
        <v>2791</v>
      </c>
      <c r="D2839" s="2716">
        <f t="shared" si="313"/>
        <v>0</v>
      </c>
      <c r="E2839" s="2721">
        <v>1</v>
      </c>
      <c r="F2839" s="294"/>
      <c r="G2839" s="2619" t="s">
        <v>2792</v>
      </c>
      <c r="H2839" s="2275"/>
      <c r="I2839" s="2275"/>
      <c r="J2839" s="1476">
        <f t="shared" si="314"/>
        <v>0</v>
      </c>
      <c r="K2839" s="2275"/>
      <c r="L2839" s="2275"/>
      <c r="M2839" s="1477">
        <f t="shared" si="315"/>
        <v>0</v>
      </c>
      <c r="N2839" s="291"/>
      <c r="O2839" s="291"/>
      <c r="P2839" s="291"/>
      <c r="Q2839" s="367"/>
      <c r="R2839" s="367"/>
      <c r="S2839" s="364"/>
      <c r="Z2839" s="609" t="s">
        <v>1181</v>
      </c>
      <c r="AA2839" s="609" t="s">
        <v>3646</v>
      </c>
    </row>
    <row r="2840" spans="1:29" ht="18">
      <c r="A2840" s="2714"/>
      <c r="B2840" s="371">
        <v>106</v>
      </c>
      <c r="C2840" s="371" t="s">
        <v>2791</v>
      </c>
      <c r="D2840" s="2716">
        <f t="shared" si="313"/>
        <v>0</v>
      </c>
      <c r="E2840" s="2721">
        <v>1</v>
      </c>
      <c r="F2840" s="294"/>
      <c r="G2840" s="2619" t="s">
        <v>2792</v>
      </c>
      <c r="H2840" s="2275"/>
      <c r="I2840" s="2275"/>
      <c r="J2840" s="1476">
        <f t="shared" si="314"/>
        <v>0</v>
      </c>
      <c r="K2840" s="2275"/>
      <c r="L2840" s="2275"/>
      <c r="M2840" s="1477">
        <f t="shared" si="315"/>
        <v>0</v>
      </c>
      <c r="N2840" s="291"/>
      <c r="O2840" s="291"/>
      <c r="P2840" s="291"/>
      <c r="Q2840" s="367"/>
      <c r="R2840" s="367"/>
      <c r="S2840" s="364"/>
      <c r="Z2840" s="609" t="s">
        <v>1181</v>
      </c>
      <c r="AA2840" s="609" t="s">
        <v>3646</v>
      </c>
    </row>
    <row r="2841" spans="1:29" ht="18">
      <c r="A2841" s="2714"/>
      <c r="B2841" s="371">
        <v>107</v>
      </c>
      <c r="C2841" s="371" t="s">
        <v>2791</v>
      </c>
      <c r="D2841" s="2716">
        <f t="shared" si="313"/>
        <v>0</v>
      </c>
      <c r="E2841" s="2721">
        <v>1</v>
      </c>
      <c r="F2841" s="294"/>
      <c r="G2841" s="2619" t="s">
        <v>2792</v>
      </c>
      <c r="H2841" s="2275"/>
      <c r="I2841" s="2275"/>
      <c r="J2841" s="1476">
        <f t="shared" si="314"/>
        <v>0</v>
      </c>
      <c r="K2841" s="2275"/>
      <c r="L2841" s="2275"/>
      <c r="M2841" s="1477">
        <f t="shared" si="315"/>
        <v>0</v>
      </c>
      <c r="N2841" s="291"/>
      <c r="O2841" s="291"/>
      <c r="P2841" s="291"/>
      <c r="Q2841" s="367"/>
      <c r="R2841" s="367"/>
      <c r="S2841" s="364"/>
      <c r="Z2841" s="609" t="s">
        <v>1181</v>
      </c>
      <c r="AA2841" s="609" t="s">
        <v>3646</v>
      </c>
    </row>
    <row r="2842" spans="1:29" ht="18">
      <c r="A2842" s="2714"/>
      <c r="B2842" s="371">
        <v>108</v>
      </c>
      <c r="C2842" s="371" t="s">
        <v>2791</v>
      </c>
      <c r="D2842" s="2716">
        <f t="shared" si="313"/>
        <v>0</v>
      </c>
      <c r="E2842" s="2721">
        <v>1</v>
      </c>
      <c r="F2842" s="294"/>
      <c r="G2842" s="2619" t="s">
        <v>2792</v>
      </c>
      <c r="H2842" s="2275"/>
      <c r="I2842" s="2275"/>
      <c r="J2842" s="1476">
        <f t="shared" si="314"/>
        <v>0</v>
      </c>
      <c r="K2842" s="2275"/>
      <c r="L2842" s="2275"/>
      <c r="M2842" s="1477">
        <f t="shared" si="315"/>
        <v>0</v>
      </c>
      <c r="N2842" s="291"/>
      <c r="O2842" s="291"/>
      <c r="P2842" s="291"/>
      <c r="Q2842" s="367"/>
      <c r="R2842" s="367"/>
      <c r="S2842" s="364"/>
      <c r="Z2842" s="609" t="s">
        <v>1181</v>
      </c>
      <c r="AA2842" s="609" t="s">
        <v>3646</v>
      </c>
    </row>
    <row r="2843" spans="1:29" ht="18">
      <c r="A2843" s="2714"/>
      <c r="B2843" s="371">
        <v>109</v>
      </c>
      <c r="C2843" s="371" t="s">
        <v>2791</v>
      </c>
      <c r="D2843" s="2716">
        <f t="shared" si="313"/>
        <v>0</v>
      </c>
      <c r="E2843" s="2721">
        <v>1</v>
      </c>
      <c r="F2843" s="294"/>
      <c r="G2843" s="2619" t="s">
        <v>2792</v>
      </c>
      <c r="H2843" s="2275"/>
      <c r="I2843" s="2275"/>
      <c r="J2843" s="1476">
        <f t="shared" si="314"/>
        <v>0</v>
      </c>
      <c r="K2843" s="2275"/>
      <c r="L2843" s="2275"/>
      <c r="M2843" s="1477">
        <f t="shared" si="315"/>
        <v>0</v>
      </c>
      <c r="N2843" s="291"/>
      <c r="O2843" s="291"/>
      <c r="P2843" s="291"/>
      <c r="Q2843" s="367"/>
      <c r="R2843" s="367"/>
      <c r="S2843" s="364"/>
      <c r="Z2843" s="609" t="s">
        <v>1181</v>
      </c>
      <c r="AA2843" s="609" t="s">
        <v>3646</v>
      </c>
    </row>
    <row r="2844" spans="1:29" ht="18">
      <c r="A2844" s="2714"/>
      <c r="B2844" s="371">
        <v>110</v>
      </c>
      <c r="C2844" s="371" t="s">
        <v>2791</v>
      </c>
      <c r="D2844" s="2716">
        <f t="shared" si="313"/>
        <v>0</v>
      </c>
      <c r="E2844" s="2721">
        <v>1</v>
      </c>
      <c r="F2844" s="294"/>
      <c r="G2844" s="2619" t="s">
        <v>2792</v>
      </c>
      <c r="H2844" s="2275"/>
      <c r="I2844" s="2275"/>
      <c r="J2844" s="1476">
        <f t="shared" si="314"/>
        <v>0</v>
      </c>
      <c r="K2844" s="2275"/>
      <c r="L2844" s="2275"/>
      <c r="M2844" s="1477">
        <f t="shared" si="315"/>
        <v>0</v>
      </c>
      <c r="N2844" s="291"/>
      <c r="O2844" s="291"/>
      <c r="P2844" s="291"/>
      <c r="Q2844" s="367"/>
      <c r="R2844" s="367"/>
      <c r="S2844" s="364"/>
      <c r="Z2844" s="609" t="s">
        <v>1181</v>
      </c>
      <c r="AA2844" s="609" t="s">
        <v>3646</v>
      </c>
    </row>
    <row r="2845" spans="1:29" ht="18.75" thickBot="1">
      <c r="A2845" s="2714"/>
      <c r="B2845" s="371"/>
      <c r="C2845" s="371"/>
      <c r="D2845" s="2716">
        <f t="shared" si="313"/>
        <v>1</v>
      </c>
      <c r="E2845" s="2721" t="s">
        <v>2751</v>
      </c>
      <c r="F2845" s="294"/>
      <c r="G2845" s="374" t="s">
        <v>2752</v>
      </c>
      <c r="H2845" s="1478">
        <f t="shared" ref="H2845:M2845" si="316">SUMPRODUCT($E2834:$E2844,H2834:H2844)</f>
        <v>0</v>
      </c>
      <c r="I2845" s="1478">
        <f t="shared" si="316"/>
        <v>0</v>
      </c>
      <c r="J2845" s="1478">
        <f t="shared" si="316"/>
        <v>0</v>
      </c>
      <c r="K2845" s="1478">
        <f t="shared" si="316"/>
        <v>41650</v>
      </c>
      <c r="L2845" s="1478">
        <f t="shared" si="316"/>
        <v>0</v>
      </c>
      <c r="M2845" s="1479">
        <f t="shared" si="316"/>
        <v>41650</v>
      </c>
      <c r="N2845" s="1533" t="str">
        <f ca="1">HYPERLINK("#'"&amp;$G$1&amp;"'!"&amp;ADDRESS(ROW(Notes!K2824),COLUMN(Notes!K2824),4),"* 请勿删除此行！点击往勾稽单元格，F5+Enter返回")</f>
        <v>* 请勿删除此行！点击往勾稽单元格，F5+Enter返回</v>
      </c>
      <c r="O2845" s="291"/>
      <c r="P2845" s="291"/>
      <c r="Q2845" s="367"/>
      <c r="R2845" s="367"/>
      <c r="S2845" s="364"/>
      <c r="Z2845" s="609" t="s">
        <v>1181</v>
      </c>
      <c r="AA2845" s="609" t="s">
        <v>3646</v>
      </c>
      <c r="AC2845" s="369" t="s">
        <v>6573</v>
      </c>
    </row>
    <row r="2846" spans="1:29" ht="18">
      <c r="A2846" s="2714"/>
      <c r="B2846" s="371"/>
      <c r="C2846" s="371" t="s">
        <v>2755</v>
      </c>
      <c r="D2846" s="371"/>
      <c r="F2846" s="294"/>
      <c r="G2846" s="301"/>
      <c r="H2846" s="315"/>
      <c r="I2846" s="315"/>
      <c r="J2846" s="315"/>
      <c r="K2846" s="315"/>
      <c r="L2846" s="315"/>
      <c r="M2846" s="315"/>
      <c r="N2846" s="291"/>
      <c r="O2846" s="291"/>
      <c r="P2846" s="291"/>
      <c r="Q2846" s="367"/>
      <c r="R2846" s="367"/>
      <c r="S2846" s="364"/>
      <c r="Z2846" s="609" t="s">
        <v>1181</v>
      </c>
      <c r="AA2846" s="609" t="s">
        <v>3646</v>
      </c>
    </row>
    <row r="2847" spans="1:29" ht="18">
      <c r="A2847" s="2714" t="s">
        <v>1190</v>
      </c>
      <c r="B2847" s="371">
        <v>2</v>
      </c>
      <c r="C2847" s="371"/>
      <c r="D2847" s="2716" t="str">
        <f>VLOOKUP($A2847,Sheet_NoteList,2,0)</f>
        <v>重要在建工程项目变动情况列示</v>
      </c>
      <c r="E2847" s="2716" t="s">
        <v>6531</v>
      </c>
      <c r="F2847" s="294"/>
      <c r="G2847" s="307" t="str">
        <f>"("&amp;B2847&amp;")"&amp;D2847</f>
        <v>(2)重要在建工程项目变动情况列示</v>
      </c>
      <c r="H2847" s="1517" t="str">
        <f>$A2847</f>
        <v>1604b</v>
      </c>
      <c r="I2847" s="343" t="s">
        <v>5965</v>
      </c>
      <c r="J2847" s="301" t="s">
        <v>2744</v>
      </c>
      <c r="K2847" s="3084">
        <f>I2860</f>
        <v>0</v>
      </c>
      <c r="L2847" s="315"/>
      <c r="M2847" s="301" t="s">
        <v>2745</v>
      </c>
      <c r="N2847" s="2210">
        <f>M2860</f>
        <v>0</v>
      </c>
      <c r="O2847" s="1535"/>
      <c r="P2847" s="301"/>
      <c r="Q2847" s="290" t="str">
        <f>IF($I2847="不适用","",IF(ROUND(SUM($H$2850:$O$2860),2)=0,"请输入",""))</f>
        <v>请输入</v>
      </c>
      <c r="S2847" s="364"/>
      <c r="Z2847" s="609" t="s">
        <v>1181</v>
      </c>
      <c r="AA2847" s="609" t="s">
        <v>3646</v>
      </c>
    </row>
    <row r="2848" spans="1:29" ht="0.75" customHeight="1" thickBot="1">
      <c r="A2848" s="2714"/>
      <c r="B2848" s="371"/>
      <c r="C2848" s="371"/>
      <c r="D2848" s="371"/>
      <c r="E2848" s="586"/>
      <c r="F2848" s="586"/>
      <c r="G2848" s="586" t="s">
        <v>3652</v>
      </c>
      <c r="H2848" s="371" t="s">
        <v>3665</v>
      </c>
      <c r="I2848" s="371" t="s">
        <v>2904</v>
      </c>
      <c r="J2848" s="371" t="s">
        <v>3255</v>
      </c>
      <c r="K2848" s="371" t="s">
        <v>3653</v>
      </c>
      <c r="L2848" s="371" t="s">
        <v>3654</v>
      </c>
      <c r="M2848" s="371" t="s">
        <v>3569</v>
      </c>
      <c r="N2848" s="1604"/>
      <c r="O2848" s="1604"/>
      <c r="P2848" s="1604"/>
      <c r="Q2848" s="1604"/>
      <c r="R2848" s="1604"/>
      <c r="S2848" s="364"/>
      <c r="Z2848" s="609" t="s">
        <v>1181</v>
      </c>
      <c r="AA2848" s="609" t="s">
        <v>3646</v>
      </c>
    </row>
    <row r="2849" spans="1:27" ht="24">
      <c r="A2849" s="2714"/>
      <c r="B2849" s="371"/>
      <c r="C2849" s="371"/>
      <c r="D2849" s="371"/>
      <c r="E2849" s="586" t="s">
        <v>2749</v>
      </c>
      <c r="F2849" s="363"/>
      <c r="G2849" s="2357" t="s">
        <v>1476</v>
      </c>
      <c r="H2849" s="2353" t="s">
        <v>3648</v>
      </c>
      <c r="I2849" s="2475" t="str">
        <f>$V$3</f>
        <v>2018年12月31日</v>
      </c>
      <c r="J2849" s="2353" t="s">
        <v>3649</v>
      </c>
      <c r="K2849" s="2353" t="s">
        <v>3650</v>
      </c>
      <c r="L2849" s="2353" t="s">
        <v>3651</v>
      </c>
      <c r="M2849" s="2480" t="str">
        <f>$V$2</f>
        <v>2019年12月31日</v>
      </c>
      <c r="N2849" s="355" t="s">
        <v>5289</v>
      </c>
      <c r="O2849" s="1604"/>
      <c r="P2849" s="1604"/>
      <c r="Q2849" s="1604"/>
      <c r="R2849" s="1604"/>
      <c r="S2849" s="364"/>
      <c r="Z2849" s="609" t="s">
        <v>1181</v>
      </c>
      <c r="AA2849" s="609" t="s">
        <v>3646</v>
      </c>
    </row>
    <row r="2850" spans="1:27" ht="18">
      <c r="A2850" s="2714"/>
      <c r="B2850" s="371">
        <v>101</v>
      </c>
      <c r="C2850" s="371" t="s">
        <v>2791</v>
      </c>
      <c r="D2850" s="2716">
        <f t="shared" ref="D2850:D2860" si="317">IF(OR(G2850="*",G2850="",G2850=0),0,COUNTIF($G$2850:$G$2860,G2850))</f>
        <v>0</v>
      </c>
      <c r="E2850" s="2721">
        <v>1</v>
      </c>
      <c r="F2850" s="294"/>
      <c r="G2850" s="2354" t="s">
        <v>2792</v>
      </c>
      <c r="H2850" s="2275"/>
      <c r="I2850" s="2275"/>
      <c r="J2850" s="2275"/>
      <c r="K2850" s="2275"/>
      <c r="L2850" s="2275"/>
      <c r="M2850" s="1477">
        <f>I2850+J2850-K2850-L2850</f>
        <v>0</v>
      </c>
      <c r="N2850" s="1604"/>
      <c r="O2850" s="1604"/>
      <c r="P2850" s="1604"/>
      <c r="Q2850" s="1604"/>
      <c r="R2850" s="1604"/>
      <c r="S2850" s="364"/>
      <c r="Z2850" s="609" t="s">
        <v>1181</v>
      </c>
      <c r="AA2850" s="609" t="s">
        <v>3646</v>
      </c>
    </row>
    <row r="2851" spans="1:27" ht="18">
      <c r="A2851" s="2714"/>
      <c r="B2851" s="371">
        <v>102</v>
      </c>
      <c r="C2851" s="371" t="s">
        <v>2791</v>
      </c>
      <c r="D2851" s="2716">
        <f t="shared" si="317"/>
        <v>0</v>
      </c>
      <c r="E2851" s="2721">
        <v>1</v>
      </c>
      <c r="F2851" s="294"/>
      <c r="G2851" s="2354" t="s">
        <v>2792</v>
      </c>
      <c r="H2851" s="2275"/>
      <c r="I2851" s="2275"/>
      <c r="J2851" s="2275"/>
      <c r="K2851" s="2275"/>
      <c r="L2851" s="2275"/>
      <c r="M2851" s="1477">
        <f t="shared" ref="M2851:M2859" si="318">I2851+J2851-K2851-L2851</f>
        <v>0</v>
      </c>
      <c r="N2851" s="1604"/>
      <c r="O2851" s="1604"/>
      <c r="P2851" s="1604"/>
      <c r="Q2851" s="1604"/>
      <c r="R2851" s="1604"/>
      <c r="S2851" s="364"/>
      <c r="Z2851" s="609" t="s">
        <v>1181</v>
      </c>
      <c r="AA2851" s="609" t="s">
        <v>3646</v>
      </c>
    </row>
    <row r="2852" spans="1:27" ht="18">
      <c r="A2852" s="2714"/>
      <c r="B2852" s="371">
        <v>103</v>
      </c>
      <c r="C2852" s="371" t="s">
        <v>2791</v>
      </c>
      <c r="D2852" s="2716">
        <f t="shared" si="317"/>
        <v>0</v>
      </c>
      <c r="E2852" s="2721">
        <v>1</v>
      </c>
      <c r="F2852" s="294"/>
      <c r="G2852" s="2354" t="s">
        <v>2792</v>
      </c>
      <c r="H2852" s="2275"/>
      <c r="I2852" s="2275"/>
      <c r="J2852" s="2275"/>
      <c r="K2852" s="2275"/>
      <c r="L2852" s="2275"/>
      <c r="M2852" s="1477">
        <f t="shared" si="318"/>
        <v>0</v>
      </c>
      <c r="N2852" s="1604"/>
      <c r="O2852" s="1604"/>
      <c r="P2852" s="1604"/>
      <c r="Q2852" s="1604"/>
      <c r="R2852" s="1604"/>
      <c r="S2852" s="364"/>
      <c r="Z2852" s="609" t="s">
        <v>1181</v>
      </c>
      <c r="AA2852" s="609" t="s">
        <v>3646</v>
      </c>
    </row>
    <row r="2853" spans="1:27" ht="18">
      <c r="A2853" s="2714"/>
      <c r="B2853" s="371">
        <v>104</v>
      </c>
      <c r="C2853" s="371" t="s">
        <v>2791</v>
      </c>
      <c r="D2853" s="2716">
        <f t="shared" si="317"/>
        <v>0</v>
      </c>
      <c r="E2853" s="2721">
        <v>1</v>
      </c>
      <c r="F2853" s="294"/>
      <c r="G2853" s="2354" t="s">
        <v>2792</v>
      </c>
      <c r="H2853" s="2275"/>
      <c r="I2853" s="2275"/>
      <c r="J2853" s="2275"/>
      <c r="K2853" s="2275"/>
      <c r="L2853" s="2275"/>
      <c r="M2853" s="1477">
        <f t="shared" si="318"/>
        <v>0</v>
      </c>
      <c r="N2853" s="1604"/>
      <c r="O2853" s="1604"/>
      <c r="P2853" s="1604"/>
      <c r="Q2853" s="1604"/>
      <c r="R2853" s="1604"/>
      <c r="S2853" s="364"/>
      <c r="Z2853" s="609" t="s">
        <v>1181</v>
      </c>
      <c r="AA2853" s="609" t="s">
        <v>3646</v>
      </c>
    </row>
    <row r="2854" spans="1:27" ht="18">
      <c r="A2854" s="2714"/>
      <c r="B2854" s="371">
        <v>105</v>
      </c>
      <c r="C2854" s="371" t="s">
        <v>2791</v>
      </c>
      <c r="D2854" s="2716">
        <f t="shared" si="317"/>
        <v>0</v>
      </c>
      <c r="E2854" s="2721">
        <v>1</v>
      </c>
      <c r="F2854" s="294"/>
      <c r="G2854" s="2354" t="s">
        <v>2792</v>
      </c>
      <c r="H2854" s="2275"/>
      <c r="I2854" s="2275"/>
      <c r="J2854" s="2275"/>
      <c r="K2854" s="2275"/>
      <c r="L2854" s="2275"/>
      <c r="M2854" s="1477">
        <f t="shared" si="318"/>
        <v>0</v>
      </c>
      <c r="N2854" s="1604"/>
      <c r="O2854" s="1604"/>
      <c r="P2854" s="1604"/>
      <c r="Q2854" s="1604"/>
      <c r="R2854" s="1604"/>
      <c r="S2854" s="364"/>
      <c r="Z2854" s="609" t="s">
        <v>1181</v>
      </c>
      <c r="AA2854" s="609" t="s">
        <v>3646</v>
      </c>
    </row>
    <row r="2855" spans="1:27" ht="18">
      <c r="A2855" s="2714"/>
      <c r="B2855" s="371">
        <v>106</v>
      </c>
      <c r="C2855" s="371" t="s">
        <v>2791</v>
      </c>
      <c r="D2855" s="2716">
        <f t="shared" si="317"/>
        <v>0</v>
      </c>
      <c r="E2855" s="2721">
        <v>1</v>
      </c>
      <c r="F2855" s="294"/>
      <c r="G2855" s="2354" t="s">
        <v>2792</v>
      </c>
      <c r="H2855" s="2275"/>
      <c r="I2855" s="2275"/>
      <c r="J2855" s="2275"/>
      <c r="K2855" s="2275"/>
      <c r="L2855" s="2275"/>
      <c r="M2855" s="1477">
        <f t="shared" si="318"/>
        <v>0</v>
      </c>
      <c r="N2855" s="1604"/>
      <c r="O2855" s="1604"/>
      <c r="P2855" s="1604"/>
      <c r="Q2855" s="1604"/>
      <c r="R2855" s="1604"/>
      <c r="S2855" s="364"/>
      <c r="Z2855" s="609" t="s">
        <v>1181</v>
      </c>
      <c r="AA2855" s="609" t="s">
        <v>3646</v>
      </c>
    </row>
    <row r="2856" spans="1:27" ht="18">
      <c r="A2856" s="2714"/>
      <c r="B2856" s="371">
        <v>107</v>
      </c>
      <c r="C2856" s="371" t="s">
        <v>2791</v>
      </c>
      <c r="D2856" s="2716">
        <f t="shared" si="317"/>
        <v>0</v>
      </c>
      <c r="E2856" s="2721">
        <v>1</v>
      </c>
      <c r="F2856" s="294"/>
      <c r="G2856" s="2354" t="s">
        <v>2792</v>
      </c>
      <c r="H2856" s="2275"/>
      <c r="I2856" s="2275"/>
      <c r="J2856" s="2275"/>
      <c r="K2856" s="2275"/>
      <c r="L2856" s="2275"/>
      <c r="M2856" s="1477">
        <f t="shared" si="318"/>
        <v>0</v>
      </c>
      <c r="N2856" s="1604"/>
      <c r="O2856" s="1604"/>
      <c r="P2856" s="1604"/>
      <c r="Q2856" s="1604"/>
      <c r="R2856" s="1604"/>
      <c r="S2856" s="364"/>
      <c r="Z2856" s="609" t="s">
        <v>1181</v>
      </c>
      <c r="AA2856" s="609" t="s">
        <v>3646</v>
      </c>
    </row>
    <row r="2857" spans="1:27" ht="18">
      <c r="A2857" s="2714"/>
      <c r="B2857" s="371">
        <v>108</v>
      </c>
      <c r="C2857" s="371" t="s">
        <v>2791</v>
      </c>
      <c r="D2857" s="2716">
        <f t="shared" si="317"/>
        <v>0</v>
      </c>
      <c r="E2857" s="2721">
        <v>1</v>
      </c>
      <c r="F2857" s="294"/>
      <c r="G2857" s="2354" t="s">
        <v>2792</v>
      </c>
      <c r="H2857" s="2275"/>
      <c r="I2857" s="2275"/>
      <c r="J2857" s="2275"/>
      <c r="K2857" s="2275"/>
      <c r="L2857" s="2275"/>
      <c r="M2857" s="1477">
        <f t="shared" si="318"/>
        <v>0</v>
      </c>
      <c r="N2857" s="1604"/>
      <c r="O2857" s="1604"/>
      <c r="P2857" s="1604"/>
      <c r="Q2857" s="1604"/>
      <c r="R2857" s="1604"/>
      <c r="S2857" s="364"/>
      <c r="Z2857" s="609" t="s">
        <v>1181</v>
      </c>
      <c r="AA2857" s="609" t="s">
        <v>3646</v>
      </c>
    </row>
    <row r="2858" spans="1:27" ht="18">
      <c r="A2858" s="2714"/>
      <c r="B2858" s="371">
        <v>109</v>
      </c>
      <c r="C2858" s="371" t="s">
        <v>2791</v>
      </c>
      <c r="D2858" s="2716">
        <f t="shared" si="317"/>
        <v>0</v>
      </c>
      <c r="E2858" s="2721">
        <v>1</v>
      </c>
      <c r="F2858" s="294"/>
      <c r="G2858" s="2354" t="s">
        <v>2792</v>
      </c>
      <c r="H2858" s="2275"/>
      <c r="I2858" s="2275"/>
      <c r="J2858" s="2275"/>
      <c r="K2858" s="2275"/>
      <c r="L2858" s="2275"/>
      <c r="M2858" s="1477">
        <f t="shared" si="318"/>
        <v>0</v>
      </c>
      <c r="N2858" s="1604"/>
      <c r="O2858" s="1604"/>
      <c r="P2858" s="1604"/>
      <c r="Q2858" s="1604"/>
      <c r="R2858" s="1604"/>
      <c r="S2858" s="364"/>
      <c r="Z2858" s="609" t="s">
        <v>1181</v>
      </c>
      <c r="AA2858" s="609" t="s">
        <v>3646</v>
      </c>
    </row>
    <row r="2859" spans="1:27" ht="18">
      <c r="A2859" s="2714"/>
      <c r="B2859" s="371">
        <v>110</v>
      </c>
      <c r="C2859" s="371" t="s">
        <v>2791</v>
      </c>
      <c r="D2859" s="2716">
        <f t="shared" si="317"/>
        <v>0</v>
      </c>
      <c r="E2859" s="2721">
        <v>1</v>
      </c>
      <c r="F2859" s="294"/>
      <c r="G2859" s="2354" t="s">
        <v>2792</v>
      </c>
      <c r="H2859" s="2275"/>
      <c r="I2859" s="2275"/>
      <c r="J2859" s="2275"/>
      <c r="K2859" s="2275"/>
      <c r="L2859" s="2275"/>
      <c r="M2859" s="1477">
        <f t="shared" si="318"/>
        <v>0</v>
      </c>
      <c r="N2859" s="1604"/>
      <c r="O2859" s="1604"/>
      <c r="P2859" s="1604"/>
      <c r="Q2859" s="1604"/>
      <c r="R2859" s="1604"/>
      <c r="S2859" s="364"/>
      <c r="Z2859" s="609" t="s">
        <v>1181</v>
      </c>
      <c r="AA2859" s="609" t="s">
        <v>3646</v>
      </c>
    </row>
    <row r="2860" spans="1:27" ht="18.75" thickBot="1">
      <c r="A2860" s="2714"/>
      <c r="B2860" s="371"/>
      <c r="C2860" s="371"/>
      <c r="D2860" s="2716">
        <f t="shared" si="317"/>
        <v>1</v>
      </c>
      <c r="E2860" s="2721" t="s">
        <v>2751</v>
      </c>
      <c r="F2860" s="294"/>
      <c r="G2860" s="374" t="s">
        <v>2752</v>
      </c>
      <c r="H2860" s="1478">
        <f t="shared" ref="H2860:M2860" si="319">SUMPRODUCT($E2849:$E2859,H2849:H2859)</f>
        <v>0</v>
      </c>
      <c r="I2860" s="1478">
        <f t="shared" si="319"/>
        <v>0</v>
      </c>
      <c r="J2860" s="1478">
        <f t="shared" si="319"/>
        <v>0</v>
      </c>
      <c r="K2860" s="1478">
        <f t="shared" si="319"/>
        <v>0</v>
      </c>
      <c r="L2860" s="1478">
        <f t="shared" si="319"/>
        <v>0</v>
      </c>
      <c r="M2860" s="1479">
        <f t="shared" si="319"/>
        <v>0</v>
      </c>
      <c r="N2860" s="1604"/>
      <c r="O2860" s="1604"/>
      <c r="P2860" s="1604"/>
      <c r="Q2860" s="1604"/>
      <c r="R2860" s="1604"/>
      <c r="S2860" s="364"/>
      <c r="Z2860" s="609" t="s">
        <v>1181</v>
      </c>
      <c r="AA2860" s="609" t="s">
        <v>3646</v>
      </c>
    </row>
    <row r="2861" spans="1:27" ht="18">
      <c r="A2861" s="2714"/>
      <c r="B2861" s="371"/>
      <c r="C2861" s="371" t="s">
        <v>2755</v>
      </c>
      <c r="D2861" s="371"/>
      <c r="F2861" s="294"/>
      <c r="G2861" s="301"/>
      <c r="H2861" s="315"/>
      <c r="I2861" s="315"/>
      <c r="J2861" s="315"/>
      <c r="K2861" s="315"/>
      <c r="L2861" s="315"/>
      <c r="M2861" s="315"/>
      <c r="N2861" s="1604"/>
      <c r="O2861" s="1604"/>
      <c r="P2861" s="1604"/>
      <c r="Q2861" s="1604"/>
      <c r="R2861" s="1604"/>
      <c r="S2861" s="364"/>
      <c r="Z2861" s="609" t="s">
        <v>1181</v>
      </c>
      <c r="AA2861" s="609" t="s">
        <v>3646</v>
      </c>
    </row>
    <row r="2862" spans="1:27" ht="24">
      <c r="A2862" s="2714" t="s">
        <v>1193</v>
      </c>
      <c r="B2862" s="371">
        <v>2</v>
      </c>
      <c r="C2862" s="371"/>
      <c r="D2862" s="2716" t="str">
        <f>VLOOKUP($A2862,Sheet_NoteList,2,0)</f>
        <v>重要在建工程项目变动情况列示（续）</v>
      </c>
      <c r="E2862" s="2716" t="s">
        <v>6531</v>
      </c>
      <c r="F2862" s="294"/>
      <c r="G2862" s="372" t="str">
        <f>"("&amp;B2862&amp;")"&amp;D2862</f>
        <v>(2)重要在建工程项目变动情况列示（续）</v>
      </c>
      <c r="H2862" s="1517" t="str">
        <f>$A2862</f>
        <v>1604c</v>
      </c>
      <c r="I2862" s="343" t="s">
        <v>5966</v>
      </c>
      <c r="J2862" s="301"/>
      <c r="K2862" s="391"/>
      <c r="L2862" s="1535" t="str">
        <f>IF($I2862="适用",IF(ROUND(H2845-K2862,2)&gt;=0,IF(H2845&lt;&gt;0,K2862/H2845,""),"#Logical!"),"#N/A")</f>
        <v/>
      </c>
      <c r="M2862" s="301"/>
      <c r="N2862" s="3085"/>
      <c r="O2862" s="315"/>
      <c r="P2862" s="301"/>
      <c r="Q2862" s="290" t="str">
        <f>IF($I2862="不适用","",IF(ROUND(SUM($H$2865:$K$2875),2)=0,"请输入",""))</f>
        <v>请输入</v>
      </c>
      <c r="S2862" s="364"/>
      <c r="Z2862" s="609" t="s">
        <v>1181</v>
      </c>
      <c r="AA2862" s="609" t="s">
        <v>3646</v>
      </c>
    </row>
    <row r="2863" spans="1:27" ht="0.75" customHeight="1" thickBot="1">
      <c r="A2863" s="2714"/>
      <c r="B2863" s="371"/>
      <c r="C2863" s="371"/>
      <c r="D2863" s="371"/>
      <c r="E2863" s="586"/>
      <c r="F2863" s="586"/>
      <c r="G2863" s="586" t="s">
        <v>3664</v>
      </c>
      <c r="H2863" s="371" t="s">
        <v>3666</v>
      </c>
      <c r="I2863" s="371" t="s">
        <v>3667</v>
      </c>
      <c r="J2863" s="371" t="s">
        <v>3655</v>
      </c>
      <c r="K2863" s="371" t="s">
        <v>3656</v>
      </c>
      <c r="L2863" s="371" t="s">
        <v>3657</v>
      </c>
      <c r="M2863" s="371" t="s">
        <v>3668</v>
      </c>
      <c r="O2863" s="291"/>
      <c r="P2863" s="291"/>
      <c r="Q2863" s="367"/>
      <c r="R2863" s="367"/>
      <c r="S2863" s="364"/>
      <c r="Z2863" s="609" t="s">
        <v>1181</v>
      </c>
      <c r="AA2863" s="609" t="s">
        <v>3646</v>
      </c>
    </row>
    <row r="2864" spans="1:27" ht="24" customHeight="1">
      <c r="A2864" s="2714"/>
      <c r="B2864" s="371"/>
      <c r="C2864" s="371"/>
      <c r="D2864" s="371"/>
      <c r="E2864" s="586" t="s">
        <v>2749</v>
      </c>
      <c r="F2864" s="363"/>
      <c r="G2864" s="2357" t="s">
        <v>1476</v>
      </c>
      <c r="H2864" s="2353" t="s">
        <v>3669</v>
      </c>
      <c r="I2864" s="2353" t="s">
        <v>3662</v>
      </c>
      <c r="J2864" s="2353" t="s">
        <v>3659</v>
      </c>
      <c r="K2864" s="2353" t="s">
        <v>3660</v>
      </c>
      <c r="L2864" s="2353" t="s">
        <v>3661</v>
      </c>
      <c r="M2864" s="2350" t="s">
        <v>3663</v>
      </c>
      <c r="N2864" s="355" t="s">
        <v>5289</v>
      </c>
      <c r="O2864" s="291"/>
      <c r="P2864" s="343"/>
      <c r="Q2864" s="367"/>
      <c r="R2864" s="367"/>
      <c r="S2864" s="364"/>
      <c r="Z2864" s="609" t="s">
        <v>1181</v>
      </c>
      <c r="AA2864" s="609" t="s">
        <v>3646</v>
      </c>
    </row>
    <row r="2865" spans="1:27" ht="18">
      <c r="A2865" s="2714"/>
      <c r="B2865" s="371">
        <v>101</v>
      </c>
      <c r="C2865" s="371" t="s">
        <v>2791</v>
      </c>
      <c r="D2865" s="2716">
        <f t="shared" ref="D2865:D2875" si="320">IF(OR(G2865="*",G2865="",G2865=0),0,COUNTIF($G$2865:$G$2875,G2865))</f>
        <v>0</v>
      </c>
      <c r="E2865" s="2721">
        <v>1</v>
      </c>
      <c r="F2865" s="294"/>
      <c r="G2865" s="2354" t="str">
        <f t="shared" ref="G2865:G2874" si="321">G2850</f>
        <v>*</v>
      </c>
      <c r="H2865" s="2298"/>
      <c r="I2865" s="2298"/>
      <c r="J2865" s="2275"/>
      <c r="K2865" s="2275"/>
      <c r="L2865" s="2298"/>
      <c r="M2865" s="2276"/>
      <c r="N2865" s="343" t="s">
        <v>6051</v>
      </c>
      <c r="O2865" s="291"/>
      <c r="Q2865" s="367"/>
      <c r="R2865" s="367"/>
      <c r="S2865" s="364"/>
      <c r="Z2865" s="609" t="s">
        <v>1181</v>
      </c>
      <c r="AA2865" s="609" t="s">
        <v>3646</v>
      </c>
    </row>
    <row r="2866" spans="1:27" ht="18">
      <c r="A2866" s="2714"/>
      <c r="B2866" s="371">
        <v>102</v>
      </c>
      <c r="C2866" s="371" t="s">
        <v>2791</v>
      </c>
      <c r="D2866" s="2716">
        <f t="shared" si="320"/>
        <v>0</v>
      </c>
      <c r="E2866" s="2721">
        <v>1</v>
      </c>
      <c r="F2866" s="294"/>
      <c r="G2866" s="2354" t="str">
        <f t="shared" si="321"/>
        <v>*</v>
      </c>
      <c r="H2866" s="2298"/>
      <c r="I2866" s="2298"/>
      <c r="J2866" s="2275"/>
      <c r="K2866" s="2275"/>
      <c r="L2866" s="2298"/>
      <c r="M2866" s="2276"/>
      <c r="N2866" s="291"/>
      <c r="O2866" s="291"/>
      <c r="P2866" s="291"/>
      <c r="Q2866" s="367"/>
      <c r="R2866" s="367"/>
      <c r="S2866" s="364"/>
      <c r="Z2866" s="609" t="s">
        <v>1181</v>
      </c>
      <c r="AA2866" s="609" t="s">
        <v>3646</v>
      </c>
    </row>
    <row r="2867" spans="1:27" ht="18">
      <c r="A2867" s="2714"/>
      <c r="B2867" s="371">
        <v>103</v>
      </c>
      <c r="C2867" s="371" t="s">
        <v>2791</v>
      </c>
      <c r="D2867" s="2716">
        <f t="shared" si="320"/>
        <v>0</v>
      </c>
      <c r="E2867" s="2721">
        <v>1</v>
      </c>
      <c r="F2867" s="294"/>
      <c r="G2867" s="2354" t="str">
        <f t="shared" si="321"/>
        <v>*</v>
      </c>
      <c r="H2867" s="2298"/>
      <c r="I2867" s="2298"/>
      <c r="J2867" s="2275"/>
      <c r="K2867" s="2275"/>
      <c r="L2867" s="2298"/>
      <c r="M2867" s="2276"/>
      <c r="N2867" s="291"/>
      <c r="O2867" s="291"/>
      <c r="P2867" s="291"/>
      <c r="Q2867" s="367"/>
      <c r="R2867" s="367"/>
      <c r="S2867" s="364"/>
      <c r="Z2867" s="609" t="s">
        <v>1181</v>
      </c>
      <c r="AA2867" s="609" t="s">
        <v>3646</v>
      </c>
    </row>
    <row r="2868" spans="1:27" ht="18">
      <c r="A2868" s="2714"/>
      <c r="B2868" s="371">
        <v>104</v>
      </c>
      <c r="C2868" s="371" t="s">
        <v>2791</v>
      </c>
      <c r="D2868" s="2716">
        <f t="shared" si="320"/>
        <v>0</v>
      </c>
      <c r="E2868" s="2721">
        <v>1</v>
      </c>
      <c r="F2868" s="294"/>
      <c r="G2868" s="2354" t="str">
        <f t="shared" si="321"/>
        <v>*</v>
      </c>
      <c r="H2868" s="2298"/>
      <c r="I2868" s="2298"/>
      <c r="J2868" s="2275"/>
      <c r="K2868" s="2275"/>
      <c r="L2868" s="2298"/>
      <c r="M2868" s="2276"/>
      <c r="N2868" s="291"/>
      <c r="O2868" s="291"/>
      <c r="P2868" s="291"/>
      <c r="Q2868" s="367"/>
      <c r="R2868" s="367"/>
      <c r="S2868" s="364"/>
      <c r="Z2868" s="609" t="s">
        <v>1181</v>
      </c>
      <c r="AA2868" s="609" t="s">
        <v>3646</v>
      </c>
    </row>
    <row r="2869" spans="1:27" ht="18">
      <c r="A2869" s="2714"/>
      <c r="B2869" s="371">
        <v>105</v>
      </c>
      <c r="C2869" s="371" t="s">
        <v>2791</v>
      </c>
      <c r="D2869" s="2716">
        <f t="shared" si="320"/>
        <v>0</v>
      </c>
      <c r="E2869" s="2721">
        <v>1</v>
      </c>
      <c r="F2869" s="294"/>
      <c r="G2869" s="2354" t="str">
        <f t="shared" si="321"/>
        <v>*</v>
      </c>
      <c r="H2869" s="2298"/>
      <c r="I2869" s="2298"/>
      <c r="J2869" s="2275"/>
      <c r="K2869" s="2275"/>
      <c r="L2869" s="2298"/>
      <c r="M2869" s="2276"/>
      <c r="N2869" s="291"/>
      <c r="O2869" s="291"/>
      <c r="P2869" s="291"/>
      <c r="Q2869" s="367"/>
      <c r="R2869" s="367"/>
      <c r="S2869" s="364"/>
      <c r="Z2869" s="609" t="s">
        <v>1181</v>
      </c>
      <c r="AA2869" s="609" t="s">
        <v>3646</v>
      </c>
    </row>
    <row r="2870" spans="1:27" ht="18">
      <c r="A2870" s="2714"/>
      <c r="B2870" s="371">
        <v>106</v>
      </c>
      <c r="C2870" s="371" t="s">
        <v>2791</v>
      </c>
      <c r="D2870" s="2716">
        <f t="shared" si="320"/>
        <v>0</v>
      </c>
      <c r="E2870" s="2721">
        <v>1</v>
      </c>
      <c r="F2870" s="294"/>
      <c r="G2870" s="2354" t="str">
        <f t="shared" si="321"/>
        <v>*</v>
      </c>
      <c r="H2870" s="2298"/>
      <c r="I2870" s="2298"/>
      <c r="J2870" s="2275"/>
      <c r="K2870" s="2275"/>
      <c r="L2870" s="2298"/>
      <c r="M2870" s="2276"/>
      <c r="N2870" s="291"/>
      <c r="O2870" s="291"/>
      <c r="P2870" s="291"/>
      <c r="Q2870" s="367"/>
      <c r="R2870" s="367"/>
      <c r="S2870" s="364"/>
      <c r="Z2870" s="609" t="s">
        <v>1181</v>
      </c>
      <c r="AA2870" s="609" t="s">
        <v>3646</v>
      </c>
    </row>
    <row r="2871" spans="1:27" ht="18">
      <c r="A2871" s="2714"/>
      <c r="B2871" s="371">
        <v>107</v>
      </c>
      <c r="C2871" s="371" t="s">
        <v>2791</v>
      </c>
      <c r="D2871" s="2716">
        <f t="shared" si="320"/>
        <v>0</v>
      </c>
      <c r="E2871" s="2721">
        <v>1</v>
      </c>
      <c r="F2871" s="294"/>
      <c r="G2871" s="2354" t="str">
        <f t="shared" si="321"/>
        <v>*</v>
      </c>
      <c r="H2871" s="2298"/>
      <c r="I2871" s="2298"/>
      <c r="J2871" s="2275"/>
      <c r="K2871" s="2275"/>
      <c r="L2871" s="2298"/>
      <c r="M2871" s="2276"/>
      <c r="N2871" s="291"/>
      <c r="O2871" s="291"/>
      <c r="P2871" s="291"/>
      <c r="Q2871" s="367"/>
      <c r="R2871" s="367"/>
      <c r="S2871" s="364"/>
      <c r="Z2871" s="609" t="s">
        <v>1181</v>
      </c>
      <c r="AA2871" s="609" t="s">
        <v>3646</v>
      </c>
    </row>
    <row r="2872" spans="1:27" ht="18">
      <c r="A2872" s="2714"/>
      <c r="B2872" s="371">
        <v>108</v>
      </c>
      <c r="C2872" s="371" t="s">
        <v>2791</v>
      </c>
      <c r="D2872" s="2716">
        <f t="shared" si="320"/>
        <v>0</v>
      </c>
      <c r="E2872" s="2721">
        <v>1</v>
      </c>
      <c r="F2872" s="294"/>
      <c r="G2872" s="2354" t="str">
        <f t="shared" si="321"/>
        <v>*</v>
      </c>
      <c r="H2872" s="2298"/>
      <c r="I2872" s="2298"/>
      <c r="J2872" s="2275"/>
      <c r="K2872" s="2275"/>
      <c r="L2872" s="2298"/>
      <c r="M2872" s="2276"/>
      <c r="N2872" s="291"/>
      <c r="O2872" s="291"/>
      <c r="P2872" s="291"/>
      <c r="Q2872" s="367"/>
      <c r="R2872" s="367"/>
      <c r="S2872" s="364"/>
      <c r="Z2872" s="609" t="s">
        <v>1181</v>
      </c>
      <c r="AA2872" s="609" t="s">
        <v>3646</v>
      </c>
    </row>
    <row r="2873" spans="1:27" ht="18">
      <c r="A2873" s="2714"/>
      <c r="B2873" s="371">
        <v>109</v>
      </c>
      <c r="C2873" s="371" t="s">
        <v>2791</v>
      </c>
      <c r="D2873" s="2716">
        <f t="shared" si="320"/>
        <v>0</v>
      </c>
      <c r="E2873" s="2721">
        <v>1</v>
      </c>
      <c r="F2873" s="294"/>
      <c r="G2873" s="2354" t="str">
        <f t="shared" si="321"/>
        <v>*</v>
      </c>
      <c r="H2873" s="2298"/>
      <c r="I2873" s="2298"/>
      <c r="J2873" s="2275"/>
      <c r="K2873" s="2275"/>
      <c r="L2873" s="2298"/>
      <c r="M2873" s="2276"/>
      <c r="N2873" s="291"/>
      <c r="O2873" s="291"/>
      <c r="P2873" s="291"/>
      <c r="Q2873" s="367"/>
      <c r="R2873" s="367"/>
      <c r="S2873" s="364"/>
      <c r="Z2873" s="609" t="s">
        <v>1181</v>
      </c>
      <c r="AA2873" s="609" t="s">
        <v>3646</v>
      </c>
    </row>
    <row r="2874" spans="1:27" ht="18">
      <c r="A2874" s="2714"/>
      <c r="B2874" s="371">
        <v>110</v>
      </c>
      <c r="C2874" s="371" t="s">
        <v>2791</v>
      </c>
      <c r="D2874" s="2716">
        <f t="shared" si="320"/>
        <v>0</v>
      </c>
      <c r="E2874" s="2721">
        <v>1</v>
      </c>
      <c r="F2874" s="294"/>
      <c r="G2874" s="2354" t="str">
        <f t="shared" si="321"/>
        <v>*</v>
      </c>
      <c r="H2874" s="2298"/>
      <c r="I2874" s="2298"/>
      <c r="J2874" s="2275"/>
      <c r="K2874" s="2275"/>
      <c r="L2874" s="2298"/>
      <c r="M2874" s="2276"/>
      <c r="N2874" s="291"/>
      <c r="O2874" s="291"/>
      <c r="P2874" s="291"/>
      <c r="Q2874" s="367"/>
      <c r="R2874" s="367"/>
      <c r="S2874" s="364"/>
      <c r="Z2874" s="609" t="s">
        <v>1181</v>
      </c>
      <c r="AA2874" s="609" t="s">
        <v>3646</v>
      </c>
    </row>
    <row r="2875" spans="1:27" ht="18.75" thickBot="1">
      <c r="A2875" s="2714"/>
      <c r="B2875" s="371"/>
      <c r="C2875" s="371"/>
      <c r="D2875" s="2716">
        <f t="shared" si="320"/>
        <v>1</v>
      </c>
      <c r="E2875" s="2721" t="s">
        <v>2751</v>
      </c>
      <c r="F2875" s="294"/>
      <c r="G2875" s="374" t="s">
        <v>2752</v>
      </c>
      <c r="H2875" s="2378"/>
      <c r="I2875" s="2261"/>
      <c r="J2875" s="2377"/>
      <c r="K2875" s="2377"/>
      <c r="L2875" s="2261"/>
      <c r="M2875" s="2260"/>
      <c r="N2875" s="291"/>
      <c r="O2875" s="291"/>
      <c r="P2875" s="291"/>
      <c r="Q2875" s="367"/>
      <c r="R2875" s="367"/>
      <c r="S2875" s="364"/>
      <c r="Z2875" s="609" t="s">
        <v>1181</v>
      </c>
      <c r="AA2875" s="609" t="s">
        <v>3646</v>
      </c>
    </row>
    <row r="2876" spans="1:27" ht="18">
      <c r="A2876" s="2714"/>
      <c r="B2876" s="371"/>
      <c r="C2876" s="371" t="s">
        <v>2755</v>
      </c>
      <c r="D2876" s="371"/>
      <c r="F2876" s="294"/>
      <c r="G2876" s="301"/>
      <c r="H2876" s="393"/>
      <c r="I2876" s="393"/>
      <c r="J2876" s="315"/>
      <c r="K2876" s="315"/>
      <c r="L2876" s="393"/>
      <c r="M2876" s="393"/>
      <c r="N2876" s="291"/>
      <c r="O2876" s="291"/>
      <c r="P2876" s="291"/>
      <c r="Q2876" s="367"/>
      <c r="R2876" s="367"/>
      <c r="S2876" s="364"/>
      <c r="Z2876" s="609" t="s">
        <v>1181</v>
      </c>
      <c r="AA2876" s="609" t="s">
        <v>3646</v>
      </c>
    </row>
    <row r="2877" spans="1:27" ht="24">
      <c r="A2877" s="2714" t="s">
        <v>1186</v>
      </c>
      <c r="B2877" s="371">
        <v>3</v>
      </c>
      <c r="C2877" s="371"/>
      <c r="D2877" s="2716" t="str">
        <f>VLOOKUP($A2877,Sheet_NoteList,2,0)</f>
        <v>在建工程项目减值准备情况</v>
      </c>
      <c r="E2877" s="2716" t="s">
        <v>2742</v>
      </c>
      <c r="F2877" s="293"/>
      <c r="G2877" s="372" t="str">
        <f>"("&amp;B2877&amp;")"&amp;D2877</f>
        <v>(3)在建工程项目减值准备情况</v>
      </c>
      <c r="H2877" s="1517" t="str">
        <f>$A2877</f>
        <v>1604g</v>
      </c>
      <c r="I2877" s="343" t="s">
        <v>2743</v>
      </c>
      <c r="J2877" s="301" t="s">
        <v>2744</v>
      </c>
      <c r="K2877" s="2210">
        <f>H2888</f>
        <v>0</v>
      </c>
      <c r="L2877" s="349" t="str">
        <f>IF($I2877="适用",IF(ROUND(K$2829-K2877,2)=0,"F/S",ROUND(K$2829-K2877,2)),"#N/A")</f>
        <v>F/S</v>
      </c>
      <c r="M2877" s="301" t="s">
        <v>2745</v>
      </c>
      <c r="N2877" s="2210">
        <f>I2888</f>
        <v>0</v>
      </c>
      <c r="O2877" s="349">
        <f>IF($I2877="适用",IF(ROUND(N$2829-N2877,2)=0,"F/S",ROUND(N$2829-N2877,2)),"#N/A")</f>
        <v>41650</v>
      </c>
      <c r="P2877" s="301"/>
      <c r="S2877" s="364"/>
      <c r="Z2877" s="609" t="s">
        <v>1181</v>
      </c>
      <c r="AA2877" s="609" t="s">
        <v>3646</v>
      </c>
    </row>
    <row r="2878" spans="1:27" ht="0.75" customHeight="1" thickBot="1">
      <c r="A2878" s="2714"/>
      <c r="B2878" s="371"/>
      <c r="C2878" s="371"/>
      <c r="D2878" s="2716"/>
      <c r="E2878" s="586"/>
      <c r="F2878" s="586"/>
      <c r="G2878" s="2224" t="s">
        <v>3670</v>
      </c>
      <c r="H2878" s="371" t="s">
        <v>2747</v>
      </c>
      <c r="I2878" s="371" t="s">
        <v>2748</v>
      </c>
      <c r="J2878" s="547" t="s">
        <v>3671</v>
      </c>
      <c r="K2878" s="428"/>
      <c r="L2878" s="428"/>
      <c r="M2878" s="433"/>
      <c r="N2878" s="428"/>
      <c r="O2878" s="428"/>
      <c r="P2878" s="433"/>
      <c r="Q2878" s="442"/>
      <c r="R2878" s="443"/>
      <c r="S2878" s="364"/>
      <c r="Z2878" s="609" t="s">
        <v>1181</v>
      </c>
      <c r="AA2878" s="609" t="s">
        <v>3646</v>
      </c>
    </row>
    <row r="2879" spans="1:27" ht="18">
      <c r="A2879" s="2714"/>
      <c r="B2879" s="371"/>
      <c r="C2879" s="371"/>
      <c r="D2879" s="2716"/>
      <c r="E2879" s="586" t="s">
        <v>2749</v>
      </c>
      <c r="F2879" s="414"/>
      <c r="G2879" s="2349" t="s">
        <v>47</v>
      </c>
      <c r="H2879" s="2232" t="str">
        <f>$V$2</f>
        <v>2019年12月31日</v>
      </c>
      <c r="I2879" s="2232" t="str">
        <f>$V$3</f>
        <v>2018年12月31日</v>
      </c>
      <c r="J2879" s="2356" t="s">
        <v>3672</v>
      </c>
      <c r="K2879" s="355" t="s">
        <v>5289</v>
      </c>
      <c r="L2879" s="434"/>
      <c r="M2879" s="435"/>
      <c r="N2879" s="434"/>
      <c r="O2879" s="434"/>
      <c r="P2879" s="435"/>
      <c r="Q2879" s="442"/>
      <c r="R2879" s="443"/>
      <c r="S2879" s="364"/>
      <c r="Z2879" s="609" t="s">
        <v>1181</v>
      </c>
      <c r="AA2879" s="609" t="s">
        <v>3646</v>
      </c>
    </row>
    <row r="2880" spans="1:27" ht="18">
      <c r="A2880" s="2714"/>
      <c r="B2880" s="371">
        <v>101</v>
      </c>
      <c r="C2880" s="371" t="s">
        <v>2791</v>
      </c>
      <c r="D2880" s="2716">
        <f t="shared" ref="D2880:D2888" si="322">IF(OR(G2880="*",G2880="",G2880=0),0,COUNTIF($G$2880:$G$2888,G2880))</f>
        <v>0</v>
      </c>
      <c r="E2880" s="2721">
        <v>1</v>
      </c>
      <c r="F2880" s="293"/>
      <c r="G2880" s="2354" t="s">
        <v>2792</v>
      </c>
      <c r="H2880" s="2275"/>
      <c r="I2880" s="2275"/>
      <c r="J2880" s="2276"/>
      <c r="K2880" s="439"/>
      <c r="L2880" s="437"/>
      <c r="M2880" s="438"/>
      <c r="N2880" s="439"/>
      <c r="O2880" s="437"/>
      <c r="P2880" s="438"/>
      <c r="Q2880" s="442"/>
      <c r="R2880" s="443"/>
      <c r="S2880" s="364"/>
      <c r="Z2880" s="609" t="s">
        <v>1181</v>
      </c>
      <c r="AA2880" s="609" t="s">
        <v>3646</v>
      </c>
    </row>
    <row r="2881" spans="1:29" ht="18">
      <c r="A2881" s="2714"/>
      <c r="B2881" s="371">
        <v>102</v>
      </c>
      <c r="C2881" s="371" t="s">
        <v>2791</v>
      </c>
      <c r="D2881" s="2716">
        <f t="shared" si="322"/>
        <v>0</v>
      </c>
      <c r="E2881" s="2721">
        <v>1</v>
      </c>
      <c r="F2881" s="293"/>
      <c r="G2881" s="2354" t="s">
        <v>2792</v>
      </c>
      <c r="H2881" s="2275"/>
      <c r="I2881" s="2275"/>
      <c r="J2881" s="2276"/>
      <c r="K2881" s="439"/>
      <c r="L2881" s="437"/>
      <c r="M2881" s="438"/>
      <c r="N2881" s="439"/>
      <c r="O2881" s="437"/>
      <c r="P2881" s="438"/>
      <c r="Q2881" s="442"/>
      <c r="R2881" s="443"/>
      <c r="S2881" s="364"/>
      <c r="Z2881" s="609" t="s">
        <v>1181</v>
      </c>
      <c r="AA2881" s="609" t="s">
        <v>3646</v>
      </c>
    </row>
    <row r="2882" spans="1:29" ht="18">
      <c r="A2882" s="2714"/>
      <c r="B2882" s="371">
        <v>103</v>
      </c>
      <c r="C2882" s="371" t="s">
        <v>2791</v>
      </c>
      <c r="D2882" s="2716">
        <f t="shared" si="322"/>
        <v>0</v>
      </c>
      <c r="E2882" s="2721">
        <v>1</v>
      </c>
      <c r="F2882" s="293"/>
      <c r="G2882" s="2354" t="s">
        <v>2792</v>
      </c>
      <c r="H2882" s="2275"/>
      <c r="I2882" s="2275"/>
      <c r="J2882" s="2276"/>
      <c r="K2882" s="439"/>
      <c r="L2882" s="437"/>
      <c r="M2882" s="438"/>
      <c r="N2882" s="439"/>
      <c r="O2882" s="437"/>
      <c r="P2882" s="438"/>
      <c r="Q2882" s="442"/>
      <c r="R2882" s="443"/>
      <c r="S2882" s="364"/>
      <c r="Z2882" s="609" t="s">
        <v>1181</v>
      </c>
      <c r="AA2882" s="609" t="s">
        <v>3646</v>
      </c>
    </row>
    <row r="2883" spans="1:29" ht="18">
      <c r="A2883" s="2714"/>
      <c r="B2883" s="371">
        <v>104</v>
      </c>
      <c r="C2883" s="371" t="s">
        <v>2791</v>
      </c>
      <c r="D2883" s="2716">
        <f t="shared" si="322"/>
        <v>0</v>
      </c>
      <c r="E2883" s="2721">
        <v>1</v>
      </c>
      <c r="F2883" s="293"/>
      <c r="G2883" s="2354" t="s">
        <v>2792</v>
      </c>
      <c r="H2883" s="2275"/>
      <c r="I2883" s="2275"/>
      <c r="J2883" s="2276"/>
      <c r="K2883" s="439"/>
      <c r="L2883" s="437"/>
      <c r="M2883" s="438"/>
      <c r="N2883" s="439"/>
      <c r="O2883" s="437"/>
      <c r="P2883" s="438"/>
      <c r="Q2883" s="442"/>
      <c r="R2883" s="443"/>
      <c r="S2883" s="364"/>
      <c r="Z2883" s="609" t="s">
        <v>1181</v>
      </c>
      <c r="AA2883" s="609" t="s">
        <v>3646</v>
      </c>
    </row>
    <row r="2884" spans="1:29" ht="18">
      <c r="A2884" s="2714"/>
      <c r="B2884" s="371">
        <v>105</v>
      </c>
      <c r="C2884" s="371" t="s">
        <v>2791</v>
      </c>
      <c r="D2884" s="2716">
        <f t="shared" si="322"/>
        <v>0</v>
      </c>
      <c r="E2884" s="2721">
        <v>1</v>
      </c>
      <c r="F2884" s="293"/>
      <c r="G2884" s="2354" t="s">
        <v>2792</v>
      </c>
      <c r="H2884" s="2275"/>
      <c r="I2884" s="2275"/>
      <c r="J2884" s="2276"/>
      <c r="K2884" s="439"/>
      <c r="L2884" s="437"/>
      <c r="M2884" s="438"/>
      <c r="N2884" s="439"/>
      <c r="O2884" s="437"/>
      <c r="P2884" s="438"/>
      <c r="Q2884" s="442"/>
      <c r="R2884" s="443"/>
      <c r="S2884" s="364"/>
      <c r="Z2884" s="609" t="s">
        <v>1181</v>
      </c>
      <c r="AA2884" s="609" t="s">
        <v>3646</v>
      </c>
    </row>
    <row r="2885" spans="1:29" ht="18">
      <c r="A2885" s="2714"/>
      <c r="B2885" s="371">
        <v>106</v>
      </c>
      <c r="C2885" s="371" t="s">
        <v>2791</v>
      </c>
      <c r="D2885" s="2716">
        <f t="shared" si="322"/>
        <v>0</v>
      </c>
      <c r="E2885" s="2721">
        <v>1</v>
      </c>
      <c r="F2885" s="293"/>
      <c r="G2885" s="2354" t="s">
        <v>2792</v>
      </c>
      <c r="H2885" s="2275"/>
      <c r="I2885" s="2275"/>
      <c r="J2885" s="2276"/>
      <c r="K2885" s="439"/>
      <c r="L2885" s="437"/>
      <c r="M2885" s="438"/>
      <c r="N2885" s="439"/>
      <c r="O2885" s="437"/>
      <c r="P2885" s="438"/>
      <c r="Q2885" s="442"/>
      <c r="R2885" s="443"/>
      <c r="S2885" s="364"/>
      <c r="Z2885" s="609" t="s">
        <v>1181</v>
      </c>
      <c r="AA2885" s="609" t="s">
        <v>3646</v>
      </c>
    </row>
    <row r="2886" spans="1:29" ht="18">
      <c r="A2886" s="2714"/>
      <c r="B2886" s="371">
        <v>107</v>
      </c>
      <c r="C2886" s="371" t="s">
        <v>2791</v>
      </c>
      <c r="D2886" s="2716">
        <f t="shared" si="322"/>
        <v>0</v>
      </c>
      <c r="E2886" s="2721">
        <v>1</v>
      </c>
      <c r="F2886" s="293"/>
      <c r="G2886" s="2354" t="s">
        <v>2792</v>
      </c>
      <c r="H2886" s="2275"/>
      <c r="I2886" s="2275"/>
      <c r="J2886" s="2276"/>
      <c r="K2886" s="439"/>
      <c r="L2886" s="437"/>
      <c r="M2886" s="438"/>
      <c r="N2886" s="439"/>
      <c r="O2886" s="437"/>
      <c r="P2886" s="438"/>
      <c r="Q2886" s="442"/>
      <c r="R2886" s="443"/>
      <c r="S2886" s="364"/>
      <c r="Z2886" s="609" t="s">
        <v>1181</v>
      </c>
      <c r="AA2886" s="609" t="s">
        <v>3646</v>
      </c>
    </row>
    <row r="2887" spans="1:29" ht="18">
      <c r="A2887" s="2714"/>
      <c r="B2887" s="371">
        <v>108</v>
      </c>
      <c r="C2887" s="371" t="s">
        <v>2791</v>
      </c>
      <c r="D2887" s="2716">
        <f t="shared" si="322"/>
        <v>0</v>
      </c>
      <c r="E2887" s="2721">
        <v>1</v>
      </c>
      <c r="F2887" s="293"/>
      <c r="G2887" s="2354" t="s">
        <v>2792</v>
      </c>
      <c r="H2887" s="2275"/>
      <c r="I2887" s="2275"/>
      <c r="J2887" s="2276"/>
      <c r="K2887" s="439"/>
      <c r="L2887" s="437"/>
      <c r="M2887" s="438"/>
      <c r="N2887" s="439"/>
      <c r="O2887" s="437"/>
      <c r="P2887" s="438"/>
      <c r="Q2887" s="442"/>
      <c r="R2887" s="443"/>
      <c r="S2887" s="364"/>
      <c r="Z2887" s="609" t="s">
        <v>1181</v>
      </c>
      <c r="AA2887" s="609" t="s">
        <v>3646</v>
      </c>
    </row>
    <row r="2888" spans="1:29" ht="18.75" thickBot="1">
      <c r="A2888" s="2714"/>
      <c r="B2888" s="371"/>
      <c r="C2888" s="371"/>
      <c r="D2888" s="2716">
        <f t="shared" si="322"/>
        <v>1</v>
      </c>
      <c r="E2888" s="2721" t="s">
        <v>2751</v>
      </c>
      <c r="F2888" s="293"/>
      <c r="G2888" s="2234" t="s">
        <v>2752</v>
      </c>
      <c r="H2888" s="2235">
        <f>SUMPRODUCT($E2879:$E2887,H2879:H2887)</f>
        <v>0</v>
      </c>
      <c r="I2888" s="2235">
        <f>SUMPRODUCT($E2879:$E2887,I2879:I2887)</f>
        <v>0</v>
      </c>
      <c r="J2888" s="2313">
        <f>SUMPRODUCT($E2879:$E2887,J2879:J2887)</f>
        <v>0</v>
      </c>
      <c r="K2888" s="1589" t="str">
        <f ca="1">HYPERLINK("#'"&amp;$G$1&amp;"'!"&amp;ADDRESS(ROW(Notes!L4897),COLUMN(Notes!L4897),4),"* 请勿删除此行！点击往勾稽单元格，F5+Enter返回")</f>
        <v>* 请勿删除此行！点击往勾稽单元格，F5+Enter返回</v>
      </c>
      <c r="L2888" s="437"/>
      <c r="M2888" s="440"/>
      <c r="N2888" s="439"/>
      <c r="O2888" s="437"/>
      <c r="P2888" s="440"/>
      <c r="Q2888" s="442"/>
      <c r="R2888" s="443"/>
      <c r="S2888" s="364"/>
      <c r="Z2888" s="609" t="s">
        <v>1181</v>
      </c>
      <c r="AA2888" s="609" t="s">
        <v>3646</v>
      </c>
      <c r="AC2888" s="369" t="s">
        <v>2794</v>
      </c>
    </row>
    <row r="2889" spans="1:29" ht="18.75" thickBot="1">
      <c r="A2889" s="2714"/>
      <c r="B2889" s="371"/>
      <c r="C2889" s="371" t="s">
        <v>2755</v>
      </c>
      <c r="D2889" s="2716"/>
      <c r="F2889" s="293"/>
      <c r="G2889" s="376"/>
      <c r="H2889" s="527" t="s">
        <v>3002</v>
      </c>
      <c r="I2889" s="2253" t="s">
        <v>3002</v>
      </c>
      <c r="J2889" s="393"/>
      <c r="K2889" s="426"/>
      <c r="L2889" s="427"/>
      <c r="M2889" s="425"/>
      <c r="N2889" s="426"/>
      <c r="O2889" s="427"/>
      <c r="P2889" s="425"/>
      <c r="Q2889" s="442"/>
      <c r="R2889" s="443"/>
      <c r="S2889" s="364"/>
      <c r="Z2889" s="609" t="s">
        <v>1181</v>
      </c>
      <c r="AA2889" s="609" t="s">
        <v>3646</v>
      </c>
    </row>
    <row r="2890" spans="1:29" ht="18.75" thickTop="1">
      <c r="A2890" s="2714"/>
      <c r="B2890" s="371"/>
      <c r="C2890" s="371" t="s">
        <v>2565</v>
      </c>
      <c r="D2890" s="2716"/>
      <c r="F2890" s="293"/>
      <c r="G2890" s="1549" t="s">
        <v>5367</v>
      </c>
      <c r="H2890" s="1550" t="str">
        <f>G2830</f>
        <v>(1)在建工程情况</v>
      </c>
      <c r="I2890" s="1552"/>
      <c r="J2890" s="1551"/>
      <c r="K2890" s="1553" t="s">
        <v>5368</v>
      </c>
      <c r="L2890" s="427"/>
      <c r="M2890" s="425"/>
      <c r="N2890" s="426"/>
      <c r="O2890" s="427"/>
      <c r="P2890" s="425"/>
      <c r="Q2890" s="442"/>
      <c r="R2890" s="442"/>
      <c r="S2890" s="364"/>
      <c r="Z2890" s="609" t="s">
        <v>1181</v>
      </c>
      <c r="AA2890" s="609" t="s">
        <v>3646</v>
      </c>
    </row>
    <row r="2891" spans="1:29" ht="18">
      <c r="A2891" s="2714"/>
      <c r="B2891" s="371"/>
      <c r="C2891" s="371" t="s">
        <v>2565</v>
      </c>
      <c r="D2891" s="2716"/>
      <c r="F2891" s="293"/>
      <c r="G2891" s="604" t="str">
        <f>"注释A:"&amp; G2845</f>
        <v>注释A:合       计</v>
      </c>
      <c r="H2891" s="456">
        <f>I2845</f>
        <v>0</v>
      </c>
      <c r="I2891" s="456">
        <f>L2845</f>
        <v>0</v>
      </c>
      <c r="J2891" s="351"/>
      <c r="K2891" s="2639" t="str">
        <f>H2830</f>
        <v>1604a</v>
      </c>
      <c r="L2891" s="427"/>
      <c r="M2891" s="425"/>
      <c r="N2891" s="426"/>
      <c r="O2891" s="427"/>
      <c r="P2891" s="425"/>
      <c r="Q2891" s="442"/>
      <c r="R2891" s="442"/>
      <c r="S2891" s="364"/>
      <c r="Z2891" s="609" t="s">
        <v>1181</v>
      </c>
      <c r="AA2891" s="609" t="s">
        <v>3646</v>
      </c>
    </row>
    <row r="2892" spans="1:29" ht="18">
      <c r="A2892" s="2714"/>
      <c r="B2892" s="371"/>
      <c r="C2892" s="371" t="s">
        <v>2565</v>
      </c>
      <c r="D2892" s="2716"/>
      <c r="F2892" s="293"/>
      <c r="G2892" s="604" t="str">
        <f>"本注释B:"&amp; G2888</f>
        <v>本注释B:合       计</v>
      </c>
      <c r="H2892" s="456">
        <f>H2888</f>
        <v>0</v>
      </c>
      <c r="I2892" s="456">
        <f>I2888</f>
        <v>0</v>
      </c>
      <c r="J2892" s="351"/>
      <c r="K2892" s="2639" t="s">
        <v>1186</v>
      </c>
      <c r="L2892" s="427"/>
      <c r="M2892" s="425"/>
      <c r="N2892" s="426"/>
      <c r="O2892" s="427"/>
      <c r="P2892" s="425"/>
      <c r="Q2892" s="442"/>
      <c r="R2892" s="442"/>
      <c r="S2892" s="364"/>
      <c r="Z2892" s="609" t="s">
        <v>1181</v>
      </c>
      <c r="AA2892" s="609" t="s">
        <v>3646</v>
      </c>
    </row>
    <row r="2893" spans="1:29" ht="18.75" thickBot="1">
      <c r="A2893" s="2714"/>
      <c r="B2893" s="371"/>
      <c r="C2893" s="371" t="s">
        <v>2565</v>
      </c>
      <c r="D2893" s="2716"/>
      <c r="F2893" s="293"/>
      <c r="G2893" s="1554" t="s">
        <v>2757</v>
      </c>
      <c r="H2893" s="1531">
        <f>IF(AND(H2891="",H2892=""),"",ROUND(H2891-H2892,2))</f>
        <v>0</v>
      </c>
      <c r="I2893" s="1531">
        <f>IF(AND(I2891="",I2892=""),"",ROUND(I2891-I2892,2))</f>
        <v>0</v>
      </c>
      <c r="J2893" s="1555"/>
      <c r="K2893" s="1556"/>
      <c r="L2893" s="427"/>
      <c r="M2893" s="425"/>
      <c r="N2893" s="426"/>
      <c r="O2893" s="427"/>
      <c r="P2893" s="425"/>
      <c r="Q2893" s="442"/>
      <c r="R2893" s="442"/>
      <c r="S2893" s="364"/>
      <c r="Z2893" s="609" t="s">
        <v>1181</v>
      </c>
      <c r="AA2893" s="609" t="s">
        <v>3646</v>
      </c>
    </row>
    <row r="2894" spans="1:29" ht="18.75" thickTop="1">
      <c r="A2894" s="2714"/>
      <c r="B2894" s="371"/>
      <c r="C2894" s="371" t="s">
        <v>2565</v>
      </c>
      <c r="D2894" s="2716"/>
      <c r="F2894" s="293"/>
      <c r="G2894" s="1545"/>
      <c r="H2894" s="459" t="str">
        <f>IF(OR(H2893=0,H2893=""),"√","？")</f>
        <v>√</v>
      </c>
      <c r="I2894" s="459" t="str">
        <f>IF(OR(I2893=0,I2893=""),"√","？")</f>
        <v>√</v>
      </c>
      <c r="J2894" s="317"/>
      <c r="K2894" s="1547"/>
      <c r="L2894" s="427"/>
      <c r="M2894" s="425"/>
      <c r="N2894" s="426"/>
      <c r="O2894" s="427"/>
      <c r="P2894" s="425"/>
      <c r="Q2894" s="442"/>
      <c r="R2894" s="442"/>
      <c r="S2894" s="364"/>
      <c r="Z2894" s="609" t="s">
        <v>1181</v>
      </c>
      <c r="AA2894" s="609" t="s">
        <v>3646</v>
      </c>
    </row>
    <row r="2895" spans="1:29" ht="18">
      <c r="A2895" s="2714"/>
      <c r="B2895" s="371"/>
      <c r="C2895" s="371" t="s">
        <v>2565</v>
      </c>
      <c r="D2895" s="2716"/>
      <c r="F2895" s="293"/>
      <c r="G2895" s="1559" t="s">
        <v>2759</v>
      </c>
      <c r="H2895" s="461"/>
      <c r="I2895" s="461"/>
      <c r="J2895" s="317"/>
      <c r="K2895" s="2257">
        <f>SUMIF($H$2894:$K$2894,"&lt;&gt;√",$H$2893:$K$2893)</f>
        <v>0</v>
      </c>
      <c r="L2895" s="2258" t="str">
        <f>IF(OR(K2895=0,K2895=""),"√","？")</f>
        <v>√</v>
      </c>
      <c r="M2895" s="425"/>
      <c r="N2895" s="426"/>
      <c r="O2895" s="427"/>
      <c r="P2895" s="425"/>
      <c r="Q2895" s="442"/>
      <c r="R2895" s="442"/>
      <c r="S2895" s="364"/>
      <c r="Z2895" s="609" t="s">
        <v>1181</v>
      </c>
      <c r="AA2895" s="609" t="s">
        <v>3646</v>
      </c>
    </row>
    <row r="2896" spans="1:29" ht="18">
      <c r="A2896" s="2714"/>
      <c r="B2896" s="371"/>
      <c r="C2896" s="371" t="s">
        <v>2565</v>
      </c>
      <c r="D2896" s="2716"/>
      <c r="F2896" s="293"/>
      <c r="G2896" s="1545"/>
      <c r="H2896" s="461"/>
      <c r="I2896" s="461"/>
      <c r="J2896" s="317"/>
      <c r="K2896" s="1547"/>
      <c r="L2896" s="427"/>
      <c r="M2896" s="425"/>
      <c r="N2896" s="426"/>
      <c r="O2896" s="427"/>
      <c r="P2896" s="425"/>
      <c r="Q2896" s="442"/>
      <c r="R2896" s="442"/>
      <c r="S2896" s="364"/>
      <c r="Z2896" s="609" t="s">
        <v>1181</v>
      </c>
      <c r="AA2896" s="609" t="s">
        <v>3646</v>
      </c>
    </row>
    <row r="2897" spans="1:34" ht="24" hidden="1">
      <c r="A2897" s="2714" t="s">
        <v>1196</v>
      </c>
      <c r="B2897" s="371">
        <v>3</v>
      </c>
      <c r="C2897" s="371"/>
      <c r="D2897" s="2716" t="str">
        <f>VLOOKUP($A2897,Sheet_NoteList,2,0)</f>
        <v>本期在建工程项目计提减值准备情况</v>
      </c>
      <c r="E2897" s="2716" t="s">
        <v>6608</v>
      </c>
      <c r="F2897" s="294"/>
      <c r="G2897" s="372" t="str">
        <f>"("&amp;B2897&amp;")"&amp;D2897</f>
        <v>(3)本期在建工程项目计提减值准备情况</v>
      </c>
      <c r="H2897" s="1517" t="str">
        <f>$A2897</f>
        <v>1604d</v>
      </c>
      <c r="I2897" s="343" t="s">
        <v>6616</v>
      </c>
      <c r="J2897" s="301" t="s">
        <v>6614</v>
      </c>
      <c r="K2897" s="2210">
        <f>H2905</f>
        <v>0</v>
      </c>
      <c r="L2897" s="345"/>
      <c r="M2897" s="301" t="s">
        <v>6615</v>
      </c>
      <c r="N2897" s="391"/>
      <c r="O2897" s="345"/>
      <c r="P2897" s="301"/>
      <c r="Q2897" s="290" t="str">
        <f>IF($I2897="不适用","",IF(ROUND(SUM($H$2900:$I$2905),2)=0,"请输入",""))</f>
        <v/>
      </c>
      <c r="S2897" s="364"/>
      <c r="Z2897" s="609" t="s">
        <v>1181</v>
      </c>
      <c r="AA2897" s="609" t="s">
        <v>3646</v>
      </c>
      <c r="AE2897" s="369" t="s">
        <v>2761</v>
      </c>
    </row>
    <row r="2898" spans="1:34" ht="0.75" hidden="1" customHeight="1" thickBot="1">
      <c r="A2898" s="2714"/>
      <c r="B2898" s="371"/>
      <c r="C2898" s="371"/>
      <c r="D2898" s="371"/>
      <c r="E2898" s="586"/>
      <c r="F2898" s="518"/>
      <c r="G2898" s="518" t="s">
        <v>3673</v>
      </c>
      <c r="H2898" s="304" t="s">
        <v>3674</v>
      </c>
      <c r="I2898" s="304" t="s">
        <v>3675</v>
      </c>
      <c r="J2898" s="291"/>
      <c r="K2898" s="291"/>
      <c r="L2898" s="291"/>
      <c r="M2898" s="291"/>
      <c r="N2898" s="291"/>
      <c r="O2898" s="291"/>
      <c r="P2898" s="291"/>
      <c r="Q2898" s="367"/>
      <c r="R2898" s="367"/>
      <c r="S2898" s="364"/>
      <c r="Z2898" s="609" t="s">
        <v>1181</v>
      </c>
      <c r="AA2898" s="609" t="s">
        <v>3646</v>
      </c>
      <c r="AE2898" s="369" t="s">
        <v>2761</v>
      </c>
    </row>
    <row r="2899" spans="1:34" ht="18" hidden="1">
      <c r="A2899" s="2714"/>
      <c r="B2899" s="371"/>
      <c r="C2899" s="371"/>
      <c r="D2899" s="371"/>
      <c r="E2899" s="586" t="s">
        <v>2749</v>
      </c>
      <c r="F2899" s="363"/>
      <c r="G2899" s="2230" t="s">
        <v>47</v>
      </c>
      <c r="H2899" s="2355" t="s">
        <v>6052</v>
      </c>
      <c r="I2899" s="2359" t="s">
        <v>3672</v>
      </c>
      <c r="J2899" s="424" t="s">
        <v>5990</v>
      </c>
      <c r="K2899" s="291"/>
      <c r="L2899" s="291"/>
      <c r="M2899" s="291"/>
      <c r="N2899" s="291"/>
      <c r="O2899" s="291"/>
      <c r="P2899" s="291"/>
      <c r="Q2899" s="367"/>
      <c r="R2899" s="367"/>
      <c r="S2899" s="364"/>
      <c r="Z2899" s="609" t="s">
        <v>1181</v>
      </c>
      <c r="AA2899" s="609" t="s">
        <v>3646</v>
      </c>
      <c r="AE2899" s="369" t="s">
        <v>2761</v>
      </c>
    </row>
    <row r="2900" spans="1:34" ht="18" hidden="1">
      <c r="A2900" s="2714"/>
      <c r="B2900" s="371">
        <v>101</v>
      </c>
      <c r="C2900" s="371" t="s">
        <v>2791</v>
      </c>
      <c r="D2900" s="2716">
        <f t="shared" ref="D2900:D2905" si="323">IF(OR(G2900="*",G2900="",G2900=0),0,COUNTIF($G$2900:$G$2905,G2900))</f>
        <v>0</v>
      </c>
      <c r="E2900" s="2721">
        <v>1</v>
      </c>
      <c r="F2900" s="294"/>
      <c r="G2900" s="2354" t="s">
        <v>2792</v>
      </c>
      <c r="H2900" s="2275"/>
      <c r="I2900" s="2276"/>
      <c r="J2900" s="291"/>
      <c r="K2900" s="291"/>
      <c r="L2900" s="291"/>
      <c r="M2900" s="291"/>
      <c r="N2900" s="291"/>
      <c r="O2900" s="291"/>
      <c r="P2900" s="291"/>
      <c r="Q2900" s="367"/>
      <c r="R2900" s="367"/>
      <c r="S2900" s="364"/>
      <c r="Z2900" s="609" t="s">
        <v>1181</v>
      </c>
      <c r="AA2900" s="609" t="s">
        <v>3646</v>
      </c>
      <c r="AE2900" s="369" t="s">
        <v>2761</v>
      </c>
    </row>
    <row r="2901" spans="1:34" ht="18" hidden="1">
      <c r="A2901" s="2714"/>
      <c r="B2901" s="371">
        <v>102</v>
      </c>
      <c r="C2901" s="371" t="s">
        <v>2791</v>
      </c>
      <c r="D2901" s="2716">
        <f t="shared" si="323"/>
        <v>0</v>
      </c>
      <c r="E2901" s="2721">
        <v>1</v>
      </c>
      <c r="F2901" s="294"/>
      <c r="G2901" s="2354" t="s">
        <v>2792</v>
      </c>
      <c r="H2901" s="2275"/>
      <c r="I2901" s="2276"/>
      <c r="J2901" s="291"/>
      <c r="K2901" s="291"/>
      <c r="L2901" s="291"/>
      <c r="M2901" s="291"/>
      <c r="N2901" s="291"/>
      <c r="O2901" s="291"/>
      <c r="P2901" s="291"/>
      <c r="Q2901" s="367"/>
      <c r="R2901" s="367"/>
      <c r="S2901" s="364"/>
      <c r="Z2901" s="609" t="s">
        <v>1181</v>
      </c>
      <c r="AA2901" s="609" t="s">
        <v>3646</v>
      </c>
      <c r="AE2901" s="369" t="s">
        <v>2761</v>
      </c>
    </row>
    <row r="2902" spans="1:34" ht="18" hidden="1">
      <c r="A2902" s="2714"/>
      <c r="B2902" s="371">
        <v>103</v>
      </c>
      <c r="C2902" s="371" t="s">
        <v>2791</v>
      </c>
      <c r="D2902" s="2716">
        <f t="shared" si="323"/>
        <v>0</v>
      </c>
      <c r="E2902" s="2721">
        <v>1</v>
      </c>
      <c r="F2902" s="294"/>
      <c r="G2902" s="2354" t="s">
        <v>2792</v>
      </c>
      <c r="H2902" s="2275"/>
      <c r="I2902" s="2276"/>
      <c r="J2902" s="291"/>
      <c r="K2902" s="291"/>
      <c r="L2902" s="291"/>
      <c r="M2902" s="291"/>
      <c r="N2902" s="291"/>
      <c r="O2902" s="291"/>
      <c r="P2902" s="291"/>
      <c r="Q2902" s="367"/>
      <c r="R2902" s="367"/>
      <c r="S2902" s="364"/>
      <c r="Z2902" s="609" t="s">
        <v>1181</v>
      </c>
      <c r="AA2902" s="609" t="s">
        <v>3646</v>
      </c>
      <c r="AE2902" s="369" t="s">
        <v>2761</v>
      </c>
    </row>
    <row r="2903" spans="1:34" ht="18" hidden="1">
      <c r="A2903" s="2714"/>
      <c r="B2903" s="371">
        <v>104</v>
      </c>
      <c r="C2903" s="371" t="s">
        <v>2791</v>
      </c>
      <c r="D2903" s="2716">
        <f t="shared" si="323"/>
        <v>0</v>
      </c>
      <c r="E2903" s="2721">
        <v>1</v>
      </c>
      <c r="F2903" s="294"/>
      <c r="G2903" s="2354" t="s">
        <v>2792</v>
      </c>
      <c r="H2903" s="2275"/>
      <c r="I2903" s="2276"/>
      <c r="J2903" s="291"/>
      <c r="K2903" s="291"/>
      <c r="L2903" s="291"/>
      <c r="M2903" s="291"/>
      <c r="N2903" s="291"/>
      <c r="O2903" s="291"/>
      <c r="P2903" s="291"/>
      <c r="Q2903" s="367"/>
      <c r="R2903" s="367"/>
      <c r="S2903" s="364"/>
      <c r="Z2903" s="609" t="s">
        <v>1181</v>
      </c>
      <c r="AA2903" s="609" t="s">
        <v>3646</v>
      </c>
      <c r="AE2903" s="369" t="s">
        <v>2761</v>
      </c>
    </row>
    <row r="2904" spans="1:34" ht="18" hidden="1">
      <c r="A2904" s="2714"/>
      <c r="B2904" s="371">
        <v>105</v>
      </c>
      <c r="C2904" s="371" t="s">
        <v>2791</v>
      </c>
      <c r="D2904" s="2716">
        <f t="shared" si="323"/>
        <v>0</v>
      </c>
      <c r="E2904" s="2721">
        <v>1</v>
      </c>
      <c r="F2904" s="294"/>
      <c r="G2904" s="2354" t="s">
        <v>2792</v>
      </c>
      <c r="H2904" s="2275"/>
      <c r="I2904" s="2276"/>
      <c r="J2904" s="291"/>
      <c r="K2904" s="291"/>
      <c r="L2904" s="291"/>
      <c r="M2904" s="291"/>
      <c r="N2904" s="291"/>
      <c r="O2904" s="291"/>
      <c r="P2904" s="291"/>
      <c r="Q2904" s="367"/>
      <c r="R2904" s="367"/>
      <c r="S2904" s="364"/>
      <c r="Z2904" s="609" t="s">
        <v>1181</v>
      </c>
      <c r="AA2904" s="609" t="s">
        <v>3646</v>
      </c>
      <c r="AE2904" s="369" t="s">
        <v>2761</v>
      </c>
    </row>
    <row r="2905" spans="1:34" ht="18.75" hidden="1" thickBot="1">
      <c r="A2905" s="2714"/>
      <c r="B2905" s="371"/>
      <c r="C2905" s="371"/>
      <c r="D2905" s="2716">
        <f t="shared" si="323"/>
        <v>1</v>
      </c>
      <c r="E2905" s="2721" t="s">
        <v>3032</v>
      </c>
      <c r="F2905" s="294"/>
      <c r="G2905" s="310" t="s">
        <v>2752</v>
      </c>
      <c r="H2905" s="1481">
        <f>SUMPRODUCT($E2899:$E2904,H2899:H2904)</f>
        <v>0</v>
      </c>
      <c r="I2905" s="2379"/>
      <c r="J2905" s="291"/>
      <c r="K2905" s="291"/>
      <c r="L2905" s="291"/>
      <c r="M2905" s="291"/>
      <c r="N2905" s="291"/>
      <c r="O2905" s="291"/>
      <c r="P2905" s="291"/>
      <c r="Q2905" s="367"/>
      <c r="R2905" s="367"/>
      <c r="S2905" s="364"/>
      <c r="Z2905" s="609" t="s">
        <v>1181</v>
      </c>
      <c r="AA2905" s="609" t="s">
        <v>3646</v>
      </c>
      <c r="AE2905" s="369" t="s">
        <v>2761</v>
      </c>
    </row>
    <row r="2906" spans="1:34" ht="18" hidden="1">
      <c r="A2906" s="2714"/>
      <c r="B2906" s="371"/>
      <c r="C2906" s="371" t="s">
        <v>2755</v>
      </c>
      <c r="D2906" s="371"/>
      <c r="F2906" s="294"/>
      <c r="G2906" s="301"/>
      <c r="H2906" s="315"/>
      <c r="I2906" s="393"/>
      <c r="J2906" s="349"/>
      <c r="K2906" s="349"/>
      <c r="L2906" s="349"/>
      <c r="M2906" s="349"/>
      <c r="N2906" s="291"/>
      <c r="O2906" s="291"/>
      <c r="P2906" s="291"/>
      <c r="Q2906" s="367"/>
      <c r="R2906" s="367"/>
      <c r="S2906" s="364"/>
      <c r="Z2906" s="609" t="s">
        <v>1181</v>
      </c>
      <c r="AA2906" s="609" t="s">
        <v>3646</v>
      </c>
      <c r="AE2906" s="369" t="s">
        <v>2761</v>
      </c>
    </row>
    <row r="2907" spans="1:34" ht="18">
      <c r="A2907" s="2714">
        <v>1605</v>
      </c>
      <c r="B2907" s="371">
        <v>24.2</v>
      </c>
      <c r="C2907" s="2716" t="str">
        <f>VLOOKUP($A2907,Sheet_Items,2,0)</f>
        <v>工程物资</v>
      </c>
      <c r="D2907" s="371"/>
      <c r="E2907" s="2716" t="s">
        <v>2739</v>
      </c>
      <c r="F2907" s="294"/>
      <c r="G2907" s="305" t="str">
        <f>B2907&amp;" "&amp;C2907</f>
        <v>24.2 工程物资</v>
      </c>
      <c r="H2907" s="306"/>
      <c r="I2907" s="306"/>
      <c r="J2907" s="306" t="s">
        <v>2740</v>
      </c>
      <c r="K2907" s="341">
        <f>VLOOKUP($A2907,Sheet_Trialbal,6,0)</f>
        <v>0</v>
      </c>
      <c r="L2907" s="342"/>
      <c r="M2907" s="306" t="s">
        <v>2741</v>
      </c>
      <c r="N2907" s="341">
        <f>VLOOKUP($A2907,Sheet_Trialbal,10,0)</f>
        <v>0</v>
      </c>
      <c r="O2907" s="306"/>
      <c r="P2907" s="301"/>
      <c r="S2907" s="364"/>
      <c r="Z2907" s="609" t="s">
        <v>1200</v>
      </c>
      <c r="AA2907" s="609" t="s">
        <v>5663</v>
      </c>
    </row>
    <row r="2908" spans="1:34" ht="18">
      <c r="A2908" s="2714" t="s">
        <v>6565</v>
      </c>
      <c r="B2908" s="371">
        <v>3</v>
      </c>
      <c r="C2908" s="371"/>
      <c r="D2908" s="2716" t="str">
        <f>VLOOKUP($A2908,Sheet_NoteList,2,0)</f>
        <v>工程物资明细项目</v>
      </c>
      <c r="E2908" s="2716" t="s">
        <v>2742</v>
      </c>
      <c r="F2908" s="371"/>
      <c r="G2908" s="372" t="str">
        <f>"("&amp;B2908&amp;")"&amp;D2908</f>
        <v>(3)工程物资明细项目</v>
      </c>
      <c r="H2908" s="1517" t="str">
        <f>$A2908</f>
        <v>1605a</v>
      </c>
      <c r="I2908" s="343" t="s">
        <v>2743</v>
      </c>
      <c r="J2908" s="301" t="s">
        <v>2744</v>
      </c>
      <c r="K2908" s="2210">
        <f>J2917</f>
        <v>0</v>
      </c>
      <c r="L2908" s="349" t="str">
        <f>IF($I2908="适用",IF(ROUND(K$2907-K2908,2)=0,"F/S",ROUND(K$2907-K2908,2)),"#N/A")</f>
        <v>F/S</v>
      </c>
      <c r="M2908" s="301" t="s">
        <v>2745</v>
      </c>
      <c r="N2908" s="2210">
        <f>M2917</f>
        <v>0</v>
      </c>
      <c r="O2908" s="349" t="str">
        <f>IF($I2908="适用",IF(ROUND(N$2907-N2908,2)=0,"F/S",ROUND(N$2907-N2908,2)),"#N/A")</f>
        <v>F/S</v>
      </c>
      <c r="P2908" s="301"/>
      <c r="S2908" s="364"/>
      <c r="Z2908" s="609" t="s">
        <v>1200</v>
      </c>
      <c r="AA2908" s="609" t="s">
        <v>5663</v>
      </c>
    </row>
    <row r="2909" spans="1:34" s="289" customFormat="1" ht="0.75" customHeight="1">
      <c r="A2909" s="2714"/>
      <c r="B2909" s="371"/>
      <c r="C2909" s="371"/>
      <c r="D2909" s="2716"/>
      <c r="E2909" s="2716"/>
      <c r="F2909" s="371"/>
      <c r="G2909" s="405" t="s">
        <v>6239</v>
      </c>
      <c r="H2909" s="371" t="s">
        <v>2747</v>
      </c>
      <c r="I2909" s="371" t="s">
        <v>2850</v>
      </c>
      <c r="J2909" s="371" t="s">
        <v>2851</v>
      </c>
      <c r="K2909" s="371" t="s">
        <v>2748</v>
      </c>
      <c r="L2909" s="547" t="s">
        <v>2853</v>
      </c>
      <c r="M2909" s="371" t="s">
        <v>2854</v>
      </c>
      <c r="N2909" s="349"/>
      <c r="O2909" s="349"/>
      <c r="P2909" s="368"/>
      <c r="Q2909" s="582"/>
      <c r="R2909" s="582"/>
      <c r="S2909" s="564"/>
      <c r="T2909" s="292"/>
      <c r="U2909" s="292"/>
      <c r="V2909" s="292"/>
      <c r="W2909" s="292"/>
      <c r="X2909" s="292"/>
      <c r="Y2909" s="292"/>
      <c r="Z2909" s="609" t="s">
        <v>1200</v>
      </c>
      <c r="AA2909" s="609" t="s">
        <v>5663</v>
      </c>
      <c r="AB2909" s="369"/>
      <c r="AC2909" s="369"/>
      <c r="AD2909" s="369"/>
      <c r="AE2909" s="369"/>
      <c r="AF2909" s="292"/>
      <c r="AG2909" s="292"/>
      <c r="AH2909" s="292"/>
    </row>
    <row r="2910" spans="1:34" s="289" customFormat="1" ht="0.75" customHeight="1" thickBot="1">
      <c r="A2910" s="2714"/>
      <c r="B2910" s="371"/>
      <c r="C2910" s="371"/>
      <c r="D2910" s="2716"/>
      <c r="E2910" s="2716"/>
      <c r="F2910" s="371"/>
      <c r="G2910" s="405"/>
      <c r="H2910" s="371" t="s">
        <v>2855</v>
      </c>
      <c r="I2910" s="371" t="s">
        <v>3096</v>
      </c>
      <c r="J2910" s="371" t="s">
        <v>2857</v>
      </c>
      <c r="K2910" s="547" t="s">
        <v>2858</v>
      </c>
      <c r="L2910" s="547" t="s">
        <v>3331</v>
      </c>
      <c r="M2910" s="371" t="s">
        <v>2860</v>
      </c>
      <c r="N2910" s="349"/>
      <c r="O2910" s="349"/>
      <c r="P2910" s="368"/>
      <c r="Q2910" s="582"/>
      <c r="R2910" s="582"/>
      <c r="S2910" s="564"/>
      <c r="T2910" s="292"/>
      <c r="U2910" s="292"/>
      <c r="V2910" s="292"/>
      <c r="W2910" s="292"/>
      <c r="X2910" s="292"/>
      <c r="Y2910" s="292"/>
      <c r="Z2910" s="609" t="s">
        <v>1200</v>
      </c>
      <c r="AA2910" s="609" t="s">
        <v>5663</v>
      </c>
      <c r="AB2910" s="369"/>
      <c r="AC2910" s="369"/>
      <c r="AD2910" s="369"/>
      <c r="AE2910" s="369"/>
      <c r="AF2910" s="292"/>
      <c r="AG2910" s="292"/>
      <c r="AH2910" s="292"/>
    </row>
    <row r="2911" spans="1:34" s="289" customFormat="1" ht="15.75" customHeight="1">
      <c r="A2911" s="2714"/>
      <c r="B2911" s="371"/>
      <c r="C2911" s="371"/>
      <c r="D2911" s="2716"/>
      <c r="E2911" s="2716" t="s">
        <v>2749</v>
      </c>
      <c r="F2911" s="368"/>
      <c r="G2911" s="3499" t="s">
        <v>47</v>
      </c>
      <c r="H2911" s="3400" t="str">
        <f>$V$2</f>
        <v>2019年12月31日</v>
      </c>
      <c r="I2911" s="3401"/>
      <c r="J2911" s="3402"/>
      <c r="K2911" s="3403" t="str">
        <f>$V$3</f>
        <v>2018年12月31日</v>
      </c>
      <c r="L2911" s="3404"/>
      <c r="M2911" s="3404"/>
      <c r="N2911" s="355" t="s">
        <v>5289</v>
      </c>
      <c r="O2911" s="349"/>
      <c r="P2911" s="368"/>
      <c r="Q2911" s="582"/>
      <c r="R2911" s="582"/>
      <c r="S2911" s="564"/>
      <c r="T2911" s="292"/>
      <c r="U2911" s="292"/>
      <c r="V2911" s="292"/>
      <c r="W2911" s="292"/>
      <c r="X2911" s="292"/>
      <c r="Y2911" s="292"/>
      <c r="Z2911" s="609" t="s">
        <v>1200</v>
      </c>
      <c r="AA2911" s="609" t="s">
        <v>5663</v>
      </c>
      <c r="AB2911" s="369"/>
      <c r="AC2911" s="369"/>
      <c r="AD2911" s="369"/>
      <c r="AE2911" s="369"/>
      <c r="AF2911" s="292"/>
      <c r="AG2911" s="292"/>
      <c r="AH2911" s="292"/>
    </row>
    <row r="2912" spans="1:34" ht="18">
      <c r="A2912" s="2714"/>
      <c r="B2912" s="371"/>
      <c r="C2912" s="371"/>
      <c r="D2912" s="2716"/>
      <c r="E2912" s="2716" t="s">
        <v>2749</v>
      </c>
      <c r="F2912" s="371"/>
      <c r="G2912" s="3500"/>
      <c r="H2912" s="408" t="s">
        <v>2861</v>
      </c>
      <c r="I2912" s="408" t="s">
        <v>3097</v>
      </c>
      <c r="J2912" s="408" t="s">
        <v>2863</v>
      </c>
      <c r="K2912" s="419" t="s">
        <v>2861</v>
      </c>
      <c r="L2912" s="419" t="s">
        <v>3097</v>
      </c>
      <c r="M2912" s="421" t="s">
        <v>2863</v>
      </c>
      <c r="N2912" s="391"/>
      <c r="O2912" s="349"/>
      <c r="P2912" s="301"/>
      <c r="S2912" s="364"/>
      <c r="Z2912" s="609" t="s">
        <v>1200</v>
      </c>
      <c r="AA2912" s="609" t="s">
        <v>5663</v>
      </c>
    </row>
    <row r="2913" spans="1:29" ht="18">
      <c r="A2913" s="2714"/>
      <c r="B2913" s="371">
        <v>101</v>
      </c>
      <c r="C2913" s="371" t="s">
        <v>2791</v>
      </c>
      <c r="D2913" s="2716">
        <f t="shared" ref="D2913:D2917" si="324">IF(OR(G2913="*",G2913="",G2913=0),0,COUNTIF($G$2913:$G$2917,G2913))</f>
        <v>0</v>
      </c>
      <c r="E2913" s="2721">
        <v>1</v>
      </c>
      <c r="F2913" s="371"/>
      <c r="G2913" s="319" t="s">
        <v>2792</v>
      </c>
      <c r="H2913" s="309"/>
      <c r="I2913" s="422"/>
      <c r="J2913" s="309">
        <f>H2913-I2913</f>
        <v>0</v>
      </c>
      <c r="K2913" s="320"/>
      <c r="L2913" s="309"/>
      <c r="M2913" s="346">
        <f>K2913-L2913</f>
        <v>0</v>
      </c>
      <c r="N2913" s="391"/>
      <c r="O2913" s="349"/>
      <c r="P2913" s="301"/>
      <c r="S2913" s="364"/>
      <c r="Z2913" s="609" t="s">
        <v>1200</v>
      </c>
      <c r="AA2913" s="609" t="s">
        <v>5663</v>
      </c>
    </row>
    <row r="2914" spans="1:29" ht="18">
      <c r="A2914" s="2714"/>
      <c r="B2914" s="371">
        <v>102</v>
      </c>
      <c r="C2914" s="371" t="s">
        <v>2791</v>
      </c>
      <c r="D2914" s="2716">
        <f t="shared" si="324"/>
        <v>0</v>
      </c>
      <c r="E2914" s="2721">
        <v>1</v>
      </c>
      <c r="F2914" s="371"/>
      <c r="G2914" s="319" t="s">
        <v>2792</v>
      </c>
      <c r="H2914" s="309"/>
      <c r="I2914" s="422"/>
      <c r="J2914" s="309">
        <f t="shared" ref="J2914:J2916" si="325">H2914-I2914</f>
        <v>0</v>
      </c>
      <c r="K2914" s="320"/>
      <c r="L2914" s="309"/>
      <c r="M2914" s="346">
        <f t="shared" ref="M2914:M2916" si="326">K2914-L2914</f>
        <v>0</v>
      </c>
      <c r="N2914" s="391"/>
      <c r="O2914" s="349"/>
      <c r="P2914" s="301"/>
      <c r="S2914" s="364"/>
      <c r="Z2914" s="609" t="s">
        <v>1200</v>
      </c>
      <c r="AA2914" s="609" t="s">
        <v>5663</v>
      </c>
    </row>
    <row r="2915" spans="1:29" ht="18">
      <c r="A2915" s="2714"/>
      <c r="B2915" s="371">
        <v>103</v>
      </c>
      <c r="C2915" s="371" t="s">
        <v>2791</v>
      </c>
      <c r="D2915" s="2716">
        <f t="shared" si="324"/>
        <v>0</v>
      </c>
      <c r="E2915" s="2721">
        <v>1</v>
      </c>
      <c r="F2915" s="371"/>
      <c r="G2915" s="319" t="s">
        <v>2792</v>
      </c>
      <c r="H2915" s="309"/>
      <c r="I2915" s="422"/>
      <c r="J2915" s="309">
        <f t="shared" si="325"/>
        <v>0</v>
      </c>
      <c r="K2915" s="320"/>
      <c r="L2915" s="309"/>
      <c r="M2915" s="346">
        <f t="shared" si="326"/>
        <v>0</v>
      </c>
      <c r="N2915" s="391"/>
      <c r="O2915" s="349"/>
      <c r="P2915" s="301"/>
      <c r="S2915" s="364"/>
      <c r="Z2915" s="609" t="s">
        <v>1200</v>
      </c>
      <c r="AA2915" s="609" t="s">
        <v>5663</v>
      </c>
    </row>
    <row r="2916" spans="1:29" ht="18">
      <c r="A2916" s="2714"/>
      <c r="B2916" s="371">
        <v>104</v>
      </c>
      <c r="C2916" s="371" t="s">
        <v>2791</v>
      </c>
      <c r="D2916" s="2716">
        <f t="shared" si="324"/>
        <v>0</v>
      </c>
      <c r="E2916" s="2721">
        <v>1</v>
      </c>
      <c r="F2916" s="371"/>
      <c r="G2916" s="319" t="s">
        <v>2792</v>
      </c>
      <c r="H2916" s="309"/>
      <c r="I2916" s="422"/>
      <c r="J2916" s="309">
        <f t="shared" si="325"/>
        <v>0</v>
      </c>
      <c r="K2916" s="320"/>
      <c r="L2916" s="309"/>
      <c r="M2916" s="346">
        <f t="shared" si="326"/>
        <v>0</v>
      </c>
      <c r="N2916" s="391"/>
      <c r="O2916" s="349"/>
      <c r="P2916" s="301"/>
      <c r="S2916" s="364"/>
      <c r="Z2916" s="609" t="s">
        <v>1200</v>
      </c>
      <c r="AA2916" s="609" t="s">
        <v>5663</v>
      </c>
    </row>
    <row r="2917" spans="1:29" ht="18.75" thickBot="1">
      <c r="A2917" s="2714"/>
      <c r="B2917" s="371"/>
      <c r="C2917" s="371"/>
      <c r="D2917" s="2716">
        <f t="shared" si="324"/>
        <v>1</v>
      </c>
      <c r="E2917" s="2721" t="s">
        <v>2751</v>
      </c>
      <c r="F2917" s="371"/>
      <c r="G2917" s="374" t="s">
        <v>2752</v>
      </c>
      <c r="H2917" s="375">
        <f t="shared" ref="H2917:M2917" si="327">SUMPRODUCT($E2912:$E2916,H2912:H2916)</f>
        <v>0</v>
      </c>
      <c r="I2917" s="375">
        <f t="shared" si="327"/>
        <v>0</v>
      </c>
      <c r="J2917" s="375">
        <f t="shared" si="327"/>
        <v>0</v>
      </c>
      <c r="K2917" s="375">
        <f t="shared" si="327"/>
        <v>0</v>
      </c>
      <c r="L2917" s="375">
        <f t="shared" si="327"/>
        <v>0</v>
      </c>
      <c r="M2917" s="395">
        <f t="shared" si="327"/>
        <v>0</v>
      </c>
      <c r="N2917" s="1533" t="str">
        <f ca="1">HYPERLINK("#'"&amp;$G$1&amp;"'!"&amp;ADDRESS(ROW(Notes!L4896),COLUMN(Notes!L4896),4),"* 请勿删除此行！点击往勾稽单元格，F5+Enter返回")</f>
        <v>* 请勿删除此行！点击往勾稽单元格，F5+Enter返回</v>
      </c>
      <c r="O2917" s="349"/>
      <c r="P2917" s="301"/>
      <c r="S2917" s="364"/>
      <c r="Z2917" s="609" t="s">
        <v>1200</v>
      </c>
      <c r="AA2917" s="609" t="s">
        <v>5663</v>
      </c>
      <c r="AC2917" s="369" t="s">
        <v>6573</v>
      </c>
    </row>
    <row r="2918" spans="1:29" ht="18">
      <c r="A2918" s="2714"/>
      <c r="B2918" s="371"/>
      <c r="C2918" s="371" t="s">
        <v>2755</v>
      </c>
      <c r="D2918" s="371"/>
      <c r="F2918" s="294"/>
      <c r="G2918" s="301"/>
      <c r="H2918" s="349"/>
      <c r="I2918" s="350"/>
      <c r="J2918" s="349"/>
      <c r="K2918" s="349"/>
      <c r="L2918" s="349"/>
      <c r="M2918" s="349"/>
      <c r="N2918" s="291"/>
      <c r="O2918" s="291"/>
      <c r="P2918" s="291"/>
      <c r="Q2918" s="367"/>
      <c r="R2918" s="367"/>
      <c r="S2918" s="364"/>
      <c r="Z2918" s="609" t="s">
        <v>1200</v>
      </c>
      <c r="AA2918" s="609" t="s">
        <v>5663</v>
      </c>
    </row>
    <row r="2919" spans="1:29" ht="18">
      <c r="A2919" s="2714">
        <v>1621</v>
      </c>
      <c r="B2919" s="371">
        <v>25</v>
      </c>
      <c r="C2919" s="2716" t="str">
        <f>VLOOKUP($A2919,Sheet_Items,2,0)</f>
        <v>生产性生物资产</v>
      </c>
      <c r="D2919" s="371"/>
      <c r="E2919" s="2716" t="s">
        <v>2739</v>
      </c>
      <c r="F2919" s="294"/>
      <c r="G2919" s="305" t="str">
        <f>B2919&amp;" "&amp;C2919</f>
        <v>25 生产性生物资产</v>
      </c>
      <c r="H2919" s="306"/>
      <c r="I2919" s="306"/>
      <c r="J2919" s="306" t="s">
        <v>2740</v>
      </c>
      <c r="K2919" s="341">
        <f>VLOOKUP($A2919,Sheet_Trialbal,6,0)</f>
        <v>0</v>
      </c>
      <c r="L2919" s="342"/>
      <c r="M2919" s="306" t="s">
        <v>2741</v>
      </c>
      <c r="N2919" s="341">
        <f>VLOOKUP($A2919,Sheet_Trialbal,10,0)</f>
        <v>0</v>
      </c>
      <c r="O2919" s="306"/>
      <c r="P2919" s="301"/>
      <c r="S2919" s="364"/>
      <c r="Z2919" s="609" t="s">
        <v>1206</v>
      </c>
      <c r="AA2919" s="609" t="s">
        <v>5664</v>
      </c>
    </row>
    <row r="2920" spans="1:29" ht="24">
      <c r="A2920" s="2714" t="s">
        <v>1205</v>
      </c>
      <c r="B2920" s="371">
        <v>1</v>
      </c>
      <c r="C2920" s="371"/>
      <c r="D2920" s="2716" t="str">
        <f>VLOOKUP($A2920,Sheet_NoteList,2,0)</f>
        <v>采用成本计量模式的生产性生物资产</v>
      </c>
      <c r="E2920" s="2716" t="s">
        <v>2742</v>
      </c>
      <c r="F2920" s="294"/>
      <c r="G2920" s="372" t="str">
        <f>"("&amp;B2920&amp;")"&amp;D2920</f>
        <v>(1)采用成本计量模式的生产性生物资产</v>
      </c>
      <c r="H2920" s="1517" t="str">
        <f>$A2920</f>
        <v>1621c</v>
      </c>
      <c r="I2920" s="343" t="s">
        <v>2743</v>
      </c>
      <c r="J2920" s="301" t="s">
        <v>2744</v>
      </c>
      <c r="K2920" s="2210">
        <f>O2980</f>
        <v>0</v>
      </c>
      <c r="L2920" s="345"/>
      <c r="M2920" s="301" t="s">
        <v>2745</v>
      </c>
      <c r="N2920" s="2210">
        <f>H2980</f>
        <v>0</v>
      </c>
      <c r="O2920" s="315"/>
      <c r="P2920" s="301"/>
      <c r="Q2920" s="290" t="str">
        <f>IF($I2920="不适用","",IF(ROUND(SUM($H$2925:$O$2980),2)=0,"请输入",""))</f>
        <v>请输入</v>
      </c>
      <c r="S2920" s="364"/>
      <c r="Z2920" s="609" t="s">
        <v>1206</v>
      </c>
      <c r="AA2920" s="609" t="s">
        <v>5664</v>
      </c>
    </row>
    <row r="2921" spans="1:29" ht="0.75" customHeight="1">
      <c r="A2921" s="2714"/>
      <c r="B2921" s="371"/>
      <c r="C2921" s="371"/>
      <c r="D2921" s="371"/>
      <c r="F2921" s="371"/>
      <c r="G2921" s="371" t="s">
        <v>3676</v>
      </c>
      <c r="H2921" s="371" t="s">
        <v>6240</v>
      </c>
      <c r="I2921" s="371" t="s">
        <v>6241</v>
      </c>
      <c r="J2921" s="371" t="s">
        <v>6242</v>
      </c>
      <c r="K2921" s="371" t="s">
        <v>6243</v>
      </c>
      <c r="L2921" s="371" t="s">
        <v>6244</v>
      </c>
      <c r="M2921" s="371" t="s">
        <v>6245</v>
      </c>
      <c r="N2921" s="371" t="s">
        <v>6246</v>
      </c>
      <c r="O2921" s="371" t="s">
        <v>6247</v>
      </c>
      <c r="P2921" s="291"/>
      <c r="S2921" s="364"/>
      <c r="Z2921" s="609" t="s">
        <v>1206</v>
      </c>
      <c r="AA2921" s="609" t="s">
        <v>5664</v>
      </c>
    </row>
    <row r="2922" spans="1:29" ht="0.75" customHeight="1" thickBot="1">
      <c r="A2922" s="2714"/>
      <c r="B2922" s="371"/>
      <c r="C2922" s="371"/>
      <c r="D2922" s="371"/>
      <c r="F2922" s="371"/>
      <c r="G2922" s="371"/>
      <c r="H2922" s="371" t="s">
        <v>6248</v>
      </c>
      <c r="I2922" s="371" t="s">
        <v>6249</v>
      </c>
      <c r="J2922" s="371" t="s">
        <v>6250</v>
      </c>
      <c r="K2922" s="371" t="s">
        <v>6251</v>
      </c>
      <c r="L2922" s="371" t="s">
        <v>6252</v>
      </c>
      <c r="M2922" s="371" t="s">
        <v>6253</v>
      </c>
      <c r="N2922" s="371" t="s">
        <v>6254</v>
      </c>
      <c r="O2922" s="371" t="s">
        <v>6255</v>
      </c>
      <c r="P2922" s="291"/>
      <c r="S2922" s="364"/>
      <c r="Z2922" s="609" t="s">
        <v>1206</v>
      </c>
      <c r="AA2922" s="609" t="s">
        <v>5664</v>
      </c>
    </row>
    <row r="2923" spans="1:29" ht="23.25" customHeight="1">
      <c r="A2923" s="2714"/>
      <c r="B2923" s="371"/>
      <c r="C2923" s="371"/>
      <c r="D2923" s="371"/>
      <c r="E2923" s="2716" t="s">
        <v>2749</v>
      </c>
      <c r="F2923" s="294"/>
      <c r="G2923" s="3506" t="s">
        <v>47</v>
      </c>
      <c r="H2923" s="3390" t="s">
        <v>3574</v>
      </c>
      <c r="I2923" s="3390" t="s">
        <v>3558</v>
      </c>
      <c r="J2923" s="3390"/>
      <c r="K2923" s="3390"/>
      <c r="L2923" s="3390"/>
      <c r="M2923" s="3390" t="s">
        <v>3560</v>
      </c>
      <c r="N2923" s="3390"/>
      <c r="O2923" s="3438" t="s">
        <v>3575</v>
      </c>
      <c r="P2923" s="355" t="s">
        <v>5290</v>
      </c>
      <c r="S2923" s="364"/>
      <c r="Z2923" s="609" t="s">
        <v>1206</v>
      </c>
      <c r="AA2923" s="609" t="s">
        <v>5664</v>
      </c>
    </row>
    <row r="2924" spans="1:29" ht="18">
      <c r="A2924" s="2714"/>
      <c r="B2924" s="371"/>
      <c r="C2924" s="371"/>
      <c r="D2924" s="371"/>
      <c r="E2924" s="2716" t="s">
        <v>2749</v>
      </c>
      <c r="F2924" s="294"/>
      <c r="G2924" s="3507"/>
      <c r="H2924" s="3393"/>
      <c r="I2924" s="2370" t="s">
        <v>3546</v>
      </c>
      <c r="J2924" s="2370" t="s">
        <v>3678</v>
      </c>
      <c r="K2924" s="2371" t="s">
        <v>5164</v>
      </c>
      <c r="L2924" s="2371" t="s">
        <v>5163</v>
      </c>
      <c r="M2924" s="2372" t="s">
        <v>3561</v>
      </c>
      <c r="N2924" s="2370" t="s">
        <v>3679</v>
      </c>
      <c r="O2924" s="3408"/>
      <c r="P2924" s="291"/>
      <c r="S2924" s="364"/>
      <c r="Z2924" s="609" t="s">
        <v>1206</v>
      </c>
      <c r="AA2924" s="609" t="s">
        <v>5664</v>
      </c>
    </row>
    <row r="2925" spans="1:29" ht="18">
      <c r="A2925" s="2714"/>
      <c r="B2925" s="371">
        <v>101</v>
      </c>
      <c r="C2925" s="371"/>
      <c r="D2925" s="2716">
        <f t="shared" ref="D2925:D2956" si="328">IF(OR(G2925="*",G2925="",G2925=0),0,COUNTIF($G$2925:$G$2980,G2925))</f>
        <v>1</v>
      </c>
      <c r="E2925" s="2721" t="s">
        <v>41</v>
      </c>
      <c r="F2925" s="294"/>
      <c r="G2925" s="308" t="s">
        <v>3577</v>
      </c>
      <c r="H2925" s="309"/>
      <c r="I2925" s="309"/>
      <c r="J2925" s="309"/>
      <c r="K2925" s="1465">
        <v>0</v>
      </c>
      <c r="L2925" s="309"/>
      <c r="M2925" s="309"/>
      <c r="N2925" s="309"/>
      <c r="O2925" s="346"/>
      <c r="P2925" s="291"/>
      <c r="S2925" s="364"/>
      <c r="Z2925" s="609" t="s">
        <v>1206</v>
      </c>
      <c r="AA2925" s="609" t="s">
        <v>5664</v>
      </c>
    </row>
    <row r="2926" spans="1:29" ht="18">
      <c r="A2926" s="2714"/>
      <c r="B2926" s="371">
        <v>102</v>
      </c>
      <c r="C2926" s="371"/>
      <c r="D2926" s="2716">
        <f t="shared" si="328"/>
        <v>1</v>
      </c>
      <c r="E2926" s="2721" t="s">
        <v>41</v>
      </c>
      <c r="F2926" s="294"/>
      <c r="G2926" s="308" t="s">
        <v>5166</v>
      </c>
      <c r="H2926" s="309"/>
      <c r="I2926" s="309"/>
      <c r="J2926" s="309"/>
      <c r="K2926" s="1465">
        <v>0</v>
      </c>
      <c r="L2926" s="309"/>
      <c r="M2926" s="309"/>
      <c r="N2926" s="309"/>
      <c r="O2926" s="346"/>
      <c r="P2926" s="292"/>
      <c r="S2926" s="364"/>
      <c r="Z2926" s="609" t="s">
        <v>1206</v>
      </c>
      <c r="AA2926" s="609" t="s">
        <v>5664</v>
      </c>
    </row>
    <row r="2927" spans="1:29" ht="18">
      <c r="A2927" s="2714"/>
      <c r="B2927" s="371">
        <v>102.001</v>
      </c>
      <c r="C2927" s="371" t="s">
        <v>2791</v>
      </c>
      <c r="D2927" s="2716">
        <f t="shared" si="328"/>
        <v>1</v>
      </c>
      <c r="E2927" s="2721" t="s">
        <v>5159</v>
      </c>
      <c r="F2927" s="294"/>
      <c r="G2927" s="1486" t="s">
        <v>5192</v>
      </c>
      <c r="H2927" s="309"/>
      <c r="I2927" s="309"/>
      <c r="J2927" s="309"/>
      <c r="K2927" s="1465">
        <v>0</v>
      </c>
      <c r="L2927" s="309"/>
      <c r="M2927" s="309"/>
      <c r="N2927" s="309"/>
      <c r="O2927" s="1477">
        <f>SUM(H2927:L2927,-M2927,-N2927)</f>
        <v>0</v>
      </c>
      <c r="P2927" s="292"/>
      <c r="S2927" s="364"/>
      <c r="Z2927" s="609" t="s">
        <v>1206</v>
      </c>
      <c r="AA2927" s="609" t="s">
        <v>5664</v>
      </c>
    </row>
    <row r="2928" spans="1:29" ht="18">
      <c r="A2928" s="2714"/>
      <c r="B2928" s="371">
        <v>102.002</v>
      </c>
      <c r="C2928" s="371" t="s">
        <v>2791</v>
      </c>
      <c r="D2928" s="2716">
        <f t="shared" si="328"/>
        <v>1</v>
      </c>
      <c r="E2928" s="2721" t="s">
        <v>5159</v>
      </c>
      <c r="F2928" s="294"/>
      <c r="G2928" s="1486" t="s">
        <v>5193</v>
      </c>
      <c r="H2928" s="309"/>
      <c r="I2928" s="309"/>
      <c r="J2928" s="309"/>
      <c r="K2928" s="1465">
        <v>0</v>
      </c>
      <c r="L2928" s="309"/>
      <c r="M2928" s="309"/>
      <c r="N2928" s="309"/>
      <c r="O2928" s="1477">
        <f>SUM(H2928:L2928,-M2928,-N2928)</f>
        <v>0</v>
      </c>
      <c r="P2928" s="292"/>
      <c r="S2928" s="364"/>
      <c r="Z2928" s="609" t="s">
        <v>1206</v>
      </c>
      <c r="AA2928" s="609" t="s">
        <v>5664</v>
      </c>
    </row>
    <row r="2929" spans="1:27" ht="18">
      <c r="A2929" s="2714"/>
      <c r="B2929" s="371">
        <v>103</v>
      </c>
      <c r="C2929" s="371"/>
      <c r="D2929" s="2716">
        <f t="shared" si="328"/>
        <v>1</v>
      </c>
      <c r="E2929" s="2721" t="s">
        <v>41</v>
      </c>
      <c r="F2929" s="294"/>
      <c r="G2929" s="308" t="s">
        <v>5167</v>
      </c>
      <c r="H2929" s="309"/>
      <c r="I2929" s="309"/>
      <c r="J2929" s="309"/>
      <c r="K2929" s="1465">
        <v>0</v>
      </c>
      <c r="L2929" s="309"/>
      <c r="M2929" s="309"/>
      <c r="N2929" s="309"/>
      <c r="O2929" s="346"/>
      <c r="P2929" s="292"/>
      <c r="S2929" s="364"/>
      <c r="Z2929" s="609" t="s">
        <v>1206</v>
      </c>
      <c r="AA2929" s="609" t="s">
        <v>5664</v>
      </c>
    </row>
    <row r="2930" spans="1:27" ht="18">
      <c r="A2930" s="2714"/>
      <c r="B2930" s="371">
        <v>103.001</v>
      </c>
      <c r="C2930" s="371" t="s">
        <v>2791</v>
      </c>
      <c r="D2930" s="2716">
        <f t="shared" si="328"/>
        <v>1</v>
      </c>
      <c r="E2930" s="2721" t="s">
        <v>5159</v>
      </c>
      <c r="F2930" s="294"/>
      <c r="G2930" s="1486" t="s">
        <v>5194</v>
      </c>
      <c r="H2930" s="309"/>
      <c r="I2930" s="309"/>
      <c r="J2930" s="309"/>
      <c r="K2930" s="1465">
        <v>0</v>
      </c>
      <c r="L2930" s="309"/>
      <c r="M2930" s="309"/>
      <c r="N2930" s="309"/>
      <c r="O2930" s="1477">
        <f>SUM(H2930:L2930,-M2930,-N2930)</f>
        <v>0</v>
      </c>
      <c r="P2930" s="292"/>
      <c r="S2930" s="364"/>
      <c r="Z2930" s="609" t="s">
        <v>1206</v>
      </c>
      <c r="AA2930" s="609" t="s">
        <v>5664</v>
      </c>
    </row>
    <row r="2931" spans="1:27" ht="18">
      <c r="A2931" s="2714"/>
      <c r="B2931" s="371">
        <v>103.002</v>
      </c>
      <c r="C2931" s="371" t="s">
        <v>2791</v>
      </c>
      <c r="D2931" s="2716">
        <f t="shared" si="328"/>
        <v>1</v>
      </c>
      <c r="E2931" s="2721" t="s">
        <v>5159</v>
      </c>
      <c r="F2931" s="294"/>
      <c r="G2931" s="1486" t="s">
        <v>5195</v>
      </c>
      <c r="H2931" s="309"/>
      <c r="I2931" s="309"/>
      <c r="J2931" s="309"/>
      <c r="K2931" s="1465">
        <v>0</v>
      </c>
      <c r="L2931" s="309"/>
      <c r="M2931" s="309"/>
      <c r="N2931" s="309"/>
      <c r="O2931" s="1477">
        <f>SUM(H2931:L2931,-M2931,-N2931)</f>
        <v>0</v>
      </c>
      <c r="P2931" s="292"/>
      <c r="S2931" s="364"/>
      <c r="Z2931" s="609" t="s">
        <v>1206</v>
      </c>
      <c r="AA2931" s="609" t="s">
        <v>5664</v>
      </c>
    </row>
    <row r="2932" spans="1:27" ht="18">
      <c r="A2932" s="2714"/>
      <c r="B2932" s="371">
        <v>104</v>
      </c>
      <c r="C2932" s="371"/>
      <c r="D2932" s="2716">
        <f t="shared" si="328"/>
        <v>1</v>
      </c>
      <c r="E2932" s="2721" t="s">
        <v>41</v>
      </c>
      <c r="F2932" s="294"/>
      <c r="G2932" s="308" t="s">
        <v>5168</v>
      </c>
      <c r="H2932" s="309"/>
      <c r="I2932" s="309"/>
      <c r="J2932" s="309"/>
      <c r="K2932" s="1465">
        <v>0</v>
      </c>
      <c r="L2932" s="309"/>
      <c r="M2932" s="309"/>
      <c r="N2932" s="309"/>
      <c r="O2932" s="346"/>
      <c r="P2932" s="292"/>
      <c r="S2932" s="364"/>
      <c r="Z2932" s="609" t="s">
        <v>1206</v>
      </c>
      <c r="AA2932" s="609" t="s">
        <v>5664</v>
      </c>
    </row>
    <row r="2933" spans="1:27" ht="18">
      <c r="A2933" s="2714"/>
      <c r="B2933" s="371">
        <v>104.001</v>
      </c>
      <c r="C2933" s="371" t="s">
        <v>2791</v>
      </c>
      <c r="D2933" s="2716">
        <f t="shared" si="328"/>
        <v>1</v>
      </c>
      <c r="E2933" s="2721" t="s">
        <v>5159</v>
      </c>
      <c r="F2933" s="294"/>
      <c r="G2933" s="1486" t="s">
        <v>5196</v>
      </c>
      <c r="H2933" s="309"/>
      <c r="I2933" s="309"/>
      <c r="J2933" s="309"/>
      <c r="K2933" s="1465">
        <v>0</v>
      </c>
      <c r="L2933" s="309"/>
      <c r="M2933" s="309"/>
      <c r="N2933" s="309"/>
      <c r="O2933" s="1477">
        <f>SUM(H2933:L2933,-M2933,-N2933)</f>
        <v>0</v>
      </c>
      <c r="P2933" s="292"/>
      <c r="S2933" s="364"/>
      <c r="Z2933" s="609" t="s">
        <v>1206</v>
      </c>
      <c r="AA2933" s="609" t="s">
        <v>5664</v>
      </c>
    </row>
    <row r="2934" spans="1:27" ht="18">
      <c r="A2934" s="2714"/>
      <c r="B2934" s="371">
        <v>104.002</v>
      </c>
      <c r="C2934" s="371" t="s">
        <v>2791</v>
      </c>
      <c r="D2934" s="2716">
        <f t="shared" si="328"/>
        <v>1</v>
      </c>
      <c r="E2934" s="2721" t="s">
        <v>5159</v>
      </c>
      <c r="F2934" s="294"/>
      <c r="G2934" s="1486" t="s">
        <v>5197</v>
      </c>
      <c r="H2934" s="309"/>
      <c r="I2934" s="309"/>
      <c r="J2934" s="309"/>
      <c r="K2934" s="1465">
        <v>0</v>
      </c>
      <c r="L2934" s="309"/>
      <c r="M2934" s="309"/>
      <c r="N2934" s="309"/>
      <c r="O2934" s="1477">
        <f>SUM(H2934:L2934,-M2934,-N2934)</f>
        <v>0</v>
      </c>
      <c r="P2934" s="292"/>
      <c r="S2934" s="364"/>
      <c r="Z2934" s="609" t="s">
        <v>1206</v>
      </c>
      <c r="AA2934" s="609" t="s">
        <v>5664</v>
      </c>
    </row>
    <row r="2935" spans="1:27" ht="18">
      <c r="A2935" s="2714"/>
      <c r="B2935" s="371">
        <v>105</v>
      </c>
      <c r="C2935" s="371"/>
      <c r="D2935" s="2716">
        <f t="shared" si="328"/>
        <v>1</v>
      </c>
      <c r="E2935" s="2721" t="s">
        <v>41</v>
      </c>
      <c r="F2935" s="294"/>
      <c r="G2935" s="308" t="s">
        <v>5169</v>
      </c>
      <c r="H2935" s="309"/>
      <c r="I2935" s="309"/>
      <c r="J2935" s="309"/>
      <c r="K2935" s="1465">
        <v>0</v>
      </c>
      <c r="L2935" s="309"/>
      <c r="M2935" s="309"/>
      <c r="N2935" s="309"/>
      <c r="O2935" s="346"/>
      <c r="P2935" s="292"/>
      <c r="S2935" s="364"/>
      <c r="Z2935" s="609" t="s">
        <v>1206</v>
      </c>
      <c r="AA2935" s="609" t="s">
        <v>5664</v>
      </c>
    </row>
    <row r="2936" spans="1:27" ht="18">
      <c r="A2936" s="2714"/>
      <c r="B2936" s="371">
        <v>105.001</v>
      </c>
      <c r="C2936" s="371" t="s">
        <v>2791</v>
      </c>
      <c r="D2936" s="2716">
        <f t="shared" si="328"/>
        <v>1</v>
      </c>
      <c r="E2936" s="2721" t="s">
        <v>5159</v>
      </c>
      <c r="F2936" s="294"/>
      <c r="G2936" s="1486" t="s">
        <v>5198</v>
      </c>
      <c r="H2936" s="309"/>
      <c r="I2936" s="309"/>
      <c r="J2936" s="309"/>
      <c r="K2936" s="1465">
        <v>0</v>
      </c>
      <c r="L2936" s="309"/>
      <c r="M2936" s="309"/>
      <c r="N2936" s="309"/>
      <c r="O2936" s="1477">
        <f>SUM(H2936:L2936,-M2936,-N2936)</f>
        <v>0</v>
      </c>
      <c r="P2936" s="292"/>
      <c r="S2936" s="364"/>
      <c r="Z2936" s="609" t="s">
        <v>1206</v>
      </c>
      <c r="AA2936" s="609" t="s">
        <v>5664</v>
      </c>
    </row>
    <row r="2937" spans="1:27" ht="18">
      <c r="A2937" s="2714"/>
      <c r="B2937" s="371">
        <v>105.002</v>
      </c>
      <c r="C2937" s="371" t="s">
        <v>2791</v>
      </c>
      <c r="D2937" s="2716">
        <f t="shared" si="328"/>
        <v>1</v>
      </c>
      <c r="E2937" s="2721" t="s">
        <v>5159</v>
      </c>
      <c r="F2937" s="294"/>
      <c r="G2937" s="1486" t="s">
        <v>5199</v>
      </c>
      <c r="H2937" s="309"/>
      <c r="I2937" s="309"/>
      <c r="J2937" s="309"/>
      <c r="K2937" s="1465">
        <v>0</v>
      </c>
      <c r="L2937" s="309"/>
      <c r="M2937" s="309"/>
      <c r="N2937" s="309"/>
      <c r="O2937" s="1477">
        <f>SUM(H2937:L2937,-M2937,-N2937)</f>
        <v>0</v>
      </c>
      <c r="P2937" s="292"/>
      <c r="S2937" s="364"/>
      <c r="Z2937" s="609" t="s">
        <v>1206</v>
      </c>
      <c r="AA2937" s="609" t="s">
        <v>5664</v>
      </c>
    </row>
    <row r="2938" spans="1:27" ht="18">
      <c r="A2938" s="2714"/>
      <c r="B2938" s="371">
        <v>105.999</v>
      </c>
      <c r="C2938" s="371" t="s">
        <v>2793</v>
      </c>
      <c r="D2938" s="2716">
        <f t="shared" si="328"/>
        <v>1</v>
      </c>
      <c r="E2938" s="2721">
        <v>1</v>
      </c>
      <c r="F2938" s="294"/>
      <c r="G2938" s="308" t="s">
        <v>5165</v>
      </c>
      <c r="H2938" s="1476">
        <f>SUMIF($E$2924:$E$2979,$G2938,H$2924:H$2979)</f>
        <v>0</v>
      </c>
      <c r="I2938" s="1476">
        <f>SUMIF($E$2924:$E$2979,$G2938,I$2924:I$2979)</f>
        <v>0</v>
      </c>
      <c r="J2938" s="1476">
        <f>SUMIF($E$2924:$E$2979,$G2938,J$2924:J$2979)</f>
        <v>0</v>
      </c>
      <c r="K2938" s="1465">
        <v>0</v>
      </c>
      <c r="L2938" s="1476">
        <f>SUMIF($E$2924:$E$2979,$G2938,L$2924:L$2979)</f>
        <v>0</v>
      </c>
      <c r="M2938" s="1476">
        <f>SUMIF($E$2924:$E$2979,$G2938,M$2924:M$2979)</f>
        <v>0</v>
      </c>
      <c r="N2938" s="1476">
        <f>SUMIF($E$2924:$E$2979,$G2938,N$2924:N$2979)</f>
        <v>0</v>
      </c>
      <c r="O2938" s="1477">
        <f>SUMIF($E$2924:$E$2979,$G2938,O$2924:O$2979)</f>
        <v>0</v>
      </c>
      <c r="P2938" s="292"/>
      <c r="S2938" s="364"/>
      <c r="Z2938" s="609" t="s">
        <v>1206</v>
      </c>
      <c r="AA2938" s="609" t="s">
        <v>5664</v>
      </c>
    </row>
    <row r="2939" spans="1:27" ht="18">
      <c r="A2939" s="2714"/>
      <c r="B2939" s="371">
        <v>106</v>
      </c>
      <c r="C2939" s="371"/>
      <c r="D2939" s="2716">
        <f t="shared" si="328"/>
        <v>1</v>
      </c>
      <c r="E2939" s="2721" t="s">
        <v>41</v>
      </c>
      <c r="F2939" s="294"/>
      <c r="G2939" s="308" t="s">
        <v>3610</v>
      </c>
      <c r="H2939" s="1476"/>
      <c r="I2939" s="1465">
        <v>0</v>
      </c>
      <c r="J2939" s="1465">
        <v>0</v>
      </c>
      <c r="K2939" s="309"/>
      <c r="L2939" s="1476"/>
      <c r="M2939" s="1476"/>
      <c r="N2939" s="1476"/>
      <c r="O2939" s="1477"/>
      <c r="P2939" s="292"/>
      <c r="S2939" s="364"/>
      <c r="Z2939" s="609" t="s">
        <v>1206</v>
      </c>
      <c r="AA2939" s="609" t="s">
        <v>5664</v>
      </c>
    </row>
    <row r="2940" spans="1:27" ht="18">
      <c r="A2940" s="2714"/>
      <c r="B2940" s="371">
        <v>107</v>
      </c>
      <c r="C2940" s="371"/>
      <c r="D2940" s="2716">
        <f t="shared" si="328"/>
        <v>1</v>
      </c>
      <c r="E2940" s="2721" t="s">
        <v>41</v>
      </c>
      <c r="F2940" s="294"/>
      <c r="G2940" s="1484" t="str">
        <f>G$2926&amp;" "</f>
        <v xml:space="preserve">种植业 </v>
      </c>
      <c r="H2940" s="1476"/>
      <c r="I2940" s="1465">
        <v>0</v>
      </c>
      <c r="J2940" s="1465">
        <v>0</v>
      </c>
      <c r="K2940" s="309"/>
      <c r="L2940" s="1476"/>
      <c r="M2940" s="1476"/>
      <c r="N2940" s="1476"/>
      <c r="O2940" s="1477"/>
      <c r="P2940" s="292"/>
      <c r="S2940" s="364"/>
      <c r="Z2940" s="609" t="s">
        <v>1206</v>
      </c>
      <c r="AA2940" s="609" t="s">
        <v>5664</v>
      </c>
    </row>
    <row r="2941" spans="1:27" ht="18">
      <c r="A2941" s="2714"/>
      <c r="B2941" s="371">
        <v>107.001</v>
      </c>
      <c r="C2941" s="371" t="s">
        <v>2791</v>
      </c>
      <c r="D2941" s="2716">
        <f t="shared" si="328"/>
        <v>1</v>
      </c>
      <c r="E2941" s="2721" t="s">
        <v>486</v>
      </c>
      <c r="F2941" s="294"/>
      <c r="G2941" s="1484" t="str">
        <f>G$2927&amp;" "</f>
        <v xml:space="preserve">*种植1（在原值处修改清除） </v>
      </c>
      <c r="H2941" s="1476"/>
      <c r="I2941" s="1465">
        <v>0</v>
      </c>
      <c r="J2941" s="1465">
        <v>0</v>
      </c>
      <c r="K2941" s="309"/>
      <c r="L2941" s="1476"/>
      <c r="M2941" s="1476"/>
      <c r="N2941" s="1476"/>
      <c r="O2941" s="1477">
        <f t="shared" ref="O2941:O2942" si="329">SUM(H2941:L2941,-M2941,-N2941)</f>
        <v>0</v>
      </c>
      <c r="P2941" s="292"/>
      <c r="S2941" s="364"/>
      <c r="Z2941" s="609" t="s">
        <v>1206</v>
      </c>
      <c r="AA2941" s="609" t="s">
        <v>5664</v>
      </c>
    </row>
    <row r="2942" spans="1:27" ht="18">
      <c r="A2942" s="2714"/>
      <c r="B2942" s="371">
        <v>107.002</v>
      </c>
      <c r="C2942" s="371" t="s">
        <v>2791</v>
      </c>
      <c r="D2942" s="2716">
        <f t="shared" si="328"/>
        <v>1</v>
      </c>
      <c r="E2942" s="2721" t="s">
        <v>486</v>
      </c>
      <c r="F2942" s="294"/>
      <c r="G2942" s="1484" t="str">
        <f>G$2928&amp;" "</f>
        <v xml:space="preserve">*种植2（在原值处修改清除） </v>
      </c>
      <c r="H2942" s="1476"/>
      <c r="I2942" s="1465">
        <v>0</v>
      </c>
      <c r="J2942" s="1465">
        <v>0</v>
      </c>
      <c r="K2942" s="309"/>
      <c r="L2942" s="1476"/>
      <c r="M2942" s="1476"/>
      <c r="N2942" s="1476"/>
      <c r="O2942" s="1477">
        <f t="shared" si="329"/>
        <v>0</v>
      </c>
      <c r="P2942" s="292"/>
      <c r="S2942" s="364"/>
      <c r="Z2942" s="609" t="s">
        <v>1206</v>
      </c>
      <c r="AA2942" s="609" t="s">
        <v>5664</v>
      </c>
    </row>
    <row r="2943" spans="1:27" ht="18">
      <c r="A2943" s="2714"/>
      <c r="B2943" s="371">
        <v>108</v>
      </c>
      <c r="C2943" s="371"/>
      <c r="D2943" s="2716">
        <f t="shared" si="328"/>
        <v>1</v>
      </c>
      <c r="E2943" s="2721" t="s">
        <v>41</v>
      </c>
      <c r="F2943" s="294"/>
      <c r="G2943" s="1484" t="str">
        <f>G$2929&amp;" "</f>
        <v xml:space="preserve">畜牧养殖业 </v>
      </c>
      <c r="H2943" s="1476"/>
      <c r="I2943" s="1465">
        <v>0</v>
      </c>
      <c r="J2943" s="1465">
        <v>0</v>
      </c>
      <c r="K2943" s="309"/>
      <c r="L2943" s="1476"/>
      <c r="M2943" s="1476"/>
      <c r="N2943" s="1476"/>
      <c r="O2943" s="1477"/>
      <c r="P2943" s="292"/>
      <c r="S2943" s="364"/>
      <c r="Z2943" s="609" t="s">
        <v>1206</v>
      </c>
      <c r="AA2943" s="609" t="s">
        <v>5664</v>
      </c>
    </row>
    <row r="2944" spans="1:27" ht="18">
      <c r="A2944" s="2714"/>
      <c r="B2944" s="371">
        <v>108.001</v>
      </c>
      <c r="C2944" s="371" t="s">
        <v>2791</v>
      </c>
      <c r="D2944" s="2716">
        <f t="shared" si="328"/>
        <v>1</v>
      </c>
      <c r="E2944" s="2721" t="s">
        <v>486</v>
      </c>
      <c r="F2944" s="294"/>
      <c r="G2944" s="1484" t="str">
        <f>G$2930&amp;" "</f>
        <v xml:space="preserve">*畜牧1（在原值处修改清除） </v>
      </c>
      <c r="H2944" s="1476"/>
      <c r="I2944" s="1465">
        <v>0</v>
      </c>
      <c r="J2944" s="1465">
        <v>0</v>
      </c>
      <c r="K2944" s="309"/>
      <c r="L2944" s="1476"/>
      <c r="M2944" s="1476"/>
      <c r="N2944" s="1476"/>
      <c r="O2944" s="1477">
        <f t="shared" ref="O2944:O2945" si="330">SUM(H2944:L2944,-M2944,-N2944)</f>
        <v>0</v>
      </c>
      <c r="P2944" s="292"/>
      <c r="S2944" s="364"/>
      <c r="Z2944" s="609" t="s">
        <v>1206</v>
      </c>
      <c r="AA2944" s="609" t="s">
        <v>5664</v>
      </c>
    </row>
    <row r="2945" spans="1:27" ht="18">
      <c r="A2945" s="2714"/>
      <c r="B2945" s="371">
        <v>108.002</v>
      </c>
      <c r="C2945" s="371" t="s">
        <v>2791</v>
      </c>
      <c r="D2945" s="2716">
        <f t="shared" si="328"/>
        <v>1</v>
      </c>
      <c r="E2945" s="2721" t="s">
        <v>486</v>
      </c>
      <c r="F2945" s="294"/>
      <c r="G2945" s="1484" t="str">
        <f>G$2931&amp;" "</f>
        <v xml:space="preserve">*畜牧2（在原值处修改清除） </v>
      </c>
      <c r="H2945" s="1476"/>
      <c r="I2945" s="1465">
        <v>0</v>
      </c>
      <c r="J2945" s="1465">
        <v>0</v>
      </c>
      <c r="K2945" s="309"/>
      <c r="L2945" s="1476"/>
      <c r="M2945" s="1476"/>
      <c r="N2945" s="1476"/>
      <c r="O2945" s="1477">
        <f t="shared" si="330"/>
        <v>0</v>
      </c>
      <c r="P2945" s="292"/>
      <c r="S2945" s="364"/>
      <c r="Z2945" s="609" t="s">
        <v>1206</v>
      </c>
      <c r="AA2945" s="609" t="s">
        <v>5664</v>
      </c>
    </row>
    <row r="2946" spans="1:27" ht="18">
      <c r="A2946" s="2714"/>
      <c r="B2946" s="371">
        <v>109</v>
      </c>
      <c r="C2946" s="371"/>
      <c r="D2946" s="2716">
        <f t="shared" si="328"/>
        <v>1</v>
      </c>
      <c r="E2946" s="2721" t="s">
        <v>41</v>
      </c>
      <c r="F2946" s="294"/>
      <c r="G2946" s="1484" t="str">
        <f>G$2932&amp;" "</f>
        <v xml:space="preserve">林业 </v>
      </c>
      <c r="H2946" s="1476"/>
      <c r="I2946" s="1465">
        <v>0</v>
      </c>
      <c r="J2946" s="1465">
        <v>0</v>
      </c>
      <c r="K2946" s="309"/>
      <c r="L2946" s="1476"/>
      <c r="M2946" s="1476"/>
      <c r="N2946" s="1476"/>
      <c r="O2946" s="1477"/>
      <c r="P2946" s="292"/>
      <c r="S2946" s="364"/>
      <c r="Z2946" s="609" t="s">
        <v>1206</v>
      </c>
      <c r="AA2946" s="609" t="s">
        <v>5664</v>
      </c>
    </row>
    <row r="2947" spans="1:27" ht="18">
      <c r="A2947" s="2714"/>
      <c r="B2947" s="371">
        <v>109.001</v>
      </c>
      <c r="C2947" s="371" t="s">
        <v>2791</v>
      </c>
      <c r="D2947" s="2716">
        <f t="shared" si="328"/>
        <v>1</v>
      </c>
      <c r="E2947" s="2721" t="s">
        <v>486</v>
      </c>
      <c r="F2947" s="294"/>
      <c r="G2947" s="1484" t="str">
        <f>G$2933&amp;" "</f>
        <v xml:space="preserve">*林业1（在原值处修改清除） </v>
      </c>
      <c r="H2947" s="1476"/>
      <c r="I2947" s="1465">
        <v>0</v>
      </c>
      <c r="J2947" s="1465">
        <v>0</v>
      </c>
      <c r="K2947" s="309"/>
      <c r="L2947" s="1476"/>
      <c r="M2947" s="1476"/>
      <c r="N2947" s="1476"/>
      <c r="O2947" s="1477">
        <f t="shared" ref="O2947:O2948" si="331">SUM(H2947:L2947,-M2947,-N2947)</f>
        <v>0</v>
      </c>
      <c r="P2947" s="292"/>
      <c r="S2947" s="364"/>
      <c r="Z2947" s="609" t="s">
        <v>1206</v>
      </c>
      <c r="AA2947" s="609" t="s">
        <v>5664</v>
      </c>
    </row>
    <row r="2948" spans="1:27" ht="18">
      <c r="A2948" s="2714"/>
      <c r="B2948" s="371">
        <v>109.002</v>
      </c>
      <c r="C2948" s="371" t="s">
        <v>2791</v>
      </c>
      <c r="D2948" s="2716">
        <f t="shared" si="328"/>
        <v>1</v>
      </c>
      <c r="E2948" s="2721" t="s">
        <v>486</v>
      </c>
      <c r="F2948" s="294"/>
      <c r="G2948" s="1484" t="str">
        <f>G$2934&amp;" "</f>
        <v xml:space="preserve">*林业2（在原值处修改清除） </v>
      </c>
      <c r="H2948" s="1476"/>
      <c r="I2948" s="1465">
        <v>0</v>
      </c>
      <c r="J2948" s="1465">
        <v>0</v>
      </c>
      <c r="K2948" s="309"/>
      <c r="L2948" s="1476"/>
      <c r="M2948" s="1476"/>
      <c r="N2948" s="1476"/>
      <c r="O2948" s="1477">
        <f t="shared" si="331"/>
        <v>0</v>
      </c>
      <c r="P2948" s="292"/>
      <c r="S2948" s="364"/>
      <c r="Z2948" s="609" t="s">
        <v>1206</v>
      </c>
      <c r="AA2948" s="609" t="s">
        <v>5664</v>
      </c>
    </row>
    <row r="2949" spans="1:27" ht="18">
      <c r="A2949" s="2714"/>
      <c r="B2949" s="371">
        <v>110</v>
      </c>
      <c r="C2949" s="371"/>
      <c r="D2949" s="2716">
        <f t="shared" si="328"/>
        <v>1</v>
      </c>
      <c r="E2949" s="2721" t="s">
        <v>41</v>
      </c>
      <c r="F2949" s="294"/>
      <c r="G2949" s="1484" t="str">
        <f>G$2935&amp;" "</f>
        <v xml:space="preserve">水产业 </v>
      </c>
      <c r="H2949" s="1476"/>
      <c r="I2949" s="1465">
        <v>0</v>
      </c>
      <c r="J2949" s="1465">
        <v>0</v>
      </c>
      <c r="K2949" s="309"/>
      <c r="L2949" s="1476"/>
      <c r="M2949" s="1476"/>
      <c r="N2949" s="1476"/>
      <c r="O2949" s="1477"/>
      <c r="P2949" s="292"/>
      <c r="S2949" s="364"/>
      <c r="Z2949" s="609" t="s">
        <v>1206</v>
      </c>
      <c r="AA2949" s="609" t="s">
        <v>5664</v>
      </c>
    </row>
    <row r="2950" spans="1:27" ht="18">
      <c r="A2950" s="2714"/>
      <c r="B2950" s="371">
        <v>110.001</v>
      </c>
      <c r="C2950" s="371" t="s">
        <v>2791</v>
      </c>
      <c r="D2950" s="2716">
        <f t="shared" si="328"/>
        <v>1</v>
      </c>
      <c r="E2950" s="2721" t="s">
        <v>486</v>
      </c>
      <c r="F2950" s="294"/>
      <c r="G2950" s="1484" t="str">
        <f>G$2936&amp;" "</f>
        <v xml:space="preserve">*水产1（在原值处修改清除） </v>
      </c>
      <c r="H2950" s="1476"/>
      <c r="I2950" s="1465">
        <v>0</v>
      </c>
      <c r="J2950" s="1465">
        <v>0</v>
      </c>
      <c r="K2950" s="309"/>
      <c r="L2950" s="1476"/>
      <c r="M2950" s="1476"/>
      <c r="N2950" s="1476"/>
      <c r="O2950" s="1477">
        <f t="shared" ref="O2950:O2951" si="332">SUM(H2950:L2950,-M2950,-N2950)</f>
        <v>0</v>
      </c>
      <c r="P2950" s="292"/>
      <c r="S2950" s="364"/>
      <c r="Z2950" s="609" t="s">
        <v>1206</v>
      </c>
      <c r="AA2950" s="609" t="s">
        <v>5664</v>
      </c>
    </row>
    <row r="2951" spans="1:27" ht="18">
      <c r="A2951" s="2714"/>
      <c r="B2951" s="371">
        <v>110.002</v>
      </c>
      <c r="C2951" s="371" t="s">
        <v>2791</v>
      </c>
      <c r="D2951" s="2716">
        <f t="shared" si="328"/>
        <v>1</v>
      </c>
      <c r="E2951" s="2721" t="s">
        <v>486</v>
      </c>
      <c r="F2951" s="294"/>
      <c r="G2951" s="1484" t="str">
        <f>G$2937&amp;" "</f>
        <v xml:space="preserve">*水产2（在原值处修改清除） </v>
      </c>
      <c r="H2951" s="1476"/>
      <c r="I2951" s="1465">
        <v>0</v>
      </c>
      <c r="J2951" s="1465">
        <v>0</v>
      </c>
      <c r="K2951" s="309"/>
      <c r="L2951" s="1476"/>
      <c r="M2951" s="1476"/>
      <c r="N2951" s="1476"/>
      <c r="O2951" s="1477">
        <f t="shared" si="332"/>
        <v>0</v>
      </c>
      <c r="P2951" s="292"/>
      <c r="S2951" s="364"/>
      <c r="Z2951" s="609" t="s">
        <v>1206</v>
      </c>
      <c r="AA2951" s="609" t="s">
        <v>5664</v>
      </c>
    </row>
    <row r="2952" spans="1:27" ht="18">
      <c r="A2952" s="2714"/>
      <c r="B2952" s="371">
        <v>110.999</v>
      </c>
      <c r="C2952" s="371" t="s">
        <v>2793</v>
      </c>
      <c r="D2952" s="2716">
        <f t="shared" si="328"/>
        <v>1</v>
      </c>
      <c r="E2952" s="2721">
        <v>-1</v>
      </c>
      <c r="F2952" s="294"/>
      <c r="G2952" s="308" t="s">
        <v>5170</v>
      </c>
      <c r="H2952" s="1476">
        <f>SUMIF($E$2924:$E$2979,$G2952,H$2924:H$2979)</f>
        <v>0</v>
      </c>
      <c r="I2952" s="1465">
        <v>0</v>
      </c>
      <c r="J2952" s="1465">
        <v>0</v>
      </c>
      <c r="K2952" s="1476">
        <f>SUMIF($E$2924:$E$2979,$G2952,K$2924:K$2979)</f>
        <v>0</v>
      </c>
      <c r="L2952" s="1476">
        <f>SUMIF($E$2924:$E$2979,$G2952,L$2924:L$2979)</f>
        <v>0</v>
      </c>
      <c r="M2952" s="1476">
        <f>SUMIF($E$2924:$E$2979,$G2952,M$2924:M$2979)</f>
        <v>0</v>
      </c>
      <c r="N2952" s="1476">
        <f>SUMIF($E$2924:$E$2979,$G2952,N$2924:N$2979)</f>
        <v>0</v>
      </c>
      <c r="O2952" s="1477">
        <f>SUMIF($E$2924:$E$2979,$G2952,O$2924:O$2979)</f>
        <v>0</v>
      </c>
      <c r="P2952" s="292"/>
      <c r="S2952" s="364"/>
      <c r="Z2952" s="609" t="s">
        <v>1206</v>
      </c>
      <c r="AA2952" s="609" t="s">
        <v>5664</v>
      </c>
    </row>
    <row r="2953" spans="1:27" ht="18">
      <c r="A2953" s="2714"/>
      <c r="B2953" s="371">
        <v>111</v>
      </c>
      <c r="C2953" s="371"/>
      <c r="D2953" s="2716">
        <f t="shared" si="328"/>
        <v>1</v>
      </c>
      <c r="E2953" s="2721" t="s">
        <v>41</v>
      </c>
      <c r="F2953" s="294"/>
      <c r="G2953" s="308" t="s">
        <v>3581</v>
      </c>
      <c r="H2953" s="1476"/>
      <c r="I2953" s="1465">
        <v>0</v>
      </c>
      <c r="J2953" s="1465">
        <v>0</v>
      </c>
      <c r="K2953" s="309"/>
      <c r="L2953" s="1476"/>
      <c r="M2953" s="1476"/>
      <c r="N2953" s="1476"/>
      <c r="O2953" s="1477"/>
      <c r="P2953" s="292"/>
      <c r="S2953" s="364"/>
      <c r="Z2953" s="609" t="s">
        <v>1206</v>
      </c>
      <c r="AA2953" s="609" t="s">
        <v>5664</v>
      </c>
    </row>
    <row r="2954" spans="1:27" ht="18">
      <c r="A2954" s="2714"/>
      <c r="B2954" s="371">
        <v>112</v>
      </c>
      <c r="C2954" s="371"/>
      <c r="D2954" s="2716">
        <f t="shared" si="328"/>
        <v>1</v>
      </c>
      <c r="E2954" s="2721" t="s">
        <v>41</v>
      </c>
      <c r="F2954" s="294"/>
      <c r="G2954" s="1484" t="str">
        <f>G$2926&amp;"  "</f>
        <v xml:space="preserve">种植业  </v>
      </c>
      <c r="H2954" s="1476"/>
      <c r="I2954" s="1465">
        <v>0</v>
      </c>
      <c r="J2954" s="1465">
        <v>0</v>
      </c>
      <c r="K2954" s="309"/>
      <c r="L2954" s="1476"/>
      <c r="M2954" s="1476"/>
      <c r="N2954" s="1476"/>
      <c r="O2954" s="1477"/>
      <c r="P2954" s="292"/>
      <c r="S2954" s="364"/>
      <c r="Z2954" s="609" t="s">
        <v>1206</v>
      </c>
      <c r="AA2954" s="609" t="s">
        <v>5664</v>
      </c>
    </row>
    <row r="2955" spans="1:27" ht="18">
      <c r="A2955" s="2714"/>
      <c r="B2955" s="371">
        <v>112.001</v>
      </c>
      <c r="C2955" s="371" t="s">
        <v>2791</v>
      </c>
      <c r="D2955" s="2716">
        <f t="shared" si="328"/>
        <v>1</v>
      </c>
      <c r="E2955" s="2721" t="s">
        <v>3097</v>
      </c>
      <c r="F2955" s="294"/>
      <c r="G2955" s="1484" t="str">
        <f>G$2927&amp;"  "</f>
        <v xml:space="preserve">*种植1（在原值处修改清除）  </v>
      </c>
      <c r="H2955" s="1476"/>
      <c r="I2955" s="1465">
        <v>0</v>
      </c>
      <c r="J2955" s="1465">
        <v>0</v>
      </c>
      <c r="K2955" s="309"/>
      <c r="L2955" s="1476"/>
      <c r="M2955" s="1476"/>
      <c r="N2955" s="1476"/>
      <c r="O2955" s="1477">
        <f t="shared" ref="O2955:O2956" si="333">SUM(H2955:L2955,-M2955,-N2955)</f>
        <v>0</v>
      </c>
      <c r="P2955" s="292"/>
      <c r="S2955" s="364"/>
      <c r="Z2955" s="609" t="s">
        <v>1206</v>
      </c>
      <c r="AA2955" s="609" t="s">
        <v>5664</v>
      </c>
    </row>
    <row r="2956" spans="1:27" ht="18">
      <c r="A2956" s="2714"/>
      <c r="B2956" s="371">
        <v>112.002</v>
      </c>
      <c r="C2956" s="371" t="s">
        <v>2791</v>
      </c>
      <c r="D2956" s="2716">
        <f t="shared" si="328"/>
        <v>1</v>
      </c>
      <c r="E2956" s="2721" t="s">
        <v>3097</v>
      </c>
      <c r="F2956" s="294"/>
      <c r="G2956" s="1484" t="str">
        <f>G$2928&amp;"  "</f>
        <v xml:space="preserve">*种植2（在原值处修改清除）  </v>
      </c>
      <c r="H2956" s="1476"/>
      <c r="I2956" s="1465">
        <v>0</v>
      </c>
      <c r="J2956" s="1465">
        <v>0</v>
      </c>
      <c r="K2956" s="309"/>
      <c r="L2956" s="1476"/>
      <c r="M2956" s="1476"/>
      <c r="N2956" s="1476"/>
      <c r="O2956" s="1477">
        <f t="shared" si="333"/>
        <v>0</v>
      </c>
      <c r="P2956" s="292"/>
      <c r="S2956" s="364"/>
      <c r="Z2956" s="609" t="s">
        <v>1206</v>
      </c>
      <c r="AA2956" s="609" t="s">
        <v>5664</v>
      </c>
    </row>
    <row r="2957" spans="1:27" ht="18">
      <c r="A2957" s="2714"/>
      <c r="B2957" s="371">
        <v>113</v>
      </c>
      <c r="C2957" s="371"/>
      <c r="D2957" s="2716">
        <f t="shared" ref="D2957:D2980" si="334">IF(OR(G2957="*",G2957="",G2957=0),0,COUNTIF($G$2925:$G$2980,G2957))</f>
        <v>1</v>
      </c>
      <c r="E2957" s="2721" t="s">
        <v>41</v>
      </c>
      <c r="F2957" s="294"/>
      <c r="G2957" s="1484" t="str">
        <f>G$2929&amp;"  "</f>
        <v xml:space="preserve">畜牧养殖业  </v>
      </c>
      <c r="H2957" s="1476"/>
      <c r="I2957" s="1465">
        <v>0</v>
      </c>
      <c r="J2957" s="1465">
        <v>0</v>
      </c>
      <c r="K2957" s="309"/>
      <c r="L2957" s="1476"/>
      <c r="M2957" s="1476"/>
      <c r="N2957" s="1476"/>
      <c r="O2957" s="1477"/>
      <c r="P2957" s="292"/>
      <c r="S2957" s="364"/>
      <c r="Z2957" s="609" t="s">
        <v>1206</v>
      </c>
      <c r="AA2957" s="609" t="s">
        <v>5664</v>
      </c>
    </row>
    <row r="2958" spans="1:27" ht="18">
      <c r="A2958" s="2714"/>
      <c r="B2958" s="371">
        <v>113.001</v>
      </c>
      <c r="C2958" s="371" t="s">
        <v>2791</v>
      </c>
      <c r="D2958" s="2716">
        <f t="shared" si="334"/>
        <v>1</v>
      </c>
      <c r="E2958" s="2721" t="s">
        <v>3097</v>
      </c>
      <c r="F2958" s="294"/>
      <c r="G2958" s="1484" t="str">
        <f>G$2930&amp;"  "</f>
        <v xml:space="preserve">*畜牧1（在原值处修改清除）  </v>
      </c>
      <c r="H2958" s="1476"/>
      <c r="I2958" s="1465">
        <v>0</v>
      </c>
      <c r="J2958" s="1465">
        <v>0</v>
      </c>
      <c r="K2958" s="309"/>
      <c r="L2958" s="1476"/>
      <c r="M2958" s="1476"/>
      <c r="N2958" s="1476"/>
      <c r="O2958" s="1477">
        <f t="shared" ref="O2958:O2959" si="335">SUM(H2958:L2958,-M2958,-N2958)</f>
        <v>0</v>
      </c>
      <c r="P2958" s="292"/>
      <c r="S2958" s="364"/>
      <c r="Z2958" s="609" t="s">
        <v>1206</v>
      </c>
      <c r="AA2958" s="609" t="s">
        <v>5664</v>
      </c>
    </row>
    <row r="2959" spans="1:27" ht="18">
      <c r="A2959" s="2714"/>
      <c r="B2959" s="371">
        <v>113.002</v>
      </c>
      <c r="C2959" s="371" t="s">
        <v>2791</v>
      </c>
      <c r="D2959" s="2716">
        <f t="shared" si="334"/>
        <v>1</v>
      </c>
      <c r="E2959" s="2721" t="s">
        <v>3097</v>
      </c>
      <c r="F2959" s="294"/>
      <c r="G2959" s="1484" t="str">
        <f>G$2931&amp;"  "</f>
        <v xml:space="preserve">*畜牧2（在原值处修改清除）  </v>
      </c>
      <c r="H2959" s="1476"/>
      <c r="I2959" s="1465">
        <v>0</v>
      </c>
      <c r="J2959" s="1465">
        <v>0</v>
      </c>
      <c r="K2959" s="309"/>
      <c r="L2959" s="1476"/>
      <c r="M2959" s="1476"/>
      <c r="N2959" s="1476"/>
      <c r="O2959" s="1477">
        <f t="shared" si="335"/>
        <v>0</v>
      </c>
      <c r="P2959" s="292"/>
      <c r="S2959" s="364"/>
      <c r="Z2959" s="609" t="s">
        <v>1206</v>
      </c>
      <c r="AA2959" s="609" t="s">
        <v>5664</v>
      </c>
    </row>
    <row r="2960" spans="1:27" ht="18">
      <c r="A2960" s="2714"/>
      <c r="B2960" s="371">
        <v>114</v>
      </c>
      <c r="C2960" s="371"/>
      <c r="D2960" s="2716">
        <f t="shared" si="334"/>
        <v>1</v>
      </c>
      <c r="E2960" s="2721" t="s">
        <v>41</v>
      </c>
      <c r="F2960" s="294"/>
      <c r="G2960" s="1484" t="str">
        <f>G$2932&amp;"  "</f>
        <v xml:space="preserve">林业  </v>
      </c>
      <c r="H2960" s="1476"/>
      <c r="I2960" s="1465">
        <v>0</v>
      </c>
      <c r="J2960" s="1465">
        <v>0</v>
      </c>
      <c r="K2960" s="309"/>
      <c r="L2960" s="1476"/>
      <c r="M2960" s="1476"/>
      <c r="N2960" s="1476"/>
      <c r="O2960" s="1477"/>
      <c r="P2960" s="292"/>
      <c r="S2960" s="364"/>
      <c r="Z2960" s="609" t="s">
        <v>1206</v>
      </c>
      <c r="AA2960" s="609" t="s">
        <v>5664</v>
      </c>
    </row>
    <row r="2961" spans="1:29" ht="18">
      <c r="A2961" s="2714"/>
      <c r="B2961" s="371">
        <v>114.001</v>
      </c>
      <c r="C2961" s="371" t="s">
        <v>2791</v>
      </c>
      <c r="D2961" s="2716">
        <f t="shared" si="334"/>
        <v>1</v>
      </c>
      <c r="E2961" s="2721" t="s">
        <v>3097</v>
      </c>
      <c r="F2961" s="294"/>
      <c r="G2961" s="1484" t="str">
        <f>G$2933&amp;"  "</f>
        <v xml:space="preserve">*林业1（在原值处修改清除）  </v>
      </c>
      <c r="H2961" s="1476"/>
      <c r="I2961" s="1465">
        <v>0</v>
      </c>
      <c r="J2961" s="1465">
        <v>0</v>
      </c>
      <c r="K2961" s="309"/>
      <c r="L2961" s="1476"/>
      <c r="M2961" s="1476"/>
      <c r="N2961" s="1476"/>
      <c r="O2961" s="1477">
        <f t="shared" ref="O2961:O2962" si="336">SUM(H2961:L2961,-M2961,-N2961)</f>
        <v>0</v>
      </c>
      <c r="P2961" s="292"/>
      <c r="S2961" s="364"/>
      <c r="Z2961" s="609" t="s">
        <v>1206</v>
      </c>
      <c r="AA2961" s="609" t="s">
        <v>5664</v>
      </c>
    </row>
    <row r="2962" spans="1:29" ht="18">
      <c r="A2962" s="2714"/>
      <c r="B2962" s="371">
        <v>114.002</v>
      </c>
      <c r="C2962" s="371" t="s">
        <v>2791</v>
      </c>
      <c r="D2962" s="2716">
        <f t="shared" si="334"/>
        <v>1</v>
      </c>
      <c r="E2962" s="2721" t="s">
        <v>3097</v>
      </c>
      <c r="F2962" s="294"/>
      <c r="G2962" s="1484" t="str">
        <f>G$2934&amp;"  "</f>
        <v xml:space="preserve">*林业2（在原值处修改清除）  </v>
      </c>
      <c r="H2962" s="1476"/>
      <c r="I2962" s="1465">
        <v>0</v>
      </c>
      <c r="J2962" s="1465">
        <v>0</v>
      </c>
      <c r="K2962" s="309"/>
      <c r="L2962" s="1476"/>
      <c r="M2962" s="1476"/>
      <c r="N2962" s="1476"/>
      <c r="O2962" s="1477">
        <f t="shared" si="336"/>
        <v>0</v>
      </c>
      <c r="P2962" s="292"/>
      <c r="S2962" s="364"/>
      <c r="Z2962" s="609" t="s">
        <v>1206</v>
      </c>
      <c r="AA2962" s="609" t="s">
        <v>5664</v>
      </c>
    </row>
    <row r="2963" spans="1:29" ht="18">
      <c r="A2963" s="2714"/>
      <c r="B2963" s="371">
        <v>115</v>
      </c>
      <c r="C2963" s="371"/>
      <c r="D2963" s="2716">
        <f t="shared" si="334"/>
        <v>1</v>
      </c>
      <c r="E2963" s="2721" t="s">
        <v>41</v>
      </c>
      <c r="F2963" s="294"/>
      <c r="G2963" s="1484" t="str">
        <f>G$2935&amp;"  "</f>
        <v xml:space="preserve">水产业  </v>
      </c>
      <c r="H2963" s="1476"/>
      <c r="I2963" s="1465">
        <v>0</v>
      </c>
      <c r="J2963" s="1465">
        <v>0</v>
      </c>
      <c r="K2963" s="309"/>
      <c r="L2963" s="1476"/>
      <c r="M2963" s="1476"/>
      <c r="N2963" s="1476"/>
      <c r="O2963" s="1477"/>
      <c r="P2963" s="292"/>
      <c r="S2963" s="364"/>
      <c r="Z2963" s="609" t="s">
        <v>1206</v>
      </c>
      <c r="AA2963" s="609" t="s">
        <v>5664</v>
      </c>
    </row>
    <row r="2964" spans="1:29" ht="18">
      <c r="A2964" s="2714"/>
      <c r="B2964" s="371">
        <v>115.001</v>
      </c>
      <c r="C2964" s="371" t="s">
        <v>2791</v>
      </c>
      <c r="D2964" s="2716">
        <f t="shared" si="334"/>
        <v>1</v>
      </c>
      <c r="E2964" s="2721" t="s">
        <v>3097</v>
      </c>
      <c r="F2964" s="294"/>
      <c r="G2964" s="1484" t="str">
        <f>G$2936&amp;"  "</f>
        <v xml:space="preserve">*水产1（在原值处修改清除）  </v>
      </c>
      <c r="H2964" s="1476"/>
      <c r="I2964" s="1465">
        <v>0</v>
      </c>
      <c r="J2964" s="1465">
        <v>0</v>
      </c>
      <c r="K2964" s="309"/>
      <c r="L2964" s="1476"/>
      <c r="M2964" s="1476"/>
      <c r="N2964" s="1476"/>
      <c r="O2964" s="1477">
        <f t="shared" ref="O2964:O2965" si="337">SUM(H2964:L2964,-M2964,-N2964)</f>
        <v>0</v>
      </c>
      <c r="P2964" s="292"/>
      <c r="S2964" s="364"/>
      <c r="Z2964" s="609" t="s">
        <v>1206</v>
      </c>
      <c r="AA2964" s="609" t="s">
        <v>5664</v>
      </c>
    </row>
    <row r="2965" spans="1:29" ht="18">
      <c r="A2965" s="2714"/>
      <c r="B2965" s="371">
        <v>115.002</v>
      </c>
      <c r="C2965" s="371" t="s">
        <v>2791</v>
      </c>
      <c r="D2965" s="2716">
        <f t="shared" si="334"/>
        <v>1</v>
      </c>
      <c r="E2965" s="2721" t="s">
        <v>3097</v>
      </c>
      <c r="F2965" s="294"/>
      <c r="G2965" s="1484" t="str">
        <f>G$2937&amp;"  "</f>
        <v xml:space="preserve">*水产2（在原值处修改清除）  </v>
      </c>
      <c r="H2965" s="1476"/>
      <c r="I2965" s="1465">
        <v>0</v>
      </c>
      <c r="J2965" s="1465">
        <v>0</v>
      </c>
      <c r="K2965" s="309"/>
      <c r="L2965" s="1476"/>
      <c r="M2965" s="1476"/>
      <c r="N2965" s="1476"/>
      <c r="O2965" s="1477">
        <f t="shared" si="337"/>
        <v>0</v>
      </c>
      <c r="P2965" s="292"/>
      <c r="S2965" s="364"/>
      <c r="Z2965" s="609" t="s">
        <v>1206</v>
      </c>
      <c r="AA2965" s="609" t="s">
        <v>5664</v>
      </c>
    </row>
    <row r="2966" spans="1:29" ht="18">
      <c r="A2966" s="2714"/>
      <c r="B2966" s="371">
        <v>115.999</v>
      </c>
      <c r="C2966" s="371" t="s">
        <v>2793</v>
      </c>
      <c r="D2966" s="2716">
        <f t="shared" si="334"/>
        <v>1</v>
      </c>
      <c r="E2966" s="2721">
        <v>-1</v>
      </c>
      <c r="F2966" s="294"/>
      <c r="G2966" s="308" t="s">
        <v>5171</v>
      </c>
      <c r="H2966" s="1476">
        <f>SUMIF($E$2924:$E$2979,$G2966,H$2924:H$2979)</f>
        <v>0</v>
      </c>
      <c r="I2966" s="1465">
        <v>0</v>
      </c>
      <c r="J2966" s="1465">
        <v>0</v>
      </c>
      <c r="K2966" s="1476">
        <f>SUMIF($E$2924:$E$2979,$G2966,K$2924:K$2979)</f>
        <v>0</v>
      </c>
      <c r="L2966" s="1476">
        <f>SUMIF($E$2924:$E$2979,$G2966,L$2924:L$2979)</f>
        <v>0</v>
      </c>
      <c r="M2966" s="1476">
        <f>SUMIF($E$2924:$E$2979,$G2966,M$2924:M$2979)</f>
        <v>0</v>
      </c>
      <c r="N2966" s="1476">
        <f>SUMIF($E$2924:$E$2979,$G2966,N$2924:N$2979)</f>
        <v>0</v>
      </c>
      <c r="O2966" s="1477">
        <f>SUMIF($E$2924:$E$2979,$G2966,O$2924:O$2979)</f>
        <v>0</v>
      </c>
      <c r="P2966" s="1534" t="str">
        <f ca="1">HYPERLINK("#'"&amp;$G$1&amp;"'!"&amp;ADDRESS(ROW(Notes!L4898),COLUMN(Notes!L4898),4),"* 请勿删除此行！点击往勾稽单元格，F5+Enter返回")</f>
        <v>* 请勿删除此行！点击往勾稽单元格，F5+Enter返回</v>
      </c>
      <c r="S2966" s="364"/>
      <c r="Z2966" s="609" t="s">
        <v>1206</v>
      </c>
      <c r="AA2966" s="609" t="s">
        <v>5664</v>
      </c>
      <c r="AC2966" s="369" t="s">
        <v>2794</v>
      </c>
    </row>
    <row r="2967" spans="1:29" ht="18">
      <c r="A2967" s="2714"/>
      <c r="B2967" s="371">
        <v>116</v>
      </c>
      <c r="C2967" s="371"/>
      <c r="D2967" s="2716">
        <f t="shared" si="334"/>
        <v>1</v>
      </c>
      <c r="E2967" s="2721" t="s">
        <v>41</v>
      </c>
      <c r="F2967" s="294"/>
      <c r="G2967" s="308" t="s">
        <v>3582</v>
      </c>
      <c r="H2967" s="1476"/>
      <c r="I2967" s="1465">
        <v>0</v>
      </c>
      <c r="J2967" s="1465">
        <v>0</v>
      </c>
      <c r="K2967" s="1465">
        <v>0</v>
      </c>
      <c r="L2967" s="1465">
        <v>0</v>
      </c>
      <c r="M2967" s="1465">
        <v>0</v>
      </c>
      <c r="N2967" s="1465">
        <v>0</v>
      </c>
      <c r="O2967" s="1477"/>
      <c r="P2967" s="292"/>
      <c r="S2967" s="364"/>
      <c r="Z2967" s="609" t="s">
        <v>1206</v>
      </c>
      <c r="AA2967" s="609" t="s">
        <v>5664</v>
      </c>
    </row>
    <row r="2968" spans="1:29" ht="18">
      <c r="A2968" s="2714"/>
      <c r="B2968" s="371">
        <v>117</v>
      </c>
      <c r="C2968" s="371"/>
      <c r="D2968" s="2716">
        <f t="shared" si="334"/>
        <v>1</v>
      </c>
      <c r="E2968" s="2721" t="s">
        <v>41</v>
      </c>
      <c r="F2968" s="294"/>
      <c r="G2968" s="1484" t="str">
        <f>G$2926&amp;"   "</f>
        <v xml:space="preserve">种植业   </v>
      </c>
      <c r="H2968" s="1476"/>
      <c r="I2968" s="1465">
        <v>0</v>
      </c>
      <c r="J2968" s="1465">
        <v>0</v>
      </c>
      <c r="K2968" s="1465">
        <v>0</v>
      </c>
      <c r="L2968" s="1465">
        <v>0</v>
      </c>
      <c r="M2968" s="1465">
        <v>0</v>
      </c>
      <c r="N2968" s="1465">
        <v>0</v>
      </c>
      <c r="O2968" s="1477"/>
      <c r="P2968" s="292"/>
      <c r="S2968" s="364"/>
      <c r="Z2968" s="609" t="s">
        <v>1206</v>
      </c>
      <c r="AA2968" s="609" t="s">
        <v>5664</v>
      </c>
    </row>
    <row r="2969" spans="1:29" ht="18">
      <c r="A2969" s="2714"/>
      <c r="B2969" s="371">
        <v>118</v>
      </c>
      <c r="C2969" s="371" t="s">
        <v>2791</v>
      </c>
      <c r="D2969" s="2716">
        <f t="shared" si="334"/>
        <v>1</v>
      </c>
      <c r="E2969" s="2721">
        <v>0</v>
      </c>
      <c r="F2969" s="294"/>
      <c r="G2969" s="1484" t="str">
        <f>G$2927&amp;"   "</f>
        <v xml:space="preserve">*种植1（在原值处修改清除）   </v>
      </c>
      <c r="H2969" s="1476">
        <f>H2927-H2941-H2955</f>
        <v>0</v>
      </c>
      <c r="I2969" s="1465">
        <v>0</v>
      </c>
      <c r="J2969" s="1465">
        <v>0</v>
      </c>
      <c r="K2969" s="1465">
        <v>0</v>
      </c>
      <c r="L2969" s="1465">
        <v>0</v>
      </c>
      <c r="M2969" s="1465">
        <v>0</v>
      </c>
      <c r="N2969" s="1465">
        <v>0</v>
      </c>
      <c r="O2969" s="1477">
        <f>O2927-O2941-O2955</f>
        <v>0</v>
      </c>
      <c r="P2969" s="292"/>
      <c r="S2969" s="364"/>
      <c r="Z2969" s="609" t="s">
        <v>1206</v>
      </c>
      <c r="AA2969" s="609" t="s">
        <v>5664</v>
      </c>
    </row>
    <row r="2970" spans="1:29" ht="18">
      <c r="A2970" s="2714"/>
      <c r="B2970" s="371">
        <v>119</v>
      </c>
      <c r="C2970" s="371" t="s">
        <v>2791</v>
      </c>
      <c r="D2970" s="2716">
        <f t="shared" si="334"/>
        <v>1</v>
      </c>
      <c r="E2970" s="2721">
        <v>0</v>
      </c>
      <c r="F2970" s="294"/>
      <c r="G2970" s="1484" t="str">
        <f>G$2928&amp;"   "</f>
        <v xml:space="preserve">*种植2（在原值处修改清除）   </v>
      </c>
      <c r="H2970" s="1476">
        <f>H2928-H2942-H2956</f>
        <v>0</v>
      </c>
      <c r="I2970" s="1465">
        <v>0</v>
      </c>
      <c r="J2970" s="1465">
        <v>0</v>
      </c>
      <c r="K2970" s="1465">
        <v>0</v>
      </c>
      <c r="L2970" s="1465">
        <v>0</v>
      </c>
      <c r="M2970" s="1465">
        <v>0</v>
      </c>
      <c r="N2970" s="1465">
        <v>0</v>
      </c>
      <c r="O2970" s="1477">
        <f>O2928-O2942-O2956</f>
        <v>0</v>
      </c>
      <c r="P2970" s="292"/>
      <c r="S2970" s="364"/>
      <c r="Z2970" s="609" t="s">
        <v>1206</v>
      </c>
      <c r="AA2970" s="609" t="s">
        <v>5664</v>
      </c>
    </row>
    <row r="2971" spans="1:29" ht="18">
      <c r="A2971" s="2714"/>
      <c r="B2971" s="371">
        <v>120</v>
      </c>
      <c r="C2971" s="371"/>
      <c r="D2971" s="2716">
        <f t="shared" si="334"/>
        <v>1</v>
      </c>
      <c r="E2971" s="2721" t="s">
        <v>41</v>
      </c>
      <c r="F2971" s="294"/>
      <c r="G2971" s="1484" t="str">
        <f>G$2929&amp;"   "</f>
        <v xml:space="preserve">畜牧养殖业   </v>
      </c>
      <c r="H2971" s="1476"/>
      <c r="I2971" s="1465">
        <v>0</v>
      </c>
      <c r="J2971" s="1465">
        <v>0</v>
      </c>
      <c r="K2971" s="1465">
        <v>0</v>
      </c>
      <c r="L2971" s="1465">
        <v>0</v>
      </c>
      <c r="M2971" s="1465">
        <v>0</v>
      </c>
      <c r="N2971" s="1465">
        <v>0</v>
      </c>
      <c r="O2971" s="1477"/>
      <c r="P2971" s="292"/>
      <c r="S2971" s="364"/>
      <c r="Z2971" s="609" t="s">
        <v>1206</v>
      </c>
      <c r="AA2971" s="609" t="s">
        <v>5664</v>
      </c>
    </row>
    <row r="2972" spans="1:29" ht="18">
      <c r="A2972" s="2714"/>
      <c r="B2972" s="371">
        <v>121</v>
      </c>
      <c r="C2972" s="371" t="s">
        <v>2791</v>
      </c>
      <c r="D2972" s="2716">
        <f t="shared" si="334"/>
        <v>1</v>
      </c>
      <c r="E2972" s="2721">
        <v>0</v>
      </c>
      <c r="F2972" s="294"/>
      <c r="G2972" s="1484" t="str">
        <f>G$2930&amp;"   "</f>
        <v xml:space="preserve">*畜牧1（在原值处修改清除）   </v>
      </c>
      <c r="H2972" s="1476">
        <f t="shared" ref="H2972:H2973" si="338">H2930-H2944-H2958</f>
        <v>0</v>
      </c>
      <c r="I2972" s="1465">
        <v>0</v>
      </c>
      <c r="J2972" s="1465">
        <v>0</v>
      </c>
      <c r="K2972" s="1465">
        <v>0</v>
      </c>
      <c r="L2972" s="1465">
        <v>0</v>
      </c>
      <c r="M2972" s="1465">
        <v>0</v>
      </c>
      <c r="N2972" s="1465">
        <v>0</v>
      </c>
      <c r="O2972" s="1477">
        <f t="shared" ref="O2972:O2973" si="339">O2930-O2944-O2958</f>
        <v>0</v>
      </c>
      <c r="P2972" s="292"/>
      <c r="S2972" s="364"/>
      <c r="Z2972" s="609" t="s">
        <v>1206</v>
      </c>
      <c r="AA2972" s="609" t="s">
        <v>5664</v>
      </c>
    </row>
    <row r="2973" spans="1:29" ht="18">
      <c r="A2973" s="2714"/>
      <c r="B2973" s="371">
        <v>122</v>
      </c>
      <c r="C2973" s="371" t="s">
        <v>2791</v>
      </c>
      <c r="D2973" s="2716">
        <f t="shared" si="334"/>
        <v>1</v>
      </c>
      <c r="E2973" s="2721">
        <v>0</v>
      </c>
      <c r="F2973" s="294"/>
      <c r="G2973" s="1484" t="str">
        <f>G$2931&amp;"   "</f>
        <v xml:space="preserve">*畜牧2（在原值处修改清除）   </v>
      </c>
      <c r="H2973" s="1476">
        <f t="shared" si="338"/>
        <v>0</v>
      </c>
      <c r="I2973" s="1465">
        <v>0</v>
      </c>
      <c r="J2973" s="1465">
        <v>0</v>
      </c>
      <c r="K2973" s="1465">
        <v>0</v>
      </c>
      <c r="L2973" s="1465">
        <v>0</v>
      </c>
      <c r="M2973" s="1465">
        <v>0</v>
      </c>
      <c r="N2973" s="1465">
        <v>0</v>
      </c>
      <c r="O2973" s="1477">
        <f t="shared" si="339"/>
        <v>0</v>
      </c>
      <c r="P2973" s="292"/>
      <c r="S2973" s="364"/>
      <c r="Z2973" s="609" t="s">
        <v>1206</v>
      </c>
      <c r="AA2973" s="609" t="s">
        <v>5664</v>
      </c>
    </row>
    <row r="2974" spans="1:29" ht="18">
      <c r="A2974" s="2714"/>
      <c r="B2974" s="371">
        <v>123</v>
      </c>
      <c r="C2974" s="371"/>
      <c r="D2974" s="2716">
        <f t="shared" si="334"/>
        <v>1</v>
      </c>
      <c r="E2974" s="2721" t="s">
        <v>41</v>
      </c>
      <c r="F2974" s="294"/>
      <c r="G2974" s="1484" t="str">
        <f>G$2932&amp;"   "</f>
        <v xml:space="preserve">林业   </v>
      </c>
      <c r="H2974" s="1476"/>
      <c r="I2974" s="1465">
        <v>0</v>
      </c>
      <c r="J2974" s="1465">
        <v>0</v>
      </c>
      <c r="K2974" s="1465">
        <v>0</v>
      </c>
      <c r="L2974" s="1465">
        <v>0</v>
      </c>
      <c r="M2974" s="1465">
        <v>0</v>
      </c>
      <c r="N2974" s="1465">
        <v>0</v>
      </c>
      <c r="O2974" s="1477"/>
      <c r="P2974" s="292"/>
      <c r="S2974" s="364"/>
      <c r="Z2974" s="609" t="s">
        <v>1206</v>
      </c>
      <c r="AA2974" s="609" t="s">
        <v>5664</v>
      </c>
    </row>
    <row r="2975" spans="1:29" ht="18">
      <c r="A2975" s="2714"/>
      <c r="B2975" s="371">
        <v>124</v>
      </c>
      <c r="C2975" s="371" t="s">
        <v>2791</v>
      </c>
      <c r="D2975" s="2716">
        <f t="shared" si="334"/>
        <v>1</v>
      </c>
      <c r="E2975" s="2721">
        <v>0</v>
      </c>
      <c r="F2975" s="294"/>
      <c r="G2975" s="1484" t="str">
        <f>G$2933&amp;"   "</f>
        <v xml:space="preserve">*林业1（在原值处修改清除）   </v>
      </c>
      <c r="H2975" s="1476">
        <f t="shared" ref="H2975:H2976" si="340">H2933-H2947-H2961</f>
        <v>0</v>
      </c>
      <c r="I2975" s="1465">
        <v>0</v>
      </c>
      <c r="J2975" s="1465">
        <v>0</v>
      </c>
      <c r="K2975" s="1465">
        <v>0</v>
      </c>
      <c r="L2975" s="1465">
        <v>0</v>
      </c>
      <c r="M2975" s="1465">
        <v>0</v>
      </c>
      <c r="N2975" s="1465">
        <v>0</v>
      </c>
      <c r="O2975" s="1477">
        <f t="shared" ref="O2975:O2976" si="341">O2933-O2947-O2961</f>
        <v>0</v>
      </c>
      <c r="P2975" s="292"/>
      <c r="S2975" s="364"/>
      <c r="Z2975" s="609" t="s">
        <v>1206</v>
      </c>
      <c r="AA2975" s="609" t="s">
        <v>5664</v>
      </c>
    </row>
    <row r="2976" spans="1:29" ht="18">
      <c r="A2976" s="2714"/>
      <c r="B2976" s="371">
        <v>125</v>
      </c>
      <c r="C2976" s="371" t="s">
        <v>2791</v>
      </c>
      <c r="D2976" s="2716">
        <f t="shared" si="334"/>
        <v>1</v>
      </c>
      <c r="E2976" s="2721">
        <v>0</v>
      </c>
      <c r="F2976" s="294"/>
      <c r="G2976" s="1484" t="str">
        <f>G$2934&amp;"   "</f>
        <v xml:space="preserve">*林业2（在原值处修改清除）   </v>
      </c>
      <c r="H2976" s="1476">
        <f t="shared" si="340"/>
        <v>0</v>
      </c>
      <c r="I2976" s="1465">
        <v>0</v>
      </c>
      <c r="J2976" s="1465">
        <v>0</v>
      </c>
      <c r="K2976" s="1465">
        <v>0</v>
      </c>
      <c r="L2976" s="1465">
        <v>0</v>
      </c>
      <c r="M2976" s="1465">
        <v>0</v>
      </c>
      <c r="N2976" s="1465">
        <v>0</v>
      </c>
      <c r="O2976" s="1477">
        <f t="shared" si="341"/>
        <v>0</v>
      </c>
      <c r="P2976" s="292"/>
      <c r="S2976" s="364"/>
      <c r="Z2976" s="609" t="s">
        <v>1206</v>
      </c>
      <c r="AA2976" s="609" t="s">
        <v>5664</v>
      </c>
    </row>
    <row r="2977" spans="1:27" ht="18">
      <c r="A2977" s="2714"/>
      <c r="B2977" s="371">
        <v>126</v>
      </c>
      <c r="C2977" s="371"/>
      <c r="D2977" s="2716">
        <f t="shared" si="334"/>
        <v>1</v>
      </c>
      <c r="E2977" s="2721" t="s">
        <v>41</v>
      </c>
      <c r="F2977" s="294"/>
      <c r="G2977" s="1484" t="str">
        <f>G$2935&amp;"   "</f>
        <v xml:space="preserve">水产业   </v>
      </c>
      <c r="H2977" s="1476"/>
      <c r="I2977" s="1465">
        <v>0</v>
      </c>
      <c r="J2977" s="1465">
        <v>0</v>
      </c>
      <c r="K2977" s="1465">
        <v>0</v>
      </c>
      <c r="L2977" s="1465">
        <v>0</v>
      </c>
      <c r="M2977" s="1465">
        <v>0</v>
      </c>
      <c r="N2977" s="1465">
        <v>0</v>
      </c>
      <c r="O2977" s="1477"/>
      <c r="P2977" s="292"/>
      <c r="S2977" s="364"/>
      <c r="Z2977" s="609" t="s">
        <v>1206</v>
      </c>
      <c r="AA2977" s="609" t="s">
        <v>5664</v>
      </c>
    </row>
    <row r="2978" spans="1:27" ht="18">
      <c r="A2978" s="2714"/>
      <c r="B2978" s="371">
        <v>127</v>
      </c>
      <c r="C2978" s="371" t="s">
        <v>2791</v>
      </c>
      <c r="D2978" s="2716">
        <f t="shared" si="334"/>
        <v>1</v>
      </c>
      <c r="E2978" s="2721">
        <v>0</v>
      </c>
      <c r="F2978" s="294"/>
      <c r="G2978" s="1484" t="str">
        <f>G$2936&amp;"   "</f>
        <v xml:space="preserve">*水产1（在原值处修改清除）   </v>
      </c>
      <c r="H2978" s="1476">
        <f t="shared" ref="H2978:H2979" si="342">H2936-H2950-H2964</f>
        <v>0</v>
      </c>
      <c r="I2978" s="1465">
        <v>0</v>
      </c>
      <c r="J2978" s="1465">
        <v>0</v>
      </c>
      <c r="K2978" s="1465">
        <v>0</v>
      </c>
      <c r="L2978" s="1465">
        <v>0</v>
      </c>
      <c r="M2978" s="1465">
        <v>0</v>
      </c>
      <c r="N2978" s="1465">
        <v>0</v>
      </c>
      <c r="O2978" s="1477">
        <f t="shared" ref="O2978:O2979" si="343">O2936-O2950-O2964</f>
        <v>0</v>
      </c>
      <c r="P2978" s="292"/>
      <c r="S2978" s="364"/>
      <c r="Z2978" s="609" t="s">
        <v>1206</v>
      </c>
      <c r="AA2978" s="609" t="s">
        <v>5664</v>
      </c>
    </row>
    <row r="2979" spans="1:27" ht="18">
      <c r="A2979" s="2714"/>
      <c r="B2979" s="371">
        <v>128</v>
      </c>
      <c r="C2979" s="371" t="s">
        <v>2791</v>
      </c>
      <c r="D2979" s="2716">
        <f t="shared" si="334"/>
        <v>1</v>
      </c>
      <c r="E2979" s="2721">
        <v>0</v>
      </c>
      <c r="F2979" s="294"/>
      <c r="G2979" s="1484" t="str">
        <f>G$2937&amp;"   "</f>
        <v xml:space="preserve">*水产2（在原值处修改清除）   </v>
      </c>
      <c r="H2979" s="1476">
        <f t="shared" si="342"/>
        <v>0</v>
      </c>
      <c r="I2979" s="1465">
        <v>0</v>
      </c>
      <c r="J2979" s="1465">
        <v>0</v>
      </c>
      <c r="K2979" s="1465">
        <v>0</v>
      </c>
      <c r="L2979" s="1465">
        <v>0</v>
      </c>
      <c r="M2979" s="1465">
        <v>0</v>
      </c>
      <c r="N2979" s="1465">
        <v>0</v>
      </c>
      <c r="O2979" s="1477">
        <f t="shared" si="343"/>
        <v>0</v>
      </c>
      <c r="P2979" s="292"/>
      <c r="S2979" s="364"/>
      <c r="Z2979" s="609" t="s">
        <v>1206</v>
      </c>
      <c r="AA2979" s="609" t="s">
        <v>5664</v>
      </c>
    </row>
    <row r="2980" spans="1:27" ht="18.75" thickBot="1">
      <c r="A2980" s="2714"/>
      <c r="B2980" s="371"/>
      <c r="C2980" s="371"/>
      <c r="D2980" s="2716">
        <f t="shared" si="334"/>
        <v>1</v>
      </c>
      <c r="E2980" s="2721" t="s">
        <v>3032</v>
      </c>
      <c r="F2980" s="294"/>
      <c r="G2980" s="374" t="s">
        <v>5172</v>
      </c>
      <c r="H2980" s="1478">
        <f>SUMPRODUCT($E2924:$E2979,H2924:H2979)</f>
        <v>0</v>
      </c>
      <c r="I2980" s="2380">
        <v>0</v>
      </c>
      <c r="J2980" s="2380">
        <v>0</v>
      </c>
      <c r="K2980" s="2380">
        <v>0</v>
      </c>
      <c r="L2980" s="2380">
        <v>0</v>
      </c>
      <c r="M2980" s="2380">
        <v>0</v>
      </c>
      <c r="N2980" s="2380">
        <v>0</v>
      </c>
      <c r="O2980" s="1479">
        <f>SUMPRODUCT($E2924:$E2979,O2924:O2979)</f>
        <v>0</v>
      </c>
      <c r="P2980" s="291"/>
      <c r="S2980" s="364"/>
      <c r="Z2980" s="609" t="s">
        <v>1206</v>
      </c>
      <c r="AA2980" s="609" t="s">
        <v>5664</v>
      </c>
    </row>
    <row r="2981" spans="1:27" ht="18">
      <c r="A2981" s="2714"/>
      <c r="B2981" s="371"/>
      <c r="C2981" s="371" t="s">
        <v>2755</v>
      </c>
      <c r="D2981" s="371"/>
      <c r="F2981" s="294"/>
      <c r="G2981" s="301"/>
      <c r="H2981" s="315"/>
      <c r="I2981" s="315"/>
      <c r="J2981" s="315"/>
      <c r="K2981" s="315"/>
      <c r="L2981" s="315"/>
      <c r="M2981" s="315"/>
      <c r="N2981" s="315"/>
      <c r="O2981" s="315"/>
      <c r="P2981" s="291"/>
      <c r="S2981" s="364"/>
      <c r="Z2981" s="609" t="s">
        <v>1206</v>
      </c>
      <c r="AA2981" s="609" t="s">
        <v>5664</v>
      </c>
    </row>
    <row r="2982" spans="1:27" ht="24">
      <c r="A2982" s="2714" t="s">
        <v>1223</v>
      </c>
      <c r="B2982" s="371">
        <v>2</v>
      </c>
      <c r="C2982" s="371"/>
      <c r="D2982" s="2716" t="str">
        <f>VLOOKUP($A2982,Sheet_NoteList,2,0)</f>
        <v>采用公允价值计量模式的生产性生物资产</v>
      </c>
      <c r="E2982" s="2716" t="s">
        <v>2742</v>
      </c>
      <c r="F2982" s="294"/>
      <c r="G2982" s="372" t="str">
        <f>"("&amp;B2982&amp;")"&amp;D2982</f>
        <v>(2)采用公允价值计量模式的生产性生物资产</v>
      </c>
      <c r="H2982" s="1517" t="str">
        <f>$A2982</f>
        <v>1621b</v>
      </c>
      <c r="I2982" s="343" t="s">
        <v>2743</v>
      </c>
      <c r="J2982" s="301" t="s">
        <v>2744</v>
      </c>
      <c r="K2982" s="2210">
        <f>P3003</f>
        <v>0</v>
      </c>
      <c r="L2982" s="345" t="str">
        <f>IF($I2982="适用",IF(ROUND(K2919-K2982,2)=0,"F/S",ROUND(K2919-K2982,2)),"#N/A")</f>
        <v>F/S</v>
      </c>
      <c r="M2982" s="301" t="s">
        <v>2745</v>
      </c>
      <c r="N2982" s="2210">
        <f>H3003</f>
        <v>0</v>
      </c>
      <c r="O2982" s="345" t="str">
        <f>IF($I2982="适用",IF(ROUND(N2919-N2982,2)=0,"F/S",ROUND(N2919-N2982,2)),"#N/A")</f>
        <v>F/S</v>
      </c>
      <c r="P2982" s="301"/>
      <c r="Q2982" s="290" t="str">
        <f>IF($I2982="不适用","",IF(ROUND(SUM($H$2987:$P$3003),2)=0,"请输入",""))</f>
        <v>请输入</v>
      </c>
      <c r="S2982" s="364"/>
      <c r="Z2982" s="609" t="s">
        <v>1206</v>
      </c>
      <c r="AA2982" s="609" t="s">
        <v>5664</v>
      </c>
    </row>
    <row r="2983" spans="1:27" ht="0.75" customHeight="1">
      <c r="A2983" s="2714"/>
      <c r="B2983" s="371"/>
      <c r="C2983" s="371"/>
      <c r="D2983" s="371"/>
      <c r="F2983" s="304"/>
      <c r="G2983" s="304" t="s">
        <v>3688</v>
      </c>
      <c r="H2983" s="304" t="s">
        <v>2904</v>
      </c>
      <c r="I2983" s="304" t="s">
        <v>3564</v>
      </c>
      <c r="J2983" s="304" t="s">
        <v>3677</v>
      </c>
      <c r="K2983" s="304" t="s">
        <v>3565</v>
      </c>
      <c r="L2983" s="304" t="s">
        <v>3566</v>
      </c>
      <c r="M2983" s="304" t="s">
        <v>3567</v>
      </c>
      <c r="N2983" s="304" t="s">
        <v>3568</v>
      </c>
      <c r="O2983" s="304" t="s">
        <v>3689</v>
      </c>
      <c r="P2983" s="304" t="s">
        <v>3690</v>
      </c>
      <c r="S2983" s="364"/>
      <c r="Z2983" s="609" t="s">
        <v>1206</v>
      </c>
      <c r="AA2983" s="609" t="s">
        <v>5664</v>
      </c>
    </row>
    <row r="2984" spans="1:27" ht="0.75" customHeight="1" thickBot="1">
      <c r="A2984" s="2714"/>
      <c r="B2984" s="371"/>
      <c r="C2984" s="371"/>
      <c r="D2984" s="371"/>
      <c r="F2984" s="304"/>
      <c r="G2984" s="304"/>
      <c r="H2984" s="304" t="s">
        <v>3691</v>
      </c>
      <c r="I2984" s="304" t="s">
        <v>3692</v>
      </c>
      <c r="J2984" s="304" t="s">
        <v>3693</v>
      </c>
      <c r="K2984" s="304" t="s">
        <v>3694</v>
      </c>
      <c r="L2984" s="304" t="s">
        <v>3695</v>
      </c>
      <c r="M2984" s="304" t="s">
        <v>3696</v>
      </c>
      <c r="N2984" s="304" t="s">
        <v>3697</v>
      </c>
      <c r="O2984" s="304" t="s">
        <v>3698</v>
      </c>
      <c r="P2984" s="304" t="s">
        <v>3508</v>
      </c>
      <c r="S2984" s="364"/>
      <c r="Z2984" s="609" t="s">
        <v>1206</v>
      </c>
      <c r="AA2984" s="609" t="s">
        <v>5664</v>
      </c>
    </row>
    <row r="2985" spans="1:27" ht="18" customHeight="1">
      <c r="A2985" s="2714"/>
      <c r="B2985" s="371"/>
      <c r="C2985" s="371"/>
      <c r="D2985" s="371"/>
      <c r="E2985" s="2716" t="s">
        <v>2749</v>
      </c>
      <c r="F2985" s="387"/>
      <c r="G2985" s="3506" t="s">
        <v>47</v>
      </c>
      <c r="H2985" s="3405" t="s">
        <v>3524</v>
      </c>
      <c r="I2985" s="3405" t="s">
        <v>3649</v>
      </c>
      <c r="J2985" s="3390"/>
      <c r="K2985" s="3390"/>
      <c r="L2985" s="3390"/>
      <c r="M2985" s="3405" t="s">
        <v>3699</v>
      </c>
      <c r="N2985" s="3390"/>
      <c r="O2985" s="3405" t="s">
        <v>3700</v>
      </c>
      <c r="P2985" s="3407" t="s">
        <v>2560</v>
      </c>
      <c r="Q2985" s="355" t="s">
        <v>5290</v>
      </c>
      <c r="S2985" s="364"/>
      <c r="Z2985" s="609" t="s">
        <v>1206</v>
      </c>
      <c r="AA2985" s="609" t="s">
        <v>5664</v>
      </c>
    </row>
    <row r="2986" spans="1:27" ht="18">
      <c r="A2986" s="2714"/>
      <c r="B2986" s="371"/>
      <c r="C2986" s="371"/>
      <c r="D2986" s="371"/>
      <c r="E2986" s="2716" t="s">
        <v>2749</v>
      </c>
      <c r="F2986" s="294"/>
      <c r="G2986" s="3507"/>
      <c r="H2986" s="3393"/>
      <c r="I2986" s="2318" t="s">
        <v>3701</v>
      </c>
      <c r="J2986" s="2319" t="s">
        <v>3702</v>
      </c>
      <c r="K2986" s="2318" t="s">
        <v>3703</v>
      </c>
      <c r="L2986" s="2318" t="s">
        <v>3704</v>
      </c>
      <c r="M2986" s="2318" t="s">
        <v>3596</v>
      </c>
      <c r="N2986" s="2318" t="s">
        <v>3705</v>
      </c>
      <c r="O2986" s="3445"/>
      <c r="P2986" s="3408"/>
      <c r="S2986" s="364"/>
      <c r="Z2986" s="609" t="s">
        <v>1206</v>
      </c>
      <c r="AA2986" s="609" t="s">
        <v>5664</v>
      </c>
    </row>
    <row r="2987" spans="1:27" ht="18">
      <c r="A2987" s="2714"/>
      <c r="B2987" s="371">
        <v>101</v>
      </c>
      <c r="C2987" s="371"/>
      <c r="D2987" s="2716">
        <f t="shared" ref="D2987:D3003" si="344">IF(OR(G2987="*",G2987="",G2987=0),0,COUNTIF($G$2987:$G$3003,G2987))</f>
        <v>1</v>
      </c>
      <c r="E2987" s="2721" t="s">
        <v>41</v>
      </c>
      <c r="F2987" s="294"/>
      <c r="G2987" s="380" t="s">
        <v>3680</v>
      </c>
      <c r="H2987" s="383"/>
      <c r="I2987" s="383"/>
      <c r="J2987" s="383"/>
      <c r="K2987" s="383"/>
      <c r="L2987" s="383"/>
      <c r="M2987" s="383"/>
      <c r="N2987" s="383"/>
      <c r="O2987" s="383"/>
      <c r="P2987" s="401"/>
      <c r="S2987" s="364"/>
      <c r="Z2987" s="609" t="s">
        <v>1206</v>
      </c>
      <c r="AA2987" s="609" t="s">
        <v>5664</v>
      </c>
    </row>
    <row r="2988" spans="1:27" ht="18">
      <c r="A2988" s="2714"/>
      <c r="B2988" s="371">
        <v>101.001</v>
      </c>
      <c r="C2988" s="371" t="s">
        <v>2791</v>
      </c>
      <c r="D2988" s="2716">
        <f t="shared" si="344"/>
        <v>0</v>
      </c>
      <c r="E2988" s="2721" t="s">
        <v>3681</v>
      </c>
      <c r="F2988" s="294"/>
      <c r="G2988" s="384" t="s">
        <v>2792</v>
      </c>
      <c r="H2988" s="383"/>
      <c r="I2988" s="383"/>
      <c r="J2988" s="383"/>
      <c r="K2988" s="383"/>
      <c r="L2988" s="383"/>
      <c r="M2988" s="383"/>
      <c r="N2988" s="383"/>
      <c r="O2988" s="383"/>
      <c r="P2988" s="401">
        <f t="shared" ref="P2988:P3001" si="345">SUM(H2988:L2988,-M2988,-N2988,O2988)</f>
        <v>0</v>
      </c>
      <c r="S2988" s="364"/>
      <c r="Z2988" s="609" t="s">
        <v>1206</v>
      </c>
      <c r="AA2988" s="609" t="s">
        <v>5664</v>
      </c>
    </row>
    <row r="2989" spans="1:27" ht="18">
      <c r="A2989" s="2714"/>
      <c r="B2989" s="371">
        <v>101.002</v>
      </c>
      <c r="C2989" s="371" t="s">
        <v>2791</v>
      </c>
      <c r="D2989" s="2716">
        <f t="shared" si="344"/>
        <v>0</v>
      </c>
      <c r="E2989" s="2721" t="s">
        <v>3681</v>
      </c>
      <c r="F2989" s="294"/>
      <c r="G2989" s="384" t="s">
        <v>2792</v>
      </c>
      <c r="H2989" s="383"/>
      <c r="I2989" s="383"/>
      <c r="J2989" s="383"/>
      <c r="K2989" s="383"/>
      <c r="L2989" s="383"/>
      <c r="M2989" s="383"/>
      <c r="N2989" s="383"/>
      <c r="O2989" s="383"/>
      <c r="P2989" s="401">
        <f t="shared" si="345"/>
        <v>0</v>
      </c>
      <c r="S2989" s="364"/>
      <c r="Z2989" s="609" t="s">
        <v>1206</v>
      </c>
      <c r="AA2989" s="609" t="s">
        <v>5664</v>
      </c>
    </row>
    <row r="2990" spans="1:27" ht="18">
      <c r="A2990" s="2714"/>
      <c r="B2990" s="371">
        <v>101.999</v>
      </c>
      <c r="C2990" s="371" t="s">
        <v>2793</v>
      </c>
      <c r="D2990" s="2716">
        <f t="shared" si="344"/>
        <v>1</v>
      </c>
      <c r="E2990" s="2721">
        <v>1</v>
      </c>
      <c r="F2990" s="294"/>
      <c r="G2990" s="382" t="s">
        <v>3681</v>
      </c>
      <c r="H2990" s="386">
        <f t="shared" ref="H2990:P2990" si="346">SUMIF($E$2986:$E$3002,$G2990,H$2986:H$3002)</f>
        <v>0</v>
      </c>
      <c r="I2990" s="386">
        <f t="shared" si="346"/>
        <v>0</v>
      </c>
      <c r="J2990" s="386">
        <f t="shared" si="346"/>
        <v>0</v>
      </c>
      <c r="K2990" s="386">
        <f t="shared" si="346"/>
        <v>0</v>
      </c>
      <c r="L2990" s="386">
        <f t="shared" si="346"/>
        <v>0</v>
      </c>
      <c r="M2990" s="386">
        <f t="shared" si="346"/>
        <v>0</v>
      </c>
      <c r="N2990" s="386">
        <f t="shared" si="346"/>
        <v>0</v>
      </c>
      <c r="O2990" s="386">
        <f t="shared" si="346"/>
        <v>0</v>
      </c>
      <c r="P2990" s="402">
        <f t="shared" si="346"/>
        <v>0</v>
      </c>
      <c r="S2990" s="364"/>
      <c r="Z2990" s="609" t="s">
        <v>1206</v>
      </c>
      <c r="AA2990" s="609" t="s">
        <v>5664</v>
      </c>
    </row>
    <row r="2991" spans="1:27" ht="18">
      <c r="A2991" s="2714"/>
      <c r="B2991" s="371">
        <v>102</v>
      </c>
      <c r="C2991" s="371"/>
      <c r="D2991" s="2716">
        <f t="shared" si="344"/>
        <v>1</v>
      </c>
      <c r="E2991" s="2721" t="s">
        <v>41</v>
      </c>
      <c r="F2991" s="294"/>
      <c r="G2991" s="380" t="s">
        <v>3682</v>
      </c>
      <c r="H2991" s="383"/>
      <c r="I2991" s="383"/>
      <c r="J2991" s="383"/>
      <c r="K2991" s="383"/>
      <c r="L2991" s="383"/>
      <c r="M2991" s="383"/>
      <c r="N2991" s="383"/>
      <c r="O2991" s="383"/>
      <c r="P2991" s="401"/>
      <c r="S2991" s="364"/>
      <c r="Z2991" s="609" t="s">
        <v>1206</v>
      </c>
      <c r="AA2991" s="609" t="s">
        <v>5664</v>
      </c>
    </row>
    <row r="2992" spans="1:27" ht="18">
      <c r="A2992" s="2714"/>
      <c r="B2992" s="371">
        <v>102.001</v>
      </c>
      <c r="C2992" s="371" t="s">
        <v>2791</v>
      </c>
      <c r="D2992" s="2716">
        <f t="shared" si="344"/>
        <v>0</v>
      </c>
      <c r="E2992" s="2721" t="s">
        <v>3683</v>
      </c>
      <c r="F2992" s="294"/>
      <c r="G2992" s="384" t="s">
        <v>2792</v>
      </c>
      <c r="H2992" s="383"/>
      <c r="I2992" s="383"/>
      <c r="J2992" s="383"/>
      <c r="K2992" s="383"/>
      <c r="L2992" s="383"/>
      <c r="M2992" s="383"/>
      <c r="N2992" s="383"/>
      <c r="O2992" s="383"/>
      <c r="P2992" s="401">
        <f t="shared" si="345"/>
        <v>0</v>
      </c>
      <c r="S2992" s="364"/>
      <c r="Z2992" s="609" t="s">
        <v>1206</v>
      </c>
      <c r="AA2992" s="609" t="s">
        <v>5664</v>
      </c>
    </row>
    <row r="2993" spans="1:27" ht="18">
      <c r="A2993" s="2714"/>
      <c r="B2993" s="371">
        <v>102.002</v>
      </c>
      <c r="C2993" s="371" t="s">
        <v>2791</v>
      </c>
      <c r="D2993" s="2716">
        <f t="shared" si="344"/>
        <v>0</v>
      </c>
      <c r="E2993" s="2721" t="s">
        <v>3683</v>
      </c>
      <c r="F2993" s="294"/>
      <c r="G2993" s="384" t="s">
        <v>2792</v>
      </c>
      <c r="H2993" s="383"/>
      <c r="I2993" s="383"/>
      <c r="J2993" s="383"/>
      <c r="K2993" s="383"/>
      <c r="L2993" s="383"/>
      <c r="M2993" s="383"/>
      <c r="N2993" s="383"/>
      <c r="O2993" s="383"/>
      <c r="P2993" s="401">
        <f t="shared" si="345"/>
        <v>0</v>
      </c>
      <c r="S2993" s="364"/>
      <c r="Z2993" s="609" t="s">
        <v>1206</v>
      </c>
      <c r="AA2993" s="609" t="s">
        <v>5664</v>
      </c>
    </row>
    <row r="2994" spans="1:27" ht="18">
      <c r="A2994" s="2714"/>
      <c r="B2994" s="371">
        <v>102.999</v>
      </c>
      <c r="C2994" s="371" t="s">
        <v>2793</v>
      </c>
      <c r="D2994" s="2716">
        <f t="shared" si="344"/>
        <v>1</v>
      </c>
      <c r="E2994" s="2721">
        <v>1</v>
      </c>
      <c r="F2994" s="294"/>
      <c r="G2994" s="382" t="s">
        <v>3683</v>
      </c>
      <c r="H2994" s="386">
        <f t="shared" ref="H2994:P2994" si="347">SUMIF($E$2986:$E$3002,$G2994,H$2986:H$3002)</f>
        <v>0</v>
      </c>
      <c r="I2994" s="386">
        <f t="shared" si="347"/>
        <v>0</v>
      </c>
      <c r="J2994" s="386">
        <f t="shared" si="347"/>
        <v>0</v>
      </c>
      <c r="K2994" s="386">
        <f t="shared" si="347"/>
        <v>0</v>
      </c>
      <c r="L2994" s="386">
        <f t="shared" si="347"/>
        <v>0</v>
      </c>
      <c r="M2994" s="386">
        <f t="shared" si="347"/>
        <v>0</v>
      </c>
      <c r="N2994" s="386">
        <f t="shared" si="347"/>
        <v>0</v>
      </c>
      <c r="O2994" s="386">
        <f t="shared" si="347"/>
        <v>0</v>
      </c>
      <c r="P2994" s="402">
        <f t="shared" si="347"/>
        <v>0</v>
      </c>
      <c r="S2994" s="364"/>
      <c r="Z2994" s="609" t="s">
        <v>1206</v>
      </c>
      <c r="AA2994" s="609" t="s">
        <v>5664</v>
      </c>
    </row>
    <row r="2995" spans="1:27" ht="18">
      <c r="A2995" s="2714"/>
      <c r="B2995" s="371">
        <v>103</v>
      </c>
      <c r="C2995" s="371"/>
      <c r="D2995" s="2716">
        <f t="shared" si="344"/>
        <v>1</v>
      </c>
      <c r="E2995" s="2721" t="s">
        <v>41</v>
      </c>
      <c r="F2995" s="294"/>
      <c r="G2995" s="380" t="s">
        <v>3684</v>
      </c>
      <c r="H2995" s="383"/>
      <c r="I2995" s="383"/>
      <c r="J2995" s="383"/>
      <c r="K2995" s="383"/>
      <c r="L2995" s="383"/>
      <c r="M2995" s="383"/>
      <c r="N2995" s="383"/>
      <c r="O2995" s="383"/>
      <c r="P2995" s="401"/>
      <c r="S2995" s="364"/>
      <c r="Z2995" s="609" t="s">
        <v>1206</v>
      </c>
      <c r="AA2995" s="609" t="s">
        <v>5664</v>
      </c>
    </row>
    <row r="2996" spans="1:27" ht="18">
      <c r="A2996" s="2714"/>
      <c r="B2996" s="371">
        <v>103.001</v>
      </c>
      <c r="C2996" s="371" t="s">
        <v>2791</v>
      </c>
      <c r="D2996" s="2716">
        <f t="shared" si="344"/>
        <v>0</v>
      </c>
      <c r="E2996" s="2721" t="s">
        <v>3685</v>
      </c>
      <c r="F2996" s="294"/>
      <c r="G2996" s="384" t="s">
        <v>2792</v>
      </c>
      <c r="H2996" s="383"/>
      <c r="I2996" s="383"/>
      <c r="J2996" s="383"/>
      <c r="K2996" s="383"/>
      <c r="L2996" s="383"/>
      <c r="M2996" s="383"/>
      <c r="N2996" s="383"/>
      <c r="O2996" s="383"/>
      <c r="P2996" s="401">
        <f t="shared" si="345"/>
        <v>0</v>
      </c>
      <c r="S2996" s="364"/>
      <c r="Z2996" s="609" t="s">
        <v>1206</v>
      </c>
      <c r="AA2996" s="609" t="s">
        <v>5664</v>
      </c>
    </row>
    <row r="2997" spans="1:27" ht="18">
      <c r="A2997" s="2714"/>
      <c r="B2997" s="371">
        <v>103.002</v>
      </c>
      <c r="C2997" s="371" t="s">
        <v>2791</v>
      </c>
      <c r="D2997" s="2716">
        <f t="shared" si="344"/>
        <v>0</v>
      </c>
      <c r="E2997" s="2721" t="s">
        <v>3685</v>
      </c>
      <c r="F2997" s="294"/>
      <c r="G2997" s="384" t="s">
        <v>2792</v>
      </c>
      <c r="H2997" s="383"/>
      <c r="I2997" s="383"/>
      <c r="J2997" s="383"/>
      <c r="K2997" s="383"/>
      <c r="L2997" s="383"/>
      <c r="M2997" s="383"/>
      <c r="N2997" s="383"/>
      <c r="O2997" s="383"/>
      <c r="P2997" s="401">
        <f t="shared" si="345"/>
        <v>0</v>
      </c>
      <c r="S2997" s="364"/>
      <c r="Z2997" s="609" t="s">
        <v>1206</v>
      </c>
      <c r="AA2997" s="609" t="s">
        <v>5664</v>
      </c>
    </row>
    <row r="2998" spans="1:27" ht="18">
      <c r="A2998" s="2714"/>
      <c r="B2998" s="371">
        <v>103.999</v>
      </c>
      <c r="C2998" s="371" t="s">
        <v>2793</v>
      </c>
      <c r="D2998" s="2716">
        <f t="shared" si="344"/>
        <v>1</v>
      </c>
      <c r="E2998" s="2721">
        <v>1</v>
      </c>
      <c r="F2998" s="294"/>
      <c r="G2998" s="382" t="s">
        <v>3685</v>
      </c>
      <c r="H2998" s="386">
        <f t="shared" ref="H2998:P2998" si="348">SUMIF($E$2986:$E$3002,$G2998,H$2986:H$3002)</f>
        <v>0</v>
      </c>
      <c r="I2998" s="386">
        <f t="shared" si="348"/>
        <v>0</v>
      </c>
      <c r="J2998" s="386">
        <f t="shared" si="348"/>
        <v>0</v>
      </c>
      <c r="K2998" s="386">
        <f t="shared" si="348"/>
        <v>0</v>
      </c>
      <c r="L2998" s="386">
        <f t="shared" si="348"/>
        <v>0</v>
      </c>
      <c r="M2998" s="386">
        <f t="shared" si="348"/>
        <v>0</v>
      </c>
      <c r="N2998" s="386">
        <f t="shared" si="348"/>
        <v>0</v>
      </c>
      <c r="O2998" s="386">
        <f t="shared" si="348"/>
        <v>0</v>
      </c>
      <c r="P2998" s="402">
        <f t="shared" si="348"/>
        <v>0</v>
      </c>
      <c r="S2998" s="364"/>
      <c r="Z2998" s="609" t="s">
        <v>1206</v>
      </c>
      <c r="AA2998" s="609" t="s">
        <v>5664</v>
      </c>
    </row>
    <row r="2999" spans="1:27" ht="18">
      <c r="A2999" s="2714"/>
      <c r="B2999" s="371">
        <v>104</v>
      </c>
      <c r="C2999" s="371"/>
      <c r="D2999" s="2716">
        <f t="shared" si="344"/>
        <v>1</v>
      </c>
      <c r="E2999" s="2721" t="s">
        <v>41</v>
      </c>
      <c r="F2999" s="294"/>
      <c r="G2999" s="380" t="s">
        <v>3686</v>
      </c>
      <c r="H2999" s="383"/>
      <c r="I2999" s="383"/>
      <c r="J2999" s="383"/>
      <c r="K2999" s="383"/>
      <c r="L2999" s="383"/>
      <c r="M2999" s="383"/>
      <c r="N2999" s="383"/>
      <c r="O2999" s="383"/>
      <c r="P2999" s="401"/>
      <c r="S2999" s="364"/>
      <c r="Z2999" s="609" t="s">
        <v>1206</v>
      </c>
      <c r="AA2999" s="609" t="s">
        <v>5664</v>
      </c>
    </row>
    <row r="3000" spans="1:27" ht="18">
      <c r="A3000" s="2714"/>
      <c r="B3000" s="371">
        <v>104.001</v>
      </c>
      <c r="C3000" s="371" t="s">
        <v>2791</v>
      </c>
      <c r="D3000" s="2716">
        <f t="shared" si="344"/>
        <v>0</v>
      </c>
      <c r="E3000" s="2721" t="s">
        <v>3687</v>
      </c>
      <c r="F3000" s="294"/>
      <c r="G3000" s="384" t="s">
        <v>2792</v>
      </c>
      <c r="H3000" s="383"/>
      <c r="I3000" s="383"/>
      <c r="J3000" s="383"/>
      <c r="K3000" s="383"/>
      <c r="L3000" s="383"/>
      <c r="M3000" s="383"/>
      <c r="N3000" s="383"/>
      <c r="O3000" s="383"/>
      <c r="P3000" s="401">
        <f t="shared" si="345"/>
        <v>0</v>
      </c>
      <c r="S3000" s="364"/>
      <c r="Z3000" s="609" t="s">
        <v>1206</v>
      </c>
      <c r="AA3000" s="609" t="s">
        <v>5664</v>
      </c>
    </row>
    <row r="3001" spans="1:27" ht="18">
      <c r="A3001" s="2714"/>
      <c r="B3001" s="371">
        <v>104.002</v>
      </c>
      <c r="C3001" s="371" t="s">
        <v>2791</v>
      </c>
      <c r="D3001" s="2716">
        <f t="shared" si="344"/>
        <v>0</v>
      </c>
      <c r="E3001" s="2721" t="s">
        <v>3687</v>
      </c>
      <c r="F3001" s="294"/>
      <c r="G3001" s="384" t="s">
        <v>2792</v>
      </c>
      <c r="H3001" s="383"/>
      <c r="I3001" s="383"/>
      <c r="J3001" s="383"/>
      <c r="K3001" s="383"/>
      <c r="L3001" s="383"/>
      <c r="M3001" s="383"/>
      <c r="N3001" s="383"/>
      <c r="O3001" s="383"/>
      <c r="P3001" s="401">
        <f t="shared" si="345"/>
        <v>0</v>
      </c>
      <c r="S3001" s="364"/>
      <c r="Z3001" s="609" t="s">
        <v>1206</v>
      </c>
      <c r="AA3001" s="609" t="s">
        <v>5664</v>
      </c>
    </row>
    <row r="3002" spans="1:27" ht="18">
      <c r="A3002" s="2714"/>
      <c r="B3002" s="371">
        <v>104.999</v>
      </c>
      <c r="C3002" s="371" t="s">
        <v>2793</v>
      </c>
      <c r="D3002" s="2716">
        <f t="shared" si="344"/>
        <v>1</v>
      </c>
      <c r="E3002" s="2721">
        <v>1</v>
      </c>
      <c r="F3002" s="294"/>
      <c r="G3002" s="382" t="s">
        <v>3687</v>
      </c>
      <c r="H3002" s="386">
        <f t="shared" ref="H3002:P3002" si="349">SUMIF($E$2986:$E$3002,$G3002,H$2986:H$3002)</f>
        <v>0</v>
      </c>
      <c r="I3002" s="386">
        <f t="shared" si="349"/>
        <v>0</v>
      </c>
      <c r="J3002" s="386">
        <f t="shared" si="349"/>
        <v>0</v>
      </c>
      <c r="K3002" s="386">
        <f t="shared" si="349"/>
        <v>0</v>
      </c>
      <c r="L3002" s="386">
        <f t="shared" si="349"/>
        <v>0</v>
      </c>
      <c r="M3002" s="386">
        <f t="shared" si="349"/>
        <v>0</v>
      </c>
      <c r="N3002" s="386">
        <f t="shared" si="349"/>
        <v>0</v>
      </c>
      <c r="O3002" s="386">
        <f t="shared" si="349"/>
        <v>0</v>
      </c>
      <c r="P3002" s="402">
        <f t="shared" si="349"/>
        <v>0</v>
      </c>
      <c r="S3002" s="364"/>
      <c r="Z3002" s="609" t="s">
        <v>1206</v>
      </c>
      <c r="AA3002" s="609" t="s">
        <v>5664</v>
      </c>
    </row>
    <row r="3003" spans="1:27" ht="18.75" thickBot="1">
      <c r="A3003" s="2714"/>
      <c r="B3003" s="371"/>
      <c r="C3003" s="371"/>
      <c r="D3003" s="2716">
        <f t="shared" si="344"/>
        <v>1</v>
      </c>
      <c r="E3003" s="2721" t="s">
        <v>2751</v>
      </c>
      <c r="F3003" s="294"/>
      <c r="G3003" s="2330" t="s">
        <v>5489</v>
      </c>
      <c r="H3003" s="2331">
        <f t="shared" ref="H3003:P3003" si="350">SUMPRODUCT($E2986:$E3002,H2986:H3002)</f>
        <v>0</v>
      </c>
      <c r="I3003" s="2331">
        <f t="shared" si="350"/>
        <v>0</v>
      </c>
      <c r="J3003" s="2331">
        <f t="shared" si="350"/>
        <v>0</v>
      </c>
      <c r="K3003" s="2331">
        <f t="shared" si="350"/>
        <v>0</v>
      </c>
      <c r="L3003" s="2331">
        <f t="shared" si="350"/>
        <v>0</v>
      </c>
      <c r="M3003" s="2331">
        <f t="shared" si="350"/>
        <v>0</v>
      </c>
      <c r="N3003" s="2331">
        <f t="shared" si="350"/>
        <v>0</v>
      </c>
      <c r="O3003" s="2331">
        <f t="shared" si="350"/>
        <v>0</v>
      </c>
      <c r="P3003" s="2332">
        <f t="shared" si="350"/>
        <v>0</v>
      </c>
      <c r="S3003" s="364"/>
      <c r="Z3003" s="609" t="s">
        <v>1206</v>
      </c>
      <c r="AA3003" s="609" t="s">
        <v>5664</v>
      </c>
    </row>
    <row r="3004" spans="1:27" ht="18">
      <c r="A3004" s="2714"/>
      <c r="B3004" s="371"/>
      <c r="C3004" s="371" t="s">
        <v>2755</v>
      </c>
      <c r="D3004" s="371"/>
      <c r="F3004" s="294"/>
      <c r="G3004" s="301"/>
      <c r="H3004" s="315"/>
      <c r="I3004" s="315"/>
      <c r="J3004" s="315"/>
      <c r="K3004" s="315"/>
      <c r="L3004" s="315"/>
      <c r="M3004" s="315"/>
      <c r="N3004" s="315"/>
      <c r="O3004" s="315"/>
      <c r="P3004" s="315"/>
      <c r="S3004" s="364"/>
      <c r="Z3004" s="609" t="s">
        <v>1206</v>
      </c>
      <c r="AA3004" s="609" t="s">
        <v>5664</v>
      </c>
    </row>
    <row r="3005" spans="1:27" ht="18">
      <c r="A3005" s="2714">
        <v>1631</v>
      </c>
      <c r="B3005" s="371">
        <v>26</v>
      </c>
      <c r="C3005" s="2716" t="str">
        <f>VLOOKUP($A3005,Sheet_Items,2,0)</f>
        <v>油气资产</v>
      </c>
      <c r="D3005" s="371"/>
      <c r="E3005" s="2716" t="s">
        <v>2739</v>
      </c>
      <c r="F3005" s="294"/>
      <c r="G3005" s="305" t="str">
        <f>B3005&amp;" "&amp;C3005</f>
        <v>26 油气资产</v>
      </c>
      <c r="H3005" s="306"/>
      <c r="I3005" s="306"/>
      <c r="J3005" s="306" t="s">
        <v>2740</v>
      </c>
      <c r="K3005" s="341">
        <f>VLOOKUP($A3005,Sheet_Trialbal,6,0)</f>
        <v>0</v>
      </c>
      <c r="L3005" s="342"/>
      <c r="M3005" s="306" t="s">
        <v>2741</v>
      </c>
      <c r="N3005" s="341">
        <f>VLOOKUP($A3005,Sheet_Trialbal,10,0)</f>
        <v>0</v>
      </c>
      <c r="O3005" s="306"/>
      <c r="P3005" s="301"/>
      <c r="S3005" s="364"/>
      <c r="Z3005" s="609" t="s">
        <v>1235</v>
      </c>
      <c r="AA3005" s="609" t="s">
        <v>3706</v>
      </c>
    </row>
    <row r="3006" spans="1:27" ht="18">
      <c r="A3006" s="2714" t="s">
        <v>1233</v>
      </c>
      <c r="B3006" s="371">
        <v>1</v>
      </c>
      <c r="C3006" s="371"/>
      <c r="D3006" s="2716" t="str">
        <f>VLOOKUP($A3006,Sheet_NoteList,2,0)</f>
        <v>油气资产情况</v>
      </c>
      <c r="E3006" s="2716" t="s">
        <v>2742</v>
      </c>
      <c r="F3006" s="293"/>
      <c r="G3006" s="372" t="str">
        <f>"("&amp;B3006&amp;")"&amp;D3006</f>
        <v>(1)油气资产情况</v>
      </c>
      <c r="H3006" s="1517" t="str">
        <f>$A3006</f>
        <v>1631b</v>
      </c>
      <c r="I3006" s="343" t="s">
        <v>2743</v>
      </c>
      <c r="J3006" s="301" t="s">
        <v>2744</v>
      </c>
      <c r="K3006" s="2210">
        <f>H3040</f>
        <v>0</v>
      </c>
      <c r="L3006" s="349" t="str">
        <f>IF($I3006="适用",IF(ROUND(K$3005-K3006,2)=0,"F/S",ROUND(K$3005-K3006,2)),"#N/A")</f>
        <v>F/S</v>
      </c>
      <c r="M3006" s="301" t="s">
        <v>2745</v>
      </c>
      <c r="N3006" s="2210">
        <f>I3040</f>
        <v>0</v>
      </c>
      <c r="O3006" s="349" t="str">
        <f>IF($I3006="适用",IF(ROUND(N$3005-N3006,2)=0,"F/S",ROUND(N$3005-N3006,2)),"#N/A")</f>
        <v>F/S</v>
      </c>
      <c r="P3006" s="301"/>
      <c r="S3006" s="364"/>
      <c r="Z3006" s="609" t="s">
        <v>1235</v>
      </c>
      <c r="AA3006" s="609" t="s">
        <v>3706</v>
      </c>
    </row>
    <row r="3007" spans="1:27" ht="0.75" customHeight="1" thickBot="1">
      <c r="A3007" s="2714"/>
      <c r="B3007" s="371"/>
      <c r="C3007" s="371"/>
      <c r="D3007" s="2716"/>
      <c r="F3007" s="371"/>
      <c r="G3007" s="405" t="s">
        <v>3707</v>
      </c>
      <c r="H3007" s="371" t="s">
        <v>2747</v>
      </c>
      <c r="I3007" s="371" t="s">
        <v>2748</v>
      </c>
      <c r="J3007" s="371" t="s">
        <v>2948</v>
      </c>
      <c r="K3007" s="547" t="s">
        <v>3034</v>
      </c>
      <c r="L3007" s="547" t="s">
        <v>3035</v>
      </c>
      <c r="M3007" s="433"/>
      <c r="N3007" s="428"/>
      <c r="O3007" s="428"/>
      <c r="P3007" s="433"/>
      <c r="Q3007" s="442"/>
      <c r="R3007" s="443"/>
      <c r="S3007" s="364"/>
      <c r="Z3007" s="609" t="s">
        <v>1235</v>
      </c>
      <c r="AA3007" s="609" t="s">
        <v>3706</v>
      </c>
    </row>
    <row r="3008" spans="1:27" ht="18">
      <c r="A3008" s="2714"/>
      <c r="B3008" s="371"/>
      <c r="C3008" s="371"/>
      <c r="D3008" s="2716"/>
      <c r="E3008" s="2716" t="s">
        <v>2749</v>
      </c>
      <c r="F3008" s="293"/>
      <c r="G3008" s="1579" t="s">
        <v>5490</v>
      </c>
      <c r="H3008" s="1466" t="s">
        <v>3708</v>
      </c>
      <c r="I3008" s="1466" t="s">
        <v>3709</v>
      </c>
      <c r="J3008" s="1466" t="s">
        <v>3710</v>
      </c>
      <c r="K3008" s="1467" t="s">
        <v>5150</v>
      </c>
      <c r="L3008" s="1473" t="s">
        <v>3351</v>
      </c>
      <c r="M3008" s="355" t="s">
        <v>5291</v>
      </c>
      <c r="N3008" s="434"/>
      <c r="O3008" s="434"/>
      <c r="P3008" s="435"/>
      <c r="Q3008" s="442"/>
      <c r="R3008" s="443"/>
      <c r="S3008" s="364"/>
      <c r="Z3008" s="609" t="s">
        <v>1235</v>
      </c>
      <c r="AA3008" s="609" t="s">
        <v>3706</v>
      </c>
    </row>
    <row r="3009" spans="1:27" ht="18">
      <c r="A3009" s="2714"/>
      <c r="B3009" s="371">
        <v>101</v>
      </c>
      <c r="C3009" s="371"/>
      <c r="D3009" s="2716">
        <f t="shared" ref="D3009:D3040" si="351">IF(OR(G3009="*",G3009="",G3009=0),0,COUNTIF($G$3009:$G$3040,G3009))</f>
        <v>1</v>
      </c>
      <c r="E3009" s="2721">
        <v>1</v>
      </c>
      <c r="F3009" s="293"/>
      <c r="G3009" s="308" t="s">
        <v>3544</v>
      </c>
      <c r="H3009" s="309"/>
      <c r="I3009" s="422"/>
      <c r="J3009" s="309"/>
      <c r="K3009" s="320"/>
      <c r="L3009" s="346"/>
      <c r="M3009" s="438"/>
      <c r="N3009" s="439"/>
      <c r="O3009" s="437"/>
      <c r="P3009" s="438"/>
      <c r="Q3009" s="442"/>
      <c r="R3009" s="443"/>
      <c r="S3009" s="364"/>
      <c r="Z3009" s="609" t="s">
        <v>1235</v>
      </c>
      <c r="AA3009" s="609" t="s">
        <v>3706</v>
      </c>
    </row>
    <row r="3010" spans="1:27" ht="18">
      <c r="A3010" s="2714"/>
      <c r="B3010" s="371">
        <v>102</v>
      </c>
      <c r="C3010" s="371"/>
      <c r="D3010" s="2716">
        <f t="shared" si="351"/>
        <v>1</v>
      </c>
      <c r="E3010" s="2721">
        <v>1</v>
      </c>
      <c r="F3010" s="293"/>
      <c r="G3010" s="308" t="str">
        <f>"1."&amp;$W$3&amp;" "</f>
        <v xml:space="preserve">1.2018年12月31日 </v>
      </c>
      <c r="H3010" s="309"/>
      <c r="I3010" s="422"/>
      <c r="J3010" s="309"/>
      <c r="K3010" s="320"/>
      <c r="L3010" s="1477">
        <f>SUM(H3010:K3010)</f>
        <v>0</v>
      </c>
      <c r="M3010" s="438"/>
      <c r="N3010" s="439"/>
      <c r="O3010" s="437"/>
      <c r="P3010" s="438"/>
      <c r="Q3010" s="442"/>
      <c r="R3010" s="443"/>
      <c r="S3010" s="364"/>
      <c r="Z3010" s="609" t="s">
        <v>1235</v>
      </c>
      <c r="AA3010" s="609" t="s">
        <v>3706</v>
      </c>
    </row>
    <row r="3011" spans="1:27" ht="18">
      <c r="A3011" s="2714"/>
      <c r="B3011" s="371">
        <v>103</v>
      </c>
      <c r="C3011" s="371"/>
      <c r="D3011" s="2716">
        <f t="shared" si="351"/>
        <v>1</v>
      </c>
      <c r="E3011" s="2721">
        <v>1</v>
      </c>
      <c r="F3011" s="293"/>
      <c r="G3011" s="308" t="s">
        <v>3545</v>
      </c>
      <c r="H3011" s="1476">
        <f>SUM(H3012:H3014)</f>
        <v>0</v>
      </c>
      <c r="I3011" s="1476">
        <f t="shared" ref="I3011:L3011" si="352">SUM(I3012:I3014)</f>
        <v>0</v>
      </c>
      <c r="J3011" s="1476">
        <f t="shared" si="352"/>
        <v>0</v>
      </c>
      <c r="K3011" s="1476">
        <f t="shared" si="352"/>
        <v>0</v>
      </c>
      <c r="L3011" s="1477">
        <f t="shared" si="352"/>
        <v>0</v>
      </c>
      <c r="M3011" s="438"/>
      <c r="N3011" s="439"/>
      <c r="O3011" s="437"/>
      <c r="P3011" s="438"/>
      <c r="Q3011" s="442"/>
      <c r="R3011" s="443"/>
      <c r="S3011" s="364"/>
      <c r="Z3011" s="609" t="s">
        <v>1235</v>
      </c>
      <c r="AA3011" s="609" t="s">
        <v>3706</v>
      </c>
    </row>
    <row r="3012" spans="1:27" ht="18">
      <c r="A3012" s="2714"/>
      <c r="B3012" s="371">
        <v>104</v>
      </c>
      <c r="C3012" s="371"/>
      <c r="D3012" s="2716">
        <f t="shared" si="351"/>
        <v>1</v>
      </c>
      <c r="E3012" s="2721">
        <v>1</v>
      </c>
      <c r="F3012" s="293"/>
      <c r="G3012" s="308" t="s">
        <v>5151</v>
      </c>
      <c r="H3012" s="309"/>
      <c r="I3012" s="422"/>
      <c r="J3012" s="309"/>
      <c r="K3012" s="320"/>
      <c r="L3012" s="1477">
        <f t="shared" ref="L3012:L3035" si="353">SUM(H3012:K3012)</f>
        <v>0</v>
      </c>
      <c r="M3012" s="438"/>
      <c r="N3012" s="439"/>
      <c r="O3012" s="437"/>
      <c r="P3012" s="438"/>
      <c r="Q3012" s="442"/>
      <c r="R3012" s="443"/>
      <c r="S3012" s="364"/>
      <c r="Z3012" s="609" t="s">
        <v>1235</v>
      </c>
      <c r="AA3012" s="609" t="s">
        <v>3706</v>
      </c>
    </row>
    <row r="3013" spans="1:27" ht="18">
      <c r="A3013" s="2714"/>
      <c r="B3013" s="371">
        <v>105</v>
      </c>
      <c r="C3013" s="371"/>
      <c r="D3013" s="2716">
        <f t="shared" si="351"/>
        <v>1</v>
      </c>
      <c r="E3013" s="2721">
        <v>1</v>
      </c>
      <c r="F3013" s="293"/>
      <c r="G3013" s="308" t="s">
        <v>3711</v>
      </c>
      <c r="H3013" s="309"/>
      <c r="I3013" s="422"/>
      <c r="J3013" s="309"/>
      <c r="K3013" s="320"/>
      <c r="L3013" s="1477">
        <f t="shared" si="353"/>
        <v>0</v>
      </c>
      <c r="M3013" s="438"/>
      <c r="N3013" s="439"/>
      <c r="O3013" s="437"/>
      <c r="P3013" s="438"/>
      <c r="Q3013" s="442"/>
      <c r="R3013" s="443"/>
      <c r="S3013" s="364"/>
      <c r="Z3013" s="609" t="s">
        <v>1235</v>
      </c>
      <c r="AA3013" s="609" t="s">
        <v>3706</v>
      </c>
    </row>
    <row r="3014" spans="1:27" ht="18">
      <c r="A3014" s="2714"/>
      <c r="B3014" s="371">
        <v>106</v>
      </c>
      <c r="C3014" s="371" t="s">
        <v>2791</v>
      </c>
      <c r="D3014" s="2716">
        <f t="shared" si="351"/>
        <v>0</v>
      </c>
      <c r="E3014" s="2721">
        <v>1</v>
      </c>
      <c r="F3014" s="293"/>
      <c r="G3014" s="1472" t="s">
        <v>2792</v>
      </c>
      <c r="H3014" s="309"/>
      <c r="I3014" s="422"/>
      <c r="J3014" s="309"/>
      <c r="K3014" s="320"/>
      <c r="L3014" s="1477">
        <f t="shared" si="353"/>
        <v>0</v>
      </c>
      <c r="M3014" s="438"/>
      <c r="N3014" s="439"/>
      <c r="O3014" s="437"/>
      <c r="P3014" s="438"/>
      <c r="Q3014" s="442"/>
      <c r="R3014" s="443"/>
      <c r="S3014" s="364"/>
      <c r="Z3014" s="609" t="s">
        <v>1235</v>
      </c>
      <c r="AA3014" s="609" t="s">
        <v>3706</v>
      </c>
    </row>
    <row r="3015" spans="1:27" ht="18">
      <c r="A3015" s="2714"/>
      <c r="B3015" s="371">
        <v>107</v>
      </c>
      <c r="C3015" s="371"/>
      <c r="D3015" s="2716">
        <f t="shared" si="351"/>
        <v>1</v>
      </c>
      <c r="E3015" s="2721">
        <v>1</v>
      </c>
      <c r="F3015" s="293"/>
      <c r="G3015" s="308" t="s">
        <v>3548</v>
      </c>
      <c r="H3015" s="1476">
        <f>SUM(H3016:H3017)</f>
        <v>0</v>
      </c>
      <c r="I3015" s="1476">
        <f t="shared" ref="I3015:L3015" si="354">SUM(I3016:I3017)</f>
        <v>0</v>
      </c>
      <c r="J3015" s="1476">
        <f t="shared" si="354"/>
        <v>0</v>
      </c>
      <c r="K3015" s="1476">
        <f t="shared" si="354"/>
        <v>0</v>
      </c>
      <c r="L3015" s="1477">
        <f t="shared" si="354"/>
        <v>0</v>
      </c>
      <c r="M3015" s="438"/>
      <c r="N3015" s="439"/>
      <c r="O3015" s="437"/>
      <c r="P3015" s="438"/>
      <c r="Q3015" s="442"/>
      <c r="R3015" s="443"/>
      <c r="S3015" s="364"/>
      <c r="Z3015" s="609" t="s">
        <v>1235</v>
      </c>
      <c r="AA3015" s="609" t="s">
        <v>3706</v>
      </c>
    </row>
    <row r="3016" spans="1:27" ht="18">
      <c r="A3016" s="2714"/>
      <c r="B3016" s="371">
        <v>108</v>
      </c>
      <c r="C3016" s="371"/>
      <c r="D3016" s="2716">
        <f t="shared" si="351"/>
        <v>1</v>
      </c>
      <c r="E3016" s="2721">
        <v>1</v>
      </c>
      <c r="F3016" s="293"/>
      <c r="G3016" s="308" t="s">
        <v>5152</v>
      </c>
      <c r="H3016" s="309"/>
      <c r="I3016" s="422"/>
      <c r="J3016" s="309"/>
      <c r="K3016" s="320"/>
      <c r="L3016" s="1477">
        <f t="shared" si="353"/>
        <v>0</v>
      </c>
      <c r="M3016" s="438"/>
      <c r="N3016" s="439"/>
      <c r="O3016" s="437"/>
      <c r="P3016" s="438"/>
      <c r="Q3016" s="442"/>
      <c r="R3016" s="443"/>
      <c r="S3016" s="364"/>
      <c r="Z3016" s="609" t="s">
        <v>1235</v>
      </c>
      <c r="AA3016" s="609" t="s">
        <v>3706</v>
      </c>
    </row>
    <row r="3017" spans="1:27" ht="18">
      <c r="A3017" s="2714"/>
      <c r="B3017" s="371">
        <v>109</v>
      </c>
      <c r="C3017" s="371" t="s">
        <v>2791</v>
      </c>
      <c r="D3017" s="2716">
        <f t="shared" si="351"/>
        <v>0</v>
      </c>
      <c r="E3017" s="2721">
        <v>1</v>
      </c>
      <c r="F3017" s="293"/>
      <c r="G3017" s="1472" t="s">
        <v>2792</v>
      </c>
      <c r="H3017" s="309"/>
      <c r="I3017" s="422"/>
      <c r="J3017" s="309"/>
      <c r="K3017" s="320"/>
      <c r="L3017" s="1477">
        <f t="shared" si="353"/>
        <v>0</v>
      </c>
      <c r="M3017" s="438"/>
      <c r="N3017" s="439"/>
      <c r="O3017" s="437"/>
      <c r="P3017" s="438"/>
      <c r="Q3017" s="442"/>
      <c r="R3017" s="443"/>
      <c r="S3017" s="364"/>
      <c r="Z3017" s="609" t="s">
        <v>1235</v>
      </c>
      <c r="AA3017" s="609" t="s">
        <v>3706</v>
      </c>
    </row>
    <row r="3018" spans="1:27" ht="18">
      <c r="A3018" s="2714"/>
      <c r="B3018" s="371">
        <v>110</v>
      </c>
      <c r="C3018" s="371"/>
      <c r="D3018" s="2716">
        <f t="shared" si="351"/>
        <v>1</v>
      </c>
      <c r="E3018" s="2721">
        <v>1</v>
      </c>
      <c r="F3018" s="293"/>
      <c r="G3018" s="308" t="str">
        <f>"4."&amp;$W$2&amp;"  "</f>
        <v xml:space="preserve">4.2019年12月31日  </v>
      </c>
      <c r="H3018" s="1476">
        <f>SUM(H3010:H3011,-H3015)</f>
        <v>0</v>
      </c>
      <c r="I3018" s="1476">
        <f t="shared" ref="I3018:L3018" si="355">SUM(I3010:I3011,-I3015)</f>
        <v>0</v>
      </c>
      <c r="J3018" s="1476">
        <f t="shared" si="355"/>
        <v>0</v>
      </c>
      <c r="K3018" s="1476">
        <f t="shared" si="355"/>
        <v>0</v>
      </c>
      <c r="L3018" s="1477">
        <f t="shared" si="355"/>
        <v>0</v>
      </c>
      <c r="M3018" s="438"/>
      <c r="N3018" s="439"/>
      <c r="O3018" s="437"/>
      <c r="P3018" s="438"/>
      <c r="Q3018" s="442"/>
      <c r="R3018" s="443"/>
      <c r="S3018" s="364"/>
      <c r="Z3018" s="609" t="s">
        <v>1235</v>
      </c>
      <c r="AA3018" s="609" t="s">
        <v>3706</v>
      </c>
    </row>
    <row r="3019" spans="1:27" ht="18">
      <c r="A3019" s="2714"/>
      <c r="B3019" s="371">
        <v>111</v>
      </c>
      <c r="C3019" s="371"/>
      <c r="D3019" s="2716">
        <f t="shared" si="351"/>
        <v>1</v>
      </c>
      <c r="E3019" s="2721">
        <v>1</v>
      </c>
      <c r="F3019" s="293"/>
      <c r="G3019" s="308" t="s">
        <v>3604</v>
      </c>
      <c r="H3019" s="309"/>
      <c r="I3019" s="422"/>
      <c r="J3019" s="309"/>
      <c r="K3019" s="320"/>
      <c r="L3019" s="346"/>
      <c r="M3019" s="438"/>
      <c r="N3019" s="439"/>
      <c r="O3019" s="437"/>
      <c r="P3019" s="438"/>
      <c r="Q3019" s="442"/>
      <c r="R3019" s="443"/>
      <c r="S3019" s="364"/>
      <c r="Z3019" s="609" t="s">
        <v>1235</v>
      </c>
      <c r="AA3019" s="609" t="s">
        <v>3706</v>
      </c>
    </row>
    <row r="3020" spans="1:27" ht="18">
      <c r="A3020" s="2714"/>
      <c r="B3020" s="371">
        <v>112</v>
      </c>
      <c r="C3020" s="371"/>
      <c r="D3020" s="2716">
        <f t="shared" si="351"/>
        <v>1</v>
      </c>
      <c r="E3020" s="2721">
        <v>1</v>
      </c>
      <c r="F3020" s="293"/>
      <c r="G3020" s="308" t="str">
        <f>"1."&amp;$W$3&amp;"   "</f>
        <v xml:space="preserve">1.2018年12月31日   </v>
      </c>
      <c r="H3020" s="309"/>
      <c r="I3020" s="422"/>
      <c r="J3020" s="309"/>
      <c r="K3020" s="320"/>
      <c r="L3020" s="1477">
        <f t="shared" si="353"/>
        <v>0</v>
      </c>
      <c r="M3020" s="438"/>
      <c r="N3020" s="439"/>
      <c r="O3020" s="437"/>
      <c r="P3020" s="438"/>
      <c r="Q3020" s="442"/>
      <c r="R3020" s="443"/>
      <c r="S3020" s="364"/>
      <c r="Z3020" s="609" t="s">
        <v>1235</v>
      </c>
      <c r="AA3020" s="609" t="s">
        <v>3706</v>
      </c>
    </row>
    <row r="3021" spans="1:27" ht="18">
      <c r="A3021" s="2714"/>
      <c r="B3021" s="371">
        <v>113</v>
      </c>
      <c r="C3021" s="371"/>
      <c r="D3021" s="2716">
        <f t="shared" si="351"/>
        <v>1</v>
      </c>
      <c r="E3021" s="2721">
        <v>1</v>
      </c>
      <c r="F3021" s="293"/>
      <c r="G3021" s="308" t="s">
        <v>3552</v>
      </c>
      <c r="H3021" s="1476">
        <f>SUM(H3022:H3023)</f>
        <v>0</v>
      </c>
      <c r="I3021" s="1476">
        <f t="shared" ref="I3021:L3021" si="356">SUM(I3022:I3023)</f>
        <v>0</v>
      </c>
      <c r="J3021" s="1476">
        <f t="shared" si="356"/>
        <v>0</v>
      </c>
      <c r="K3021" s="1476">
        <f t="shared" si="356"/>
        <v>0</v>
      </c>
      <c r="L3021" s="1477">
        <f t="shared" si="356"/>
        <v>0</v>
      </c>
      <c r="M3021" s="438"/>
      <c r="N3021" s="439"/>
      <c r="O3021" s="437"/>
      <c r="P3021" s="438"/>
      <c r="Q3021" s="442"/>
      <c r="R3021" s="443"/>
      <c r="S3021" s="364"/>
      <c r="Z3021" s="609" t="s">
        <v>1235</v>
      </c>
      <c r="AA3021" s="609" t="s">
        <v>3706</v>
      </c>
    </row>
    <row r="3022" spans="1:27" ht="18">
      <c r="A3022" s="2714"/>
      <c r="B3022" s="371">
        <v>114</v>
      </c>
      <c r="C3022" s="371"/>
      <c r="D3022" s="2716">
        <f t="shared" si="351"/>
        <v>1</v>
      </c>
      <c r="E3022" s="2721">
        <v>1</v>
      </c>
      <c r="F3022" s="293"/>
      <c r="G3022" s="308" t="s">
        <v>5153</v>
      </c>
      <c r="H3022" s="309"/>
      <c r="I3022" s="422"/>
      <c r="J3022" s="309"/>
      <c r="K3022" s="320"/>
      <c r="L3022" s="1477">
        <f t="shared" si="353"/>
        <v>0</v>
      </c>
      <c r="M3022" s="438"/>
      <c r="N3022" s="439"/>
      <c r="O3022" s="437"/>
      <c r="P3022" s="438"/>
      <c r="Q3022" s="442"/>
      <c r="R3022" s="443"/>
      <c r="S3022" s="364"/>
      <c r="Z3022" s="609" t="s">
        <v>1235</v>
      </c>
      <c r="AA3022" s="609" t="s">
        <v>3706</v>
      </c>
    </row>
    <row r="3023" spans="1:27" ht="18">
      <c r="A3023" s="2714"/>
      <c r="B3023" s="371">
        <v>115</v>
      </c>
      <c r="C3023" s="371" t="s">
        <v>2791</v>
      </c>
      <c r="D3023" s="2716">
        <f t="shared" si="351"/>
        <v>0</v>
      </c>
      <c r="E3023" s="2721">
        <v>1</v>
      </c>
      <c r="F3023" s="293"/>
      <c r="G3023" s="1472" t="s">
        <v>2792</v>
      </c>
      <c r="H3023" s="309"/>
      <c r="I3023" s="422"/>
      <c r="J3023" s="309"/>
      <c r="K3023" s="320"/>
      <c r="L3023" s="1477">
        <f t="shared" si="353"/>
        <v>0</v>
      </c>
      <c r="M3023" s="438"/>
      <c r="N3023" s="439"/>
      <c r="O3023" s="437"/>
      <c r="P3023" s="438"/>
      <c r="Q3023" s="442"/>
      <c r="R3023" s="443"/>
      <c r="S3023" s="364"/>
      <c r="Z3023" s="609" t="s">
        <v>1235</v>
      </c>
      <c r="AA3023" s="609" t="s">
        <v>3706</v>
      </c>
    </row>
    <row r="3024" spans="1:27" ht="18">
      <c r="A3024" s="2714"/>
      <c r="B3024" s="371">
        <v>116</v>
      </c>
      <c r="C3024" s="371"/>
      <c r="D3024" s="2716">
        <f t="shared" si="351"/>
        <v>1</v>
      </c>
      <c r="E3024" s="2721">
        <v>1</v>
      </c>
      <c r="F3024" s="293"/>
      <c r="G3024" s="308" t="s">
        <v>3554</v>
      </c>
      <c r="H3024" s="1476">
        <f>SUM(H3025:H3026)</f>
        <v>0</v>
      </c>
      <c r="I3024" s="1476">
        <f t="shared" ref="I3024:L3024" si="357">SUM(I3025:I3026)</f>
        <v>0</v>
      </c>
      <c r="J3024" s="1476">
        <f t="shared" si="357"/>
        <v>0</v>
      </c>
      <c r="K3024" s="1476">
        <f t="shared" si="357"/>
        <v>0</v>
      </c>
      <c r="L3024" s="1477">
        <f t="shared" si="357"/>
        <v>0</v>
      </c>
      <c r="M3024" s="438"/>
      <c r="N3024" s="439"/>
      <c r="O3024" s="437"/>
      <c r="P3024" s="438"/>
      <c r="Q3024" s="442"/>
      <c r="R3024" s="443"/>
      <c r="S3024" s="364"/>
      <c r="Z3024" s="609" t="s">
        <v>1235</v>
      </c>
      <c r="AA3024" s="609" t="s">
        <v>3706</v>
      </c>
    </row>
    <row r="3025" spans="1:29" ht="18">
      <c r="A3025" s="2714"/>
      <c r="B3025" s="371">
        <v>117</v>
      </c>
      <c r="C3025" s="371"/>
      <c r="D3025" s="2716">
        <f t="shared" si="351"/>
        <v>1</v>
      </c>
      <c r="E3025" s="2721">
        <v>1</v>
      </c>
      <c r="F3025" s="293"/>
      <c r="G3025" s="308" t="s">
        <v>5154</v>
      </c>
      <c r="H3025" s="309"/>
      <c r="I3025" s="422"/>
      <c r="J3025" s="309"/>
      <c r="K3025" s="320"/>
      <c r="L3025" s="1477">
        <f t="shared" si="353"/>
        <v>0</v>
      </c>
      <c r="M3025" s="438"/>
      <c r="N3025" s="439"/>
      <c r="O3025" s="437"/>
      <c r="P3025" s="438"/>
      <c r="Q3025" s="442"/>
      <c r="R3025" s="443"/>
      <c r="S3025" s="364"/>
      <c r="Z3025" s="609" t="s">
        <v>1235</v>
      </c>
      <c r="AA3025" s="609" t="s">
        <v>3706</v>
      </c>
    </row>
    <row r="3026" spans="1:29" ht="18">
      <c r="A3026" s="2714"/>
      <c r="B3026" s="371">
        <v>118</v>
      </c>
      <c r="C3026" s="371" t="s">
        <v>2791</v>
      </c>
      <c r="D3026" s="2716">
        <f t="shared" si="351"/>
        <v>0</v>
      </c>
      <c r="E3026" s="2721">
        <v>1</v>
      </c>
      <c r="F3026" s="293"/>
      <c r="G3026" s="1472" t="s">
        <v>2792</v>
      </c>
      <c r="H3026" s="309"/>
      <c r="I3026" s="422"/>
      <c r="J3026" s="309"/>
      <c r="K3026" s="320"/>
      <c r="L3026" s="1477">
        <f t="shared" si="353"/>
        <v>0</v>
      </c>
      <c r="M3026" s="438"/>
      <c r="N3026" s="439"/>
      <c r="O3026" s="437"/>
      <c r="P3026" s="438"/>
      <c r="Q3026" s="442"/>
      <c r="R3026" s="443"/>
      <c r="S3026" s="364"/>
      <c r="Z3026" s="609" t="s">
        <v>1235</v>
      </c>
      <c r="AA3026" s="609" t="s">
        <v>3706</v>
      </c>
    </row>
    <row r="3027" spans="1:29" ht="18">
      <c r="A3027" s="2714"/>
      <c r="B3027" s="371">
        <v>119</v>
      </c>
      <c r="C3027" s="371"/>
      <c r="D3027" s="2716">
        <f t="shared" si="351"/>
        <v>1</v>
      </c>
      <c r="E3027" s="2721">
        <v>1</v>
      </c>
      <c r="F3027" s="293"/>
      <c r="G3027" s="308" t="str">
        <f>"4."&amp;$W$2&amp;"   "</f>
        <v xml:space="preserve">4.2019年12月31日   </v>
      </c>
      <c r="H3027" s="1476">
        <f>SUM(H3020:H3021,-H3024)</f>
        <v>0</v>
      </c>
      <c r="I3027" s="1476">
        <f t="shared" ref="I3027:L3027" si="358">SUM(I3020:I3021,-I3024)</f>
        <v>0</v>
      </c>
      <c r="J3027" s="1476">
        <f t="shared" si="358"/>
        <v>0</v>
      </c>
      <c r="K3027" s="1476">
        <f t="shared" si="358"/>
        <v>0</v>
      </c>
      <c r="L3027" s="1477">
        <f t="shared" si="358"/>
        <v>0</v>
      </c>
      <c r="M3027" s="438"/>
      <c r="N3027" s="439"/>
      <c r="O3027" s="437"/>
      <c r="P3027" s="438"/>
      <c r="Q3027" s="442"/>
      <c r="R3027" s="443"/>
      <c r="S3027" s="364"/>
      <c r="Z3027" s="609" t="s">
        <v>1235</v>
      </c>
      <c r="AA3027" s="609" t="s">
        <v>3706</v>
      </c>
    </row>
    <row r="3028" spans="1:29" ht="18">
      <c r="A3028" s="2714"/>
      <c r="B3028" s="371">
        <v>120</v>
      </c>
      <c r="C3028" s="371"/>
      <c r="D3028" s="2716">
        <f t="shared" si="351"/>
        <v>1</v>
      </c>
      <c r="E3028" s="2721">
        <v>1</v>
      </c>
      <c r="F3028" s="293"/>
      <c r="G3028" s="308" t="s">
        <v>3557</v>
      </c>
      <c r="H3028" s="309"/>
      <c r="I3028" s="422"/>
      <c r="J3028" s="309"/>
      <c r="K3028" s="320"/>
      <c r="L3028" s="346"/>
      <c r="M3028" s="438"/>
      <c r="N3028" s="439"/>
      <c r="O3028" s="437"/>
      <c r="P3028" s="438"/>
      <c r="Q3028" s="442"/>
      <c r="R3028" s="443"/>
      <c r="S3028" s="364"/>
      <c r="Z3028" s="609" t="s">
        <v>1235</v>
      </c>
      <c r="AA3028" s="609" t="s">
        <v>3706</v>
      </c>
    </row>
    <row r="3029" spans="1:29" ht="18">
      <c r="A3029" s="2714"/>
      <c r="B3029" s="371">
        <v>121</v>
      </c>
      <c r="C3029" s="371"/>
      <c r="D3029" s="2716">
        <f t="shared" si="351"/>
        <v>1</v>
      </c>
      <c r="E3029" s="2721">
        <v>1</v>
      </c>
      <c r="F3029" s="293"/>
      <c r="G3029" s="308" t="str">
        <f>"1."&amp;$W$3&amp;""</f>
        <v>1.2018年12月31日</v>
      </c>
      <c r="H3029" s="309"/>
      <c r="I3029" s="422"/>
      <c r="J3029" s="309"/>
      <c r="K3029" s="320"/>
      <c r="L3029" s="1477">
        <f t="shared" si="353"/>
        <v>0</v>
      </c>
      <c r="M3029" s="438"/>
      <c r="N3029" s="439"/>
      <c r="O3029" s="437"/>
      <c r="P3029" s="438"/>
      <c r="Q3029" s="442"/>
      <c r="R3029" s="443"/>
      <c r="S3029" s="364"/>
      <c r="Z3029" s="609" t="s">
        <v>1235</v>
      </c>
      <c r="AA3029" s="609" t="s">
        <v>3706</v>
      </c>
    </row>
    <row r="3030" spans="1:29" ht="18">
      <c r="A3030" s="2714"/>
      <c r="B3030" s="371">
        <v>122</v>
      </c>
      <c r="C3030" s="371"/>
      <c r="D3030" s="2716">
        <f t="shared" si="351"/>
        <v>1</v>
      </c>
      <c r="E3030" s="2721">
        <v>1</v>
      </c>
      <c r="F3030" s="293"/>
      <c r="G3030" s="308" t="s">
        <v>3558</v>
      </c>
      <c r="H3030" s="1476">
        <f>SUM(H3031:H3032)</f>
        <v>0</v>
      </c>
      <c r="I3030" s="1476">
        <f t="shared" ref="I3030:L3030" si="359">SUM(I3031:I3032)</f>
        <v>0</v>
      </c>
      <c r="J3030" s="1476">
        <f t="shared" si="359"/>
        <v>0</v>
      </c>
      <c r="K3030" s="1476">
        <f t="shared" si="359"/>
        <v>0</v>
      </c>
      <c r="L3030" s="1477">
        <f t="shared" si="359"/>
        <v>0</v>
      </c>
      <c r="M3030" s="438"/>
      <c r="N3030" s="439"/>
      <c r="O3030" s="437"/>
      <c r="P3030" s="438"/>
      <c r="Q3030" s="442"/>
      <c r="R3030" s="443"/>
      <c r="S3030" s="364"/>
      <c r="Z3030" s="609" t="s">
        <v>1235</v>
      </c>
      <c r="AA3030" s="609" t="s">
        <v>3706</v>
      </c>
    </row>
    <row r="3031" spans="1:29" ht="18">
      <c r="A3031" s="2714"/>
      <c r="B3031" s="371">
        <v>123</v>
      </c>
      <c r="C3031" s="371"/>
      <c r="D3031" s="2716">
        <f t="shared" si="351"/>
        <v>1</v>
      </c>
      <c r="E3031" s="2721">
        <v>1</v>
      </c>
      <c r="F3031" s="293"/>
      <c r="G3031" s="308" t="s">
        <v>5155</v>
      </c>
      <c r="H3031" s="309"/>
      <c r="I3031" s="422"/>
      <c r="J3031" s="309"/>
      <c r="K3031" s="320"/>
      <c r="L3031" s="1477">
        <f t="shared" si="353"/>
        <v>0</v>
      </c>
      <c r="M3031" s="1589" t="str">
        <f ca="1">HYPERLINK("#'"&amp;$G$1&amp;"'!"&amp;ADDRESS(ROW(Notes!L4899),COLUMN(Notes!L4899),4),"* 请勿删除此行！点击往勾稽单元格，F5+Enter返回")</f>
        <v>* 请勿删除此行！点击往勾稽单元格，F5+Enter返回</v>
      </c>
      <c r="N3031" s="439"/>
      <c r="O3031" s="437"/>
      <c r="P3031" s="438"/>
      <c r="Q3031" s="442"/>
      <c r="R3031" s="443"/>
      <c r="S3031" s="364"/>
      <c r="Z3031" s="609" t="s">
        <v>1235</v>
      </c>
      <c r="AA3031" s="609" t="s">
        <v>3706</v>
      </c>
      <c r="AC3031" s="369" t="s">
        <v>2794</v>
      </c>
    </row>
    <row r="3032" spans="1:29" ht="18">
      <c r="A3032" s="2714"/>
      <c r="B3032" s="371">
        <v>124</v>
      </c>
      <c r="C3032" s="371" t="s">
        <v>2791</v>
      </c>
      <c r="D3032" s="2716">
        <f t="shared" si="351"/>
        <v>0</v>
      </c>
      <c r="E3032" s="2721">
        <v>1</v>
      </c>
      <c r="F3032" s="293"/>
      <c r="G3032" s="1472" t="s">
        <v>2792</v>
      </c>
      <c r="H3032" s="309"/>
      <c r="I3032" s="422"/>
      <c r="J3032" s="309"/>
      <c r="K3032" s="320"/>
      <c r="L3032" s="1477">
        <f t="shared" si="353"/>
        <v>0</v>
      </c>
      <c r="M3032" s="438"/>
      <c r="N3032" s="439"/>
      <c r="O3032" s="437"/>
      <c r="P3032" s="438"/>
      <c r="Q3032" s="442"/>
      <c r="R3032" s="443"/>
      <c r="S3032" s="364"/>
      <c r="Z3032" s="609" t="s">
        <v>1235</v>
      </c>
      <c r="AA3032" s="609" t="s">
        <v>3706</v>
      </c>
    </row>
    <row r="3033" spans="1:29" ht="18">
      <c r="A3033" s="2714"/>
      <c r="B3033" s="371">
        <v>125</v>
      </c>
      <c r="C3033" s="371"/>
      <c r="D3033" s="2716">
        <f t="shared" si="351"/>
        <v>1</v>
      </c>
      <c r="E3033" s="2721">
        <v>1</v>
      </c>
      <c r="F3033" s="293"/>
      <c r="G3033" s="308" t="s">
        <v>3560</v>
      </c>
      <c r="H3033" s="1476">
        <f>SUM(H3034:H3035)</f>
        <v>0</v>
      </c>
      <c r="I3033" s="1476">
        <f t="shared" ref="I3033:L3033" si="360">SUM(I3034:I3035)</f>
        <v>0</v>
      </c>
      <c r="J3033" s="1476">
        <f t="shared" si="360"/>
        <v>0</v>
      </c>
      <c r="K3033" s="1476">
        <f t="shared" si="360"/>
        <v>0</v>
      </c>
      <c r="L3033" s="1477">
        <f t="shared" si="360"/>
        <v>0</v>
      </c>
      <c r="M3033" s="438"/>
      <c r="N3033" s="439"/>
      <c r="O3033" s="437"/>
      <c r="P3033" s="438"/>
      <c r="Q3033" s="442"/>
      <c r="R3033" s="443"/>
      <c r="S3033" s="364"/>
      <c r="Z3033" s="609" t="s">
        <v>1235</v>
      </c>
      <c r="AA3033" s="609" t="s">
        <v>3706</v>
      </c>
    </row>
    <row r="3034" spans="1:29" ht="18">
      <c r="A3034" s="2714"/>
      <c r="B3034" s="371">
        <v>126</v>
      </c>
      <c r="C3034" s="371"/>
      <c r="D3034" s="2716">
        <f t="shared" si="351"/>
        <v>1</v>
      </c>
      <c r="E3034" s="2721">
        <v>1</v>
      </c>
      <c r="F3034" s="293"/>
      <c r="G3034" s="308" t="s">
        <v>5156</v>
      </c>
      <c r="H3034" s="309"/>
      <c r="I3034" s="422"/>
      <c r="J3034" s="309"/>
      <c r="K3034" s="320"/>
      <c r="L3034" s="1477">
        <f>SUM(H3034:K3034)</f>
        <v>0</v>
      </c>
      <c r="M3034" s="438"/>
      <c r="N3034" s="439"/>
      <c r="O3034" s="437"/>
      <c r="P3034" s="438"/>
      <c r="Q3034" s="442"/>
      <c r="R3034" s="443"/>
      <c r="S3034" s="364"/>
      <c r="Z3034" s="609" t="s">
        <v>1235</v>
      </c>
      <c r="AA3034" s="609" t="s">
        <v>3706</v>
      </c>
    </row>
    <row r="3035" spans="1:29" ht="18">
      <c r="A3035" s="2714"/>
      <c r="B3035" s="371">
        <v>127</v>
      </c>
      <c r="C3035" s="371" t="s">
        <v>2791</v>
      </c>
      <c r="D3035" s="2716">
        <f t="shared" si="351"/>
        <v>0</v>
      </c>
      <c r="E3035" s="2721">
        <v>1</v>
      </c>
      <c r="F3035" s="293"/>
      <c r="G3035" s="1472" t="s">
        <v>2792</v>
      </c>
      <c r="H3035" s="309"/>
      <c r="I3035" s="422"/>
      <c r="J3035" s="309"/>
      <c r="K3035" s="320"/>
      <c r="L3035" s="1477">
        <f t="shared" si="353"/>
        <v>0</v>
      </c>
      <c r="M3035" s="438"/>
      <c r="N3035" s="439"/>
      <c r="O3035" s="437"/>
      <c r="P3035" s="438"/>
      <c r="Q3035" s="442"/>
      <c r="R3035" s="443"/>
      <c r="S3035" s="364"/>
      <c r="Z3035" s="609" t="s">
        <v>1235</v>
      </c>
      <c r="AA3035" s="609" t="s">
        <v>3706</v>
      </c>
    </row>
    <row r="3036" spans="1:29" ht="18">
      <c r="A3036" s="2714"/>
      <c r="B3036" s="371">
        <v>128</v>
      </c>
      <c r="C3036" s="371"/>
      <c r="D3036" s="2716">
        <f t="shared" si="351"/>
        <v>1</v>
      </c>
      <c r="E3036" s="2721">
        <v>1</v>
      </c>
      <c r="F3036" s="293"/>
      <c r="G3036" s="308" t="str">
        <f>"4."&amp;$W$2&amp;""</f>
        <v>4.2019年12月31日</v>
      </c>
      <c r="H3036" s="1476">
        <f>SUM(H3029:H3030,-H3033)</f>
        <v>0</v>
      </c>
      <c r="I3036" s="1476">
        <f t="shared" ref="I3036:L3036" si="361">SUM(I3029:I3030,-I3033)</f>
        <v>0</v>
      </c>
      <c r="J3036" s="1476">
        <f t="shared" si="361"/>
        <v>0</v>
      </c>
      <c r="K3036" s="1476">
        <f t="shared" si="361"/>
        <v>0</v>
      </c>
      <c r="L3036" s="1477">
        <f t="shared" si="361"/>
        <v>0</v>
      </c>
      <c r="M3036" s="438"/>
      <c r="N3036" s="439"/>
      <c r="O3036" s="437"/>
      <c r="P3036" s="438"/>
      <c r="Q3036" s="442"/>
      <c r="R3036" s="443"/>
      <c r="S3036" s="364"/>
      <c r="Z3036" s="609" t="s">
        <v>1235</v>
      </c>
      <c r="AA3036" s="609" t="s">
        <v>3706</v>
      </c>
    </row>
    <row r="3037" spans="1:29" ht="18">
      <c r="A3037" s="2714"/>
      <c r="B3037" s="371">
        <v>129</v>
      </c>
      <c r="C3037" s="371"/>
      <c r="D3037" s="2716">
        <f t="shared" si="351"/>
        <v>1</v>
      </c>
      <c r="E3037" s="2721">
        <v>1</v>
      </c>
      <c r="F3037" s="293"/>
      <c r="G3037" s="308" t="s">
        <v>3563</v>
      </c>
      <c r="H3037" s="309"/>
      <c r="I3037" s="422"/>
      <c r="J3037" s="309"/>
      <c r="K3037" s="320"/>
      <c r="L3037" s="346"/>
      <c r="M3037" s="438"/>
      <c r="N3037" s="439"/>
      <c r="O3037" s="437"/>
      <c r="P3037" s="438"/>
      <c r="Q3037" s="442"/>
      <c r="R3037" s="443"/>
      <c r="S3037" s="364"/>
      <c r="Z3037" s="609" t="s">
        <v>1235</v>
      </c>
      <c r="AA3037" s="609" t="s">
        <v>3706</v>
      </c>
    </row>
    <row r="3038" spans="1:29" ht="18">
      <c r="A3038" s="2714"/>
      <c r="B3038" s="371">
        <v>130</v>
      </c>
      <c r="C3038" s="371"/>
      <c r="D3038" s="2716">
        <f t="shared" si="351"/>
        <v>1</v>
      </c>
      <c r="E3038" s="2721">
        <v>1</v>
      </c>
      <c r="F3038" s="293"/>
      <c r="G3038" s="308" t="str">
        <f>"1."&amp;$W$2&amp;"账面价值"</f>
        <v>1.2019年12月31日账面价值</v>
      </c>
      <c r="H3038" s="1476">
        <f>SUM(H3018,-H3027,-H3036)</f>
        <v>0</v>
      </c>
      <c r="I3038" s="1476">
        <f t="shared" ref="I3038:L3038" si="362">SUM(I3018,-I3027,-I3036)</f>
        <v>0</v>
      </c>
      <c r="J3038" s="1476">
        <f t="shared" si="362"/>
        <v>0</v>
      </c>
      <c r="K3038" s="1476">
        <f t="shared" si="362"/>
        <v>0</v>
      </c>
      <c r="L3038" s="1477">
        <f t="shared" si="362"/>
        <v>0</v>
      </c>
      <c r="M3038" s="438"/>
      <c r="N3038" s="439"/>
      <c r="O3038" s="437"/>
      <c r="P3038" s="438"/>
      <c r="Q3038" s="442"/>
      <c r="R3038" s="443"/>
      <c r="S3038" s="364"/>
      <c r="Z3038" s="609" t="s">
        <v>1235</v>
      </c>
      <c r="AA3038" s="609" t="s">
        <v>3706</v>
      </c>
    </row>
    <row r="3039" spans="1:29" ht="18">
      <c r="A3039" s="2714"/>
      <c r="B3039" s="371">
        <v>131</v>
      </c>
      <c r="C3039" s="371"/>
      <c r="D3039" s="2716">
        <f t="shared" si="351"/>
        <v>1</v>
      </c>
      <c r="E3039" s="2721">
        <v>1</v>
      </c>
      <c r="F3039" s="293"/>
      <c r="G3039" s="308" t="str">
        <f>"2."&amp;$W$3&amp;"账面价值"</f>
        <v>2.2018年12月31日账面价值</v>
      </c>
      <c r="H3039" s="1476">
        <f>SUM(H3010,-H3020,-H3029)</f>
        <v>0</v>
      </c>
      <c r="I3039" s="1476">
        <f t="shared" ref="I3039:L3039" si="363">SUM(I3010,-I3020,-I3029)</f>
        <v>0</v>
      </c>
      <c r="J3039" s="1476">
        <f t="shared" si="363"/>
        <v>0</v>
      </c>
      <c r="K3039" s="1476">
        <f t="shared" si="363"/>
        <v>0</v>
      </c>
      <c r="L3039" s="1477">
        <f t="shared" si="363"/>
        <v>0</v>
      </c>
      <c r="M3039" s="438"/>
      <c r="N3039" s="439"/>
      <c r="O3039" s="437"/>
      <c r="P3039" s="438"/>
      <c r="Q3039" s="442"/>
      <c r="R3039" s="443"/>
      <c r="S3039" s="364"/>
      <c r="Z3039" s="609" t="s">
        <v>1235</v>
      </c>
      <c r="AA3039" s="609" t="s">
        <v>3706</v>
      </c>
    </row>
    <row r="3040" spans="1:29" ht="18.75" thickBot="1">
      <c r="A3040" s="2714"/>
      <c r="B3040" s="371"/>
      <c r="C3040" s="371"/>
      <c r="D3040" s="2716">
        <f t="shared" si="351"/>
        <v>0</v>
      </c>
      <c r="E3040" s="2721" t="s">
        <v>6555</v>
      </c>
      <c r="F3040" s="293"/>
      <c r="G3040" s="2381"/>
      <c r="H3040" s="607"/>
      <c r="I3040" s="607"/>
      <c r="J3040" s="607"/>
      <c r="K3040" s="607"/>
      <c r="L3040" s="608"/>
      <c r="M3040" s="440"/>
      <c r="N3040" s="439"/>
      <c r="O3040" s="437"/>
      <c r="P3040" s="440"/>
      <c r="Q3040" s="442"/>
      <c r="R3040" s="443"/>
      <c r="S3040" s="364"/>
      <c r="Z3040" s="609" t="s">
        <v>1235</v>
      </c>
      <c r="AA3040" s="609" t="s">
        <v>3706</v>
      </c>
    </row>
    <row r="3041" spans="1:27" ht="18">
      <c r="A3041" s="2714"/>
      <c r="B3041" s="371"/>
      <c r="C3041" s="371" t="s">
        <v>2755</v>
      </c>
      <c r="D3041" s="2716"/>
      <c r="F3041" s="293"/>
      <c r="G3041" s="376"/>
      <c r="H3041" s="315"/>
      <c r="I3041" s="396"/>
      <c r="J3041" s="315"/>
      <c r="K3041" s="423"/>
      <c r="L3041" s="315"/>
      <c r="M3041" s="425"/>
      <c r="N3041" s="426"/>
      <c r="O3041" s="427"/>
      <c r="P3041" s="425"/>
      <c r="Q3041" s="442"/>
      <c r="R3041" s="443"/>
      <c r="S3041" s="364"/>
      <c r="Z3041" s="609" t="s">
        <v>1235</v>
      </c>
      <c r="AA3041" s="609" t="s">
        <v>3706</v>
      </c>
    </row>
    <row r="3042" spans="1:27" ht="18">
      <c r="A3042" s="2714">
        <v>1701</v>
      </c>
      <c r="B3042" s="371">
        <v>27</v>
      </c>
      <c r="C3042" s="2716" t="str">
        <f>VLOOKUP($A3042,Sheet_Items,2,0)</f>
        <v>无形资产</v>
      </c>
      <c r="D3042" s="371"/>
      <c r="F3042" s="294"/>
      <c r="G3042" s="583" t="str">
        <f>B3042&amp;" "&amp;C3042</f>
        <v>27 无形资产</v>
      </c>
      <c r="H3042" s="290"/>
      <c r="I3042" s="290"/>
      <c r="J3042" s="540" t="s">
        <v>2740</v>
      </c>
      <c r="K3042" s="341">
        <f>VLOOKUP($A3042,Sheet_Trialbal,6,0)</f>
        <v>1951607.86</v>
      </c>
      <c r="L3042" s="541"/>
      <c r="M3042" s="540" t="s">
        <v>2741</v>
      </c>
      <c r="N3042" s="341">
        <f>VLOOKUP($A3042,Sheet_Trialbal,10,0)</f>
        <v>1820271.51</v>
      </c>
      <c r="O3042" s="540"/>
      <c r="S3042" s="364"/>
      <c r="Z3042" s="609" t="s">
        <v>1246</v>
      </c>
      <c r="AA3042" s="609" t="s">
        <v>3720</v>
      </c>
    </row>
    <row r="3043" spans="1:27" ht="18">
      <c r="A3043" s="2714" t="s">
        <v>1245</v>
      </c>
      <c r="B3043" s="371">
        <v>1</v>
      </c>
      <c r="C3043" s="371"/>
      <c r="D3043" s="2716" t="str">
        <f>VLOOKUP($A3043,Sheet_NoteList,2,0)</f>
        <v>无形资产情况</v>
      </c>
      <c r="E3043" s="2716" t="s">
        <v>2742</v>
      </c>
      <c r="F3043" s="294"/>
      <c r="G3043" s="307" t="str">
        <f>"("&amp;B3043&amp;")"&amp;D3043</f>
        <v>(1)无形资产情况</v>
      </c>
      <c r="H3043" s="1517" t="str">
        <f>$A3043</f>
        <v>1701a</v>
      </c>
      <c r="I3043" s="343" t="s">
        <v>2743</v>
      </c>
      <c r="J3043" s="301" t="s">
        <v>2744</v>
      </c>
      <c r="K3043" s="2210">
        <f>P3103</f>
        <v>1951607.86</v>
      </c>
      <c r="L3043" s="345"/>
      <c r="M3043" s="301" t="s">
        <v>2745</v>
      </c>
      <c r="N3043" s="2210">
        <f>H3103</f>
        <v>1820271.51</v>
      </c>
      <c r="O3043" s="315"/>
      <c r="P3043" s="301"/>
      <c r="Q3043" s="290" t="str">
        <f>IF($I3043="不适用","",IF(ROUND(SUM($H$3048:$P$3103),2)=0,"请输入",""))</f>
        <v/>
      </c>
      <c r="S3043" s="364"/>
      <c r="Z3043" s="609" t="s">
        <v>1246</v>
      </c>
      <c r="AA3043" s="609" t="s">
        <v>3720</v>
      </c>
    </row>
    <row r="3044" spans="1:27" ht="0.75" customHeight="1">
      <c r="A3044" s="2714"/>
      <c r="B3044" s="371"/>
      <c r="C3044" s="371"/>
      <c r="D3044" s="371"/>
      <c r="F3044" s="371"/>
      <c r="G3044" s="371" t="s">
        <v>3714</v>
      </c>
      <c r="H3044" s="371" t="s">
        <v>6256</v>
      </c>
      <c r="I3044" s="371" t="s">
        <v>6257</v>
      </c>
      <c r="J3044" s="371" t="s">
        <v>6258</v>
      </c>
      <c r="K3044" s="371" t="s">
        <v>6259</v>
      </c>
      <c r="L3044" s="371" t="s">
        <v>6260</v>
      </c>
      <c r="M3044" s="371" t="s">
        <v>6261</v>
      </c>
      <c r="N3044" s="371" t="s">
        <v>6262</v>
      </c>
      <c r="O3044" s="371" t="s">
        <v>6263</v>
      </c>
      <c r="P3044" s="371" t="s">
        <v>6264</v>
      </c>
      <c r="S3044" s="364"/>
      <c r="Z3044" s="609" t="s">
        <v>1246</v>
      </c>
      <c r="AA3044" s="609" t="s">
        <v>3720</v>
      </c>
    </row>
    <row r="3045" spans="1:27" ht="0.75" customHeight="1" thickBot="1">
      <c r="A3045" s="2714"/>
      <c r="B3045" s="371"/>
      <c r="C3045" s="371"/>
      <c r="D3045" s="371"/>
      <c r="F3045" s="371"/>
      <c r="G3045" s="371"/>
      <c r="H3045" s="371" t="s">
        <v>6265</v>
      </c>
      <c r="I3045" s="371" t="s">
        <v>6266</v>
      </c>
      <c r="J3045" s="371" t="s">
        <v>6267</v>
      </c>
      <c r="K3045" s="371" t="s">
        <v>6268</v>
      </c>
      <c r="L3045" s="371" t="s">
        <v>5160</v>
      </c>
      <c r="M3045" s="371" t="s">
        <v>6269</v>
      </c>
      <c r="N3045" s="371" t="s">
        <v>6270</v>
      </c>
      <c r="O3045" s="371" t="s">
        <v>6271</v>
      </c>
      <c r="P3045" s="371" t="s">
        <v>6272</v>
      </c>
      <c r="S3045" s="364"/>
      <c r="Z3045" s="609" t="s">
        <v>1246</v>
      </c>
      <c r="AA3045" s="609" t="s">
        <v>3720</v>
      </c>
    </row>
    <row r="3046" spans="1:27" ht="23.25" customHeight="1">
      <c r="A3046" s="2714"/>
      <c r="B3046" s="371"/>
      <c r="C3046" s="371"/>
      <c r="D3046" s="371"/>
      <c r="E3046" s="2716" t="s">
        <v>2749</v>
      </c>
      <c r="F3046" s="294"/>
      <c r="G3046" s="3506" t="s">
        <v>47</v>
      </c>
      <c r="H3046" s="3390" t="s">
        <v>3574</v>
      </c>
      <c r="I3046" s="3390" t="s">
        <v>3558</v>
      </c>
      <c r="J3046" s="3390"/>
      <c r="K3046" s="3390"/>
      <c r="L3046" s="3390"/>
      <c r="M3046" s="3390"/>
      <c r="N3046" s="3390" t="s">
        <v>3560</v>
      </c>
      <c r="O3046" s="3390"/>
      <c r="P3046" s="3438" t="s">
        <v>3575</v>
      </c>
      <c r="Q3046" s="355" t="s">
        <v>5292</v>
      </c>
      <c r="S3046" s="364"/>
      <c r="Z3046" s="609" t="s">
        <v>1246</v>
      </c>
      <c r="AA3046" s="609" t="s">
        <v>3720</v>
      </c>
    </row>
    <row r="3047" spans="1:27" ht="24">
      <c r="A3047" s="2714"/>
      <c r="B3047" s="371"/>
      <c r="C3047" s="371"/>
      <c r="D3047" s="371"/>
      <c r="E3047" s="2716" t="s">
        <v>2749</v>
      </c>
      <c r="F3047" s="294"/>
      <c r="G3047" s="3507"/>
      <c r="H3047" s="3393"/>
      <c r="I3047" s="2372" t="s">
        <v>3576</v>
      </c>
      <c r="J3047" s="2372" t="s">
        <v>3715</v>
      </c>
      <c r="K3047" s="2370" t="s">
        <v>3547</v>
      </c>
      <c r="L3047" s="2371" t="s">
        <v>5174</v>
      </c>
      <c r="M3047" s="2371" t="s">
        <v>5173</v>
      </c>
      <c r="N3047" s="2372" t="s">
        <v>3561</v>
      </c>
      <c r="O3047" s="2372" t="s">
        <v>3609</v>
      </c>
      <c r="P3047" s="3408"/>
      <c r="S3047" s="364"/>
      <c r="Z3047" s="609" t="s">
        <v>1246</v>
      </c>
      <c r="AA3047" s="609" t="s">
        <v>3720</v>
      </c>
    </row>
    <row r="3048" spans="1:27" ht="18">
      <c r="A3048" s="2714"/>
      <c r="B3048" s="371">
        <v>101</v>
      </c>
      <c r="C3048" s="371"/>
      <c r="D3048" s="2716">
        <f t="shared" ref="D3048:D3079" si="364">IF(OR(G3048="*",G3048="",G3048=0),0,COUNTIF($G$3048:$G$3103,G3048))</f>
        <v>1</v>
      </c>
      <c r="E3048" s="2721" t="s">
        <v>41</v>
      </c>
      <c r="F3048" s="294"/>
      <c r="G3048" s="308" t="s">
        <v>3577</v>
      </c>
      <c r="H3048" s="320"/>
      <c r="I3048" s="320"/>
      <c r="J3048" s="320"/>
      <c r="K3048" s="320"/>
      <c r="L3048" s="1465">
        <v>0</v>
      </c>
      <c r="M3048" s="320"/>
      <c r="N3048" s="309"/>
      <c r="O3048" s="309"/>
      <c r="P3048" s="346"/>
      <c r="S3048" s="364"/>
      <c r="Z3048" s="609" t="s">
        <v>1246</v>
      </c>
      <c r="AA3048" s="609" t="s">
        <v>3720</v>
      </c>
    </row>
    <row r="3049" spans="1:27" ht="18">
      <c r="A3049" s="2714"/>
      <c r="B3049" s="371">
        <v>101.001</v>
      </c>
      <c r="C3049" s="371"/>
      <c r="D3049" s="2716">
        <f t="shared" si="364"/>
        <v>1</v>
      </c>
      <c r="E3049" s="2721" t="s">
        <v>5159</v>
      </c>
      <c r="F3049" s="294"/>
      <c r="G3049" s="308" t="s">
        <v>3543</v>
      </c>
      <c r="H3049" s="309">
        <v>2161153</v>
      </c>
      <c r="I3049" s="309"/>
      <c r="J3049" s="309"/>
      <c r="K3049" s="309"/>
      <c r="L3049" s="1465">
        <v>0</v>
      </c>
      <c r="M3049" s="309"/>
      <c r="N3049" s="320"/>
      <c r="O3049" s="309"/>
      <c r="P3049" s="1477">
        <f t="shared" ref="P3049:P3060" si="365">SUM(H3049:M3049,-N3049,-O3049)</f>
        <v>2161153</v>
      </c>
      <c r="S3049" s="364"/>
      <c r="Z3049" s="609" t="s">
        <v>1246</v>
      </c>
      <c r="AA3049" s="609" t="s">
        <v>3720</v>
      </c>
    </row>
    <row r="3050" spans="1:27" ht="18">
      <c r="A3050" s="2714"/>
      <c r="B3050" s="371">
        <v>101.002</v>
      </c>
      <c r="C3050" s="371"/>
      <c r="D3050" s="2716">
        <f t="shared" si="364"/>
        <v>1</v>
      </c>
      <c r="E3050" s="2721" t="s">
        <v>5159</v>
      </c>
      <c r="F3050" s="294"/>
      <c r="G3050" s="308" t="s">
        <v>3716</v>
      </c>
      <c r="H3050" s="309">
        <v>170700.49</v>
      </c>
      <c r="I3050" s="309"/>
      <c r="J3050" s="309">
        <v>233778.24</v>
      </c>
      <c r="K3050" s="309"/>
      <c r="L3050" s="1465">
        <v>0</v>
      </c>
      <c r="M3050" s="309"/>
      <c r="N3050" s="320"/>
      <c r="O3050" s="309"/>
      <c r="P3050" s="1477">
        <f t="shared" si="365"/>
        <v>404478.73</v>
      </c>
      <c r="S3050" s="364"/>
      <c r="Z3050" s="609" t="s">
        <v>1246</v>
      </c>
      <c r="AA3050" s="609" t="s">
        <v>3720</v>
      </c>
    </row>
    <row r="3051" spans="1:27" ht="18">
      <c r="A3051" s="2714"/>
      <c r="B3051" s="371">
        <v>101.003</v>
      </c>
      <c r="C3051" s="371"/>
      <c r="D3051" s="2716">
        <f t="shared" si="364"/>
        <v>1</v>
      </c>
      <c r="E3051" s="2721" t="s">
        <v>5159</v>
      </c>
      <c r="F3051" s="294"/>
      <c r="G3051" s="308" t="s">
        <v>3717</v>
      </c>
      <c r="H3051" s="309">
        <v>1163590.49</v>
      </c>
      <c r="I3051" s="309"/>
      <c r="J3051" s="309"/>
      <c r="K3051" s="309"/>
      <c r="L3051" s="1465">
        <v>0</v>
      </c>
      <c r="M3051" s="309"/>
      <c r="N3051" s="320"/>
      <c r="O3051" s="309"/>
      <c r="P3051" s="1477">
        <f t="shared" si="365"/>
        <v>1163590.49</v>
      </c>
      <c r="S3051" s="364"/>
      <c r="Z3051" s="609" t="s">
        <v>1246</v>
      </c>
      <c r="AA3051" s="609" t="s">
        <v>3720</v>
      </c>
    </row>
    <row r="3052" spans="1:27" ht="18">
      <c r="A3052" s="2714"/>
      <c r="B3052" s="371">
        <v>101.004</v>
      </c>
      <c r="C3052" s="371" t="s">
        <v>2791</v>
      </c>
      <c r="D3052" s="2716">
        <f t="shared" si="364"/>
        <v>1</v>
      </c>
      <c r="E3052" s="2721" t="s">
        <v>5159</v>
      </c>
      <c r="F3052" s="294"/>
      <c r="G3052" s="1636" t="s">
        <v>5616</v>
      </c>
      <c r="H3052" s="309">
        <v>302991.49</v>
      </c>
      <c r="I3052" s="309"/>
      <c r="J3052" s="309"/>
      <c r="K3052" s="309"/>
      <c r="L3052" s="1465">
        <v>0</v>
      </c>
      <c r="M3052" s="309"/>
      <c r="N3052" s="320"/>
      <c r="O3052" s="309"/>
      <c r="P3052" s="1477">
        <f t="shared" si="365"/>
        <v>302991.49</v>
      </c>
      <c r="S3052" s="364"/>
      <c r="Z3052" s="609" t="s">
        <v>1246</v>
      </c>
      <c r="AA3052" s="609" t="s">
        <v>3720</v>
      </c>
    </row>
    <row r="3053" spans="1:27" ht="18">
      <c r="A3053" s="2714"/>
      <c r="B3053" s="371">
        <v>101.005</v>
      </c>
      <c r="C3053" s="371" t="s">
        <v>2791</v>
      </c>
      <c r="D3053" s="2716">
        <f t="shared" si="364"/>
        <v>1</v>
      </c>
      <c r="E3053" s="2721" t="s">
        <v>5159</v>
      </c>
      <c r="F3053" s="294"/>
      <c r="G3053" s="1485" t="s">
        <v>5175</v>
      </c>
      <c r="H3053" s="309"/>
      <c r="I3053" s="309"/>
      <c r="J3053" s="309"/>
      <c r="K3053" s="309"/>
      <c r="L3053" s="1465">
        <v>0</v>
      </c>
      <c r="M3053" s="309"/>
      <c r="N3053" s="320"/>
      <c r="O3053" s="309"/>
      <c r="P3053" s="1477">
        <f t="shared" si="365"/>
        <v>0</v>
      </c>
      <c r="S3053" s="364"/>
      <c r="Z3053" s="609" t="s">
        <v>1246</v>
      </c>
      <c r="AA3053" s="609" t="s">
        <v>3720</v>
      </c>
    </row>
    <row r="3054" spans="1:27" ht="18">
      <c r="A3054" s="2714"/>
      <c r="B3054" s="371">
        <v>101.006</v>
      </c>
      <c r="C3054" s="371" t="s">
        <v>2791</v>
      </c>
      <c r="D3054" s="2716">
        <f t="shared" si="364"/>
        <v>1</v>
      </c>
      <c r="E3054" s="2721" t="s">
        <v>5159</v>
      </c>
      <c r="F3054" s="294"/>
      <c r="G3054" s="1485" t="s">
        <v>5176</v>
      </c>
      <c r="H3054" s="309"/>
      <c r="I3054" s="309"/>
      <c r="J3054" s="309"/>
      <c r="K3054" s="309"/>
      <c r="L3054" s="1465">
        <v>0</v>
      </c>
      <c r="M3054" s="309"/>
      <c r="N3054" s="320"/>
      <c r="O3054" s="309"/>
      <c r="P3054" s="1477">
        <f t="shared" si="365"/>
        <v>0</v>
      </c>
      <c r="S3054" s="364"/>
      <c r="Z3054" s="609" t="s">
        <v>1246</v>
      </c>
      <c r="AA3054" s="609" t="s">
        <v>3720</v>
      </c>
    </row>
    <row r="3055" spans="1:27" ht="18">
      <c r="A3055" s="2714"/>
      <c r="B3055" s="371">
        <v>101.00700000000001</v>
      </c>
      <c r="C3055" s="371" t="s">
        <v>2791</v>
      </c>
      <c r="D3055" s="2716">
        <f t="shared" si="364"/>
        <v>1</v>
      </c>
      <c r="E3055" s="2721" t="s">
        <v>5159</v>
      </c>
      <c r="F3055" s="294"/>
      <c r="G3055" s="1485" t="s">
        <v>5177</v>
      </c>
      <c r="H3055" s="309"/>
      <c r="I3055" s="309"/>
      <c r="J3055" s="309"/>
      <c r="K3055" s="309"/>
      <c r="L3055" s="1465">
        <v>0</v>
      </c>
      <c r="M3055" s="309"/>
      <c r="N3055" s="320"/>
      <c r="O3055" s="309"/>
      <c r="P3055" s="1477">
        <f t="shared" si="365"/>
        <v>0</v>
      </c>
      <c r="S3055" s="364"/>
      <c r="Z3055" s="609" t="s">
        <v>1246</v>
      </c>
      <c r="AA3055" s="609" t="s">
        <v>3720</v>
      </c>
    </row>
    <row r="3056" spans="1:27" ht="18">
      <c r="A3056" s="2714"/>
      <c r="B3056" s="371">
        <v>101.008</v>
      </c>
      <c r="C3056" s="371" t="s">
        <v>2791</v>
      </c>
      <c r="D3056" s="2716">
        <f t="shared" si="364"/>
        <v>1</v>
      </c>
      <c r="E3056" s="2721" t="s">
        <v>5159</v>
      </c>
      <c r="F3056" s="294"/>
      <c r="G3056" s="1485" t="s">
        <v>5178</v>
      </c>
      <c r="H3056" s="309"/>
      <c r="I3056" s="309"/>
      <c r="J3056" s="309"/>
      <c r="K3056" s="309"/>
      <c r="L3056" s="1465">
        <v>0</v>
      </c>
      <c r="M3056" s="309"/>
      <c r="N3056" s="320"/>
      <c r="O3056" s="309"/>
      <c r="P3056" s="1477">
        <f t="shared" si="365"/>
        <v>0</v>
      </c>
      <c r="S3056" s="364"/>
      <c r="Z3056" s="609" t="s">
        <v>1246</v>
      </c>
      <c r="AA3056" s="609" t="s">
        <v>3720</v>
      </c>
    </row>
    <row r="3057" spans="1:27" ht="18">
      <c r="A3057" s="2714"/>
      <c r="B3057" s="371">
        <v>101.009</v>
      </c>
      <c r="C3057" s="371" t="s">
        <v>2791</v>
      </c>
      <c r="D3057" s="2716">
        <f t="shared" si="364"/>
        <v>1</v>
      </c>
      <c r="E3057" s="2721" t="s">
        <v>5159</v>
      </c>
      <c r="F3057" s="294"/>
      <c r="G3057" s="1485" t="s">
        <v>5179</v>
      </c>
      <c r="H3057" s="309"/>
      <c r="I3057" s="309"/>
      <c r="J3057" s="309"/>
      <c r="K3057" s="309"/>
      <c r="L3057" s="1465">
        <v>0</v>
      </c>
      <c r="M3057" s="309"/>
      <c r="N3057" s="320"/>
      <c r="O3057" s="309"/>
      <c r="P3057" s="1477">
        <f t="shared" si="365"/>
        <v>0</v>
      </c>
      <c r="S3057" s="364"/>
      <c r="Z3057" s="609" t="s">
        <v>1246</v>
      </c>
      <c r="AA3057" s="609" t="s">
        <v>3720</v>
      </c>
    </row>
    <row r="3058" spans="1:27" ht="18">
      <c r="A3058" s="2714"/>
      <c r="B3058" s="371">
        <v>101.01</v>
      </c>
      <c r="C3058" s="371" t="s">
        <v>2791</v>
      </c>
      <c r="D3058" s="2716">
        <f t="shared" si="364"/>
        <v>1</v>
      </c>
      <c r="E3058" s="2721" t="s">
        <v>5159</v>
      </c>
      <c r="F3058" s="294"/>
      <c r="G3058" s="1485" t="s">
        <v>5180</v>
      </c>
      <c r="H3058" s="309"/>
      <c r="I3058" s="309"/>
      <c r="J3058" s="309"/>
      <c r="K3058" s="309"/>
      <c r="L3058" s="1465">
        <v>0</v>
      </c>
      <c r="M3058" s="309"/>
      <c r="N3058" s="320"/>
      <c r="O3058" s="309"/>
      <c r="P3058" s="1477">
        <f t="shared" si="365"/>
        <v>0</v>
      </c>
      <c r="S3058" s="364"/>
      <c r="Z3058" s="609" t="s">
        <v>1246</v>
      </c>
      <c r="AA3058" s="609" t="s">
        <v>3720</v>
      </c>
    </row>
    <row r="3059" spans="1:27" ht="18">
      <c r="A3059" s="2714"/>
      <c r="B3059" s="371">
        <v>101.011</v>
      </c>
      <c r="C3059" s="371" t="s">
        <v>2791</v>
      </c>
      <c r="D3059" s="2716">
        <f t="shared" si="364"/>
        <v>1</v>
      </c>
      <c r="E3059" s="2721" t="s">
        <v>5159</v>
      </c>
      <c r="F3059" s="294"/>
      <c r="G3059" s="1485" t="s">
        <v>5181</v>
      </c>
      <c r="H3059" s="309"/>
      <c r="I3059" s="309"/>
      <c r="J3059" s="309"/>
      <c r="K3059" s="309"/>
      <c r="L3059" s="1465">
        <v>0</v>
      </c>
      <c r="M3059" s="309"/>
      <c r="N3059" s="320"/>
      <c r="O3059" s="309"/>
      <c r="P3059" s="1477">
        <f t="shared" si="365"/>
        <v>0</v>
      </c>
      <c r="S3059" s="364"/>
      <c r="Z3059" s="609" t="s">
        <v>1246</v>
      </c>
      <c r="AA3059" s="609" t="s">
        <v>3720</v>
      </c>
    </row>
    <row r="3060" spans="1:27" ht="18">
      <c r="A3060" s="2714"/>
      <c r="B3060" s="371">
        <v>101.012</v>
      </c>
      <c r="C3060" s="371" t="s">
        <v>2791</v>
      </c>
      <c r="D3060" s="2716">
        <f t="shared" si="364"/>
        <v>1</v>
      </c>
      <c r="E3060" s="2721" t="s">
        <v>5159</v>
      </c>
      <c r="F3060" s="294"/>
      <c r="G3060" s="1485" t="s">
        <v>5182</v>
      </c>
      <c r="H3060" s="309"/>
      <c r="I3060" s="309"/>
      <c r="J3060" s="309"/>
      <c r="K3060" s="309"/>
      <c r="L3060" s="1465">
        <v>0</v>
      </c>
      <c r="M3060" s="309"/>
      <c r="N3060" s="320"/>
      <c r="O3060" s="309"/>
      <c r="P3060" s="1477">
        <f t="shared" si="365"/>
        <v>0</v>
      </c>
      <c r="S3060" s="364"/>
      <c r="Z3060" s="609" t="s">
        <v>1246</v>
      </c>
      <c r="AA3060" s="609" t="s">
        <v>3720</v>
      </c>
    </row>
    <row r="3061" spans="1:27" ht="18">
      <c r="A3061" s="2714"/>
      <c r="B3061" s="371">
        <v>101.999</v>
      </c>
      <c r="C3061" s="371" t="s">
        <v>6562</v>
      </c>
      <c r="D3061" s="2716">
        <f t="shared" si="364"/>
        <v>1</v>
      </c>
      <c r="E3061" s="2721">
        <v>1</v>
      </c>
      <c r="F3061" s="294"/>
      <c r="G3061" s="308" t="s">
        <v>5183</v>
      </c>
      <c r="H3061" s="1476">
        <f>SUMIF($E$3047:$E$3102,$G3061,H$3047:H$3102)</f>
        <v>3798435.47</v>
      </c>
      <c r="I3061" s="1476">
        <f>SUMIF($E$3047:$E$3102,$G3061,I$3047:I$3102)</f>
        <v>0</v>
      </c>
      <c r="J3061" s="1476">
        <f>SUMIF($E$3047:$E$3102,$G3061,J$3047:J$3102)</f>
        <v>233778.24</v>
      </c>
      <c r="K3061" s="1476">
        <f>SUMIF($E$3047:$E$3102,$G3061,K$3047:K$3102)</f>
        <v>0</v>
      </c>
      <c r="L3061" s="1483">
        <v>0</v>
      </c>
      <c r="M3061" s="1476">
        <f>SUMIF($E$3047:$E$3102,$G3061,M$3047:M$3102)</f>
        <v>0</v>
      </c>
      <c r="N3061" s="1476">
        <f>SUMIF($E$3047:$E$3102,$G3061,N$3047:N$3102)</f>
        <v>0</v>
      </c>
      <c r="O3061" s="1476">
        <f>SUMIF($E$3047:$E$3102,$G3061,O$3047:O$3102)</f>
        <v>0</v>
      </c>
      <c r="P3061" s="1477">
        <f>SUMIF($E$3047:$E$3102,$G3061,P$3047:P$3102)</f>
        <v>4032213.71</v>
      </c>
      <c r="S3061" s="364"/>
      <c r="Z3061" s="609" t="s">
        <v>1246</v>
      </c>
      <c r="AA3061" s="609" t="s">
        <v>3720</v>
      </c>
    </row>
    <row r="3062" spans="1:27" ht="18">
      <c r="A3062" s="2714"/>
      <c r="B3062" s="371">
        <v>102</v>
      </c>
      <c r="C3062" s="371"/>
      <c r="D3062" s="2716">
        <f t="shared" si="364"/>
        <v>1</v>
      </c>
      <c r="E3062" s="2721" t="s">
        <v>41</v>
      </c>
      <c r="F3062" s="294"/>
      <c r="G3062" s="308" t="s">
        <v>3718</v>
      </c>
      <c r="H3062" s="309"/>
      <c r="I3062" s="1465">
        <v>0</v>
      </c>
      <c r="J3062" s="1465">
        <v>0</v>
      </c>
      <c r="K3062" s="1465">
        <v>0</v>
      </c>
      <c r="L3062" s="309"/>
      <c r="M3062" s="309"/>
      <c r="N3062" s="320"/>
      <c r="O3062" s="309"/>
      <c r="P3062" s="1477"/>
      <c r="S3062" s="364"/>
      <c r="Z3062" s="609" t="s">
        <v>1246</v>
      </c>
      <c r="AA3062" s="609" t="s">
        <v>3720</v>
      </c>
    </row>
    <row r="3063" spans="1:27" ht="18">
      <c r="A3063" s="2714"/>
      <c r="B3063" s="371">
        <v>102.001</v>
      </c>
      <c r="C3063" s="371"/>
      <c r="D3063" s="2716">
        <f t="shared" si="364"/>
        <v>1</v>
      </c>
      <c r="E3063" s="2721" t="s">
        <v>568</v>
      </c>
      <c r="F3063" s="294"/>
      <c r="G3063" s="1485" t="str">
        <f>G$3049&amp;" "</f>
        <v xml:space="preserve">土地使用权 </v>
      </c>
      <c r="H3063" s="309">
        <v>676937.43</v>
      </c>
      <c r="I3063" s="1465">
        <v>0</v>
      </c>
      <c r="J3063" s="1465">
        <v>0</v>
      </c>
      <c r="K3063" s="1465">
        <v>0</v>
      </c>
      <c r="L3063" s="309">
        <v>44718</v>
      </c>
      <c r="M3063" s="309"/>
      <c r="N3063" s="320"/>
      <c r="O3063" s="309"/>
      <c r="P3063" s="1477">
        <f>SUM(H3063:M3063,-N3063,-O3063)</f>
        <v>721655.43</v>
      </c>
      <c r="S3063" s="364"/>
      <c r="Z3063" s="609" t="s">
        <v>1246</v>
      </c>
      <c r="AA3063" s="609" t="s">
        <v>3720</v>
      </c>
    </row>
    <row r="3064" spans="1:27" ht="18">
      <c r="A3064" s="2714"/>
      <c r="B3064" s="371">
        <v>102.002</v>
      </c>
      <c r="C3064" s="371"/>
      <c r="D3064" s="2716">
        <f t="shared" si="364"/>
        <v>1</v>
      </c>
      <c r="E3064" s="2721" t="s">
        <v>568</v>
      </c>
      <c r="F3064" s="294"/>
      <c r="G3064" s="1485" t="str">
        <f>G$3050&amp;" "</f>
        <v xml:space="preserve">专利权 </v>
      </c>
      <c r="H3064" s="309">
        <v>23462.43</v>
      </c>
      <c r="I3064" s="1465">
        <v>0</v>
      </c>
      <c r="J3064" s="1465">
        <v>0</v>
      </c>
      <c r="K3064" s="1465">
        <v>0</v>
      </c>
      <c r="L3064" s="309">
        <v>17739.189999999999</v>
      </c>
      <c r="M3064" s="309"/>
      <c r="N3064" s="320"/>
      <c r="O3064" s="309"/>
      <c r="P3064" s="1477">
        <f t="shared" ref="P3064:P3088" si="366">SUM(H3064:M3064,-N3064,-O3064)</f>
        <v>41201.620000000003</v>
      </c>
      <c r="S3064" s="364"/>
      <c r="Z3064" s="609" t="s">
        <v>1246</v>
      </c>
      <c r="AA3064" s="609" t="s">
        <v>3720</v>
      </c>
    </row>
    <row r="3065" spans="1:27" ht="18">
      <c r="A3065" s="2714"/>
      <c r="B3065" s="371">
        <v>102.003</v>
      </c>
      <c r="C3065" s="371"/>
      <c r="D3065" s="2716">
        <f t="shared" si="364"/>
        <v>1</v>
      </c>
      <c r="E3065" s="2721" t="s">
        <v>568</v>
      </c>
      <c r="F3065" s="294"/>
      <c r="G3065" s="1485" t="str">
        <f>G$3051&amp;" "</f>
        <v xml:space="preserve">非专利技术 </v>
      </c>
      <c r="H3065" s="309">
        <v>1056719.23</v>
      </c>
      <c r="I3065" s="1465">
        <v>0</v>
      </c>
      <c r="J3065" s="1465">
        <v>0</v>
      </c>
      <c r="K3065" s="1465">
        <v>0</v>
      </c>
      <c r="L3065" s="309">
        <v>21359.040000000001</v>
      </c>
      <c r="M3065" s="309"/>
      <c r="N3065" s="320"/>
      <c r="O3065" s="309"/>
      <c r="P3065" s="1477">
        <f t="shared" si="366"/>
        <v>1078078.27</v>
      </c>
      <c r="S3065" s="364"/>
      <c r="Z3065" s="609" t="s">
        <v>1246</v>
      </c>
      <c r="AA3065" s="609" t="s">
        <v>3720</v>
      </c>
    </row>
    <row r="3066" spans="1:27" ht="18">
      <c r="A3066" s="2714"/>
      <c r="B3066" s="371">
        <v>102.004</v>
      </c>
      <c r="C3066" s="371" t="s">
        <v>2791</v>
      </c>
      <c r="D3066" s="2716">
        <f t="shared" si="364"/>
        <v>1</v>
      </c>
      <c r="E3066" s="2721" t="s">
        <v>568</v>
      </c>
      <c r="F3066" s="294"/>
      <c r="G3066" s="1485" t="str">
        <f>G$3052&amp;" "</f>
        <v xml:space="preserve">计算机软件 </v>
      </c>
      <c r="H3066" s="309">
        <v>221044.87</v>
      </c>
      <c r="I3066" s="1465">
        <v>0</v>
      </c>
      <c r="J3066" s="1465">
        <v>0</v>
      </c>
      <c r="K3066" s="1465">
        <v>0</v>
      </c>
      <c r="L3066" s="309">
        <v>18625.66</v>
      </c>
      <c r="M3066" s="309"/>
      <c r="N3066" s="320"/>
      <c r="O3066" s="309"/>
      <c r="P3066" s="1477">
        <f t="shared" si="366"/>
        <v>239670.53</v>
      </c>
      <c r="S3066" s="364"/>
      <c r="Z3066" s="609" t="s">
        <v>1246</v>
      </c>
      <c r="AA3066" s="609" t="s">
        <v>3720</v>
      </c>
    </row>
    <row r="3067" spans="1:27" ht="18">
      <c r="A3067" s="2714"/>
      <c r="B3067" s="371">
        <v>102.005</v>
      </c>
      <c r="C3067" s="371" t="s">
        <v>2791</v>
      </c>
      <c r="D3067" s="2716">
        <f t="shared" si="364"/>
        <v>1</v>
      </c>
      <c r="E3067" s="2721" t="s">
        <v>568</v>
      </c>
      <c r="F3067" s="294"/>
      <c r="G3067" s="1485" t="str">
        <f>G$3053&amp;" "</f>
        <v xml:space="preserve">*5（在原值处修改清除） </v>
      </c>
      <c r="H3067" s="309"/>
      <c r="I3067" s="1465">
        <v>0</v>
      </c>
      <c r="J3067" s="1465">
        <v>0</v>
      </c>
      <c r="K3067" s="1465">
        <v>0</v>
      </c>
      <c r="L3067" s="309"/>
      <c r="M3067" s="309"/>
      <c r="N3067" s="320"/>
      <c r="O3067" s="309"/>
      <c r="P3067" s="1477">
        <f t="shared" si="366"/>
        <v>0</v>
      </c>
      <c r="S3067" s="364"/>
      <c r="Z3067" s="609" t="s">
        <v>1246</v>
      </c>
      <c r="AA3067" s="609" t="s">
        <v>3720</v>
      </c>
    </row>
    <row r="3068" spans="1:27" ht="18">
      <c r="A3068" s="2714"/>
      <c r="B3068" s="371">
        <v>102.006</v>
      </c>
      <c r="C3068" s="371" t="s">
        <v>2791</v>
      </c>
      <c r="D3068" s="2716">
        <f t="shared" si="364"/>
        <v>1</v>
      </c>
      <c r="E3068" s="2721" t="s">
        <v>568</v>
      </c>
      <c r="F3068" s="294"/>
      <c r="G3068" s="1485" t="str">
        <f>G$3054&amp;" "</f>
        <v xml:space="preserve">*6（在原值处修改清除） </v>
      </c>
      <c r="H3068" s="309"/>
      <c r="I3068" s="1465">
        <v>0</v>
      </c>
      <c r="J3068" s="1465">
        <v>0</v>
      </c>
      <c r="K3068" s="1465">
        <v>0</v>
      </c>
      <c r="L3068" s="309"/>
      <c r="M3068" s="309"/>
      <c r="N3068" s="320"/>
      <c r="O3068" s="309"/>
      <c r="P3068" s="1477">
        <f t="shared" si="366"/>
        <v>0</v>
      </c>
      <c r="S3068" s="364"/>
      <c r="Z3068" s="609" t="s">
        <v>1246</v>
      </c>
      <c r="AA3068" s="609" t="s">
        <v>3720</v>
      </c>
    </row>
    <row r="3069" spans="1:27" ht="18">
      <c r="A3069" s="2714"/>
      <c r="B3069" s="371">
        <v>102.00700000000001</v>
      </c>
      <c r="C3069" s="371" t="s">
        <v>2791</v>
      </c>
      <c r="D3069" s="2716">
        <f t="shared" si="364"/>
        <v>1</v>
      </c>
      <c r="E3069" s="2721" t="s">
        <v>568</v>
      </c>
      <c r="F3069" s="294"/>
      <c r="G3069" s="1485" t="str">
        <f>G$3055&amp;" "</f>
        <v xml:space="preserve">*7（在原值处修改清除） </v>
      </c>
      <c r="H3069" s="309"/>
      <c r="I3069" s="1465">
        <v>0</v>
      </c>
      <c r="J3069" s="1465">
        <v>0</v>
      </c>
      <c r="K3069" s="1465">
        <v>0</v>
      </c>
      <c r="L3069" s="309"/>
      <c r="M3069" s="309"/>
      <c r="N3069" s="320"/>
      <c r="O3069" s="309"/>
      <c r="P3069" s="1477">
        <f t="shared" si="366"/>
        <v>0</v>
      </c>
      <c r="S3069" s="364"/>
      <c r="Z3069" s="609" t="s">
        <v>1246</v>
      </c>
      <c r="AA3069" s="609" t="s">
        <v>3720</v>
      </c>
    </row>
    <row r="3070" spans="1:27" ht="18">
      <c r="A3070" s="2714"/>
      <c r="B3070" s="371">
        <v>102.008</v>
      </c>
      <c r="C3070" s="371" t="s">
        <v>2791</v>
      </c>
      <c r="D3070" s="2716">
        <f t="shared" si="364"/>
        <v>1</v>
      </c>
      <c r="E3070" s="2721" t="s">
        <v>568</v>
      </c>
      <c r="F3070" s="294"/>
      <c r="G3070" s="1485" t="str">
        <f>G$3056&amp;" "</f>
        <v xml:space="preserve">*8（在原值处修改清除） </v>
      </c>
      <c r="H3070" s="309"/>
      <c r="I3070" s="1465">
        <v>0</v>
      </c>
      <c r="J3070" s="1465">
        <v>0</v>
      </c>
      <c r="K3070" s="1465">
        <v>0</v>
      </c>
      <c r="L3070" s="309"/>
      <c r="M3070" s="309"/>
      <c r="N3070" s="320"/>
      <c r="O3070" s="309"/>
      <c r="P3070" s="1477">
        <f t="shared" si="366"/>
        <v>0</v>
      </c>
      <c r="S3070" s="364"/>
      <c r="Z3070" s="609" t="s">
        <v>1246</v>
      </c>
      <c r="AA3070" s="609" t="s">
        <v>3720</v>
      </c>
    </row>
    <row r="3071" spans="1:27" ht="18">
      <c r="A3071" s="2714"/>
      <c r="B3071" s="371">
        <v>102.009</v>
      </c>
      <c r="C3071" s="371" t="s">
        <v>2791</v>
      </c>
      <c r="D3071" s="2716">
        <f t="shared" si="364"/>
        <v>1</v>
      </c>
      <c r="E3071" s="2721" t="s">
        <v>568</v>
      </c>
      <c r="F3071" s="294"/>
      <c r="G3071" s="1485" t="str">
        <f>G$3057&amp;" "</f>
        <v xml:space="preserve">*9（在原值处修改清除） </v>
      </c>
      <c r="H3071" s="309"/>
      <c r="I3071" s="1465">
        <v>0</v>
      </c>
      <c r="J3071" s="1465">
        <v>0</v>
      </c>
      <c r="K3071" s="1465">
        <v>0</v>
      </c>
      <c r="L3071" s="309"/>
      <c r="M3071" s="309"/>
      <c r="N3071" s="320"/>
      <c r="O3071" s="309"/>
      <c r="P3071" s="1477">
        <f t="shared" si="366"/>
        <v>0</v>
      </c>
      <c r="S3071" s="364"/>
      <c r="Z3071" s="609" t="s">
        <v>1246</v>
      </c>
      <c r="AA3071" s="609" t="s">
        <v>3720</v>
      </c>
    </row>
    <row r="3072" spans="1:27" ht="18">
      <c r="A3072" s="2714"/>
      <c r="B3072" s="371">
        <v>102.01</v>
      </c>
      <c r="C3072" s="371" t="s">
        <v>2791</v>
      </c>
      <c r="D3072" s="2716">
        <f t="shared" si="364"/>
        <v>1</v>
      </c>
      <c r="E3072" s="2721" t="s">
        <v>568</v>
      </c>
      <c r="F3072" s="294"/>
      <c r="G3072" s="1485" t="str">
        <f>G$3058&amp;" "</f>
        <v xml:space="preserve">*10（在原值处修改清除） </v>
      </c>
      <c r="H3072" s="309"/>
      <c r="I3072" s="1465">
        <v>0</v>
      </c>
      <c r="J3072" s="1465">
        <v>0</v>
      </c>
      <c r="K3072" s="1465">
        <v>0</v>
      </c>
      <c r="L3072" s="309"/>
      <c r="M3072" s="309"/>
      <c r="N3072" s="320"/>
      <c r="O3072" s="309"/>
      <c r="P3072" s="1477">
        <f t="shared" si="366"/>
        <v>0</v>
      </c>
      <c r="S3072" s="364"/>
      <c r="Z3072" s="609" t="s">
        <v>1246</v>
      </c>
      <c r="AA3072" s="609" t="s">
        <v>3720</v>
      </c>
    </row>
    <row r="3073" spans="1:27" ht="18">
      <c r="A3073" s="2714"/>
      <c r="B3073" s="371">
        <v>102.011</v>
      </c>
      <c r="C3073" s="371" t="s">
        <v>2791</v>
      </c>
      <c r="D3073" s="2716">
        <f t="shared" si="364"/>
        <v>1</v>
      </c>
      <c r="E3073" s="2721" t="s">
        <v>568</v>
      </c>
      <c r="F3073" s="294"/>
      <c r="G3073" s="1485" t="str">
        <f>G$3059&amp;" "</f>
        <v xml:space="preserve">*11（在原值处修改清除） </v>
      </c>
      <c r="H3073" s="309"/>
      <c r="I3073" s="1465">
        <v>0</v>
      </c>
      <c r="J3073" s="1465">
        <v>0</v>
      </c>
      <c r="K3073" s="1465">
        <v>0</v>
      </c>
      <c r="L3073" s="309"/>
      <c r="M3073" s="309"/>
      <c r="N3073" s="320"/>
      <c r="O3073" s="309"/>
      <c r="P3073" s="1477">
        <f t="shared" si="366"/>
        <v>0</v>
      </c>
      <c r="S3073" s="364"/>
      <c r="Z3073" s="609" t="s">
        <v>1246</v>
      </c>
      <c r="AA3073" s="609" t="s">
        <v>3720</v>
      </c>
    </row>
    <row r="3074" spans="1:27" ht="18">
      <c r="A3074" s="2714"/>
      <c r="B3074" s="371">
        <v>102.012</v>
      </c>
      <c r="C3074" s="371" t="s">
        <v>2791</v>
      </c>
      <c r="D3074" s="2716">
        <f t="shared" si="364"/>
        <v>1</v>
      </c>
      <c r="E3074" s="2721" t="s">
        <v>568</v>
      </c>
      <c r="F3074" s="294"/>
      <c r="G3074" s="1485" t="str">
        <f>G$3060&amp;" "</f>
        <v xml:space="preserve">*12（在原值处修改清除） </v>
      </c>
      <c r="H3074" s="309"/>
      <c r="I3074" s="1465">
        <v>0</v>
      </c>
      <c r="J3074" s="1465">
        <v>0</v>
      </c>
      <c r="K3074" s="1465">
        <v>0</v>
      </c>
      <c r="L3074" s="309"/>
      <c r="M3074" s="309"/>
      <c r="N3074" s="320"/>
      <c r="O3074" s="309"/>
      <c r="P3074" s="1477">
        <f t="shared" si="366"/>
        <v>0</v>
      </c>
      <c r="S3074" s="364"/>
      <c r="Z3074" s="609" t="s">
        <v>1246</v>
      </c>
      <c r="AA3074" s="609" t="s">
        <v>3720</v>
      </c>
    </row>
    <row r="3075" spans="1:27" ht="18">
      <c r="A3075" s="2714"/>
      <c r="B3075" s="371">
        <v>102.999</v>
      </c>
      <c r="C3075" s="371" t="s">
        <v>2793</v>
      </c>
      <c r="D3075" s="2716">
        <f t="shared" si="364"/>
        <v>1</v>
      </c>
      <c r="E3075" s="2721">
        <v>-1</v>
      </c>
      <c r="F3075" s="294"/>
      <c r="G3075" s="308" t="s">
        <v>5184</v>
      </c>
      <c r="H3075" s="1476">
        <f>SUMIF($E$3047:$E$3102,$G3075,H$3047:H$3102)</f>
        <v>1978163.96</v>
      </c>
      <c r="I3075" s="1483">
        <v>0</v>
      </c>
      <c r="J3075" s="1483">
        <v>0</v>
      </c>
      <c r="K3075" s="1483">
        <v>0</v>
      </c>
      <c r="L3075" s="1476">
        <f>SUMIF($E$3047:$E$3102,$G3075,L$3047:L$3102)</f>
        <v>102441.89</v>
      </c>
      <c r="M3075" s="1476">
        <f>SUMIF($E$3047:$E$3102,$G3075,M$3047:M$3102)</f>
        <v>0</v>
      </c>
      <c r="N3075" s="1476">
        <f>SUMIF($E$3047:$E$3102,$G3075,N$3047:N$3102)</f>
        <v>0</v>
      </c>
      <c r="O3075" s="1476">
        <f>SUMIF($E$3047:$E$3102,$G3075,O$3047:O$3102)</f>
        <v>0</v>
      </c>
      <c r="P3075" s="1477">
        <f>SUMIF($E$3047:$E$3102,$G3075,P$3047:P$3102)</f>
        <v>2080605.85</v>
      </c>
      <c r="S3075" s="364"/>
      <c r="Z3075" s="609" t="s">
        <v>1246</v>
      </c>
      <c r="AA3075" s="609" t="s">
        <v>3720</v>
      </c>
    </row>
    <row r="3076" spans="1:27" ht="18">
      <c r="A3076" s="2714"/>
      <c r="B3076" s="371">
        <v>103</v>
      </c>
      <c r="C3076" s="371"/>
      <c r="D3076" s="2716">
        <f t="shared" si="364"/>
        <v>1</v>
      </c>
      <c r="E3076" s="2721" t="s">
        <v>41</v>
      </c>
      <c r="F3076" s="294"/>
      <c r="G3076" s="308" t="s">
        <v>3581</v>
      </c>
      <c r="H3076" s="309"/>
      <c r="I3076" s="1465">
        <v>0</v>
      </c>
      <c r="J3076" s="1465">
        <v>0</v>
      </c>
      <c r="K3076" s="1465">
        <v>0</v>
      </c>
      <c r="L3076" s="309"/>
      <c r="M3076" s="309"/>
      <c r="N3076" s="320"/>
      <c r="O3076" s="309"/>
      <c r="P3076" s="1477"/>
      <c r="S3076" s="364"/>
      <c r="Z3076" s="609" t="s">
        <v>1246</v>
      </c>
      <c r="AA3076" s="609" t="s">
        <v>3720</v>
      </c>
    </row>
    <row r="3077" spans="1:27" ht="18">
      <c r="A3077" s="2714"/>
      <c r="B3077" s="371">
        <v>103.001</v>
      </c>
      <c r="C3077" s="371"/>
      <c r="D3077" s="2716">
        <f t="shared" si="364"/>
        <v>1</v>
      </c>
      <c r="E3077" s="2721" t="s">
        <v>3097</v>
      </c>
      <c r="F3077" s="294"/>
      <c r="G3077" s="1485" t="str">
        <f>G$3049&amp;"  "</f>
        <v xml:space="preserve">土地使用权  </v>
      </c>
      <c r="H3077" s="309"/>
      <c r="I3077" s="1465">
        <v>0</v>
      </c>
      <c r="J3077" s="1465">
        <v>0</v>
      </c>
      <c r="K3077" s="1465">
        <v>0</v>
      </c>
      <c r="L3077" s="309"/>
      <c r="M3077" s="309"/>
      <c r="N3077" s="320"/>
      <c r="O3077" s="309"/>
      <c r="P3077" s="1477">
        <f t="shared" si="366"/>
        <v>0</v>
      </c>
      <c r="S3077" s="364"/>
      <c r="Z3077" s="609" t="s">
        <v>1246</v>
      </c>
      <c r="AA3077" s="609" t="s">
        <v>3720</v>
      </c>
    </row>
    <row r="3078" spans="1:27" ht="18">
      <c r="A3078" s="2714"/>
      <c r="B3078" s="371">
        <v>103.002</v>
      </c>
      <c r="C3078" s="371"/>
      <c r="D3078" s="2716">
        <f t="shared" si="364"/>
        <v>1</v>
      </c>
      <c r="E3078" s="2721" t="s">
        <v>3097</v>
      </c>
      <c r="F3078" s="294"/>
      <c r="G3078" s="1485" t="str">
        <f>G$3050&amp;"  "</f>
        <v xml:space="preserve">专利权  </v>
      </c>
      <c r="H3078" s="309"/>
      <c r="I3078" s="1465">
        <v>0</v>
      </c>
      <c r="J3078" s="1465">
        <v>0</v>
      </c>
      <c r="K3078" s="1465">
        <v>0</v>
      </c>
      <c r="L3078" s="309"/>
      <c r="M3078" s="309"/>
      <c r="N3078" s="320"/>
      <c r="O3078" s="309"/>
      <c r="P3078" s="1477">
        <f t="shared" si="366"/>
        <v>0</v>
      </c>
      <c r="S3078" s="364"/>
      <c r="Z3078" s="609" t="s">
        <v>1246</v>
      </c>
      <c r="AA3078" s="609" t="s">
        <v>3720</v>
      </c>
    </row>
    <row r="3079" spans="1:27" ht="18">
      <c r="A3079" s="2714"/>
      <c r="B3079" s="371">
        <v>103.003</v>
      </c>
      <c r="C3079" s="371"/>
      <c r="D3079" s="2716">
        <f t="shared" si="364"/>
        <v>1</v>
      </c>
      <c r="E3079" s="2721" t="s">
        <v>3097</v>
      </c>
      <c r="F3079" s="294"/>
      <c r="G3079" s="1485" t="str">
        <f>G$3051&amp;"  "</f>
        <v xml:space="preserve">非专利技术  </v>
      </c>
      <c r="H3079" s="309"/>
      <c r="I3079" s="1465">
        <v>0</v>
      </c>
      <c r="J3079" s="1465">
        <v>0</v>
      </c>
      <c r="K3079" s="1465">
        <v>0</v>
      </c>
      <c r="L3079" s="309"/>
      <c r="M3079" s="309"/>
      <c r="N3079" s="320"/>
      <c r="O3079" s="309"/>
      <c r="P3079" s="1477">
        <f t="shared" si="366"/>
        <v>0</v>
      </c>
      <c r="S3079" s="364"/>
      <c r="Z3079" s="609" t="s">
        <v>1246</v>
      </c>
      <c r="AA3079" s="609" t="s">
        <v>3720</v>
      </c>
    </row>
    <row r="3080" spans="1:27" ht="18">
      <c r="A3080" s="2714"/>
      <c r="B3080" s="371">
        <v>103.004</v>
      </c>
      <c r="C3080" s="371" t="s">
        <v>2791</v>
      </c>
      <c r="D3080" s="2716">
        <f t="shared" ref="D3080:D3103" si="367">IF(OR(G3080="*",G3080="",G3080=0),0,COUNTIF($G$3048:$G$3103,G3080))</f>
        <v>1</v>
      </c>
      <c r="E3080" s="2721" t="s">
        <v>3097</v>
      </c>
      <c r="F3080" s="294"/>
      <c r="G3080" s="1485" t="str">
        <f>G$3052&amp;"  "</f>
        <v xml:space="preserve">计算机软件  </v>
      </c>
      <c r="H3080" s="309"/>
      <c r="I3080" s="1465">
        <v>0</v>
      </c>
      <c r="J3080" s="1465">
        <v>0</v>
      </c>
      <c r="K3080" s="1465">
        <v>0</v>
      </c>
      <c r="L3080" s="309"/>
      <c r="M3080" s="309"/>
      <c r="N3080" s="320"/>
      <c r="O3080" s="309"/>
      <c r="P3080" s="1477">
        <f t="shared" si="366"/>
        <v>0</v>
      </c>
      <c r="S3080" s="364"/>
      <c r="Z3080" s="609" t="s">
        <v>1246</v>
      </c>
      <c r="AA3080" s="609" t="s">
        <v>3720</v>
      </c>
    </row>
    <row r="3081" spans="1:27" ht="18">
      <c r="A3081" s="2714"/>
      <c r="B3081" s="371">
        <v>103.005</v>
      </c>
      <c r="C3081" s="371" t="s">
        <v>2791</v>
      </c>
      <c r="D3081" s="2716">
        <f t="shared" si="367"/>
        <v>1</v>
      </c>
      <c r="E3081" s="2721" t="s">
        <v>3097</v>
      </c>
      <c r="F3081" s="294"/>
      <c r="G3081" s="1485" t="str">
        <f>G$3053&amp;"  "</f>
        <v xml:space="preserve">*5（在原值处修改清除）  </v>
      </c>
      <c r="H3081" s="309"/>
      <c r="I3081" s="1465">
        <v>0</v>
      </c>
      <c r="J3081" s="1465">
        <v>0</v>
      </c>
      <c r="K3081" s="1465">
        <v>0</v>
      </c>
      <c r="L3081" s="309"/>
      <c r="M3081" s="309"/>
      <c r="N3081" s="320"/>
      <c r="O3081" s="309"/>
      <c r="P3081" s="1477">
        <f t="shared" si="366"/>
        <v>0</v>
      </c>
      <c r="S3081" s="364"/>
      <c r="Z3081" s="609" t="s">
        <v>1246</v>
      </c>
      <c r="AA3081" s="609" t="s">
        <v>3720</v>
      </c>
    </row>
    <row r="3082" spans="1:27" ht="18">
      <c r="A3082" s="2714"/>
      <c r="B3082" s="371">
        <v>103.006</v>
      </c>
      <c r="C3082" s="371" t="s">
        <v>2791</v>
      </c>
      <c r="D3082" s="2716">
        <f t="shared" si="367"/>
        <v>1</v>
      </c>
      <c r="E3082" s="2721" t="s">
        <v>3097</v>
      </c>
      <c r="F3082" s="294"/>
      <c r="G3082" s="1485" t="str">
        <f>G$3054&amp;"  "</f>
        <v xml:space="preserve">*6（在原值处修改清除）  </v>
      </c>
      <c r="H3082" s="309"/>
      <c r="I3082" s="1465">
        <v>0</v>
      </c>
      <c r="J3082" s="1465">
        <v>0</v>
      </c>
      <c r="K3082" s="1465">
        <v>0</v>
      </c>
      <c r="L3082" s="309"/>
      <c r="M3082" s="309"/>
      <c r="N3082" s="320"/>
      <c r="O3082" s="309"/>
      <c r="P3082" s="1477">
        <f t="shared" si="366"/>
        <v>0</v>
      </c>
      <c r="S3082" s="364"/>
      <c r="Z3082" s="609" t="s">
        <v>1246</v>
      </c>
      <c r="AA3082" s="609" t="s">
        <v>3720</v>
      </c>
    </row>
    <row r="3083" spans="1:27" ht="18">
      <c r="A3083" s="2714"/>
      <c r="B3083" s="371">
        <v>103.00700000000001</v>
      </c>
      <c r="C3083" s="371" t="s">
        <v>2791</v>
      </c>
      <c r="D3083" s="2716">
        <f t="shared" si="367"/>
        <v>1</v>
      </c>
      <c r="E3083" s="2721" t="s">
        <v>3097</v>
      </c>
      <c r="F3083" s="294"/>
      <c r="G3083" s="1485" t="str">
        <f>G$3055&amp;"  "</f>
        <v xml:space="preserve">*7（在原值处修改清除）  </v>
      </c>
      <c r="H3083" s="309"/>
      <c r="I3083" s="1465">
        <v>0</v>
      </c>
      <c r="J3083" s="1465">
        <v>0</v>
      </c>
      <c r="K3083" s="1465">
        <v>0</v>
      </c>
      <c r="L3083" s="309"/>
      <c r="M3083" s="309"/>
      <c r="N3083" s="320"/>
      <c r="O3083" s="309"/>
      <c r="P3083" s="1477">
        <f t="shared" si="366"/>
        <v>0</v>
      </c>
      <c r="S3083" s="364"/>
      <c r="Z3083" s="609" t="s">
        <v>1246</v>
      </c>
      <c r="AA3083" s="609" t="s">
        <v>3720</v>
      </c>
    </row>
    <row r="3084" spans="1:27" ht="18">
      <c r="A3084" s="2714"/>
      <c r="B3084" s="371">
        <v>103.008</v>
      </c>
      <c r="C3084" s="371" t="s">
        <v>2791</v>
      </c>
      <c r="D3084" s="2716">
        <f t="shared" si="367"/>
        <v>1</v>
      </c>
      <c r="E3084" s="2721" t="s">
        <v>3097</v>
      </c>
      <c r="F3084" s="294"/>
      <c r="G3084" s="1485" t="str">
        <f>G$3056&amp;"  "</f>
        <v xml:space="preserve">*8（在原值处修改清除）  </v>
      </c>
      <c r="H3084" s="309"/>
      <c r="I3084" s="1465">
        <v>0</v>
      </c>
      <c r="J3084" s="1465">
        <v>0</v>
      </c>
      <c r="K3084" s="1465">
        <v>0</v>
      </c>
      <c r="L3084" s="309"/>
      <c r="M3084" s="309"/>
      <c r="N3084" s="320"/>
      <c r="O3084" s="309"/>
      <c r="P3084" s="1477">
        <f t="shared" si="366"/>
        <v>0</v>
      </c>
      <c r="S3084" s="364"/>
      <c r="Z3084" s="609" t="s">
        <v>1246</v>
      </c>
      <c r="AA3084" s="609" t="s">
        <v>3720</v>
      </c>
    </row>
    <row r="3085" spans="1:27" ht="18">
      <c r="A3085" s="2714"/>
      <c r="B3085" s="371">
        <v>103.009</v>
      </c>
      <c r="C3085" s="371" t="s">
        <v>2791</v>
      </c>
      <c r="D3085" s="2716">
        <f t="shared" si="367"/>
        <v>1</v>
      </c>
      <c r="E3085" s="2721" t="s">
        <v>3097</v>
      </c>
      <c r="F3085" s="294"/>
      <c r="G3085" s="1485" t="str">
        <f>G$3057&amp;"  "</f>
        <v xml:space="preserve">*9（在原值处修改清除）  </v>
      </c>
      <c r="H3085" s="309"/>
      <c r="I3085" s="1465">
        <v>0</v>
      </c>
      <c r="J3085" s="1465">
        <v>0</v>
      </c>
      <c r="K3085" s="1465">
        <v>0</v>
      </c>
      <c r="L3085" s="309"/>
      <c r="M3085" s="309"/>
      <c r="N3085" s="320"/>
      <c r="O3085" s="309"/>
      <c r="P3085" s="1477">
        <f t="shared" si="366"/>
        <v>0</v>
      </c>
      <c r="S3085" s="364"/>
      <c r="Z3085" s="609" t="s">
        <v>1246</v>
      </c>
      <c r="AA3085" s="609" t="s">
        <v>3720</v>
      </c>
    </row>
    <row r="3086" spans="1:27" ht="18">
      <c r="A3086" s="2714"/>
      <c r="B3086" s="371">
        <v>103.01</v>
      </c>
      <c r="C3086" s="371" t="s">
        <v>2791</v>
      </c>
      <c r="D3086" s="2716">
        <f t="shared" si="367"/>
        <v>1</v>
      </c>
      <c r="E3086" s="2721" t="s">
        <v>3097</v>
      </c>
      <c r="F3086" s="294"/>
      <c r="G3086" s="1485" t="str">
        <f>G$3058&amp;"  "</f>
        <v xml:space="preserve">*10（在原值处修改清除）  </v>
      </c>
      <c r="H3086" s="309"/>
      <c r="I3086" s="1465">
        <v>0</v>
      </c>
      <c r="J3086" s="1465">
        <v>0</v>
      </c>
      <c r="K3086" s="1465">
        <v>0</v>
      </c>
      <c r="L3086" s="309"/>
      <c r="M3086" s="309"/>
      <c r="N3086" s="320"/>
      <c r="O3086" s="309"/>
      <c r="P3086" s="1477">
        <f t="shared" si="366"/>
        <v>0</v>
      </c>
      <c r="S3086" s="364"/>
      <c r="Z3086" s="609" t="s">
        <v>1246</v>
      </c>
      <c r="AA3086" s="609" t="s">
        <v>3720</v>
      </c>
    </row>
    <row r="3087" spans="1:27" ht="18">
      <c r="A3087" s="2714"/>
      <c r="B3087" s="371">
        <v>103.011</v>
      </c>
      <c r="C3087" s="371" t="s">
        <v>2791</v>
      </c>
      <c r="D3087" s="2716">
        <f t="shared" si="367"/>
        <v>1</v>
      </c>
      <c r="E3087" s="2721" t="s">
        <v>3097</v>
      </c>
      <c r="F3087" s="294"/>
      <c r="G3087" s="1485" t="str">
        <f>G$3059&amp;"  "</f>
        <v xml:space="preserve">*11（在原值处修改清除）  </v>
      </c>
      <c r="H3087" s="309"/>
      <c r="I3087" s="1465">
        <v>0</v>
      </c>
      <c r="J3087" s="1465">
        <v>0</v>
      </c>
      <c r="K3087" s="1465">
        <v>0</v>
      </c>
      <c r="L3087" s="309"/>
      <c r="M3087" s="309"/>
      <c r="N3087" s="320"/>
      <c r="O3087" s="309"/>
      <c r="P3087" s="1477">
        <f t="shared" si="366"/>
        <v>0</v>
      </c>
      <c r="S3087" s="364"/>
      <c r="Z3087" s="609" t="s">
        <v>1246</v>
      </c>
      <c r="AA3087" s="609" t="s">
        <v>3720</v>
      </c>
    </row>
    <row r="3088" spans="1:27" ht="18">
      <c r="A3088" s="2714"/>
      <c r="B3088" s="371">
        <v>103.012</v>
      </c>
      <c r="C3088" s="371" t="s">
        <v>2791</v>
      </c>
      <c r="D3088" s="2716">
        <f t="shared" si="367"/>
        <v>1</v>
      </c>
      <c r="E3088" s="2721" t="s">
        <v>3097</v>
      </c>
      <c r="F3088" s="294"/>
      <c r="G3088" s="1485" t="str">
        <f>G$3060&amp;"  "</f>
        <v xml:space="preserve">*12（在原值处修改清除）  </v>
      </c>
      <c r="H3088" s="309"/>
      <c r="I3088" s="1465">
        <v>0</v>
      </c>
      <c r="J3088" s="1465">
        <v>0</v>
      </c>
      <c r="K3088" s="1465">
        <v>0</v>
      </c>
      <c r="L3088" s="309"/>
      <c r="M3088" s="309"/>
      <c r="N3088" s="320"/>
      <c r="O3088" s="309"/>
      <c r="P3088" s="1477">
        <f t="shared" si="366"/>
        <v>0</v>
      </c>
      <c r="S3088" s="364"/>
      <c r="Z3088" s="609" t="s">
        <v>1246</v>
      </c>
      <c r="AA3088" s="609" t="s">
        <v>3720</v>
      </c>
    </row>
    <row r="3089" spans="1:29" ht="18">
      <c r="A3089" s="2714"/>
      <c r="B3089" s="371">
        <v>103.999</v>
      </c>
      <c r="C3089" s="371" t="s">
        <v>2793</v>
      </c>
      <c r="D3089" s="2716">
        <f t="shared" si="367"/>
        <v>1</v>
      </c>
      <c r="E3089" s="2721">
        <v>-1</v>
      </c>
      <c r="F3089" s="294"/>
      <c r="G3089" s="308" t="s">
        <v>5185</v>
      </c>
      <c r="H3089" s="1476">
        <f>SUMIF($E$3047:$E$3102,$G3089,H$3047:H$3102)</f>
        <v>0</v>
      </c>
      <c r="I3089" s="1483">
        <v>0</v>
      </c>
      <c r="J3089" s="1483">
        <v>0</v>
      </c>
      <c r="K3089" s="1483">
        <v>0</v>
      </c>
      <c r="L3089" s="1476">
        <f>SUMIF($E$3047:$E$3102,$G3089,L$3047:L$3102)</f>
        <v>0</v>
      </c>
      <c r="M3089" s="1476">
        <f>SUMIF($E$3047:$E$3102,$G3089,M$3047:M$3102)</f>
        <v>0</v>
      </c>
      <c r="N3089" s="1476">
        <f>SUMIF($E$3047:$E$3102,$G3089,N$3047:N$3102)</f>
        <v>0</v>
      </c>
      <c r="O3089" s="1476">
        <f>SUMIF($E$3047:$E$3102,$G3089,O$3047:O$3102)</f>
        <v>0</v>
      </c>
      <c r="P3089" s="1477">
        <f>SUMIF($E$3047:$E$3102,$G3089,P$3047:P$3102)</f>
        <v>0</v>
      </c>
      <c r="Q3089" s="1598" t="str">
        <f ca="1">HYPERLINK("#'"&amp;$G$1&amp;"'!"&amp;ADDRESS(ROW(Notes!L4900),COLUMN(Notes!L4900),4),"* 请勿删除此行！点击往勾稽单元格，F5+Enter返回")</f>
        <v>* 请勿删除此行！点击往勾稽单元格，F5+Enter返回</v>
      </c>
      <c r="S3089" s="364"/>
      <c r="Z3089" s="609" t="s">
        <v>1246</v>
      </c>
      <c r="AA3089" s="609" t="s">
        <v>3720</v>
      </c>
      <c r="AC3089" s="369" t="s">
        <v>2794</v>
      </c>
    </row>
    <row r="3090" spans="1:29" ht="18">
      <c r="A3090" s="2714"/>
      <c r="B3090" s="371">
        <v>104</v>
      </c>
      <c r="C3090" s="371"/>
      <c r="D3090" s="2716">
        <f t="shared" si="367"/>
        <v>1</v>
      </c>
      <c r="E3090" s="2721" t="s">
        <v>41</v>
      </c>
      <c r="F3090" s="294"/>
      <c r="G3090" s="308" t="s">
        <v>3582</v>
      </c>
      <c r="H3090" s="309"/>
      <c r="I3090" s="1465">
        <v>0</v>
      </c>
      <c r="J3090" s="1465">
        <v>0</v>
      </c>
      <c r="K3090" s="1465">
        <v>0</v>
      </c>
      <c r="L3090" s="1465">
        <v>0</v>
      </c>
      <c r="M3090" s="1465">
        <v>0</v>
      </c>
      <c r="N3090" s="1487">
        <v>0</v>
      </c>
      <c r="O3090" s="1465">
        <v>0</v>
      </c>
      <c r="P3090" s="1477"/>
      <c r="S3090" s="364"/>
      <c r="Z3090" s="609" t="s">
        <v>1246</v>
      </c>
      <c r="AA3090" s="609" t="s">
        <v>3720</v>
      </c>
    </row>
    <row r="3091" spans="1:29" ht="18">
      <c r="A3091" s="2714"/>
      <c r="B3091" s="371">
        <v>105</v>
      </c>
      <c r="C3091" s="371"/>
      <c r="D3091" s="2716">
        <f t="shared" si="367"/>
        <v>1</v>
      </c>
      <c r="E3091" s="2721">
        <v>0</v>
      </c>
      <c r="F3091" s="294"/>
      <c r="G3091" s="1485" t="str">
        <f>G$3049&amp;"   "</f>
        <v xml:space="preserve">土地使用权   </v>
      </c>
      <c r="H3091" s="1476">
        <f>H3049-H3063-H3077</f>
        <v>1484215.57</v>
      </c>
      <c r="I3091" s="1465">
        <v>0</v>
      </c>
      <c r="J3091" s="1465">
        <v>0</v>
      </c>
      <c r="K3091" s="1465">
        <v>0</v>
      </c>
      <c r="L3091" s="1465">
        <v>0</v>
      </c>
      <c r="M3091" s="1465">
        <v>0</v>
      </c>
      <c r="N3091" s="1487">
        <v>0</v>
      </c>
      <c r="O3091" s="1465">
        <v>0</v>
      </c>
      <c r="P3091" s="1477">
        <f>P3049-P3063-P3077</f>
        <v>1439497.57</v>
      </c>
      <c r="S3091" s="364"/>
      <c r="Z3091" s="609" t="s">
        <v>1246</v>
      </c>
      <c r="AA3091" s="609" t="s">
        <v>3720</v>
      </c>
    </row>
    <row r="3092" spans="1:29" ht="18">
      <c r="A3092" s="2714"/>
      <c r="B3092" s="371">
        <v>106</v>
      </c>
      <c r="C3092" s="371"/>
      <c r="D3092" s="2716">
        <f t="shared" si="367"/>
        <v>1</v>
      </c>
      <c r="E3092" s="2721">
        <v>0</v>
      </c>
      <c r="F3092" s="294"/>
      <c r="G3092" s="1485" t="str">
        <f>G$3050&amp;"   "</f>
        <v xml:space="preserve">专利权   </v>
      </c>
      <c r="H3092" s="1476">
        <f t="shared" ref="H3092:H3102" si="368">H3050-H3064-H3078</f>
        <v>147238.06</v>
      </c>
      <c r="I3092" s="1465">
        <v>0</v>
      </c>
      <c r="J3092" s="1465">
        <v>0</v>
      </c>
      <c r="K3092" s="1465">
        <v>0</v>
      </c>
      <c r="L3092" s="1465">
        <v>0</v>
      </c>
      <c r="M3092" s="1465">
        <v>0</v>
      </c>
      <c r="N3092" s="1487">
        <v>0</v>
      </c>
      <c r="O3092" s="1465">
        <v>0</v>
      </c>
      <c r="P3092" s="1477">
        <f t="shared" ref="P3092:P3102" si="369">P3050-P3064-P3078</f>
        <v>363277.11</v>
      </c>
      <c r="S3092" s="364"/>
      <c r="Z3092" s="609" t="s">
        <v>1246</v>
      </c>
      <c r="AA3092" s="609" t="s">
        <v>3720</v>
      </c>
    </row>
    <row r="3093" spans="1:29" ht="18">
      <c r="A3093" s="2714"/>
      <c r="B3093" s="371">
        <v>107</v>
      </c>
      <c r="C3093" s="371"/>
      <c r="D3093" s="2716">
        <f t="shared" si="367"/>
        <v>1</v>
      </c>
      <c r="E3093" s="2721">
        <v>0</v>
      </c>
      <c r="F3093" s="294"/>
      <c r="G3093" s="1485" t="str">
        <f>G$3051&amp;"   "</f>
        <v xml:space="preserve">非专利技术   </v>
      </c>
      <c r="H3093" s="1476">
        <f t="shared" si="368"/>
        <v>106871.26</v>
      </c>
      <c r="I3093" s="1465">
        <v>0</v>
      </c>
      <c r="J3093" s="1465">
        <v>0</v>
      </c>
      <c r="K3093" s="1465">
        <v>0</v>
      </c>
      <c r="L3093" s="1465">
        <v>0</v>
      </c>
      <c r="M3093" s="1465">
        <v>0</v>
      </c>
      <c r="N3093" s="1487">
        <v>0</v>
      </c>
      <c r="O3093" s="1465">
        <v>0</v>
      </c>
      <c r="P3093" s="1477">
        <f t="shared" si="369"/>
        <v>85512.22</v>
      </c>
      <c r="S3093" s="364"/>
      <c r="Z3093" s="609" t="s">
        <v>1246</v>
      </c>
      <c r="AA3093" s="609" t="s">
        <v>3720</v>
      </c>
    </row>
    <row r="3094" spans="1:29" ht="18">
      <c r="A3094" s="2714"/>
      <c r="B3094" s="371">
        <v>108</v>
      </c>
      <c r="C3094" s="371" t="s">
        <v>2791</v>
      </c>
      <c r="D3094" s="2716">
        <f t="shared" si="367"/>
        <v>1</v>
      </c>
      <c r="E3094" s="2721">
        <v>0</v>
      </c>
      <c r="F3094" s="294"/>
      <c r="G3094" s="1485" t="str">
        <f>G$3052&amp;"   "</f>
        <v xml:space="preserve">计算机软件   </v>
      </c>
      <c r="H3094" s="1476">
        <f t="shared" si="368"/>
        <v>81946.62</v>
      </c>
      <c r="I3094" s="1465">
        <v>0</v>
      </c>
      <c r="J3094" s="1465">
        <v>0</v>
      </c>
      <c r="K3094" s="1465">
        <v>0</v>
      </c>
      <c r="L3094" s="1465">
        <v>0</v>
      </c>
      <c r="M3094" s="1465">
        <v>0</v>
      </c>
      <c r="N3094" s="1487">
        <v>0</v>
      </c>
      <c r="O3094" s="1465">
        <v>0</v>
      </c>
      <c r="P3094" s="1477">
        <f t="shared" si="369"/>
        <v>63320.959999999999</v>
      </c>
      <c r="S3094" s="364"/>
      <c r="Z3094" s="609" t="s">
        <v>1246</v>
      </c>
      <c r="AA3094" s="609" t="s">
        <v>3720</v>
      </c>
    </row>
    <row r="3095" spans="1:29" ht="18">
      <c r="A3095" s="2714"/>
      <c r="B3095" s="371">
        <v>109</v>
      </c>
      <c r="C3095" s="371" t="s">
        <v>2791</v>
      </c>
      <c r="D3095" s="2716">
        <f t="shared" si="367"/>
        <v>1</v>
      </c>
      <c r="E3095" s="2721">
        <v>0</v>
      </c>
      <c r="F3095" s="294"/>
      <c r="G3095" s="1485" t="str">
        <f>G$3053&amp;"   "</f>
        <v xml:space="preserve">*5（在原值处修改清除）   </v>
      </c>
      <c r="H3095" s="1476">
        <f t="shared" si="368"/>
        <v>0</v>
      </c>
      <c r="I3095" s="1465">
        <v>0</v>
      </c>
      <c r="J3095" s="1465">
        <v>0</v>
      </c>
      <c r="K3095" s="1465">
        <v>0</v>
      </c>
      <c r="L3095" s="1465">
        <v>0</v>
      </c>
      <c r="M3095" s="1465">
        <v>0</v>
      </c>
      <c r="N3095" s="1487">
        <v>0</v>
      </c>
      <c r="O3095" s="1465">
        <v>0</v>
      </c>
      <c r="P3095" s="1477">
        <f t="shared" si="369"/>
        <v>0</v>
      </c>
      <c r="S3095" s="364"/>
      <c r="Z3095" s="609" t="s">
        <v>1246</v>
      </c>
      <c r="AA3095" s="609" t="s">
        <v>3720</v>
      </c>
    </row>
    <row r="3096" spans="1:29" ht="18">
      <c r="A3096" s="2714"/>
      <c r="B3096" s="371">
        <v>110</v>
      </c>
      <c r="C3096" s="371" t="s">
        <v>2791</v>
      </c>
      <c r="D3096" s="2716">
        <f t="shared" si="367"/>
        <v>1</v>
      </c>
      <c r="E3096" s="2721">
        <v>0</v>
      </c>
      <c r="F3096" s="294"/>
      <c r="G3096" s="1485" t="str">
        <f>G$3054&amp;"   "</f>
        <v xml:space="preserve">*6（在原值处修改清除）   </v>
      </c>
      <c r="H3096" s="1476">
        <f t="shared" si="368"/>
        <v>0</v>
      </c>
      <c r="I3096" s="1465">
        <v>0</v>
      </c>
      <c r="J3096" s="1465">
        <v>0</v>
      </c>
      <c r="K3096" s="1465">
        <v>0</v>
      </c>
      <c r="L3096" s="1465">
        <v>0</v>
      </c>
      <c r="M3096" s="1465">
        <v>0</v>
      </c>
      <c r="N3096" s="1487">
        <v>0</v>
      </c>
      <c r="O3096" s="1465">
        <v>0</v>
      </c>
      <c r="P3096" s="1477">
        <f t="shared" si="369"/>
        <v>0</v>
      </c>
      <c r="S3096" s="364"/>
      <c r="Z3096" s="609" t="s">
        <v>1246</v>
      </c>
      <c r="AA3096" s="609" t="s">
        <v>3720</v>
      </c>
    </row>
    <row r="3097" spans="1:29" ht="18">
      <c r="A3097" s="2714"/>
      <c r="B3097" s="371">
        <v>111</v>
      </c>
      <c r="C3097" s="371" t="s">
        <v>2791</v>
      </c>
      <c r="D3097" s="2716">
        <f t="shared" si="367"/>
        <v>1</v>
      </c>
      <c r="E3097" s="2721">
        <v>0</v>
      </c>
      <c r="F3097" s="294"/>
      <c r="G3097" s="1485" t="str">
        <f>G$3055&amp;"   "</f>
        <v xml:space="preserve">*7（在原值处修改清除）   </v>
      </c>
      <c r="H3097" s="1476">
        <f t="shared" si="368"/>
        <v>0</v>
      </c>
      <c r="I3097" s="1465">
        <v>0</v>
      </c>
      <c r="J3097" s="1465">
        <v>0</v>
      </c>
      <c r="K3097" s="1465">
        <v>0</v>
      </c>
      <c r="L3097" s="1465">
        <v>0</v>
      </c>
      <c r="M3097" s="1465">
        <v>0</v>
      </c>
      <c r="N3097" s="1487">
        <v>0</v>
      </c>
      <c r="O3097" s="1465">
        <v>0</v>
      </c>
      <c r="P3097" s="1477">
        <f t="shared" si="369"/>
        <v>0</v>
      </c>
      <c r="S3097" s="364"/>
      <c r="Z3097" s="609" t="s">
        <v>1246</v>
      </c>
      <c r="AA3097" s="609" t="s">
        <v>3720</v>
      </c>
    </row>
    <row r="3098" spans="1:29" ht="18">
      <c r="A3098" s="2714"/>
      <c r="B3098" s="371">
        <v>112</v>
      </c>
      <c r="C3098" s="371" t="s">
        <v>2791</v>
      </c>
      <c r="D3098" s="2716">
        <f t="shared" si="367"/>
        <v>1</v>
      </c>
      <c r="E3098" s="2721">
        <v>0</v>
      </c>
      <c r="F3098" s="294"/>
      <c r="G3098" s="1485" t="str">
        <f>G$3056&amp;"   "</f>
        <v xml:space="preserve">*8（在原值处修改清除）   </v>
      </c>
      <c r="H3098" s="1476">
        <f t="shared" si="368"/>
        <v>0</v>
      </c>
      <c r="I3098" s="1465">
        <v>0</v>
      </c>
      <c r="J3098" s="1465">
        <v>0</v>
      </c>
      <c r="K3098" s="1465">
        <v>0</v>
      </c>
      <c r="L3098" s="1465">
        <v>0</v>
      </c>
      <c r="M3098" s="1465">
        <v>0</v>
      </c>
      <c r="N3098" s="1487">
        <v>0</v>
      </c>
      <c r="O3098" s="1465">
        <v>0</v>
      </c>
      <c r="P3098" s="1477">
        <f t="shared" si="369"/>
        <v>0</v>
      </c>
      <c r="S3098" s="364"/>
      <c r="Z3098" s="609" t="s">
        <v>1246</v>
      </c>
      <c r="AA3098" s="609" t="s">
        <v>3720</v>
      </c>
    </row>
    <row r="3099" spans="1:29" ht="18">
      <c r="A3099" s="2714"/>
      <c r="B3099" s="371">
        <v>113</v>
      </c>
      <c r="C3099" s="371" t="s">
        <v>2791</v>
      </c>
      <c r="D3099" s="2716">
        <f t="shared" si="367"/>
        <v>1</v>
      </c>
      <c r="E3099" s="2721">
        <v>0</v>
      </c>
      <c r="F3099" s="294"/>
      <c r="G3099" s="1485" t="str">
        <f>G$3057&amp;"   "</f>
        <v xml:space="preserve">*9（在原值处修改清除）   </v>
      </c>
      <c r="H3099" s="1476">
        <f t="shared" si="368"/>
        <v>0</v>
      </c>
      <c r="I3099" s="1465">
        <v>0</v>
      </c>
      <c r="J3099" s="1465">
        <v>0</v>
      </c>
      <c r="K3099" s="1465">
        <v>0</v>
      </c>
      <c r="L3099" s="1465">
        <v>0</v>
      </c>
      <c r="M3099" s="1465">
        <v>0</v>
      </c>
      <c r="N3099" s="1487">
        <v>0</v>
      </c>
      <c r="O3099" s="1465">
        <v>0</v>
      </c>
      <c r="P3099" s="1477">
        <f t="shared" si="369"/>
        <v>0</v>
      </c>
      <c r="S3099" s="364"/>
      <c r="Z3099" s="609" t="s">
        <v>1246</v>
      </c>
      <c r="AA3099" s="609" t="s">
        <v>3720</v>
      </c>
    </row>
    <row r="3100" spans="1:29" ht="18">
      <c r="A3100" s="2714"/>
      <c r="B3100" s="371">
        <v>114</v>
      </c>
      <c r="C3100" s="371" t="s">
        <v>2791</v>
      </c>
      <c r="D3100" s="2716">
        <f t="shared" si="367"/>
        <v>1</v>
      </c>
      <c r="E3100" s="2721">
        <v>0</v>
      </c>
      <c r="F3100" s="294"/>
      <c r="G3100" s="1485" t="str">
        <f>G$3058&amp;"   "</f>
        <v xml:space="preserve">*10（在原值处修改清除）   </v>
      </c>
      <c r="H3100" s="1476">
        <f t="shared" si="368"/>
        <v>0</v>
      </c>
      <c r="I3100" s="1465">
        <v>0</v>
      </c>
      <c r="J3100" s="1465">
        <v>0</v>
      </c>
      <c r="K3100" s="1465">
        <v>0</v>
      </c>
      <c r="L3100" s="1465">
        <v>0</v>
      </c>
      <c r="M3100" s="1465">
        <v>0</v>
      </c>
      <c r="N3100" s="1487">
        <v>0</v>
      </c>
      <c r="O3100" s="1465">
        <v>0</v>
      </c>
      <c r="P3100" s="1477">
        <f t="shared" si="369"/>
        <v>0</v>
      </c>
      <c r="S3100" s="364"/>
      <c r="Z3100" s="609" t="s">
        <v>1246</v>
      </c>
      <c r="AA3100" s="609" t="s">
        <v>3720</v>
      </c>
    </row>
    <row r="3101" spans="1:29" ht="18">
      <c r="A3101" s="2714"/>
      <c r="B3101" s="371">
        <v>115</v>
      </c>
      <c r="C3101" s="371" t="s">
        <v>2791</v>
      </c>
      <c r="D3101" s="2716">
        <f t="shared" si="367"/>
        <v>1</v>
      </c>
      <c r="E3101" s="2721">
        <v>0</v>
      </c>
      <c r="F3101" s="294"/>
      <c r="G3101" s="1485" t="str">
        <f>G$3059&amp;"   "</f>
        <v xml:space="preserve">*11（在原值处修改清除）   </v>
      </c>
      <c r="H3101" s="1476">
        <f t="shared" si="368"/>
        <v>0</v>
      </c>
      <c r="I3101" s="1465">
        <v>0</v>
      </c>
      <c r="J3101" s="1465">
        <v>0</v>
      </c>
      <c r="K3101" s="1465">
        <v>0</v>
      </c>
      <c r="L3101" s="1465">
        <v>0</v>
      </c>
      <c r="M3101" s="1465">
        <v>0</v>
      </c>
      <c r="N3101" s="1487">
        <v>0</v>
      </c>
      <c r="O3101" s="1465">
        <v>0</v>
      </c>
      <c r="P3101" s="1477">
        <f t="shared" si="369"/>
        <v>0</v>
      </c>
      <c r="S3101" s="364"/>
      <c r="Z3101" s="609" t="s">
        <v>1246</v>
      </c>
      <c r="AA3101" s="609" t="s">
        <v>3720</v>
      </c>
    </row>
    <row r="3102" spans="1:29" ht="18">
      <c r="A3102" s="2714"/>
      <c r="B3102" s="371">
        <v>116</v>
      </c>
      <c r="C3102" s="371" t="s">
        <v>2791</v>
      </c>
      <c r="D3102" s="2716">
        <f t="shared" si="367"/>
        <v>1</v>
      </c>
      <c r="E3102" s="2721">
        <v>0</v>
      </c>
      <c r="F3102" s="294"/>
      <c r="G3102" s="1485" t="str">
        <f>G$3060&amp;"   "</f>
        <v xml:space="preserve">*12（在原值处修改清除）   </v>
      </c>
      <c r="H3102" s="1476">
        <f t="shared" si="368"/>
        <v>0</v>
      </c>
      <c r="I3102" s="1465">
        <v>0</v>
      </c>
      <c r="J3102" s="1465">
        <v>0</v>
      </c>
      <c r="K3102" s="1465">
        <v>0</v>
      </c>
      <c r="L3102" s="1465">
        <v>0</v>
      </c>
      <c r="M3102" s="1465">
        <v>0</v>
      </c>
      <c r="N3102" s="1487">
        <v>0</v>
      </c>
      <c r="O3102" s="1465">
        <v>0</v>
      </c>
      <c r="P3102" s="1477">
        <f t="shared" si="369"/>
        <v>0</v>
      </c>
      <c r="S3102" s="364"/>
      <c r="Z3102" s="609" t="s">
        <v>1246</v>
      </c>
      <c r="AA3102" s="609" t="s">
        <v>3720</v>
      </c>
    </row>
    <row r="3103" spans="1:29" ht="18.75" thickBot="1">
      <c r="A3103" s="2714"/>
      <c r="B3103" s="371"/>
      <c r="C3103" s="371"/>
      <c r="D3103" s="2716">
        <f t="shared" si="367"/>
        <v>1</v>
      </c>
      <c r="E3103" s="2721" t="s">
        <v>3032</v>
      </c>
      <c r="F3103" s="294"/>
      <c r="G3103" s="2382" t="s">
        <v>5186</v>
      </c>
      <c r="H3103" s="1478">
        <f>SUMPRODUCT($E3047:$E3102,H3047:H3102)</f>
        <v>1820271.51</v>
      </c>
      <c r="I3103" s="2383">
        <v>0</v>
      </c>
      <c r="J3103" s="2383">
        <v>0</v>
      </c>
      <c r="K3103" s="2383">
        <v>0</v>
      </c>
      <c r="L3103" s="2383">
        <v>0</v>
      </c>
      <c r="M3103" s="2383">
        <v>0</v>
      </c>
      <c r="N3103" s="2383">
        <v>0</v>
      </c>
      <c r="O3103" s="2383">
        <v>0</v>
      </c>
      <c r="P3103" s="1479">
        <f>SUMPRODUCT($E3047:$E3102,P3047:P3102)</f>
        <v>1951607.86</v>
      </c>
      <c r="S3103" s="364"/>
      <c r="Z3103" s="609" t="s">
        <v>1246</v>
      </c>
      <c r="AA3103" s="609" t="s">
        <v>3720</v>
      </c>
    </row>
    <row r="3104" spans="1:29" ht="24.75" thickBot="1">
      <c r="A3104" s="2714"/>
      <c r="B3104" s="371">
        <v>901</v>
      </c>
      <c r="C3104" s="371"/>
      <c r="D3104" s="371"/>
      <c r="E3104" s="2716" t="s">
        <v>2753</v>
      </c>
      <c r="F3104" s="294"/>
      <c r="G3104" s="584" t="s">
        <v>3719</v>
      </c>
      <c r="H3104" s="585"/>
      <c r="I3104" s="432"/>
      <c r="J3104" s="425"/>
      <c r="K3104" s="426"/>
      <c r="L3104" s="427"/>
      <c r="M3104" s="425"/>
      <c r="N3104" s="426"/>
      <c r="O3104" s="427"/>
      <c r="P3104" s="425"/>
      <c r="S3104" s="364"/>
      <c r="Z3104" s="609" t="s">
        <v>1246</v>
      </c>
      <c r="AA3104" s="609" t="s">
        <v>3720</v>
      </c>
    </row>
    <row r="3105" spans="1:27" ht="18.75" thickBot="1">
      <c r="A3105" s="2714"/>
      <c r="B3105" s="371"/>
      <c r="C3105" s="371" t="s">
        <v>2755</v>
      </c>
      <c r="D3105" s="371"/>
      <c r="F3105" s="294"/>
      <c r="G3105" s="301"/>
      <c r="H3105" s="527" t="s">
        <v>3002</v>
      </c>
      <c r="I3105" s="315"/>
      <c r="J3105" s="315"/>
      <c r="K3105" s="315"/>
      <c r="L3105" s="315"/>
      <c r="M3105" s="315"/>
      <c r="N3105" s="315"/>
      <c r="O3105" s="315"/>
      <c r="P3105" s="527" t="s">
        <v>3002</v>
      </c>
      <c r="S3105" s="364"/>
      <c r="Z3105" s="609" t="s">
        <v>1246</v>
      </c>
      <c r="AA3105" s="609" t="s">
        <v>3720</v>
      </c>
    </row>
    <row r="3106" spans="1:27" ht="18.75" thickTop="1">
      <c r="A3106" s="2714"/>
      <c r="B3106" s="371"/>
      <c r="C3106" s="371" t="s">
        <v>2565</v>
      </c>
      <c r="D3106" s="371"/>
      <c r="F3106" s="294"/>
      <c r="G3106" s="1561" t="s">
        <v>5367</v>
      </c>
      <c r="H3106" s="1550"/>
      <c r="I3106" s="1551"/>
      <c r="J3106" s="1551"/>
      <c r="K3106" s="1551"/>
      <c r="L3106" s="1551"/>
      <c r="M3106" s="1551"/>
      <c r="N3106" s="1551"/>
      <c r="O3106" s="1551"/>
      <c r="P3106" s="1552"/>
      <c r="Q3106" s="1553" t="s">
        <v>5368</v>
      </c>
      <c r="S3106" s="364"/>
      <c r="Z3106" s="609" t="s">
        <v>1246</v>
      </c>
      <c r="AA3106" s="609" t="s">
        <v>3720</v>
      </c>
    </row>
    <row r="3107" spans="1:27" ht="18">
      <c r="A3107" s="2714"/>
      <c r="B3107" s="371"/>
      <c r="C3107" s="371" t="s">
        <v>2565</v>
      </c>
      <c r="D3107" s="371"/>
      <c r="F3107" s="294"/>
      <c r="G3107" s="316" t="str">
        <f>"本注释A:"&amp; "账面价值分类加计"</f>
        <v>本注释A:账面价值分类加计</v>
      </c>
      <c r="H3107" s="456">
        <f>SUM(H3091:H3102)</f>
        <v>1820271.51</v>
      </c>
      <c r="I3107" s="351"/>
      <c r="J3107" s="351"/>
      <c r="K3107" s="351"/>
      <c r="L3107" s="351"/>
      <c r="M3107" s="351"/>
      <c r="N3107" s="351"/>
      <c r="O3107" s="351"/>
      <c r="P3107" s="456">
        <f>SUM(P3091:P3102)</f>
        <v>1951607.86</v>
      </c>
      <c r="Q3107" s="495"/>
      <c r="S3107" s="364"/>
      <c r="Z3107" s="609" t="s">
        <v>1246</v>
      </c>
      <c r="AA3107" s="609" t="s">
        <v>3720</v>
      </c>
    </row>
    <row r="3108" spans="1:27" ht="18">
      <c r="A3108" s="2714"/>
      <c r="B3108" s="371"/>
      <c r="C3108" s="371" t="s">
        <v>2565</v>
      </c>
      <c r="D3108" s="371"/>
      <c r="F3108" s="294"/>
      <c r="G3108" s="316" t="str">
        <f>"本注释B:"&amp; G3103</f>
        <v>本注释B:账面价值</v>
      </c>
      <c r="H3108" s="456">
        <f>H3103</f>
        <v>1820271.51</v>
      </c>
      <c r="I3108" s="351"/>
      <c r="J3108" s="351"/>
      <c r="K3108" s="351"/>
      <c r="L3108" s="351"/>
      <c r="M3108" s="351"/>
      <c r="N3108" s="351"/>
      <c r="O3108" s="351"/>
      <c r="P3108" s="456">
        <f>P3103</f>
        <v>1951607.86</v>
      </c>
      <c r="Q3108" s="495" t="s">
        <v>1245</v>
      </c>
      <c r="S3108" s="364"/>
      <c r="Z3108" s="609" t="s">
        <v>1246</v>
      </c>
      <c r="AA3108" s="609" t="s">
        <v>3720</v>
      </c>
    </row>
    <row r="3109" spans="1:27" ht="18.75" thickBot="1">
      <c r="A3109" s="2714"/>
      <c r="B3109" s="371"/>
      <c r="C3109" s="371" t="s">
        <v>2565</v>
      </c>
      <c r="D3109" s="371"/>
      <c r="F3109" s="294"/>
      <c r="G3109" s="1562" t="s">
        <v>2757</v>
      </c>
      <c r="H3109" s="1531">
        <f>IF(AND(H3107="",H3108=""),"",ROUND(H3107-H3108,2))</f>
        <v>0</v>
      </c>
      <c r="I3109" s="1555"/>
      <c r="J3109" s="1555"/>
      <c r="K3109" s="1555"/>
      <c r="L3109" s="1555"/>
      <c r="M3109" s="1555"/>
      <c r="N3109" s="1555"/>
      <c r="O3109" s="1555"/>
      <c r="P3109" s="1531">
        <f>IF(AND(P3107="",P3108=""),"",ROUND(P3107-P3108,2))</f>
        <v>0</v>
      </c>
      <c r="Q3109" s="1555"/>
      <c r="S3109" s="364"/>
      <c r="Z3109" s="609" t="s">
        <v>1246</v>
      </c>
      <c r="AA3109" s="609" t="s">
        <v>3720</v>
      </c>
    </row>
    <row r="3110" spans="1:27" ht="18.75" thickTop="1">
      <c r="A3110" s="2714"/>
      <c r="B3110" s="371"/>
      <c r="C3110" s="371" t="s">
        <v>2565</v>
      </c>
      <c r="D3110" s="371"/>
      <c r="F3110" s="294"/>
      <c r="G3110" s="354"/>
      <c r="H3110" s="459" t="str">
        <f>IF(OR(H3109=0,H3109=""),"√","？")</f>
        <v>√</v>
      </c>
      <c r="I3110" s="317"/>
      <c r="J3110" s="317"/>
      <c r="K3110" s="317"/>
      <c r="L3110" s="317"/>
      <c r="M3110" s="317"/>
      <c r="N3110" s="317"/>
      <c r="O3110" s="317"/>
      <c r="P3110" s="459" t="str">
        <f>IF(OR(P3109=0,P3109=""),"√","？")</f>
        <v>√</v>
      </c>
      <c r="Q3110" s="1560"/>
      <c r="S3110" s="364"/>
      <c r="Z3110" s="609" t="s">
        <v>1246</v>
      </c>
      <c r="AA3110" s="609" t="s">
        <v>3720</v>
      </c>
    </row>
    <row r="3111" spans="1:27" ht="18">
      <c r="A3111" s="2714"/>
      <c r="B3111" s="371"/>
      <c r="C3111" s="371" t="s">
        <v>2565</v>
      </c>
      <c r="D3111" s="371"/>
      <c r="F3111" s="294"/>
      <c r="G3111" s="460" t="s">
        <v>2759</v>
      </c>
      <c r="H3111" s="461"/>
      <c r="I3111" s="317"/>
      <c r="J3111" s="317"/>
      <c r="K3111" s="352">
        <f>SUMIF($H$3110:$Q$3110,"&lt;&gt;√",$H$3109:$Q$3109)</f>
        <v>0</v>
      </c>
      <c r="L3111" s="353" t="str">
        <f>IF(OR(K3111=0,K3111=""),"√","？")</f>
        <v>√</v>
      </c>
      <c r="M3111" s="317"/>
      <c r="N3111" s="317"/>
      <c r="O3111" s="317"/>
      <c r="P3111" s="461"/>
      <c r="Q3111" s="1560"/>
      <c r="S3111" s="364"/>
      <c r="Z3111" s="609" t="s">
        <v>1246</v>
      </c>
      <c r="AA3111" s="609" t="s">
        <v>3720</v>
      </c>
    </row>
    <row r="3112" spans="1:27" ht="18">
      <c r="A3112" s="2714"/>
      <c r="B3112" s="371"/>
      <c r="C3112" s="371" t="s">
        <v>2565</v>
      </c>
      <c r="D3112" s="371"/>
      <c r="F3112" s="294"/>
      <c r="G3112" s="354"/>
      <c r="H3112" s="461"/>
      <c r="I3112" s="317"/>
      <c r="J3112" s="317"/>
      <c r="K3112" s="317"/>
      <c r="L3112" s="317"/>
      <c r="M3112" s="317"/>
      <c r="N3112" s="317"/>
      <c r="O3112" s="317"/>
      <c r="P3112" s="461"/>
      <c r="Q3112" s="1560"/>
      <c r="S3112" s="364"/>
      <c r="Z3112" s="609" t="s">
        <v>1246</v>
      </c>
      <c r="AA3112" s="609" t="s">
        <v>3720</v>
      </c>
    </row>
    <row r="3113" spans="1:27" ht="24">
      <c r="A3113" s="2714" t="s">
        <v>1264</v>
      </c>
      <c r="B3113" s="371">
        <v>2</v>
      </c>
      <c r="C3113" s="371"/>
      <c r="D3113" s="2716" t="str">
        <f>VLOOKUP($A3113,Sheet_NoteList,2,0)</f>
        <v>未办妥产权证书的土地使用权情况</v>
      </c>
      <c r="E3113" s="2716" t="s">
        <v>2742</v>
      </c>
      <c r="F3113" s="293"/>
      <c r="G3113" s="372" t="str">
        <f>"("&amp;B3113&amp;")"&amp;D3113</f>
        <v>(2)未办妥产权证书的土地使用权情况</v>
      </c>
      <c r="H3113" s="1517" t="str">
        <f>$A3113</f>
        <v>1701f</v>
      </c>
      <c r="I3113" s="343" t="s">
        <v>2743</v>
      </c>
      <c r="J3113" s="301" t="s">
        <v>2744</v>
      </c>
      <c r="K3113" s="2210">
        <f>H3124</f>
        <v>0</v>
      </c>
      <c r="L3113" s="349"/>
      <c r="M3113" s="301"/>
      <c r="N3113" s="391"/>
      <c r="O3113" s="349"/>
      <c r="P3113" s="301"/>
      <c r="S3113" s="364"/>
      <c r="Z3113" s="609" t="s">
        <v>1246</v>
      </c>
      <c r="AA3113" s="609" t="s">
        <v>3720</v>
      </c>
    </row>
    <row r="3114" spans="1:27" ht="0.75" customHeight="1" thickBot="1">
      <c r="A3114" s="2714"/>
      <c r="B3114" s="371"/>
      <c r="C3114" s="371"/>
      <c r="D3114" s="2716"/>
      <c r="E3114" s="586"/>
      <c r="F3114" s="586"/>
      <c r="G3114" s="2224" t="s">
        <v>3721</v>
      </c>
      <c r="H3114" s="371" t="s">
        <v>2747</v>
      </c>
      <c r="I3114" s="371" t="s">
        <v>2821</v>
      </c>
      <c r="J3114" s="433"/>
      <c r="K3114" s="428"/>
      <c r="L3114" s="428"/>
      <c r="M3114" s="433"/>
      <c r="N3114" s="428"/>
      <c r="O3114" s="428"/>
      <c r="P3114" s="433"/>
      <c r="Q3114" s="442"/>
      <c r="R3114" s="443"/>
      <c r="S3114" s="364"/>
      <c r="Z3114" s="609" t="s">
        <v>1246</v>
      </c>
      <c r="AA3114" s="609" t="s">
        <v>3720</v>
      </c>
    </row>
    <row r="3115" spans="1:27" ht="24">
      <c r="A3115" s="2714"/>
      <c r="B3115" s="371"/>
      <c r="C3115" s="371"/>
      <c r="D3115" s="2716"/>
      <c r="E3115" s="586" t="s">
        <v>2749</v>
      </c>
      <c r="F3115" s="414"/>
      <c r="G3115" s="2361" t="s">
        <v>2870</v>
      </c>
      <c r="H3115" s="2366" t="s">
        <v>2863</v>
      </c>
      <c r="I3115" s="2367" t="s">
        <v>3635</v>
      </c>
      <c r="J3115" s="355" t="s">
        <v>5292</v>
      </c>
      <c r="K3115" s="434"/>
      <c r="L3115" s="434"/>
      <c r="M3115" s="435"/>
      <c r="N3115" s="434"/>
      <c r="O3115" s="434"/>
      <c r="P3115" s="435"/>
      <c r="Q3115" s="442"/>
      <c r="R3115" s="443"/>
      <c r="S3115" s="364"/>
      <c r="Z3115" s="609" t="s">
        <v>1246</v>
      </c>
      <c r="AA3115" s="609" t="s">
        <v>3720</v>
      </c>
    </row>
    <row r="3116" spans="1:27" ht="18">
      <c r="A3116" s="2714"/>
      <c r="B3116" s="371">
        <v>101</v>
      </c>
      <c r="C3116" s="371" t="s">
        <v>2791</v>
      </c>
      <c r="D3116" s="2716">
        <f t="shared" ref="D3116:D3124" si="370">IF(OR(G3116="*",G3116="",G3116=0),0,COUNTIF($G$3116:$G$3124,G3116))</f>
        <v>0</v>
      </c>
      <c r="E3116" s="2721">
        <v>1</v>
      </c>
      <c r="F3116" s="293"/>
      <c r="G3116" s="2375" t="s">
        <v>2792</v>
      </c>
      <c r="H3116" s="2275"/>
      <c r="I3116" s="2276"/>
      <c r="J3116" s="438"/>
      <c r="K3116" s="439"/>
      <c r="L3116" s="437"/>
      <c r="M3116" s="438"/>
      <c r="N3116" s="439"/>
      <c r="O3116" s="437"/>
      <c r="P3116" s="438"/>
      <c r="Q3116" s="442"/>
      <c r="R3116" s="443"/>
      <c r="S3116" s="364"/>
      <c r="Z3116" s="609" t="s">
        <v>1246</v>
      </c>
      <c r="AA3116" s="609" t="s">
        <v>3720</v>
      </c>
    </row>
    <row r="3117" spans="1:27" ht="18">
      <c r="A3117" s="2714"/>
      <c r="B3117" s="371">
        <v>102</v>
      </c>
      <c r="C3117" s="371" t="s">
        <v>2791</v>
      </c>
      <c r="D3117" s="2716">
        <f t="shared" si="370"/>
        <v>0</v>
      </c>
      <c r="E3117" s="2721">
        <v>1</v>
      </c>
      <c r="F3117" s="293"/>
      <c r="G3117" s="2375" t="s">
        <v>2792</v>
      </c>
      <c r="H3117" s="2275"/>
      <c r="I3117" s="2276"/>
      <c r="J3117" s="438"/>
      <c r="K3117" s="439"/>
      <c r="L3117" s="437"/>
      <c r="M3117" s="438"/>
      <c r="N3117" s="439"/>
      <c r="O3117" s="437"/>
      <c r="P3117" s="438"/>
      <c r="Q3117" s="442"/>
      <c r="R3117" s="443"/>
      <c r="S3117" s="364"/>
      <c r="Z3117" s="609" t="s">
        <v>1246</v>
      </c>
      <c r="AA3117" s="609" t="s">
        <v>3720</v>
      </c>
    </row>
    <row r="3118" spans="1:27" ht="18">
      <c r="A3118" s="2714"/>
      <c r="B3118" s="371">
        <v>103</v>
      </c>
      <c r="C3118" s="371" t="s">
        <v>2791</v>
      </c>
      <c r="D3118" s="2716">
        <f t="shared" si="370"/>
        <v>0</v>
      </c>
      <c r="E3118" s="2721">
        <v>1</v>
      </c>
      <c r="F3118" s="293"/>
      <c r="G3118" s="2375" t="s">
        <v>2792</v>
      </c>
      <c r="H3118" s="2275"/>
      <c r="I3118" s="2276"/>
      <c r="J3118" s="438"/>
      <c r="K3118" s="439"/>
      <c r="L3118" s="437"/>
      <c r="M3118" s="438"/>
      <c r="N3118" s="439"/>
      <c r="O3118" s="437"/>
      <c r="P3118" s="438"/>
      <c r="Q3118" s="442"/>
      <c r="R3118" s="443"/>
      <c r="S3118" s="364"/>
      <c r="Z3118" s="609" t="s">
        <v>1246</v>
      </c>
      <c r="AA3118" s="609" t="s">
        <v>3720</v>
      </c>
    </row>
    <row r="3119" spans="1:27" ht="18">
      <c r="A3119" s="2714"/>
      <c r="B3119" s="371">
        <v>104</v>
      </c>
      <c r="C3119" s="371" t="s">
        <v>2791</v>
      </c>
      <c r="D3119" s="2716">
        <f t="shared" si="370"/>
        <v>0</v>
      </c>
      <c r="E3119" s="2721">
        <v>1</v>
      </c>
      <c r="F3119" s="293"/>
      <c r="G3119" s="2375" t="s">
        <v>2792</v>
      </c>
      <c r="H3119" s="2275"/>
      <c r="I3119" s="2276"/>
      <c r="J3119" s="438"/>
      <c r="K3119" s="439"/>
      <c r="L3119" s="437"/>
      <c r="M3119" s="438"/>
      <c r="N3119" s="439"/>
      <c r="O3119" s="437"/>
      <c r="P3119" s="438"/>
      <c r="Q3119" s="442"/>
      <c r="R3119" s="443"/>
      <c r="S3119" s="364"/>
      <c r="Z3119" s="609" t="s">
        <v>1246</v>
      </c>
      <c r="AA3119" s="609" t="s">
        <v>3720</v>
      </c>
    </row>
    <row r="3120" spans="1:27" ht="18">
      <c r="A3120" s="2714"/>
      <c r="B3120" s="371">
        <v>105</v>
      </c>
      <c r="C3120" s="371" t="s">
        <v>2791</v>
      </c>
      <c r="D3120" s="2716">
        <f t="shared" si="370"/>
        <v>0</v>
      </c>
      <c r="E3120" s="2721">
        <v>1</v>
      </c>
      <c r="F3120" s="293"/>
      <c r="G3120" s="2375" t="s">
        <v>2792</v>
      </c>
      <c r="H3120" s="2275"/>
      <c r="I3120" s="2276"/>
      <c r="J3120" s="438"/>
      <c r="K3120" s="439"/>
      <c r="L3120" s="437"/>
      <c r="M3120" s="438"/>
      <c r="N3120" s="439"/>
      <c r="O3120" s="437"/>
      <c r="P3120" s="438"/>
      <c r="Q3120" s="442"/>
      <c r="R3120" s="443"/>
      <c r="S3120" s="364"/>
      <c r="Z3120" s="609" t="s">
        <v>1246</v>
      </c>
      <c r="AA3120" s="609" t="s">
        <v>3720</v>
      </c>
    </row>
    <row r="3121" spans="1:27" ht="18">
      <c r="A3121" s="2714"/>
      <c r="B3121" s="371">
        <v>106</v>
      </c>
      <c r="C3121" s="371" t="s">
        <v>2791</v>
      </c>
      <c r="D3121" s="2716">
        <f t="shared" si="370"/>
        <v>0</v>
      </c>
      <c r="E3121" s="2721">
        <v>1</v>
      </c>
      <c r="F3121" s="293"/>
      <c r="G3121" s="2375" t="s">
        <v>2792</v>
      </c>
      <c r="H3121" s="2275"/>
      <c r="I3121" s="2276"/>
      <c r="J3121" s="438"/>
      <c r="K3121" s="439"/>
      <c r="L3121" s="437"/>
      <c r="M3121" s="438"/>
      <c r="N3121" s="439"/>
      <c r="O3121" s="437"/>
      <c r="P3121" s="438"/>
      <c r="Q3121" s="442"/>
      <c r="R3121" s="443"/>
      <c r="S3121" s="364"/>
      <c r="Z3121" s="609" t="s">
        <v>1246</v>
      </c>
      <c r="AA3121" s="609" t="s">
        <v>3720</v>
      </c>
    </row>
    <row r="3122" spans="1:27" ht="18">
      <c r="A3122" s="2714"/>
      <c r="B3122" s="371">
        <v>107</v>
      </c>
      <c r="C3122" s="371" t="s">
        <v>2791</v>
      </c>
      <c r="D3122" s="2716">
        <f t="shared" si="370"/>
        <v>0</v>
      </c>
      <c r="E3122" s="2721">
        <v>1</v>
      </c>
      <c r="F3122" s="293"/>
      <c r="G3122" s="2375" t="s">
        <v>2792</v>
      </c>
      <c r="H3122" s="2275"/>
      <c r="I3122" s="2276"/>
      <c r="J3122" s="438"/>
      <c r="K3122" s="439"/>
      <c r="L3122" s="437"/>
      <c r="M3122" s="438"/>
      <c r="N3122" s="439"/>
      <c r="O3122" s="437"/>
      <c r="P3122" s="438"/>
      <c r="Q3122" s="442"/>
      <c r="R3122" s="443"/>
      <c r="S3122" s="364"/>
      <c r="Z3122" s="609" t="s">
        <v>1246</v>
      </c>
      <c r="AA3122" s="609" t="s">
        <v>3720</v>
      </c>
    </row>
    <row r="3123" spans="1:27" ht="18">
      <c r="A3123" s="2714"/>
      <c r="B3123" s="371">
        <v>108</v>
      </c>
      <c r="C3123" s="371" t="s">
        <v>2791</v>
      </c>
      <c r="D3123" s="2716">
        <f t="shared" si="370"/>
        <v>0</v>
      </c>
      <c r="E3123" s="2721">
        <v>1</v>
      </c>
      <c r="F3123" s="293"/>
      <c r="G3123" s="2375" t="s">
        <v>2792</v>
      </c>
      <c r="H3123" s="2275"/>
      <c r="I3123" s="2276"/>
      <c r="J3123" s="438"/>
      <c r="K3123" s="439"/>
      <c r="L3123" s="437"/>
      <c r="M3123" s="438"/>
      <c r="N3123" s="439"/>
      <c r="O3123" s="437"/>
      <c r="P3123" s="438"/>
      <c r="Q3123" s="442"/>
      <c r="R3123" s="443"/>
      <c r="S3123" s="364"/>
      <c r="Z3123" s="609" t="s">
        <v>1246</v>
      </c>
      <c r="AA3123" s="609" t="s">
        <v>3720</v>
      </c>
    </row>
    <row r="3124" spans="1:27" ht="18.75" thickBot="1">
      <c r="A3124" s="2714"/>
      <c r="B3124" s="371"/>
      <c r="C3124" s="371"/>
      <c r="D3124" s="2716">
        <f t="shared" si="370"/>
        <v>1</v>
      </c>
      <c r="E3124" s="2721" t="s">
        <v>2751</v>
      </c>
      <c r="F3124" s="293"/>
      <c r="G3124" s="2234" t="s">
        <v>2752</v>
      </c>
      <c r="H3124" s="2235">
        <f>SUMPRODUCT($E3115:$E3123,H3115:H3123)</f>
        <v>0</v>
      </c>
      <c r="I3124" s="2244"/>
      <c r="J3124" s="440"/>
      <c r="K3124" s="439"/>
      <c r="L3124" s="437"/>
      <c r="M3124" s="440"/>
      <c r="N3124" s="439"/>
      <c r="O3124" s="437"/>
      <c r="P3124" s="440"/>
      <c r="Q3124" s="442"/>
      <c r="R3124" s="443"/>
      <c r="S3124" s="364"/>
      <c r="Z3124" s="609" t="s">
        <v>1246</v>
      </c>
      <c r="AA3124" s="609" t="s">
        <v>3720</v>
      </c>
    </row>
    <row r="3125" spans="1:27" ht="18">
      <c r="A3125" s="2714"/>
      <c r="B3125" s="371"/>
      <c r="C3125" s="371" t="s">
        <v>2755</v>
      </c>
      <c r="D3125" s="2716"/>
      <c r="F3125" s="293"/>
      <c r="G3125" s="376"/>
      <c r="H3125" s="315"/>
      <c r="I3125" s="432"/>
      <c r="J3125" s="425"/>
      <c r="K3125" s="426"/>
      <c r="L3125" s="427"/>
      <c r="M3125" s="425"/>
      <c r="N3125" s="426"/>
      <c r="O3125" s="427"/>
      <c r="P3125" s="425"/>
      <c r="Q3125" s="442"/>
      <c r="R3125" s="443"/>
      <c r="S3125" s="364"/>
      <c r="Z3125" s="609" t="s">
        <v>1246</v>
      </c>
      <c r="AA3125" s="609" t="s">
        <v>3720</v>
      </c>
    </row>
    <row r="3126" spans="1:27" ht="36">
      <c r="A3126" s="2714" t="s">
        <v>1269</v>
      </c>
      <c r="B3126" s="371">
        <v>3</v>
      </c>
      <c r="C3126" s="371"/>
      <c r="D3126" s="2716" t="str">
        <f>VLOOKUP($A3126,Sheet_NoteList,2,0)</f>
        <v>未办妥产权证书的土地使用权及其累计摊销明细项目</v>
      </c>
      <c r="E3126" s="2716" t="s">
        <v>6531</v>
      </c>
      <c r="F3126" s="294"/>
      <c r="G3126" s="372" t="str">
        <f>"("&amp;B3126&amp;")"&amp;D3126</f>
        <v>(3)未办妥产权证书的土地使用权及其累计摊销明细项目</v>
      </c>
      <c r="H3126" s="1517" t="str">
        <f>$A3126</f>
        <v>1701e</v>
      </c>
      <c r="I3126" s="343" t="s">
        <v>5966</v>
      </c>
      <c r="J3126" s="301"/>
      <c r="K3126" s="3083"/>
      <c r="L3126" s="345"/>
      <c r="M3126" s="301"/>
      <c r="N3126" s="3083"/>
      <c r="O3126" s="315"/>
      <c r="P3126" s="301"/>
      <c r="Q3126" s="290" t="str">
        <f>IF($I3126="不适用","",IF(ROUND(SUM($H$3129:$L$3134),2)=0,"请输入",""))</f>
        <v>请输入</v>
      </c>
      <c r="S3126" s="364"/>
      <c r="Z3126" s="609" t="s">
        <v>1246</v>
      </c>
      <c r="AA3126" s="609" t="s">
        <v>3720</v>
      </c>
    </row>
    <row r="3127" spans="1:27" ht="0.75" customHeight="1" thickBot="1">
      <c r="A3127" s="2714"/>
      <c r="B3127" s="371"/>
      <c r="C3127" s="371"/>
      <c r="D3127" s="371"/>
      <c r="E3127" s="586"/>
      <c r="F3127" s="518"/>
      <c r="G3127" s="518" t="s">
        <v>3722</v>
      </c>
      <c r="H3127" s="304" t="s">
        <v>3287</v>
      </c>
      <c r="I3127" s="304" t="s">
        <v>3586</v>
      </c>
      <c r="J3127" s="304" t="s">
        <v>3612</v>
      </c>
      <c r="K3127" s="304" t="s">
        <v>3723</v>
      </c>
      <c r="L3127" s="304" t="s">
        <v>3614</v>
      </c>
      <c r="S3127" s="364"/>
      <c r="Z3127" s="609" t="s">
        <v>1246</v>
      </c>
      <c r="AA3127" s="609" t="s">
        <v>3720</v>
      </c>
    </row>
    <row r="3128" spans="1:27" ht="24">
      <c r="A3128" s="2714"/>
      <c r="B3128" s="371"/>
      <c r="C3128" s="371"/>
      <c r="D3128" s="371"/>
      <c r="E3128" s="586" t="s">
        <v>2749</v>
      </c>
      <c r="F3128" s="363"/>
      <c r="G3128" s="2363" t="s">
        <v>47</v>
      </c>
      <c r="H3128" s="2364" t="s">
        <v>2863</v>
      </c>
      <c r="I3128" s="2364" t="s">
        <v>3616</v>
      </c>
      <c r="J3128" s="2364" t="s">
        <v>3593</v>
      </c>
      <c r="K3128" s="2364" t="s">
        <v>568</v>
      </c>
      <c r="L3128" s="2365" t="s">
        <v>3097</v>
      </c>
      <c r="M3128" s="355" t="s">
        <v>6176</v>
      </c>
      <c r="N3128" s="532"/>
      <c r="S3128" s="364"/>
      <c r="Z3128" s="609" t="s">
        <v>1246</v>
      </c>
      <c r="AA3128" s="609" t="s">
        <v>3720</v>
      </c>
    </row>
    <row r="3129" spans="1:27" ht="18">
      <c r="A3129" s="2714"/>
      <c r="B3129" s="371">
        <v>101</v>
      </c>
      <c r="C3129" s="371" t="s">
        <v>2791</v>
      </c>
      <c r="D3129" s="2716">
        <f t="shared" ref="D3129:D3134" si="371">IF(OR(G3129="*",G3129="",G3129=0),0,COUNTIF($G$3129:$G$3134,G3129))</f>
        <v>0</v>
      </c>
      <c r="E3129" s="2721">
        <v>1</v>
      </c>
      <c r="F3129" s="294"/>
      <c r="G3129" s="2375" t="s">
        <v>2792</v>
      </c>
      <c r="H3129" s="2275"/>
      <c r="I3129" s="2298"/>
      <c r="J3129" s="2275"/>
      <c r="K3129" s="2275"/>
      <c r="L3129" s="2296"/>
      <c r="M3129" s="575"/>
      <c r="S3129" s="364"/>
      <c r="Z3129" s="609" t="s">
        <v>1246</v>
      </c>
      <c r="AA3129" s="609" t="s">
        <v>3720</v>
      </c>
    </row>
    <row r="3130" spans="1:27" ht="18">
      <c r="A3130" s="2714"/>
      <c r="B3130" s="371">
        <v>102</v>
      </c>
      <c r="C3130" s="371" t="s">
        <v>2791</v>
      </c>
      <c r="D3130" s="2716">
        <f t="shared" si="371"/>
        <v>0</v>
      </c>
      <c r="E3130" s="2721">
        <v>1</v>
      </c>
      <c r="F3130" s="294"/>
      <c r="G3130" s="2375" t="s">
        <v>2792</v>
      </c>
      <c r="H3130" s="2275"/>
      <c r="I3130" s="2298"/>
      <c r="J3130" s="2275"/>
      <c r="K3130" s="2275"/>
      <c r="L3130" s="2296"/>
      <c r="S3130" s="364"/>
      <c r="Z3130" s="609" t="s">
        <v>1246</v>
      </c>
      <c r="AA3130" s="609" t="s">
        <v>3720</v>
      </c>
    </row>
    <row r="3131" spans="1:27" ht="18">
      <c r="A3131" s="2714"/>
      <c r="B3131" s="371">
        <v>103</v>
      </c>
      <c r="C3131" s="371" t="s">
        <v>2791</v>
      </c>
      <c r="D3131" s="2716">
        <f t="shared" si="371"/>
        <v>0</v>
      </c>
      <c r="E3131" s="2721">
        <v>1</v>
      </c>
      <c r="F3131" s="294"/>
      <c r="G3131" s="2375" t="s">
        <v>2792</v>
      </c>
      <c r="H3131" s="2275"/>
      <c r="I3131" s="2298"/>
      <c r="J3131" s="2275"/>
      <c r="K3131" s="2275"/>
      <c r="L3131" s="2296"/>
      <c r="S3131" s="364"/>
      <c r="Z3131" s="609" t="s">
        <v>1246</v>
      </c>
      <c r="AA3131" s="609" t="s">
        <v>3720</v>
      </c>
    </row>
    <row r="3132" spans="1:27" ht="18">
      <c r="A3132" s="2714"/>
      <c r="B3132" s="371">
        <v>104</v>
      </c>
      <c r="C3132" s="371" t="s">
        <v>2791</v>
      </c>
      <c r="D3132" s="2716">
        <f t="shared" si="371"/>
        <v>0</v>
      </c>
      <c r="E3132" s="2721">
        <v>1</v>
      </c>
      <c r="F3132" s="294"/>
      <c r="G3132" s="2375" t="s">
        <v>2792</v>
      </c>
      <c r="H3132" s="2275"/>
      <c r="I3132" s="2298"/>
      <c r="J3132" s="2275"/>
      <c r="K3132" s="2275"/>
      <c r="L3132" s="2296"/>
      <c r="S3132" s="364"/>
      <c r="Z3132" s="609" t="s">
        <v>1246</v>
      </c>
      <c r="AA3132" s="609" t="s">
        <v>3720</v>
      </c>
    </row>
    <row r="3133" spans="1:27" ht="18">
      <c r="A3133" s="2714"/>
      <c r="B3133" s="371">
        <v>105</v>
      </c>
      <c r="C3133" s="371" t="s">
        <v>2791</v>
      </c>
      <c r="D3133" s="2716">
        <f t="shared" si="371"/>
        <v>0</v>
      </c>
      <c r="E3133" s="2721">
        <v>1</v>
      </c>
      <c r="F3133" s="294"/>
      <c r="G3133" s="2375" t="s">
        <v>2792</v>
      </c>
      <c r="H3133" s="2275"/>
      <c r="I3133" s="2298"/>
      <c r="J3133" s="2275"/>
      <c r="K3133" s="2275"/>
      <c r="L3133" s="2296"/>
      <c r="S3133" s="364"/>
      <c r="Z3133" s="609" t="s">
        <v>1246</v>
      </c>
      <c r="AA3133" s="609" t="s">
        <v>3720</v>
      </c>
    </row>
    <row r="3134" spans="1:27" ht="18.75" thickBot="1">
      <c r="A3134" s="2714"/>
      <c r="B3134" s="371"/>
      <c r="C3134" s="371"/>
      <c r="D3134" s="2716">
        <f t="shared" si="371"/>
        <v>0</v>
      </c>
      <c r="E3134" s="2721" t="s">
        <v>3595</v>
      </c>
      <c r="F3134" s="294"/>
      <c r="G3134" s="590"/>
      <c r="H3134" s="2317"/>
      <c r="I3134" s="2376"/>
      <c r="J3134" s="2317"/>
      <c r="K3134" s="2317"/>
      <c r="L3134" s="2384"/>
      <c r="S3134" s="364"/>
      <c r="Z3134" s="609" t="s">
        <v>1246</v>
      </c>
      <c r="AA3134" s="609" t="s">
        <v>3720</v>
      </c>
    </row>
    <row r="3135" spans="1:27" ht="18">
      <c r="A3135" s="2714"/>
      <c r="B3135" s="371"/>
      <c r="C3135" s="371" t="s">
        <v>2755</v>
      </c>
      <c r="D3135" s="371"/>
      <c r="F3135" s="294"/>
      <c r="G3135" s="301"/>
      <c r="H3135" s="315"/>
      <c r="I3135" s="393"/>
      <c r="J3135" s="315"/>
      <c r="K3135" s="315"/>
      <c r="L3135" s="315"/>
      <c r="M3135" s="349"/>
      <c r="S3135" s="364"/>
      <c r="Z3135" s="609" t="s">
        <v>1246</v>
      </c>
      <c r="AA3135" s="609" t="s">
        <v>3720</v>
      </c>
    </row>
    <row r="3136" spans="1:27" ht="24">
      <c r="A3136" s="2714" t="s">
        <v>6053</v>
      </c>
      <c r="B3136" s="371">
        <v>4</v>
      </c>
      <c r="C3136" s="371"/>
      <c r="D3136" s="2716" t="str">
        <f>VLOOKUP($A3136,Sheet_NoteList,2,0)</f>
        <v>无形资产抵押或担保情况</v>
      </c>
      <c r="E3136" s="2716" t="s">
        <v>6531</v>
      </c>
      <c r="F3136" s="293"/>
      <c r="G3136" s="372" t="str">
        <f>"("&amp;B3136&amp;")"&amp;D3136</f>
        <v>(4)无形资产抵押或担保情况</v>
      </c>
      <c r="H3136" s="1517" t="str">
        <f>$A3136</f>
        <v>1701g</v>
      </c>
      <c r="I3136" s="343" t="s">
        <v>6057</v>
      </c>
      <c r="J3136" s="301" t="s">
        <v>6058</v>
      </c>
      <c r="K3136" s="2210">
        <f>K3147</f>
        <v>0</v>
      </c>
      <c r="L3136" s="349"/>
      <c r="M3136" s="301"/>
      <c r="N3136" s="391"/>
      <c r="O3136" s="349"/>
      <c r="P3136" s="301"/>
      <c r="S3136" s="364"/>
      <c r="Z3136" s="609" t="s">
        <v>1246</v>
      </c>
      <c r="AA3136" s="609" t="s">
        <v>3720</v>
      </c>
    </row>
    <row r="3137" spans="1:27" ht="0.75" customHeight="1" thickBot="1">
      <c r="A3137" s="2714"/>
      <c r="B3137" s="371"/>
      <c r="C3137" s="371"/>
      <c r="D3137" s="2716"/>
      <c r="E3137" s="586"/>
      <c r="F3137" s="586"/>
      <c r="G3137" s="2224" t="s">
        <v>6060</v>
      </c>
      <c r="H3137" s="1617" t="s">
        <v>3588</v>
      </c>
      <c r="I3137" s="371" t="s">
        <v>3724</v>
      </c>
      <c r="J3137" s="371" t="s">
        <v>3590</v>
      </c>
      <c r="K3137" s="547" t="s">
        <v>3591</v>
      </c>
      <c r="L3137" s="547" t="s">
        <v>3592</v>
      </c>
      <c r="M3137" s="301"/>
      <c r="N3137" s="391"/>
      <c r="O3137" s="349"/>
      <c r="P3137" s="301"/>
      <c r="S3137" s="364"/>
      <c r="Z3137" s="609" t="s">
        <v>1246</v>
      </c>
      <c r="AA3137" s="609" t="s">
        <v>3720</v>
      </c>
    </row>
    <row r="3138" spans="1:27" ht="18">
      <c r="A3138" s="2714"/>
      <c r="B3138" s="371"/>
      <c r="C3138" s="371"/>
      <c r="D3138" s="2716"/>
      <c r="E3138" s="586" t="s">
        <v>2749</v>
      </c>
      <c r="F3138" s="414"/>
      <c r="G3138" s="2363" t="s">
        <v>47</v>
      </c>
      <c r="H3138" s="2360" t="s">
        <v>3593</v>
      </c>
      <c r="I3138" s="2364" t="s">
        <v>568</v>
      </c>
      <c r="J3138" s="2364" t="s">
        <v>3097</v>
      </c>
      <c r="K3138" s="2390" t="s">
        <v>5172</v>
      </c>
      <c r="L3138" s="2389" t="s">
        <v>3594</v>
      </c>
      <c r="M3138" s="355" t="s">
        <v>6176</v>
      </c>
      <c r="N3138" s="391"/>
      <c r="O3138" s="349"/>
      <c r="P3138" s="301"/>
      <c r="S3138" s="364"/>
      <c r="Z3138" s="609" t="s">
        <v>1246</v>
      </c>
      <c r="AA3138" s="609" t="s">
        <v>3720</v>
      </c>
    </row>
    <row r="3139" spans="1:27" ht="18">
      <c r="A3139" s="2714"/>
      <c r="B3139" s="371">
        <v>101</v>
      </c>
      <c r="C3139" s="371" t="s">
        <v>2791</v>
      </c>
      <c r="D3139" s="2716">
        <f t="shared" ref="D3139:D3147" si="372">IF(OR(G3139="*",G3139="",G3139=0),0,COUNTIF($G$3139:$G$3147,G3139))</f>
        <v>1</v>
      </c>
      <c r="E3139" s="2721">
        <v>1</v>
      </c>
      <c r="F3139" s="293"/>
      <c r="G3139" s="2375" t="s">
        <v>6063</v>
      </c>
      <c r="H3139" s="2275"/>
      <c r="I3139" s="2275"/>
      <c r="J3139" s="2275"/>
      <c r="K3139" s="2275"/>
      <c r="L3139" s="2276"/>
      <c r="M3139" s="301"/>
      <c r="N3139" s="391"/>
      <c r="O3139" s="349"/>
      <c r="P3139" s="301"/>
      <c r="S3139" s="364"/>
      <c r="Z3139" s="609" t="s">
        <v>1246</v>
      </c>
      <c r="AA3139" s="609" t="s">
        <v>3720</v>
      </c>
    </row>
    <row r="3140" spans="1:27" ht="18">
      <c r="A3140" s="2714"/>
      <c r="B3140" s="371">
        <v>102</v>
      </c>
      <c r="C3140" s="371" t="s">
        <v>2791</v>
      </c>
      <c r="D3140" s="2716">
        <f t="shared" si="372"/>
        <v>0</v>
      </c>
      <c r="E3140" s="2721">
        <v>1</v>
      </c>
      <c r="F3140" s="293"/>
      <c r="G3140" s="2375" t="s">
        <v>2792</v>
      </c>
      <c r="H3140" s="2275"/>
      <c r="I3140" s="2275"/>
      <c r="J3140" s="2275"/>
      <c r="K3140" s="2275"/>
      <c r="L3140" s="2276"/>
      <c r="M3140" s="301"/>
      <c r="N3140" s="391"/>
      <c r="O3140" s="349"/>
      <c r="P3140" s="301"/>
      <c r="S3140" s="364"/>
      <c r="Z3140" s="609" t="s">
        <v>1246</v>
      </c>
      <c r="AA3140" s="609" t="s">
        <v>3720</v>
      </c>
    </row>
    <row r="3141" spans="1:27" ht="18">
      <c r="A3141" s="2714"/>
      <c r="B3141" s="371">
        <v>103</v>
      </c>
      <c r="C3141" s="371" t="s">
        <v>2791</v>
      </c>
      <c r="D3141" s="2716">
        <f t="shared" si="372"/>
        <v>0</v>
      </c>
      <c r="E3141" s="2721">
        <v>1</v>
      </c>
      <c r="F3141" s="293"/>
      <c r="G3141" s="2375" t="s">
        <v>2792</v>
      </c>
      <c r="H3141" s="2275"/>
      <c r="I3141" s="2275"/>
      <c r="J3141" s="2275"/>
      <c r="K3141" s="2275"/>
      <c r="L3141" s="2276"/>
      <c r="M3141" s="301"/>
      <c r="N3141" s="391"/>
      <c r="O3141" s="349"/>
      <c r="P3141" s="301"/>
      <c r="S3141" s="364"/>
      <c r="Z3141" s="609" t="s">
        <v>1246</v>
      </c>
      <c r="AA3141" s="609" t="s">
        <v>3720</v>
      </c>
    </row>
    <row r="3142" spans="1:27" ht="18">
      <c r="A3142" s="2714"/>
      <c r="B3142" s="371">
        <v>104</v>
      </c>
      <c r="C3142" s="371" t="s">
        <v>2791</v>
      </c>
      <c r="D3142" s="2716">
        <f t="shared" si="372"/>
        <v>1</v>
      </c>
      <c r="E3142" s="2721">
        <v>1</v>
      </c>
      <c r="F3142" s="293"/>
      <c r="G3142" s="2375" t="s">
        <v>6062</v>
      </c>
      <c r="H3142" s="2275"/>
      <c r="I3142" s="2275"/>
      <c r="J3142" s="2275"/>
      <c r="K3142" s="2275"/>
      <c r="L3142" s="2276"/>
      <c r="M3142" s="301"/>
      <c r="N3142" s="391"/>
      <c r="O3142" s="349"/>
      <c r="P3142" s="301"/>
      <c r="S3142" s="364"/>
      <c r="Z3142" s="609" t="s">
        <v>1246</v>
      </c>
      <c r="AA3142" s="609" t="s">
        <v>3720</v>
      </c>
    </row>
    <row r="3143" spans="1:27" ht="18">
      <c r="A3143" s="2714"/>
      <c r="B3143" s="371">
        <v>105</v>
      </c>
      <c r="C3143" s="371" t="s">
        <v>2791</v>
      </c>
      <c r="D3143" s="2716">
        <f t="shared" si="372"/>
        <v>0</v>
      </c>
      <c r="E3143" s="2721">
        <v>1</v>
      </c>
      <c r="F3143" s="293"/>
      <c r="G3143" s="2375" t="s">
        <v>2792</v>
      </c>
      <c r="H3143" s="2275"/>
      <c r="I3143" s="2275"/>
      <c r="J3143" s="2275"/>
      <c r="K3143" s="2275"/>
      <c r="L3143" s="2276"/>
      <c r="M3143" s="301"/>
      <c r="N3143" s="391"/>
      <c r="O3143" s="349"/>
      <c r="P3143" s="301"/>
      <c r="S3143" s="364"/>
      <c r="Z3143" s="609" t="s">
        <v>1246</v>
      </c>
      <c r="AA3143" s="609" t="s">
        <v>3720</v>
      </c>
    </row>
    <row r="3144" spans="1:27" ht="18">
      <c r="A3144" s="2714"/>
      <c r="B3144" s="371">
        <v>106</v>
      </c>
      <c r="C3144" s="371" t="s">
        <v>2791</v>
      </c>
      <c r="D3144" s="2716">
        <f t="shared" si="372"/>
        <v>0</v>
      </c>
      <c r="E3144" s="2721">
        <v>1</v>
      </c>
      <c r="F3144" s="293"/>
      <c r="G3144" s="2375" t="s">
        <v>2792</v>
      </c>
      <c r="H3144" s="2275"/>
      <c r="I3144" s="2275"/>
      <c r="J3144" s="2275"/>
      <c r="K3144" s="2275"/>
      <c r="L3144" s="2276"/>
      <c r="M3144" s="301"/>
      <c r="N3144" s="391"/>
      <c r="O3144" s="349"/>
      <c r="P3144" s="301"/>
      <c r="S3144" s="364"/>
      <c r="Z3144" s="609" t="s">
        <v>1246</v>
      </c>
      <c r="AA3144" s="609" t="s">
        <v>3720</v>
      </c>
    </row>
    <row r="3145" spans="1:27" ht="18">
      <c r="A3145" s="2714"/>
      <c r="B3145" s="371">
        <v>107</v>
      </c>
      <c r="C3145" s="371" t="s">
        <v>2791</v>
      </c>
      <c r="D3145" s="2716">
        <f t="shared" si="372"/>
        <v>0</v>
      </c>
      <c r="E3145" s="2721">
        <v>1</v>
      </c>
      <c r="F3145" s="293"/>
      <c r="G3145" s="2375" t="s">
        <v>2792</v>
      </c>
      <c r="H3145" s="2275"/>
      <c r="I3145" s="2275"/>
      <c r="J3145" s="2275"/>
      <c r="K3145" s="2275"/>
      <c r="L3145" s="2276"/>
      <c r="M3145" s="301"/>
      <c r="N3145" s="391"/>
      <c r="O3145" s="349"/>
      <c r="P3145" s="301"/>
      <c r="S3145" s="364"/>
      <c r="Z3145" s="609" t="s">
        <v>1246</v>
      </c>
      <c r="AA3145" s="609" t="s">
        <v>3720</v>
      </c>
    </row>
    <row r="3146" spans="1:27" ht="18">
      <c r="A3146" s="2714"/>
      <c r="B3146" s="371">
        <v>108</v>
      </c>
      <c r="C3146" s="371" t="s">
        <v>2791</v>
      </c>
      <c r="D3146" s="2716">
        <f t="shared" si="372"/>
        <v>0</v>
      </c>
      <c r="E3146" s="2721">
        <v>1</v>
      </c>
      <c r="F3146" s="293"/>
      <c r="G3146" s="2375" t="s">
        <v>2792</v>
      </c>
      <c r="H3146" s="2275"/>
      <c r="I3146" s="2275"/>
      <c r="J3146" s="2275"/>
      <c r="K3146" s="2275"/>
      <c r="L3146" s="2276"/>
      <c r="M3146" s="301"/>
      <c r="N3146" s="391"/>
      <c r="O3146" s="349"/>
      <c r="P3146" s="301"/>
      <c r="S3146" s="364"/>
      <c r="Z3146" s="609" t="s">
        <v>1246</v>
      </c>
      <c r="AA3146" s="609" t="s">
        <v>3720</v>
      </c>
    </row>
    <row r="3147" spans="1:27" ht="18.75" thickBot="1">
      <c r="A3147" s="2714"/>
      <c r="B3147" s="371"/>
      <c r="C3147" s="371"/>
      <c r="D3147" s="2716">
        <f t="shared" si="372"/>
        <v>1</v>
      </c>
      <c r="E3147" s="2721" t="s">
        <v>2751</v>
      </c>
      <c r="F3147" s="293"/>
      <c r="G3147" s="1529" t="s">
        <v>2752</v>
      </c>
      <c r="H3147" s="1527">
        <f>SUMPRODUCT($E3138:$E3146,H3138:H3146)</f>
        <v>0</v>
      </c>
      <c r="I3147" s="1527">
        <f>SUMPRODUCT($E3138:$E3146,I3138:I3146)</f>
        <v>0</v>
      </c>
      <c r="J3147" s="1527">
        <f>SUMPRODUCT($E3138:$E3146,J3138:J3146)</f>
        <v>0</v>
      </c>
      <c r="K3147" s="1527">
        <f>SUMPRODUCT($E3138:$E3146,K3138:K3146)</f>
        <v>0</v>
      </c>
      <c r="L3147" s="2266"/>
      <c r="M3147" s="301"/>
      <c r="N3147" s="391"/>
      <c r="O3147" s="349"/>
      <c r="P3147" s="301"/>
      <c r="S3147" s="364"/>
      <c r="Z3147" s="609" t="s">
        <v>1246</v>
      </c>
      <c r="AA3147" s="609" t="s">
        <v>3720</v>
      </c>
    </row>
    <row r="3148" spans="1:27" ht="18">
      <c r="A3148" s="2714"/>
      <c r="B3148" s="371"/>
      <c r="C3148" s="371" t="s">
        <v>2755</v>
      </c>
      <c r="D3148" s="2716"/>
      <c r="F3148" s="293"/>
      <c r="G3148" s="376"/>
      <c r="H3148" s="1576"/>
      <c r="I3148" s="396"/>
      <c r="J3148" s="315"/>
      <c r="K3148" s="423"/>
      <c r="L3148" s="393"/>
      <c r="M3148" s="301"/>
      <c r="N3148" s="391"/>
      <c r="O3148" s="349"/>
      <c r="P3148" s="301"/>
      <c r="S3148" s="364"/>
      <c r="Z3148" s="609" t="s">
        <v>1246</v>
      </c>
      <c r="AA3148" s="609" t="s">
        <v>3720</v>
      </c>
    </row>
    <row r="3149" spans="1:27" ht="18">
      <c r="A3149" s="2714" t="s">
        <v>6054</v>
      </c>
      <c r="B3149" s="371">
        <v>5</v>
      </c>
      <c r="C3149" s="371"/>
      <c r="D3149" s="2716" t="str">
        <f>VLOOKUP($A3149,Sheet_NoteList,2,0)</f>
        <v>无形资产补充资料</v>
      </c>
      <c r="E3149" s="2716" t="s">
        <v>6531</v>
      </c>
      <c r="F3149" s="293"/>
      <c r="G3149" s="372" t="str">
        <f>"("&amp;B3149&amp;")"&amp;D3149</f>
        <v>(5)无形资产补充资料</v>
      </c>
      <c r="H3149" s="1517" t="str">
        <f>$A3149</f>
        <v>1701h</v>
      </c>
      <c r="I3149" s="343" t="s">
        <v>6057</v>
      </c>
      <c r="J3149" s="301" t="s">
        <v>6058</v>
      </c>
      <c r="K3149" s="2210">
        <f>H3160</f>
        <v>0</v>
      </c>
      <c r="L3149" s="349">
        <f>IF($I3149="适用",IF(ROUND(K$3042-K3149,2)=0,"F/S",ROUND(K$3042-K3149,2)),"#N/A")</f>
        <v>1951607.86</v>
      </c>
      <c r="M3149" s="301" t="s">
        <v>6059</v>
      </c>
      <c r="N3149" s="2210">
        <f>I3160</f>
        <v>0</v>
      </c>
      <c r="O3149" s="349">
        <f>IF($I3149="适用",IF(ROUND(N$3042-N3149,2)=0,"F/S",ROUND(N$3042-N3149,2)),"#N/A")</f>
        <v>1820271.51</v>
      </c>
      <c r="P3149" s="301"/>
      <c r="S3149" s="364"/>
      <c r="Z3149" s="609" t="s">
        <v>1246</v>
      </c>
      <c r="AA3149" s="609" t="s">
        <v>3720</v>
      </c>
    </row>
    <row r="3150" spans="1:27" ht="0.75" customHeight="1" thickBot="1">
      <c r="A3150" s="2714"/>
      <c r="B3150" s="371"/>
      <c r="C3150" s="371"/>
      <c r="D3150" s="2716"/>
      <c r="E3150" s="586"/>
      <c r="F3150" s="586"/>
      <c r="G3150" s="2224" t="s">
        <v>6061</v>
      </c>
      <c r="H3150" s="1617" t="s">
        <v>6273</v>
      </c>
      <c r="I3150" s="371" t="s">
        <v>6274</v>
      </c>
      <c r="J3150" s="371" t="s">
        <v>6275</v>
      </c>
      <c r="K3150" s="547" t="s">
        <v>6276</v>
      </c>
      <c r="L3150" s="547" t="s">
        <v>6277</v>
      </c>
      <c r="M3150" s="371" t="s">
        <v>6278</v>
      </c>
      <c r="N3150" s="547" t="s">
        <v>6279</v>
      </c>
      <c r="O3150" s="547" t="s">
        <v>6280</v>
      </c>
      <c r="P3150" s="371" t="s">
        <v>6281</v>
      </c>
      <c r="S3150" s="364"/>
      <c r="Z3150" s="609" t="s">
        <v>1246</v>
      </c>
      <c r="AA3150" s="609" t="s">
        <v>3720</v>
      </c>
    </row>
    <row r="3151" spans="1:27" ht="18">
      <c r="A3151" s="2714"/>
      <c r="B3151" s="371"/>
      <c r="C3151" s="371"/>
      <c r="D3151" s="2716"/>
      <c r="E3151" s="586" t="s">
        <v>2749</v>
      </c>
      <c r="F3151" s="414"/>
      <c r="G3151" s="2363" t="s">
        <v>47</v>
      </c>
      <c r="H3151" s="2364" t="s">
        <v>6064</v>
      </c>
      <c r="I3151" s="2364" t="s">
        <v>6065</v>
      </c>
      <c r="J3151" s="2364" t="s">
        <v>2544</v>
      </c>
      <c r="K3151" s="1643" t="s">
        <v>6040</v>
      </c>
      <c r="L3151" s="1643" t="s">
        <v>6041</v>
      </c>
      <c r="M3151" s="2364" t="s">
        <v>2549</v>
      </c>
      <c r="N3151" s="1643" t="s">
        <v>6042</v>
      </c>
      <c r="O3151" s="1643" t="s">
        <v>6043</v>
      </c>
      <c r="P3151" s="2365" t="s">
        <v>3277</v>
      </c>
      <c r="Q3151" s="355" t="s">
        <v>6176</v>
      </c>
      <c r="S3151" s="364"/>
      <c r="Z3151" s="609" t="s">
        <v>1246</v>
      </c>
      <c r="AA3151" s="609" t="s">
        <v>3720</v>
      </c>
    </row>
    <row r="3152" spans="1:27" ht="18">
      <c r="A3152" s="2714"/>
      <c r="B3152" s="371">
        <v>101</v>
      </c>
      <c r="C3152" s="371" t="s">
        <v>2791</v>
      </c>
      <c r="D3152" s="2716">
        <f t="shared" ref="D3152:D3160" si="373">IF(OR(G3152="*",G3152="",G3152=0),0,COUNTIF($G$3152:$G$3160,G3152))</f>
        <v>0</v>
      </c>
      <c r="E3152" s="2721">
        <v>1</v>
      </c>
      <c r="F3152" s="293"/>
      <c r="G3152" s="2375" t="s">
        <v>2792</v>
      </c>
      <c r="H3152" s="2275"/>
      <c r="I3152" s="2275"/>
      <c r="J3152" s="2275"/>
      <c r="K3152" s="2298"/>
      <c r="L3152" s="2298"/>
      <c r="M3152" s="2275"/>
      <c r="N3152" s="2298"/>
      <c r="O3152" s="2298"/>
      <c r="P3152" s="2296"/>
      <c r="S3152" s="364"/>
      <c r="Z3152" s="609" t="s">
        <v>1246</v>
      </c>
      <c r="AA3152" s="609" t="s">
        <v>3720</v>
      </c>
    </row>
    <row r="3153" spans="1:27" ht="18">
      <c r="A3153" s="2714"/>
      <c r="B3153" s="371">
        <v>102</v>
      </c>
      <c r="C3153" s="371" t="s">
        <v>2791</v>
      </c>
      <c r="D3153" s="2716">
        <f t="shared" si="373"/>
        <v>0</v>
      </c>
      <c r="E3153" s="2721">
        <v>1</v>
      </c>
      <c r="F3153" s="293"/>
      <c r="G3153" s="2375" t="s">
        <v>2792</v>
      </c>
      <c r="H3153" s="2275"/>
      <c r="I3153" s="2275"/>
      <c r="J3153" s="2275"/>
      <c r="K3153" s="2298"/>
      <c r="L3153" s="2298"/>
      <c r="M3153" s="2275"/>
      <c r="N3153" s="2298"/>
      <c r="O3153" s="2298"/>
      <c r="P3153" s="2296"/>
      <c r="S3153" s="364"/>
      <c r="Z3153" s="609" t="s">
        <v>1246</v>
      </c>
      <c r="AA3153" s="609" t="s">
        <v>3720</v>
      </c>
    </row>
    <row r="3154" spans="1:27" ht="18">
      <c r="A3154" s="2714"/>
      <c r="B3154" s="371">
        <v>103</v>
      </c>
      <c r="C3154" s="371" t="s">
        <v>2791</v>
      </c>
      <c r="D3154" s="2716">
        <f t="shared" si="373"/>
        <v>0</v>
      </c>
      <c r="E3154" s="2721">
        <v>1</v>
      </c>
      <c r="F3154" s="293"/>
      <c r="G3154" s="2375" t="s">
        <v>2792</v>
      </c>
      <c r="H3154" s="2275"/>
      <c r="I3154" s="2275"/>
      <c r="J3154" s="2275"/>
      <c r="K3154" s="2298"/>
      <c r="L3154" s="2298"/>
      <c r="M3154" s="2275"/>
      <c r="N3154" s="2298"/>
      <c r="O3154" s="2298"/>
      <c r="P3154" s="2296"/>
      <c r="S3154" s="364"/>
      <c r="Z3154" s="609" t="s">
        <v>1246</v>
      </c>
      <c r="AA3154" s="609" t="s">
        <v>3720</v>
      </c>
    </row>
    <row r="3155" spans="1:27" ht="18">
      <c r="A3155" s="2714"/>
      <c r="B3155" s="371">
        <v>104</v>
      </c>
      <c r="C3155" s="371" t="s">
        <v>2791</v>
      </c>
      <c r="D3155" s="2716">
        <f t="shared" si="373"/>
        <v>0</v>
      </c>
      <c r="E3155" s="2721">
        <v>1</v>
      </c>
      <c r="F3155" s="293"/>
      <c r="G3155" s="2375" t="s">
        <v>2792</v>
      </c>
      <c r="H3155" s="2275"/>
      <c r="I3155" s="2275"/>
      <c r="J3155" s="2275"/>
      <c r="K3155" s="2298"/>
      <c r="L3155" s="2298"/>
      <c r="M3155" s="2275"/>
      <c r="N3155" s="2298"/>
      <c r="O3155" s="2298"/>
      <c r="P3155" s="2296"/>
      <c r="S3155" s="364"/>
      <c r="Z3155" s="609" t="s">
        <v>1246</v>
      </c>
      <c r="AA3155" s="609" t="s">
        <v>3720</v>
      </c>
    </row>
    <row r="3156" spans="1:27" ht="18">
      <c r="A3156" s="2714"/>
      <c r="B3156" s="371">
        <v>105</v>
      </c>
      <c r="C3156" s="371" t="s">
        <v>2791</v>
      </c>
      <c r="D3156" s="2716">
        <f t="shared" si="373"/>
        <v>0</v>
      </c>
      <c r="E3156" s="2721">
        <v>1</v>
      </c>
      <c r="F3156" s="293"/>
      <c r="G3156" s="2375" t="s">
        <v>2792</v>
      </c>
      <c r="H3156" s="2275"/>
      <c r="I3156" s="2275"/>
      <c r="J3156" s="2275"/>
      <c r="K3156" s="2298"/>
      <c r="L3156" s="2298"/>
      <c r="M3156" s="2275"/>
      <c r="N3156" s="2298"/>
      <c r="O3156" s="2298"/>
      <c r="P3156" s="2296"/>
      <c r="S3156" s="364"/>
      <c r="Z3156" s="609" t="s">
        <v>1246</v>
      </c>
      <c r="AA3156" s="609" t="s">
        <v>3720</v>
      </c>
    </row>
    <row r="3157" spans="1:27" ht="18">
      <c r="A3157" s="2714"/>
      <c r="B3157" s="371">
        <v>106</v>
      </c>
      <c r="C3157" s="371" t="s">
        <v>2791</v>
      </c>
      <c r="D3157" s="2716">
        <f t="shared" si="373"/>
        <v>0</v>
      </c>
      <c r="E3157" s="2721">
        <v>1</v>
      </c>
      <c r="F3157" s="293"/>
      <c r="G3157" s="2375" t="s">
        <v>2792</v>
      </c>
      <c r="H3157" s="2275"/>
      <c r="I3157" s="2275"/>
      <c r="J3157" s="2275"/>
      <c r="K3157" s="2298"/>
      <c r="L3157" s="2298"/>
      <c r="M3157" s="2275"/>
      <c r="N3157" s="2298"/>
      <c r="O3157" s="2298"/>
      <c r="P3157" s="2296"/>
      <c r="S3157" s="364"/>
      <c r="Z3157" s="609" t="s">
        <v>1246</v>
      </c>
      <c r="AA3157" s="609" t="s">
        <v>3720</v>
      </c>
    </row>
    <row r="3158" spans="1:27" ht="18">
      <c r="A3158" s="2714"/>
      <c r="B3158" s="371">
        <v>107</v>
      </c>
      <c r="C3158" s="371" t="s">
        <v>2791</v>
      </c>
      <c r="D3158" s="2716">
        <f t="shared" si="373"/>
        <v>0</v>
      </c>
      <c r="E3158" s="2721">
        <v>1</v>
      </c>
      <c r="F3158" s="293"/>
      <c r="G3158" s="2375" t="s">
        <v>2792</v>
      </c>
      <c r="H3158" s="2275"/>
      <c r="I3158" s="2275"/>
      <c r="J3158" s="2275"/>
      <c r="K3158" s="2298"/>
      <c r="L3158" s="2298"/>
      <c r="M3158" s="2275"/>
      <c r="N3158" s="2298"/>
      <c r="O3158" s="2298"/>
      <c r="P3158" s="2296"/>
      <c r="S3158" s="364"/>
      <c r="Z3158" s="609" t="s">
        <v>1246</v>
      </c>
      <c r="AA3158" s="609" t="s">
        <v>3720</v>
      </c>
    </row>
    <row r="3159" spans="1:27" ht="18">
      <c r="A3159" s="2714"/>
      <c r="B3159" s="371">
        <v>108</v>
      </c>
      <c r="C3159" s="371" t="s">
        <v>2791</v>
      </c>
      <c r="D3159" s="2716">
        <f t="shared" si="373"/>
        <v>0</v>
      </c>
      <c r="E3159" s="2721">
        <v>1</v>
      </c>
      <c r="F3159" s="293"/>
      <c r="G3159" s="2375" t="s">
        <v>2792</v>
      </c>
      <c r="H3159" s="2275"/>
      <c r="I3159" s="2275"/>
      <c r="J3159" s="2275"/>
      <c r="K3159" s="2298"/>
      <c r="L3159" s="2298"/>
      <c r="M3159" s="2275"/>
      <c r="N3159" s="2298"/>
      <c r="O3159" s="2298"/>
      <c r="P3159" s="2296"/>
      <c r="S3159" s="364"/>
      <c r="Z3159" s="609" t="s">
        <v>1246</v>
      </c>
      <c r="AA3159" s="609" t="s">
        <v>3720</v>
      </c>
    </row>
    <row r="3160" spans="1:27" ht="18.75" thickBot="1">
      <c r="A3160" s="2714"/>
      <c r="B3160" s="371"/>
      <c r="C3160" s="371"/>
      <c r="D3160" s="2716">
        <f t="shared" si="373"/>
        <v>1</v>
      </c>
      <c r="E3160" s="2721" t="s">
        <v>2751</v>
      </c>
      <c r="F3160" s="293"/>
      <c r="G3160" s="1529" t="s">
        <v>2752</v>
      </c>
      <c r="H3160" s="1527">
        <f>SUMPRODUCT($E3151:$E3159,H3151:H3159)</f>
        <v>0</v>
      </c>
      <c r="I3160" s="1527">
        <f>SUMPRODUCT($E3151:$E3159,I3151:I3159)</f>
        <v>0</v>
      </c>
      <c r="J3160" s="1527">
        <f>SUMPRODUCT($E3151:$E3159,J3151:J3159)</f>
        <v>0</v>
      </c>
      <c r="K3160" s="2316"/>
      <c r="L3160" s="2316"/>
      <c r="M3160" s="1527">
        <f>SUMPRODUCT($E3151:$E3159,M3151:M3159)</f>
        <v>0</v>
      </c>
      <c r="N3160" s="2316"/>
      <c r="O3160" s="2316"/>
      <c r="P3160" s="1528">
        <f>SUMPRODUCT($E3151:$E3159,P3151:P3159)</f>
        <v>0</v>
      </c>
      <c r="S3160" s="364"/>
      <c r="Z3160" s="609" t="s">
        <v>1246</v>
      </c>
      <c r="AA3160" s="609" t="s">
        <v>3720</v>
      </c>
    </row>
    <row r="3161" spans="1:27" ht="18">
      <c r="A3161" s="2714"/>
      <c r="B3161" s="371"/>
      <c r="C3161" s="371" t="s">
        <v>2755</v>
      </c>
      <c r="D3161" s="2716"/>
      <c r="F3161" s="293"/>
      <c r="G3161" s="376"/>
      <c r="H3161" s="1576"/>
      <c r="I3161" s="396"/>
      <c r="J3161" s="315"/>
      <c r="K3161" s="392"/>
      <c r="L3161" s="393"/>
      <c r="M3161" s="315"/>
      <c r="N3161" s="392"/>
      <c r="O3161" s="393"/>
      <c r="P3161" s="315"/>
      <c r="S3161" s="364"/>
      <c r="Z3161" s="609" t="s">
        <v>1246</v>
      </c>
      <c r="AA3161" s="609" t="s">
        <v>3720</v>
      </c>
    </row>
    <row r="3162" spans="1:27" ht="24">
      <c r="A3162" s="2714" t="s">
        <v>1274</v>
      </c>
      <c r="B3162" s="371">
        <v>6</v>
      </c>
      <c r="C3162" s="371"/>
      <c r="D3162" s="2716" t="str">
        <f>VLOOKUP($A3162,Sheet_NoteList,2,0)</f>
        <v>无形资产累计摊销补充资料</v>
      </c>
      <c r="E3162" s="2716" t="s">
        <v>6531</v>
      </c>
      <c r="F3162" s="294"/>
      <c r="G3162" s="372" t="str">
        <f>"("&amp;B3162&amp;")"&amp;D3162</f>
        <v>(6)无形资产累计摊销补充资料</v>
      </c>
      <c r="H3162" s="1517" t="str">
        <f>$A3162</f>
        <v>1701x</v>
      </c>
      <c r="I3162" s="343" t="s">
        <v>5966</v>
      </c>
      <c r="J3162" s="301"/>
      <c r="K3162" s="3083"/>
      <c r="L3162" s="315"/>
      <c r="M3162" s="301"/>
      <c r="N3162" s="3083"/>
      <c r="O3162" s="315"/>
      <c r="P3162" s="301"/>
      <c r="S3162" s="364"/>
      <c r="Z3162" s="609" t="s">
        <v>1246</v>
      </c>
      <c r="AA3162" s="609" t="s">
        <v>3720</v>
      </c>
    </row>
    <row r="3163" spans="1:27" ht="0.75" customHeight="1" thickBot="1">
      <c r="A3163" s="2714"/>
      <c r="B3163" s="371"/>
      <c r="C3163" s="371"/>
      <c r="D3163" s="371"/>
      <c r="E3163" s="586"/>
      <c r="F3163" s="586"/>
      <c r="G3163" s="586" t="s">
        <v>3725</v>
      </c>
      <c r="H3163" s="371" t="s">
        <v>3620</v>
      </c>
      <c r="I3163" s="371" t="s">
        <v>2821</v>
      </c>
      <c r="J3163" s="291"/>
      <c r="S3163" s="364"/>
      <c r="Z3163" s="609" t="s">
        <v>1246</v>
      </c>
      <c r="AA3163" s="609" t="s">
        <v>3720</v>
      </c>
    </row>
    <row r="3164" spans="1:27" ht="18">
      <c r="A3164" s="2714"/>
      <c r="B3164" s="371"/>
      <c r="C3164" s="371"/>
      <c r="D3164" s="371"/>
      <c r="E3164" s="586" t="s">
        <v>2749</v>
      </c>
      <c r="F3164" s="363"/>
      <c r="G3164" s="2363" t="s">
        <v>47</v>
      </c>
      <c r="H3164" s="2364" t="s">
        <v>2887</v>
      </c>
      <c r="I3164" s="2365" t="s">
        <v>2508</v>
      </c>
      <c r="J3164" s="355" t="s">
        <v>6176</v>
      </c>
      <c r="K3164" s="532"/>
      <c r="L3164" s="532"/>
      <c r="M3164" s="532"/>
      <c r="S3164" s="364"/>
      <c r="Z3164" s="609" t="s">
        <v>1246</v>
      </c>
      <c r="AA3164" s="609" t="s">
        <v>3720</v>
      </c>
    </row>
    <row r="3165" spans="1:27" ht="18">
      <c r="A3165" s="2714"/>
      <c r="B3165" s="371">
        <v>101</v>
      </c>
      <c r="C3165" s="371"/>
      <c r="D3165" s="2716">
        <f t="shared" ref="D3165:D3172" si="374">IF(OR(G3165="*",G3165="",G3165=0),0,COUNTIF($G$3165:$G$3172,G3165))</f>
        <v>1</v>
      </c>
      <c r="E3165" s="2721" t="s">
        <v>41</v>
      </c>
      <c r="F3165" s="294"/>
      <c r="G3165" s="1474" t="s">
        <v>3726</v>
      </c>
      <c r="H3165" s="2275"/>
      <c r="I3165" s="2276"/>
      <c r="J3165" s="579"/>
      <c r="S3165" s="364"/>
      <c r="Z3165" s="609" t="s">
        <v>1246</v>
      </c>
      <c r="AA3165" s="609" t="s">
        <v>3720</v>
      </c>
    </row>
    <row r="3166" spans="1:27" ht="18">
      <c r="A3166" s="2714"/>
      <c r="B3166" s="371">
        <v>102</v>
      </c>
      <c r="C3166" s="371" t="s">
        <v>2791</v>
      </c>
      <c r="D3166" s="2716">
        <f t="shared" si="374"/>
        <v>1</v>
      </c>
      <c r="E3166" s="2721">
        <v>-1</v>
      </c>
      <c r="F3166" s="294"/>
      <c r="G3166" s="578" t="s">
        <v>3727</v>
      </c>
      <c r="H3166" s="2275"/>
      <c r="I3166" s="2276"/>
      <c r="S3166" s="364"/>
      <c r="Z3166" s="609" t="s">
        <v>1246</v>
      </c>
      <c r="AA3166" s="609" t="s">
        <v>3720</v>
      </c>
    </row>
    <row r="3167" spans="1:27" ht="18">
      <c r="A3167" s="2714"/>
      <c r="B3167" s="371">
        <v>103</v>
      </c>
      <c r="C3167" s="371" t="s">
        <v>2791</v>
      </c>
      <c r="D3167" s="2716">
        <f t="shared" si="374"/>
        <v>1</v>
      </c>
      <c r="E3167" s="2721">
        <v>1</v>
      </c>
      <c r="F3167" s="294"/>
      <c r="G3167" s="578" t="s">
        <v>685</v>
      </c>
      <c r="H3167" s="2275"/>
      <c r="I3167" s="2276"/>
      <c r="S3167" s="364"/>
      <c r="Z3167" s="609" t="s">
        <v>1246</v>
      </c>
      <c r="AA3167" s="609" t="s">
        <v>3720</v>
      </c>
    </row>
    <row r="3168" spans="1:27" ht="18">
      <c r="A3168" s="2714"/>
      <c r="B3168" s="371">
        <v>104</v>
      </c>
      <c r="C3168" s="371" t="s">
        <v>2791</v>
      </c>
      <c r="D3168" s="2716">
        <f t="shared" si="374"/>
        <v>1</v>
      </c>
      <c r="E3168" s="2721">
        <v>1</v>
      </c>
      <c r="F3168" s="294"/>
      <c r="G3168" s="578" t="s">
        <v>680</v>
      </c>
      <c r="H3168" s="2275"/>
      <c r="I3168" s="2276"/>
      <c r="S3168" s="364"/>
      <c r="Z3168" s="609" t="s">
        <v>1246</v>
      </c>
      <c r="AA3168" s="609" t="s">
        <v>3720</v>
      </c>
    </row>
    <row r="3169" spans="1:27" ht="18">
      <c r="A3169" s="2714"/>
      <c r="B3169" s="371">
        <v>105</v>
      </c>
      <c r="C3169" s="371" t="s">
        <v>2791</v>
      </c>
      <c r="D3169" s="2716">
        <f t="shared" si="374"/>
        <v>1</v>
      </c>
      <c r="E3169" s="2721">
        <v>1</v>
      </c>
      <c r="F3169" s="294"/>
      <c r="G3169" s="578" t="s">
        <v>362</v>
      </c>
      <c r="H3169" s="2275"/>
      <c r="I3169" s="2276"/>
      <c r="S3169" s="364"/>
      <c r="Z3169" s="609" t="s">
        <v>1246</v>
      </c>
      <c r="AA3169" s="609" t="s">
        <v>3720</v>
      </c>
    </row>
    <row r="3170" spans="1:27" ht="18">
      <c r="A3170" s="2714"/>
      <c r="B3170" s="371">
        <v>106</v>
      </c>
      <c r="C3170" s="371" t="s">
        <v>2791</v>
      </c>
      <c r="D3170" s="2716">
        <f t="shared" si="374"/>
        <v>1</v>
      </c>
      <c r="E3170" s="2721">
        <v>1</v>
      </c>
      <c r="F3170" s="294"/>
      <c r="G3170" s="578" t="s">
        <v>369</v>
      </c>
      <c r="H3170" s="2275"/>
      <c r="I3170" s="2276"/>
      <c r="S3170" s="364"/>
      <c r="Z3170" s="609" t="s">
        <v>1246</v>
      </c>
      <c r="AA3170" s="609" t="s">
        <v>3720</v>
      </c>
    </row>
    <row r="3171" spans="1:27" ht="18">
      <c r="A3171" s="2714"/>
      <c r="B3171" s="371">
        <v>107</v>
      </c>
      <c r="C3171" s="371" t="s">
        <v>2791</v>
      </c>
      <c r="D3171" s="2716">
        <f t="shared" si="374"/>
        <v>0</v>
      </c>
      <c r="E3171" s="2721">
        <v>1</v>
      </c>
      <c r="F3171" s="294"/>
      <c r="G3171" s="2375" t="s">
        <v>2792</v>
      </c>
      <c r="H3171" s="2275"/>
      <c r="I3171" s="2276"/>
      <c r="S3171" s="364"/>
      <c r="Z3171" s="609" t="s">
        <v>1246</v>
      </c>
      <c r="AA3171" s="609" t="s">
        <v>3720</v>
      </c>
    </row>
    <row r="3172" spans="1:27" ht="18.75" thickBot="1">
      <c r="A3172" s="2714"/>
      <c r="B3172" s="371"/>
      <c r="C3172" s="371"/>
      <c r="D3172" s="2716">
        <f t="shared" si="374"/>
        <v>1</v>
      </c>
      <c r="E3172" s="2721" t="s">
        <v>2751</v>
      </c>
      <c r="F3172" s="294"/>
      <c r="G3172" s="1529" t="s">
        <v>2752</v>
      </c>
      <c r="H3172" s="1527">
        <f>SUMPRODUCT($E3164:$E3171,H3164:H3171)</f>
        <v>0</v>
      </c>
      <c r="I3172" s="2266"/>
      <c r="S3172" s="364"/>
      <c r="Z3172" s="609" t="s">
        <v>1246</v>
      </c>
      <c r="AA3172" s="609" t="s">
        <v>3720</v>
      </c>
    </row>
    <row r="3173" spans="1:27" ht="18">
      <c r="A3173" s="2714"/>
      <c r="B3173" s="371"/>
      <c r="C3173" s="371" t="s">
        <v>2755</v>
      </c>
      <c r="D3173" s="371"/>
      <c r="F3173" s="294"/>
      <c r="G3173" s="301"/>
      <c r="H3173" s="315"/>
      <c r="I3173" s="393"/>
      <c r="J3173" s="349"/>
      <c r="K3173" s="349"/>
      <c r="L3173" s="349"/>
      <c r="M3173" s="349"/>
      <c r="S3173" s="364"/>
      <c r="Z3173" s="609" t="s">
        <v>1246</v>
      </c>
      <c r="AA3173" s="609" t="s">
        <v>3720</v>
      </c>
    </row>
    <row r="3174" spans="1:27" ht="18">
      <c r="A3174" s="2714">
        <v>1700</v>
      </c>
      <c r="B3174" s="371">
        <v>28</v>
      </c>
      <c r="C3174" s="2716" t="str">
        <f>VLOOKUP($A3174,Sheet_Items,2,0)</f>
        <v>开发支出</v>
      </c>
      <c r="D3174" s="371"/>
      <c r="F3174" s="294"/>
      <c r="G3174" s="583" t="str">
        <f>B3174&amp;" "&amp;C3174</f>
        <v>28 开发支出</v>
      </c>
      <c r="H3174" s="290"/>
      <c r="I3174" s="290"/>
      <c r="J3174" s="540" t="s">
        <v>2740</v>
      </c>
      <c r="K3174" s="341">
        <f>VLOOKUP($A3174,Sheet_Trialbal,6,0)</f>
        <v>1467375.43</v>
      </c>
      <c r="L3174" s="541"/>
      <c r="M3174" s="540" t="s">
        <v>2741</v>
      </c>
      <c r="N3174" s="341">
        <f>VLOOKUP($A3174,Sheet_Trialbal,10,0)</f>
        <v>2369218.02</v>
      </c>
      <c r="O3174" s="540"/>
      <c r="S3174" s="364"/>
      <c r="Z3174" s="609" t="s">
        <v>3728</v>
      </c>
      <c r="AA3174" s="609" t="s">
        <v>5666</v>
      </c>
    </row>
    <row r="3175" spans="1:27" ht="18">
      <c r="A3175" s="2714" t="s">
        <v>6566</v>
      </c>
      <c r="B3175" s="371">
        <v>1</v>
      </c>
      <c r="C3175" s="371"/>
      <c r="D3175" s="2716" t="str">
        <f>VLOOKUP($A3175,Sheet_NoteList,2,0)</f>
        <v>开发支出变动情况</v>
      </c>
      <c r="E3175" s="2716" t="s">
        <v>2742</v>
      </c>
      <c r="F3175" s="294"/>
      <c r="G3175" s="307" t="str">
        <f>"("&amp;B3175&amp;")"&amp;D3175</f>
        <v>(1)开发支出变动情况</v>
      </c>
      <c r="H3175" s="1517" t="str">
        <f>$A3175</f>
        <v>1700b</v>
      </c>
      <c r="I3175" s="343" t="s">
        <v>2743</v>
      </c>
      <c r="J3175" s="301" t="s">
        <v>2744</v>
      </c>
      <c r="K3175" s="2210">
        <f>M3189</f>
        <v>1467375.43</v>
      </c>
      <c r="L3175" s="345" t="str">
        <f>IF($I3175="适用",IF(ROUND(K3174-K3175,2)=0,"F/S",ROUND(K3174-K3175,2)),"#N/A")</f>
        <v>F/S</v>
      </c>
      <c r="M3175" s="301" t="s">
        <v>2745</v>
      </c>
      <c r="N3175" s="2210">
        <f>H3189</f>
        <v>2369218.02</v>
      </c>
      <c r="O3175" s="345" t="str">
        <f>IF($I3175="适用",IF(ROUND(N3174-N3175,2)=0,"F/S",ROUND(N3174-N3175,2)),"#N/A")</f>
        <v>F/S</v>
      </c>
      <c r="P3175" s="301"/>
      <c r="Q3175" s="290" t="str">
        <f>IF($I3175="不适用","",IF(ROUND(SUM($H$3180:$P$3189),2)=0,"请输入",""))</f>
        <v/>
      </c>
      <c r="S3175" s="364"/>
      <c r="Z3175" s="609" t="s">
        <v>3728</v>
      </c>
      <c r="AA3175" s="609" t="s">
        <v>5666</v>
      </c>
    </row>
    <row r="3176" spans="1:27" ht="0.75" customHeight="1">
      <c r="A3176" s="2714"/>
      <c r="B3176" s="371"/>
      <c r="C3176" s="371"/>
      <c r="D3176" s="371"/>
      <c r="F3176" s="371"/>
      <c r="G3176" s="371" t="s">
        <v>6282</v>
      </c>
      <c r="H3176" s="371" t="s">
        <v>2904</v>
      </c>
      <c r="I3176" s="371" t="s">
        <v>3729</v>
      </c>
      <c r="J3176" s="369" t="s">
        <v>3578</v>
      </c>
      <c r="K3176" s="371" t="s">
        <v>3730</v>
      </c>
      <c r="L3176" s="371" t="s">
        <v>3731</v>
      </c>
      <c r="M3176" s="371" t="s">
        <v>3221</v>
      </c>
      <c r="N3176" s="586" t="s">
        <v>3732</v>
      </c>
      <c r="O3176" s="586" t="s">
        <v>3733</v>
      </c>
      <c r="P3176" s="586" t="s">
        <v>3734</v>
      </c>
      <c r="Q3176" s="367"/>
      <c r="R3176" s="367"/>
      <c r="S3176" s="364"/>
      <c r="Z3176" s="609" t="s">
        <v>3728</v>
      </c>
      <c r="AA3176" s="609" t="s">
        <v>5666</v>
      </c>
    </row>
    <row r="3177" spans="1:27" ht="0.75" customHeight="1" thickBot="1">
      <c r="A3177" s="2714"/>
      <c r="B3177" s="371"/>
      <c r="C3177" s="371"/>
      <c r="D3177" s="371"/>
      <c r="F3177" s="371"/>
      <c r="G3177" s="371"/>
      <c r="H3177" s="371" t="s">
        <v>3020</v>
      </c>
      <c r="I3177" s="371" t="s">
        <v>3735</v>
      </c>
      <c r="J3177" s="369" t="s">
        <v>3736</v>
      </c>
      <c r="K3177" s="371" t="s">
        <v>3737</v>
      </c>
      <c r="L3177" s="371" t="s">
        <v>3738</v>
      </c>
      <c r="M3177" s="371" t="s">
        <v>3026</v>
      </c>
      <c r="N3177" s="586" t="s">
        <v>3739</v>
      </c>
      <c r="O3177" s="586" t="s">
        <v>3740</v>
      </c>
      <c r="P3177" s="586" t="s">
        <v>3741</v>
      </c>
      <c r="Q3177" s="367"/>
      <c r="R3177" s="367"/>
      <c r="S3177" s="364"/>
      <c r="Z3177" s="609" t="s">
        <v>3728</v>
      </c>
      <c r="AA3177" s="609" t="s">
        <v>5666</v>
      </c>
    </row>
    <row r="3178" spans="1:27" ht="18">
      <c r="A3178" s="2714"/>
      <c r="B3178" s="371"/>
      <c r="C3178" s="371"/>
      <c r="D3178" s="371"/>
      <c r="E3178" s="2716" t="s">
        <v>2749</v>
      </c>
      <c r="F3178" s="294"/>
      <c r="G3178" s="3506" t="s">
        <v>47</v>
      </c>
      <c r="H3178" s="3468" t="str">
        <f>$V$3</f>
        <v>2018年12月31日</v>
      </c>
      <c r="I3178" s="3467" t="s">
        <v>3027</v>
      </c>
      <c r="J3178" s="3467"/>
      <c r="K3178" s="3467" t="s">
        <v>3028</v>
      </c>
      <c r="L3178" s="3467"/>
      <c r="M3178" s="3411" t="str">
        <f>$V$2</f>
        <v>2019年12月31日</v>
      </c>
      <c r="N3178" s="3439" t="s">
        <v>3742</v>
      </c>
      <c r="O3178" s="3439" t="s">
        <v>3743</v>
      </c>
      <c r="P3178" s="3409" t="s">
        <v>3744</v>
      </c>
      <c r="Q3178" s="355" t="s">
        <v>5293</v>
      </c>
      <c r="R3178" s="367"/>
      <c r="S3178" s="364"/>
      <c r="Z3178" s="609" t="s">
        <v>3728</v>
      </c>
      <c r="AA3178" s="609" t="s">
        <v>5666</v>
      </c>
    </row>
    <row r="3179" spans="1:27" ht="18">
      <c r="A3179" s="2714"/>
      <c r="B3179" s="371"/>
      <c r="C3179" s="371"/>
      <c r="D3179" s="371"/>
      <c r="E3179" s="2716" t="s">
        <v>2749</v>
      </c>
      <c r="F3179" s="294"/>
      <c r="G3179" s="3507"/>
      <c r="H3179" s="3469"/>
      <c r="I3179" s="554" t="s">
        <v>3745</v>
      </c>
      <c r="J3179" s="587" t="s">
        <v>3704</v>
      </c>
      <c r="K3179" s="554" t="s">
        <v>3746</v>
      </c>
      <c r="L3179" s="1491" t="s">
        <v>5200</v>
      </c>
      <c r="M3179" s="3412"/>
      <c r="N3179" s="3440"/>
      <c r="O3179" s="3440"/>
      <c r="P3179" s="3410"/>
      <c r="Q3179" s="367"/>
      <c r="R3179" s="367"/>
      <c r="S3179" s="364"/>
      <c r="Z3179" s="609" t="s">
        <v>3728</v>
      </c>
      <c r="AA3179" s="609" t="s">
        <v>5666</v>
      </c>
    </row>
    <row r="3180" spans="1:27" ht="18">
      <c r="A3180" s="2714"/>
      <c r="B3180" s="371">
        <v>101</v>
      </c>
      <c r="C3180" s="371" t="s">
        <v>2791</v>
      </c>
      <c r="D3180" s="2716">
        <f t="shared" ref="D3180:D3189" si="375">IF(OR(G3180="*",G3180="",G3180=0),0,COUNTIF($G$3180:$G$3189,G3180))</f>
        <v>1</v>
      </c>
      <c r="E3180" s="2721">
        <v>1</v>
      </c>
      <c r="F3180" s="294"/>
      <c r="G3180" s="409" t="s">
        <v>6856</v>
      </c>
      <c r="H3180" s="383">
        <v>983680.98</v>
      </c>
      <c r="I3180" s="383">
        <v>74320.28</v>
      </c>
      <c r="J3180" s="383"/>
      <c r="K3180" s="383"/>
      <c r="L3180" s="383"/>
      <c r="M3180" s="561">
        <f t="shared" ref="M3180:M3188" si="376">SUM(H3180:J3180,-K3180,-L3180)</f>
        <v>1058001.26</v>
      </c>
      <c r="N3180" s="3113">
        <v>42095</v>
      </c>
      <c r="O3180" s="469" t="s">
        <v>6866</v>
      </c>
      <c r="P3180" s="492">
        <v>81.97</v>
      </c>
      <c r="Q3180" s="367"/>
      <c r="R3180" s="367"/>
      <c r="S3180" s="364"/>
      <c r="Z3180" s="609" t="s">
        <v>3728</v>
      </c>
      <c r="AA3180" s="609" t="s">
        <v>5666</v>
      </c>
    </row>
    <row r="3181" spans="1:27" ht="18">
      <c r="A3181" s="2714"/>
      <c r="B3181" s="371">
        <v>102</v>
      </c>
      <c r="C3181" s="371" t="s">
        <v>2791</v>
      </c>
      <c r="D3181" s="2716">
        <f t="shared" si="375"/>
        <v>1</v>
      </c>
      <c r="E3181" s="2721">
        <v>1</v>
      </c>
      <c r="F3181" s="294"/>
      <c r="G3181" s="409" t="s">
        <v>6857</v>
      </c>
      <c r="H3181" s="383">
        <v>599713.35</v>
      </c>
      <c r="I3181" s="383"/>
      <c r="J3181" s="383"/>
      <c r="K3181" s="383"/>
      <c r="L3181" s="383">
        <v>599713.35</v>
      </c>
      <c r="M3181" s="561">
        <f t="shared" si="376"/>
        <v>0</v>
      </c>
      <c r="N3181" s="469"/>
      <c r="O3181" s="469"/>
      <c r="P3181" s="492"/>
      <c r="Q3181" s="367"/>
      <c r="R3181" s="367"/>
      <c r="S3181" s="364"/>
      <c r="Z3181" s="609" t="s">
        <v>3728</v>
      </c>
      <c r="AA3181" s="609" t="s">
        <v>5666</v>
      </c>
    </row>
    <row r="3182" spans="1:27" ht="18">
      <c r="A3182" s="2714"/>
      <c r="B3182" s="371">
        <v>103</v>
      </c>
      <c r="C3182" s="371" t="s">
        <v>2791</v>
      </c>
      <c r="D3182" s="2716">
        <f t="shared" si="375"/>
        <v>1</v>
      </c>
      <c r="E3182" s="2721">
        <v>1</v>
      </c>
      <c r="F3182" s="294"/>
      <c r="G3182" s="409" t="s">
        <v>6858</v>
      </c>
      <c r="H3182" s="383">
        <v>221108.12</v>
      </c>
      <c r="I3182" s="383"/>
      <c r="J3182" s="383"/>
      <c r="K3182" s="383"/>
      <c r="L3182" s="383">
        <v>221108.12</v>
      </c>
      <c r="M3182" s="561">
        <f t="shared" si="376"/>
        <v>0</v>
      </c>
      <c r="N3182" s="469"/>
      <c r="O3182" s="469"/>
      <c r="P3182" s="492"/>
      <c r="Q3182" s="367"/>
      <c r="R3182" s="367"/>
      <c r="S3182" s="364"/>
      <c r="Z3182" s="609" t="s">
        <v>3728</v>
      </c>
      <c r="AA3182" s="609" t="s">
        <v>5666</v>
      </c>
    </row>
    <row r="3183" spans="1:27" ht="18">
      <c r="A3183" s="2714"/>
      <c r="B3183" s="371">
        <v>104</v>
      </c>
      <c r="C3183" s="371" t="s">
        <v>2791</v>
      </c>
      <c r="D3183" s="2716">
        <f t="shared" si="375"/>
        <v>1</v>
      </c>
      <c r="E3183" s="2721">
        <v>1</v>
      </c>
      <c r="F3183" s="294"/>
      <c r="G3183" s="409" t="s">
        <v>6859</v>
      </c>
      <c r="H3183" s="383">
        <v>564715.56999999995</v>
      </c>
      <c r="I3183" s="383"/>
      <c r="J3183" s="383"/>
      <c r="K3183" s="383"/>
      <c r="L3183" s="383">
        <v>564715.56999999995</v>
      </c>
      <c r="M3183" s="561">
        <f t="shared" si="376"/>
        <v>0</v>
      </c>
      <c r="N3183" s="469"/>
      <c r="O3183" s="469"/>
      <c r="P3183" s="492"/>
      <c r="Q3183" s="367"/>
      <c r="R3183" s="367"/>
      <c r="S3183" s="364"/>
      <c r="Z3183" s="609" t="s">
        <v>3728</v>
      </c>
      <c r="AA3183" s="609" t="s">
        <v>5666</v>
      </c>
    </row>
    <row r="3184" spans="1:27" ht="18">
      <c r="A3184" s="2714"/>
      <c r="B3184" s="371">
        <v>105</v>
      </c>
      <c r="C3184" s="371" t="s">
        <v>6861</v>
      </c>
      <c r="D3184" s="2716">
        <f t="shared" si="375"/>
        <v>1</v>
      </c>
      <c r="E3184" s="2721">
        <v>1</v>
      </c>
      <c r="F3184" s="294"/>
      <c r="G3184" s="409" t="s">
        <v>6860</v>
      </c>
      <c r="H3184" s="383"/>
      <c r="I3184" s="383">
        <v>358242.78</v>
      </c>
      <c r="J3184" s="383"/>
      <c r="K3184" s="383"/>
      <c r="L3184" s="383"/>
      <c r="M3184" s="381">
        <f t="shared" si="376"/>
        <v>358242.78</v>
      </c>
      <c r="N3184" s="3114">
        <v>43556</v>
      </c>
      <c r="O3184" s="469" t="s">
        <v>6866</v>
      </c>
      <c r="P3184" s="492"/>
      <c r="Q3184" s="367"/>
      <c r="R3184" s="367"/>
      <c r="S3184" s="364"/>
      <c r="Z3184" s="609" t="s">
        <v>3728</v>
      </c>
      <c r="AA3184" s="609" t="s">
        <v>5666</v>
      </c>
    </row>
    <row r="3185" spans="1:27" ht="18">
      <c r="A3185" s="2714"/>
      <c r="B3185" s="371">
        <v>106</v>
      </c>
      <c r="C3185" s="371" t="s">
        <v>6862</v>
      </c>
      <c r="D3185" s="2716">
        <f t="shared" si="375"/>
        <v>1</v>
      </c>
      <c r="E3185" s="2721">
        <v>1</v>
      </c>
      <c r="F3185" s="294"/>
      <c r="G3185" s="409" t="s">
        <v>6864</v>
      </c>
      <c r="H3185" s="383"/>
      <c r="I3185" s="383">
        <v>51131.39</v>
      </c>
      <c r="J3185" s="383"/>
      <c r="K3185" s="383"/>
      <c r="L3185" s="383"/>
      <c r="M3185" s="381">
        <f t="shared" si="376"/>
        <v>51131.39</v>
      </c>
      <c r="N3185" s="3114">
        <v>43556</v>
      </c>
      <c r="O3185" s="469" t="s">
        <v>6866</v>
      </c>
      <c r="P3185" s="492"/>
      <c r="Q3185" s="367"/>
      <c r="R3185" s="367"/>
      <c r="S3185" s="364"/>
      <c r="Z3185" s="609" t="s">
        <v>3728</v>
      </c>
      <c r="AA3185" s="609" t="s">
        <v>5666</v>
      </c>
    </row>
    <row r="3186" spans="1:27" ht="24">
      <c r="A3186" s="2714"/>
      <c r="B3186" s="371"/>
      <c r="C3186" s="371" t="s">
        <v>2791</v>
      </c>
      <c r="D3186" s="2716"/>
      <c r="E3186" s="2721">
        <v>1</v>
      </c>
      <c r="F3186" s="294"/>
      <c r="G3186" s="409" t="s">
        <v>6865</v>
      </c>
      <c r="H3186" s="383"/>
      <c r="I3186" s="383">
        <v>233778.24</v>
      </c>
      <c r="J3186" s="383"/>
      <c r="K3186" s="383">
        <v>233778.24</v>
      </c>
      <c r="L3186" s="383"/>
      <c r="M3186" s="381">
        <f t="shared" si="376"/>
        <v>0</v>
      </c>
      <c r="N3186" s="469"/>
      <c r="O3186" s="469"/>
      <c r="P3186" s="492"/>
      <c r="Q3186" s="367"/>
      <c r="R3186" s="367"/>
      <c r="S3186" s="364"/>
      <c r="Z3186" s="609" t="s">
        <v>3728</v>
      </c>
      <c r="AA3186" s="609" t="s">
        <v>5666</v>
      </c>
    </row>
    <row r="3187" spans="1:27" ht="18">
      <c r="A3187" s="2714"/>
      <c r="B3187" s="371"/>
      <c r="C3187" s="371" t="s">
        <v>6863</v>
      </c>
      <c r="D3187" s="2716"/>
      <c r="E3187" s="2721">
        <v>1</v>
      </c>
      <c r="F3187" s="294"/>
      <c r="G3187" s="409" t="s">
        <v>2792</v>
      </c>
      <c r="H3187" s="383"/>
      <c r="I3187" s="383"/>
      <c r="J3187" s="383"/>
      <c r="K3187" s="383"/>
      <c r="L3187" s="383"/>
      <c r="M3187" s="381">
        <f t="shared" si="376"/>
        <v>0</v>
      </c>
      <c r="N3187" s="469"/>
      <c r="O3187" s="469"/>
      <c r="P3187" s="492"/>
      <c r="Q3187" s="367"/>
      <c r="R3187" s="367"/>
      <c r="S3187" s="364"/>
      <c r="Z3187" s="609" t="s">
        <v>3728</v>
      </c>
      <c r="AA3187" s="609" t="s">
        <v>5666</v>
      </c>
    </row>
    <row r="3188" spans="1:27" ht="18">
      <c r="A3188" s="2714"/>
      <c r="B3188" s="371">
        <v>107</v>
      </c>
      <c r="C3188" s="371" t="s">
        <v>2791</v>
      </c>
      <c r="D3188" s="2716">
        <f t="shared" si="375"/>
        <v>0</v>
      </c>
      <c r="E3188" s="2721">
        <v>1</v>
      </c>
      <c r="F3188" s="294"/>
      <c r="G3188" s="409"/>
      <c r="H3188" s="383"/>
      <c r="I3188" s="383"/>
      <c r="J3188" s="383"/>
      <c r="K3188" s="383"/>
      <c r="L3188" s="383"/>
      <c r="M3188" s="561">
        <f t="shared" si="376"/>
        <v>0</v>
      </c>
      <c r="N3188" s="469"/>
      <c r="O3188" s="469"/>
      <c r="P3188" s="492"/>
      <c r="Q3188" s="367"/>
      <c r="R3188" s="367"/>
      <c r="S3188" s="364"/>
      <c r="Z3188" s="609" t="s">
        <v>3728</v>
      </c>
      <c r="AA3188" s="609" t="s">
        <v>5666</v>
      </c>
    </row>
    <row r="3189" spans="1:27" ht="18.75" thickBot="1">
      <c r="A3189" s="2714"/>
      <c r="B3189" s="371"/>
      <c r="C3189" s="371"/>
      <c r="D3189" s="2716">
        <f t="shared" si="375"/>
        <v>1</v>
      </c>
      <c r="E3189" s="2721" t="s">
        <v>2751</v>
      </c>
      <c r="F3189" s="294"/>
      <c r="G3189" s="403" t="s">
        <v>2752</v>
      </c>
      <c r="H3189" s="1498">
        <f t="shared" ref="H3189:M3189" si="377">SUMPRODUCT($E3179:$E3188,H3179:H3188)</f>
        <v>2369218.02</v>
      </c>
      <c r="I3189" s="1498">
        <f t="shared" si="377"/>
        <v>717472.69</v>
      </c>
      <c r="J3189" s="1498">
        <f t="shared" si="377"/>
        <v>0</v>
      </c>
      <c r="K3189" s="1498">
        <f t="shared" si="377"/>
        <v>233778.24</v>
      </c>
      <c r="L3189" s="1498">
        <f t="shared" si="377"/>
        <v>1385537.04</v>
      </c>
      <c r="M3189" s="1498">
        <f t="shared" si="377"/>
        <v>1467375.43</v>
      </c>
      <c r="N3189" s="2591"/>
      <c r="O3189" s="2591"/>
      <c r="P3189" s="2592"/>
      <c r="Q3189" s="367"/>
      <c r="R3189" s="367"/>
      <c r="S3189" s="364"/>
      <c r="Z3189" s="609" t="s">
        <v>3728</v>
      </c>
      <c r="AA3189" s="609" t="s">
        <v>5666</v>
      </c>
    </row>
    <row r="3190" spans="1:27" ht="18">
      <c r="A3190" s="2714"/>
      <c r="B3190" s="371"/>
      <c r="C3190" s="371" t="s">
        <v>2755</v>
      </c>
      <c r="D3190" s="371"/>
      <c r="F3190" s="294"/>
      <c r="G3190" s="557"/>
      <c r="H3190" s="349"/>
      <c r="I3190" s="349"/>
      <c r="J3190" s="349"/>
      <c r="K3190" s="349"/>
      <c r="L3190" s="349"/>
      <c r="M3190" s="349"/>
      <c r="N3190" s="350"/>
      <c r="O3190" s="350"/>
      <c r="P3190" s="350"/>
      <c r="Q3190" s="367"/>
      <c r="R3190" s="367"/>
      <c r="S3190" s="364"/>
      <c r="Z3190" s="609" t="s">
        <v>3728</v>
      </c>
      <c r="AA3190" s="609" t="s">
        <v>5666</v>
      </c>
    </row>
    <row r="3191" spans="1:27" ht="18">
      <c r="A3191" s="2714">
        <v>1711</v>
      </c>
      <c r="B3191" s="371">
        <v>29</v>
      </c>
      <c r="C3191" s="2716" t="str">
        <f>VLOOKUP($A3191,Sheet_Items,2,0)</f>
        <v>商誉</v>
      </c>
      <c r="D3191" s="371"/>
      <c r="E3191" s="2716" t="s">
        <v>2739</v>
      </c>
      <c r="F3191" s="294"/>
      <c r="G3191" s="305" t="str">
        <f>B3191&amp;" "&amp;C3191</f>
        <v>29 商誉</v>
      </c>
      <c r="H3191" s="306"/>
      <c r="I3191" s="306"/>
      <c r="J3191" s="306" t="s">
        <v>2740</v>
      </c>
      <c r="K3191" s="341">
        <f>VLOOKUP($A3191,Sheet_Trialbal,6,0)</f>
        <v>0</v>
      </c>
      <c r="L3191" s="342"/>
      <c r="M3191" s="306" t="s">
        <v>2741</v>
      </c>
      <c r="N3191" s="341">
        <f>VLOOKUP($A3191,Sheet_Trialbal,10,0)</f>
        <v>0</v>
      </c>
      <c r="O3191" s="306"/>
      <c r="P3191" s="301"/>
      <c r="S3191" s="364"/>
      <c r="Z3191" s="609" t="s">
        <v>1296</v>
      </c>
      <c r="AA3191" s="609" t="s">
        <v>5667</v>
      </c>
    </row>
    <row r="3192" spans="1:27" ht="18">
      <c r="A3192" s="2714" t="s">
        <v>1294</v>
      </c>
      <c r="B3192" s="371">
        <v>1</v>
      </c>
      <c r="C3192" s="371"/>
      <c r="D3192" s="2716" t="str">
        <f>VLOOKUP($A3192,Sheet_NoteList,2,0)</f>
        <v>商誉账面原值</v>
      </c>
      <c r="E3192" s="2716" t="s">
        <v>2742</v>
      </c>
      <c r="F3192" s="294"/>
      <c r="G3192" s="307" t="str">
        <f>"("&amp;B3192&amp;")"&amp;D3192</f>
        <v>(1)商誉账面原值</v>
      </c>
      <c r="H3192" s="1517" t="str">
        <f>$A3192</f>
        <v>1711a</v>
      </c>
      <c r="I3192" s="343" t="s">
        <v>2743</v>
      </c>
      <c r="J3192" s="301" t="s">
        <v>2744</v>
      </c>
      <c r="K3192" s="2210">
        <f>M3202-K3204</f>
        <v>0</v>
      </c>
      <c r="L3192" s="345" t="str">
        <f>IF($I3192="适用",IF(ROUND(K3191-K3192-K3204,2)=0,"F/S",ROUND(K3191-K3192-K3204,2)),"#N/A")</f>
        <v>F/S</v>
      </c>
      <c r="M3192" s="301" t="s">
        <v>2745</v>
      </c>
      <c r="N3192" s="2210">
        <f>H3202-N3204</f>
        <v>0</v>
      </c>
      <c r="O3192" s="345" t="str">
        <f>IF($I3192="适用",IF(ROUND(N3191-N3192-N3204,2)=0,"F/S",ROUND(N3191-N3192-N3204,2)),"#N/A")</f>
        <v>F/S</v>
      </c>
      <c r="P3192" s="301"/>
      <c r="Q3192" s="290" t="str">
        <f>IF($I3192="不适用","",IF(ROUND(SUM($H$3197:$M$3202),2)=0,"请输入",""))</f>
        <v>请输入</v>
      </c>
      <c r="S3192" s="364"/>
      <c r="Z3192" s="609" t="s">
        <v>1296</v>
      </c>
      <c r="AA3192" s="609" t="s">
        <v>5667</v>
      </c>
    </row>
    <row r="3193" spans="1:27" ht="0.75" customHeight="1">
      <c r="A3193" s="2714"/>
      <c r="B3193" s="371"/>
      <c r="C3193" s="371"/>
      <c r="D3193" s="371"/>
      <c r="E3193" s="586"/>
      <c r="F3193" s="518"/>
      <c r="G3193" s="518" t="s">
        <v>3747</v>
      </c>
      <c r="H3193" s="304" t="s">
        <v>2904</v>
      </c>
      <c r="I3193" s="304" t="s">
        <v>3748</v>
      </c>
      <c r="J3193" s="304" t="s">
        <v>3578</v>
      </c>
      <c r="K3193" s="304" t="s">
        <v>3579</v>
      </c>
      <c r="L3193" s="304" t="s">
        <v>3580</v>
      </c>
      <c r="M3193" s="304" t="s">
        <v>3221</v>
      </c>
      <c r="P3193" s="291"/>
      <c r="S3193" s="364"/>
      <c r="Z3193" s="609" t="s">
        <v>1296</v>
      </c>
      <c r="AA3193" s="609" t="s">
        <v>5667</v>
      </c>
    </row>
    <row r="3194" spans="1:27" ht="0.75" customHeight="1" thickBot="1">
      <c r="A3194" s="2714"/>
      <c r="B3194" s="371"/>
      <c r="C3194" s="371"/>
      <c r="D3194" s="371"/>
      <c r="E3194" s="586"/>
      <c r="F3194" s="518"/>
      <c r="G3194" s="518"/>
      <c r="H3194" s="304" t="s">
        <v>3691</v>
      </c>
      <c r="I3194" s="304" t="s">
        <v>3749</v>
      </c>
      <c r="J3194" s="304" t="s">
        <v>3736</v>
      </c>
      <c r="K3194" s="304" t="s">
        <v>3750</v>
      </c>
      <c r="L3194" s="304" t="s">
        <v>3751</v>
      </c>
      <c r="M3194" s="304" t="s">
        <v>3508</v>
      </c>
      <c r="P3194" s="291"/>
      <c r="S3194" s="364"/>
      <c r="Z3194" s="609" t="s">
        <v>1296</v>
      </c>
      <c r="AA3194" s="609" t="s">
        <v>5667</v>
      </c>
    </row>
    <row r="3195" spans="1:27" ht="24" customHeight="1">
      <c r="A3195" s="2714"/>
      <c r="B3195" s="371"/>
      <c r="C3195" s="371"/>
      <c r="D3195" s="371"/>
      <c r="E3195" s="586" t="s">
        <v>2749</v>
      </c>
      <c r="F3195" s="2343"/>
      <c r="G3195" s="3465" t="s">
        <v>3752</v>
      </c>
      <c r="H3195" s="3386" t="str">
        <f>$V$3</f>
        <v>2018年12月31日</v>
      </c>
      <c r="I3195" s="3433" t="s">
        <v>3027</v>
      </c>
      <c r="J3195" s="3433"/>
      <c r="K3195" s="3433" t="s">
        <v>3028</v>
      </c>
      <c r="L3195" s="3433"/>
      <c r="M3195" s="3478" t="str">
        <f>$V$2</f>
        <v>2019年12月31日</v>
      </c>
      <c r="N3195" s="355" t="s">
        <v>5294</v>
      </c>
      <c r="P3195" s="291"/>
      <c r="S3195" s="364"/>
      <c r="Z3195" s="609" t="s">
        <v>1296</v>
      </c>
      <c r="AA3195" s="609" t="s">
        <v>5667</v>
      </c>
    </row>
    <row r="3196" spans="1:27" ht="18">
      <c r="A3196" s="2714"/>
      <c r="B3196" s="371"/>
      <c r="C3196" s="371"/>
      <c r="D3196" s="371"/>
      <c r="E3196" s="586" t="s">
        <v>2749</v>
      </c>
      <c r="F3196" s="363"/>
      <c r="G3196" s="3466"/>
      <c r="H3196" s="3387"/>
      <c r="I3196" s="2369" t="s">
        <v>6067</v>
      </c>
      <c r="J3196" s="2369" t="s">
        <v>3704</v>
      </c>
      <c r="K3196" s="2369" t="s">
        <v>3596</v>
      </c>
      <c r="L3196" s="2369" t="s">
        <v>3658</v>
      </c>
      <c r="M3196" s="3479"/>
      <c r="P3196" s="291"/>
      <c r="S3196" s="364"/>
      <c r="Z3196" s="609" t="s">
        <v>1296</v>
      </c>
      <c r="AA3196" s="609" t="s">
        <v>5667</v>
      </c>
    </row>
    <row r="3197" spans="1:27" ht="18">
      <c r="A3197" s="2714"/>
      <c r="B3197" s="371">
        <v>101</v>
      </c>
      <c r="C3197" s="371" t="s">
        <v>2791</v>
      </c>
      <c r="D3197" s="2716">
        <f t="shared" ref="D3197:D3202" si="378">IF(OR(G3197="*",G3197="",G3197=0),0,COUNTIF($G$3197:$G$3202,G3197))</f>
        <v>0</v>
      </c>
      <c r="E3197" s="2721">
        <v>1</v>
      </c>
      <c r="F3197" s="294"/>
      <c r="G3197" s="2375" t="s">
        <v>2792</v>
      </c>
      <c r="H3197" s="2275"/>
      <c r="I3197" s="2275"/>
      <c r="J3197" s="2275"/>
      <c r="K3197" s="2275"/>
      <c r="L3197" s="2275"/>
      <c r="M3197" s="1477">
        <f>SUM(H3197:J3197,-K3197,-L3197)</f>
        <v>0</v>
      </c>
      <c r="N3197" s="291"/>
      <c r="O3197" s="291"/>
      <c r="P3197" s="291"/>
      <c r="S3197" s="364"/>
      <c r="Z3197" s="609" t="s">
        <v>1296</v>
      </c>
      <c r="AA3197" s="609" t="s">
        <v>5667</v>
      </c>
    </row>
    <row r="3198" spans="1:27" ht="18">
      <c r="A3198" s="2714"/>
      <c r="B3198" s="371">
        <v>102</v>
      </c>
      <c r="C3198" s="371" t="s">
        <v>2791</v>
      </c>
      <c r="D3198" s="2716">
        <f t="shared" si="378"/>
        <v>0</v>
      </c>
      <c r="E3198" s="2721">
        <v>1</v>
      </c>
      <c r="F3198" s="294"/>
      <c r="G3198" s="2375" t="s">
        <v>2792</v>
      </c>
      <c r="H3198" s="2275"/>
      <c r="I3198" s="2275"/>
      <c r="J3198" s="2275"/>
      <c r="K3198" s="2275"/>
      <c r="L3198" s="2275"/>
      <c r="M3198" s="1477">
        <f>SUM(H3198:J3198,-K3198,-L3198)</f>
        <v>0</v>
      </c>
      <c r="N3198" s="291"/>
      <c r="O3198" s="291"/>
      <c r="P3198" s="291"/>
      <c r="S3198" s="364"/>
      <c r="Z3198" s="609" t="s">
        <v>1296</v>
      </c>
      <c r="AA3198" s="609" t="s">
        <v>5667</v>
      </c>
    </row>
    <row r="3199" spans="1:27" ht="18">
      <c r="A3199" s="2714"/>
      <c r="B3199" s="371">
        <v>103</v>
      </c>
      <c r="C3199" s="371" t="s">
        <v>2791</v>
      </c>
      <c r="D3199" s="2716">
        <f t="shared" si="378"/>
        <v>0</v>
      </c>
      <c r="E3199" s="2721">
        <v>1</v>
      </c>
      <c r="F3199" s="294"/>
      <c r="G3199" s="2375" t="s">
        <v>2792</v>
      </c>
      <c r="H3199" s="2275"/>
      <c r="I3199" s="2275"/>
      <c r="J3199" s="2275"/>
      <c r="K3199" s="2275"/>
      <c r="L3199" s="2275"/>
      <c r="M3199" s="1477">
        <f>SUM(H3199:J3199,-K3199,-L3199)</f>
        <v>0</v>
      </c>
      <c r="N3199" s="291"/>
      <c r="O3199" s="291"/>
      <c r="P3199" s="291"/>
      <c r="S3199" s="364"/>
      <c r="Z3199" s="609" t="s">
        <v>1296</v>
      </c>
      <c r="AA3199" s="609" t="s">
        <v>5667</v>
      </c>
    </row>
    <row r="3200" spans="1:27" ht="18">
      <c r="A3200" s="2714"/>
      <c r="B3200" s="371">
        <v>104</v>
      </c>
      <c r="C3200" s="371" t="s">
        <v>2791</v>
      </c>
      <c r="D3200" s="2716">
        <f t="shared" si="378"/>
        <v>0</v>
      </c>
      <c r="E3200" s="2721">
        <v>1</v>
      </c>
      <c r="F3200" s="294"/>
      <c r="G3200" s="2375" t="s">
        <v>2792</v>
      </c>
      <c r="H3200" s="2275"/>
      <c r="I3200" s="2275"/>
      <c r="J3200" s="2275"/>
      <c r="K3200" s="2275"/>
      <c r="L3200" s="2275"/>
      <c r="M3200" s="1477">
        <f>SUM(H3200:J3200,-K3200,-L3200)</f>
        <v>0</v>
      </c>
      <c r="N3200" s="291"/>
      <c r="O3200" s="291"/>
      <c r="P3200" s="291"/>
      <c r="S3200" s="364"/>
      <c r="Z3200" s="609" t="s">
        <v>1296</v>
      </c>
      <c r="AA3200" s="609" t="s">
        <v>5667</v>
      </c>
    </row>
    <row r="3201" spans="1:29" ht="18">
      <c r="A3201" s="2714"/>
      <c r="B3201" s="371">
        <v>105</v>
      </c>
      <c r="C3201" s="371" t="s">
        <v>2791</v>
      </c>
      <c r="D3201" s="2716">
        <f t="shared" si="378"/>
        <v>0</v>
      </c>
      <c r="E3201" s="2721">
        <v>1</v>
      </c>
      <c r="F3201" s="294"/>
      <c r="G3201" s="2375" t="s">
        <v>2792</v>
      </c>
      <c r="H3201" s="2275"/>
      <c r="I3201" s="2275"/>
      <c r="J3201" s="2275"/>
      <c r="K3201" s="2275"/>
      <c r="L3201" s="2275"/>
      <c r="M3201" s="1477">
        <f>SUM(H3201:J3201,-K3201,-L3201)</f>
        <v>0</v>
      </c>
      <c r="N3201" s="291"/>
      <c r="O3201" s="291"/>
      <c r="P3201" s="291"/>
      <c r="S3201" s="364"/>
      <c r="Z3201" s="609" t="s">
        <v>1296</v>
      </c>
      <c r="AA3201" s="609" t="s">
        <v>5667</v>
      </c>
    </row>
    <row r="3202" spans="1:29" ht="18.75" thickBot="1">
      <c r="A3202" s="2714"/>
      <c r="B3202" s="371"/>
      <c r="C3202" s="371"/>
      <c r="D3202" s="2716">
        <f t="shared" si="378"/>
        <v>1</v>
      </c>
      <c r="E3202" s="2721" t="s">
        <v>2751</v>
      </c>
      <c r="F3202" s="294"/>
      <c r="G3202" s="374" t="s">
        <v>2752</v>
      </c>
      <c r="H3202" s="1478">
        <f t="shared" ref="H3202:M3202" si="379">SUMPRODUCT($E3196:$E3201,H3196:H3201)</f>
        <v>0</v>
      </c>
      <c r="I3202" s="1478">
        <f t="shared" si="379"/>
        <v>0</v>
      </c>
      <c r="J3202" s="1478">
        <f t="shared" si="379"/>
        <v>0</v>
      </c>
      <c r="K3202" s="1478">
        <f t="shared" si="379"/>
        <v>0</v>
      </c>
      <c r="L3202" s="1478">
        <f t="shared" si="379"/>
        <v>0</v>
      </c>
      <c r="M3202" s="1479">
        <f t="shared" si="379"/>
        <v>0</v>
      </c>
      <c r="N3202" s="291"/>
      <c r="O3202" s="291"/>
      <c r="P3202" s="291"/>
      <c r="S3202" s="364"/>
      <c r="Z3202" s="609" t="s">
        <v>1296</v>
      </c>
      <c r="AA3202" s="609" t="s">
        <v>5667</v>
      </c>
    </row>
    <row r="3203" spans="1:29" ht="18">
      <c r="A3203" s="2714"/>
      <c r="B3203" s="371"/>
      <c r="C3203" s="371" t="s">
        <v>2755</v>
      </c>
      <c r="D3203" s="371"/>
      <c r="F3203" s="294"/>
      <c r="G3203" s="301"/>
      <c r="H3203" s="315"/>
      <c r="I3203" s="315"/>
      <c r="J3203" s="315"/>
      <c r="K3203" s="315"/>
      <c r="L3203" s="315"/>
      <c r="M3203" s="315"/>
      <c r="N3203" s="291"/>
      <c r="O3203" s="291"/>
      <c r="P3203" s="291"/>
      <c r="S3203" s="364"/>
      <c r="Z3203" s="609" t="s">
        <v>1296</v>
      </c>
      <c r="AA3203" s="609" t="s">
        <v>5667</v>
      </c>
    </row>
    <row r="3204" spans="1:29" ht="18">
      <c r="A3204" s="2714" t="s">
        <v>1300</v>
      </c>
      <c r="B3204" s="371">
        <v>2</v>
      </c>
      <c r="C3204" s="371"/>
      <c r="D3204" s="2716" t="str">
        <f>VLOOKUP($A3204,Sheet_NoteList,2,0)</f>
        <v>商誉减值准备</v>
      </c>
      <c r="E3204" s="2716" t="s">
        <v>2742</v>
      </c>
      <c r="F3204" s="294"/>
      <c r="G3204" s="307" t="str">
        <f>"("&amp;B3204&amp;")"&amp;D3204</f>
        <v>(2)商誉减值准备</v>
      </c>
      <c r="H3204" s="1517" t="str">
        <f>$A3204</f>
        <v>1711b</v>
      </c>
      <c r="I3204" s="343" t="s">
        <v>2743</v>
      </c>
      <c r="J3204" s="301" t="s">
        <v>2744</v>
      </c>
      <c r="K3204" s="2210">
        <f>M3214</f>
        <v>0</v>
      </c>
      <c r="L3204" s="345"/>
      <c r="M3204" s="301" t="s">
        <v>2745</v>
      </c>
      <c r="N3204" s="2210">
        <f>H3214</f>
        <v>0</v>
      </c>
      <c r="O3204" s="315"/>
      <c r="P3204" s="301"/>
      <c r="Q3204" s="290" t="str">
        <f>IF($I3204="不适用","",IF(ROUND(SUM($H$3209:$M$3214),2)=0,"请输入",""))</f>
        <v>请输入</v>
      </c>
      <c r="S3204" s="364"/>
      <c r="Z3204" s="609" t="s">
        <v>1296</v>
      </c>
      <c r="AA3204" s="609" t="s">
        <v>5667</v>
      </c>
    </row>
    <row r="3205" spans="1:29" ht="0.75" customHeight="1">
      <c r="A3205" s="2714"/>
      <c r="B3205" s="371"/>
      <c r="C3205" s="371"/>
      <c r="D3205" s="371"/>
      <c r="E3205" s="586"/>
      <c r="F3205" s="518"/>
      <c r="G3205" s="518" t="s">
        <v>3753</v>
      </c>
      <c r="H3205" s="304" t="s">
        <v>2904</v>
      </c>
      <c r="I3205" s="304" t="s">
        <v>2905</v>
      </c>
      <c r="J3205" s="304" t="s">
        <v>3578</v>
      </c>
      <c r="K3205" s="304" t="s">
        <v>3579</v>
      </c>
      <c r="L3205" s="304" t="s">
        <v>3580</v>
      </c>
      <c r="M3205" s="304" t="s">
        <v>3221</v>
      </c>
      <c r="P3205" s="291"/>
      <c r="S3205" s="364"/>
      <c r="Z3205" s="609" t="s">
        <v>1296</v>
      </c>
      <c r="AA3205" s="609" t="s">
        <v>5667</v>
      </c>
    </row>
    <row r="3206" spans="1:29" ht="0.75" customHeight="1" thickBot="1">
      <c r="A3206" s="2714"/>
      <c r="B3206" s="371"/>
      <c r="C3206" s="371"/>
      <c r="D3206" s="371"/>
      <c r="E3206" s="586"/>
      <c r="F3206" s="518"/>
      <c r="G3206" s="518"/>
      <c r="H3206" s="304" t="s">
        <v>3691</v>
      </c>
      <c r="I3206" s="304" t="s">
        <v>3021</v>
      </c>
      <c r="J3206" s="304" t="s">
        <v>3736</v>
      </c>
      <c r="K3206" s="304" t="s">
        <v>3750</v>
      </c>
      <c r="L3206" s="304" t="s">
        <v>3751</v>
      </c>
      <c r="M3206" s="304" t="s">
        <v>3508</v>
      </c>
      <c r="P3206" s="291"/>
      <c r="S3206" s="364"/>
      <c r="Z3206" s="609" t="s">
        <v>1296</v>
      </c>
      <c r="AA3206" s="609" t="s">
        <v>5667</v>
      </c>
    </row>
    <row r="3207" spans="1:29" ht="24" customHeight="1">
      <c r="A3207" s="2714"/>
      <c r="B3207" s="371"/>
      <c r="C3207" s="371"/>
      <c r="D3207" s="371"/>
      <c r="E3207" s="586" t="s">
        <v>2749</v>
      </c>
      <c r="F3207" s="2343"/>
      <c r="G3207" s="3465" t="s">
        <v>3752</v>
      </c>
      <c r="H3207" s="3386" t="str">
        <f>$V$3</f>
        <v>2018年12月31日</v>
      </c>
      <c r="I3207" s="3433" t="s">
        <v>3027</v>
      </c>
      <c r="J3207" s="3433"/>
      <c r="K3207" s="3433" t="s">
        <v>3028</v>
      </c>
      <c r="L3207" s="3433"/>
      <c r="M3207" s="3478" t="str">
        <f>$V$2</f>
        <v>2019年12月31日</v>
      </c>
      <c r="N3207" s="355" t="s">
        <v>5294</v>
      </c>
      <c r="P3207" s="291"/>
      <c r="S3207" s="364"/>
      <c r="Z3207" s="609" t="s">
        <v>1296</v>
      </c>
      <c r="AA3207" s="609" t="s">
        <v>5667</v>
      </c>
    </row>
    <row r="3208" spans="1:29" ht="18">
      <c r="A3208" s="2714"/>
      <c r="B3208" s="371"/>
      <c r="C3208" s="371"/>
      <c r="D3208" s="371"/>
      <c r="E3208" s="586" t="s">
        <v>2749</v>
      </c>
      <c r="F3208" s="363"/>
      <c r="G3208" s="3466"/>
      <c r="H3208" s="3387"/>
      <c r="I3208" s="2369" t="s">
        <v>2920</v>
      </c>
      <c r="J3208" s="2369" t="s">
        <v>3704</v>
      </c>
      <c r="K3208" s="2369" t="s">
        <v>3596</v>
      </c>
      <c r="L3208" s="2369" t="s">
        <v>3658</v>
      </c>
      <c r="M3208" s="3479"/>
      <c r="P3208" s="291"/>
      <c r="S3208" s="364"/>
      <c r="Z3208" s="609" t="s">
        <v>1296</v>
      </c>
      <c r="AA3208" s="609" t="s">
        <v>5667</v>
      </c>
    </row>
    <row r="3209" spans="1:29" ht="18">
      <c r="A3209" s="2714"/>
      <c r="B3209" s="371">
        <v>101</v>
      </c>
      <c r="C3209" s="371" t="s">
        <v>2791</v>
      </c>
      <c r="D3209" s="2716">
        <f t="shared" ref="D3209:D3214" si="380">IF(OR(G3209="*",G3209="",G3209=0),0,COUNTIF($G$3209:$G$3214,G3209))</f>
        <v>0</v>
      </c>
      <c r="E3209" s="2721">
        <v>1</v>
      </c>
      <c r="F3209" s="294"/>
      <c r="G3209" s="2375" t="s">
        <v>2792</v>
      </c>
      <c r="H3209" s="2275"/>
      <c r="I3209" s="2275"/>
      <c r="J3209" s="2275"/>
      <c r="K3209" s="2275"/>
      <c r="L3209" s="2275"/>
      <c r="M3209" s="1477">
        <f>SUM(H3209:J3209,-K3209,-L3209)</f>
        <v>0</v>
      </c>
      <c r="N3209" s="291"/>
      <c r="O3209" s="291"/>
      <c r="P3209" s="291"/>
      <c r="S3209" s="364"/>
      <c r="Z3209" s="609" t="s">
        <v>1296</v>
      </c>
      <c r="AA3209" s="609" t="s">
        <v>5667</v>
      </c>
    </row>
    <row r="3210" spans="1:29" ht="18">
      <c r="A3210" s="2714"/>
      <c r="B3210" s="371">
        <v>102</v>
      </c>
      <c r="C3210" s="371" t="s">
        <v>2791</v>
      </c>
      <c r="D3210" s="2716">
        <f t="shared" si="380"/>
        <v>0</v>
      </c>
      <c r="E3210" s="2721">
        <v>1</v>
      </c>
      <c r="F3210" s="294"/>
      <c r="G3210" s="2375" t="s">
        <v>2792</v>
      </c>
      <c r="H3210" s="2275"/>
      <c r="I3210" s="2275"/>
      <c r="J3210" s="2275"/>
      <c r="K3210" s="2275"/>
      <c r="L3210" s="2275"/>
      <c r="M3210" s="1477">
        <f>SUM(H3210:J3210,-K3210,-L3210)</f>
        <v>0</v>
      </c>
      <c r="N3210" s="291"/>
      <c r="O3210" s="291"/>
      <c r="P3210" s="291"/>
      <c r="S3210" s="364"/>
      <c r="Z3210" s="609" t="s">
        <v>1296</v>
      </c>
      <c r="AA3210" s="609" t="s">
        <v>5667</v>
      </c>
    </row>
    <row r="3211" spans="1:29" ht="18">
      <c r="A3211" s="2714"/>
      <c r="B3211" s="371">
        <v>103</v>
      </c>
      <c r="C3211" s="371" t="s">
        <v>2791</v>
      </c>
      <c r="D3211" s="2716">
        <f t="shared" si="380"/>
        <v>0</v>
      </c>
      <c r="E3211" s="2721">
        <v>1</v>
      </c>
      <c r="F3211" s="294"/>
      <c r="G3211" s="2375" t="s">
        <v>2792</v>
      </c>
      <c r="H3211" s="2275"/>
      <c r="I3211" s="2275"/>
      <c r="J3211" s="2275"/>
      <c r="K3211" s="2275"/>
      <c r="L3211" s="2275"/>
      <c r="M3211" s="1477">
        <f>SUM(H3211:J3211,-K3211,-L3211)</f>
        <v>0</v>
      </c>
      <c r="N3211" s="291"/>
      <c r="O3211" s="291"/>
      <c r="P3211" s="291"/>
      <c r="S3211" s="364"/>
      <c r="Z3211" s="609" t="s">
        <v>1296</v>
      </c>
      <c r="AA3211" s="609" t="s">
        <v>5667</v>
      </c>
    </row>
    <row r="3212" spans="1:29" ht="18">
      <c r="A3212" s="2714"/>
      <c r="B3212" s="371">
        <v>104</v>
      </c>
      <c r="C3212" s="371" t="s">
        <v>2791</v>
      </c>
      <c r="D3212" s="2716">
        <f t="shared" si="380"/>
        <v>0</v>
      </c>
      <c r="E3212" s="2721">
        <v>1</v>
      </c>
      <c r="F3212" s="294"/>
      <c r="G3212" s="2375" t="s">
        <v>2792</v>
      </c>
      <c r="H3212" s="2275"/>
      <c r="I3212" s="2275"/>
      <c r="J3212" s="2275"/>
      <c r="K3212" s="2275"/>
      <c r="L3212" s="2275"/>
      <c r="M3212" s="1477">
        <f>SUM(H3212:J3212,-K3212,-L3212)</f>
        <v>0</v>
      </c>
      <c r="N3212" s="291"/>
      <c r="O3212" s="291"/>
      <c r="P3212" s="291"/>
      <c r="S3212" s="364"/>
      <c r="Z3212" s="609" t="s">
        <v>1296</v>
      </c>
      <c r="AA3212" s="609" t="s">
        <v>5667</v>
      </c>
    </row>
    <row r="3213" spans="1:29" ht="18">
      <c r="A3213" s="2714"/>
      <c r="B3213" s="371">
        <v>105</v>
      </c>
      <c r="C3213" s="371" t="s">
        <v>2791</v>
      </c>
      <c r="D3213" s="2716">
        <f t="shared" si="380"/>
        <v>0</v>
      </c>
      <c r="E3213" s="2721">
        <v>1</v>
      </c>
      <c r="F3213" s="294"/>
      <c r="G3213" s="2375" t="s">
        <v>2792</v>
      </c>
      <c r="H3213" s="2275"/>
      <c r="I3213" s="2275"/>
      <c r="J3213" s="2275"/>
      <c r="K3213" s="2275"/>
      <c r="L3213" s="2275"/>
      <c r="M3213" s="1477">
        <f>SUM(H3213:J3213,-K3213,-L3213)</f>
        <v>0</v>
      </c>
      <c r="N3213" s="291"/>
      <c r="O3213" s="291"/>
      <c r="P3213" s="291"/>
      <c r="S3213" s="364"/>
      <c r="Z3213" s="609" t="s">
        <v>1296</v>
      </c>
      <c r="AA3213" s="609" t="s">
        <v>5667</v>
      </c>
    </row>
    <row r="3214" spans="1:29" ht="18.75" thickBot="1">
      <c r="A3214" s="2714"/>
      <c r="B3214" s="371"/>
      <c r="C3214" s="371"/>
      <c r="D3214" s="2716">
        <f t="shared" si="380"/>
        <v>1</v>
      </c>
      <c r="E3214" s="2721" t="s">
        <v>2751</v>
      </c>
      <c r="F3214" s="294"/>
      <c r="G3214" s="374" t="s">
        <v>2752</v>
      </c>
      <c r="H3214" s="1478">
        <f t="shared" ref="H3214:M3214" si="381">SUMPRODUCT($E3208:$E3213,H3208:H3213)</f>
        <v>0</v>
      </c>
      <c r="I3214" s="1478">
        <f t="shared" si="381"/>
        <v>0</v>
      </c>
      <c r="J3214" s="1478">
        <f t="shared" si="381"/>
        <v>0</v>
      </c>
      <c r="K3214" s="1478">
        <f t="shared" si="381"/>
        <v>0</v>
      </c>
      <c r="L3214" s="1478">
        <f t="shared" si="381"/>
        <v>0</v>
      </c>
      <c r="M3214" s="1479">
        <f t="shared" si="381"/>
        <v>0</v>
      </c>
      <c r="N3214" s="1533" t="str">
        <f ca="1">HYPERLINK("#'"&amp;$G$1&amp;"'!"&amp;ADDRESS(ROW(Notes!L4901),COLUMN(Notes!L4901),4),"* 请勿删除此行！点击往勾稽单元格，F5+Enter返回")</f>
        <v>* 请勿删除此行！点击往勾稽单元格，F5+Enter返回</v>
      </c>
      <c r="O3214" s="291"/>
      <c r="P3214" s="291"/>
      <c r="S3214" s="364"/>
      <c r="Z3214" s="609" t="s">
        <v>1296</v>
      </c>
      <c r="AA3214" s="609" t="s">
        <v>5667</v>
      </c>
      <c r="AC3214" s="369" t="s">
        <v>2794</v>
      </c>
    </row>
    <row r="3215" spans="1:29" ht="18">
      <c r="A3215" s="2714"/>
      <c r="B3215" s="371"/>
      <c r="C3215" s="371" t="s">
        <v>2755</v>
      </c>
      <c r="D3215" s="371"/>
      <c r="F3215" s="294"/>
      <c r="G3215" s="301"/>
      <c r="H3215" s="315"/>
      <c r="I3215" s="315"/>
      <c r="J3215" s="315"/>
      <c r="K3215" s="315"/>
      <c r="L3215" s="315"/>
      <c r="M3215" s="315"/>
      <c r="N3215" s="291"/>
      <c r="O3215" s="291"/>
      <c r="P3215" s="291"/>
      <c r="S3215" s="364"/>
      <c r="Z3215" s="609" t="s">
        <v>1296</v>
      </c>
      <c r="AA3215" s="609" t="s">
        <v>5667</v>
      </c>
    </row>
    <row r="3216" spans="1:29" ht="18">
      <c r="A3216" s="2714">
        <v>1801</v>
      </c>
      <c r="B3216" s="371">
        <v>30</v>
      </c>
      <c r="C3216" s="2716" t="str">
        <f>VLOOKUP($A3216,Sheet_Items,2,0)</f>
        <v>长期待摊费用</v>
      </c>
      <c r="D3216" s="371"/>
      <c r="E3216" s="2716" t="s">
        <v>2739</v>
      </c>
      <c r="F3216" s="294"/>
      <c r="G3216" s="305" t="str">
        <f>B3216&amp;" "&amp;C3216</f>
        <v>30 长期待摊费用</v>
      </c>
      <c r="H3216" s="306"/>
      <c r="I3216" s="306"/>
      <c r="J3216" s="306" t="s">
        <v>2740</v>
      </c>
      <c r="K3216" s="341">
        <f>VLOOKUP($A3216,Sheet_Trialbal,6,0)</f>
        <v>233942.48</v>
      </c>
      <c r="L3216" s="342"/>
      <c r="M3216" s="306" t="s">
        <v>2741</v>
      </c>
      <c r="N3216" s="341">
        <f>VLOOKUP($A3216,Sheet_Trialbal,10,0)</f>
        <v>395514.45</v>
      </c>
      <c r="O3216" s="306"/>
      <c r="P3216" s="301"/>
      <c r="S3216" s="364"/>
      <c r="Z3216" s="609" t="s">
        <v>1306</v>
      </c>
      <c r="AA3216" s="609" t="s">
        <v>5668</v>
      </c>
    </row>
    <row r="3217" spans="1:34" ht="18">
      <c r="A3217" s="2714" t="s">
        <v>1304</v>
      </c>
      <c r="B3217" s="371">
        <v>1</v>
      </c>
      <c r="C3217" s="371"/>
      <c r="D3217" s="2716" t="str">
        <f>VLOOKUP($A3217,Sheet_NoteList,2,0)</f>
        <v>长期待摊费用明细项目</v>
      </c>
      <c r="E3217" s="2716" t="s">
        <v>2742</v>
      </c>
      <c r="F3217" s="294"/>
      <c r="G3217" s="307" t="str">
        <f>"("&amp;B3217&amp;")"&amp;D3217</f>
        <v>(1)长期待摊费用明细项目</v>
      </c>
      <c r="H3217" s="1517" t="str">
        <f>$A3217</f>
        <v>1801a</v>
      </c>
      <c r="I3217" s="343" t="s">
        <v>2743</v>
      </c>
      <c r="J3217" s="301" t="s">
        <v>2744</v>
      </c>
      <c r="K3217" s="2210">
        <f>L3227</f>
        <v>233942.48</v>
      </c>
      <c r="L3217" s="345" t="str">
        <f>IF($I3217="适用",IF(ROUND(K3216-K3217,2)=0,"F/S",ROUND(K3216-K3217,2)),"#N/A")</f>
        <v>F/S</v>
      </c>
      <c r="M3217" s="301" t="s">
        <v>2745</v>
      </c>
      <c r="N3217" s="2210">
        <f>H3227</f>
        <v>395514.45</v>
      </c>
      <c r="O3217" s="345" t="str">
        <f>IF($I3217="适用",IF(ROUND(N3216-N3217,2)=0,"F/S",ROUND(N3216-N3217,2)),"#N/A")</f>
        <v>F/S</v>
      </c>
      <c r="P3217" s="301"/>
      <c r="Q3217" s="290" t="str">
        <f>IF($I3217="不适用","",IF(ROUND(SUM($H$3222:$M$3227),2)=0,"请输入",""))</f>
        <v/>
      </c>
      <c r="S3217" s="364"/>
      <c r="Z3217" s="609" t="s">
        <v>1306</v>
      </c>
      <c r="AA3217" s="609" t="s">
        <v>5668</v>
      </c>
    </row>
    <row r="3218" spans="1:34" s="289" customFormat="1" ht="0.75" customHeight="1">
      <c r="A3218" s="2714"/>
      <c r="B3218" s="371"/>
      <c r="C3218" s="371"/>
      <c r="D3218" s="371"/>
      <c r="E3218" s="2716"/>
      <c r="F3218" s="371"/>
      <c r="G3218" s="371" t="s">
        <v>3754</v>
      </c>
      <c r="H3218" s="371" t="s">
        <v>2904</v>
      </c>
      <c r="I3218" s="371" t="s">
        <v>3255</v>
      </c>
      <c r="J3218" s="371" t="s">
        <v>3755</v>
      </c>
      <c r="K3218" s="371" t="s">
        <v>3654</v>
      </c>
      <c r="L3218" s="371" t="s">
        <v>3252</v>
      </c>
      <c r="M3218" s="591"/>
      <c r="N3218" s="592"/>
      <c r="O3218" s="591"/>
      <c r="P3218" s="591"/>
      <c r="Q3218" s="592"/>
      <c r="R3218" s="595"/>
      <c r="S3218" s="564"/>
      <c r="T3218" s="292"/>
      <c r="U3218" s="292"/>
      <c r="V3218" s="292"/>
      <c r="W3218" s="292"/>
      <c r="X3218" s="292"/>
      <c r="Y3218" s="292"/>
      <c r="Z3218" s="609" t="s">
        <v>1306</v>
      </c>
      <c r="AA3218" s="609" t="s">
        <v>5668</v>
      </c>
      <c r="AB3218" s="369"/>
      <c r="AC3218" s="369"/>
      <c r="AD3218" s="369"/>
      <c r="AE3218" s="369"/>
      <c r="AF3218" s="292"/>
      <c r="AG3218" s="292"/>
      <c r="AH3218" s="292"/>
    </row>
    <row r="3219" spans="1:34" s="289" customFormat="1" ht="0.75" customHeight="1" thickBot="1">
      <c r="A3219" s="2714"/>
      <c r="B3219" s="371"/>
      <c r="C3219" s="371"/>
      <c r="D3219" s="371"/>
      <c r="E3219" s="2716"/>
      <c r="F3219" s="371"/>
      <c r="G3219" s="371"/>
      <c r="H3219" s="371" t="s">
        <v>2911</v>
      </c>
      <c r="I3219" s="371" t="s">
        <v>3756</v>
      </c>
      <c r="J3219" s="371" t="s">
        <v>3757</v>
      </c>
      <c r="K3219" s="371" t="s">
        <v>3758</v>
      </c>
      <c r="L3219" s="371" t="s">
        <v>3508</v>
      </c>
      <c r="M3219" s="591"/>
      <c r="N3219" s="592"/>
      <c r="O3219" s="591"/>
      <c r="P3219" s="591"/>
      <c r="Q3219" s="592"/>
      <c r="R3219" s="595"/>
      <c r="S3219" s="564"/>
      <c r="T3219" s="292"/>
      <c r="U3219" s="292"/>
      <c r="V3219" s="292"/>
      <c r="W3219" s="292"/>
      <c r="X3219" s="292"/>
      <c r="Y3219" s="292"/>
      <c r="Z3219" s="609" t="s">
        <v>1306</v>
      </c>
      <c r="AA3219" s="609" t="s">
        <v>5668</v>
      </c>
      <c r="AB3219" s="369"/>
      <c r="AC3219" s="369"/>
      <c r="AD3219" s="369"/>
      <c r="AE3219" s="369"/>
      <c r="AF3219" s="292"/>
      <c r="AG3219" s="292"/>
      <c r="AH3219" s="292"/>
    </row>
    <row r="3220" spans="1:34" s="289" customFormat="1" ht="15.75" customHeight="1">
      <c r="A3220" s="2714"/>
      <c r="B3220" s="371"/>
      <c r="C3220" s="371"/>
      <c r="D3220" s="371"/>
      <c r="E3220" s="2716" t="s">
        <v>2749</v>
      </c>
      <c r="F3220" s="368"/>
      <c r="G3220" s="3493" t="s">
        <v>47</v>
      </c>
      <c r="H3220" s="3495" t="str">
        <f>$V$3</f>
        <v>2018年12月31日</v>
      </c>
      <c r="I3220" s="3483" t="s">
        <v>3027</v>
      </c>
      <c r="J3220" s="3390" t="s">
        <v>3028</v>
      </c>
      <c r="K3220" s="3390"/>
      <c r="L3220" s="3450" t="str">
        <f>$V$2</f>
        <v>2019年12月31日</v>
      </c>
      <c r="M3220" s="355" t="s">
        <v>5295</v>
      </c>
      <c r="N3220" s="592"/>
      <c r="O3220" s="591"/>
      <c r="P3220" s="591"/>
      <c r="Q3220" s="592"/>
      <c r="R3220" s="595"/>
      <c r="S3220" s="564"/>
      <c r="T3220" s="292"/>
      <c r="U3220" s="292"/>
      <c r="V3220" s="292"/>
      <c r="W3220" s="292"/>
      <c r="X3220" s="292"/>
      <c r="Y3220" s="292"/>
      <c r="Z3220" s="609" t="s">
        <v>1306</v>
      </c>
      <c r="AA3220" s="609" t="s">
        <v>5668</v>
      </c>
      <c r="AB3220" s="369"/>
      <c r="AC3220" s="369"/>
      <c r="AD3220" s="369"/>
      <c r="AE3220" s="369"/>
      <c r="AF3220" s="292"/>
      <c r="AG3220" s="292"/>
      <c r="AH3220" s="292"/>
    </row>
    <row r="3221" spans="1:34" ht="18">
      <c r="A3221" s="2714"/>
      <c r="B3221" s="371"/>
      <c r="C3221" s="371"/>
      <c r="D3221" s="371"/>
      <c r="E3221" s="2716" t="s">
        <v>2749</v>
      </c>
      <c r="F3221" s="294"/>
      <c r="G3221" s="3494"/>
      <c r="H3221" s="3496"/>
      <c r="I3221" s="3484"/>
      <c r="J3221" s="558" t="s">
        <v>3759</v>
      </c>
      <c r="K3221" s="1492" t="s">
        <v>5201</v>
      </c>
      <c r="L3221" s="3451"/>
      <c r="M3221" s="571"/>
      <c r="N3221" s="574"/>
      <c r="O3221" s="472"/>
      <c r="P3221" s="472"/>
      <c r="Q3221" s="442"/>
      <c r="R3221" s="443"/>
      <c r="S3221" s="364"/>
      <c r="Z3221" s="609" t="s">
        <v>1306</v>
      </c>
      <c r="AA3221" s="609" t="s">
        <v>5668</v>
      </c>
    </row>
    <row r="3222" spans="1:34" ht="18">
      <c r="A3222" s="2714"/>
      <c r="B3222" s="371">
        <v>101</v>
      </c>
      <c r="C3222" s="371" t="s">
        <v>2791</v>
      </c>
      <c r="D3222" s="2716">
        <f t="shared" ref="D3222:D3227" si="382">IF(OR(G3222="*",G3222="",G3222=0),0,COUNTIF($G$3222:$G$3227,G3222))</f>
        <v>1</v>
      </c>
      <c r="E3222" s="2721">
        <v>1</v>
      </c>
      <c r="F3222" s="294"/>
      <c r="G3222" s="319" t="s">
        <v>6867</v>
      </c>
      <c r="H3222" s="309">
        <v>6236.76</v>
      </c>
      <c r="I3222" s="309">
        <v>135500</v>
      </c>
      <c r="J3222" s="309">
        <v>51403.44</v>
      </c>
      <c r="K3222" s="309"/>
      <c r="L3222" s="361">
        <f>H3222+I3222-J3222-K3222</f>
        <v>90333.32</v>
      </c>
      <c r="M3222" s="438"/>
      <c r="N3222" s="442"/>
      <c r="O3222" s="472"/>
      <c r="P3222" s="472"/>
      <c r="Q3222" s="442"/>
      <c r="R3222" s="443"/>
      <c r="S3222" s="364"/>
      <c r="Z3222" s="609" t="s">
        <v>1306</v>
      </c>
      <c r="AA3222" s="609" t="s">
        <v>5668</v>
      </c>
    </row>
    <row r="3223" spans="1:34" ht="18">
      <c r="A3223" s="2714"/>
      <c r="B3223" s="371">
        <v>102</v>
      </c>
      <c r="C3223" s="371" t="s">
        <v>2791</v>
      </c>
      <c r="D3223" s="2716">
        <f t="shared" si="382"/>
        <v>1</v>
      </c>
      <c r="E3223" s="2721">
        <v>1</v>
      </c>
      <c r="F3223" s="294"/>
      <c r="G3223" s="319" t="s">
        <v>6868</v>
      </c>
      <c r="H3223" s="309">
        <v>389277.69</v>
      </c>
      <c r="I3223" s="309"/>
      <c r="J3223" s="309">
        <v>245668.53</v>
      </c>
      <c r="K3223" s="309"/>
      <c r="L3223" s="361">
        <f>H3223+I3223-J3223-K3223</f>
        <v>143609.16</v>
      </c>
      <c r="M3223" s="438"/>
      <c r="N3223" s="442"/>
      <c r="O3223" s="472"/>
      <c r="P3223" s="472"/>
      <c r="Q3223" s="442"/>
      <c r="R3223" s="443"/>
      <c r="S3223" s="364"/>
      <c r="Z3223" s="609" t="s">
        <v>1306</v>
      </c>
      <c r="AA3223" s="609" t="s">
        <v>5668</v>
      </c>
    </row>
    <row r="3224" spans="1:34" ht="18">
      <c r="A3224" s="2714"/>
      <c r="B3224" s="371">
        <v>103</v>
      </c>
      <c r="C3224" s="371" t="s">
        <v>2791</v>
      </c>
      <c r="D3224" s="2716">
        <f t="shared" si="382"/>
        <v>0</v>
      </c>
      <c r="E3224" s="2721">
        <v>1</v>
      </c>
      <c r="F3224" s="294"/>
      <c r="G3224" s="319" t="s">
        <v>2792</v>
      </c>
      <c r="H3224" s="309"/>
      <c r="I3224" s="309"/>
      <c r="J3224" s="309"/>
      <c r="K3224" s="309"/>
      <c r="L3224" s="361">
        <f>H3224+I3224-J3224-K3224</f>
        <v>0</v>
      </c>
      <c r="M3224" s="438"/>
      <c r="N3224" s="442"/>
      <c r="O3224" s="472"/>
      <c r="P3224" s="472"/>
      <c r="Q3224" s="442"/>
      <c r="R3224" s="443"/>
      <c r="S3224" s="364"/>
      <c r="Z3224" s="609" t="s">
        <v>1306</v>
      </c>
      <c r="AA3224" s="609" t="s">
        <v>5668</v>
      </c>
    </row>
    <row r="3225" spans="1:34" ht="18">
      <c r="A3225" s="2714"/>
      <c r="B3225" s="371">
        <v>104</v>
      </c>
      <c r="C3225" s="371" t="s">
        <v>2791</v>
      </c>
      <c r="D3225" s="2716">
        <f t="shared" si="382"/>
        <v>0</v>
      </c>
      <c r="E3225" s="2721">
        <v>1</v>
      </c>
      <c r="F3225" s="294"/>
      <c r="G3225" s="319" t="s">
        <v>2792</v>
      </c>
      <c r="H3225" s="309"/>
      <c r="I3225" s="309"/>
      <c r="J3225" s="309"/>
      <c r="K3225" s="309"/>
      <c r="L3225" s="361">
        <f>H3225+I3225-J3225-K3225</f>
        <v>0</v>
      </c>
      <c r="M3225" s="438"/>
      <c r="N3225" s="442"/>
      <c r="O3225" s="472"/>
      <c r="P3225" s="472"/>
      <c r="Q3225" s="442"/>
      <c r="R3225" s="443"/>
      <c r="S3225" s="364"/>
      <c r="Z3225" s="609" t="s">
        <v>1306</v>
      </c>
      <c r="AA3225" s="609" t="s">
        <v>5668</v>
      </c>
    </row>
    <row r="3226" spans="1:34" ht="18">
      <c r="A3226" s="2714"/>
      <c r="B3226" s="371">
        <v>105</v>
      </c>
      <c r="C3226" s="371" t="s">
        <v>2791</v>
      </c>
      <c r="D3226" s="2716">
        <f t="shared" si="382"/>
        <v>0</v>
      </c>
      <c r="E3226" s="2721">
        <v>1</v>
      </c>
      <c r="F3226" s="294"/>
      <c r="G3226" s="319" t="s">
        <v>2792</v>
      </c>
      <c r="H3226" s="309"/>
      <c r="I3226" s="309"/>
      <c r="J3226" s="309"/>
      <c r="K3226" s="309"/>
      <c r="L3226" s="361">
        <f>H3226+I3226-J3226-K3226</f>
        <v>0</v>
      </c>
      <c r="M3226" s="438"/>
      <c r="N3226" s="442"/>
      <c r="O3226" s="472"/>
      <c r="P3226" s="472"/>
      <c r="Q3226" s="442"/>
      <c r="R3226" s="443"/>
      <c r="S3226" s="364"/>
      <c r="Z3226" s="609" t="s">
        <v>1306</v>
      </c>
      <c r="AA3226" s="609" t="s">
        <v>5668</v>
      </c>
    </row>
    <row r="3227" spans="1:34" ht="18.75" thickBot="1">
      <c r="A3227" s="2714"/>
      <c r="B3227" s="371"/>
      <c r="C3227" s="371"/>
      <c r="D3227" s="2716">
        <f t="shared" si="382"/>
        <v>1</v>
      </c>
      <c r="E3227" s="2721" t="s">
        <v>2751</v>
      </c>
      <c r="F3227" s="294"/>
      <c r="G3227" s="374" t="s">
        <v>2752</v>
      </c>
      <c r="H3227" s="375">
        <f>SUMPRODUCT($E3221:$E3226,H3221:H3226)</f>
        <v>395514.45</v>
      </c>
      <c r="I3227" s="375">
        <f>SUMPRODUCT($E3221:$E3226,I3221:I3226)</f>
        <v>135500</v>
      </c>
      <c r="J3227" s="375">
        <f>SUMPRODUCT($E3221:$E3226,J3221:J3226)</f>
        <v>297071.96999999997</v>
      </c>
      <c r="K3227" s="375">
        <f>SUMPRODUCT($E3221:$E3226,K3221:K3226)</f>
        <v>0</v>
      </c>
      <c r="L3227" s="395">
        <f>SUMPRODUCT($E3221:$E3226,L3221:L3226)</f>
        <v>233942.48</v>
      </c>
      <c r="M3227" s="438"/>
      <c r="N3227" s="442"/>
      <c r="O3227" s="472"/>
      <c r="P3227" s="472"/>
      <c r="Q3227" s="442"/>
      <c r="R3227" s="443"/>
      <c r="S3227" s="364"/>
      <c r="Z3227" s="609" t="s">
        <v>1306</v>
      </c>
      <c r="AA3227" s="609" t="s">
        <v>5668</v>
      </c>
    </row>
    <row r="3228" spans="1:34" ht="18">
      <c r="A3228" s="2714"/>
      <c r="B3228" s="371"/>
      <c r="C3228" s="371" t="s">
        <v>2755</v>
      </c>
      <c r="D3228" s="371"/>
      <c r="F3228" s="294"/>
      <c r="G3228" s="301"/>
      <c r="H3228" s="315"/>
      <c r="I3228" s="315"/>
      <c r="J3228" s="315"/>
      <c r="K3228" s="315"/>
      <c r="L3228" s="315"/>
      <c r="M3228" s="438"/>
      <c r="N3228" s="438"/>
      <c r="O3228" s="472"/>
      <c r="P3228" s="472"/>
      <c r="Q3228" s="442"/>
      <c r="R3228" s="443"/>
      <c r="S3228" s="364"/>
      <c r="Z3228" s="609" t="s">
        <v>1306</v>
      </c>
      <c r="AA3228" s="609" t="s">
        <v>5668</v>
      </c>
    </row>
    <row r="3229" spans="1:34" ht="18">
      <c r="A3229" s="2714" t="s">
        <v>1310</v>
      </c>
      <c r="B3229" s="371">
        <v>2</v>
      </c>
      <c r="C3229" s="371"/>
      <c r="D3229" s="2716" t="str">
        <f>VLOOKUP($A3229,Sheet_NoteList,2,0)</f>
        <v>长期待摊费用补充资料</v>
      </c>
      <c r="E3229" s="2716" t="s">
        <v>6531</v>
      </c>
      <c r="F3229" s="294"/>
      <c r="G3229" s="307" t="str">
        <f>"("&amp;B3229&amp;")"&amp;D3229</f>
        <v>(2)长期待摊费用补充资料</v>
      </c>
      <c r="H3229" s="1517" t="str">
        <f>$A3229</f>
        <v>1801x</v>
      </c>
      <c r="I3229" s="343" t="s">
        <v>5966</v>
      </c>
      <c r="J3229" s="301"/>
      <c r="K3229" s="391"/>
      <c r="L3229" s="345"/>
      <c r="M3229" s="301"/>
      <c r="N3229" s="391"/>
      <c r="O3229" s="345"/>
      <c r="P3229" s="301"/>
      <c r="S3229" s="364"/>
      <c r="Z3229" s="609" t="s">
        <v>1306</v>
      </c>
      <c r="AA3229" s="609" t="s">
        <v>5668</v>
      </c>
    </row>
    <row r="3230" spans="1:34" ht="0.75" customHeight="1" thickBot="1">
      <c r="A3230" s="2714"/>
      <c r="B3230" s="371"/>
      <c r="C3230" s="371"/>
      <c r="D3230" s="371"/>
      <c r="F3230" s="371"/>
      <c r="G3230" s="371" t="s">
        <v>3760</v>
      </c>
      <c r="H3230" s="371" t="s">
        <v>3620</v>
      </c>
      <c r="I3230" s="371" t="s">
        <v>2821</v>
      </c>
      <c r="J3230" s="291"/>
      <c r="O3230" s="291"/>
      <c r="P3230" s="291"/>
      <c r="S3230" s="364"/>
      <c r="Z3230" s="609" t="s">
        <v>1306</v>
      </c>
      <c r="AA3230" s="609" t="s">
        <v>5668</v>
      </c>
    </row>
    <row r="3231" spans="1:34" ht="18">
      <c r="A3231" s="2714"/>
      <c r="B3231" s="371"/>
      <c r="C3231" s="371"/>
      <c r="D3231" s="371"/>
      <c r="E3231" s="2716" t="s">
        <v>2749</v>
      </c>
      <c r="F3231" s="294"/>
      <c r="G3231" s="2386" t="s">
        <v>47</v>
      </c>
      <c r="H3231" s="2387" t="s">
        <v>2887</v>
      </c>
      <c r="I3231" s="2388" t="s">
        <v>2508</v>
      </c>
      <c r="J3231" s="355" t="s">
        <v>6176</v>
      </c>
      <c r="O3231" s="291"/>
      <c r="P3231" s="291"/>
      <c r="S3231" s="364"/>
      <c r="Z3231" s="609" t="s">
        <v>1306</v>
      </c>
      <c r="AA3231" s="609" t="s">
        <v>5668</v>
      </c>
    </row>
    <row r="3232" spans="1:34" ht="18">
      <c r="A3232" s="2714"/>
      <c r="B3232" s="371">
        <v>101</v>
      </c>
      <c r="C3232" s="371"/>
      <c r="D3232" s="2716">
        <f t="shared" ref="D3232:D3239" si="383">IF(OR(G3232="*",G3232="",G3232=0),0,COUNTIF($G$3232:$G$3239,G3232))</f>
        <v>1</v>
      </c>
      <c r="E3232" s="2721" t="s">
        <v>41</v>
      </c>
      <c r="F3232" s="294"/>
      <c r="G3232" s="308" t="s">
        <v>3761</v>
      </c>
      <c r="H3232" s="309"/>
      <c r="I3232" s="388"/>
      <c r="J3232" s="579"/>
      <c r="O3232" s="291"/>
      <c r="P3232" s="291"/>
      <c r="S3232" s="364"/>
      <c r="Z3232" s="609" t="s">
        <v>1306</v>
      </c>
      <c r="AA3232" s="609" t="s">
        <v>5668</v>
      </c>
    </row>
    <row r="3233" spans="1:27" ht="18">
      <c r="A3233" s="2714"/>
      <c r="B3233" s="371">
        <v>102</v>
      </c>
      <c r="C3233" s="371"/>
      <c r="D3233" s="2716">
        <f t="shared" si="383"/>
        <v>1</v>
      </c>
      <c r="E3233" s="2721">
        <v>-1</v>
      </c>
      <c r="F3233" s="294"/>
      <c r="G3233" s="308" t="s">
        <v>3762</v>
      </c>
      <c r="H3233" s="309"/>
      <c r="I3233" s="388"/>
      <c r="O3233" s="291"/>
      <c r="P3233" s="291"/>
      <c r="S3233" s="364"/>
      <c r="Z3233" s="609" t="s">
        <v>1306</v>
      </c>
      <c r="AA3233" s="609" t="s">
        <v>5668</v>
      </c>
    </row>
    <row r="3234" spans="1:27" ht="18">
      <c r="A3234" s="2714"/>
      <c r="B3234" s="371">
        <v>103</v>
      </c>
      <c r="C3234" s="371" t="s">
        <v>2791</v>
      </c>
      <c r="D3234" s="2716">
        <f t="shared" si="383"/>
        <v>1</v>
      </c>
      <c r="E3234" s="2721">
        <v>1</v>
      </c>
      <c r="F3234" s="294"/>
      <c r="G3234" s="578" t="s">
        <v>685</v>
      </c>
      <c r="H3234" s="309"/>
      <c r="I3234" s="388"/>
      <c r="O3234" s="291"/>
      <c r="P3234" s="291"/>
      <c r="S3234" s="364"/>
      <c r="Z3234" s="609" t="s">
        <v>1306</v>
      </c>
      <c r="AA3234" s="609" t="s">
        <v>5668</v>
      </c>
    </row>
    <row r="3235" spans="1:27" ht="18">
      <c r="A3235" s="2714"/>
      <c r="B3235" s="371">
        <v>104</v>
      </c>
      <c r="C3235" s="371" t="s">
        <v>2791</v>
      </c>
      <c r="D3235" s="2716">
        <f t="shared" si="383"/>
        <v>1</v>
      </c>
      <c r="E3235" s="2721">
        <v>1</v>
      </c>
      <c r="F3235" s="294"/>
      <c r="G3235" s="578" t="s">
        <v>680</v>
      </c>
      <c r="H3235" s="309"/>
      <c r="I3235" s="388"/>
      <c r="O3235" s="291"/>
      <c r="P3235" s="291"/>
      <c r="S3235" s="364"/>
      <c r="Z3235" s="609" t="s">
        <v>1306</v>
      </c>
      <c r="AA3235" s="609" t="s">
        <v>5668</v>
      </c>
    </row>
    <row r="3236" spans="1:27" ht="18">
      <c r="A3236" s="2714"/>
      <c r="B3236" s="371">
        <v>105</v>
      </c>
      <c r="C3236" s="371" t="s">
        <v>2791</v>
      </c>
      <c r="D3236" s="2716">
        <f t="shared" si="383"/>
        <v>1</v>
      </c>
      <c r="E3236" s="2721">
        <v>1</v>
      </c>
      <c r="F3236" s="294"/>
      <c r="G3236" s="578" t="s">
        <v>362</v>
      </c>
      <c r="H3236" s="309"/>
      <c r="I3236" s="388"/>
      <c r="O3236" s="291"/>
      <c r="P3236" s="291"/>
      <c r="S3236" s="364"/>
      <c r="Z3236" s="609" t="s">
        <v>1306</v>
      </c>
      <c r="AA3236" s="609" t="s">
        <v>5668</v>
      </c>
    </row>
    <row r="3237" spans="1:27" ht="18">
      <c r="A3237" s="2714"/>
      <c r="B3237" s="371">
        <v>106</v>
      </c>
      <c r="C3237" s="371" t="s">
        <v>2791</v>
      </c>
      <c r="D3237" s="2716">
        <f t="shared" si="383"/>
        <v>1</v>
      </c>
      <c r="E3237" s="2721">
        <v>1</v>
      </c>
      <c r="F3237" s="294"/>
      <c r="G3237" s="578" t="s">
        <v>369</v>
      </c>
      <c r="H3237" s="309"/>
      <c r="I3237" s="388"/>
      <c r="O3237" s="291"/>
      <c r="P3237" s="291"/>
      <c r="S3237" s="364"/>
      <c r="Z3237" s="609" t="s">
        <v>1306</v>
      </c>
      <c r="AA3237" s="609" t="s">
        <v>5668</v>
      </c>
    </row>
    <row r="3238" spans="1:27" ht="18">
      <c r="A3238" s="2714"/>
      <c r="B3238" s="371">
        <v>107</v>
      </c>
      <c r="C3238" s="371" t="s">
        <v>2791</v>
      </c>
      <c r="D3238" s="2716">
        <f t="shared" si="383"/>
        <v>0</v>
      </c>
      <c r="E3238" s="2721">
        <v>1</v>
      </c>
      <c r="F3238" s="294"/>
      <c r="G3238" s="578" t="s">
        <v>2792</v>
      </c>
      <c r="H3238" s="309"/>
      <c r="I3238" s="388"/>
      <c r="O3238" s="291"/>
      <c r="P3238" s="291"/>
      <c r="S3238" s="364"/>
      <c r="Z3238" s="609" t="s">
        <v>1306</v>
      </c>
      <c r="AA3238" s="609" t="s">
        <v>5668</v>
      </c>
    </row>
    <row r="3239" spans="1:27" ht="18.75" thickBot="1">
      <c r="A3239" s="2714"/>
      <c r="B3239" s="371"/>
      <c r="C3239" s="371"/>
      <c r="D3239" s="2716">
        <f t="shared" si="383"/>
        <v>1</v>
      </c>
      <c r="E3239" s="2721" t="s">
        <v>2751</v>
      </c>
      <c r="F3239" s="294"/>
      <c r="G3239" s="1529" t="s">
        <v>2752</v>
      </c>
      <c r="H3239" s="2391">
        <f>SUMPRODUCT($E3231:$E3238,H3231:H3238)</f>
        <v>0</v>
      </c>
      <c r="I3239" s="2392"/>
      <c r="O3239" s="291"/>
      <c r="P3239" s="291"/>
      <c r="S3239" s="364"/>
      <c r="Z3239" s="609" t="s">
        <v>1306</v>
      </c>
      <c r="AA3239" s="609" t="s">
        <v>5668</v>
      </c>
    </row>
    <row r="3240" spans="1:27" ht="18">
      <c r="A3240" s="2714"/>
      <c r="B3240" s="371"/>
      <c r="C3240" s="371" t="s">
        <v>2755</v>
      </c>
      <c r="D3240" s="371"/>
      <c r="F3240" s="294"/>
      <c r="G3240" s="301"/>
      <c r="H3240" s="315"/>
      <c r="I3240" s="393"/>
      <c r="J3240" s="349"/>
      <c r="K3240" s="349"/>
      <c r="L3240" s="349"/>
      <c r="M3240" s="349"/>
      <c r="N3240" s="349"/>
      <c r="O3240" s="291"/>
      <c r="P3240" s="291"/>
      <c r="S3240" s="364"/>
      <c r="Z3240" s="609" t="s">
        <v>1306</v>
      </c>
      <c r="AA3240" s="609" t="s">
        <v>5668</v>
      </c>
    </row>
    <row r="3241" spans="1:27" ht="18">
      <c r="A3241" s="2714">
        <v>1829</v>
      </c>
      <c r="B3241" s="371">
        <v>31</v>
      </c>
      <c r="C3241" s="2716" t="str">
        <f>VLOOKUP($A3241,Sheet_Items,2,0)</f>
        <v>递延所得税资产与递延所得税负债</v>
      </c>
      <c r="D3241" s="371"/>
      <c r="E3241" s="2716" t="s">
        <v>2739</v>
      </c>
      <c r="F3241" s="294"/>
      <c r="G3241" s="535" t="str">
        <f>B3241&amp;" "&amp;C3241</f>
        <v>31 递延所得税资产与递延所得税负债</v>
      </c>
      <c r="H3241" s="306"/>
      <c r="I3241" s="306"/>
      <c r="J3241" s="306"/>
      <c r="K3241" s="539"/>
      <c r="L3241" s="342"/>
      <c r="M3241" s="306"/>
      <c r="N3241" s="539"/>
      <c r="O3241" s="306"/>
      <c r="P3241" s="301"/>
      <c r="S3241" s="364"/>
      <c r="Z3241" s="609" t="s">
        <v>1317</v>
      </c>
      <c r="AA3241" s="609"/>
    </row>
    <row r="3242" spans="1:27" ht="18">
      <c r="A3242" s="2714">
        <v>1811</v>
      </c>
      <c r="B3242" s="371">
        <v>31.1</v>
      </c>
      <c r="C3242" s="2716" t="str">
        <f>VLOOKUP($A3242,Sheet_Items,2,0)</f>
        <v>递延所得税资产</v>
      </c>
      <c r="D3242" s="371"/>
      <c r="F3242" s="294"/>
      <c r="G3242" s="589" t="str">
        <f>B3242&amp;" "&amp;C3242</f>
        <v>31.1 递延所得税资产</v>
      </c>
      <c r="H3242" s="290"/>
      <c r="I3242" s="290"/>
      <c r="J3242" s="540" t="s">
        <v>2740</v>
      </c>
      <c r="K3242" s="341">
        <f>VLOOKUP($A3242,Sheet_Trialbal,6,0)</f>
        <v>1809801.34</v>
      </c>
      <c r="L3242" s="541"/>
      <c r="M3242" s="540" t="s">
        <v>2741</v>
      </c>
      <c r="N3242" s="341">
        <f>VLOOKUP($A3242,Sheet_Trialbal,10,0)</f>
        <v>1185152.1499999999</v>
      </c>
      <c r="O3242" s="542"/>
      <c r="S3242" s="364"/>
      <c r="Z3242" s="609" t="s">
        <v>3763</v>
      </c>
      <c r="AA3242" s="609" t="s">
        <v>5669</v>
      </c>
    </row>
    <row r="3243" spans="1:27" ht="18">
      <c r="A3243" s="2714">
        <v>2901</v>
      </c>
      <c r="B3243" s="371">
        <v>31.2</v>
      </c>
      <c r="C3243" s="2716" t="str">
        <f>VLOOKUP($A3243,Sheet_Items,2,0)</f>
        <v>递延所得税负债</v>
      </c>
      <c r="D3243" s="371"/>
      <c r="F3243" s="294"/>
      <c r="G3243" s="589" t="str">
        <f>B3243&amp;" "&amp;C3243</f>
        <v>31.2 递延所得税负债</v>
      </c>
      <c r="H3243" s="290"/>
      <c r="I3243" s="290"/>
      <c r="J3243" s="540" t="s">
        <v>2740</v>
      </c>
      <c r="K3243" s="341">
        <f>VLOOKUP($A3243,Sheet_Trialbal,6,0)</f>
        <v>0</v>
      </c>
      <c r="L3243" s="541"/>
      <c r="M3243" s="540" t="s">
        <v>2741</v>
      </c>
      <c r="N3243" s="341">
        <f>VLOOKUP($A3243,Sheet_Trialbal,10,0)</f>
        <v>0</v>
      </c>
      <c r="O3243" s="540"/>
      <c r="S3243" s="364"/>
      <c r="Z3243" s="609" t="s">
        <v>3764</v>
      </c>
      <c r="AA3243" s="609" t="s">
        <v>5694</v>
      </c>
    </row>
    <row r="3244" spans="1:27" ht="24">
      <c r="A3244" s="2714" t="s">
        <v>1315</v>
      </c>
      <c r="B3244" s="371">
        <v>1</v>
      </c>
      <c r="C3244" s="371"/>
      <c r="D3244" s="2716" t="str">
        <f>VLOOKUP($A3244,Sheet_NoteList,2,0)</f>
        <v>未经抵销的递延所得税资产</v>
      </c>
      <c r="E3244" s="2716" t="s">
        <v>2742</v>
      </c>
      <c r="F3244" s="294"/>
      <c r="G3244" s="372" t="str">
        <f>"("&amp;B3244&amp;")"&amp;D3244</f>
        <v>(1)未经抵销的递延所得税资产</v>
      </c>
      <c r="H3244" s="1517" t="str">
        <f>$A3244</f>
        <v>1829a</v>
      </c>
      <c r="I3244" s="343" t="s">
        <v>2743</v>
      </c>
      <c r="J3244" s="301" t="s">
        <v>2744</v>
      </c>
      <c r="K3244" s="2210">
        <f>I3258</f>
        <v>1809801.34</v>
      </c>
      <c r="L3244" s="345" t="str">
        <f>IF($I3244="适用",IF(ROUND(K3242-K3244,2)=0,"F/S",ROUND(K3242-K3244,2)),"#N/A")</f>
        <v>F/S</v>
      </c>
      <c r="M3244" s="301" t="s">
        <v>2745</v>
      </c>
      <c r="N3244" s="2210">
        <f>K3258</f>
        <v>1185152.1499999999</v>
      </c>
      <c r="O3244" s="345" t="str">
        <f>IF($I3244="适用",IF(ROUND(N3242-N3244,2)=0,"F/S",ROUND(N3242-N3244,2)),"#N/A")</f>
        <v>F/S</v>
      </c>
      <c r="P3244" s="301"/>
      <c r="Q3244" s="290" t="str">
        <f>IF($I3244="不适用","",IF(ROUND(SUM($H$3249:$K$3258),2)=0,"请输入",""))</f>
        <v/>
      </c>
      <c r="S3244" s="364"/>
      <c r="Z3244" s="609" t="s">
        <v>3763</v>
      </c>
      <c r="AA3244" s="609" t="s">
        <v>5669</v>
      </c>
    </row>
    <row r="3245" spans="1:27" ht="0.75" customHeight="1">
      <c r="A3245" s="2714"/>
      <c r="B3245" s="371"/>
      <c r="C3245" s="371"/>
      <c r="D3245" s="371"/>
      <c r="E3245" s="586"/>
      <c r="F3245" s="518"/>
      <c r="G3245" s="518" t="s">
        <v>3765</v>
      </c>
      <c r="H3245" s="304" t="s">
        <v>3766</v>
      </c>
      <c r="I3245" s="304" t="s">
        <v>3767</v>
      </c>
      <c r="J3245" s="304" t="s">
        <v>3768</v>
      </c>
      <c r="K3245" s="304" t="s">
        <v>3769</v>
      </c>
      <c r="L3245" s="291"/>
      <c r="M3245" s="291"/>
      <c r="N3245" s="291"/>
      <c r="O3245" s="291"/>
      <c r="S3245" s="364"/>
      <c r="Z3245" s="609" t="s">
        <v>3763</v>
      </c>
      <c r="AA3245" s="609" t="s">
        <v>5669</v>
      </c>
    </row>
    <row r="3246" spans="1:27" ht="0.75" customHeight="1" thickBot="1">
      <c r="A3246" s="2714"/>
      <c r="B3246" s="371"/>
      <c r="C3246" s="371"/>
      <c r="D3246" s="371"/>
      <c r="E3246" s="586"/>
      <c r="F3246" s="518"/>
      <c r="G3246" s="518"/>
      <c r="H3246" s="304" t="s">
        <v>3770</v>
      </c>
      <c r="I3246" s="304" t="s">
        <v>3771</v>
      </c>
      <c r="J3246" s="304" t="s">
        <v>3772</v>
      </c>
      <c r="K3246" s="304" t="s">
        <v>3773</v>
      </c>
      <c r="L3246" s="291"/>
      <c r="M3246" s="291"/>
      <c r="N3246" s="291"/>
      <c r="O3246" s="291"/>
      <c r="S3246" s="364"/>
      <c r="Z3246" s="609" t="s">
        <v>3763</v>
      </c>
      <c r="AA3246" s="609" t="s">
        <v>5669</v>
      </c>
    </row>
    <row r="3247" spans="1:27" ht="18">
      <c r="A3247" s="2714"/>
      <c r="B3247" s="371"/>
      <c r="C3247" s="371"/>
      <c r="D3247" s="371"/>
      <c r="E3247" s="586" t="s">
        <v>2749</v>
      </c>
      <c r="F3247" s="363"/>
      <c r="G3247" s="3465" t="s">
        <v>47</v>
      </c>
      <c r="H3247" s="3428" t="str">
        <f>$V$2</f>
        <v>2019年12月31日</v>
      </c>
      <c r="I3247" s="3430"/>
      <c r="J3247" s="3428" t="str">
        <f>$V$3</f>
        <v>2018年12月31日</v>
      </c>
      <c r="K3247" s="3429"/>
      <c r="L3247" s="355" t="s">
        <v>5296</v>
      </c>
      <c r="M3247" s="291"/>
      <c r="N3247" s="291"/>
      <c r="O3247" s="291"/>
      <c r="S3247" s="364"/>
      <c r="Z3247" s="609" t="s">
        <v>3763</v>
      </c>
      <c r="AA3247" s="609" t="s">
        <v>5669</v>
      </c>
    </row>
    <row r="3248" spans="1:27" ht="24">
      <c r="A3248" s="2714"/>
      <c r="B3248" s="371"/>
      <c r="C3248" s="371"/>
      <c r="D3248" s="371"/>
      <c r="E3248" s="586" t="s">
        <v>2749</v>
      </c>
      <c r="F3248" s="363"/>
      <c r="G3248" s="3466"/>
      <c r="H3248" s="2369" t="s">
        <v>3774</v>
      </c>
      <c r="I3248" s="2369" t="s">
        <v>422</v>
      </c>
      <c r="J3248" s="2369" t="s">
        <v>3774</v>
      </c>
      <c r="K3248" s="2374" t="s">
        <v>422</v>
      </c>
      <c r="L3248" s="594"/>
      <c r="M3248" s="291"/>
      <c r="N3248" s="291"/>
      <c r="O3248" s="291"/>
      <c r="S3248" s="364"/>
      <c r="Z3248" s="609" t="s">
        <v>3763</v>
      </c>
      <c r="AA3248" s="609" t="s">
        <v>5669</v>
      </c>
    </row>
    <row r="3249" spans="1:27" ht="18">
      <c r="A3249" s="2714"/>
      <c r="B3249" s="371">
        <v>101</v>
      </c>
      <c r="C3249" s="371"/>
      <c r="D3249" s="2716">
        <f t="shared" ref="D3249:D3258" si="384">IF(OR(G3249="*",G3249="",G3249=0),0,COUNTIF($G$3249:$G$3258,G3249))</f>
        <v>1</v>
      </c>
      <c r="E3249" s="2721">
        <v>1</v>
      </c>
      <c r="F3249" s="294"/>
      <c r="G3249" s="1474" t="s">
        <v>2302</v>
      </c>
      <c r="H3249" s="2275">
        <f>递延所得税计算表!E9</f>
        <v>289567.38</v>
      </c>
      <c r="I3249" s="2275">
        <f>H3249*0.25</f>
        <v>72391.850000000006</v>
      </c>
      <c r="J3249" s="2275">
        <v>2599780.65</v>
      </c>
      <c r="K3249" s="2296">
        <v>649945.16</v>
      </c>
      <c r="L3249" s="291"/>
      <c r="M3249" s="291"/>
      <c r="N3249" s="291"/>
      <c r="O3249" s="291"/>
      <c r="S3249" s="364"/>
      <c r="Z3249" s="609" t="s">
        <v>3763</v>
      </c>
      <c r="AA3249" s="609" t="s">
        <v>5669</v>
      </c>
    </row>
    <row r="3250" spans="1:27" ht="18">
      <c r="A3250" s="2714"/>
      <c r="B3250" s="371">
        <v>102</v>
      </c>
      <c r="C3250" s="371"/>
      <c r="D3250" s="2716">
        <f t="shared" si="384"/>
        <v>1</v>
      </c>
      <c r="E3250" s="2721">
        <v>1</v>
      </c>
      <c r="F3250" s="294"/>
      <c r="G3250" s="1474" t="s">
        <v>3775</v>
      </c>
      <c r="H3250" s="2275">
        <f>递延所得税计算表!E7</f>
        <v>4808810.0199999996</v>
      </c>
      <c r="I3250" s="2275">
        <f>H3250*0.25</f>
        <v>1202202.51</v>
      </c>
      <c r="J3250" s="2299">
        <v>0</v>
      </c>
      <c r="K3250" s="2297">
        <v>0</v>
      </c>
      <c r="L3250" s="291"/>
      <c r="M3250" s="291"/>
      <c r="N3250" s="291"/>
      <c r="O3250" s="291"/>
      <c r="S3250" s="364"/>
      <c r="Z3250" s="609" t="s">
        <v>3763</v>
      </c>
      <c r="AA3250" s="609" t="s">
        <v>5669</v>
      </c>
    </row>
    <row r="3251" spans="1:27" ht="18">
      <c r="A3251" s="2714"/>
      <c r="B3251" s="371">
        <v>103</v>
      </c>
      <c r="C3251" s="371"/>
      <c r="D3251" s="2716">
        <f t="shared" si="384"/>
        <v>1</v>
      </c>
      <c r="E3251" s="2721">
        <v>1</v>
      </c>
      <c r="F3251" s="294"/>
      <c r="G3251" s="1474" t="s">
        <v>3776</v>
      </c>
      <c r="H3251" s="2275"/>
      <c r="I3251" s="2275"/>
      <c r="J3251" s="2275"/>
      <c r="K3251" s="2296"/>
      <c r="L3251" s="291"/>
      <c r="M3251" s="291"/>
      <c r="N3251" s="291"/>
      <c r="O3251" s="291"/>
      <c r="S3251" s="364"/>
      <c r="Z3251" s="609" t="s">
        <v>3763</v>
      </c>
      <c r="AA3251" s="609" t="s">
        <v>5669</v>
      </c>
    </row>
    <row r="3252" spans="1:27" ht="18">
      <c r="A3252" s="2714"/>
      <c r="B3252" s="371">
        <v>104</v>
      </c>
      <c r="C3252" s="371"/>
      <c r="D3252" s="2716">
        <f t="shared" si="384"/>
        <v>1</v>
      </c>
      <c r="E3252" s="2721">
        <v>1</v>
      </c>
      <c r="F3252" s="294"/>
      <c r="G3252" s="1474" t="s">
        <v>3777</v>
      </c>
      <c r="H3252" s="2275">
        <f>J3252</f>
        <v>2140827.92</v>
      </c>
      <c r="I3252" s="2275">
        <f>H3252*0.25</f>
        <v>535206.98</v>
      </c>
      <c r="J3252" s="2275">
        <v>2140827.92</v>
      </c>
      <c r="K3252" s="2296">
        <v>535206.99</v>
      </c>
      <c r="L3252" s="291"/>
      <c r="M3252" s="291"/>
      <c r="N3252" s="291"/>
      <c r="O3252" s="291"/>
      <c r="S3252" s="364"/>
      <c r="Z3252" s="609" t="s">
        <v>3763</v>
      </c>
      <c r="AA3252" s="609" t="s">
        <v>5669</v>
      </c>
    </row>
    <row r="3253" spans="1:27" ht="24">
      <c r="A3253" s="2714"/>
      <c r="B3253" s="371">
        <v>105</v>
      </c>
      <c r="C3253" s="371" t="s">
        <v>2791</v>
      </c>
      <c r="D3253" s="2716">
        <f t="shared" si="384"/>
        <v>1</v>
      </c>
      <c r="E3253" s="2721">
        <v>1</v>
      </c>
      <c r="F3253" s="294"/>
      <c r="G3253" s="2375" t="s">
        <v>5643</v>
      </c>
      <c r="H3253" s="2275"/>
      <c r="I3253" s="2275"/>
      <c r="J3253" s="2275"/>
      <c r="K3253" s="2296"/>
      <c r="L3253" s="291"/>
      <c r="M3253" s="291"/>
      <c r="N3253" s="291"/>
      <c r="O3253" s="291"/>
      <c r="S3253" s="364"/>
      <c r="Z3253" s="609" t="s">
        <v>3763</v>
      </c>
      <c r="AA3253" s="609" t="s">
        <v>5669</v>
      </c>
    </row>
    <row r="3254" spans="1:27" ht="18">
      <c r="A3254" s="2714"/>
      <c r="B3254" s="371">
        <v>106</v>
      </c>
      <c r="C3254" s="371" t="s">
        <v>2791</v>
      </c>
      <c r="D3254" s="2716">
        <f t="shared" si="384"/>
        <v>1</v>
      </c>
      <c r="E3254" s="2721">
        <v>1</v>
      </c>
      <c r="F3254" s="294"/>
      <c r="G3254" s="2375" t="s">
        <v>570</v>
      </c>
      <c r="H3254" s="2275"/>
      <c r="I3254" s="2275"/>
      <c r="J3254" s="2275"/>
      <c r="K3254" s="2296"/>
      <c r="L3254" s="291"/>
      <c r="M3254" s="291"/>
      <c r="N3254" s="291"/>
      <c r="O3254" s="291"/>
      <c r="S3254" s="364"/>
      <c r="Z3254" s="609" t="s">
        <v>3763</v>
      </c>
      <c r="AA3254" s="609" t="s">
        <v>5669</v>
      </c>
    </row>
    <row r="3255" spans="1:27" ht="18">
      <c r="A3255" s="2714"/>
      <c r="B3255" s="371">
        <v>107</v>
      </c>
      <c r="C3255" s="371" t="s">
        <v>2791</v>
      </c>
      <c r="D3255" s="2716">
        <f t="shared" si="384"/>
        <v>1</v>
      </c>
      <c r="E3255" s="2721">
        <v>1</v>
      </c>
      <c r="F3255" s="294"/>
      <c r="G3255" s="2375" t="s">
        <v>489</v>
      </c>
      <c r="H3255" s="2275"/>
      <c r="I3255" s="2275"/>
      <c r="J3255" s="2275"/>
      <c r="K3255" s="2296"/>
      <c r="L3255" s="291"/>
      <c r="M3255" s="291"/>
      <c r="N3255" s="291"/>
      <c r="O3255" s="291"/>
      <c r="S3255" s="364"/>
      <c r="Z3255" s="609" t="s">
        <v>3763</v>
      </c>
      <c r="AA3255" s="609" t="s">
        <v>5669</v>
      </c>
    </row>
    <row r="3256" spans="1:27" ht="18">
      <c r="A3256" s="2714"/>
      <c r="B3256" s="371">
        <v>108</v>
      </c>
      <c r="C3256" s="371" t="s">
        <v>2791</v>
      </c>
      <c r="D3256" s="2716">
        <f t="shared" si="384"/>
        <v>0</v>
      </c>
      <c r="E3256" s="2721">
        <v>1</v>
      </c>
      <c r="F3256" s="294"/>
      <c r="G3256" s="2375" t="s">
        <v>2792</v>
      </c>
      <c r="H3256" s="2275"/>
      <c r="I3256" s="2275"/>
      <c r="J3256" s="2275"/>
      <c r="K3256" s="2296"/>
      <c r="L3256" s="291"/>
      <c r="M3256" s="291"/>
      <c r="N3256" s="291"/>
      <c r="O3256" s="291"/>
      <c r="S3256" s="364"/>
      <c r="Z3256" s="609" t="s">
        <v>3763</v>
      </c>
      <c r="AA3256" s="609" t="s">
        <v>5669</v>
      </c>
    </row>
    <row r="3257" spans="1:27" ht="18">
      <c r="A3257" s="2714"/>
      <c r="B3257" s="371">
        <v>109</v>
      </c>
      <c r="C3257" s="371" t="s">
        <v>2791</v>
      </c>
      <c r="D3257" s="2716">
        <f t="shared" si="384"/>
        <v>0</v>
      </c>
      <c r="E3257" s="2721">
        <v>1</v>
      </c>
      <c r="F3257" s="294"/>
      <c r="G3257" s="2375" t="s">
        <v>2792</v>
      </c>
      <c r="H3257" s="2275"/>
      <c r="I3257" s="2275"/>
      <c r="J3257" s="2275"/>
      <c r="K3257" s="2296"/>
      <c r="L3257" s="291"/>
      <c r="M3257" s="291"/>
      <c r="N3257" s="291"/>
      <c r="O3257" s="291"/>
      <c r="S3257" s="364"/>
      <c r="Z3257" s="609" t="s">
        <v>3763</v>
      </c>
      <c r="AA3257" s="609" t="s">
        <v>5669</v>
      </c>
    </row>
    <row r="3258" spans="1:27" ht="18.75" thickBot="1">
      <c r="A3258" s="2714"/>
      <c r="B3258" s="371"/>
      <c r="C3258" s="371"/>
      <c r="D3258" s="2716">
        <f t="shared" si="384"/>
        <v>1</v>
      </c>
      <c r="E3258" s="2721" t="s">
        <v>2751</v>
      </c>
      <c r="F3258" s="294"/>
      <c r="G3258" s="374" t="s">
        <v>2752</v>
      </c>
      <c r="H3258" s="1478">
        <f>SUMPRODUCT($E3248:$E3257,H3248:H3257)</f>
        <v>7239205.3200000003</v>
      </c>
      <c r="I3258" s="1478">
        <f>SUMPRODUCT($E3248:$E3257,I3248:I3257)</f>
        <v>1809801.34</v>
      </c>
      <c r="J3258" s="1478">
        <f>SUMPRODUCT($E3248:$E3257,J3248:J3257)</f>
        <v>4740608.57</v>
      </c>
      <c r="K3258" s="1479">
        <f>SUMPRODUCT($E3248:$E3257,K3248:K3257)</f>
        <v>1185152.1499999999</v>
      </c>
      <c r="L3258" s="291"/>
      <c r="M3258" s="291"/>
      <c r="N3258" s="291"/>
      <c r="O3258" s="291"/>
      <c r="S3258" s="364"/>
      <c r="Z3258" s="609" t="s">
        <v>3763</v>
      </c>
      <c r="AA3258" s="609" t="s">
        <v>5669</v>
      </c>
    </row>
    <row r="3259" spans="1:27" ht="18">
      <c r="A3259" s="2714"/>
      <c r="B3259" s="371"/>
      <c r="C3259" s="371" t="s">
        <v>2755</v>
      </c>
      <c r="D3259" s="371"/>
      <c r="F3259" s="294"/>
      <c r="G3259" s="301"/>
      <c r="H3259" s="315"/>
      <c r="I3259" s="315"/>
      <c r="J3259" s="315"/>
      <c r="K3259" s="315"/>
      <c r="L3259" s="291"/>
      <c r="M3259" s="291"/>
      <c r="N3259" s="291"/>
      <c r="O3259" s="291"/>
      <c r="S3259" s="364"/>
      <c r="Z3259" s="609" t="s">
        <v>3763</v>
      </c>
      <c r="AA3259" s="609" t="s">
        <v>5669</v>
      </c>
    </row>
    <row r="3260" spans="1:27" ht="24">
      <c r="A3260" s="2714" t="s">
        <v>1321</v>
      </c>
      <c r="B3260" s="371">
        <v>2</v>
      </c>
      <c r="C3260" s="371"/>
      <c r="D3260" s="2716" t="str">
        <f>VLOOKUP($A3260,Sheet_NoteList,2,0)</f>
        <v>未经抵销的递延所得税负债</v>
      </c>
      <c r="E3260" s="2716" t="s">
        <v>2742</v>
      </c>
      <c r="F3260" s="294"/>
      <c r="G3260" s="372" t="str">
        <f>"("&amp;B3260&amp;")"&amp;D3260</f>
        <v>(2)未经抵销的递延所得税负债</v>
      </c>
      <c r="H3260" s="1517" t="str">
        <f>$A3260</f>
        <v>1829b</v>
      </c>
      <c r="I3260" s="343" t="s">
        <v>2743</v>
      </c>
      <c r="J3260" s="301" t="s">
        <v>2744</v>
      </c>
      <c r="K3260" s="2210">
        <f>I3271</f>
        <v>0</v>
      </c>
      <c r="L3260" s="345" t="str">
        <f>IF($I3260="适用",IF(ROUND(K3243-K3260,2)=0,"F/S",ROUND(K3243-K3260,2)),"#N/A")</f>
        <v>F/S</v>
      </c>
      <c r="M3260" s="301" t="s">
        <v>2745</v>
      </c>
      <c r="N3260" s="2210">
        <f>K3271</f>
        <v>0</v>
      </c>
      <c r="O3260" s="345" t="str">
        <f>IF($I3260="适用",IF(ROUND(N3243-N3260,2)=0,"F/S",ROUND(N3243-N3260,2)),"#N/A")</f>
        <v>F/S</v>
      </c>
      <c r="P3260" s="301"/>
      <c r="Q3260" s="290" t="str">
        <f>IF($I3260="不适用","",IF(ROUND(SUM($H$3265:$K$3271),2)=0,"请输入",""))</f>
        <v>请输入</v>
      </c>
      <c r="S3260" s="364"/>
      <c r="Z3260" s="609" t="s">
        <v>3764</v>
      </c>
      <c r="AA3260" s="609" t="s">
        <v>5694</v>
      </c>
    </row>
    <row r="3261" spans="1:27" ht="0.75" customHeight="1">
      <c r="A3261" s="2714"/>
      <c r="B3261" s="371"/>
      <c r="C3261" s="371"/>
      <c r="D3261" s="371"/>
      <c r="E3261" s="586"/>
      <c r="F3261" s="518"/>
      <c r="G3261" s="518" t="s">
        <v>3778</v>
      </c>
      <c r="H3261" s="304" t="s">
        <v>3779</v>
      </c>
      <c r="I3261" s="304" t="s">
        <v>3780</v>
      </c>
      <c r="J3261" s="304" t="s">
        <v>3781</v>
      </c>
      <c r="K3261" s="304" t="s">
        <v>3782</v>
      </c>
      <c r="L3261" s="291"/>
      <c r="M3261" s="291"/>
      <c r="N3261" s="291"/>
      <c r="O3261" s="291"/>
      <c r="S3261" s="364"/>
      <c r="Z3261" s="609" t="s">
        <v>3764</v>
      </c>
      <c r="AA3261" s="609" t="s">
        <v>5694</v>
      </c>
    </row>
    <row r="3262" spans="1:27" ht="0.75" customHeight="1" thickBot="1">
      <c r="A3262" s="2714"/>
      <c r="B3262" s="371"/>
      <c r="C3262" s="371"/>
      <c r="D3262" s="371"/>
      <c r="E3262" s="586"/>
      <c r="F3262" s="518"/>
      <c r="G3262" s="518"/>
      <c r="H3262" s="304" t="s">
        <v>3783</v>
      </c>
      <c r="I3262" s="304" t="s">
        <v>3784</v>
      </c>
      <c r="J3262" s="304" t="s">
        <v>3785</v>
      </c>
      <c r="K3262" s="304" t="s">
        <v>3786</v>
      </c>
      <c r="L3262" s="291"/>
      <c r="M3262" s="291"/>
      <c r="N3262" s="291"/>
      <c r="O3262" s="291"/>
      <c r="S3262" s="364"/>
      <c r="Z3262" s="609" t="s">
        <v>3764</v>
      </c>
      <c r="AA3262" s="609" t="s">
        <v>5694</v>
      </c>
    </row>
    <row r="3263" spans="1:27" ht="18">
      <c r="A3263" s="2714"/>
      <c r="B3263" s="371"/>
      <c r="C3263" s="371"/>
      <c r="D3263" s="371"/>
      <c r="E3263" s="586" t="s">
        <v>2749</v>
      </c>
      <c r="F3263" s="363"/>
      <c r="G3263" s="3465" t="s">
        <v>47</v>
      </c>
      <c r="H3263" s="3428" t="str">
        <f>$V$2</f>
        <v>2019年12月31日</v>
      </c>
      <c r="I3263" s="3430"/>
      <c r="J3263" s="3428" t="str">
        <f>$V$3</f>
        <v>2018年12月31日</v>
      </c>
      <c r="K3263" s="3429"/>
      <c r="L3263" s="355" t="s">
        <v>5296</v>
      </c>
      <c r="M3263" s="291"/>
      <c r="N3263" s="291"/>
      <c r="O3263" s="291"/>
      <c r="S3263" s="364"/>
      <c r="Z3263" s="609" t="s">
        <v>3764</v>
      </c>
      <c r="AA3263" s="609" t="s">
        <v>5694</v>
      </c>
    </row>
    <row r="3264" spans="1:27" ht="24">
      <c r="A3264" s="2714"/>
      <c r="B3264" s="371"/>
      <c r="C3264" s="371"/>
      <c r="D3264" s="371"/>
      <c r="E3264" s="586" t="s">
        <v>2749</v>
      </c>
      <c r="F3264" s="363"/>
      <c r="G3264" s="3466"/>
      <c r="H3264" s="2369" t="s">
        <v>3787</v>
      </c>
      <c r="I3264" s="2369" t="s">
        <v>576</v>
      </c>
      <c r="J3264" s="2369" t="s">
        <v>3787</v>
      </c>
      <c r="K3264" s="2374" t="s">
        <v>576</v>
      </c>
      <c r="L3264" s="291"/>
      <c r="M3264" s="291"/>
      <c r="N3264" s="291"/>
      <c r="O3264" s="291"/>
      <c r="S3264" s="364"/>
      <c r="Z3264" s="609" t="s">
        <v>3764</v>
      </c>
      <c r="AA3264" s="609" t="s">
        <v>5694</v>
      </c>
    </row>
    <row r="3265" spans="1:27" ht="24">
      <c r="A3265" s="2714"/>
      <c r="B3265" s="371">
        <v>101</v>
      </c>
      <c r="C3265" s="371"/>
      <c r="D3265" s="2716">
        <f t="shared" ref="D3265:D3271" si="385">IF(OR(G3265="*",G3265="",G3265=0),0,COUNTIF($G$3265:$G$3271,G3265))</f>
        <v>1</v>
      </c>
      <c r="E3265" s="2721">
        <v>1</v>
      </c>
      <c r="F3265" s="294"/>
      <c r="G3265" s="1474" t="s">
        <v>3788</v>
      </c>
      <c r="H3265" s="2275"/>
      <c r="I3265" s="2275"/>
      <c r="J3265" s="2275"/>
      <c r="K3265" s="2296"/>
      <c r="L3265" s="291"/>
      <c r="M3265" s="291"/>
      <c r="N3265" s="291"/>
      <c r="O3265" s="291"/>
      <c r="S3265" s="364"/>
      <c r="Z3265" s="609" t="s">
        <v>3764</v>
      </c>
      <c r="AA3265" s="609" t="s">
        <v>5694</v>
      </c>
    </row>
    <row r="3266" spans="1:27" ht="24">
      <c r="A3266" s="2714"/>
      <c r="B3266" s="371">
        <v>102</v>
      </c>
      <c r="C3266" s="371"/>
      <c r="D3266" s="2716">
        <f t="shared" si="385"/>
        <v>1</v>
      </c>
      <c r="E3266" s="2721">
        <v>1</v>
      </c>
      <c r="F3266" s="294"/>
      <c r="G3266" s="1474" t="s">
        <v>3789</v>
      </c>
      <c r="H3266" s="2275"/>
      <c r="I3266" s="2275"/>
      <c r="J3266" s="2275"/>
      <c r="K3266" s="2296"/>
      <c r="L3266" s="291"/>
      <c r="M3266" s="291"/>
      <c r="N3266" s="291"/>
      <c r="O3266" s="291"/>
      <c r="S3266" s="364"/>
      <c r="Z3266" s="609" t="s">
        <v>3764</v>
      </c>
      <c r="AA3266" s="609" t="s">
        <v>5694</v>
      </c>
    </row>
    <row r="3267" spans="1:27" ht="18">
      <c r="A3267" s="2714"/>
      <c r="B3267" s="371">
        <v>103</v>
      </c>
      <c r="C3267" s="371" t="s">
        <v>2791</v>
      </c>
      <c r="D3267" s="2716">
        <f t="shared" si="385"/>
        <v>0</v>
      </c>
      <c r="E3267" s="2721">
        <v>1</v>
      </c>
      <c r="F3267" s="294"/>
      <c r="G3267" s="2375" t="s">
        <v>2792</v>
      </c>
      <c r="H3267" s="2275"/>
      <c r="I3267" s="2275"/>
      <c r="J3267" s="2275"/>
      <c r="K3267" s="2296"/>
      <c r="L3267" s="291"/>
      <c r="M3267" s="291"/>
      <c r="N3267" s="291"/>
      <c r="O3267" s="291"/>
      <c r="S3267" s="364"/>
      <c r="Z3267" s="609" t="s">
        <v>3764</v>
      </c>
      <c r="AA3267" s="609" t="s">
        <v>5694</v>
      </c>
    </row>
    <row r="3268" spans="1:27" ht="18">
      <c r="A3268" s="2714"/>
      <c r="B3268" s="371">
        <v>104</v>
      </c>
      <c r="C3268" s="371" t="s">
        <v>2791</v>
      </c>
      <c r="D3268" s="2716">
        <f t="shared" si="385"/>
        <v>0</v>
      </c>
      <c r="E3268" s="2721">
        <v>1</v>
      </c>
      <c r="F3268" s="294"/>
      <c r="G3268" s="2375" t="s">
        <v>2792</v>
      </c>
      <c r="H3268" s="2275"/>
      <c r="I3268" s="2275"/>
      <c r="J3268" s="2275"/>
      <c r="K3268" s="2296"/>
      <c r="L3268" s="291"/>
      <c r="M3268" s="291"/>
      <c r="N3268" s="291"/>
      <c r="O3268" s="291"/>
      <c r="S3268" s="364"/>
      <c r="Z3268" s="609" t="s">
        <v>3764</v>
      </c>
      <c r="AA3268" s="609" t="s">
        <v>5694</v>
      </c>
    </row>
    <row r="3269" spans="1:27" ht="18">
      <c r="A3269" s="2714"/>
      <c r="B3269" s="371">
        <v>105</v>
      </c>
      <c r="C3269" s="371" t="s">
        <v>2791</v>
      </c>
      <c r="D3269" s="2716">
        <f t="shared" si="385"/>
        <v>0</v>
      </c>
      <c r="E3269" s="2721">
        <v>1</v>
      </c>
      <c r="F3269" s="294"/>
      <c r="G3269" s="2375" t="s">
        <v>2792</v>
      </c>
      <c r="H3269" s="2275"/>
      <c r="I3269" s="2275"/>
      <c r="J3269" s="2275"/>
      <c r="K3269" s="2296"/>
      <c r="L3269" s="291"/>
      <c r="M3269" s="291"/>
      <c r="N3269" s="291"/>
      <c r="O3269" s="291"/>
      <c r="S3269" s="364"/>
      <c r="Z3269" s="609" t="s">
        <v>3764</v>
      </c>
      <c r="AA3269" s="609" t="s">
        <v>5694</v>
      </c>
    </row>
    <row r="3270" spans="1:27" ht="18">
      <c r="A3270" s="2714"/>
      <c r="B3270" s="371">
        <v>106</v>
      </c>
      <c r="C3270" s="371" t="s">
        <v>2791</v>
      </c>
      <c r="D3270" s="2716">
        <f t="shared" si="385"/>
        <v>0</v>
      </c>
      <c r="E3270" s="2721">
        <v>1</v>
      </c>
      <c r="F3270" s="294"/>
      <c r="G3270" s="2375" t="s">
        <v>2792</v>
      </c>
      <c r="H3270" s="2275"/>
      <c r="I3270" s="2275"/>
      <c r="J3270" s="2275"/>
      <c r="K3270" s="2296"/>
      <c r="L3270" s="291"/>
      <c r="M3270" s="291"/>
      <c r="N3270" s="291"/>
      <c r="O3270" s="291"/>
      <c r="S3270" s="364"/>
      <c r="Z3270" s="609" t="s">
        <v>3764</v>
      </c>
      <c r="AA3270" s="609" t="s">
        <v>5694</v>
      </c>
    </row>
    <row r="3271" spans="1:27" ht="18.75" thickBot="1">
      <c r="A3271" s="2714"/>
      <c r="B3271" s="371"/>
      <c r="C3271" s="371"/>
      <c r="D3271" s="2716">
        <f t="shared" si="385"/>
        <v>1</v>
      </c>
      <c r="E3271" s="2721" t="s">
        <v>2751</v>
      </c>
      <c r="F3271" s="294"/>
      <c r="G3271" s="374" t="s">
        <v>2752</v>
      </c>
      <c r="H3271" s="1478">
        <f>SUMPRODUCT($E3264:$E3270,H3264:H3270)</f>
        <v>0</v>
      </c>
      <c r="I3271" s="1478">
        <f>SUMPRODUCT($E3264:$E3270,I3264:I3270)</f>
        <v>0</v>
      </c>
      <c r="J3271" s="1478">
        <f>SUMPRODUCT($E3264:$E3270,J3264:J3270)</f>
        <v>0</v>
      </c>
      <c r="K3271" s="1479">
        <f>SUMPRODUCT($E3264:$E3270,K3264:K3270)</f>
        <v>0</v>
      </c>
      <c r="L3271" s="291"/>
      <c r="M3271" s="291"/>
      <c r="N3271" s="291"/>
      <c r="O3271" s="291"/>
      <c r="S3271" s="364"/>
      <c r="Z3271" s="609" t="s">
        <v>3764</v>
      </c>
      <c r="AA3271" s="609" t="s">
        <v>5694</v>
      </c>
    </row>
    <row r="3272" spans="1:27" ht="18">
      <c r="A3272" s="2714"/>
      <c r="B3272" s="371"/>
      <c r="C3272" s="371" t="s">
        <v>2755</v>
      </c>
      <c r="D3272" s="371"/>
      <c r="F3272" s="294"/>
      <c r="G3272" s="301"/>
      <c r="H3272" s="315"/>
      <c r="I3272" s="315"/>
      <c r="J3272" s="315"/>
      <c r="K3272" s="315"/>
      <c r="L3272" s="291"/>
      <c r="M3272" s="291"/>
      <c r="N3272" s="291"/>
      <c r="O3272" s="291"/>
      <c r="S3272" s="364"/>
      <c r="Z3272" s="609" t="s">
        <v>3764</v>
      </c>
      <c r="AA3272" s="609" t="s">
        <v>5694</v>
      </c>
    </row>
    <row r="3273" spans="1:27" ht="24">
      <c r="A3273" s="2714" t="s">
        <v>1326</v>
      </c>
      <c r="B3273" s="371">
        <v>3</v>
      </c>
      <c r="C3273" s="371"/>
      <c r="D3273" s="2716" t="str">
        <f>VLOOKUP($A3273,Sheet_NoteList,2,0)</f>
        <v>以抵销后净额列示的递延所得税资产或负债</v>
      </c>
      <c r="E3273" s="2716" t="s">
        <v>2742</v>
      </c>
      <c r="F3273" s="294"/>
      <c r="G3273" s="372" t="str">
        <f>"("&amp;B3273&amp;")"&amp;D3273</f>
        <v>(3)以抵销后净额列示的递延所得税资产或负债</v>
      </c>
      <c r="H3273" s="1517" t="str">
        <f>$A3273</f>
        <v>1829c</v>
      </c>
      <c r="I3273" s="343" t="s">
        <v>2743</v>
      </c>
      <c r="J3273" s="301"/>
      <c r="K3273" s="3083"/>
      <c r="L3273" s="315"/>
      <c r="M3273" s="301"/>
      <c r="N3273" s="3083"/>
      <c r="O3273" s="315"/>
      <c r="P3273" s="301"/>
      <c r="Q3273" s="290" t="str">
        <f>IF($I3273="不适用","",IF(ROUND(SUM($H$3276:$K$3278),2)=0,"请输入",""))</f>
        <v>请输入</v>
      </c>
      <c r="S3273" s="364"/>
      <c r="Z3273" s="609" t="s">
        <v>3790</v>
      </c>
      <c r="AA3273" s="609" t="s">
        <v>6575</v>
      </c>
    </row>
    <row r="3274" spans="1:27" ht="0.75" customHeight="1" thickBot="1">
      <c r="A3274" s="2714"/>
      <c r="B3274" s="371"/>
      <c r="C3274" s="371"/>
      <c r="D3274" s="371"/>
      <c r="E3274" s="586"/>
      <c r="F3274" s="518"/>
      <c r="G3274" s="518" t="s">
        <v>3791</v>
      </c>
      <c r="H3274" s="304" t="s">
        <v>3792</v>
      </c>
      <c r="I3274" s="304" t="s">
        <v>3793</v>
      </c>
      <c r="J3274" s="304" t="s">
        <v>3794</v>
      </c>
      <c r="K3274" s="304" t="s">
        <v>3795</v>
      </c>
      <c r="L3274" s="291"/>
      <c r="M3274" s="291"/>
      <c r="N3274" s="291"/>
      <c r="O3274" s="291"/>
      <c r="S3274" s="364"/>
      <c r="Z3274" s="609" t="s">
        <v>3790</v>
      </c>
      <c r="AA3274" s="609" t="s">
        <v>6575</v>
      </c>
    </row>
    <row r="3275" spans="1:27" ht="48">
      <c r="A3275" s="2714"/>
      <c r="B3275" s="371"/>
      <c r="C3275" s="371"/>
      <c r="D3275" s="371"/>
      <c r="E3275" s="586" t="s">
        <v>2749</v>
      </c>
      <c r="F3275" s="363"/>
      <c r="G3275" s="2362" t="s">
        <v>47</v>
      </c>
      <c r="H3275" s="2368" t="str">
        <f>"递延所得税资产和负债于"&amp;$W$2&amp;"互抵金额"</f>
        <v>递延所得税资产和负债于2019年12月31日互抵金额</v>
      </c>
      <c r="I3275" s="2368" t="str">
        <f>"抵销后递延所得税资产或负债于"&amp;$W$2&amp;"余额"</f>
        <v>抵销后递延所得税资产或负债于2019年12月31日余额</v>
      </c>
      <c r="J3275" s="2368" t="str">
        <f>"递延所得税资产和负债于"&amp;$W$3&amp;"互抵金额"</f>
        <v>递延所得税资产和负债于2018年12月31日互抵金额</v>
      </c>
      <c r="K3275" s="2373" t="str">
        <f>"抵销后递延所得税资产或负债于"&amp;$W$3&amp;"余额"</f>
        <v>抵销后递延所得税资产或负债于2018年12月31日余额</v>
      </c>
      <c r="L3275" s="355" t="s">
        <v>5296</v>
      </c>
      <c r="M3275" s="291"/>
      <c r="N3275" s="291"/>
      <c r="O3275" s="291"/>
      <c r="S3275" s="364"/>
      <c r="Z3275" s="609" t="s">
        <v>3790</v>
      </c>
      <c r="AA3275" s="609" t="s">
        <v>6575</v>
      </c>
    </row>
    <row r="3276" spans="1:27" ht="18">
      <c r="A3276" s="2714"/>
      <c r="B3276" s="371">
        <v>101</v>
      </c>
      <c r="C3276" s="371"/>
      <c r="D3276" s="2716">
        <f>IF(OR(G3276="*",G3276="",G3276=0),0,COUNTIF($G$3276:$G$3278,G3276))</f>
        <v>1</v>
      </c>
      <c r="E3276" s="2721">
        <v>1</v>
      </c>
      <c r="F3276" s="294"/>
      <c r="G3276" s="1474" t="s">
        <v>422</v>
      </c>
      <c r="H3276" s="2275"/>
      <c r="I3276" s="2275"/>
      <c r="J3276" s="2275"/>
      <c r="K3276" s="2296"/>
      <c r="L3276" s="291"/>
      <c r="M3276" s="291"/>
      <c r="N3276" s="291"/>
      <c r="O3276" s="291"/>
      <c r="S3276" s="364"/>
      <c r="Z3276" s="609" t="s">
        <v>3790</v>
      </c>
      <c r="AA3276" s="609" t="s">
        <v>6575</v>
      </c>
    </row>
    <row r="3277" spans="1:27" ht="18">
      <c r="A3277" s="2714"/>
      <c r="B3277" s="371">
        <v>102</v>
      </c>
      <c r="C3277" s="371"/>
      <c r="D3277" s="2716">
        <f>IF(OR(G3277="*",G3277="",G3277=0),0,COUNTIF($G$3276:$G$3278,G3277))</f>
        <v>1</v>
      </c>
      <c r="E3277" s="2721">
        <v>1</v>
      </c>
      <c r="F3277" s="294"/>
      <c r="G3277" s="1474" t="s">
        <v>576</v>
      </c>
      <c r="H3277" s="2275"/>
      <c r="I3277" s="2275"/>
      <c r="J3277" s="2275"/>
      <c r="K3277" s="2296"/>
      <c r="L3277" s="291"/>
      <c r="M3277" s="291"/>
      <c r="N3277" s="291"/>
      <c r="O3277" s="291"/>
      <c r="S3277" s="364"/>
      <c r="Z3277" s="609" t="s">
        <v>3790</v>
      </c>
      <c r="AA3277" s="609" t="s">
        <v>6575</v>
      </c>
    </row>
    <row r="3278" spans="1:27" ht="18.75" thickBot="1">
      <c r="A3278" s="2714"/>
      <c r="B3278" s="371"/>
      <c r="C3278" s="371" t="s">
        <v>2793</v>
      </c>
      <c r="D3278" s="2716">
        <f>IF(OR(G3278="*",G3278="",G3278=0),0,COUNTIF($G$3276:$G$3278,G3278))</f>
        <v>0</v>
      </c>
      <c r="E3278" s="2721" t="s">
        <v>3595</v>
      </c>
      <c r="F3278" s="294"/>
      <c r="G3278" s="590"/>
      <c r="H3278" s="2317"/>
      <c r="I3278" s="2317"/>
      <c r="J3278" s="2317"/>
      <c r="K3278" s="2384"/>
      <c r="L3278" s="291"/>
      <c r="M3278" s="291"/>
      <c r="N3278" s="291"/>
      <c r="O3278" s="291"/>
      <c r="S3278" s="364"/>
      <c r="Z3278" s="609" t="s">
        <v>3790</v>
      </c>
      <c r="AA3278" s="609" t="s">
        <v>6575</v>
      </c>
    </row>
    <row r="3279" spans="1:27" ht="18">
      <c r="A3279" s="2714"/>
      <c r="B3279" s="371"/>
      <c r="C3279" s="371" t="s">
        <v>2755</v>
      </c>
      <c r="D3279" s="371"/>
      <c r="F3279" s="294"/>
      <c r="G3279" s="301"/>
      <c r="H3279" s="315"/>
      <c r="I3279" s="315"/>
      <c r="J3279" s="315"/>
      <c r="K3279" s="315"/>
      <c r="L3279" s="291"/>
      <c r="M3279" s="291"/>
      <c r="N3279" s="291"/>
      <c r="O3279" s="291"/>
      <c r="S3279" s="364"/>
      <c r="Z3279" s="609" t="s">
        <v>3790</v>
      </c>
      <c r="AA3279" s="609" t="s">
        <v>6575</v>
      </c>
    </row>
    <row r="3280" spans="1:27" ht="24">
      <c r="A3280" s="2714" t="s">
        <v>1331</v>
      </c>
      <c r="B3280" s="371">
        <v>4</v>
      </c>
      <c r="C3280" s="371"/>
      <c r="D3280" s="2716" t="str">
        <f>VLOOKUP($A3280,Sheet_NoteList,2,0)</f>
        <v>未确认递延所得税资产明细</v>
      </c>
      <c r="E3280" s="2716" t="s">
        <v>2742</v>
      </c>
      <c r="F3280" s="294"/>
      <c r="G3280" s="372" t="str">
        <f>"("&amp;B3280&amp;")"&amp;D3280</f>
        <v>(4)未确认递延所得税资产明细</v>
      </c>
      <c r="H3280" s="1517" t="str">
        <f>$A3280</f>
        <v>1829e</v>
      </c>
      <c r="I3280" s="343" t="s">
        <v>2743</v>
      </c>
      <c r="J3280" s="301"/>
      <c r="K3280" s="3083"/>
      <c r="L3280" s="315"/>
      <c r="M3280" s="301"/>
      <c r="N3280" s="3083"/>
      <c r="O3280" s="315"/>
      <c r="P3280" s="301"/>
      <c r="Q3280" s="290" t="str">
        <f>IF($I3280="不适用","",IF(ROUND(SUM($H$3283:$I$3288),2)=0,"请输入",""))</f>
        <v>请输入</v>
      </c>
      <c r="S3280" s="364"/>
      <c r="Z3280" s="609" t="s">
        <v>3763</v>
      </c>
      <c r="AA3280" s="609" t="s">
        <v>5669</v>
      </c>
    </row>
    <row r="3281" spans="1:29" ht="0.75" customHeight="1" thickBot="1">
      <c r="A3281" s="2714"/>
      <c r="B3281" s="371"/>
      <c r="C3281" s="371"/>
      <c r="D3281" s="371"/>
      <c r="E3281" s="586"/>
      <c r="F3281" s="363"/>
      <c r="G3281" s="363" t="s">
        <v>3796</v>
      </c>
      <c r="H3281" s="294" t="s">
        <v>2849</v>
      </c>
      <c r="I3281" s="294" t="s">
        <v>3797</v>
      </c>
      <c r="J3281" s="291"/>
      <c r="K3281" s="291"/>
      <c r="L3281" s="291"/>
      <c r="M3281" s="291"/>
      <c r="S3281" s="364"/>
      <c r="Z3281" s="609" t="s">
        <v>3763</v>
      </c>
      <c r="AA3281" s="609" t="s">
        <v>5669</v>
      </c>
    </row>
    <row r="3282" spans="1:29" ht="18">
      <c r="A3282" s="2714"/>
      <c r="B3282" s="371"/>
      <c r="C3282" s="371"/>
      <c r="D3282" s="371"/>
      <c r="E3282" s="586" t="s">
        <v>2749</v>
      </c>
      <c r="F3282" s="363"/>
      <c r="G3282" s="2362" t="s">
        <v>47</v>
      </c>
      <c r="H3282" s="2225" t="str">
        <f>$V$2</f>
        <v>2019年12月31日</v>
      </c>
      <c r="I3282" s="2226" t="str">
        <f>$V$3</f>
        <v>2018年12月31日</v>
      </c>
      <c r="J3282" s="355" t="s">
        <v>5296</v>
      </c>
      <c r="K3282" s="291"/>
      <c r="L3282" s="291"/>
      <c r="M3282" s="291"/>
      <c r="S3282" s="364"/>
      <c r="Z3282" s="609" t="s">
        <v>3763</v>
      </c>
      <c r="AA3282" s="609" t="s">
        <v>5669</v>
      </c>
    </row>
    <row r="3283" spans="1:29" ht="18">
      <c r="A3283" s="2714"/>
      <c r="B3283" s="371">
        <v>101</v>
      </c>
      <c r="C3283" s="371"/>
      <c r="D3283" s="2716">
        <f t="shared" ref="D3283:D3288" si="386">IF(OR(G3283="*",G3283="",G3283=0),0,COUNTIF($G$3283:$G$3288,G3283))</f>
        <v>1</v>
      </c>
      <c r="E3283" s="2721">
        <v>1</v>
      </c>
      <c r="F3283" s="294"/>
      <c r="G3283" s="1474" t="s">
        <v>3774</v>
      </c>
      <c r="H3283" s="2275"/>
      <c r="I3283" s="2296"/>
      <c r="J3283" s="291"/>
      <c r="K3283" s="291"/>
      <c r="L3283" s="291"/>
      <c r="M3283" s="291"/>
      <c r="S3283" s="364"/>
      <c r="Z3283" s="609" t="s">
        <v>3763</v>
      </c>
      <c r="AA3283" s="609" t="s">
        <v>5669</v>
      </c>
    </row>
    <row r="3284" spans="1:29" ht="18">
      <c r="A3284" s="2714"/>
      <c r="B3284" s="371">
        <v>102</v>
      </c>
      <c r="C3284" s="371"/>
      <c r="D3284" s="2716">
        <f t="shared" si="386"/>
        <v>1</v>
      </c>
      <c r="E3284" s="2721">
        <v>1</v>
      </c>
      <c r="F3284" s="294"/>
      <c r="G3284" s="1474" t="s">
        <v>3777</v>
      </c>
      <c r="H3284" s="2275"/>
      <c r="I3284" s="2296"/>
      <c r="J3284" s="1533" t="str">
        <f ca="1">HYPERLINK("#'"&amp;$G$1&amp;"'!"&amp;ADDRESS(ROW(Notes!H3303),COLUMN(Notes!H3303),4),"* 请勿删除此行！点击往勾稽单元格，F5+Enter返回")</f>
        <v>* 请勿删除此行！点击往勾稽单元格，F5+Enter返回</v>
      </c>
      <c r="K3284" s="291"/>
      <c r="L3284" s="291"/>
      <c r="M3284" s="291"/>
      <c r="S3284" s="364"/>
      <c r="Z3284" s="609" t="s">
        <v>3763</v>
      </c>
      <c r="AA3284" s="609" t="s">
        <v>5669</v>
      </c>
      <c r="AC3284" s="369" t="s">
        <v>6573</v>
      </c>
    </row>
    <row r="3285" spans="1:29" ht="18">
      <c r="A3285" s="2714"/>
      <c r="B3285" s="371">
        <v>103</v>
      </c>
      <c r="C3285" s="371" t="s">
        <v>2791</v>
      </c>
      <c r="D3285" s="2716">
        <f t="shared" si="386"/>
        <v>0</v>
      </c>
      <c r="E3285" s="2721">
        <v>1</v>
      </c>
      <c r="F3285" s="294"/>
      <c r="G3285" s="2375" t="s">
        <v>2792</v>
      </c>
      <c r="H3285" s="2275"/>
      <c r="I3285" s="2296"/>
      <c r="J3285" s="291"/>
      <c r="K3285" s="291"/>
      <c r="L3285" s="291"/>
      <c r="M3285" s="291"/>
      <c r="S3285" s="364"/>
      <c r="Z3285" s="609" t="s">
        <v>3763</v>
      </c>
      <c r="AA3285" s="609" t="s">
        <v>5669</v>
      </c>
    </row>
    <row r="3286" spans="1:29" ht="18">
      <c r="A3286" s="2714"/>
      <c r="B3286" s="371">
        <v>104</v>
      </c>
      <c r="C3286" s="371" t="s">
        <v>2791</v>
      </c>
      <c r="D3286" s="2716">
        <f t="shared" si="386"/>
        <v>0</v>
      </c>
      <c r="E3286" s="2721">
        <v>1</v>
      </c>
      <c r="F3286" s="294"/>
      <c r="G3286" s="2375" t="s">
        <v>2792</v>
      </c>
      <c r="H3286" s="2275"/>
      <c r="I3286" s="2296"/>
      <c r="J3286" s="291"/>
      <c r="K3286" s="291"/>
      <c r="L3286" s="291"/>
      <c r="M3286" s="291"/>
      <c r="S3286" s="364"/>
      <c r="Z3286" s="609" t="s">
        <v>3763</v>
      </c>
      <c r="AA3286" s="609" t="s">
        <v>5669</v>
      </c>
    </row>
    <row r="3287" spans="1:29" ht="18">
      <c r="A3287" s="2714"/>
      <c r="B3287" s="371">
        <v>105</v>
      </c>
      <c r="C3287" s="371" t="s">
        <v>2791</v>
      </c>
      <c r="D3287" s="2716">
        <f t="shared" si="386"/>
        <v>0</v>
      </c>
      <c r="E3287" s="2721">
        <v>1</v>
      </c>
      <c r="F3287" s="294"/>
      <c r="G3287" s="2375" t="s">
        <v>2792</v>
      </c>
      <c r="H3287" s="2275"/>
      <c r="I3287" s="2296"/>
      <c r="J3287" s="291"/>
      <c r="K3287" s="291"/>
      <c r="L3287" s="291"/>
      <c r="M3287" s="291"/>
      <c r="S3287" s="364"/>
      <c r="Z3287" s="609" t="s">
        <v>3763</v>
      </c>
      <c r="AA3287" s="609" t="s">
        <v>5669</v>
      </c>
    </row>
    <row r="3288" spans="1:29" ht="18.75" thickBot="1">
      <c r="A3288" s="2714"/>
      <c r="B3288" s="371"/>
      <c r="C3288" s="371"/>
      <c r="D3288" s="2716">
        <f t="shared" si="386"/>
        <v>1</v>
      </c>
      <c r="E3288" s="2721" t="s">
        <v>3032</v>
      </c>
      <c r="F3288" s="294"/>
      <c r="G3288" s="374" t="s">
        <v>2752</v>
      </c>
      <c r="H3288" s="1478">
        <f>SUMPRODUCT($E3282:$E3287,H3282:H3287)</f>
        <v>0</v>
      </c>
      <c r="I3288" s="1479">
        <f>SUMPRODUCT($E3282:$E3287,I3282:I3287)</f>
        <v>0</v>
      </c>
      <c r="J3288" s="291"/>
      <c r="K3288" s="291"/>
      <c r="L3288" s="291"/>
      <c r="M3288" s="291"/>
      <c r="S3288" s="364"/>
      <c r="Z3288" s="609" t="s">
        <v>3763</v>
      </c>
      <c r="AA3288" s="609" t="s">
        <v>5669</v>
      </c>
    </row>
    <row r="3289" spans="1:29" ht="18">
      <c r="A3289" s="2714"/>
      <c r="B3289" s="371"/>
      <c r="C3289" s="371" t="s">
        <v>2755</v>
      </c>
      <c r="D3289" s="371"/>
      <c r="F3289" s="294"/>
      <c r="G3289" s="301"/>
      <c r="H3289" s="315"/>
      <c r="I3289" s="315"/>
      <c r="J3289" s="291"/>
      <c r="K3289" s="291"/>
      <c r="L3289" s="291"/>
      <c r="M3289" s="291"/>
      <c r="S3289" s="364"/>
      <c r="Z3289" s="609" t="s">
        <v>3763</v>
      </c>
      <c r="AA3289" s="609" t="s">
        <v>5669</v>
      </c>
    </row>
    <row r="3290" spans="1:29" ht="36">
      <c r="A3290" s="2714" t="s">
        <v>1336</v>
      </c>
      <c r="B3290" s="371">
        <v>5</v>
      </c>
      <c r="C3290" s="371"/>
      <c r="D3290" s="2716" t="str">
        <f>VLOOKUP($A3290,Sheet_NoteList,2,0)</f>
        <v>未确认递延所得税资产的可抵扣亏损将于以下年度到期</v>
      </c>
      <c r="E3290" s="2716" t="s">
        <v>2742</v>
      </c>
      <c r="F3290" s="294"/>
      <c r="G3290" s="372" t="str">
        <f>"("&amp;B3290&amp;")"&amp;D3290</f>
        <v>(5)未确认递延所得税资产的可抵扣亏损将于以下年度到期</v>
      </c>
      <c r="H3290" s="1517" t="str">
        <f>$A3290</f>
        <v>1829f</v>
      </c>
      <c r="I3290" s="343" t="s">
        <v>2743</v>
      </c>
      <c r="J3290" s="301"/>
      <c r="K3290" s="3086">
        <f>H3300</f>
        <v>0</v>
      </c>
      <c r="L3290" s="315"/>
      <c r="M3290" s="301"/>
      <c r="N3290" s="3086">
        <f>I3300</f>
        <v>0</v>
      </c>
      <c r="O3290" s="315"/>
      <c r="P3290" s="301"/>
      <c r="Q3290" s="290" t="str">
        <f>IF($I3290="不适用","",IF(ROUND(SUM($H$3293:$J$3300),2)=0,"请输入",""))</f>
        <v>请输入</v>
      </c>
      <c r="S3290" s="364"/>
      <c r="Z3290" s="609" t="s">
        <v>3763</v>
      </c>
      <c r="AA3290" s="609" t="s">
        <v>5669</v>
      </c>
    </row>
    <row r="3291" spans="1:29" ht="0.75" customHeight="1" thickBot="1">
      <c r="A3291" s="2714"/>
      <c r="B3291" s="371"/>
      <c r="C3291" s="371"/>
      <c r="D3291" s="371"/>
      <c r="E3291" s="586"/>
      <c r="F3291" s="586"/>
      <c r="G3291" s="586" t="s">
        <v>3798</v>
      </c>
      <c r="H3291" s="371" t="s">
        <v>6286</v>
      </c>
      <c r="I3291" s="371" t="s">
        <v>6287</v>
      </c>
      <c r="J3291" s="371" t="s">
        <v>6288</v>
      </c>
      <c r="K3291" s="472"/>
      <c r="L3291" s="472"/>
      <c r="M3291" s="472"/>
      <c r="N3291" s="472"/>
      <c r="O3291" s="442"/>
      <c r="P3291" s="442"/>
      <c r="Q3291" s="442"/>
      <c r="R3291" s="443"/>
      <c r="S3291" s="364"/>
      <c r="Z3291" s="609" t="s">
        <v>3763</v>
      </c>
      <c r="AA3291" s="609" t="s">
        <v>5669</v>
      </c>
    </row>
    <row r="3292" spans="1:29" ht="18">
      <c r="A3292" s="2714"/>
      <c r="B3292" s="371"/>
      <c r="C3292" s="371"/>
      <c r="D3292" s="371"/>
      <c r="E3292" s="586" t="s">
        <v>2749</v>
      </c>
      <c r="F3292" s="363"/>
      <c r="G3292" s="2362" t="s">
        <v>3799</v>
      </c>
      <c r="H3292" s="2225" t="str">
        <f>$V$2</f>
        <v>2019年12月31日</v>
      </c>
      <c r="I3292" s="2225" t="str">
        <f>$V$3</f>
        <v>2018年12月31日</v>
      </c>
      <c r="J3292" s="2373" t="s">
        <v>2508</v>
      </c>
      <c r="K3292" s="355" t="s">
        <v>5296</v>
      </c>
      <c r="L3292" s="472"/>
      <c r="M3292" s="472"/>
      <c r="N3292" s="472"/>
      <c r="O3292" s="442"/>
      <c r="P3292" s="442"/>
      <c r="Q3292" s="442"/>
      <c r="R3292" s="443"/>
      <c r="S3292" s="364"/>
      <c r="Z3292" s="609" t="s">
        <v>3763</v>
      </c>
      <c r="AA3292" s="609" t="s">
        <v>5669</v>
      </c>
    </row>
    <row r="3293" spans="1:29" ht="18">
      <c r="A3293" s="2714"/>
      <c r="B3293" s="371">
        <v>101</v>
      </c>
      <c r="C3293" s="371" t="s">
        <v>2791</v>
      </c>
      <c r="D3293" s="2716">
        <f t="shared" ref="D3293:D3300" si="387">IF(OR(G3293="*",G3293="",G3293=0),0,COUNTIF($G$3293:$G$3300,G3293))</f>
        <v>1</v>
      </c>
      <c r="E3293" s="2721">
        <v>1</v>
      </c>
      <c r="F3293" s="294"/>
      <c r="G3293" s="2375" t="s">
        <v>3800</v>
      </c>
      <c r="H3293" s="2275"/>
      <c r="I3293" s="2275"/>
      <c r="J3293" s="2276"/>
      <c r="K3293" s="472"/>
      <c r="L3293" s="472"/>
      <c r="M3293" s="472"/>
      <c r="N3293" s="472"/>
      <c r="O3293" s="442"/>
      <c r="P3293" s="442"/>
      <c r="Q3293" s="442"/>
      <c r="R3293" s="443"/>
      <c r="S3293" s="364"/>
      <c r="Z3293" s="609" t="s">
        <v>3763</v>
      </c>
      <c r="AA3293" s="609" t="s">
        <v>5669</v>
      </c>
    </row>
    <row r="3294" spans="1:29" ht="18">
      <c r="A3294" s="2714"/>
      <c r="B3294" s="371">
        <v>102</v>
      </c>
      <c r="C3294" s="371" t="s">
        <v>2791</v>
      </c>
      <c r="D3294" s="2716">
        <f t="shared" si="387"/>
        <v>1</v>
      </c>
      <c r="E3294" s="2721">
        <v>1</v>
      </c>
      <c r="F3294" s="294"/>
      <c r="G3294" s="2375" t="s">
        <v>3801</v>
      </c>
      <c r="H3294" s="2275"/>
      <c r="I3294" s="2275"/>
      <c r="J3294" s="2276"/>
      <c r="K3294" s="472"/>
      <c r="L3294" s="472"/>
      <c r="M3294" s="472"/>
      <c r="N3294" s="472"/>
      <c r="O3294" s="442"/>
      <c r="P3294" s="442"/>
      <c r="Q3294" s="442"/>
      <c r="R3294" s="443"/>
      <c r="S3294" s="364"/>
      <c r="Z3294" s="609" t="s">
        <v>3763</v>
      </c>
      <c r="AA3294" s="609" t="s">
        <v>5669</v>
      </c>
    </row>
    <row r="3295" spans="1:29" ht="18">
      <c r="A3295" s="2714"/>
      <c r="B3295" s="371">
        <v>103</v>
      </c>
      <c r="C3295" s="371" t="s">
        <v>2791</v>
      </c>
      <c r="D3295" s="2716">
        <f t="shared" si="387"/>
        <v>1</v>
      </c>
      <c r="E3295" s="2721">
        <v>1</v>
      </c>
      <c r="F3295" s="294"/>
      <c r="G3295" s="2375" t="s">
        <v>3802</v>
      </c>
      <c r="H3295" s="2275"/>
      <c r="I3295" s="2275"/>
      <c r="J3295" s="2276"/>
      <c r="K3295" s="472"/>
      <c r="L3295" s="472"/>
      <c r="M3295" s="472"/>
      <c r="N3295" s="472"/>
      <c r="O3295" s="442"/>
      <c r="P3295" s="442"/>
      <c r="Q3295" s="442"/>
      <c r="R3295" s="443"/>
      <c r="S3295" s="364"/>
      <c r="Z3295" s="609" t="s">
        <v>3763</v>
      </c>
      <c r="AA3295" s="609" t="s">
        <v>5669</v>
      </c>
    </row>
    <row r="3296" spans="1:29" ht="18">
      <c r="A3296" s="2714"/>
      <c r="B3296" s="371">
        <v>104</v>
      </c>
      <c r="C3296" s="371" t="s">
        <v>2791</v>
      </c>
      <c r="D3296" s="2716">
        <f t="shared" si="387"/>
        <v>1</v>
      </c>
      <c r="E3296" s="2721">
        <v>1</v>
      </c>
      <c r="F3296" s="294"/>
      <c r="G3296" s="2375" t="s">
        <v>3803</v>
      </c>
      <c r="H3296" s="2275"/>
      <c r="I3296" s="2275"/>
      <c r="J3296" s="2276"/>
      <c r="K3296" s="472"/>
      <c r="L3296" s="472"/>
      <c r="M3296" s="472"/>
      <c r="N3296" s="472"/>
      <c r="O3296" s="442"/>
      <c r="P3296" s="442"/>
      <c r="Q3296" s="442"/>
      <c r="R3296" s="443"/>
      <c r="S3296" s="364"/>
      <c r="Z3296" s="609" t="s">
        <v>3763</v>
      </c>
      <c r="AA3296" s="609" t="s">
        <v>5669</v>
      </c>
    </row>
    <row r="3297" spans="1:27" ht="18">
      <c r="A3297" s="2714"/>
      <c r="B3297" s="371">
        <v>105</v>
      </c>
      <c r="C3297" s="371" t="s">
        <v>2791</v>
      </c>
      <c r="D3297" s="2716">
        <f t="shared" si="387"/>
        <v>1</v>
      </c>
      <c r="E3297" s="2721">
        <v>1</v>
      </c>
      <c r="F3297" s="294"/>
      <c r="G3297" s="2375" t="s">
        <v>3804</v>
      </c>
      <c r="H3297" s="2275"/>
      <c r="I3297" s="2275"/>
      <c r="J3297" s="2276"/>
      <c r="K3297" s="472"/>
      <c r="L3297" s="472"/>
      <c r="M3297" s="472"/>
      <c r="N3297" s="472"/>
      <c r="O3297" s="442"/>
      <c r="P3297" s="442"/>
      <c r="Q3297" s="442"/>
      <c r="R3297" s="443"/>
      <c r="S3297" s="364"/>
      <c r="Z3297" s="609" t="s">
        <v>3763</v>
      </c>
      <c r="AA3297" s="609" t="s">
        <v>5669</v>
      </c>
    </row>
    <row r="3298" spans="1:27" ht="18">
      <c r="A3298" s="2714"/>
      <c r="B3298" s="371">
        <v>106</v>
      </c>
      <c r="C3298" s="371" t="s">
        <v>2791</v>
      </c>
      <c r="D3298" s="2716">
        <f t="shared" si="387"/>
        <v>0</v>
      </c>
      <c r="E3298" s="2721">
        <v>1</v>
      </c>
      <c r="F3298" s="294"/>
      <c r="G3298" s="2375" t="s">
        <v>2792</v>
      </c>
      <c r="H3298" s="2275"/>
      <c r="I3298" s="2275"/>
      <c r="J3298" s="2276"/>
      <c r="K3298" s="472"/>
      <c r="L3298" s="472"/>
      <c r="M3298" s="472"/>
      <c r="N3298" s="472"/>
      <c r="O3298" s="442"/>
      <c r="P3298" s="442"/>
      <c r="Q3298" s="442"/>
      <c r="R3298" s="443"/>
      <c r="S3298" s="364"/>
      <c r="Z3298" s="609" t="s">
        <v>3763</v>
      </c>
      <c r="AA3298" s="609" t="s">
        <v>5669</v>
      </c>
    </row>
    <row r="3299" spans="1:27" ht="18">
      <c r="A3299" s="2714"/>
      <c r="B3299" s="371">
        <v>107</v>
      </c>
      <c r="C3299" s="371" t="s">
        <v>2791</v>
      </c>
      <c r="D3299" s="2716">
        <f t="shared" si="387"/>
        <v>0</v>
      </c>
      <c r="E3299" s="2721">
        <v>1</v>
      </c>
      <c r="F3299" s="294"/>
      <c r="G3299" s="2375" t="s">
        <v>2792</v>
      </c>
      <c r="H3299" s="2275"/>
      <c r="I3299" s="2275"/>
      <c r="J3299" s="2276"/>
      <c r="K3299" s="472"/>
      <c r="L3299" s="472"/>
      <c r="M3299" s="472"/>
      <c r="N3299" s="472"/>
      <c r="O3299" s="442"/>
      <c r="P3299" s="442"/>
      <c r="Q3299" s="442"/>
      <c r="R3299" s="443"/>
      <c r="S3299" s="364"/>
      <c r="Z3299" s="609" t="s">
        <v>3763</v>
      </c>
      <c r="AA3299" s="609" t="s">
        <v>5669</v>
      </c>
    </row>
    <row r="3300" spans="1:27" ht="18.75" thickBot="1">
      <c r="A3300" s="2714"/>
      <c r="B3300" s="371"/>
      <c r="C3300" s="371"/>
      <c r="D3300" s="2716">
        <f t="shared" si="387"/>
        <v>1</v>
      </c>
      <c r="E3300" s="2721" t="s">
        <v>3032</v>
      </c>
      <c r="F3300" s="294"/>
      <c r="G3300" s="374" t="s">
        <v>2752</v>
      </c>
      <c r="H3300" s="1478">
        <f>SUMPRODUCT($E3292:$E3299,H3292:H3299)</f>
        <v>0</v>
      </c>
      <c r="I3300" s="1478">
        <f>SUMPRODUCT($E3292:$E3299,I3292:I3299)</f>
        <v>0</v>
      </c>
      <c r="J3300" s="2260"/>
      <c r="K3300" s="472"/>
      <c r="L3300" s="472"/>
      <c r="M3300" s="472"/>
      <c r="N3300" s="472"/>
      <c r="O3300" s="442"/>
      <c r="P3300" s="442"/>
      <c r="Q3300" s="442"/>
      <c r="R3300" s="443"/>
      <c r="S3300" s="364"/>
      <c r="Z3300" s="609" t="s">
        <v>3763</v>
      </c>
      <c r="AA3300" s="609" t="s">
        <v>5669</v>
      </c>
    </row>
    <row r="3301" spans="1:27" ht="18.75" thickBot="1">
      <c r="A3301" s="2714"/>
      <c r="B3301" s="371"/>
      <c r="C3301" s="371" t="s">
        <v>2755</v>
      </c>
      <c r="D3301" s="371"/>
      <c r="F3301" s="294"/>
      <c r="G3301" s="301"/>
      <c r="H3301" s="315" t="s">
        <v>3002</v>
      </c>
      <c r="I3301" s="315" t="s">
        <v>3002</v>
      </c>
      <c r="J3301" s="427"/>
      <c r="K3301" s="472"/>
      <c r="L3301" s="472"/>
      <c r="M3301" s="472"/>
      <c r="N3301" s="472"/>
      <c r="O3301" s="442"/>
      <c r="P3301" s="442"/>
      <c r="Q3301" s="442"/>
      <c r="R3301" s="443"/>
      <c r="S3301" s="364"/>
      <c r="Z3301" s="609" t="s">
        <v>3763</v>
      </c>
      <c r="AA3301" s="609" t="s">
        <v>5669</v>
      </c>
    </row>
    <row r="3302" spans="1:27" ht="18.75" thickTop="1">
      <c r="A3302" s="2714"/>
      <c r="B3302" s="371"/>
      <c r="C3302" s="371" t="s">
        <v>2565</v>
      </c>
      <c r="D3302" s="371"/>
      <c r="F3302" s="294"/>
      <c r="G3302" s="454" t="s">
        <v>2756</v>
      </c>
      <c r="H3302" s="455" t="str">
        <f>G3280</f>
        <v>(4)未确认递延所得税资产明细</v>
      </c>
      <c r="I3302" s="487"/>
      <c r="J3302" s="474"/>
      <c r="K3302" s="291"/>
      <c r="L3302" s="291"/>
      <c r="M3302" s="291"/>
      <c r="N3302" s="291"/>
      <c r="S3302" s="364"/>
      <c r="Z3302" s="609" t="s">
        <v>3763</v>
      </c>
      <c r="AA3302" s="609" t="s">
        <v>5669</v>
      </c>
    </row>
    <row r="3303" spans="1:27" ht="18">
      <c r="A3303" s="2714"/>
      <c r="B3303" s="371"/>
      <c r="C3303" s="371" t="s">
        <v>2565</v>
      </c>
      <c r="D3303" s="371"/>
      <c r="F3303" s="294"/>
      <c r="G3303" s="316" t="str">
        <f>G3284</f>
        <v>可抵扣亏损</v>
      </c>
      <c r="H3303" s="2252">
        <f ca="1">HYPERLINK("#'"&amp;$G$1&amp;"'!"&amp;ADDRESS(ROW(Notes!H3284),COLUMN(Notes!H3284),4),H3284)</f>
        <v>0</v>
      </c>
      <c r="I3303" s="2252">
        <f ca="1">HYPERLINK("#'"&amp;$G$1&amp;"'!"&amp;ADDRESS(ROW(Notes!I3284),COLUMN(Notes!I3284),4),I3284)</f>
        <v>0</v>
      </c>
      <c r="J3303" s="2632" t="str">
        <f>H3280</f>
        <v>1829e</v>
      </c>
      <c r="K3303" s="291"/>
      <c r="L3303" s="291"/>
      <c r="M3303" s="291"/>
      <c r="N3303" s="291"/>
      <c r="S3303" s="364"/>
      <c r="Z3303" s="609" t="s">
        <v>3763</v>
      </c>
      <c r="AA3303" s="609" t="s">
        <v>5669</v>
      </c>
    </row>
    <row r="3304" spans="1:27" ht="18">
      <c r="A3304" s="2714"/>
      <c r="B3304" s="371"/>
      <c r="C3304" s="371" t="s">
        <v>2565</v>
      </c>
      <c r="D3304" s="371"/>
      <c r="F3304" s="294"/>
      <c r="G3304" s="316" t="s">
        <v>3003</v>
      </c>
      <c r="H3304" s="456">
        <f>H3300</f>
        <v>0</v>
      </c>
      <c r="I3304" s="456">
        <f>I3300</f>
        <v>0</v>
      </c>
      <c r="J3304" s="351" t="str">
        <f>H3290</f>
        <v>1829f</v>
      </c>
      <c r="K3304" s="291"/>
      <c r="L3304" s="291"/>
      <c r="M3304" s="291"/>
      <c r="N3304" s="291"/>
      <c r="S3304" s="364"/>
      <c r="Z3304" s="609" t="s">
        <v>3763</v>
      </c>
      <c r="AA3304" s="609" t="s">
        <v>5669</v>
      </c>
    </row>
    <row r="3305" spans="1:27" ht="18.75" thickBot="1">
      <c r="A3305" s="2714"/>
      <c r="B3305" s="371"/>
      <c r="C3305" s="371" t="s">
        <v>2565</v>
      </c>
      <c r="D3305" s="371"/>
      <c r="F3305" s="294"/>
      <c r="G3305" s="457" t="s">
        <v>2757</v>
      </c>
      <c r="H3305" s="458">
        <f ca="1">IF(AND(H3303="",H3304=""),"",ROUND(H3303-H3304,2))</f>
        <v>0</v>
      </c>
      <c r="I3305" s="458">
        <f ca="1">IF(AND(I3303="",I3304=""),"",ROUND(I3303-I3304,2))</f>
        <v>0</v>
      </c>
      <c r="J3305" s="356"/>
      <c r="K3305" s="291"/>
      <c r="L3305" s="291"/>
      <c r="M3305" s="291"/>
      <c r="N3305" s="291"/>
      <c r="S3305" s="364"/>
      <c r="Z3305" s="609" t="s">
        <v>3763</v>
      </c>
      <c r="AA3305" s="609" t="s">
        <v>5669</v>
      </c>
    </row>
    <row r="3306" spans="1:27" ht="18.75" thickTop="1">
      <c r="A3306" s="2714"/>
      <c r="B3306" s="371"/>
      <c r="C3306" s="371" t="s">
        <v>2565</v>
      </c>
      <c r="D3306" s="371"/>
      <c r="F3306" s="294"/>
      <c r="G3306" s="354"/>
      <c r="H3306" s="459" t="str">
        <f ca="1">IF(OR(H3305=0,H3305=""),"√","？")</f>
        <v>√</v>
      </c>
      <c r="I3306" s="459" t="str">
        <f ca="1">IF(OR(I3305=0,I3305=""),"√","？")</f>
        <v>√</v>
      </c>
      <c r="J3306" s="317"/>
      <c r="K3306" s="291"/>
      <c r="L3306" s="291"/>
      <c r="M3306" s="291"/>
      <c r="N3306" s="291"/>
      <c r="S3306" s="364"/>
      <c r="Z3306" s="609" t="s">
        <v>3763</v>
      </c>
      <c r="AA3306" s="609" t="s">
        <v>5669</v>
      </c>
    </row>
    <row r="3307" spans="1:27" ht="18">
      <c r="A3307" s="2714"/>
      <c r="B3307" s="371"/>
      <c r="C3307" s="371" t="s">
        <v>2565</v>
      </c>
      <c r="D3307" s="371"/>
      <c r="F3307" s="294"/>
      <c r="G3307" s="460" t="s">
        <v>2759</v>
      </c>
      <c r="H3307" s="461"/>
      <c r="I3307" s="461"/>
      <c r="J3307" s="317"/>
      <c r="K3307" s="345">
        <f ca="1">SUMIF($H$3306:$J$3306,"&lt;&gt;√",$H$3305:$J$3305)</f>
        <v>0</v>
      </c>
      <c r="L3307" s="475" t="str">
        <f ca="1">IF(OR(K3307=0,K3307=""),"√","？")</f>
        <v>√</v>
      </c>
      <c r="M3307" s="291"/>
      <c r="N3307" s="291"/>
      <c r="S3307" s="364"/>
      <c r="Z3307" s="609" t="s">
        <v>3763</v>
      </c>
      <c r="AA3307" s="609" t="s">
        <v>5669</v>
      </c>
    </row>
    <row r="3308" spans="1:27" ht="18">
      <c r="A3308" s="2714"/>
      <c r="B3308" s="371"/>
      <c r="C3308" s="371" t="s">
        <v>2565</v>
      </c>
      <c r="D3308" s="371"/>
      <c r="F3308" s="294"/>
      <c r="G3308" s="354"/>
      <c r="H3308" s="461"/>
      <c r="I3308" s="461"/>
      <c r="J3308" s="317"/>
      <c r="K3308" s="291"/>
      <c r="L3308" s="291"/>
      <c r="M3308" s="291"/>
      <c r="N3308" s="291"/>
      <c r="S3308" s="364"/>
      <c r="Z3308" s="609" t="s">
        <v>3763</v>
      </c>
      <c r="AA3308" s="609" t="s">
        <v>5669</v>
      </c>
    </row>
    <row r="3309" spans="1:27" ht="18">
      <c r="A3309" s="2714">
        <v>1996</v>
      </c>
      <c r="B3309" s="371">
        <v>32</v>
      </c>
      <c r="C3309" s="2716" t="str">
        <f>VLOOKUP($A3309,Sheet_Items,2,0)</f>
        <v>其他非流动资产</v>
      </c>
      <c r="D3309" s="371"/>
      <c r="E3309" s="2716" t="s">
        <v>2739</v>
      </c>
      <c r="F3309" s="294"/>
      <c r="G3309" s="305" t="str">
        <f>B3309&amp;" "&amp;C3309</f>
        <v>32 其他非流动资产</v>
      </c>
      <c r="H3309" s="306"/>
      <c r="I3309" s="306"/>
      <c r="J3309" s="306" t="s">
        <v>2740</v>
      </c>
      <c r="K3309" s="341">
        <f>VLOOKUP($A3309,Sheet_Trialbal,6,0)</f>
        <v>94970</v>
      </c>
      <c r="L3309" s="342"/>
      <c r="M3309" s="306" t="s">
        <v>2741</v>
      </c>
      <c r="N3309" s="341">
        <f>VLOOKUP($A3309,Sheet_Trialbal,10,0)</f>
        <v>523136</v>
      </c>
      <c r="O3309" s="306"/>
      <c r="P3309" s="301"/>
      <c r="S3309" s="364"/>
      <c r="Z3309" s="609" t="s">
        <v>1343</v>
      </c>
      <c r="AA3309" s="609" t="s">
        <v>5670</v>
      </c>
    </row>
    <row r="3310" spans="1:27" ht="18">
      <c r="A3310" s="2714" t="s">
        <v>1341</v>
      </c>
      <c r="B3310" s="371">
        <v>1</v>
      </c>
      <c r="C3310" s="371"/>
      <c r="D3310" s="2716" t="str">
        <f>VLOOKUP($A3310,Sheet_NoteList,2,0)</f>
        <v>其他非流动资产明细项目</v>
      </c>
      <c r="E3310" s="2716" t="s">
        <v>2742</v>
      </c>
      <c r="F3310" s="294"/>
      <c r="G3310" s="307" t="str">
        <f>"("&amp;B3310&amp;")"&amp;D3310</f>
        <v>(1)其他非流动资产明细项目</v>
      </c>
      <c r="H3310" s="1517" t="str">
        <f>$A3310</f>
        <v>1996a</v>
      </c>
      <c r="I3310" s="343" t="s">
        <v>2743</v>
      </c>
      <c r="J3310" s="301" t="s">
        <v>2744</v>
      </c>
      <c r="K3310" s="2210">
        <f>H3320</f>
        <v>94970</v>
      </c>
      <c r="L3310" s="345" t="str">
        <f>IF($I3310="适用",IF(ROUND(K3309-K3310,2)=0,"F/S",ROUND(K3309-K3310,2)),"#N/A")</f>
        <v>F/S</v>
      </c>
      <c r="M3310" s="301" t="s">
        <v>2745</v>
      </c>
      <c r="N3310" s="2210">
        <f>I3320</f>
        <v>523136</v>
      </c>
      <c r="O3310" s="345" t="str">
        <f>IF($I3310="适用",IF(ROUND(N3309-N3310,2)=0,"F/S",ROUND(N3309-N3310,2)),"#N/A")</f>
        <v>F/S</v>
      </c>
      <c r="P3310" s="301"/>
      <c r="Q3310" s="290" t="str">
        <f>IF($I3310="不适用","",IF(ROUND(SUM($H$3313:$I$3320),2)=0,"请输入",""))</f>
        <v/>
      </c>
      <c r="S3310" s="364"/>
      <c r="Z3310" s="609" t="s">
        <v>1343</v>
      </c>
      <c r="AA3310" s="609" t="s">
        <v>5670</v>
      </c>
    </row>
    <row r="3311" spans="1:27" ht="0.75" customHeight="1" thickBot="1">
      <c r="A3311" s="2714"/>
      <c r="B3311" s="371"/>
      <c r="C3311" s="371"/>
      <c r="D3311" s="371"/>
      <c r="F3311" s="304"/>
      <c r="G3311" s="304" t="s">
        <v>3805</v>
      </c>
      <c r="H3311" s="304" t="s">
        <v>2747</v>
      </c>
      <c r="I3311" s="304" t="s">
        <v>2748</v>
      </c>
      <c r="M3311" s="291"/>
      <c r="S3311" s="364"/>
      <c r="Z3311" s="609" t="s">
        <v>1343</v>
      </c>
      <c r="AA3311" s="609" t="s">
        <v>5670</v>
      </c>
    </row>
    <row r="3312" spans="1:27" ht="18">
      <c r="A3312" s="2714"/>
      <c r="B3312" s="371"/>
      <c r="C3312" s="371"/>
      <c r="D3312" s="371"/>
      <c r="E3312" s="2716" t="s">
        <v>2749</v>
      </c>
      <c r="F3312" s="294"/>
      <c r="G3312" s="410" t="s">
        <v>47</v>
      </c>
      <c r="H3312" s="1454" t="str">
        <f>$V$2</f>
        <v>2019年12月31日</v>
      </c>
      <c r="I3312" s="1455" t="str">
        <f>$V$3</f>
        <v>2018年12月31日</v>
      </c>
      <c r="J3312" s="355" t="s">
        <v>5297</v>
      </c>
      <c r="M3312" s="291"/>
      <c r="S3312" s="364"/>
      <c r="Z3312" s="609" t="s">
        <v>1343</v>
      </c>
      <c r="AA3312" s="609" t="s">
        <v>5670</v>
      </c>
    </row>
    <row r="3313" spans="1:29" ht="18">
      <c r="A3313" s="2714"/>
      <c r="B3313" s="371">
        <v>101</v>
      </c>
      <c r="C3313" s="371"/>
      <c r="D3313" s="2716">
        <f t="shared" ref="D3313:D3320" si="388">IF(OR(G3313="*",G3313="",G3313=0),0,COUNTIF($G$3313:$G$3320,G3313))</f>
        <v>1</v>
      </c>
      <c r="E3313" s="2721">
        <v>1</v>
      </c>
      <c r="F3313" s="294"/>
      <c r="G3313" s="308" t="s">
        <v>3325</v>
      </c>
      <c r="H3313" s="309"/>
      <c r="I3313" s="346"/>
      <c r="L3313" s="291"/>
      <c r="M3313" s="291"/>
      <c r="S3313" s="364"/>
      <c r="Z3313" s="609" t="s">
        <v>1343</v>
      </c>
      <c r="AA3313" s="609" t="s">
        <v>5670</v>
      </c>
    </row>
    <row r="3314" spans="1:29" ht="18">
      <c r="A3314" s="2714"/>
      <c r="B3314" s="371">
        <v>102</v>
      </c>
      <c r="C3314" s="371" t="s">
        <v>2791</v>
      </c>
      <c r="D3314" s="2716">
        <f t="shared" si="388"/>
        <v>1</v>
      </c>
      <c r="E3314" s="2721">
        <v>1</v>
      </c>
      <c r="F3314" s="294"/>
      <c r="G3314" s="319" t="s">
        <v>6869</v>
      </c>
      <c r="H3314" s="309"/>
      <c r="I3314" s="346">
        <v>346086</v>
      </c>
      <c r="L3314" s="291"/>
      <c r="M3314" s="291"/>
      <c r="S3314" s="364"/>
      <c r="Z3314" s="609" t="s">
        <v>1343</v>
      </c>
      <c r="AA3314" s="609" t="s">
        <v>5670</v>
      </c>
    </row>
    <row r="3315" spans="1:29" ht="18">
      <c r="A3315" s="2714"/>
      <c r="B3315" s="371">
        <v>103</v>
      </c>
      <c r="C3315" s="371" t="s">
        <v>2791</v>
      </c>
      <c r="D3315" s="2716">
        <f t="shared" si="388"/>
        <v>1</v>
      </c>
      <c r="E3315" s="2721">
        <v>1</v>
      </c>
      <c r="F3315" s="294"/>
      <c r="G3315" s="319" t="s">
        <v>6870</v>
      </c>
      <c r="H3315" s="309">
        <v>94970</v>
      </c>
      <c r="I3315" s="346">
        <v>177050</v>
      </c>
      <c r="L3315" s="291"/>
      <c r="M3315" s="291"/>
      <c r="S3315" s="364"/>
      <c r="Z3315" s="609" t="s">
        <v>1343</v>
      </c>
      <c r="AA3315" s="609" t="s">
        <v>5670</v>
      </c>
    </row>
    <row r="3316" spans="1:29" ht="18">
      <c r="A3316" s="2714"/>
      <c r="B3316" s="371">
        <v>104</v>
      </c>
      <c r="C3316" s="371" t="s">
        <v>2791</v>
      </c>
      <c r="D3316" s="2716">
        <f t="shared" si="388"/>
        <v>0</v>
      </c>
      <c r="E3316" s="2721">
        <v>1</v>
      </c>
      <c r="F3316" s="294"/>
      <c r="G3316" s="319" t="s">
        <v>2792</v>
      </c>
      <c r="H3316" s="309"/>
      <c r="I3316" s="346"/>
      <c r="L3316" s="291"/>
      <c r="M3316" s="291"/>
      <c r="S3316" s="364"/>
      <c r="Z3316" s="609" t="s">
        <v>1343</v>
      </c>
      <c r="AA3316" s="609" t="s">
        <v>5670</v>
      </c>
    </row>
    <row r="3317" spans="1:29" ht="18">
      <c r="A3317" s="2714"/>
      <c r="B3317" s="371">
        <v>105</v>
      </c>
      <c r="C3317" s="371" t="s">
        <v>2791</v>
      </c>
      <c r="D3317" s="2716">
        <f t="shared" si="388"/>
        <v>0</v>
      </c>
      <c r="E3317" s="2721">
        <v>1</v>
      </c>
      <c r="F3317" s="294"/>
      <c r="G3317" s="319" t="s">
        <v>2792</v>
      </c>
      <c r="H3317" s="309"/>
      <c r="I3317" s="346"/>
      <c r="L3317" s="291"/>
      <c r="M3317" s="291"/>
      <c r="S3317" s="364"/>
      <c r="Z3317" s="609" t="s">
        <v>1343</v>
      </c>
      <c r="AA3317" s="609" t="s">
        <v>5670</v>
      </c>
    </row>
    <row r="3318" spans="1:29" ht="18">
      <c r="A3318" s="2714"/>
      <c r="B3318" s="371">
        <v>106</v>
      </c>
      <c r="C3318" s="371" t="s">
        <v>2791</v>
      </c>
      <c r="D3318" s="2716">
        <f t="shared" si="388"/>
        <v>0</v>
      </c>
      <c r="E3318" s="2721">
        <v>1</v>
      </c>
      <c r="F3318" s="294"/>
      <c r="G3318" s="319" t="s">
        <v>2792</v>
      </c>
      <c r="H3318" s="309"/>
      <c r="I3318" s="346"/>
      <c r="L3318" s="291"/>
      <c r="M3318" s="291"/>
      <c r="S3318" s="364"/>
      <c r="Z3318" s="609" t="s">
        <v>1343</v>
      </c>
      <c r="AA3318" s="609" t="s">
        <v>5670</v>
      </c>
    </row>
    <row r="3319" spans="1:29" ht="18">
      <c r="A3319" s="2714"/>
      <c r="B3319" s="371">
        <v>107</v>
      </c>
      <c r="C3319" s="371" t="s">
        <v>2791</v>
      </c>
      <c r="D3319" s="2716">
        <f t="shared" si="388"/>
        <v>0</v>
      </c>
      <c r="E3319" s="2721">
        <v>1</v>
      </c>
      <c r="F3319" s="294"/>
      <c r="G3319" s="319" t="s">
        <v>2792</v>
      </c>
      <c r="H3319" s="309"/>
      <c r="I3319" s="346"/>
      <c r="L3319" s="291"/>
      <c r="M3319" s="291"/>
      <c r="S3319" s="364"/>
      <c r="Z3319" s="609" t="s">
        <v>1343</v>
      </c>
      <c r="AA3319" s="609" t="s">
        <v>5670</v>
      </c>
    </row>
    <row r="3320" spans="1:29" ht="18.75" thickBot="1">
      <c r="A3320" s="2714"/>
      <c r="B3320" s="371"/>
      <c r="C3320" s="371"/>
      <c r="D3320" s="2716">
        <f t="shared" si="388"/>
        <v>1</v>
      </c>
      <c r="E3320" s="2721" t="s">
        <v>2751</v>
      </c>
      <c r="F3320" s="294"/>
      <c r="G3320" s="374" t="s">
        <v>2752</v>
      </c>
      <c r="H3320" s="596">
        <f>SUMPRODUCT($E3312:$E3319,H3312:H3319)</f>
        <v>94970</v>
      </c>
      <c r="I3320" s="599">
        <f>SUMPRODUCT($E3312:$E3319,I3312:I3319)</f>
        <v>523136</v>
      </c>
      <c r="L3320" s="291"/>
      <c r="M3320" s="291"/>
      <c r="S3320" s="364"/>
      <c r="Z3320" s="609" t="s">
        <v>1343</v>
      </c>
      <c r="AA3320" s="609" t="s">
        <v>5670</v>
      </c>
    </row>
    <row r="3321" spans="1:29" ht="18">
      <c r="A3321" s="2714"/>
      <c r="B3321" s="371"/>
      <c r="C3321" s="371" t="s">
        <v>2755</v>
      </c>
      <c r="D3321" s="371"/>
      <c r="F3321" s="294"/>
      <c r="G3321" s="301"/>
      <c r="H3321" s="315"/>
      <c r="I3321" s="315"/>
      <c r="J3321" s="349"/>
      <c r="K3321" s="349"/>
      <c r="L3321" s="291"/>
      <c r="M3321" s="291"/>
      <c r="S3321" s="364"/>
      <c r="Z3321" s="609" t="s">
        <v>1343</v>
      </c>
      <c r="AA3321" s="609" t="s">
        <v>5670</v>
      </c>
    </row>
    <row r="3322" spans="1:29" ht="18">
      <c r="A3322" s="2714">
        <v>2001</v>
      </c>
      <c r="B3322" s="371">
        <v>33</v>
      </c>
      <c r="C3322" s="2716" t="str">
        <f>VLOOKUP($A3322,Sheet_Items,2,0)</f>
        <v>短期借款</v>
      </c>
      <c r="D3322" s="371"/>
      <c r="E3322" s="2716" t="s">
        <v>2739</v>
      </c>
      <c r="F3322" s="294"/>
      <c r="G3322" s="305" t="str">
        <f>B3322&amp;" "&amp;C3322</f>
        <v>33 短期借款</v>
      </c>
      <c r="H3322" s="306"/>
      <c r="I3322" s="306"/>
      <c r="J3322" s="306" t="s">
        <v>2740</v>
      </c>
      <c r="K3322" s="341">
        <f>VLOOKUP($A3322,Sheet_Trialbal,6,0)</f>
        <v>2002968.82</v>
      </c>
      <c r="L3322" s="342"/>
      <c r="M3322" s="306" t="s">
        <v>2741</v>
      </c>
      <c r="N3322" s="341">
        <f>VLOOKUP($A3322,Sheet_Trialbal,10,0)</f>
        <v>0</v>
      </c>
      <c r="O3322" s="306"/>
      <c r="P3322" s="301"/>
      <c r="S3322" s="364"/>
      <c r="Z3322" s="609" t="s">
        <v>3806</v>
      </c>
      <c r="AA3322" s="609" t="s">
        <v>5671</v>
      </c>
    </row>
    <row r="3323" spans="1:29" ht="18">
      <c r="A3323" s="2714" t="s">
        <v>1357</v>
      </c>
      <c r="B3323" s="371">
        <v>1</v>
      </c>
      <c r="C3323" s="371"/>
      <c r="D3323" s="2716" t="str">
        <f>VLOOKUP($A3323,Sheet_NoteList,2,0)</f>
        <v>短期借款分类</v>
      </c>
      <c r="E3323" s="2716" t="s">
        <v>2742</v>
      </c>
      <c r="F3323" s="294"/>
      <c r="G3323" s="307" t="str">
        <f>"("&amp;B3323&amp;")"&amp;D3323</f>
        <v>(1)短期借款分类</v>
      </c>
      <c r="H3323" s="1517" t="str">
        <f>$A3323</f>
        <v>2001a</v>
      </c>
      <c r="I3323" s="343" t="s">
        <v>2743</v>
      </c>
      <c r="J3323" s="301" t="s">
        <v>2744</v>
      </c>
      <c r="K3323" s="2210">
        <f>H3331</f>
        <v>2002968.82</v>
      </c>
      <c r="L3323" s="345" t="str">
        <f>IF($I3323="适用",IF(ROUND(K$3322-K3323,2)=0,"F/S",ROUND(K$3322-K3323,2)),"#N/A")</f>
        <v>F/S</v>
      </c>
      <c r="M3323" s="301" t="s">
        <v>2745</v>
      </c>
      <c r="N3323" s="2210">
        <f>I3331</f>
        <v>0</v>
      </c>
      <c r="O3323" s="345" t="str">
        <f>IF($I3323="适用",IF(ROUND(N$3322-N3323,2)=0,"F/S",ROUND(N$3322-N3323,2)),"#N/A")</f>
        <v>F/S</v>
      </c>
      <c r="P3323" s="301"/>
      <c r="Q3323" s="290" t="str">
        <f>IF($I3323="不适用","",IF(ROUND(SUM($H$3326:$J$3331),2)=0,"请输入",""))</f>
        <v/>
      </c>
      <c r="S3323" s="364"/>
      <c r="Z3323" s="609" t="s">
        <v>3806</v>
      </c>
      <c r="AA3323" s="609" t="s">
        <v>5671</v>
      </c>
    </row>
    <row r="3324" spans="1:29" ht="0.75" customHeight="1" thickBot="1">
      <c r="A3324" s="2714"/>
      <c r="B3324" s="371"/>
      <c r="C3324" s="371"/>
      <c r="D3324" s="371"/>
      <c r="F3324" s="371"/>
      <c r="G3324" s="371" t="s">
        <v>3807</v>
      </c>
      <c r="H3324" s="371" t="s">
        <v>2747</v>
      </c>
      <c r="I3324" s="371" t="s">
        <v>2748</v>
      </c>
      <c r="J3324" s="598"/>
      <c r="K3324" s="472"/>
      <c r="L3324" s="472"/>
      <c r="M3324" s="472"/>
      <c r="N3324" s="472"/>
      <c r="O3324" s="442"/>
      <c r="P3324" s="442"/>
      <c r="Q3324" s="442"/>
      <c r="R3324" s="443"/>
      <c r="S3324" s="364"/>
      <c r="Z3324" s="609" t="s">
        <v>3806</v>
      </c>
      <c r="AA3324" s="609" t="s">
        <v>5671</v>
      </c>
    </row>
    <row r="3325" spans="1:29" ht="18">
      <c r="A3325" s="2714"/>
      <c r="B3325" s="371"/>
      <c r="C3325" s="371"/>
      <c r="D3325" s="371"/>
      <c r="E3325" s="2716" t="s">
        <v>2749</v>
      </c>
      <c r="F3325" s="294"/>
      <c r="G3325" s="588" t="s">
        <v>1359</v>
      </c>
      <c r="H3325" s="1454" t="str">
        <f>$V$2</f>
        <v>2019年12月31日</v>
      </c>
      <c r="I3325" s="1455" t="str">
        <f>$V$3</f>
        <v>2018年12月31日</v>
      </c>
      <c r="J3325" s="355" t="s">
        <v>5298</v>
      </c>
      <c r="K3325" s="472"/>
      <c r="L3325" s="472"/>
      <c r="M3325" s="472"/>
      <c r="N3325" s="472"/>
      <c r="O3325" s="442"/>
      <c r="P3325" s="442"/>
      <c r="Q3325" s="442"/>
      <c r="R3325" s="443"/>
      <c r="S3325" s="364"/>
      <c r="Z3325" s="609" t="s">
        <v>3806</v>
      </c>
      <c r="AA3325" s="609" t="s">
        <v>5671</v>
      </c>
    </row>
    <row r="3326" spans="1:29" ht="18">
      <c r="A3326" s="2714"/>
      <c r="B3326" s="371">
        <v>101</v>
      </c>
      <c r="C3326" s="371"/>
      <c r="D3326" s="2716">
        <f t="shared" ref="D3326:D3331" si="389">IF(OR(G3326="*",G3326="",G3326=0),0,COUNTIF($G$3326:$G$3331,G3326))</f>
        <v>1</v>
      </c>
      <c r="E3326" s="2721">
        <v>1</v>
      </c>
      <c r="F3326" s="294"/>
      <c r="G3326" s="308" t="s">
        <v>3808</v>
      </c>
      <c r="H3326" s="309"/>
      <c r="I3326" s="346"/>
      <c r="J3326" s="437"/>
      <c r="K3326" s="525"/>
      <c r="L3326" s="472"/>
      <c r="M3326" s="472"/>
      <c r="N3326" s="472"/>
      <c r="O3326" s="442"/>
      <c r="P3326" s="442"/>
      <c r="Q3326" s="442"/>
      <c r="R3326" s="443"/>
      <c r="S3326" s="364"/>
      <c r="Z3326" s="609" t="s">
        <v>3806</v>
      </c>
      <c r="AA3326" s="609" t="s">
        <v>5671</v>
      </c>
      <c r="AC3326" s="369" t="s">
        <v>2794</v>
      </c>
    </row>
    <row r="3327" spans="1:29" ht="18">
      <c r="A3327" s="2714"/>
      <c r="B3327" s="371">
        <v>102</v>
      </c>
      <c r="C3327" s="371"/>
      <c r="D3327" s="2716">
        <f t="shared" si="389"/>
        <v>1</v>
      </c>
      <c r="E3327" s="2721">
        <v>1</v>
      </c>
      <c r="F3327" s="294"/>
      <c r="G3327" s="308" t="s">
        <v>3809</v>
      </c>
      <c r="H3327" s="309">
        <v>2002968.82</v>
      </c>
      <c r="I3327" s="346"/>
      <c r="J3327" s="437"/>
      <c r="K3327" s="525"/>
      <c r="L3327" s="472"/>
      <c r="M3327" s="472"/>
      <c r="N3327" s="472"/>
      <c r="O3327" s="442"/>
      <c r="P3327" s="442"/>
      <c r="Q3327" s="442"/>
      <c r="R3327" s="443"/>
      <c r="S3327" s="364"/>
      <c r="Z3327" s="609" t="s">
        <v>3806</v>
      </c>
      <c r="AA3327" s="609" t="s">
        <v>5671</v>
      </c>
      <c r="AC3327" s="369" t="s">
        <v>2794</v>
      </c>
    </row>
    <row r="3328" spans="1:29" ht="18">
      <c r="A3328" s="2714"/>
      <c r="B3328" s="371">
        <v>103</v>
      </c>
      <c r="C3328" s="371"/>
      <c r="D3328" s="2716">
        <f t="shared" si="389"/>
        <v>1</v>
      </c>
      <c r="E3328" s="2721">
        <v>1</v>
      </c>
      <c r="F3328" s="294"/>
      <c r="G3328" s="308" t="s">
        <v>3810</v>
      </c>
      <c r="H3328" s="309"/>
      <c r="I3328" s="346"/>
      <c r="J3328" s="437"/>
      <c r="K3328" s="472"/>
      <c r="L3328" s="472"/>
      <c r="M3328" s="472"/>
      <c r="N3328" s="472"/>
      <c r="O3328" s="442"/>
      <c r="P3328" s="442"/>
      <c r="Q3328" s="442"/>
      <c r="R3328" s="443"/>
      <c r="S3328" s="364"/>
      <c r="Z3328" s="609" t="s">
        <v>3806</v>
      </c>
      <c r="AA3328" s="609" t="s">
        <v>5671</v>
      </c>
    </row>
    <row r="3329" spans="1:27" ht="18">
      <c r="A3329" s="2714"/>
      <c r="B3329" s="371">
        <v>104</v>
      </c>
      <c r="C3329" s="371"/>
      <c r="D3329" s="2716">
        <f t="shared" si="389"/>
        <v>1</v>
      </c>
      <c r="E3329" s="2721">
        <v>1</v>
      </c>
      <c r="F3329" s="294"/>
      <c r="G3329" s="308" t="s">
        <v>3811</v>
      </c>
      <c r="H3329" s="309"/>
      <c r="I3329" s="346"/>
      <c r="J3329" s="437"/>
      <c r="K3329" s="472"/>
      <c r="L3329" s="472"/>
      <c r="M3329" s="472"/>
      <c r="N3329" s="472"/>
      <c r="O3329" s="442"/>
      <c r="P3329" s="442"/>
      <c r="Q3329" s="442"/>
      <c r="R3329" s="443"/>
      <c r="S3329" s="364"/>
      <c r="Z3329" s="609" t="s">
        <v>3806</v>
      </c>
      <c r="AA3329" s="609" t="s">
        <v>5671</v>
      </c>
    </row>
    <row r="3330" spans="1:27" ht="18">
      <c r="A3330" s="2714"/>
      <c r="B3330" s="371">
        <v>105</v>
      </c>
      <c r="C3330" s="371" t="s">
        <v>2791</v>
      </c>
      <c r="D3330" s="2716">
        <f t="shared" si="389"/>
        <v>0</v>
      </c>
      <c r="E3330" s="2721">
        <v>1</v>
      </c>
      <c r="F3330" s="294"/>
      <c r="G3330" s="319" t="s">
        <v>2792</v>
      </c>
      <c r="H3330" s="309"/>
      <c r="I3330" s="346"/>
      <c r="J3330" s="437"/>
      <c r="K3330" s="472"/>
      <c r="L3330" s="472"/>
      <c r="M3330" s="472"/>
      <c r="N3330" s="472"/>
      <c r="O3330" s="442"/>
      <c r="P3330" s="442"/>
      <c r="Q3330" s="442"/>
      <c r="R3330" s="443"/>
      <c r="S3330" s="364"/>
      <c r="Z3330" s="609" t="s">
        <v>3806</v>
      </c>
      <c r="AA3330" s="609" t="s">
        <v>5671</v>
      </c>
    </row>
    <row r="3331" spans="1:27" ht="18.75" thickBot="1">
      <c r="A3331" s="2714"/>
      <c r="B3331" s="371"/>
      <c r="C3331" s="371"/>
      <c r="D3331" s="2716">
        <f t="shared" si="389"/>
        <v>1</v>
      </c>
      <c r="E3331" s="2721" t="s">
        <v>2751</v>
      </c>
      <c r="F3331" s="294"/>
      <c r="G3331" s="374" t="s">
        <v>2752</v>
      </c>
      <c r="H3331" s="375">
        <f>SUMPRODUCT($E3325:$E3330,H3325:H3330)</f>
        <v>2002968.82</v>
      </c>
      <c r="I3331" s="395">
        <f>SUMPRODUCT($E3325:$E3330,I3325:I3330)</f>
        <v>0</v>
      </c>
      <c r="J3331" s="437"/>
      <c r="K3331" s="472"/>
      <c r="L3331" s="472"/>
      <c r="M3331" s="472"/>
      <c r="N3331" s="472"/>
      <c r="O3331" s="442"/>
      <c r="P3331" s="442"/>
      <c r="Q3331" s="442"/>
      <c r="R3331" s="443"/>
      <c r="S3331" s="364"/>
      <c r="Z3331" s="609" t="s">
        <v>3806</v>
      </c>
      <c r="AA3331" s="609" t="s">
        <v>5671</v>
      </c>
    </row>
    <row r="3332" spans="1:27" ht="18">
      <c r="A3332" s="2714"/>
      <c r="B3332" s="371"/>
      <c r="C3332" s="371" t="s">
        <v>2755</v>
      </c>
      <c r="D3332" s="371"/>
      <c r="F3332" s="294"/>
      <c r="G3332" s="301"/>
      <c r="H3332" s="315"/>
      <c r="I3332" s="315"/>
      <c r="J3332" s="437"/>
      <c r="K3332" s="472"/>
      <c r="L3332" s="472"/>
      <c r="M3332" s="472"/>
      <c r="N3332" s="472"/>
      <c r="O3332" s="442"/>
      <c r="P3332" s="442"/>
      <c r="Q3332" s="442"/>
      <c r="R3332" s="443"/>
      <c r="S3332" s="364"/>
      <c r="Z3332" s="609" t="s">
        <v>3806</v>
      </c>
      <c r="AA3332" s="609" t="s">
        <v>5671</v>
      </c>
    </row>
    <row r="3333" spans="1:27" ht="24">
      <c r="A3333" s="2714" t="s">
        <v>1369</v>
      </c>
      <c r="B3333" s="371">
        <v>1.1000000000000001</v>
      </c>
      <c r="C3333" s="371"/>
      <c r="D3333" s="2716" t="str">
        <f>VLOOKUP($A3333,Sheet_NoteList,2,0)</f>
        <v>短期借款中的质押借款明细列示</v>
      </c>
      <c r="E3333" s="2716" t="s">
        <v>6531</v>
      </c>
      <c r="F3333" s="294"/>
      <c r="G3333" s="483" t="str">
        <f>"("&amp;B3333&amp;")"&amp;D3333</f>
        <v>(1.1)短期借款中的质押借款明细列示</v>
      </c>
      <c r="H3333" s="1517" t="str">
        <f>$A3333</f>
        <v>2001d</v>
      </c>
      <c r="I3333" s="343" t="s">
        <v>5965</v>
      </c>
      <c r="J3333" s="301" t="s">
        <v>5963</v>
      </c>
      <c r="K3333" s="2210">
        <f>H3341</f>
        <v>2000000</v>
      </c>
      <c r="L3333" s="345"/>
      <c r="M3333" s="301"/>
      <c r="N3333" s="391"/>
      <c r="O3333" s="345"/>
      <c r="P3333" s="301"/>
      <c r="S3333" s="364"/>
      <c r="Z3333" s="609" t="s">
        <v>3806</v>
      </c>
      <c r="AA3333" s="609" t="s">
        <v>5671</v>
      </c>
    </row>
    <row r="3334" spans="1:27" ht="0.75" customHeight="1" thickBot="1">
      <c r="A3334" s="2714"/>
      <c r="B3334" s="371"/>
      <c r="C3334" s="371"/>
      <c r="D3334" s="371"/>
      <c r="E3334" s="586"/>
      <c r="F3334" s="586"/>
      <c r="G3334" s="586" t="s">
        <v>3812</v>
      </c>
      <c r="H3334" s="371" t="s">
        <v>2747</v>
      </c>
      <c r="I3334" s="371" t="s">
        <v>3813</v>
      </c>
      <c r="J3334" s="371" t="s">
        <v>3814</v>
      </c>
      <c r="L3334" s="293"/>
      <c r="M3334" s="293"/>
      <c r="N3334" s="293"/>
      <c r="O3334" s="293"/>
      <c r="P3334" s="293"/>
      <c r="S3334" s="364"/>
      <c r="Z3334" s="609" t="s">
        <v>3806</v>
      </c>
      <c r="AA3334" s="609" t="s">
        <v>5671</v>
      </c>
    </row>
    <row r="3335" spans="1:27" ht="18">
      <c r="A3335" s="2714"/>
      <c r="B3335" s="371"/>
      <c r="C3335" s="371"/>
      <c r="D3335" s="371"/>
      <c r="E3335" s="586" t="s">
        <v>2749</v>
      </c>
      <c r="F3335" s="363"/>
      <c r="G3335" s="2363" t="s">
        <v>1365</v>
      </c>
      <c r="H3335" s="2364" t="s">
        <v>3815</v>
      </c>
      <c r="I3335" s="2364" t="s">
        <v>3816</v>
      </c>
      <c r="J3335" s="2365" t="s">
        <v>3817</v>
      </c>
      <c r="K3335" s="355" t="s">
        <v>6176</v>
      </c>
      <c r="L3335" s="293"/>
      <c r="M3335" s="293"/>
      <c r="N3335" s="293"/>
      <c r="O3335" s="293"/>
      <c r="P3335" s="293"/>
      <c r="S3335" s="364"/>
      <c r="Z3335" s="609" t="s">
        <v>3806</v>
      </c>
      <c r="AA3335" s="609" t="s">
        <v>5671</v>
      </c>
    </row>
    <row r="3336" spans="1:27" ht="24">
      <c r="A3336" s="2714"/>
      <c r="B3336" s="371">
        <v>101</v>
      </c>
      <c r="C3336" s="371" t="s">
        <v>2791</v>
      </c>
      <c r="D3336" s="2716">
        <f t="shared" ref="D3336:D3341" si="390">IF(OR(G3336="*",G3336="",G3336=0),0,COUNTIF($G$3336:$G$3341,G3336))</f>
        <v>1</v>
      </c>
      <c r="E3336" s="2721">
        <v>1</v>
      </c>
      <c r="F3336" s="294"/>
      <c r="G3336" s="2375" t="s">
        <v>6839</v>
      </c>
      <c r="H3336" s="2275">
        <v>2000000</v>
      </c>
      <c r="I3336" s="2298" t="s">
        <v>6840</v>
      </c>
      <c r="J3336" s="2276"/>
      <c r="K3336" s="579"/>
      <c r="L3336" s="293"/>
      <c r="M3336" s="293"/>
      <c r="N3336" s="293"/>
      <c r="O3336" s="293"/>
      <c r="P3336" s="293"/>
      <c r="S3336" s="364"/>
      <c r="Z3336" s="609" t="s">
        <v>3806</v>
      </c>
      <c r="AA3336" s="609" t="s">
        <v>5671</v>
      </c>
    </row>
    <row r="3337" spans="1:27" ht="18">
      <c r="A3337" s="2714"/>
      <c r="B3337" s="371">
        <v>102</v>
      </c>
      <c r="C3337" s="371" t="s">
        <v>2791</v>
      </c>
      <c r="D3337" s="2716">
        <f t="shared" si="390"/>
        <v>0</v>
      </c>
      <c r="E3337" s="2721">
        <v>1</v>
      </c>
      <c r="F3337" s="294"/>
      <c r="G3337" s="2375" t="s">
        <v>2792</v>
      </c>
      <c r="H3337" s="2275"/>
      <c r="I3337" s="2298"/>
      <c r="J3337" s="2276"/>
      <c r="L3337" s="293"/>
      <c r="M3337" s="293"/>
      <c r="N3337" s="293"/>
      <c r="O3337" s="293"/>
      <c r="P3337" s="293"/>
      <c r="S3337" s="364"/>
      <c r="Z3337" s="609" t="s">
        <v>3806</v>
      </c>
      <c r="AA3337" s="609" t="s">
        <v>5671</v>
      </c>
    </row>
    <row r="3338" spans="1:27" ht="18">
      <c r="A3338" s="2714"/>
      <c r="B3338" s="371">
        <v>103</v>
      </c>
      <c r="C3338" s="371" t="s">
        <v>2791</v>
      </c>
      <c r="D3338" s="2716">
        <f t="shared" si="390"/>
        <v>0</v>
      </c>
      <c r="E3338" s="2721">
        <v>1</v>
      </c>
      <c r="F3338" s="294"/>
      <c r="G3338" s="2375" t="s">
        <v>2792</v>
      </c>
      <c r="H3338" s="2275"/>
      <c r="I3338" s="2298"/>
      <c r="J3338" s="2276"/>
      <c r="L3338" s="293"/>
      <c r="M3338" s="293"/>
      <c r="N3338" s="293"/>
      <c r="O3338" s="293"/>
      <c r="P3338" s="293"/>
      <c r="S3338" s="364"/>
      <c r="Z3338" s="609" t="s">
        <v>3806</v>
      </c>
      <c r="AA3338" s="609" t="s">
        <v>5671</v>
      </c>
    </row>
    <row r="3339" spans="1:27" ht="18">
      <c r="A3339" s="2714"/>
      <c r="B3339" s="371">
        <v>104</v>
      </c>
      <c r="C3339" s="371" t="s">
        <v>2791</v>
      </c>
      <c r="D3339" s="2716">
        <f t="shared" si="390"/>
        <v>0</v>
      </c>
      <c r="E3339" s="2721">
        <v>1</v>
      </c>
      <c r="F3339" s="294"/>
      <c r="G3339" s="2375" t="s">
        <v>2792</v>
      </c>
      <c r="H3339" s="2275"/>
      <c r="I3339" s="2298"/>
      <c r="J3339" s="2276"/>
      <c r="L3339" s="293"/>
      <c r="M3339" s="293"/>
      <c r="N3339" s="293"/>
      <c r="O3339" s="293"/>
      <c r="P3339" s="293"/>
      <c r="S3339" s="364"/>
      <c r="Z3339" s="609" t="s">
        <v>3806</v>
      </c>
      <c r="AA3339" s="609" t="s">
        <v>5671</v>
      </c>
    </row>
    <row r="3340" spans="1:27" ht="18">
      <c r="A3340" s="2714"/>
      <c r="B3340" s="371">
        <v>105</v>
      </c>
      <c r="C3340" s="371" t="s">
        <v>2791</v>
      </c>
      <c r="D3340" s="2716">
        <f t="shared" si="390"/>
        <v>0</v>
      </c>
      <c r="E3340" s="2721">
        <v>1</v>
      </c>
      <c r="F3340" s="294"/>
      <c r="G3340" s="2375" t="s">
        <v>2792</v>
      </c>
      <c r="H3340" s="2275"/>
      <c r="I3340" s="2298"/>
      <c r="J3340" s="2276"/>
      <c r="L3340" s="293"/>
      <c r="M3340" s="293"/>
      <c r="N3340" s="293"/>
      <c r="O3340" s="293"/>
      <c r="P3340" s="293"/>
      <c r="S3340" s="364"/>
      <c r="Z3340" s="609" t="s">
        <v>3806</v>
      </c>
      <c r="AA3340" s="609" t="s">
        <v>5671</v>
      </c>
    </row>
    <row r="3341" spans="1:27" ht="18.75" thickBot="1">
      <c r="A3341" s="2714"/>
      <c r="B3341" s="371"/>
      <c r="C3341" s="371"/>
      <c r="D3341" s="2716">
        <f t="shared" si="390"/>
        <v>1</v>
      </c>
      <c r="E3341" s="2721" t="s">
        <v>2751</v>
      </c>
      <c r="F3341" s="294"/>
      <c r="G3341" s="1529" t="s">
        <v>2752</v>
      </c>
      <c r="H3341" s="1527">
        <f>SUMPRODUCT($E3335:$E3340,H3335:H3340)</f>
        <v>2000000</v>
      </c>
      <c r="I3341" s="2316"/>
      <c r="J3341" s="2266"/>
      <c r="L3341" s="293"/>
      <c r="M3341" s="293"/>
      <c r="N3341" s="293"/>
      <c r="O3341" s="293"/>
      <c r="P3341" s="293"/>
      <c r="S3341" s="364"/>
      <c r="Z3341" s="609" t="s">
        <v>3806</v>
      </c>
      <c r="AA3341" s="609" t="s">
        <v>5671</v>
      </c>
    </row>
    <row r="3342" spans="1:27" ht="18">
      <c r="A3342" s="2714"/>
      <c r="B3342" s="371"/>
      <c r="C3342" s="371" t="s">
        <v>2755</v>
      </c>
      <c r="D3342" s="371"/>
      <c r="F3342" s="294"/>
      <c r="G3342" s="301"/>
      <c r="H3342" s="315" t="s">
        <v>3002</v>
      </c>
      <c r="I3342" s="393"/>
      <c r="J3342" s="393"/>
      <c r="K3342" s="350"/>
      <c r="L3342" s="293"/>
      <c r="M3342" s="293"/>
      <c r="N3342" s="293"/>
      <c r="O3342" s="293"/>
      <c r="P3342" s="293"/>
      <c r="S3342" s="364"/>
      <c r="Z3342" s="609" t="s">
        <v>3806</v>
      </c>
      <c r="AA3342" s="609" t="s">
        <v>5671</v>
      </c>
    </row>
    <row r="3343" spans="1:27" ht="24">
      <c r="A3343" s="2714" t="s">
        <v>1375</v>
      </c>
      <c r="B3343" s="371">
        <v>1.2</v>
      </c>
      <c r="C3343" s="371"/>
      <c r="D3343" s="2716" t="str">
        <f>VLOOKUP($A3343,Sheet_NoteList,2,0)</f>
        <v>短期借款中的抵押借款明细列示</v>
      </c>
      <c r="E3343" s="2716" t="s">
        <v>6531</v>
      </c>
      <c r="F3343" s="294"/>
      <c r="G3343" s="483" t="str">
        <f>"("&amp;B3343&amp;")"&amp;D3343</f>
        <v>(1.2)短期借款中的抵押借款明细列示</v>
      </c>
      <c r="H3343" s="1517" t="str">
        <f>$A3343</f>
        <v>2001e</v>
      </c>
      <c r="I3343" s="343" t="s">
        <v>5965</v>
      </c>
      <c r="J3343" s="301" t="s">
        <v>5963</v>
      </c>
      <c r="K3343" s="2210">
        <f>H3351</f>
        <v>0</v>
      </c>
      <c r="L3343" s="345"/>
      <c r="M3343" s="301"/>
      <c r="N3343" s="391"/>
      <c r="O3343" s="345"/>
      <c r="P3343" s="301"/>
      <c r="S3343" s="364"/>
      <c r="Z3343" s="609" t="s">
        <v>3806</v>
      </c>
      <c r="AA3343" s="609" t="s">
        <v>5671</v>
      </c>
    </row>
    <row r="3344" spans="1:27" ht="0.75" customHeight="1" thickBot="1">
      <c r="A3344" s="2714"/>
      <c r="B3344" s="371"/>
      <c r="C3344" s="371"/>
      <c r="D3344" s="371"/>
      <c r="E3344" s="586"/>
      <c r="F3344" s="586"/>
      <c r="G3344" s="586" t="s">
        <v>3818</v>
      </c>
      <c r="H3344" s="371" t="s">
        <v>2747</v>
      </c>
      <c r="I3344" s="371" t="s">
        <v>3813</v>
      </c>
      <c r="J3344" s="371" t="s">
        <v>3814</v>
      </c>
      <c r="K3344" s="293"/>
      <c r="L3344" s="293"/>
      <c r="M3344" s="293"/>
      <c r="N3344" s="293"/>
      <c r="O3344" s="293"/>
      <c r="P3344" s="293"/>
      <c r="S3344" s="364"/>
      <c r="Z3344" s="609" t="s">
        <v>3806</v>
      </c>
      <c r="AA3344" s="609" t="s">
        <v>5671</v>
      </c>
    </row>
    <row r="3345" spans="1:27" ht="18">
      <c r="A3345" s="2714"/>
      <c r="B3345" s="371"/>
      <c r="C3345" s="371"/>
      <c r="D3345" s="371"/>
      <c r="E3345" s="586" t="s">
        <v>2749</v>
      </c>
      <c r="F3345" s="363"/>
      <c r="G3345" s="2363" t="s">
        <v>1365</v>
      </c>
      <c r="H3345" s="2364" t="s">
        <v>3815</v>
      </c>
      <c r="I3345" s="2364" t="s">
        <v>3819</v>
      </c>
      <c r="J3345" s="2365" t="s">
        <v>3820</v>
      </c>
      <c r="K3345" s="355" t="s">
        <v>6176</v>
      </c>
      <c r="L3345" s="293"/>
      <c r="M3345" s="293"/>
      <c r="N3345" s="293"/>
      <c r="O3345" s="293"/>
      <c r="P3345" s="293"/>
      <c r="S3345" s="364"/>
      <c r="Z3345" s="609" t="s">
        <v>3806</v>
      </c>
      <c r="AA3345" s="609" t="s">
        <v>5671</v>
      </c>
    </row>
    <row r="3346" spans="1:27" ht="18">
      <c r="A3346" s="2714"/>
      <c r="B3346" s="371">
        <v>101</v>
      </c>
      <c r="C3346" s="371" t="s">
        <v>2791</v>
      </c>
      <c r="D3346" s="2716">
        <f t="shared" ref="D3346:D3351" si="391">IF(OR(G3346="*",G3346="",G3346=0),0,COUNTIF($G$3346:$G$3351,G3346))</f>
        <v>0</v>
      </c>
      <c r="E3346" s="2721">
        <v>1</v>
      </c>
      <c r="F3346" s="294"/>
      <c r="G3346" s="2375" t="s">
        <v>2792</v>
      </c>
      <c r="H3346" s="2275"/>
      <c r="I3346" s="2298"/>
      <c r="J3346" s="2276"/>
      <c r="K3346" s="579"/>
      <c r="L3346" s="293"/>
      <c r="M3346" s="293"/>
      <c r="N3346" s="293"/>
      <c r="O3346" s="293"/>
      <c r="P3346" s="293"/>
      <c r="S3346" s="364"/>
      <c r="Z3346" s="609" t="s">
        <v>3806</v>
      </c>
      <c r="AA3346" s="609" t="s">
        <v>5671</v>
      </c>
    </row>
    <row r="3347" spans="1:27" ht="18">
      <c r="A3347" s="2714"/>
      <c r="B3347" s="371">
        <v>102</v>
      </c>
      <c r="C3347" s="371" t="s">
        <v>2791</v>
      </c>
      <c r="D3347" s="2716">
        <f t="shared" si="391"/>
        <v>0</v>
      </c>
      <c r="E3347" s="2721">
        <v>1</v>
      </c>
      <c r="F3347" s="294"/>
      <c r="G3347" s="2375" t="s">
        <v>2792</v>
      </c>
      <c r="H3347" s="2275"/>
      <c r="I3347" s="2298"/>
      <c r="J3347" s="2276"/>
      <c r="K3347" s="293"/>
      <c r="L3347" s="293"/>
      <c r="M3347" s="293"/>
      <c r="N3347" s="293"/>
      <c r="O3347" s="293"/>
      <c r="P3347" s="293"/>
      <c r="S3347" s="364"/>
      <c r="Z3347" s="609" t="s">
        <v>3806</v>
      </c>
      <c r="AA3347" s="609" t="s">
        <v>5671</v>
      </c>
    </row>
    <row r="3348" spans="1:27" ht="18">
      <c r="A3348" s="2714"/>
      <c r="B3348" s="371">
        <v>103</v>
      </c>
      <c r="C3348" s="371" t="s">
        <v>2791</v>
      </c>
      <c r="D3348" s="2716">
        <f t="shared" si="391"/>
        <v>0</v>
      </c>
      <c r="E3348" s="2721">
        <v>1</v>
      </c>
      <c r="F3348" s="294"/>
      <c r="G3348" s="2375" t="s">
        <v>2792</v>
      </c>
      <c r="H3348" s="2275"/>
      <c r="I3348" s="2298"/>
      <c r="J3348" s="2276"/>
      <c r="K3348" s="293"/>
      <c r="L3348" s="293"/>
      <c r="M3348" s="293"/>
      <c r="N3348" s="293"/>
      <c r="O3348" s="293"/>
      <c r="P3348" s="293"/>
      <c r="S3348" s="364"/>
      <c r="Z3348" s="609" t="s">
        <v>3806</v>
      </c>
      <c r="AA3348" s="609" t="s">
        <v>5671</v>
      </c>
    </row>
    <row r="3349" spans="1:27" ht="18">
      <c r="A3349" s="2714"/>
      <c r="B3349" s="371">
        <v>104</v>
      </c>
      <c r="C3349" s="371" t="s">
        <v>2791</v>
      </c>
      <c r="D3349" s="2716">
        <f t="shared" si="391"/>
        <v>0</v>
      </c>
      <c r="E3349" s="2721">
        <v>1</v>
      </c>
      <c r="F3349" s="294"/>
      <c r="G3349" s="2375" t="s">
        <v>2792</v>
      </c>
      <c r="H3349" s="2275"/>
      <c r="I3349" s="2298"/>
      <c r="J3349" s="2276"/>
      <c r="K3349" s="293"/>
      <c r="L3349" s="293"/>
      <c r="M3349" s="293"/>
      <c r="N3349" s="293"/>
      <c r="O3349" s="293"/>
      <c r="P3349" s="293"/>
      <c r="S3349" s="364"/>
      <c r="Z3349" s="609" t="s">
        <v>3806</v>
      </c>
      <c r="AA3349" s="609" t="s">
        <v>5671</v>
      </c>
    </row>
    <row r="3350" spans="1:27" ht="18">
      <c r="A3350" s="2714"/>
      <c r="B3350" s="371">
        <v>105</v>
      </c>
      <c r="C3350" s="371" t="s">
        <v>2791</v>
      </c>
      <c r="D3350" s="2716">
        <f t="shared" si="391"/>
        <v>0</v>
      </c>
      <c r="E3350" s="2721">
        <v>1</v>
      </c>
      <c r="F3350" s="294"/>
      <c r="G3350" s="2375" t="s">
        <v>2792</v>
      </c>
      <c r="H3350" s="2275"/>
      <c r="I3350" s="2298"/>
      <c r="J3350" s="2276"/>
      <c r="K3350" s="293"/>
      <c r="L3350" s="293"/>
      <c r="M3350" s="293"/>
      <c r="N3350" s="293"/>
      <c r="O3350" s="293"/>
      <c r="P3350" s="293"/>
      <c r="S3350" s="364"/>
      <c r="Z3350" s="609" t="s">
        <v>3806</v>
      </c>
      <c r="AA3350" s="609" t="s">
        <v>5671</v>
      </c>
    </row>
    <row r="3351" spans="1:27" ht="18.75" thickBot="1">
      <c r="A3351" s="2714"/>
      <c r="B3351" s="371"/>
      <c r="C3351" s="371"/>
      <c r="D3351" s="2716">
        <f t="shared" si="391"/>
        <v>1</v>
      </c>
      <c r="E3351" s="2721" t="s">
        <v>2751</v>
      </c>
      <c r="F3351" s="294"/>
      <c r="G3351" s="1529" t="s">
        <v>2752</v>
      </c>
      <c r="H3351" s="1527">
        <f>SUMPRODUCT($E3345:$E3350,H3345:H3350)</f>
        <v>0</v>
      </c>
      <c r="I3351" s="2316"/>
      <c r="J3351" s="2266"/>
      <c r="K3351" s="293"/>
      <c r="L3351" s="293"/>
      <c r="M3351" s="293"/>
      <c r="N3351" s="293"/>
      <c r="O3351" s="293"/>
      <c r="P3351" s="293"/>
      <c r="S3351" s="364"/>
      <c r="Z3351" s="609" t="s">
        <v>3806</v>
      </c>
      <c r="AA3351" s="609" t="s">
        <v>5671</v>
      </c>
    </row>
    <row r="3352" spans="1:27" ht="18">
      <c r="A3352" s="2714"/>
      <c r="B3352" s="371"/>
      <c r="C3352" s="371" t="s">
        <v>2755</v>
      </c>
      <c r="D3352" s="371"/>
      <c r="F3352" s="294"/>
      <c r="G3352" s="301"/>
      <c r="H3352" s="315" t="s">
        <v>3002</v>
      </c>
      <c r="I3352" s="393"/>
      <c r="J3352" s="393"/>
      <c r="K3352" s="293"/>
      <c r="L3352" s="293"/>
      <c r="M3352" s="293"/>
      <c r="N3352" s="293"/>
      <c r="O3352" s="293"/>
      <c r="P3352" s="293"/>
      <c r="S3352" s="364"/>
      <c r="Z3352" s="609" t="s">
        <v>3806</v>
      </c>
      <c r="AA3352" s="609" t="s">
        <v>5671</v>
      </c>
    </row>
    <row r="3353" spans="1:27" ht="24">
      <c r="A3353" s="2714" t="s">
        <v>1380</v>
      </c>
      <c r="B3353" s="371">
        <v>1.3</v>
      </c>
      <c r="C3353" s="371"/>
      <c r="D3353" s="2716" t="str">
        <f>VLOOKUP($A3353,Sheet_NoteList,2,0)</f>
        <v>短期借款中的保证借款明细列示</v>
      </c>
      <c r="E3353" s="2716" t="s">
        <v>6531</v>
      </c>
      <c r="F3353" s="294"/>
      <c r="G3353" s="483" t="str">
        <f>"("&amp;B3353&amp;")"&amp;D3353</f>
        <v>(1.3)短期借款中的保证借款明细列示</v>
      </c>
      <c r="H3353" s="1517" t="str">
        <f>$A3353</f>
        <v>2001f</v>
      </c>
      <c r="I3353" s="343" t="s">
        <v>5966</v>
      </c>
      <c r="J3353" s="301" t="s">
        <v>5971</v>
      </c>
      <c r="K3353" s="2210">
        <f>H3361</f>
        <v>0</v>
      </c>
      <c r="L3353" s="345"/>
      <c r="M3353" s="301"/>
      <c r="N3353" s="391"/>
      <c r="O3353" s="345"/>
      <c r="P3353" s="301"/>
      <c r="S3353" s="364"/>
      <c r="Z3353" s="609" t="s">
        <v>3806</v>
      </c>
      <c r="AA3353" s="609" t="s">
        <v>5671</v>
      </c>
    </row>
    <row r="3354" spans="1:27" ht="0.75" customHeight="1" thickBot="1">
      <c r="A3354" s="2714"/>
      <c r="B3354" s="371"/>
      <c r="C3354" s="371"/>
      <c r="D3354" s="371"/>
      <c r="E3354" s="586"/>
      <c r="F3354" s="586"/>
      <c r="G3354" s="586" t="s">
        <v>3821</v>
      </c>
      <c r="H3354" s="371" t="s">
        <v>2747</v>
      </c>
      <c r="I3354" s="371" t="s">
        <v>3822</v>
      </c>
      <c r="J3354" s="371" t="s">
        <v>3814</v>
      </c>
      <c r="M3354" s="290"/>
      <c r="N3354" s="290"/>
      <c r="O3354" s="290"/>
      <c r="P3354" s="290"/>
      <c r="S3354" s="364"/>
      <c r="Z3354" s="609" t="s">
        <v>3806</v>
      </c>
      <c r="AA3354" s="609" t="s">
        <v>5671</v>
      </c>
    </row>
    <row r="3355" spans="1:27" ht="18">
      <c r="A3355" s="2714"/>
      <c r="B3355" s="371"/>
      <c r="C3355" s="371"/>
      <c r="D3355" s="371"/>
      <c r="E3355" s="586" t="s">
        <v>2749</v>
      </c>
      <c r="F3355" s="363"/>
      <c r="G3355" s="2363" t="s">
        <v>1365</v>
      </c>
      <c r="H3355" s="2364" t="s">
        <v>3815</v>
      </c>
      <c r="I3355" s="2364" t="s">
        <v>3823</v>
      </c>
      <c r="J3355" s="2365" t="s">
        <v>3824</v>
      </c>
      <c r="K3355" s="355" t="s">
        <v>6176</v>
      </c>
      <c r="M3355" s="290"/>
      <c r="N3355" s="290"/>
      <c r="O3355" s="290"/>
      <c r="P3355" s="290"/>
      <c r="S3355" s="364"/>
      <c r="Z3355" s="609" t="s">
        <v>3806</v>
      </c>
      <c r="AA3355" s="609" t="s">
        <v>5671</v>
      </c>
    </row>
    <row r="3356" spans="1:27" ht="18">
      <c r="A3356" s="2714"/>
      <c r="B3356" s="371">
        <v>101</v>
      </c>
      <c r="C3356" s="371" t="s">
        <v>2791</v>
      </c>
      <c r="D3356" s="2716">
        <f t="shared" ref="D3356:D3361" si="392">IF(OR(G3356="*",G3356="",G3356=0),0,COUNTIF($G$3356:$G$3361,G3356))</f>
        <v>0</v>
      </c>
      <c r="E3356" s="2721">
        <v>1</v>
      </c>
      <c r="F3356" s="294"/>
      <c r="G3356" s="2375" t="s">
        <v>2792</v>
      </c>
      <c r="H3356" s="2275"/>
      <c r="I3356" s="2298"/>
      <c r="J3356" s="2276"/>
      <c r="K3356" s="579"/>
      <c r="M3356" s="290"/>
      <c r="N3356" s="290"/>
      <c r="O3356" s="290"/>
      <c r="P3356" s="290"/>
      <c r="S3356" s="364"/>
      <c r="Z3356" s="609" t="s">
        <v>3806</v>
      </c>
      <c r="AA3356" s="609" t="s">
        <v>5671</v>
      </c>
    </row>
    <row r="3357" spans="1:27" ht="18">
      <c r="A3357" s="2714"/>
      <c r="B3357" s="371">
        <v>102</v>
      </c>
      <c r="C3357" s="371" t="s">
        <v>2791</v>
      </c>
      <c r="D3357" s="2716">
        <f t="shared" si="392"/>
        <v>0</v>
      </c>
      <c r="E3357" s="2721">
        <v>1</v>
      </c>
      <c r="F3357" s="294"/>
      <c r="G3357" s="2375" t="s">
        <v>2792</v>
      </c>
      <c r="H3357" s="2275"/>
      <c r="I3357" s="2298"/>
      <c r="J3357" s="2276"/>
      <c r="M3357" s="290"/>
      <c r="N3357" s="290"/>
      <c r="O3357" s="290"/>
      <c r="P3357" s="290"/>
      <c r="S3357" s="364"/>
      <c r="Z3357" s="609" t="s">
        <v>3806</v>
      </c>
      <c r="AA3357" s="609" t="s">
        <v>5671</v>
      </c>
    </row>
    <row r="3358" spans="1:27" ht="18">
      <c r="A3358" s="2714"/>
      <c r="B3358" s="371">
        <v>103</v>
      </c>
      <c r="C3358" s="371" t="s">
        <v>2791</v>
      </c>
      <c r="D3358" s="2716">
        <f t="shared" si="392"/>
        <v>0</v>
      </c>
      <c r="E3358" s="2721">
        <v>1</v>
      </c>
      <c r="F3358" s="294"/>
      <c r="G3358" s="2375" t="s">
        <v>2792</v>
      </c>
      <c r="H3358" s="2275"/>
      <c r="I3358" s="2298"/>
      <c r="J3358" s="2276"/>
      <c r="M3358" s="290"/>
      <c r="N3358" s="290"/>
      <c r="O3358" s="290"/>
      <c r="P3358" s="290"/>
      <c r="S3358" s="364"/>
      <c r="Z3358" s="609" t="s">
        <v>3806</v>
      </c>
      <c r="AA3358" s="609" t="s">
        <v>5671</v>
      </c>
    </row>
    <row r="3359" spans="1:27" ht="18">
      <c r="A3359" s="2714"/>
      <c r="B3359" s="371">
        <v>104</v>
      </c>
      <c r="C3359" s="371" t="s">
        <v>2791</v>
      </c>
      <c r="D3359" s="2716">
        <f t="shared" si="392"/>
        <v>0</v>
      </c>
      <c r="E3359" s="2721">
        <v>1</v>
      </c>
      <c r="F3359" s="294"/>
      <c r="G3359" s="2375" t="s">
        <v>2792</v>
      </c>
      <c r="H3359" s="2275"/>
      <c r="I3359" s="2298"/>
      <c r="J3359" s="2276"/>
      <c r="M3359" s="290"/>
      <c r="N3359" s="290"/>
      <c r="O3359" s="290"/>
      <c r="P3359" s="290"/>
      <c r="S3359" s="364"/>
      <c r="Z3359" s="609" t="s">
        <v>3806</v>
      </c>
      <c r="AA3359" s="609" t="s">
        <v>5671</v>
      </c>
    </row>
    <row r="3360" spans="1:27" ht="18">
      <c r="A3360" s="2714"/>
      <c r="B3360" s="371">
        <v>105</v>
      </c>
      <c r="C3360" s="371" t="s">
        <v>2791</v>
      </c>
      <c r="D3360" s="2716">
        <f t="shared" si="392"/>
        <v>0</v>
      </c>
      <c r="E3360" s="2721">
        <v>1</v>
      </c>
      <c r="F3360" s="294"/>
      <c r="G3360" s="2375" t="s">
        <v>2792</v>
      </c>
      <c r="H3360" s="2275"/>
      <c r="I3360" s="2298"/>
      <c r="J3360" s="2276"/>
      <c r="M3360" s="290"/>
      <c r="N3360" s="290"/>
      <c r="O3360" s="290"/>
      <c r="P3360" s="290"/>
      <c r="S3360" s="364"/>
      <c r="Z3360" s="609" t="s">
        <v>3806</v>
      </c>
      <c r="AA3360" s="609" t="s">
        <v>5671</v>
      </c>
    </row>
    <row r="3361" spans="1:27" ht="18.75" thickBot="1">
      <c r="A3361" s="2714"/>
      <c r="B3361" s="371"/>
      <c r="C3361" s="371"/>
      <c r="D3361" s="2716">
        <f t="shared" si="392"/>
        <v>1</v>
      </c>
      <c r="E3361" s="2721" t="s">
        <v>2751</v>
      </c>
      <c r="F3361" s="294"/>
      <c r="G3361" s="1529" t="s">
        <v>2752</v>
      </c>
      <c r="H3361" s="1527">
        <f>SUMPRODUCT($E3355:$E3360,H3355:H3360)</f>
        <v>0</v>
      </c>
      <c r="I3361" s="2316"/>
      <c r="J3361" s="2266"/>
      <c r="M3361" s="290"/>
      <c r="N3361" s="290"/>
      <c r="O3361" s="290"/>
      <c r="P3361" s="290"/>
      <c r="S3361" s="364"/>
      <c r="Z3361" s="609" t="s">
        <v>3806</v>
      </c>
      <c r="AA3361" s="609" t="s">
        <v>5671</v>
      </c>
    </row>
    <row r="3362" spans="1:27" ht="18">
      <c r="A3362" s="2714"/>
      <c r="B3362" s="371"/>
      <c r="C3362" s="371" t="s">
        <v>2755</v>
      </c>
      <c r="D3362" s="371"/>
      <c r="F3362" s="294"/>
      <c r="G3362" s="301"/>
      <c r="H3362" s="315" t="s">
        <v>3002</v>
      </c>
      <c r="I3362" s="393"/>
      <c r="J3362" s="393"/>
      <c r="M3362" s="290"/>
      <c r="N3362" s="290"/>
      <c r="O3362" s="290"/>
      <c r="P3362" s="290"/>
      <c r="S3362" s="364"/>
      <c r="Z3362" s="609" t="s">
        <v>3806</v>
      </c>
      <c r="AA3362" s="609" t="s">
        <v>5671</v>
      </c>
    </row>
    <row r="3363" spans="1:27" ht="24">
      <c r="A3363" s="2714" t="s">
        <v>1363</v>
      </c>
      <c r="B3363" s="371">
        <v>2</v>
      </c>
      <c r="C3363" s="371"/>
      <c r="D3363" s="2716" t="str">
        <f>VLOOKUP($A3363,Sheet_NoteList,2,0)</f>
        <v>重要的已逾期未偿还的短期借款情况</v>
      </c>
      <c r="E3363" s="2716" t="s">
        <v>2742</v>
      </c>
      <c r="F3363" s="294"/>
      <c r="G3363" s="372" t="str">
        <f>"("&amp;B3363&amp;")"&amp;D3363</f>
        <v>(2)重要的已逾期未偿还的短期借款情况</v>
      </c>
      <c r="H3363" s="1517" t="str">
        <f>$A3363</f>
        <v>2001b</v>
      </c>
      <c r="I3363" s="343" t="s">
        <v>2743</v>
      </c>
      <c r="J3363" s="301" t="s">
        <v>2744</v>
      </c>
      <c r="K3363" s="2210">
        <f>H3371</f>
        <v>0</v>
      </c>
      <c r="L3363" s="345"/>
      <c r="M3363" s="301"/>
      <c r="N3363" s="3083"/>
      <c r="O3363" s="315"/>
      <c r="P3363" s="301"/>
      <c r="Q3363" s="290" t="str">
        <f>IF($I3363="不适用","",IF(ROUND(SUM($H$3366:$K$3371),2)=0,"请输入",""))</f>
        <v>请输入</v>
      </c>
      <c r="S3363" s="364"/>
      <c r="Z3363" s="609" t="s">
        <v>3806</v>
      </c>
      <c r="AA3363" s="609" t="s">
        <v>5671</v>
      </c>
    </row>
    <row r="3364" spans="1:27" ht="0.75" customHeight="1" thickBot="1">
      <c r="A3364" s="2714"/>
      <c r="B3364" s="371"/>
      <c r="C3364" s="371"/>
      <c r="D3364" s="371"/>
      <c r="F3364" s="304"/>
      <c r="G3364" s="304" t="s">
        <v>3825</v>
      </c>
      <c r="H3364" s="304" t="s">
        <v>2747</v>
      </c>
      <c r="I3364" s="304" t="s">
        <v>3826</v>
      </c>
      <c r="J3364" s="304" t="s">
        <v>3827</v>
      </c>
      <c r="K3364" s="304" t="s">
        <v>3190</v>
      </c>
      <c r="L3364" s="291"/>
      <c r="M3364" s="291"/>
      <c r="N3364" s="291"/>
      <c r="O3364" s="291"/>
      <c r="P3364" s="291"/>
      <c r="S3364" s="364"/>
      <c r="Z3364" s="609" t="s">
        <v>3806</v>
      </c>
      <c r="AA3364" s="609" t="s">
        <v>5671</v>
      </c>
    </row>
    <row r="3365" spans="1:27" ht="24">
      <c r="A3365" s="2714"/>
      <c r="B3365" s="371"/>
      <c r="C3365" s="371"/>
      <c r="D3365" s="371"/>
      <c r="E3365" s="2716" t="s">
        <v>2749</v>
      </c>
      <c r="F3365" s="294"/>
      <c r="G3365" s="378" t="s">
        <v>1365</v>
      </c>
      <c r="H3365" s="504" t="str">
        <f>$W$2&amp;"借款余额"</f>
        <v>2019年12月31日借款余额</v>
      </c>
      <c r="I3365" s="379" t="s">
        <v>3828</v>
      </c>
      <c r="J3365" s="398" t="s">
        <v>3129</v>
      </c>
      <c r="K3365" s="399" t="s">
        <v>3829</v>
      </c>
      <c r="L3365" s="355" t="s">
        <v>5298</v>
      </c>
      <c r="M3365" s="291"/>
      <c r="N3365" s="291"/>
      <c r="O3365" s="291"/>
      <c r="P3365" s="291"/>
      <c r="S3365" s="364"/>
      <c r="Z3365" s="609" t="s">
        <v>3806</v>
      </c>
      <c r="AA3365" s="609" t="s">
        <v>5671</v>
      </c>
    </row>
    <row r="3366" spans="1:27" ht="18">
      <c r="A3366" s="2714"/>
      <c r="B3366" s="371">
        <v>101</v>
      </c>
      <c r="C3366" s="371" t="s">
        <v>2791</v>
      </c>
      <c r="D3366" s="2716">
        <f t="shared" ref="D3366:D3371" si="393">IF(OR(G3366="*",G3366="",G3366=0),0,COUNTIF($G$3366:$G$3371,G3366))</f>
        <v>0</v>
      </c>
      <c r="E3366" s="2721">
        <v>1</v>
      </c>
      <c r="F3366" s="294"/>
      <c r="G3366" s="409" t="s">
        <v>2792</v>
      </c>
      <c r="H3366" s="383"/>
      <c r="I3366" s="469"/>
      <c r="J3366" s="469"/>
      <c r="K3366" s="492"/>
      <c r="L3366" s="291"/>
      <c r="M3366" s="291"/>
      <c r="N3366" s="291"/>
      <c r="O3366" s="291"/>
      <c r="P3366" s="291"/>
      <c r="S3366" s="364"/>
      <c r="Z3366" s="609" t="s">
        <v>3806</v>
      </c>
      <c r="AA3366" s="609" t="s">
        <v>5671</v>
      </c>
    </row>
    <row r="3367" spans="1:27" ht="18">
      <c r="A3367" s="2714"/>
      <c r="B3367" s="371">
        <v>102</v>
      </c>
      <c r="C3367" s="371" t="s">
        <v>2791</v>
      </c>
      <c r="D3367" s="2716">
        <f t="shared" si="393"/>
        <v>0</v>
      </c>
      <c r="E3367" s="2721">
        <v>1</v>
      </c>
      <c r="F3367" s="294"/>
      <c r="G3367" s="409" t="s">
        <v>2792</v>
      </c>
      <c r="H3367" s="383"/>
      <c r="I3367" s="469"/>
      <c r="J3367" s="469"/>
      <c r="K3367" s="492"/>
      <c r="L3367" s="291"/>
      <c r="M3367" s="291"/>
      <c r="N3367" s="291"/>
      <c r="O3367" s="291"/>
      <c r="P3367" s="291"/>
      <c r="S3367" s="364"/>
      <c r="Z3367" s="609" t="s">
        <v>3806</v>
      </c>
      <c r="AA3367" s="609" t="s">
        <v>5671</v>
      </c>
    </row>
    <row r="3368" spans="1:27" ht="18">
      <c r="A3368" s="2714"/>
      <c r="B3368" s="371">
        <v>103</v>
      </c>
      <c r="C3368" s="371" t="s">
        <v>2791</v>
      </c>
      <c r="D3368" s="2716">
        <f t="shared" si="393"/>
        <v>0</v>
      </c>
      <c r="E3368" s="2721">
        <v>1</v>
      </c>
      <c r="F3368" s="294"/>
      <c r="G3368" s="409" t="s">
        <v>2792</v>
      </c>
      <c r="H3368" s="383"/>
      <c r="I3368" s="469"/>
      <c r="J3368" s="469"/>
      <c r="K3368" s="492"/>
      <c r="L3368" s="291"/>
      <c r="M3368" s="291"/>
      <c r="N3368" s="291"/>
      <c r="O3368" s="291"/>
      <c r="P3368" s="291"/>
      <c r="S3368" s="364"/>
      <c r="Z3368" s="609" t="s">
        <v>3806</v>
      </c>
      <c r="AA3368" s="609" t="s">
        <v>5671</v>
      </c>
    </row>
    <row r="3369" spans="1:27" ht="18">
      <c r="A3369" s="2714"/>
      <c r="B3369" s="371">
        <v>104</v>
      </c>
      <c r="C3369" s="371" t="s">
        <v>2791</v>
      </c>
      <c r="D3369" s="2716">
        <f t="shared" si="393"/>
        <v>0</v>
      </c>
      <c r="E3369" s="2721">
        <v>1</v>
      </c>
      <c r="F3369" s="294"/>
      <c r="G3369" s="409" t="s">
        <v>2792</v>
      </c>
      <c r="H3369" s="383"/>
      <c r="I3369" s="469"/>
      <c r="J3369" s="469"/>
      <c r="K3369" s="492"/>
      <c r="L3369" s="291"/>
      <c r="M3369" s="291"/>
      <c r="N3369" s="291"/>
      <c r="O3369" s="291"/>
      <c r="P3369" s="291"/>
      <c r="S3369" s="364"/>
      <c r="Z3369" s="609" t="s">
        <v>3806</v>
      </c>
      <c r="AA3369" s="609" t="s">
        <v>5671</v>
      </c>
    </row>
    <row r="3370" spans="1:27" ht="18">
      <c r="A3370" s="2714"/>
      <c r="B3370" s="371">
        <v>105</v>
      </c>
      <c r="C3370" s="371" t="s">
        <v>2791</v>
      </c>
      <c r="D3370" s="2716">
        <f t="shared" si="393"/>
        <v>0</v>
      </c>
      <c r="E3370" s="2721">
        <v>1</v>
      </c>
      <c r="F3370" s="294"/>
      <c r="G3370" s="409" t="s">
        <v>2792</v>
      </c>
      <c r="H3370" s="383"/>
      <c r="I3370" s="469"/>
      <c r="J3370" s="469"/>
      <c r="K3370" s="492"/>
      <c r="L3370" s="291"/>
      <c r="M3370" s="291"/>
      <c r="N3370" s="291"/>
      <c r="O3370" s="291"/>
      <c r="P3370" s="291"/>
      <c r="S3370" s="364"/>
      <c r="Z3370" s="609" t="s">
        <v>3806</v>
      </c>
      <c r="AA3370" s="609" t="s">
        <v>5671</v>
      </c>
    </row>
    <row r="3371" spans="1:27" ht="18.75" thickBot="1">
      <c r="A3371" s="2714"/>
      <c r="B3371" s="371"/>
      <c r="C3371" s="371"/>
      <c r="D3371" s="2716">
        <f t="shared" si="393"/>
        <v>1</v>
      </c>
      <c r="E3371" s="2721" t="s">
        <v>2751</v>
      </c>
      <c r="F3371" s="294"/>
      <c r="G3371" s="403" t="s">
        <v>2752</v>
      </c>
      <c r="H3371" s="503">
        <f>SUMPRODUCT($E3365:$E3370,H3365:H3370)</f>
        <v>0</v>
      </c>
      <c r="I3371" s="512"/>
      <c r="J3371" s="512"/>
      <c r="K3371" s="513"/>
      <c r="L3371" s="291"/>
      <c r="M3371" s="291"/>
      <c r="N3371" s="291"/>
      <c r="O3371" s="291"/>
      <c r="P3371" s="291"/>
      <c r="S3371" s="364"/>
      <c r="Z3371" s="609" t="s">
        <v>3806</v>
      </c>
      <c r="AA3371" s="609" t="s">
        <v>5671</v>
      </c>
    </row>
    <row r="3372" spans="1:27" ht="24.75" thickBot="1">
      <c r="A3372" s="2714"/>
      <c r="B3372" s="371">
        <v>901</v>
      </c>
      <c r="C3372" s="371"/>
      <c r="D3372" s="371"/>
      <c r="E3372" s="2716" t="s">
        <v>2753</v>
      </c>
      <c r="F3372" s="294"/>
      <c r="G3372" s="2385" t="s">
        <v>6068</v>
      </c>
      <c r="H3372" s="2395"/>
      <c r="I3372" s="432"/>
      <c r="J3372" s="425"/>
      <c r="K3372" s="426"/>
      <c r="L3372" s="427"/>
      <c r="M3372" s="425"/>
      <c r="N3372" s="426"/>
      <c r="O3372" s="427"/>
      <c r="P3372" s="425"/>
      <c r="S3372" s="364"/>
      <c r="Z3372" s="609" t="s">
        <v>3806</v>
      </c>
      <c r="AA3372" s="609" t="s">
        <v>5671</v>
      </c>
    </row>
    <row r="3373" spans="1:27" ht="18">
      <c r="A3373" s="2714"/>
      <c r="B3373" s="371"/>
      <c r="C3373" s="371" t="s">
        <v>2755</v>
      </c>
      <c r="D3373" s="371"/>
      <c r="F3373" s="294"/>
      <c r="G3373" s="529"/>
      <c r="H3373" s="349"/>
      <c r="I3373" s="350"/>
      <c r="J3373" s="350"/>
      <c r="K3373" s="350"/>
      <c r="L3373" s="350"/>
      <c r="M3373" s="291"/>
      <c r="N3373" s="291"/>
      <c r="O3373" s="291"/>
      <c r="P3373" s="291"/>
      <c r="S3373" s="364"/>
      <c r="Z3373" s="609" t="s">
        <v>3806</v>
      </c>
      <c r="AA3373" s="609" t="s">
        <v>5671</v>
      </c>
    </row>
    <row r="3374" spans="1:27" ht="18">
      <c r="A3374" s="2714" t="s">
        <v>1385</v>
      </c>
      <c r="B3374" s="371">
        <v>3</v>
      </c>
      <c r="C3374" s="371"/>
      <c r="D3374" s="2716" t="str">
        <f>VLOOKUP($A3374,Sheet_NoteList,2,0)</f>
        <v>外币短期借款</v>
      </c>
      <c r="E3374" s="2716" t="s">
        <v>6531</v>
      </c>
      <c r="F3374" s="294"/>
      <c r="G3374" s="372" t="str">
        <f>"("&amp;B3374&amp;")"&amp;D3374</f>
        <v>(3)外币短期借款</v>
      </c>
      <c r="H3374" s="1517" t="str">
        <f>$A3374</f>
        <v>2001c</v>
      </c>
      <c r="I3374" s="343" t="s">
        <v>5576</v>
      </c>
      <c r="J3374" s="301" t="s">
        <v>5574</v>
      </c>
      <c r="K3374" s="2210">
        <f>J3382</f>
        <v>0</v>
      </c>
      <c r="L3374" s="345"/>
      <c r="M3374" s="301" t="s">
        <v>5575</v>
      </c>
      <c r="N3374" s="2210">
        <f>L3382</f>
        <v>0</v>
      </c>
      <c r="O3374" s="345"/>
      <c r="P3374" s="301"/>
      <c r="Q3374" s="290" t="str">
        <f>IF($I3374="不适用","",IF(ROUND(SUM($H$3377:$J$3382),2)=0,"请输入",""))</f>
        <v>请输入</v>
      </c>
      <c r="S3374" s="364"/>
      <c r="Z3374" s="609" t="s">
        <v>3806</v>
      </c>
      <c r="AA3374" s="609" t="s">
        <v>5671</v>
      </c>
    </row>
    <row r="3375" spans="1:27" ht="0.75" customHeight="1" thickBot="1">
      <c r="A3375" s="2714"/>
      <c r="B3375" s="371"/>
      <c r="C3375" s="371"/>
      <c r="D3375" s="371"/>
      <c r="F3375" s="304"/>
      <c r="G3375" s="304" t="s">
        <v>3830</v>
      </c>
      <c r="H3375" s="304" t="s">
        <v>3073</v>
      </c>
      <c r="I3375" s="304" t="s">
        <v>3074</v>
      </c>
      <c r="J3375" s="304" t="s">
        <v>3075</v>
      </c>
      <c r="N3375" s="291"/>
      <c r="O3375" s="291"/>
      <c r="P3375" s="291"/>
      <c r="Q3375" s="367"/>
      <c r="R3375" s="367"/>
      <c r="S3375" s="364"/>
      <c r="Z3375" s="609" t="s">
        <v>3806</v>
      </c>
      <c r="AA3375" s="609" t="s">
        <v>5671</v>
      </c>
    </row>
    <row r="3376" spans="1:27" ht="24">
      <c r="A3376" s="2714"/>
      <c r="B3376" s="371"/>
      <c r="C3376" s="371"/>
      <c r="D3376" s="371"/>
      <c r="E3376" s="2716" t="s">
        <v>2749</v>
      </c>
      <c r="F3376" s="294"/>
      <c r="G3376" s="1621" t="s">
        <v>1371</v>
      </c>
      <c r="H3376" s="1619" t="s">
        <v>3076</v>
      </c>
      <c r="I3376" s="1619" t="s">
        <v>3077</v>
      </c>
      <c r="J3376" s="1620" t="s">
        <v>3078</v>
      </c>
      <c r="K3376" s="355" t="s">
        <v>5604</v>
      </c>
      <c r="L3376" s="291"/>
      <c r="N3376" s="291"/>
      <c r="O3376" s="291"/>
      <c r="P3376" s="291"/>
      <c r="Q3376" s="367"/>
      <c r="R3376" s="367"/>
      <c r="S3376" s="364"/>
      <c r="Z3376" s="609" t="s">
        <v>3806</v>
      </c>
      <c r="AA3376" s="609" t="s">
        <v>5671</v>
      </c>
    </row>
    <row r="3377" spans="1:27" ht="18">
      <c r="A3377" s="2714"/>
      <c r="B3377" s="371">
        <v>101</v>
      </c>
      <c r="C3377" s="371" t="s">
        <v>2791</v>
      </c>
      <c r="D3377" s="2716">
        <f t="shared" ref="D3377:D3382" si="394">IF(OR(G3377="*",G3377="",G3377=0),0,COUNTIF($G$3377:$G$3382,G3377))</f>
        <v>1</v>
      </c>
      <c r="E3377" s="2721">
        <v>1</v>
      </c>
      <c r="F3377" s="294"/>
      <c r="G3377" s="1618" t="s">
        <v>3079</v>
      </c>
      <c r="H3377" s="309"/>
      <c r="I3377" s="360"/>
      <c r="J3377" s="346"/>
      <c r="K3377" s="355" t="s">
        <v>5364</v>
      </c>
      <c r="L3377" s="1522" t="s">
        <v>5365</v>
      </c>
      <c r="M3377" s="291"/>
      <c r="N3377" s="291"/>
      <c r="O3377" s="291"/>
      <c r="P3377" s="291"/>
      <c r="S3377" s="364"/>
      <c r="Z3377" s="609" t="s">
        <v>3806</v>
      </c>
      <c r="AA3377" s="609" t="s">
        <v>5671</v>
      </c>
    </row>
    <row r="3378" spans="1:27" ht="18">
      <c r="A3378" s="2714"/>
      <c r="B3378" s="371">
        <v>102</v>
      </c>
      <c r="C3378" s="371" t="s">
        <v>2791</v>
      </c>
      <c r="D3378" s="2716">
        <f t="shared" si="394"/>
        <v>1</v>
      </c>
      <c r="E3378" s="2721">
        <v>1</v>
      </c>
      <c r="F3378" s="294"/>
      <c r="G3378" s="1618" t="s">
        <v>3080</v>
      </c>
      <c r="H3378" s="309"/>
      <c r="I3378" s="360"/>
      <c r="J3378" s="346"/>
      <c r="K3378" s="291"/>
      <c r="L3378" s="291"/>
      <c r="M3378" s="291"/>
      <c r="N3378" s="291"/>
      <c r="O3378" s="291"/>
      <c r="P3378" s="291"/>
      <c r="S3378" s="364"/>
      <c r="Z3378" s="609" t="s">
        <v>3806</v>
      </c>
      <c r="AA3378" s="609" t="s">
        <v>5671</v>
      </c>
    </row>
    <row r="3379" spans="1:27" ht="18">
      <c r="A3379" s="2714"/>
      <c r="B3379" s="371">
        <v>103</v>
      </c>
      <c r="C3379" s="371" t="s">
        <v>2791</v>
      </c>
      <c r="D3379" s="2716">
        <f t="shared" si="394"/>
        <v>1</v>
      </c>
      <c r="E3379" s="2721">
        <v>1</v>
      </c>
      <c r="F3379" s="294"/>
      <c r="G3379" s="1618" t="s">
        <v>3081</v>
      </c>
      <c r="H3379" s="309"/>
      <c r="I3379" s="360"/>
      <c r="J3379" s="346"/>
      <c r="K3379" s="291"/>
      <c r="L3379" s="291"/>
      <c r="M3379" s="291"/>
      <c r="N3379" s="291"/>
      <c r="O3379" s="291"/>
      <c r="P3379" s="291"/>
      <c r="S3379" s="364"/>
      <c r="Z3379" s="609" t="s">
        <v>3806</v>
      </c>
      <c r="AA3379" s="609" t="s">
        <v>5671</v>
      </c>
    </row>
    <row r="3380" spans="1:27" ht="18">
      <c r="A3380" s="2714"/>
      <c r="B3380" s="371">
        <v>104</v>
      </c>
      <c r="C3380" s="371" t="s">
        <v>2791</v>
      </c>
      <c r="D3380" s="2716">
        <f t="shared" si="394"/>
        <v>0</v>
      </c>
      <c r="E3380" s="2721">
        <v>1</v>
      </c>
      <c r="F3380" s="294"/>
      <c r="G3380" s="1618" t="s">
        <v>2792</v>
      </c>
      <c r="H3380" s="309"/>
      <c r="I3380" s="360"/>
      <c r="J3380" s="346"/>
      <c r="K3380" s="291"/>
      <c r="L3380" s="291"/>
      <c r="M3380" s="291"/>
      <c r="N3380" s="291"/>
      <c r="O3380" s="291"/>
      <c r="P3380" s="291"/>
      <c r="S3380" s="364"/>
      <c r="Z3380" s="609" t="s">
        <v>3806</v>
      </c>
      <c r="AA3380" s="609" t="s">
        <v>5671</v>
      </c>
    </row>
    <row r="3381" spans="1:27" ht="18">
      <c r="A3381" s="2714"/>
      <c r="B3381" s="371">
        <v>105</v>
      </c>
      <c r="C3381" s="371" t="s">
        <v>2791</v>
      </c>
      <c r="D3381" s="2716">
        <f t="shared" si="394"/>
        <v>0</v>
      </c>
      <c r="E3381" s="2721">
        <v>1</v>
      </c>
      <c r="F3381" s="294"/>
      <c r="G3381" s="1618" t="s">
        <v>2792</v>
      </c>
      <c r="H3381" s="309"/>
      <c r="I3381" s="360"/>
      <c r="J3381" s="346"/>
      <c r="K3381" s="291"/>
      <c r="L3381" s="291"/>
      <c r="M3381" s="291"/>
      <c r="N3381" s="291"/>
      <c r="O3381" s="291"/>
      <c r="P3381" s="291"/>
      <c r="S3381" s="364"/>
      <c r="Z3381" s="609" t="s">
        <v>3806</v>
      </c>
      <c r="AA3381" s="609" t="s">
        <v>5671</v>
      </c>
    </row>
    <row r="3382" spans="1:27" ht="18.75" thickBot="1">
      <c r="A3382" s="2714"/>
      <c r="B3382" s="371"/>
      <c r="C3382" s="371"/>
      <c r="D3382" s="2716">
        <f t="shared" si="394"/>
        <v>1</v>
      </c>
      <c r="E3382" s="2721" t="s">
        <v>2751</v>
      </c>
      <c r="F3382" s="294"/>
      <c r="G3382" s="1529" t="s">
        <v>2752</v>
      </c>
      <c r="H3382" s="1525"/>
      <c r="I3382" s="1570"/>
      <c r="J3382" s="1528">
        <f>SUMPRODUCT($E3376:$E3381,J3376:J3381)</f>
        <v>0</v>
      </c>
      <c r="K3382" s="291"/>
      <c r="L3382" s="291"/>
      <c r="M3382" s="291"/>
      <c r="N3382" s="291"/>
      <c r="O3382" s="291"/>
      <c r="P3382" s="291"/>
      <c r="S3382" s="364"/>
      <c r="Z3382" s="609" t="s">
        <v>3806</v>
      </c>
      <c r="AA3382" s="609" t="s">
        <v>5671</v>
      </c>
    </row>
    <row r="3383" spans="1:27" ht="18">
      <c r="A3383" s="2714"/>
      <c r="B3383" s="371"/>
      <c r="C3383" s="371" t="s">
        <v>2755</v>
      </c>
      <c r="D3383" s="371"/>
      <c r="F3383" s="294"/>
      <c r="G3383" s="301"/>
      <c r="H3383" s="315"/>
      <c r="I3383" s="393"/>
      <c r="J3383" s="315"/>
      <c r="K3383" s="291"/>
      <c r="L3383" s="291"/>
      <c r="M3383" s="291"/>
      <c r="N3383" s="291"/>
      <c r="O3383" s="291"/>
      <c r="P3383" s="291"/>
      <c r="S3383" s="364"/>
      <c r="Z3383" s="609" t="s">
        <v>3806</v>
      </c>
      <c r="AA3383" s="609" t="s">
        <v>5671</v>
      </c>
    </row>
    <row r="3384" spans="1:27" ht="17.25">
      <c r="A3384" s="2715">
        <v>2102</v>
      </c>
      <c r="B3384" s="371">
        <v>34</v>
      </c>
      <c r="C3384" s="2716" t="str">
        <f>VLOOKUP($A3384,Sheet_Items,2,0)</f>
        <v>交易性金融负债</v>
      </c>
      <c r="D3384" s="371"/>
      <c r="E3384" s="2716" t="s">
        <v>2739</v>
      </c>
      <c r="F3384" s="293"/>
      <c r="G3384" s="305" t="str">
        <f>B3384&amp;" "&amp;C3384</f>
        <v>34 交易性金融负债</v>
      </c>
      <c r="H3384" s="306"/>
      <c r="I3384" s="306"/>
      <c r="J3384" s="306" t="s">
        <v>2740</v>
      </c>
      <c r="K3384" s="341">
        <f>VLOOKUP($A3384,Sheet_Trialbal,6,0)</f>
        <v>0</v>
      </c>
      <c r="L3384" s="342"/>
      <c r="M3384" s="306" t="s">
        <v>2741</v>
      </c>
      <c r="N3384" s="341">
        <f>VLOOKUP($A3384,Sheet_Trialbal,10,0)</f>
        <v>0</v>
      </c>
      <c r="O3384" s="342"/>
      <c r="P3384" s="301"/>
      <c r="S3384" s="364"/>
      <c r="Z3384" s="609" t="s">
        <v>3831</v>
      </c>
      <c r="AA3384" s="609" t="s">
        <v>3832</v>
      </c>
    </row>
    <row r="3385" spans="1:27" ht="18">
      <c r="A3385" s="2714" t="s">
        <v>1395</v>
      </c>
      <c r="B3385" s="371">
        <v>1</v>
      </c>
      <c r="C3385" s="371"/>
      <c r="D3385" s="2716" t="str">
        <f>VLOOKUP($A3385,Sheet_NoteList,2,0)</f>
        <v>交易性金融负债情况</v>
      </c>
      <c r="E3385" s="2716" t="s">
        <v>2742</v>
      </c>
      <c r="F3385" s="293"/>
      <c r="G3385" s="372" t="str">
        <f>"("&amp;B3385&amp;")"&amp;D3385</f>
        <v>(1)交易性金融负债情况</v>
      </c>
      <c r="H3385" s="1517" t="str">
        <f>$A3385</f>
        <v>2102a</v>
      </c>
      <c r="I3385" s="343" t="s">
        <v>2743</v>
      </c>
      <c r="J3385" s="301" t="s">
        <v>2744</v>
      </c>
      <c r="K3385" s="2210">
        <f>K3396</f>
        <v>0</v>
      </c>
      <c r="L3385" s="349" t="str">
        <f>IF($I3385="适用",IF(ROUND(K$3384-K3385,2)=0,"F/S",ROUND(K$3384-K3385,2)),"#N/A")</f>
        <v>F/S</v>
      </c>
      <c r="M3385" s="301" t="s">
        <v>2745</v>
      </c>
      <c r="N3385" s="2210">
        <f>H3396</f>
        <v>0</v>
      </c>
      <c r="O3385" s="349" t="str">
        <f>IF($I3385="适用",IF(ROUND(N$3384-N3385,2)=0,"F/S",ROUND(N$3384-N3385,2)),"#N/A")</f>
        <v>F/S</v>
      </c>
      <c r="P3385" s="301"/>
      <c r="S3385" s="364"/>
      <c r="Z3385" s="609" t="s">
        <v>3831</v>
      </c>
      <c r="AA3385" s="609" t="s">
        <v>3832</v>
      </c>
    </row>
    <row r="3386" spans="1:27" ht="0.75" customHeight="1" thickBot="1">
      <c r="A3386" s="2714"/>
      <c r="B3386" s="371"/>
      <c r="C3386" s="371"/>
      <c r="D3386" s="2716"/>
      <c r="F3386" s="371"/>
      <c r="G3386" s="405" t="s">
        <v>3833</v>
      </c>
      <c r="H3386" s="371" t="s">
        <v>2747</v>
      </c>
      <c r="I3386" s="371" t="s">
        <v>2748</v>
      </c>
      <c r="J3386" s="371" t="s">
        <v>2948</v>
      </c>
      <c r="K3386" s="547" t="s">
        <v>3034</v>
      </c>
      <c r="L3386" s="428"/>
      <c r="M3386" s="433"/>
      <c r="N3386" s="428"/>
      <c r="O3386" s="428"/>
      <c r="P3386" s="433"/>
      <c r="Q3386" s="442"/>
      <c r="R3386" s="443"/>
      <c r="S3386" s="364"/>
      <c r="Z3386" s="609" t="s">
        <v>3831</v>
      </c>
      <c r="AA3386" s="609" t="s">
        <v>3832</v>
      </c>
    </row>
    <row r="3387" spans="1:27" ht="18">
      <c r="A3387" s="2714"/>
      <c r="B3387" s="371"/>
      <c r="C3387" s="371"/>
      <c r="D3387" s="2716"/>
      <c r="E3387" s="2716" t="s">
        <v>2749</v>
      </c>
      <c r="F3387" s="293"/>
      <c r="G3387" s="2305" t="s">
        <v>47</v>
      </c>
      <c r="H3387" s="2478" t="str">
        <f>$V$3</f>
        <v>2018年12月31日</v>
      </c>
      <c r="I3387" s="2291" t="s">
        <v>3027</v>
      </c>
      <c r="J3387" s="2291" t="s">
        <v>3028</v>
      </c>
      <c r="K3387" s="2346" t="str">
        <f>$V$2</f>
        <v>2019年12月31日</v>
      </c>
      <c r="L3387" s="355" t="s">
        <v>5299</v>
      </c>
      <c r="M3387" s="435"/>
      <c r="N3387" s="434"/>
      <c r="O3387" s="434"/>
      <c r="P3387" s="435"/>
      <c r="Q3387" s="442"/>
      <c r="R3387" s="443"/>
      <c r="S3387" s="364"/>
      <c r="Z3387" s="609" t="s">
        <v>3831</v>
      </c>
      <c r="AA3387" s="609" t="s">
        <v>3832</v>
      </c>
    </row>
    <row r="3388" spans="1:27" ht="18">
      <c r="A3388" s="2714"/>
      <c r="B3388" s="371">
        <v>101</v>
      </c>
      <c r="C3388" s="371"/>
      <c r="D3388" s="2716">
        <f t="shared" ref="D3388:D3396" si="395">IF(OR(G3388="*",G3388="",G3388=0),0,COUNTIF($G$3388:$G$3396,G3388))</f>
        <v>1</v>
      </c>
      <c r="E3388" s="2721">
        <v>1</v>
      </c>
      <c r="F3388" s="293"/>
      <c r="G3388" s="308" t="s">
        <v>462</v>
      </c>
      <c r="H3388" s="1465">
        <v>0</v>
      </c>
      <c r="I3388" s="309">
        <f>SUM(I3389:I3391)</f>
        <v>0</v>
      </c>
      <c r="J3388" s="309">
        <f>SUM(J3389:J3391)</f>
        <v>0</v>
      </c>
      <c r="K3388" s="361">
        <f>H3388+I3388-J3388</f>
        <v>0</v>
      </c>
      <c r="L3388" s="437"/>
      <c r="M3388" s="438"/>
      <c r="N3388" s="439"/>
      <c r="O3388" s="437"/>
      <c r="P3388" s="438"/>
      <c r="Q3388" s="442"/>
      <c r="R3388" s="443"/>
      <c r="S3388" s="364"/>
      <c r="Z3388" s="609" t="s">
        <v>3831</v>
      </c>
      <c r="AA3388" s="609" t="s">
        <v>3832</v>
      </c>
    </row>
    <row r="3389" spans="1:27" ht="18">
      <c r="A3389" s="2714"/>
      <c r="B3389" s="371">
        <v>102</v>
      </c>
      <c r="C3389" s="371" t="s">
        <v>2791</v>
      </c>
      <c r="D3389" s="2716">
        <f t="shared" si="395"/>
        <v>1</v>
      </c>
      <c r="E3389" s="2721">
        <v>0</v>
      </c>
      <c r="F3389" s="293"/>
      <c r="G3389" s="319" t="s">
        <v>2891</v>
      </c>
      <c r="H3389" s="1465">
        <v>0</v>
      </c>
      <c r="I3389" s="309"/>
      <c r="J3389" s="309"/>
      <c r="K3389" s="361">
        <f t="shared" ref="K3389:K3395" si="396">H3389+I3389-J3389</f>
        <v>0</v>
      </c>
      <c r="L3389" s="437"/>
      <c r="M3389" s="438"/>
      <c r="N3389" s="439"/>
      <c r="O3389" s="437"/>
      <c r="P3389" s="438"/>
      <c r="Q3389" s="442"/>
      <c r="R3389" s="443"/>
      <c r="S3389" s="364"/>
      <c r="Z3389" s="609" t="s">
        <v>3831</v>
      </c>
      <c r="AA3389" s="609" t="s">
        <v>3832</v>
      </c>
    </row>
    <row r="3390" spans="1:27" ht="18">
      <c r="A3390" s="2714"/>
      <c r="B3390" s="371">
        <v>103</v>
      </c>
      <c r="C3390" s="371" t="s">
        <v>2791</v>
      </c>
      <c r="D3390" s="2716">
        <f t="shared" si="395"/>
        <v>0</v>
      </c>
      <c r="E3390" s="2721">
        <v>0</v>
      </c>
      <c r="F3390" s="293"/>
      <c r="G3390" s="319" t="s">
        <v>2792</v>
      </c>
      <c r="H3390" s="1465">
        <v>0</v>
      </c>
      <c r="I3390" s="309"/>
      <c r="J3390" s="309"/>
      <c r="K3390" s="361">
        <f t="shared" si="396"/>
        <v>0</v>
      </c>
      <c r="L3390" s="437"/>
      <c r="M3390" s="438"/>
      <c r="N3390" s="439"/>
      <c r="O3390" s="437"/>
      <c r="P3390" s="438"/>
      <c r="Q3390" s="442"/>
      <c r="R3390" s="443"/>
      <c r="S3390" s="364"/>
      <c r="Z3390" s="609" t="s">
        <v>3831</v>
      </c>
      <c r="AA3390" s="609" t="s">
        <v>3832</v>
      </c>
    </row>
    <row r="3391" spans="1:27" ht="18">
      <c r="A3391" s="2714"/>
      <c r="B3391" s="371">
        <v>104</v>
      </c>
      <c r="C3391" s="371" t="s">
        <v>2791</v>
      </c>
      <c r="D3391" s="2716">
        <f t="shared" si="395"/>
        <v>0</v>
      </c>
      <c r="E3391" s="2721">
        <v>0</v>
      </c>
      <c r="F3391" s="293"/>
      <c r="G3391" s="319" t="s">
        <v>2792</v>
      </c>
      <c r="H3391" s="1465">
        <v>0</v>
      </c>
      <c r="I3391" s="309"/>
      <c r="J3391" s="309"/>
      <c r="K3391" s="361">
        <f t="shared" si="396"/>
        <v>0</v>
      </c>
      <c r="L3391" s="437"/>
      <c r="M3391" s="438"/>
      <c r="N3391" s="439"/>
      <c r="O3391" s="437"/>
      <c r="P3391" s="438"/>
      <c r="Q3391" s="442"/>
      <c r="R3391" s="443"/>
      <c r="S3391" s="364"/>
      <c r="Z3391" s="609" t="s">
        <v>3831</v>
      </c>
      <c r="AA3391" s="609" t="s">
        <v>3832</v>
      </c>
    </row>
    <row r="3392" spans="1:27" ht="24">
      <c r="A3392" s="2714"/>
      <c r="B3392" s="371">
        <v>105</v>
      </c>
      <c r="C3392" s="371"/>
      <c r="D3392" s="2716">
        <f t="shared" si="395"/>
        <v>1</v>
      </c>
      <c r="E3392" s="2721">
        <v>1</v>
      </c>
      <c r="F3392" s="293"/>
      <c r="G3392" s="308" t="s">
        <v>3834</v>
      </c>
      <c r="H3392" s="1465">
        <v>0</v>
      </c>
      <c r="I3392" s="309">
        <f>SUM(I3393:I3395)</f>
        <v>0</v>
      </c>
      <c r="J3392" s="309">
        <f>SUM(J3393:J3395)</f>
        <v>0</v>
      </c>
      <c r="K3392" s="361">
        <f t="shared" si="396"/>
        <v>0</v>
      </c>
      <c r="L3392" s="437"/>
      <c r="M3392" s="438"/>
      <c r="N3392" s="439"/>
      <c r="O3392" s="437"/>
      <c r="P3392" s="438"/>
      <c r="Q3392" s="442"/>
      <c r="R3392" s="443"/>
      <c r="S3392" s="364"/>
      <c r="Z3392" s="609" t="s">
        <v>3831</v>
      </c>
      <c r="AA3392" s="609" t="s">
        <v>3832</v>
      </c>
    </row>
    <row r="3393" spans="1:27" ht="18">
      <c r="A3393" s="2714"/>
      <c r="B3393" s="371">
        <v>106</v>
      </c>
      <c r="C3393" s="371" t="s">
        <v>2791</v>
      </c>
      <c r="D3393" s="2716">
        <f t="shared" si="395"/>
        <v>1</v>
      </c>
      <c r="E3393" s="2721">
        <v>0</v>
      </c>
      <c r="F3393" s="293"/>
      <c r="G3393" s="319" t="s">
        <v>2829</v>
      </c>
      <c r="H3393" s="1465">
        <v>0</v>
      </c>
      <c r="I3393" s="309"/>
      <c r="J3393" s="309"/>
      <c r="K3393" s="361">
        <f t="shared" si="396"/>
        <v>0</v>
      </c>
      <c r="L3393" s="437"/>
      <c r="M3393" s="438"/>
      <c r="N3393" s="439"/>
      <c r="O3393" s="437"/>
      <c r="P3393" s="438"/>
      <c r="Q3393" s="442"/>
      <c r="R3393" s="443"/>
      <c r="S3393" s="364"/>
      <c r="Z3393" s="609" t="s">
        <v>3831</v>
      </c>
      <c r="AA3393" s="609" t="s">
        <v>3832</v>
      </c>
    </row>
    <row r="3394" spans="1:27" ht="18">
      <c r="A3394" s="2714"/>
      <c r="B3394" s="371">
        <v>107</v>
      </c>
      <c r="C3394" s="371" t="s">
        <v>2791</v>
      </c>
      <c r="D3394" s="2716">
        <f t="shared" si="395"/>
        <v>0</v>
      </c>
      <c r="E3394" s="2721">
        <v>0</v>
      </c>
      <c r="F3394" s="293"/>
      <c r="G3394" s="319" t="s">
        <v>2792</v>
      </c>
      <c r="H3394" s="1465">
        <v>0</v>
      </c>
      <c r="I3394" s="309"/>
      <c r="J3394" s="309"/>
      <c r="K3394" s="361">
        <f t="shared" si="396"/>
        <v>0</v>
      </c>
      <c r="L3394" s="437"/>
      <c r="M3394" s="438"/>
      <c r="N3394" s="439"/>
      <c r="O3394" s="437"/>
      <c r="P3394" s="438"/>
      <c r="Q3394" s="442"/>
      <c r="R3394" s="443"/>
      <c r="S3394" s="364"/>
      <c r="Z3394" s="609" t="s">
        <v>3831</v>
      </c>
      <c r="AA3394" s="609" t="s">
        <v>3832</v>
      </c>
    </row>
    <row r="3395" spans="1:27" ht="18">
      <c r="A3395" s="2714"/>
      <c r="B3395" s="371">
        <v>108</v>
      </c>
      <c r="C3395" s="371" t="s">
        <v>2791</v>
      </c>
      <c r="D3395" s="2716">
        <f t="shared" si="395"/>
        <v>0</v>
      </c>
      <c r="E3395" s="2721">
        <v>0</v>
      </c>
      <c r="F3395" s="293"/>
      <c r="G3395" s="319" t="s">
        <v>2792</v>
      </c>
      <c r="H3395" s="1465">
        <v>0</v>
      </c>
      <c r="I3395" s="309"/>
      <c r="J3395" s="309"/>
      <c r="K3395" s="361">
        <f t="shared" si="396"/>
        <v>0</v>
      </c>
      <c r="L3395" s="437"/>
      <c r="M3395" s="438"/>
      <c r="N3395" s="439"/>
      <c r="O3395" s="437"/>
      <c r="P3395" s="438"/>
      <c r="Q3395" s="442"/>
      <c r="R3395" s="443"/>
      <c r="S3395" s="364"/>
      <c r="Z3395" s="609" t="s">
        <v>3831</v>
      </c>
      <c r="AA3395" s="609" t="s">
        <v>3832</v>
      </c>
    </row>
    <row r="3396" spans="1:27" ht="18.75" thickBot="1">
      <c r="A3396" s="2714"/>
      <c r="B3396" s="371"/>
      <c r="C3396" s="371"/>
      <c r="D3396" s="2716">
        <f t="shared" si="395"/>
        <v>1</v>
      </c>
      <c r="E3396" s="2721" t="s">
        <v>2751</v>
      </c>
      <c r="F3396" s="293"/>
      <c r="G3396" s="2234" t="s">
        <v>2752</v>
      </c>
      <c r="H3396" s="2321">
        <v>0</v>
      </c>
      <c r="I3396" s="2325">
        <f>SUMPRODUCT($E3387:$E3395,I3387:I3395)</f>
        <v>0</v>
      </c>
      <c r="J3396" s="2325">
        <f>SUMPRODUCT($E3387:$E3395,J3387:J3395)</f>
        <v>0</v>
      </c>
      <c r="K3396" s="2342">
        <f>SUMPRODUCT($E3387:$E3395,K3387:K3395)</f>
        <v>0</v>
      </c>
      <c r="L3396" s="437"/>
      <c r="M3396" s="440"/>
      <c r="N3396" s="439"/>
      <c r="O3396" s="437"/>
      <c r="P3396" s="440"/>
      <c r="Q3396" s="442"/>
      <c r="R3396" s="443"/>
      <c r="S3396" s="364"/>
      <c r="Z3396" s="609" t="s">
        <v>3831</v>
      </c>
      <c r="AA3396" s="609" t="s">
        <v>3832</v>
      </c>
    </row>
    <row r="3397" spans="1:27" ht="18">
      <c r="A3397" s="2714"/>
      <c r="B3397" s="371"/>
      <c r="C3397" s="371" t="s">
        <v>2755</v>
      </c>
      <c r="D3397" s="2716"/>
      <c r="F3397" s="293"/>
      <c r="G3397" s="376"/>
      <c r="H3397" s="315"/>
      <c r="I3397" s="396"/>
      <c r="J3397" s="315"/>
      <c r="K3397" s="423"/>
      <c r="L3397" s="427"/>
      <c r="M3397" s="425"/>
      <c r="N3397" s="426"/>
      <c r="O3397" s="427"/>
      <c r="P3397" s="425"/>
      <c r="Q3397" s="442"/>
      <c r="R3397" s="443"/>
      <c r="S3397" s="364"/>
      <c r="Z3397" s="609" t="s">
        <v>3831</v>
      </c>
      <c r="AA3397" s="609" t="s">
        <v>3832</v>
      </c>
    </row>
    <row r="3398" spans="1:27" ht="36">
      <c r="A3398" s="2714" t="s">
        <v>1400</v>
      </c>
      <c r="B3398" s="371">
        <v>2</v>
      </c>
      <c r="C3398" s="371"/>
      <c r="D3398" s="2716" t="str">
        <f>VLOOKUP($A3398,Sheet_NoteList,2,0)</f>
        <v>指定为以公允价值计量且其变动计入当期损益的金融负债公允价值变动情况</v>
      </c>
      <c r="E3398" s="2716" t="s">
        <v>2742</v>
      </c>
      <c r="F3398" s="293"/>
      <c r="G3398" s="372" t="str">
        <f>"("&amp;B3398&amp;")"&amp;D3398</f>
        <v>(2)指定为以公允价值计量且其变动计入当期损益的金融负债公允价值变动情况</v>
      </c>
      <c r="H3398" s="1517" t="str">
        <f>$A3398</f>
        <v>2102b</v>
      </c>
      <c r="I3398" s="343" t="s">
        <v>2743</v>
      </c>
      <c r="J3398" s="301" t="s">
        <v>2744</v>
      </c>
      <c r="K3398" s="2210">
        <f>H3409</f>
        <v>0</v>
      </c>
      <c r="L3398" s="349" t="str">
        <f>IF($I3398="适用",IF(ROUND(K$3384-K3398,2)=0,"F/S",ROUND(K$3384-K3398,2)),"#N/A")</f>
        <v>F/S</v>
      </c>
      <c r="M3398" s="301" t="s">
        <v>2745</v>
      </c>
      <c r="N3398" s="2210">
        <f>I3409</f>
        <v>0</v>
      </c>
      <c r="O3398" s="349" t="str">
        <f>IF($I3398="适用",IF(ROUND(N$3384-N3398,2)=0,"F/S",ROUND(N$3384-N3398,2)),"#N/A")</f>
        <v>F/S</v>
      </c>
      <c r="P3398" s="301"/>
      <c r="S3398" s="364"/>
      <c r="Z3398" s="609" t="s">
        <v>3831</v>
      </c>
      <c r="AA3398" s="609" t="s">
        <v>3832</v>
      </c>
    </row>
    <row r="3399" spans="1:27" ht="0.75" customHeight="1" thickBot="1">
      <c r="A3399" s="2714"/>
      <c r="B3399" s="371"/>
      <c r="C3399" s="371"/>
      <c r="D3399" s="2716"/>
      <c r="F3399" s="371"/>
      <c r="G3399" s="405" t="s">
        <v>3835</v>
      </c>
      <c r="H3399" s="371" t="s">
        <v>2747</v>
      </c>
      <c r="I3399" s="371" t="s">
        <v>2748</v>
      </c>
      <c r="J3399" s="371" t="s">
        <v>2948</v>
      </c>
      <c r="K3399" s="428"/>
      <c r="L3399" s="428"/>
      <c r="M3399" s="433"/>
      <c r="N3399" s="428"/>
      <c r="O3399" s="428"/>
      <c r="P3399" s="433"/>
      <c r="Q3399" s="442"/>
      <c r="R3399" s="443"/>
      <c r="S3399" s="364"/>
      <c r="Z3399" s="609" t="s">
        <v>3831</v>
      </c>
      <c r="AA3399" s="609" t="s">
        <v>3832</v>
      </c>
    </row>
    <row r="3400" spans="1:27" ht="36">
      <c r="A3400" s="2714"/>
      <c r="B3400" s="371"/>
      <c r="C3400" s="371"/>
      <c r="D3400" s="2716"/>
      <c r="E3400" s="2716" t="s">
        <v>2749</v>
      </c>
      <c r="F3400" s="293"/>
      <c r="G3400" s="2305" t="s">
        <v>47</v>
      </c>
      <c r="H3400" s="2397" t="s">
        <v>6071</v>
      </c>
      <c r="I3400" s="2291" t="s">
        <v>3836</v>
      </c>
      <c r="J3400" s="2293" t="s">
        <v>3837</v>
      </c>
      <c r="K3400" s="355" t="s">
        <v>5299</v>
      </c>
      <c r="L3400" s="434"/>
      <c r="M3400" s="435"/>
      <c r="N3400" s="434"/>
      <c r="O3400" s="434"/>
      <c r="P3400" s="435"/>
      <c r="Q3400" s="442"/>
      <c r="R3400" s="443"/>
      <c r="S3400" s="364"/>
      <c r="Z3400" s="609" t="s">
        <v>3831</v>
      </c>
      <c r="AA3400" s="609" t="s">
        <v>3832</v>
      </c>
    </row>
    <row r="3401" spans="1:27" ht="18">
      <c r="A3401" s="2714"/>
      <c r="B3401" s="371">
        <v>101</v>
      </c>
      <c r="C3401" s="371"/>
      <c r="D3401" s="2716">
        <f t="shared" ref="D3401:D3409" si="397">IF(OR(G3401="*",G3401="",G3401=0),0,COUNTIF($G$3401:$G$3409,G3401))</f>
        <v>1</v>
      </c>
      <c r="E3401" s="2721">
        <v>1</v>
      </c>
      <c r="F3401" s="293"/>
      <c r="G3401" s="308" t="s">
        <v>3838</v>
      </c>
      <c r="H3401" s="309"/>
      <c r="I3401" s="422"/>
      <c r="J3401" s="346"/>
      <c r="K3401" s="355" t="s">
        <v>6072</v>
      </c>
      <c r="L3401" s="437"/>
      <c r="M3401" s="438"/>
      <c r="N3401" s="439"/>
      <c r="O3401" s="437"/>
      <c r="P3401" s="438"/>
      <c r="Q3401" s="442"/>
      <c r="R3401" s="443"/>
      <c r="S3401" s="364"/>
      <c r="Z3401" s="609" t="s">
        <v>3831</v>
      </c>
      <c r="AA3401" s="609" t="s">
        <v>3832</v>
      </c>
    </row>
    <row r="3402" spans="1:27" ht="18">
      <c r="A3402" s="2714"/>
      <c r="B3402" s="371">
        <v>102</v>
      </c>
      <c r="C3402" s="371" t="s">
        <v>2791</v>
      </c>
      <c r="D3402" s="2716">
        <f t="shared" si="397"/>
        <v>0</v>
      </c>
      <c r="E3402" s="2721">
        <v>1</v>
      </c>
      <c r="F3402" s="293"/>
      <c r="G3402" s="319" t="s">
        <v>2792</v>
      </c>
      <c r="H3402" s="309"/>
      <c r="I3402" s="422"/>
      <c r="J3402" s="346"/>
      <c r="K3402" s="439"/>
      <c r="L3402" s="437"/>
      <c r="M3402" s="438"/>
      <c r="N3402" s="439"/>
      <c r="O3402" s="437"/>
      <c r="P3402" s="438"/>
      <c r="Q3402" s="442"/>
      <c r="R3402" s="443"/>
      <c r="S3402" s="364"/>
      <c r="Z3402" s="609" t="s">
        <v>3831</v>
      </c>
      <c r="AA3402" s="609" t="s">
        <v>3832</v>
      </c>
    </row>
    <row r="3403" spans="1:27" ht="18">
      <c r="A3403" s="2714"/>
      <c r="B3403" s="371">
        <v>103</v>
      </c>
      <c r="C3403" s="371" t="s">
        <v>2791</v>
      </c>
      <c r="D3403" s="2716">
        <f t="shared" si="397"/>
        <v>0</v>
      </c>
      <c r="E3403" s="2721">
        <v>1</v>
      </c>
      <c r="F3403" s="293"/>
      <c r="G3403" s="319" t="s">
        <v>2792</v>
      </c>
      <c r="H3403" s="309"/>
      <c r="I3403" s="422"/>
      <c r="J3403" s="346"/>
      <c r="K3403" s="439"/>
      <c r="L3403" s="437"/>
      <c r="M3403" s="438"/>
      <c r="N3403" s="439"/>
      <c r="O3403" s="437"/>
      <c r="P3403" s="438"/>
      <c r="Q3403" s="442"/>
      <c r="R3403" s="443"/>
      <c r="S3403" s="364"/>
      <c r="Z3403" s="609" t="s">
        <v>3831</v>
      </c>
      <c r="AA3403" s="609" t="s">
        <v>3832</v>
      </c>
    </row>
    <row r="3404" spans="1:27" ht="18">
      <c r="A3404" s="2714"/>
      <c r="B3404" s="371">
        <v>104</v>
      </c>
      <c r="C3404" s="371" t="s">
        <v>2791</v>
      </c>
      <c r="D3404" s="2716">
        <f t="shared" si="397"/>
        <v>0</v>
      </c>
      <c r="E3404" s="2721">
        <v>1</v>
      </c>
      <c r="F3404" s="293"/>
      <c r="G3404" s="319" t="s">
        <v>2792</v>
      </c>
      <c r="H3404" s="309"/>
      <c r="I3404" s="422"/>
      <c r="J3404" s="346"/>
      <c r="K3404" s="439"/>
      <c r="L3404" s="437"/>
      <c r="M3404" s="438"/>
      <c r="N3404" s="439"/>
      <c r="O3404" s="437"/>
      <c r="P3404" s="438"/>
      <c r="Q3404" s="442"/>
      <c r="R3404" s="443"/>
      <c r="S3404" s="364"/>
      <c r="Z3404" s="609" t="s">
        <v>3831</v>
      </c>
      <c r="AA3404" s="609" t="s">
        <v>3832</v>
      </c>
    </row>
    <row r="3405" spans="1:27" ht="18">
      <c r="A3405" s="2714"/>
      <c r="B3405" s="371">
        <v>105</v>
      </c>
      <c r="C3405" s="371" t="s">
        <v>2791</v>
      </c>
      <c r="D3405" s="2716">
        <f t="shared" si="397"/>
        <v>0</v>
      </c>
      <c r="E3405" s="2721">
        <v>1</v>
      </c>
      <c r="F3405" s="293"/>
      <c r="G3405" s="319" t="s">
        <v>2792</v>
      </c>
      <c r="H3405" s="309"/>
      <c r="I3405" s="422"/>
      <c r="J3405" s="346"/>
      <c r="K3405" s="439"/>
      <c r="L3405" s="437"/>
      <c r="M3405" s="438"/>
      <c r="N3405" s="439"/>
      <c r="O3405" s="437"/>
      <c r="P3405" s="438"/>
      <c r="Q3405" s="442"/>
      <c r="R3405" s="443"/>
      <c r="S3405" s="364"/>
      <c r="Z3405" s="609" t="s">
        <v>3831</v>
      </c>
      <c r="AA3405" s="609" t="s">
        <v>3832</v>
      </c>
    </row>
    <row r="3406" spans="1:27" ht="18">
      <c r="A3406" s="2714"/>
      <c r="B3406" s="371">
        <v>106</v>
      </c>
      <c r="C3406" s="371" t="s">
        <v>2791</v>
      </c>
      <c r="D3406" s="2716">
        <f t="shared" si="397"/>
        <v>0</v>
      </c>
      <c r="E3406" s="2721">
        <v>1</v>
      </c>
      <c r="F3406" s="293"/>
      <c r="G3406" s="319" t="s">
        <v>2792</v>
      </c>
      <c r="H3406" s="309"/>
      <c r="I3406" s="422"/>
      <c r="J3406" s="346"/>
      <c r="K3406" s="439"/>
      <c r="L3406" s="437"/>
      <c r="M3406" s="438"/>
      <c r="N3406" s="439"/>
      <c r="O3406" s="437"/>
      <c r="P3406" s="438"/>
      <c r="Q3406" s="442"/>
      <c r="R3406" s="443"/>
      <c r="S3406" s="364"/>
      <c r="Z3406" s="609" t="s">
        <v>3831</v>
      </c>
      <c r="AA3406" s="609" t="s">
        <v>3832</v>
      </c>
    </row>
    <row r="3407" spans="1:27" ht="18">
      <c r="A3407" s="2714"/>
      <c r="B3407" s="371">
        <v>107</v>
      </c>
      <c r="C3407" s="371" t="s">
        <v>2791</v>
      </c>
      <c r="D3407" s="2716">
        <f t="shared" si="397"/>
        <v>0</v>
      </c>
      <c r="E3407" s="2721">
        <v>1</v>
      </c>
      <c r="F3407" s="293"/>
      <c r="G3407" s="319" t="s">
        <v>2792</v>
      </c>
      <c r="H3407" s="309"/>
      <c r="I3407" s="422"/>
      <c r="J3407" s="346"/>
      <c r="K3407" s="439"/>
      <c r="L3407" s="437"/>
      <c r="M3407" s="438"/>
      <c r="N3407" s="439"/>
      <c r="O3407" s="437"/>
      <c r="P3407" s="438"/>
      <c r="Q3407" s="442"/>
      <c r="R3407" s="443"/>
      <c r="S3407" s="364"/>
      <c r="Z3407" s="609" t="s">
        <v>3831</v>
      </c>
      <c r="AA3407" s="609" t="s">
        <v>3832</v>
      </c>
    </row>
    <row r="3408" spans="1:27" ht="18">
      <c r="A3408" s="2714"/>
      <c r="B3408" s="371">
        <v>108</v>
      </c>
      <c r="C3408" s="371" t="s">
        <v>2791</v>
      </c>
      <c r="D3408" s="2716">
        <f t="shared" si="397"/>
        <v>0</v>
      </c>
      <c r="E3408" s="2721">
        <v>1</v>
      </c>
      <c r="F3408" s="293"/>
      <c r="G3408" s="319" t="s">
        <v>2792</v>
      </c>
      <c r="H3408" s="309"/>
      <c r="I3408" s="422"/>
      <c r="J3408" s="346"/>
      <c r="K3408" s="439"/>
      <c r="L3408" s="437"/>
      <c r="M3408" s="438"/>
      <c r="N3408" s="439"/>
      <c r="O3408" s="437"/>
      <c r="P3408" s="438"/>
      <c r="Q3408" s="442"/>
      <c r="R3408" s="443"/>
      <c r="S3408" s="364"/>
      <c r="Z3408" s="609" t="s">
        <v>3831</v>
      </c>
      <c r="AA3408" s="609" t="s">
        <v>3832</v>
      </c>
    </row>
    <row r="3409" spans="1:27" ht="18.75" thickBot="1">
      <c r="A3409" s="2714"/>
      <c r="B3409" s="371"/>
      <c r="C3409" s="371"/>
      <c r="D3409" s="2716">
        <f t="shared" si="397"/>
        <v>1</v>
      </c>
      <c r="E3409" s="2721" t="s">
        <v>2751</v>
      </c>
      <c r="F3409" s="293"/>
      <c r="G3409" s="2234" t="s">
        <v>2752</v>
      </c>
      <c r="H3409" s="2325">
        <f>SUMPRODUCT($E3400:$E3408,H3400:H3408)</f>
        <v>0</v>
      </c>
      <c r="I3409" s="2325">
        <f>SUMPRODUCT($E3400:$E3408,I3400:I3408)</f>
        <v>0</v>
      </c>
      <c r="J3409" s="2342">
        <f>SUMPRODUCT($E3400:$E3408,J3400:J3408)</f>
        <v>0</v>
      </c>
      <c r="K3409" s="439"/>
      <c r="L3409" s="437"/>
      <c r="M3409" s="440"/>
      <c r="N3409" s="439"/>
      <c r="O3409" s="437"/>
      <c r="P3409" s="440"/>
      <c r="Q3409" s="442"/>
      <c r="R3409" s="443"/>
      <c r="S3409" s="364"/>
      <c r="Z3409" s="609" t="s">
        <v>3831</v>
      </c>
      <c r="AA3409" s="609" t="s">
        <v>3832</v>
      </c>
    </row>
    <row r="3410" spans="1:27" ht="60.75" thickBot="1">
      <c r="A3410" s="2714"/>
      <c r="B3410" s="371">
        <v>901</v>
      </c>
      <c r="C3410" s="371"/>
      <c r="D3410" s="371"/>
      <c r="E3410" s="2716" t="s">
        <v>2753</v>
      </c>
      <c r="F3410" s="294"/>
      <c r="G3410" s="2396" t="s">
        <v>6069</v>
      </c>
      <c r="H3410" s="2395"/>
      <c r="I3410" s="432"/>
      <c r="J3410" s="425"/>
      <c r="K3410" s="355" t="s">
        <v>6070</v>
      </c>
      <c r="L3410" s="427"/>
      <c r="M3410" s="425"/>
      <c r="N3410" s="426"/>
      <c r="O3410" s="427"/>
      <c r="P3410" s="425"/>
      <c r="S3410" s="364"/>
      <c r="Z3410" s="609" t="s">
        <v>3831</v>
      </c>
      <c r="AA3410" s="609" t="s">
        <v>3832</v>
      </c>
    </row>
    <row r="3411" spans="1:27" ht="18">
      <c r="A3411" s="2714"/>
      <c r="B3411" s="371"/>
      <c r="C3411" s="371" t="s">
        <v>2755</v>
      </c>
      <c r="D3411" s="2716"/>
      <c r="F3411" s="293"/>
      <c r="G3411" s="376"/>
      <c r="H3411" s="315"/>
      <c r="I3411" s="396"/>
      <c r="J3411" s="315"/>
      <c r="K3411" s="426"/>
      <c r="L3411" s="427"/>
      <c r="M3411" s="425"/>
      <c r="N3411" s="426"/>
      <c r="O3411" s="427"/>
      <c r="P3411" s="425"/>
      <c r="Q3411" s="442"/>
      <c r="R3411" s="443"/>
      <c r="S3411" s="364"/>
      <c r="Z3411" s="609" t="s">
        <v>3831</v>
      </c>
      <c r="AA3411" s="609" t="s">
        <v>3832</v>
      </c>
    </row>
    <row r="3412" spans="1:27" ht="24">
      <c r="A3412" s="2714">
        <v>2101</v>
      </c>
      <c r="B3412" s="371">
        <v>35</v>
      </c>
      <c r="C3412" s="2716" t="str">
        <f>VLOOKUP($A3412,Sheet_Items,2,0)</f>
        <v>以公允价值计量且其变动计入当期损益的金融负债</v>
      </c>
      <c r="D3412" s="371"/>
      <c r="E3412" s="2716" t="s">
        <v>2739</v>
      </c>
      <c r="F3412" s="294"/>
      <c r="G3412" s="305" t="str">
        <f>B3412&amp;" "&amp;C3412</f>
        <v>35 以公允价值计量且其变动计入当期损益的金融负债</v>
      </c>
      <c r="H3412" s="306"/>
      <c r="I3412" s="306"/>
      <c r="J3412" s="306" t="s">
        <v>2740</v>
      </c>
      <c r="K3412" s="341">
        <f>VLOOKUP($A3412,Sheet_Trialbal,6,0)</f>
        <v>0</v>
      </c>
      <c r="L3412" s="342"/>
      <c r="M3412" s="306" t="s">
        <v>2741</v>
      </c>
      <c r="N3412" s="341">
        <f>VLOOKUP($A3412,Sheet_Trialbal,10,0)</f>
        <v>0</v>
      </c>
      <c r="O3412" s="306"/>
      <c r="P3412" s="301"/>
      <c r="S3412" s="364"/>
      <c r="Z3412" s="609" t="s">
        <v>3839</v>
      </c>
      <c r="AA3412" s="2720" t="s">
        <v>6576</v>
      </c>
    </row>
    <row r="3413" spans="1:27" ht="36">
      <c r="A3413" s="2714" t="s">
        <v>1390</v>
      </c>
      <c r="B3413" s="371">
        <v>1</v>
      </c>
      <c r="C3413" s="371"/>
      <c r="D3413" s="2716" t="str">
        <f>VLOOKUP($A3413,Sheet_NoteList,2,0)</f>
        <v>以公允价值计量且其变动计入当期损益的金融负债明细列示</v>
      </c>
      <c r="E3413" s="2716" t="s">
        <v>2742</v>
      </c>
      <c r="F3413" s="294"/>
      <c r="G3413" s="372" t="str">
        <f>"("&amp;B3413&amp;")"&amp;D3413</f>
        <v>(1)以公允价值计量且其变动计入当期损益的金融负债明细列示</v>
      </c>
      <c r="H3413" s="1517" t="str">
        <f>$A3413</f>
        <v>2101a</v>
      </c>
      <c r="I3413" s="343" t="s">
        <v>2743</v>
      </c>
      <c r="J3413" s="301" t="s">
        <v>2744</v>
      </c>
      <c r="K3413" s="2210">
        <f>H3422</f>
        <v>0</v>
      </c>
      <c r="L3413" s="345" t="str">
        <f>IF($I3413="适用",IF(ROUND(K3412-K3413,2)=0,"F/S",ROUND(K3412-K3413,2)),"#N/A")</f>
        <v>F/S</v>
      </c>
      <c r="M3413" s="301" t="s">
        <v>2745</v>
      </c>
      <c r="N3413" s="2210">
        <f>I3422</f>
        <v>0</v>
      </c>
      <c r="O3413" s="345" t="str">
        <f>IF($I3413="适用",IF(ROUND(N3412-N3413,2)=0,"F/S",ROUND(N3412-N3413,2)),"#N/A")</f>
        <v>F/S</v>
      </c>
      <c r="P3413" s="301"/>
      <c r="Q3413" s="290" t="str">
        <f>IF($I3413="不适用","",IF(ROUND(SUM($H$3416:$I$3422),2)=0,"请输入",""))</f>
        <v>请输入</v>
      </c>
      <c r="S3413" s="364"/>
      <c r="Z3413" s="609" t="s">
        <v>3839</v>
      </c>
      <c r="AA3413" s="2720" t="s">
        <v>6576</v>
      </c>
    </row>
    <row r="3414" spans="1:27" ht="0.75" customHeight="1" thickBot="1">
      <c r="A3414" s="2714"/>
      <c r="B3414" s="371"/>
      <c r="C3414" s="371"/>
      <c r="D3414" s="371"/>
      <c r="E3414" s="586"/>
      <c r="F3414" s="586"/>
      <c r="G3414" s="586" t="s">
        <v>3840</v>
      </c>
      <c r="H3414" s="371" t="s">
        <v>2833</v>
      </c>
      <c r="I3414" s="371" t="s">
        <v>2834</v>
      </c>
      <c r="J3414" s="291"/>
      <c r="K3414" s="291"/>
      <c r="L3414" s="291"/>
      <c r="M3414" s="291"/>
      <c r="S3414" s="364"/>
      <c r="Z3414" s="609" t="s">
        <v>3839</v>
      </c>
      <c r="AA3414" s="2720" t="s">
        <v>6576</v>
      </c>
    </row>
    <row r="3415" spans="1:27" ht="18">
      <c r="A3415" s="2714"/>
      <c r="B3415" s="371"/>
      <c r="C3415" s="371"/>
      <c r="D3415" s="371"/>
      <c r="E3415" s="586" t="s">
        <v>2749</v>
      </c>
      <c r="F3415" s="363"/>
      <c r="G3415" s="2541" t="s">
        <v>47</v>
      </c>
      <c r="H3415" s="2553" t="str">
        <f>$V$2</f>
        <v>2019年12月31日</v>
      </c>
      <c r="I3415" s="2554" t="str">
        <f>$V$3</f>
        <v>2018年12月31日</v>
      </c>
      <c r="J3415" s="355" t="s">
        <v>5300</v>
      </c>
      <c r="K3415" s="291"/>
      <c r="L3415" s="291"/>
      <c r="M3415" s="291"/>
      <c r="S3415" s="364"/>
      <c r="Z3415" s="609" t="s">
        <v>3839</v>
      </c>
      <c r="AA3415" s="2720" t="s">
        <v>6576</v>
      </c>
    </row>
    <row r="3416" spans="1:27" ht="18">
      <c r="A3416" s="2714"/>
      <c r="B3416" s="371">
        <v>101</v>
      </c>
      <c r="C3416" s="371"/>
      <c r="D3416" s="2716">
        <f t="shared" ref="D3416:D3422" si="398">IF(OR(G3416="*",G3416="",G3416=0),0,COUNTIF($G$3416:$G$3422,G3416))</f>
        <v>1</v>
      </c>
      <c r="E3416" s="2721" t="s">
        <v>41</v>
      </c>
      <c r="F3416" s="294"/>
      <c r="G3416" s="1474" t="s">
        <v>462</v>
      </c>
      <c r="H3416" s="2299">
        <v>0</v>
      </c>
      <c r="I3416" s="2296"/>
      <c r="J3416" s="291"/>
      <c r="K3416" s="291"/>
      <c r="L3416" s="291"/>
      <c r="M3416" s="291"/>
      <c r="S3416" s="364"/>
      <c r="Z3416" s="609" t="s">
        <v>3839</v>
      </c>
      <c r="AA3416" s="2720" t="s">
        <v>6576</v>
      </c>
    </row>
    <row r="3417" spans="1:27" ht="18">
      <c r="A3417" s="2714"/>
      <c r="B3417" s="371">
        <v>102</v>
      </c>
      <c r="C3417" s="371"/>
      <c r="D3417" s="2716">
        <f t="shared" si="398"/>
        <v>1</v>
      </c>
      <c r="E3417" s="2721">
        <v>1</v>
      </c>
      <c r="F3417" s="294"/>
      <c r="G3417" s="1474" t="s">
        <v>3841</v>
      </c>
      <c r="H3417" s="2299">
        <v>0</v>
      </c>
      <c r="I3417" s="2296"/>
      <c r="J3417" s="291"/>
      <c r="K3417" s="291"/>
      <c r="L3417" s="291"/>
      <c r="M3417" s="291"/>
      <c r="S3417" s="364"/>
      <c r="Z3417" s="609" t="s">
        <v>3839</v>
      </c>
      <c r="AA3417" s="2720" t="s">
        <v>6576</v>
      </c>
    </row>
    <row r="3418" spans="1:27" ht="18">
      <c r="A3418" s="2714"/>
      <c r="B3418" s="371">
        <v>103</v>
      </c>
      <c r="C3418" s="371" t="s">
        <v>2791</v>
      </c>
      <c r="D3418" s="2716">
        <f t="shared" si="398"/>
        <v>1</v>
      </c>
      <c r="E3418" s="2721">
        <v>1</v>
      </c>
      <c r="F3418" s="294"/>
      <c r="G3418" s="578" t="s">
        <v>467</v>
      </c>
      <c r="H3418" s="2299">
        <v>0</v>
      </c>
      <c r="I3418" s="2296"/>
      <c r="J3418" s="355" t="s">
        <v>6123</v>
      </c>
      <c r="K3418" s="291"/>
      <c r="L3418" s="291"/>
      <c r="M3418" s="291"/>
      <c r="S3418" s="364"/>
      <c r="Z3418" s="609" t="s">
        <v>3839</v>
      </c>
      <c r="AA3418" s="2720" t="s">
        <v>6576</v>
      </c>
    </row>
    <row r="3419" spans="1:27" ht="18">
      <c r="A3419" s="2714"/>
      <c r="B3419" s="371">
        <v>104</v>
      </c>
      <c r="C3419" s="371"/>
      <c r="D3419" s="2716">
        <f t="shared" si="398"/>
        <v>1</v>
      </c>
      <c r="E3419" s="2721">
        <v>1</v>
      </c>
      <c r="F3419" s="294"/>
      <c r="G3419" s="603" t="s">
        <v>932</v>
      </c>
      <c r="H3419" s="2299">
        <v>0</v>
      </c>
      <c r="I3419" s="2296"/>
      <c r="J3419" s="291"/>
      <c r="K3419" s="291"/>
      <c r="L3419" s="291"/>
      <c r="M3419" s="291"/>
      <c r="S3419" s="364"/>
      <c r="Z3419" s="609" t="s">
        <v>3839</v>
      </c>
      <c r="AA3419" s="2720" t="s">
        <v>6576</v>
      </c>
    </row>
    <row r="3420" spans="1:27" ht="24">
      <c r="A3420" s="2714"/>
      <c r="B3420" s="371">
        <v>105</v>
      </c>
      <c r="C3420" s="371"/>
      <c r="D3420" s="2716">
        <f t="shared" si="398"/>
        <v>1</v>
      </c>
      <c r="E3420" s="2721">
        <v>1</v>
      </c>
      <c r="F3420" s="294"/>
      <c r="G3420" s="1474" t="s">
        <v>3842</v>
      </c>
      <c r="H3420" s="2299">
        <v>0</v>
      </c>
      <c r="I3420" s="2296"/>
      <c r="J3420" s="291"/>
      <c r="K3420" s="291"/>
      <c r="L3420" s="291"/>
      <c r="M3420" s="291"/>
      <c r="S3420" s="364"/>
      <c r="Z3420" s="609" t="s">
        <v>3839</v>
      </c>
      <c r="AA3420" s="2720" t="s">
        <v>6576</v>
      </c>
    </row>
    <row r="3421" spans="1:27" ht="18">
      <c r="A3421" s="2714"/>
      <c r="B3421" s="371">
        <v>106</v>
      </c>
      <c r="C3421" s="371" t="s">
        <v>2791</v>
      </c>
      <c r="D3421" s="2716">
        <f t="shared" si="398"/>
        <v>0</v>
      </c>
      <c r="E3421" s="2721">
        <v>1</v>
      </c>
      <c r="F3421" s="294"/>
      <c r="G3421" s="2548" t="s">
        <v>2792</v>
      </c>
      <c r="H3421" s="2299">
        <v>0</v>
      </c>
      <c r="I3421" s="2296"/>
      <c r="J3421" s="291"/>
      <c r="K3421" s="291"/>
      <c r="L3421" s="291"/>
      <c r="M3421" s="291"/>
      <c r="S3421" s="364"/>
      <c r="Z3421" s="609" t="s">
        <v>3839</v>
      </c>
      <c r="AA3421" s="2720" t="s">
        <v>6576</v>
      </c>
    </row>
    <row r="3422" spans="1:27" ht="18.75" thickBot="1">
      <c r="A3422" s="2714"/>
      <c r="B3422" s="371"/>
      <c r="C3422" s="371"/>
      <c r="D3422" s="2716">
        <f t="shared" si="398"/>
        <v>1</v>
      </c>
      <c r="E3422" s="2721" t="s">
        <v>2751</v>
      </c>
      <c r="F3422" s="294"/>
      <c r="G3422" s="374" t="s">
        <v>2752</v>
      </c>
      <c r="H3422" s="1478">
        <f>SUMPRODUCT($E3415:$E3421,H3415:H3421)</f>
        <v>0</v>
      </c>
      <c r="I3422" s="1479">
        <f>SUMPRODUCT($E3415:$E3421,I3415:I3421)</f>
        <v>0</v>
      </c>
      <c r="J3422" s="291"/>
      <c r="K3422" s="291"/>
      <c r="L3422" s="291"/>
      <c r="M3422" s="291"/>
      <c r="S3422" s="364"/>
      <c r="Z3422" s="609" t="s">
        <v>3839</v>
      </c>
      <c r="AA3422" s="2720" t="s">
        <v>6576</v>
      </c>
    </row>
    <row r="3423" spans="1:27" ht="18">
      <c r="A3423" s="2714"/>
      <c r="B3423" s="371"/>
      <c r="C3423" s="371" t="s">
        <v>2755</v>
      </c>
      <c r="D3423" s="371"/>
      <c r="F3423" s="294"/>
      <c r="G3423" s="301"/>
      <c r="H3423" s="315"/>
      <c r="I3423" s="315"/>
      <c r="J3423" s="291"/>
      <c r="K3423" s="291"/>
      <c r="L3423" s="291"/>
      <c r="M3423" s="291"/>
      <c r="S3423" s="364"/>
      <c r="Z3423" s="609" t="s">
        <v>3839</v>
      </c>
      <c r="AA3423" s="2720" t="s">
        <v>6576</v>
      </c>
    </row>
    <row r="3424" spans="1:27" ht="18">
      <c r="A3424" s="2714">
        <v>2115</v>
      </c>
      <c r="B3424" s="371">
        <v>36</v>
      </c>
      <c r="C3424" s="2716" t="str">
        <f>VLOOKUP($A3424,Sheet_Items,2,0)</f>
        <v>衍生金融负债</v>
      </c>
      <c r="D3424" s="371"/>
      <c r="E3424" s="2716" t="s">
        <v>2739</v>
      </c>
      <c r="F3424" s="294"/>
      <c r="G3424" s="305" t="str">
        <f>B3424&amp;" "&amp;C3424</f>
        <v>36 衍生金融负债</v>
      </c>
      <c r="H3424" s="306"/>
      <c r="I3424" s="306"/>
      <c r="J3424" s="306" t="s">
        <v>2740</v>
      </c>
      <c r="K3424" s="341">
        <f>VLOOKUP($A3424,Sheet_Trialbal,6,0)</f>
        <v>0</v>
      </c>
      <c r="L3424" s="342"/>
      <c r="M3424" s="306" t="s">
        <v>2741</v>
      </c>
      <c r="N3424" s="341">
        <f>VLOOKUP($A3424,Sheet_Trialbal,10,0)</f>
        <v>0</v>
      </c>
      <c r="O3424" s="306"/>
      <c r="P3424" s="301"/>
      <c r="S3424" s="364"/>
      <c r="Z3424" s="609" t="s">
        <v>3843</v>
      </c>
      <c r="AA3424" s="609" t="s">
        <v>5673</v>
      </c>
    </row>
    <row r="3425" spans="1:27" ht="18">
      <c r="A3425" s="2714" t="s">
        <v>1405</v>
      </c>
      <c r="B3425" s="371">
        <v>1</v>
      </c>
      <c r="C3425" s="371"/>
      <c r="D3425" s="2716" t="str">
        <f>VLOOKUP($A3425,Sheet_NoteList,2,0)</f>
        <v>衍生金融负债明细列示</v>
      </c>
      <c r="E3425" s="2716" t="s">
        <v>2742</v>
      </c>
      <c r="F3425" s="294"/>
      <c r="G3425" s="372" t="str">
        <f>"("&amp;B3425&amp;")"&amp;D3425</f>
        <v>(1)衍生金融负债明细列示</v>
      </c>
      <c r="H3425" s="1517" t="str">
        <f>$A3425</f>
        <v>2115a</v>
      </c>
      <c r="I3425" s="343" t="s">
        <v>2743</v>
      </c>
      <c r="J3425" s="301" t="s">
        <v>2744</v>
      </c>
      <c r="K3425" s="2210">
        <f>H3433</f>
        <v>0</v>
      </c>
      <c r="L3425" s="345" t="str">
        <f>IF($I3425="适用",IF(ROUND(K3424-K3425,2)=0,"F/S",ROUND(K3424-K3425,2)),"#N/A")</f>
        <v>F/S</v>
      </c>
      <c r="M3425" s="301" t="s">
        <v>2745</v>
      </c>
      <c r="N3425" s="2210">
        <f>I3433</f>
        <v>0</v>
      </c>
      <c r="O3425" s="345" t="str">
        <f>IF($I3425="适用",IF(ROUND(N3424-N3425,2)=0,"F/S",ROUND(N3424-N3425,2)),"#N/A")</f>
        <v>F/S</v>
      </c>
      <c r="P3425" s="301"/>
      <c r="Q3425" s="290" t="str">
        <f>IF($I3425="不适用","",IF(ROUND(SUM($H$3428:$I$3433),2)=0,"请输入",""))</f>
        <v>请输入</v>
      </c>
      <c r="S3425" s="364"/>
      <c r="Z3425" s="609" t="s">
        <v>3843</v>
      </c>
      <c r="AA3425" s="609" t="s">
        <v>5673</v>
      </c>
    </row>
    <row r="3426" spans="1:27" ht="0.75" customHeight="1" thickBot="1">
      <c r="A3426" s="2714"/>
      <c r="B3426" s="371"/>
      <c r="C3426" s="371"/>
      <c r="D3426" s="371"/>
      <c r="F3426" s="304"/>
      <c r="G3426" s="304" t="s">
        <v>3844</v>
      </c>
      <c r="H3426" s="304" t="s">
        <v>2833</v>
      </c>
      <c r="I3426" s="304" t="s">
        <v>2834</v>
      </c>
      <c r="J3426" s="291"/>
      <c r="K3426" s="291"/>
      <c r="L3426" s="291"/>
      <c r="M3426" s="291"/>
      <c r="S3426" s="364"/>
      <c r="Z3426" s="609" t="s">
        <v>3843</v>
      </c>
      <c r="AA3426" s="609" t="s">
        <v>5673</v>
      </c>
    </row>
    <row r="3427" spans="1:27" ht="18">
      <c r="A3427" s="2714"/>
      <c r="B3427" s="371"/>
      <c r="C3427" s="371"/>
      <c r="D3427" s="371"/>
      <c r="E3427" s="2716" t="s">
        <v>2749</v>
      </c>
      <c r="F3427" s="294"/>
      <c r="G3427" s="410" t="s">
        <v>47</v>
      </c>
      <c r="H3427" s="1454" t="str">
        <f>$V$2</f>
        <v>2019年12月31日</v>
      </c>
      <c r="I3427" s="1455" t="str">
        <f>$V$3</f>
        <v>2018年12月31日</v>
      </c>
      <c r="J3427" s="355" t="s">
        <v>5301</v>
      </c>
      <c r="K3427" s="291"/>
      <c r="L3427" s="291"/>
      <c r="M3427" s="291"/>
      <c r="S3427" s="364"/>
      <c r="Z3427" s="609" t="s">
        <v>3843</v>
      </c>
      <c r="AA3427" s="609" t="s">
        <v>5673</v>
      </c>
    </row>
    <row r="3428" spans="1:27" ht="18">
      <c r="A3428" s="2714"/>
      <c r="B3428" s="371">
        <v>101</v>
      </c>
      <c r="C3428" s="371" t="s">
        <v>2791</v>
      </c>
      <c r="D3428" s="2716">
        <f t="shared" ref="D3428:D3433" si="399">IF(OR(G3428="*",G3428="",G3428=0),0,COUNTIF($G$3428:$G$3433,G3428))</f>
        <v>0</v>
      </c>
      <c r="E3428" s="2721">
        <v>1</v>
      </c>
      <c r="F3428" s="294"/>
      <c r="G3428" s="319" t="s">
        <v>2792</v>
      </c>
      <c r="H3428" s="320"/>
      <c r="I3428" s="361"/>
      <c r="J3428" s="291"/>
      <c r="K3428" s="291"/>
      <c r="L3428" s="291"/>
      <c r="M3428" s="291"/>
      <c r="S3428" s="364"/>
      <c r="Z3428" s="609" t="s">
        <v>3843</v>
      </c>
      <c r="AA3428" s="609" t="s">
        <v>5673</v>
      </c>
    </row>
    <row r="3429" spans="1:27" ht="18">
      <c r="A3429" s="2714"/>
      <c r="B3429" s="371">
        <v>102</v>
      </c>
      <c r="C3429" s="371" t="s">
        <v>2791</v>
      </c>
      <c r="D3429" s="2716">
        <f t="shared" si="399"/>
        <v>0</v>
      </c>
      <c r="E3429" s="2721">
        <v>1</v>
      </c>
      <c r="F3429" s="294"/>
      <c r="G3429" s="319" t="s">
        <v>2792</v>
      </c>
      <c r="H3429" s="309"/>
      <c r="I3429" s="346"/>
      <c r="J3429" s="291"/>
      <c r="K3429" s="291"/>
      <c r="L3429" s="291"/>
      <c r="M3429" s="291"/>
      <c r="S3429" s="364"/>
      <c r="Z3429" s="609" t="s">
        <v>3843</v>
      </c>
      <c r="AA3429" s="609" t="s">
        <v>5673</v>
      </c>
    </row>
    <row r="3430" spans="1:27" ht="18">
      <c r="A3430" s="2714"/>
      <c r="B3430" s="371">
        <v>103</v>
      </c>
      <c r="C3430" s="371" t="s">
        <v>2791</v>
      </c>
      <c r="D3430" s="2716">
        <f t="shared" si="399"/>
        <v>0</v>
      </c>
      <c r="E3430" s="2721">
        <v>1</v>
      </c>
      <c r="F3430" s="294"/>
      <c r="G3430" s="319" t="s">
        <v>2792</v>
      </c>
      <c r="H3430" s="309"/>
      <c r="I3430" s="346"/>
      <c r="J3430" s="291"/>
      <c r="K3430" s="291"/>
      <c r="L3430" s="291"/>
      <c r="M3430" s="291"/>
      <c r="S3430" s="364"/>
      <c r="Z3430" s="609" t="s">
        <v>3843</v>
      </c>
      <c r="AA3430" s="609" t="s">
        <v>5673</v>
      </c>
    </row>
    <row r="3431" spans="1:27" ht="18">
      <c r="A3431" s="2714"/>
      <c r="B3431" s="371">
        <v>104</v>
      </c>
      <c r="C3431" s="371" t="s">
        <v>2791</v>
      </c>
      <c r="D3431" s="2716">
        <f t="shared" si="399"/>
        <v>0</v>
      </c>
      <c r="E3431" s="2721">
        <v>1</v>
      </c>
      <c r="F3431" s="294"/>
      <c r="G3431" s="319" t="s">
        <v>2792</v>
      </c>
      <c r="H3431" s="309"/>
      <c r="I3431" s="346"/>
      <c r="J3431" s="291"/>
      <c r="K3431" s="291"/>
      <c r="L3431" s="291"/>
      <c r="M3431" s="291"/>
      <c r="S3431" s="364"/>
      <c r="Z3431" s="609" t="s">
        <v>3843</v>
      </c>
      <c r="AA3431" s="609" t="s">
        <v>5673</v>
      </c>
    </row>
    <row r="3432" spans="1:27" ht="18">
      <c r="A3432" s="2714"/>
      <c r="B3432" s="371">
        <v>105</v>
      </c>
      <c r="C3432" s="371" t="s">
        <v>2791</v>
      </c>
      <c r="D3432" s="2716">
        <f t="shared" si="399"/>
        <v>0</v>
      </c>
      <c r="E3432" s="2721">
        <v>1</v>
      </c>
      <c r="F3432" s="294"/>
      <c r="G3432" s="319" t="s">
        <v>2792</v>
      </c>
      <c r="H3432" s="309"/>
      <c r="I3432" s="346"/>
      <c r="J3432" s="291"/>
      <c r="K3432" s="291"/>
      <c r="L3432" s="291"/>
      <c r="M3432" s="291"/>
      <c r="S3432" s="364"/>
      <c r="Z3432" s="609" t="s">
        <v>3843</v>
      </c>
      <c r="AA3432" s="609" t="s">
        <v>5673</v>
      </c>
    </row>
    <row r="3433" spans="1:27" ht="18.75" thickBot="1">
      <c r="A3433" s="2714"/>
      <c r="B3433" s="371"/>
      <c r="C3433" s="371"/>
      <c r="D3433" s="2716">
        <f t="shared" si="399"/>
        <v>1</v>
      </c>
      <c r="E3433" s="2721" t="s">
        <v>2751</v>
      </c>
      <c r="F3433" s="294"/>
      <c r="G3433" s="374" t="s">
        <v>2752</v>
      </c>
      <c r="H3433" s="596">
        <f>SUMPRODUCT($E3427:$E3432,H3427:H3432)</f>
        <v>0</v>
      </c>
      <c r="I3433" s="599">
        <f>SUMPRODUCT($E3427:$E3432,I3427:I3432)</f>
        <v>0</v>
      </c>
      <c r="J3433" s="291"/>
      <c r="K3433" s="291"/>
      <c r="L3433" s="291"/>
      <c r="M3433" s="291"/>
      <c r="S3433" s="364"/>
      <c r="Z3433" s="609" t="s">
        <v>3843</v>
      </c>
      <c r="AA3433" s="609" t="s">
        <v>5673</v>
      </c>
    </row>
    <row r="3434" spans="1:27" ht="18">
      <c r="A3434" s="2714"/>
      <c r="B3434" s="371"/>
      <c r="C3434" s="371" t="s">
        <v>2755</v>
      </c>
      <c r="D3434" s="371"/>
      <c r="F3434" s="294"/>
      <c r="G3434" s="301"/>
      <c r="H3434" s="315"/>
      <c r="I3434" s="315"/>
      <c r="J3434" s="291"/>
      <c r="K3434" s="291"/>
      <c r="L3434" s="291"/>
      <c r="M3434" s="291"/>
      <c r="S3434" s="364"/>
      <c r="Z3434" s="609" t="s">
        <v>3843</v>
      </c>
      <c r="AA3434" s="609" t="s">
        <v>5673</v>
      </c>
    </row>
    <row r="3435" spans="1:27" ht="18">
      <c r="A3435" s="2714">
        <v>2201</v>
      </c>
      <c r="B3435" s="371">
        <v>37</v>
      </c>
      <c r="C3435" s="2716" t="str">
        <f>VLOOKUP($A3435,Sheet_Items,2,0)</f>
        <v>应付票据</v>
      </c>
      <c r="D3435" s="371"/>
      <c r="E3435" s="2716" t="s">
        <v>2739</v>
      </c>
      <c r="F3435" s="294"/>
      <c r="G3435" s="305" t="str">
        <f>B3435&amp;" "&amp;C3435</f>
        <v>37 应付票据</v>
      </c>
      <c r="H3435" s="306"/>
      <c r="I3435" s="306"/>
      <c r="J3435" s="306" t="s">
        <v>2740</v>
      </c>
      <c r="K3435" s="341">
        <f>VLOOKUP($A3435,Sheet_Trialbal,6,0)</f>
        <v>0</v>
      </c>
      <c r="L3435" s="342"/>
      <c r="M3435" s="306" t="s">
        <v>2741</v>
      </c>
      <c r="N3435" s="341">
        <f>VLOOKUP($A3435,Sheet_Trialbal,10,0)</f>
        <v>0</v>
      </c>
      <c r="O3435" s="306"/>
      <c r="P3435" s="301"/>
      <c r="S3435" s="364"/>
      <c r="Z3435" s="609" t="s">
        <v>3845</v>
      </c>
      <c r="AA3435" s="609" t="s">
        <v>5674</v>
      </c>
    </row>
    <row r="3436" spans="1:27" ht="18">
      <c r="A3436" s="2714" t="s">
        <v>1410</v>
      </c>
      <c r="B3436" s="371">
        <v>1</v>
      </c>
      <c r="C3436" s="371"/>
      <c r="D3436" s="2716" t="str">
        <f>VLOOKUP($A3436,Sheet_NoteList,2,0)</f>
        <v>应付票据明细项目</v>
      </c>
      <c r="E3436" s="2716" t="s">
        <v>2742</v>
      </c>
      <c r="F3436" s="294"/>
      <c r="G3436" s="307" t="str">
        <f>"("&amp;B3436&amp;")"&amp;D3436</f>
        <v>(1)应付票据明细项目</v>
      </c>
      <c r="H3436" s="1517" t="str">
        <f>$A3436</f>
        <v>2201a</v>
      </c>
      <c r="I3436" s="343" t="s">
        <v>2743</v>
      </c>
      <c r="J3436" s="301" t="s">
        <v>2744</v>
      </c>
      <c r="K3436" s="2210">
        <f>H3443</f>
        <v>0</v>
      </c>
      <c r="L3436" s="345" t="str">
        <f>IF($I3436="适用",IF(ROUND(K3435-K3436,2)=0,"F/S",ROUND(K3435-K3436,2)),"#N/A")</f>
        <v>F/S</v>
      </c>
      <c r="M3436" s="301" t="s">
        <v>2745</v>
      </c>
      <c r="N3436" s="2210">
        <f>I3443</f>
        <v>0</v>
      </c>
      <c r="O3436" s="345" t="str">
        <f>IF($I3436="适用",IF(ROUND(N3435-N3436,2)=0,"F/S",ROUND(N3435-N3436,2)),"#N/A")</f>
        <v>F/S</v>
      </c>
      <c r="P3436" s="301"/>
      <c r="Q3436" s="290" t="str">
        <f>IF($I3436="不适用","",IF(ROUND(SUM($H$3439:$J$3443),2)=0,"请输入",""))</f>
        <v>请输入</v>
      </c>
      <c r="S3436" s="364"/>
      <c r="Z3436" s="609" t="s">
        <v>3845</v>
      </c>
      <c r="AA3436" s="609" t="s">
        <v>5674</v>
      </c>
    </row>
    <row r="3437" spans="1:27" ht="0.75" customHeight="1" thickBot="1">
      <c r="A3437" s="2714"/>
      <c r="B3437" s="371"/>
      <c r="C3437" s="371"/>
      <c r="D3437" s="371"/>
      <c r="F3437" s="371"/>
      <c r="G3437" s="371" t="s">
        <v>3846</v>
      </c>
      <c r="H3437" s="371" t="s">
        <v>2747</v>
      </c>
      <c r="I3437" s="371" t="s">
        <v>2748</v>
      </c>
      <c r="J3437" s="433"/>
      <c r="K3437" s="472"/>
      <c r="L3437" s="472"/>
      <c r="M3437" s="472"/>
      <c r="N3437" s="472"/>
      <c r="O3437" s="442"/>
      <c r="P3437" s="442"/>
      <c r="Q3437" s="442"/>
      <c r="R3437" s="443"/>
      <c r="S3437" s="364"/>
      <c r="Z3437" s="609" t="s">
        <v>3845</v>
      </c>
      <c r="AA3437" s="609" t="s">
        <v>5674</v>
      </c>
    </row>
    <row r="3438" spans="1:27" ht="18">
      <c r="A3438" s="2714"/>
      <c r="B3438" s="371"/>
      <c r="C3438" s="371"/>
      <c r="D3438" s="371"/>
      <c r="E3438" s="2716" t="s">
        <v>2749</v>
      </c>
      <c r="F3438" s="294"/>
      <c r="G3438" s="410" t="s">
        <v>1412</v>
      </c>
      <c r="H3438" s="1454" t="str">
        <f>$V$2</f>
        <v>2019年12月31日</v>
      </c>
      <c r="I3438" s="1455" t="str">
        <f>$V$3</f>
        <v>2018年12月31日</v>
      </c>
      <c r="J3438" s="355" t="s">
        <v>5302</v>
      </c>
      <c r="K3438" s="472"/>
      <c r="L3438" s="472"/>
      <c r="M3438" s="472"/>
      <c r="N3438" s="472"/>
      <c r="O3438" s="442"/>
      <c r="P3438" s="442"/>
      <c r="Q3438" s="442"/>
      <c r="R3438" s="443"/>
      <c r="S3438" s="364"/>
      <c r="Z3438" s="609" t="s">
        <v>3845</v>
      </c>
      <c r="AA3438" s="609" t="s">
        <v>5674</v>
      </c>
    </row>
    <row r="3439" spans="1:27" ht="18">
      <c r="A3439" s="2714"/>
      <c r="B3439" s="371">
        <v>101</v>
      </c>
      <c r="C3439" s="371"/>
      <c r="D3439" s="2716">
        <f t="shared" ref="D3439:D3443" si="400">IF(OR(G3439="*",G3439="",G3439=0),0,COUNTIF($G$3439:$G$3443,G3439))</f>
        <v>1</v>
      </c>
      <c r="E3439" s="2721">
        <v>1</v>
      </c>
      <c r="F3439" s="294"/>
      <c r="G3439" s="308" t="s">
        <v>2864</v>
      </c>
      <c r="H3439" s="309"/>
      <c r="I3439" s="346"/>
      <c r="J3439" s="437"/>
      <c r="K3439" s="472"/>
      <c r="L3439" s="472"/>
      <c r="M3439" s="472"/>
      <c r="N3439" s="472"/>
      <c r="O3439" s="442"/>
      <c r="P3439" s="442"/>
      <c r="Q3439" s="442"/>
      <c r="R3439" s="443"/>
      <c r="S3439" s="364"/>
      <c r="Z3439" s="609" t="s">
        <v>3845</v>
      </c>
      <c r="AA3439" s="609" t="s">
        <v>5674</v>
      </c>
    </row>
    <row r="3440" spans="1:27" ht="18">
      <c r="A3440" s="2714"/>
      <c r="B3440" s="371">
        <v>102</v>
      </c>
      <c r="C3440" s="371"/>
      <c r="D3440" s="2716">
        <f t="shared" si="400"/>
        <v>1</v>
      </c>
      <c r="E3440" s="2721">
        <v>1</v>
      </c>
      <c r="F3440" s="294"/>
      <c r="G3440" s="308" t="s">
        <v>2865</v>
      </c>
      <c r="H3440" s="309"/>
      <c r="I3440" s="346"/>
      <c r="J3440" s="437"/>
      <c r="K3440" s="472"/>
      <c r="L3440" s="472"/>
      <c r="M3440" s="472"/>
      <c r="N3440" s="472"/>
      <c r="O3440" s="442"/>
      <c r="P3440" s="442"/>
      <c r="Q3440" s="442"/>
      <c r="R3440" s="443"/>
      <c r="S3440" s="364"/>
      <c r="Z3440" s="609" t="s">
        <v>3845</v>
      </c>
      <c r="AA3440" s="609" t="s">
        <v>5674</v>
      </c>
    </row>
    <row r="3441" spans="1:31" ht="18">
      <c r="A3441" s="2714"/>
      <c r="B3441" s="371">
        <v>103</v>
      </c>
      <c r="C3441" s="371" t="s">
        <v>2791</v>
      </c>
      <c r="D3441" s="2716">
        <f t="shared" si="400"/>
        <v>0</v>
      </c>
      <c r="E3441" s="2721">
        <v>1</v>
      </c>
      <c r="F3441" s="294"/>
      <c r="G3441" s="319" t="s">
        <v>2792</v>
      </c>
      <c r="H3441" s="309"/>
      <c r="I3441" s="346"/>
      <c r="J3441" s="437"/>
      <c r="K3441" s="472"/>
      <c r="L3441" s="472"/>
      <c r="M3441" s="472"/>
      <c r="N3441" s="472"/>
      <c r="O3441" s="442"/>
      <c r="P3441" s="442"/>
      <c r="Q3441" s="442"/>
      <c r="R3441" s="443"/>
      <c r="S3441" s="364"/>
      <c r="Z3441" s="609" t="s">
        <v>3845</v>
      </c>
      <c r="AA3441" s="609" t="s">
        <v>5674</v>
      </c>
    </row>
    <row r="3442" spans="1:31" ht="18">
      <c r="A3442" s="2714"/>
      <c r="B3442" s="371">
        <v>104</v>
      </c>
      <c r="C3442" s="371" t="s">
        <v>2791</v>
      </c>
      <c r="D3442" s="2716">
        <f t="shared" si="400"/>
        <v>0</v>
      </c>
      <c r="E3442" s="2721">
        <v>1</v>
      </c>
      <c r="F3442" s="294"/>
      <c r="G3442" s="319" t="s">
        <v>2792</v>
      </c>
      <c r="H3442" s="309"/>
      <c r="I3442" s="346"/>
      <c r="J3442" s="437"/>
      <c r="K3442" s="472"/>
      <c r="L3442" s="472"/>
      <c r="M3442" s="472"/>
      <c r="N3442" s="472"/>
      <c r="O3442" s="442"/>
      <c r="P3442" s="442"/>
      <c r="Q3442" s="442"/>
      <c r="R3442" s="443"/>
      <c r="S3442" s="364"/>
      <c r="Z3442" s="609" t="s">
        <v>3845</v>
      </c>
      <c r="AA3442" s="609" t="s">
        <v>5674</v>
      </c>
    </row>
    <row r="3443" spans="1:31" ht="18.75" thickBot="1">
      <c r="A3443" s="2714"/>
      <c r="B3443" s="371"/>
      <c r="C3443" s="371"/>
      <c r="D3443" s="2716">
        <f t="shared" si="400"/>
        <v>1</v>
      </c>
      <c r="E3443" s="2721" t="s">
        <v>2751</v>
      </c>
      <c r="F3443" s="294"/>
      <c r="G3443" s="374" t="s">
        <v>2752</v>
      </c>
      <c r="H3443" s="375">
        <f>SUMPRODUCT($E3438:$E3442,H3438:H3442)</f>
        <v>0</v>
      </c>
      <c r="I3443" s="395">
        <f>SUMPRODUCT($E3438:$E3442,I3438:I3442)</f>
        <v>0</v>
      </c>
      <c r="J3443" s="437"/>
      <c r="K3443" s="472"/>
      <c r="L3443" s="472"/>
      <c r="M3443" s="472"/>
      <c r="N3443" s="472"/>
      <c r="O3443" s="442"/>
      <c r="P3443" s="442"/>
      <c r="Q3443" s="442"/>
      <c r="R3443" s="443"/>
      <c r="S3443" s="364"/>
      <c r="Z3443" s="609" t="s">
        <v>3845</v>
      </c>
      <c r="AA3443" s="609" t="s">
        <v>5674</v>
      </c>
    </row>
    <row r="3444" spans="1:31" s="288" customFormat="1" ht="24.75" thickBot="1">
      <c r="A3444" s="2714"/>
      <c r="B3444" s="371">
        <v>901</v>
      </c>
      <c r="C3444" s="371"/>
      <c r="D3444" s="371"/>
      <c r="E3444" s="2716" t="s">
        <v>2753</v>
      </c>
      <c r="F3444" s="294"/>
      <c r="G3444" s="600" t="s">
        <v>3847</v>
      </c>
      <c r="H3444" s="576"/>
      <c r="I3444" s="349"/>
      <c r="J3444" s="350"/>
      <c r="K3444" s="291"/>
      <c r="L3444" s="291"/>
      <c r="M3444" s="291"/>
      <c r="N3444" s="291"/>
      <c r="Q3444" s="290"/>
      <c r="R3444" s="290"/>
      <c r="S3444" s="364"/>
      <c r="Z3444" s="609" t="s">
        <v>3845</v>
      </c>
      <c r="AA3444" s="609" t="s">
        <v>5674</v>
      </c>
      <c r="AB3444" s="369"/>
      <c r="AC3444" s="369"/>
      <c r="AD3444" s="369"/>
      <c r="AE3444" s="369"/>
    </row>
    <row r="3445" spans="1:31" s="288" customFormat="1" ht="18">
      <c r="A3445" s="2714"/>
      <c r="B3445" s="371"/>
      <c r="C3445" s="371" t="s">
        <v>2755</v>
      </c>
      <c r="D3445" s="371"/>
      <c r="E3445" s="2716"/>
      <c r="F3445" s="294"/>
      <c r="G3445" s="601"/>
      <c r="H3445" s="315"/>
      <c r="I3445" s="315"/>
      <c r="J3445" s="350"/>
      <c r="K3445" s="291"/>
      <c r="L3445" s="291"/>
      <c r="M3445" s="291"/>
      <c r="N3445" s="291"/>
      <c r="Q3445" s="290"/>
      <c r="R3445" s="290"/>
      <c r="S3445" s="364"/>
      <c r="Z3445" s="609" t="s">
        <v>3845</v>
      </c>
      <c r="AA3445" s="609" t="s">
        <v>5674</v>
      </c>
      <c r="AB3445" s="369"/>
      <c r="AC3445" s="369"/>
      <c r="AD3445" s="369"/>
      <c r="AE3445" s="369"/>
    </row>
    <row r="3446" spans="1:31" ht="18">
      <c r="A3446" s="2714">
        <v>2202</v>
      </c>
      <c r="B3446" s="371">
        <v>38</v>
      </c>
      <c r="C3446" s="2716" t="str">
        <f>VLOOKUP($A3446,Sheet_Items,2,0)</f>
        <v>应付账款</v>
      </c>
      <c r="D3446" s="371"/>
      <c r="E3446" s="2716" t="s">
        <v>2739</v>
      </c>
      <c r="F3446" s="294"/>
      <c r="G3446" s="305" t="str">
        <f>B3446&amp;" "&amp;C3446</f>
        <v>38 应付账款</v>
      </c>
      <c r="H3446" s="306"/>
      <c r="I3446" s="306"/>
      <c r="J3446" s="306" t="s">
        <v>2740</v>
      </c>
      <c r="K3446" s="341">
        <f>VLOOKUP($A3446,Sheet_Trialbal,6,0)</f>
        <v>11123454.48</v>
      </c>
      <c r="L3446" s="342"/>
      <c r="M3446" s="306" t="s">
        <v>2741</v>
      </c>
      <c r="N3446" s="341">
        <f>VLOOKUP($A3446,Sheet_Trialbal,10,0)</f>
        <v>8476287.8300000001</v>
      </c>
      <c r="O3446" s="306"/>
      <c r="P3446" s="301"/>
      <c r="S3446" s="364"/>
      <c r="Z3446" s="609" t="s">
        <v>3848</v>
      </c>
      <c r="AA3446" s="609" t="s">
        <v>5675</v>
      </c>
    </row>
    <row r="3447" spans="1:31" ht="18">
      <c r="A3447" s="2714" t="s">
        <v>1416</v>
      </c>
      <c r="B3447" s="371">
        <v>1</v>
      </c>
      <c r="C3447" s="371"/>
      <c r="D3447" s="2716" t="str">
        <f>VLOOKUP($A3447,Sheet_NoteList,2,0)</f>
        <v>应付账款按性质列示</v>
      </c>
      <c r="E3447" s="2716" t="s">
        <v>2742</v>
      </c>
      <c r="F3447" s="294"/>
      <c r="G3447" s="307" t="str">
        <f>"("&amp;B3447&amp;")"&amp;D3447</f>
        <v>(1)应付账款按性质列示</v>
      </c>
      <c r="H3447" s="1517" t="str">
        <f>$A3447</f>
        <v>2202e</v>
      </c>
      <c r="I3447" s="343" t="s">
        <v>2743</v>
      </c>
      <c r="J3447" s="301" t="s">
        <v>2744</v>
      </c>
      <c r="K3447" s="2210">
        <f>H3456</f>
        <v>11123454.48</v>
      </c>
      <c r="L3447" s="345" t="str">
        <f>IF($I3447="适用",IF(ROUND(K$3446-K3447,2)=0,"F/S",ROUND(K$3446-K3447,2)),"#N/A")</f>
        <v>F/S</v>
      </c>
      <c r="M3447" s="301" t="s">
        <v>2745</v>
      </c>
      <c r="N3447" s="2210">
        <f>I3456</f>
        <v>8476287.8300000001</v>
      </c>
      <c r="O3447" s="345" t="str">
        <f>IF($I3447="适用",IF(ROUND(N$3446-N3447,2)=0,"F/S",ROUND(N$3446-N3447,2)),"#N/A")</f>
        <v>F/S</v>
      </c>
      <c r="P3447" s="301"/>
      <c r="Q3447" s="290" t="str">
        <f>IF($I3447="不适用","",IF(ROUND(SUM($H$3450:$I$3456),2)=0,"请输入",""))</f>
        <v/>
      </c>
      <c r="S3447" s="364"/>
      <c r="Z3447" s="609" t="s">
        <v>3848</v>
      </c>
      <c r="AA3447" s="609" t="s">
        <v>5675</v>
      </c>
    </row>
    <row r="3448" spans="1:31" ht="0.75" customHeight="1" thickBot="1">
      <c r="A3448" s="2714"/>
      <c r="B3448" s="371"/>
      <c r="C3448" s="371"/>
      <c r="D3448" s="371"/>
      <c r="E3448" s="586"/>
      <c r="F3448" s="586"/>
      <c r="G3448" s="586" t="s">
        <v>3849</v>
      </c>
      <c r="H3448" s="371" t="s">
        <v>2747</v>
      </c>
      <c r="I3448" s="371" t="s">
        <v>2748</v>
      </c>
      <c r="J3448" s="291"/>
      <c r="K3448" s="291"/>
      <c r="L3448" s="291"/>
      <c r="M3448" s="291"/>
      <c r="S3448" s="364"/>
      <c r="Z3448" s="609" t="s">
        <v>3848</v>
      </c>
      <c r="AA3448" s="609" t="s">
        <v>5675</v>
      </c>
    </row>
    <row r="3449" spans="1:31" ht="18">
      <c r="A3449" s="2714"/>
      <c r="B3449" s="371"/>
      <c r="C3449" s="371"/>
      <c r="D3449" s="371"/>
      <c r="E3449" s="586" t="s">
        <v>2749</v>
      </c>
      <c r="F3449" s="363"/>
      <c r="G3449" s="2362" t="s">
        <v>47</v>
      </c>
      <c r="H3449" s="2225" t="str">
        <f>$V$2</f>
        <v>2019年12月31日</v>
      </c>
      <c r="I3449" s="2226" t="str">
        <f>$V$3</f>
        <v>2018年12月31日</v>
      </c>
      <c r="J3449" s="355" t="s">
        <v>5303</v>
      </c>
      <c r="K3449" s="291"/>
      <c r="L3449" s="291"/>
      <c r="M3449" s="291"/>
      <c r="S3449" s="364"/>
      <c r="Z3449" s="609" t="s">
        <v>3848</v>
      </c>
      <c r="AA3449" s="609" t="s">
        <v>5675</v>
      </c>
    </row>
    <row r="3450" spans="1:31" ht="18">
      <c r="A3450" s="2714"/>
      <c r="B3450" s="371">
        <v>101</v>
      </c>
      <c r="C3450" s="371"/>
      <c r="D3450" s="2716">
        <f t="shared" ref="D3450:D3456" si="401">IF(OR(G3450="*",G3450="",G3450=0),0,COUNTIF($G$3450:$G$3456,G3450))</f>
        <v>1</v>
      </c>
      <c r="E3450" s="2721">
        <v>1</v>
      </c>
      <c r="F3450" s="294"/>
      <c r="G3450" s="1474" t="s">
        <v>3850</v>
      </c>
      <c r="H3450" s="2275">
        <v>10927007.800000001</v>
      </c>
      <c r="I3450" s="2296">
        <v>8371650.4699999997</v>
      </c>
      <c r="J3450" s="291"/>
      <c r="K3450" s="291"/>
      <c r="L3450" s="291"/>
      <c r="M3450" s="291"/>
      <c r="S3450" s="364"/>
      <c r="Z3450" s="609" t="s">
        <v>3848</v>
      </c>
      <c r="AA3450" s="609" t="s">
        <v>5675</v>
      </c>
    </row>
    <row r="3451" spans="1:31" ht="18">
      <c r="A3451" s="2714"/>
      <c r="B3451" s="371">
        <v>102</v>
      </c>
      <c r="C3451" s="371"/>
      <c r="D3451" s="2716">
        <f t="shared" si="401"/>
        <v>1</v>
      </c>
      <c r="E3451" s="2721">
        <v>1</v>
      </c>
      <c r="F3451" s="294"/>
      <c r="G3451" s="1474" t="s">
        <v>3851</v>
      </c>
      <c r="H3451" s="2275">
        <v>196446.68</v>
      </c>
      <c r="I3451" s="2296">
        <v>104637.36</v>
      </c>
      <c r="J3451" s="291"/>
      <c r="K3451" s="291"/>
      <c r="L3451" s="291"/>
      <c r="M3451" s="291"/>
      <c r="S3451" s="364"/>
      <c r="Z3451" s="609" t="s">
        <v>3848</v>
      </c>
      <c r="AA3451" s="609" t="s">
        <v>5675</v>
      </c>
    </row>
    <row r="3452" spans="1:31" ht="18">
      <c r="A3452" s="2714"/>
      <c r="B3452" s="371">
        <v>103</v>
      </c>
      <c r="C3452" s="371"/>
      <c r="D3452" s="2716">
        <f t="shared" si="401"/>
        <v>1</v>
      </c>
      <c r="E3452" s="2721">
        <v>1</v>
      </c>
      <c r="F3452" s="294"/>
      <c r="G3452" s="1474" t="s">
        <v>3852</v>
      </c>
      <c r="H3452" s="2275"/>
      <c r="I3452" s="2296"/>
      <c r="J3452" s="291"/>
      <c r="K3452" s="291"/>
      <c r="L3452" s="291"/>
      <c r="M3452" s="291"/>
      <c r="S3452" s="364"/>
      <c r="Z3452" s="609" t="s">
        <v>3848</v>
      </c>
      <c r="AA3452" s="609" t="s">
        <v>5675</v>
      </c>
    </row>
    <row r="3453" spans="1:31" ht="18">
      <c r="A3453" s="2714"/>
      <c r="B3453" s="371">
        <v>104</v>
      </c>
      <c r="C3453" s="371"/>
      <c r="D3453" s="2716">
        <f t="shared" si="401"/>
        <v>1</v>
      </c>
      <c r="E3453" s="2721">
        <v>1</v>
      </c>
      <c r="F3453" s="294"/>
      <c r="G3453" s="1474" t="s">
        <v>3853</v>
      </c>
      <c r="H3453" s="2275"/>
      <c r="I3453" s="2296"/>
      <c r="J3453" s="291"/>
      <c r="K3453" s="291"/>
      <c r="L3453" s="291"/>
      <c r="M3453" s="291"/>
      <c r="S3453" s="364"/>
      <c r="Z3453" s="609" t="s">
        <v>3848</v>
      </c>
      <c r="AA3453" s="609" t="s">
        <v>5675</v>
      </c>
    </row>
    <row r="3454" spans="1:31" ht="18">
      <c r="A3454" s="2714"/>
      <c r="B3454" s="371">
        <v>105</v>
      </c>
      <c r="C3454" s="371" t="s">
        <v>2791</v>
      </c>
      <c r="D3454" s="2716">
        <f t="shared" si="401"/>
        <v>0</v>
      </c>
      <c r="E3454" s="2721">
        <v>1</v>
      </c>
      <c r="F3454" s="294"/>
      <c r="G3454" s="2375" t="s">
        <v>2792</v>
      </c>
      <c r="H3454" s="2275"/>
      <c r="I3454" s="2296"/>
      <c r="J3454" s="291"/>
      <c r="K3454" s="291"/>
      <c r="L3454" s="291"/>
      <c r="M3454" s="291"/>
      <c r="S3454" s="364"/>
      <c r="Z3454" s="609" t="s">
        <v>3848</v>
      </c>
      <c r="AA3454" s="609" t="s">
        <v>5675</v>
      </c>
    </row>
    <row r="3455" spans="1:31" ht="18">
      <c r="A3455" s="2714"/>
      <c r="B3455" s="371">
        <v>106</v>
      </c>
      <c r="C3455" s="371" t="s">
        <v>2791</v>
      </c>
      <c r="D3455" s="2716">
        <f t="shared" si="401"/>
        <v>0</v>
      </c>
      <c r="E3455" s="2721">
        <v>1</v>
      </c>
      <c r="F3455" s="294"/>
      <c r="G3455" s="2375" t="s">
        <v>2792</v>
      </c>
      <c r="H3455" s="2275"/>
      <c r="I3455" s="2296"/>
      <c r="J3455" s="291"/>
      <c r="K3455" s="291"/>
      <c r="L3455" s="291"/>
      <c r="M3455" s="291"/>
      <c r="S3455" s="364"/>
      <c r="Z3455" s="609" t="s">
        <v>3848</v>
      </c>
      <c r="AA3455" s="609" t="s">
        <v>5675</v>
      </c>
    </row>
    <row r="3456" spans="1:31" ht="18.75" thickBot="1">
      <c r="A3456" s="2714"/>
      <c r="B3456" s="371"/>
      <c r="C3456" s="371"/>
      <c r="D3456" s="2716">
        <f t="shared" si="401"/>
        <v>1</v>
      </c>
      <c r="E3456" s="2721" t="s">
        <v>2751</v>
      </c>
      <c r="F3456" s="294"/>
      <c r="G3456" s="374" t="s">
        <v>2752</v>
      </c>
      <c r="H3456" s="1478">
        <f>SUMPRODUCT($E3449:$E3455,H3449:H3455)</f>
        <v>11123454.48</v>
      </c>
      <c r="I3456" s="1479">
        <f>SUMPRODUCT($E3449:$E3455,I3449:I3455)</f>
        <v>8476287.8300000001</v>
      </c>
      <c r="J3456" s="1533" t="str">
        <f ca="1">HYPERLINK("#'"&amp;$G$1&amp;"'!"&amp;ADDRESS(ROW(Notes!H3469),COLUMN(Notes!H3469),4),"* 请勿删除此行！点击往勾稽单元格，F5+Enter返回")</f>
        <v>* 请勿删除此行！点击往勾稽单元格，F5+Enter返回</v>
      </c>
      <c r="K3456" s="291"/>
      <c r="L3456" s="291"/>
      <c r="M3456" s="291"/>
      <c r="S3456" s="364"/>
      <c r="Z3456" s="609" t="s">
        <v>3848</v>
      </c>
      <c r="AA3456" s="609" t="s">
        <v>5675</v>
      </c>
      <c r="AC3456" s="369" t="s">
        <v>6573</v>
      </c>
    </row>
    <row r="3457" spans="1:27" ht="18">
      <c r="A3457" s="2714"/>
      <c r="B3457" s="371"/>
      <c r="C3457" s="371" t="s">
        <v>2755</v>
      </c>
      <c r="D3457" s="371"/>
      <c r="F3457" s="294"/>
      <c r="G3457" s="301"/>
      <c r="H3457" s="315"/>
      <c r="I3457" s="315"/>
      <c r="J3457" s="291"/>
      <c r="K3457" s="291"/>
      <c r="L3457" s="291"/>
      <c r="M3457" s="291"/>
      <c r="S3457" s="364"/>
      <c r="Z3457" s="609" t="s">
        <v>3848</v>
      </c>
      <c r="AA3457" s="609" t="s">
        <v>5675</v>
      </c>
    </row>
    <row r="3458" spans="1:27" ht="18">
      <c r="A3458" s="2714" t="s">
        <v>1427</v>
      </c>
      <c r="B3458" s="371">
        <v>2</v>
      </c>
      <c r="C3458" s="371"/>
      <c r="D3458" s="2716" t="str">
        <f>VLOOKUP($A3458,Sheet_NoteList,2,0)</f>
        <v>应付账款按账龄列示</v>
      </c>
      <c r="E3458" s="2716" t="s">
        <v>6531</v>
      </c>
      <c r="F3458" s="294"/>
      <c r="G3458" s="307" t="str">
        <f>"("&amp;B3458&amp;")"&amp;D3458</f>
        <v>(2)应付账款按账龄列示</v>
      </c>
      <c r="H3458" s="1517" t="str">
        <f>$A3458</f>
        <v>2202f</v>
      </c>
      <c r="I3458" s="343" t="s">
        <v>5563</v>
      </c>
      <c r="J3458" s="301" t="s">
        <v>5561</v>
      </c>
      <c r="K3458" s="2210">
        <f>H3466</f>
        <v>11123454.48</v>
      </c>
      <c r="L3458" s="345" t="str">
        <f>IF($I3458="适用",IF(ROUND(K$3446-K3458,2)=0,"F/S",ROUND(K$3446-K3458,2)),"#N/A")</f>
        <v>F/S</v>
      </c>
      <c r="M3458" s="301" t="s">
        <v>5562</v>
      </c>
      <c r="N3458" s="2210">
        <f>I3466</f>
        <v>8476287.8300000001</v>
      </c>
      <c r="O3458" s="345" t="str">
        <f>IF($I3458="适用",IF(ROUND(N$3446-N3458,2)=0,"F/S",ROUND(N$3446-N3458,2)),"#N/A")</f>
        <v>F/S</v>
      </c>
      <c r="P3458" s="301"/>
      <c r="S3458" s="364"/>
      <c r="Z3458" s="609" t="s">
        <v>3848</v>
      </c>
      <c r="AA3458" s="609" t="s">
        <v>5675</v>
      </c>
    </row>
    <row r="3459" spans="1:27" ht="0.75" customHeight="1" thickBot="1">
      <c r="A3459" s="2714"/>
      <c r="B3459" s="371"/>
      <c r="C3459" s="371"/>
      <c r="D3459" s="371"/>
      <c r="F3459" s="371"/>
      <c r="G3459" s="371" t="s">
        <v>3854</v>
      </c>
      <c r="H3459" s="371" t="s">
        <v>2747</v>
      </c>
      <c r="I3459" s="371" t="s">
        <v>2748</v>
      </c>
      <c r="J3459" s="291"/>
      <c r="K3459" s="291"/>
      <c r="L3459" s="291"/>
      <c r="M3459" s="291"/>
      <c r="S3459" s="364"/>
      <c r="Z3459" s="609" t="s">
        <v>3848</v>
      </c>
      <c r="AA3459" s="609" t="s">
        <v>5675</v>
      </c>
    </row>
    <row r="3460" spans="1:27" ht="18">
      <c r="A3460" s="2714"/>
      <c r="B3460" s="371"/>
      <c r="C3460" s="371"/>
      <c r="D3460" s="371"/>
      <c r="E3460" s="2716" t="s">
        <v>2749</v>
      </c>
      <c r="F3460" s="294"/>
      <c r="G3460" s="1615" t="s">
        <v>1439</v>
      </c>
      <c r="H3460" s="1613" t="s">
        <v>2775</v>
      </c>
      <c r="I3460" s="1614" t="s">
        <v>2776</v>
      </c>
      <c r="J3460" s="355" t="s">
        <v>6176</v>
      </c>
      <c r="K3460" s="291"/>
      <c r="L3460" s="291"/>
      <c r="M3460" s="291"/>
      <c r="S3460" s="364"/>
      <c r="Z3460" s="609" t="s">
        <v>3848</v>
      </c>
      <c r="AA3460" s="609" t="s">
        <v>5675</v>
      </c>
    </row>
    <row r="3461" spans="1:27" ht="18">
      <c r="A3461" s="2714"/>
      <c r="B3461" s="371">
        <v>101</v>
      </c>
      <c r="C3461" s="371" t="s">
        <v>2791</v>
      </c>
      <c r="D3461" s="2716">
        <f t="shared" ref="D3461:D3466" si="402">IF(OR(G3461="*",G3461="",G3461=0),0,COUNTIF($G$3461:$G$3466,G3461))</f>
        <v>1</v>
      </c>
      <c r="E3461" s="2721">
        <v>1</v>
      </c>
      <c r="F3461" s="294"/>
      <c r="G3461" s="1616" t="s">
        <v>3855</v>
      </c>
      <c r="H3461" s="309">
        <v>10549811.09</v>
      </c>
      <c r="I3461" s="346">
        <v>7864202.21</v>
      </c>
      <c r="J3461" s="579"/>
      <c r="K3461" s="291"/>
      <c r="L3461" s="291"/>
      <c r="M3461" s="291"/>
      <c r="S3461" s="364"/>
      <c r="Z3461" s="609" t="s">
        <v>3848</v>
      </c>
      <c r="AA3461" s="609" t="s">
        <v>5675</v>
      </c>
    </row>
    <row r="3462" spans="1:27" ht="18">
      <c r="A3462" s="2714"/>
      <c r="B3462" s="371">
        <v>102</v>
      </c>
      <c r="C3462" s="371" t="s">
        <v>2791</v>
      </c>
      <c r="D3462" s="2716">
        <f t="shared" si="402"/>
        <v>1</v>
      </c>
      <c r="E3462" s="2721">
        <v>1</v>
      </c>
      <c r="F3462" s="294"/>
      <c r="G3462" s="1616" t="s">
        <v>3856</v>
      </c>
      <c r="H3462" s="309">
        <v>307227.15999999997</v>
      </c>
      <c r="I3462" s="346">
        <v>493587.95</v>
      </c>
      <c r="J3462" s="291"/>
      <c r="K3462" s="291"/>
      <c r="L3462" s="291"/>
      <c r="M3462" s="291"/>
      <c r="S3462" s="364"/>
      <c r="Z3462" s="609" t="s">
        <v>3848</v>
      </c>
      <c r="AA3462" s="609" t="s">
        <v>5675</v>
      </c>
    </row>
    <row r="3463" spans="1:27" ht="18">
      <c r="A3463" s="2714"/>
      <c r="B3463" s="371">
        <v>103</v>
      </c>
      <c r="C3463" s="371" t="s">
        <v>2791</v>
      </c>
      <c r="D3463" s="2716">
        <f t="shared" si="402"/>
        <v>1</v>
      </c>
      <c r="E3463" s="2721">
        <v>1</v>
      </c>
      <c r="F3463" s="294"/>
      <c r="G3463" s="1616" t="s">
        <v>3857</v>
      </c>
      <c r="H3463" s="309">
        <v>148067.44</v>
      </c>
      <c r="I3463" s="346">
        <v>44598.3</v>
      </c>
      <c r="J3463" s="291"/>
      <c r="K3463" s="291"/>
      <c r="L3463" s="291"/>
      <c r="M3463" s="291"/>
      <c r="S3463" s="364"/>
      <c r="Z3463" s="609" t="s">
        <v>3848</v>
      </c>
      <c r="AA3463" s="609" t="s">
        <v>5675</v>
      </c>
    </row>
    <row r="3464" spans="1:27" ht="18">
      <c r="A3464" s="2714"/>
      <c r="B3464" s="371">
        <v>104</v>
      </c>
      <c r="C3464" s="371" t="s">
        <v>2791</v>
      </c>
      <c r="D3464" s="2716">
        <f t="shared" si="402"/>
        <v>1</v>
      </c>
      <c r="E3464" s="2721">
        <v>1</v>
      </c>
      <c r="F3464" s="294"/>
      <c r="G3464" s="1616" t="s">
        <v>3108</v>
      </c>
      <c r="H3464" s="309">
        <v>118348.79</v>
      </c>
      <c r="I3464" s="346">
        <v>73899.37</v>
      </c>
      <c r="J3464" s="291"/>
      <c r="K3464" s="291"/>
      <c r="L3464" s="291"/>
      <c r="M3464" s="291"/>
      <c r="S3464" s="364"/>
      <c r="Z3464" s="609" t="s">
        <v>3848</v>
      </c>
      <c r="AA3464" s="609" t="s">
        <v>5675</v>
      </c>
    </row>
    <row r="3465" spans="1:27" ht="18">
      <c r="A3465" s="2714"/>
      <c r="B3465" s="371">
        <v>105</v>
      </c>
      <c r="C3465" s="371" t="s">
        <v>2791</v>
      </c>
      <c r="D3465" s="2716">
        <f t="shared" si="402"/>
        <v>0</v>
      </c>
      <c r="E3465" s="2721">
        <v>1</v>
      </c>
      <c r="F3465" s="294"/>
      <c r="G3465" s="1616" t="s">
        <v>2792</v>
      </c>
      <c r="H3465" s="309"/>
      <c r="I3465" s="346"/>
      <c r="J3465" s="291"/>
      <c r="K3465" s="291"/>
      <c r="L3465" s="291"/>
      <c r="M3465" s="291"/>
      <c r="S3465" s="364"/>
      <c r="Z3465" s="609" t="s">
        <v>3848</v>
      </c>
      <c r="AA3465" s="609" t="s">
        <v>5675</v>
      </c>
    </row>
    <row r="3466" spans="1:27" ht="18.75" thickBot="1">
      <c r="A3466" s="2714"/>
      <c r="B3466" s="371"/>
      <c r="C3466" s="371"/>
      <c r="D3466" s="2716">
        <f t="shared" si="402"/>
        <v>1</v>
      </c>
      <c r="E3466" s="2721" t="s">
        <v>2751</v>
      </c>
      <c r="F3466" s="294"/>
      <c r="G3466" s="1529" t="s">
        <v>2752</v>
      </c>
      <c r="H3466" s="1527">
        <f>SUMPRODUCT($E3460:$E3465,H3460:H3465)</f>
        <v>11123454.48</v>
      </c>
      <c r="I3466" s="1528">
        <f>SUMPRODUCT($E3460:$E3465,I3460:I3465)</f>
        <v>8476287.8300000001</v>
      </c>
      <c r="J3466" s="291"/>
      <c r="K3466" s="291"/>
      <c r="L3466" s="291"/>
      <c r="M3466" s="291"/>
      <c r="S3466" s="364"/>
      <c r="Z3466" s="609" t="s">
        <v>3848</v>
      </c>
      <c r="AA3466" s="609" t="s">
        <v>5675</v>
      </c>
    </row>
    <row r="3467" spans="1:27" ht="18.75" thickBot="1">
      <c r="A3467" s="2714"/>
      <c r="B3467" s="371"/>
      <c r="C3467" s="371" t="s">
        <v>2755</v>
      </c>
      <c r="D3467" s="371"/>
      <c r="F3467" s="294"/>
      <c r="G3467" s="301"/>
      <c r="H3467" s="527" t="s">
        <v>3002</v>
      </c>
      <c r="I3467" s="527" t="s">
        <v>3002</v>
      </c>
      <c r="J3467" s="291"/>
      <c r="K3467" s="291"/>
      <c r="L3467" s="291"/>
      <c r="M3467" s="291"/>
      <c r="S3467" s="364"/>
      <c r="Z3467" s="609" t="s">
        <v>3848</v>
      </c>
      <c r="AA3467" s="609" t="s">
        <v>5675</v>
      </c>
    </row>
    <row r="3468" spans="1:27" ht="18.75" thickTop="1">
      <c r="A3468" s="2714"/>
      <c r="B3468" s="371"/>
      <c r="C3468" s="371" t="s">
        <v>2565</v>
      </c>
      <c r="D3468" s="371"/>
      <c r="F3468" s="294"/>
      <c r="G3468" s="1561" t="s">
        <v>5367</v>
      </c>
      <c r="H3468" s="1550" t="str">
        <f>G3447</f>
        <v>(1)应付账款按性质列示</v>
      </c>
      <c r="I3468" s="1552"/>
      <c r="J3468" s="1553" t="s">
        <v>5368</v>
      </c>
      <c r="K3468" s="291"/>
      <c r="L3468" s="291"/>
      <c r="M3468" s="291"/>
      <c r="S3468" s="364"/>
      <c r="Z3468" s="609" t="s">
        <v>3848</v>
      </c>
      <c r="AA3468" s="609" t="s">
        <v>5675</v>
      </c>
    </row>
    <row r="3469" spans="1:27" ht="18">
      <c r="A3469" s="2714"/>
      <c r="B3469" s="371"/>
      <c r="C3469" s="371" t="s">
        <v>2565</v>
      </c>
      <c r="D3469" s="371"/>
      <c r="F3469" s="294"/>
      <c r="G3469" s="316" t="str">
        <f>"注释A:"&amp; G3456</f>
        <v>注释A:合       计</v>
      </c>
      <c r="H3469" s="2252">
        <f ca="1">HYPERLINK("#'"&amp;$G$1&amp;"'!"&amp;ADDRESS(ROW(Notes!H3456),COLUMN(Notes!H3456),4),H3456)</f>
        <v>11123454.48</v>
      </c>
      <c r="I3469" s="2252">
        <f ca="1">HYPERLINK("#'"&amp;$G$1&amp;"'!"&amp;ADDRESS(ROW(Notes!I3456),COLUMN(Notes!I3456),4),I3456)</f>
        <v>8476287.8300000001</v>
      </c>
      <c r="J3469" s="2632" t="str">
        <f>H3447</f>
        <v>2202e</v>
      </c>
      <c r="K3469" s="291"/>
      <c r="L3469" s="291"/>
      <c r="M3469" s="291"/>
      <c r="S3469" s="364"/>
      <c r="Z3469" s="609" t="s">
        <v>3848</v>
      </c>
      <c r="AA3469" s="609" t="s">
        <v>5675</v>
      </c>
    </row>
    <row r="3470" spans="1:27" ht="18">
      <c r="A3470" s="2714"/>
      <c r="B3470" s="371"/>
      <c r="C3470" s="371" t="s">
        <v>2565</v>
      </c>
      <c r="D3470" s="371"/>
      <c r="F3470" s="294"/>
      <c r="G3470" s="316" t="str">
        <f>"本注释B:"&amp; G3466</f>
        <v>本注释B:合       计</v>
      </c>
      <c r="H3470" s="456">
        <f>H3466</f>
        <v>11123454.48</v>
      </c>
      <c r="I3470" s="456">
        <f>I3466</f>
        <v>8476287.8300000001</v>
      </c>
      <c r="J3470" s="2638" t="s">
        <v>1427</v>
      </c>
      <c r="K3470" s="291"/>
      <c r="L3470" s="291"/>
      <c r="M3470" s="291"/>
      <c r="S3470" s="364"/>
      <c r="Z3470" s="609" t="s">
        <v>3848</v>
      </c>
      <c r="AA3470" s="609" t="s">
        <v>5675</v>
      </c>
    </row>
    <row r="3471" spans="1:27" ht="18.75" thickBot="1">
      <c r="A3471" s="2714"/>
      <c r="B3471" s="371"/>
      <c r="C3471" s="371" t="s">
        <v>2565</v>
      </c>
      <c r="D3471" s="371"/>
      <c r="F3471" s="294"/>
      <c r="G3471" s="1562" t="s">
        <v>2757</v>
      </c>
      <c r="H3471" s="1531">
        <f ca="1">IF(AND(H3469="",H3470=""),"",ROUND(H3469-H3470,2))</f>
        <v>0</v>
      </c>
      <c r="I3471" s="1531">
        <f ca="1">IF(AND(I3469="",I3470=""),"",ROUND(I3469-I3470,2))</f>
        <v>0</v>
      </c>
      <c r="J3471" s="1555"/>
      <c r="K3471" s="291"/>
      <c r="L3471" s="291"/>
      <c r="M3471" s="291"/>
      <c r="S3471" s="364"/>
      <c r="Z3471" s="609" t="s">
        <v>3848</v>
      </c>
      <c r="AA3471" s="609" t="s">
        <v>5675</v>
      </c>
    </row>
    <row r="3472" spans="1:27" ht="18.75" thickTop="1">
      <c r="A3472" s="2714"/>
      <c r="B3472" s="371"/>
      <c r="C3472" s="371" t="s">
        <v>2565</v>
      </c>
      <c r="D3472" s="371"/>
      <c r="F3472" s="294"/>
      <c r="G3472" s="354"/>
      <c r="H3472" s="459" t="str">
        <f ca="1">IF(OR(H3471=0,H3471=""),"√","？")</f>
        <v>√</v>
      </c>
      <c r="I3472" s="459" t="str">
        <f ca="1">IF(OR(I3471=0,I3471=""),"√","？")</f>
        <v>√</v>
      </c>
      <c r="J3472" s="354"/>
      <c r="K3472" s="291"/>
      <c r="L3472" s="291"/>
      <c r="M3472" s="291"/>
      <c r="S3472" s="364"/>
      <c r="Z3472" s="609" t="s">
        <v>3848</v>
      </c>
      <c r="AA3472" s="609" t="s">
        <v>5675</v>
      </c>
    </row>
    <row r="3473" spans="1:27" ht="18">
      <c r="A3473" s="2714"/>
      <c r="B3473" s="371"/>
      <c r="C3473" s="371" t="s">
        <v>2565</v>
      </c>
      <c r="D3473" s="371"/>
      <c r="F3473" s="294"/>
      <c r="G3473" s="460" t="s">
        <v>2759</v>
      </c>
      <c r="H3473" s="461"/>
      <c r="I3473" s="461"/>
      <c r="J3473" s="354"/>
      <c r="K3473" s="345">
        <f ca="1">SUMIF($H$3472:$J$3472,"&lt;&gt;√",$H$3471:$J$3471)</f>
        <v>0</v>
      </c>
      <c r="L3473" s="475" t="str">
        <f ca="1">IF(OR(K3473=0,K3473=""),"√","？")</f>
        <v>√</v>
      </c>
      <c r="M3473" s="291"/>
      <c r="S3473" s="364"/>
      <c r="Z3473" s="609" t="s">
        <v>3848</v>
      </c>
      <c r="AA3473" s="609" t="s">
        <v>5675</v>
      </c>
    </row>
    <row r="3474" spans="1:27" ht="18">
      <c r="A3474" s="2714"/>
      <c r="B3474" s="371"/>
      <c r="C3474" s="371" t="s">
        <v>2565</v>
      </c>
      <c r="D3474" s="371"/>
      <c r="F3474" s="294"/>
      <c r="G3474" s="354"/>
      <c r="H3474" s="461"/>
      <c r="I3474" s="461"/>
      <c r="J3474" s="354"/>
      <c r="K3474" s="291"/>
      <c r="L3474" s="291"/>
      <c r="M3474" s="291"/>
      <c r="S3474" s="364"/>
      <c r="Z3474" s="609" t="s">
        <v>3848</v>
      </c>
      <c r="AA3474" s="609" t="s">
        <v>5675</v>
      </c>
    </row>
    <row r="3475" spans="1:27" ht="24">
      <c r="A3475" s="2714" t="s">
        <v>1421</v>
      </c>
      <c r="B3475" s="371">
        <v>3</v>
      </c>
      <c r="C3475" s="371"/>
      <c r="D3475" s="2716" t="str">
        <f>VLOOKUP($A3475,Sheet_NoteList,2,0)</f>
        <v>期末账龄超过1年的重要应付账款</v>
      </c>
      <c r="E3475" s="2716" t="s">
        <v>2742</v>
      </c>
      <c r="F3475" s="294"/>
      <c r="G3475" s="372" t="str">
        <f>"("&amp;B3475&amp;")"&amp;D3475</f>
        <v>(3)期末账龄超过1年的重要应付账款</v>
      </c>
      <c r="H3475" s="1517" t="str">
        <f>$A3475</f>
        <v>2202a</v>
      </c>
      <c r="I3475" s="343" t="s">
        <v>2743</v>
      </c>
      <c r="J3475" s="301" t="s">
        <v>2744</v>
      </c>
      <c r="K3475" s="2210">
        <f>H3483</f>
        <v>0</v>
      </c>
      <c r="L3475" s="345" t="str">
        <f>IF($I3475="适用",IF(ROUND(K3457-K3475,2)&gt;=0,"","#Logical!"),"#N/A")</f>
        <v/>
      </c>
      <c r="M3475" s="301"/>
      <c r="N3475" s="3083"/>
      <c r="O3475" s="315"/>
      <c r="P3475" s="301"/>
      <c r="Q3475" s="290" t="str">
        <f>IF($I3475="不适用","",IF(ROUND(SUM($H$3478:$I$3483),2)=0,"请输入",""))</f>
        <v>请输入</v>
      </c>
      <c r="S3475" s="364"/>
      <c r="Z3475" s="609" t="s">
        <v>3848</v>
      </c>
      <c r="AA3475" s="609" t="s">
        <v>5675</v>
      </c>
    </row>
    <row r="3476" spans="1:27" ht="0.75" customHeight="1" thickBot="1">
      <c r="A3476" s="2714"/>
      <c r="B3476" s="371"/>
      <c r="C3476" s="371"/>
      <c r="D3476" s="371"/>
      <c r="E3476" s="586"/>
      <c r="F3476" s="586"/>
      <c r="G3476" s="586" t="s">
        <v>3858</v>
      </c>
      <c r="H3476" s="371" t="s">
        <v>2747</v>
      </c>
      <c r="I3476" s="371" t="s">
        <v>3859</v>
      </c>
      <c r="K3476" s="291"/>
      <c r="L3476" s="291"/>
      <c r="M3476" s="291"/>
      <c r="N3476" s="291"/>
      <c r="S3476" s="364"/>
      <c r="Z3476" s="609" t="s">
        <v>3848</v>
      </c>
      <c r="AA3476" s="609" t="s">
        <v>5675</v>
      </c>
    </row>
    <row r="3477" spans="1:27" ht="24">
      <c r="A3477" s="2714"/>
      <c r="B3477" s="371"/>
      <c r="C3477" s="371"/>
      <c r="D3477" s="371"/>
      <c r="E3477" s="586" t="s">
        <v>2749</v>
      </c>
      <c r="F3477" s="363"/>
      <c r="G3477" s="2362" t="s">
        <v>47</v>
      </c>
      <c r="H3477" s="2475" t="str">
        <f>$V$2</f>
        <v>2019年12月31日</v>
      </c>
      <c r="I3477" s="2373" t="s">
        <v>3860</v>
      </c>
      <c r="J3477" s="355" t="s">
        <v>5303</v>
      </c>
      <c r="K3477" s="291"/>
      <c r="L3477" s="291"/>
      <c r="M3477" s="291"/>
      <c r="N3477" s="291"/>
      <c r="S3477" s="364"/>
      <c r="Z3477" s="609" t="s">
        <v>3848</v>
      </c>
      <c r="AA3477" s="609" t="s">
        <v>5675</v>
      </c>
    </row>
    <row r="3478" spans="1:27" ht="18">
      <c r="A3478" s="2714"/>
      <c r="B3478" s="371">
        <v>101</v>
      </c>
      <c r="C3478" s="371" t="s">
        <v>2791</v>
      </c>
      <c r="D3478" s="2716">
        <f t="shared" ref="D3478:D3483" si="403">IF(OR(G3478="*",G3478="",G3478=0),0,COUNTIF($G$3478:$G$3483,G3478))</f>
        <v>0</v>
      </c>
      <c r="E3478" s="2721">
        <v>1</v>
      </c>
      <c r="F3478" s="294"/>
      <c r="G3478" s="2375" t="s">
        <v>2792</v>
      </c>
      <c r="H3478" s="2275"/>
      <c r="I3478" s="2276"/>
      <c r="K3478" s="291"/>
      <c r="L3478" s="291"/>
      <c r="M3478" s="291"/>
      <c r="N3478" s="291"/>
      <c r="S3478" s="364"/>
      <c r="Z3478" s="609" t="s">
        <v>3848</v>
      </c>
      <c r="AA3478" s="609" t="s">
        <v>5675</v>
      </c>
    </row>
    <row r="3479" spans="1:27" ht="18">
      <c r="A3479" s="2714"/>
      <c r="B3479" s="371">
        <v>102</v>
      </c>
      <c r="C3479" s="371" t="s">
        <v>2791</v>
      </c>
      <c r="D3479" s="2716">
        <f t="shared" si="403"/>
        <v>0</v>
      </c>
      <c r="E3479" s="2721">
        <v>1</v>
      </c>
      <c r="F3479" s="294"/>
      <c r="G3479" s="2375" t="s">
        <v>2792</v>
      </c>
      <c r="H3479" s="2275"/>
      <c r="I3479" s="2276"/>
      <c r="K3479" s="291"/>
      <c r="L3479" s="291"/>
      <c r="M3479" s="291"/>
      <c r="N3479" s="291"/>
      <c r="S3479" s="364"/>
      <c r="Z3479" s="609" t="s">
        <v>3848</v>
      </c>
      <c r="AA3479" s="609" t="s">
        <v>5675</v>
      </c>
    </row>
    <row r="3480" spans="1:27" ht="18">
      <c r="A3480" s="2714"/>
      <c r="B3480" s="371">
        <v>103</v>
      </c>
      <c r="C3480" s="371" t="s">
        <v>2791</v>
      </c>
      <c r="D3480" s="2716">
        <f t="shared" si="403"/>
        <v>0</v>
      </c>
      <c r="E3480" s="2721">
        <v>1</v>
      </c>
      <c r="F3480" s="294"/>
      <c r="G3480" s="2375" t="s">
        <v>2792</v>
      </c>
      <c r="H3480" s="2275"/>
      <c r="I3480" s="2276"/>
      <c r="K3480" s="291"/>
      <c r="L3480" s="291"/>
      <c r="M3480" s="291"/>
      <c r="N3480" s="291"/>
      <c r="S3480" s="364"/>
      <c r="Z3480" s="609" t="s">
        <v>3848</v>
      </c>
      <c r="AA3480" s="609" t="s">
        <v>5675</v>
      </c>
    </row>
    <row r="3481" spans="1:27" ht="18">
      <c r="A3481" s="2714"/>
      <c r="B3481" s="371">
        <v>104</v>
      </c>
      <c r="C3481" s="371" t="s">
        <v>2791</v>
      </c>
      <c r="D3481" s="2716">
        <f t="shared" si="403"/>
        <v>0</v>
      </c>
      <c r="E3481" s="2721">
        <v>1</v>
      </c>
      <c r="F3481" s="294"/>
      <c r="G3481" s="2375" t="s">
        <v>2792</v>
      </c>
      <c r="H3481" s="2275"/>
      <c r="I3481" s="2276"/>
      <c r="K3481" s="291"/>
      <c r="L3481" s="291"/>
      <c r="M3481" s="291"/>
      <c r="N3481" s="291"/>
      <c r="S3481" s="364"/>
      <c r="Z3481" s="609" t="s">
        <v>3848</v>
      </c>
      <c r="AA3481" s="609" t="s">
        <v>5675</v>
      </c>
    </row>
    <row r="3482" spans="1:27" ht="18">
      <c r="A3482" s="2714"/>
      <c r="B3482" s="371">
        <v>105</v>
      </c>
      <c r="C3482" s="371" t="s">
        <v>2791</v>
      </c>
      <c r="D3482" s="2716">
        <f t="shared" si="403"/>
        <v>0</v>
      </c>
      <c r="E3482" s="2721">
        <v>1</v>
      </c>
      <c r="F3482" s="294"/>
      <c r="G3482" s="2375" t="s">
        <v>2792</v>
      </c>
      <c r="H3482" s="2275"/>
      <c r="I3482" s="2276"/>
      <c r="K3482" s="291"/>
      <c r="L3482" s="291"/>
      <c r="M3482" s="291"/>
      <c r="N3482" s="291"/>
      <c r="S3482" s="364"/>
      <c r="Z3482" s="609" t="s">
        <v>3848</v>
      </c>
      <c r="AA3482" s="609" t="s">
        <v>5675</v>
      </c>
    </row>
    <row r="3483" spans="1:27" ht="18.75" thickBot="1">
      <c r="A3483" s="2714"/>
      <c r="B3483" s="371"/>
      <c r="C3483" s="371"/>
      <c r="D3483" s="2716">
        <f t="shared" si="403"/>
        <v>1</v>
      </c>
      <c r="E3483" s="2721" t="s">
        <v>2751</v>
      </c>
      <c r="F3483" s="294"/>
      <c r="G3483" s="374" t="s">
        <v>2752</v>
      </c>
      <c r="H3483" s="1478">
        <f>SUMPRODUCT($E3477:$E3482,H3477:H3482)</f>
        <v>0</v>
      </c>
      <c r="I3483" s="2260"/>
      <c r="K3483" s="291"/>
      <c r="L3483" s="291"/>
      <c r="M3483" s="291"/>
      <c r="N3483" s="291"/>
      <c r="S3483" s="364"/>
      <c r="Z3483" s="609" t="s">
        <v>3848</v>
      </c>
      <c r="AA3483" s="609" t="s">
        <v>5675</v>
      </c>
    </row>
    <row r="3484" spans="1:27" ht="18">
      <c r="A3484" s="2714"/>
      <c r="B3484" s="371"/>
      <c r="C3484" s="371" t="s">
        <v>2755</v>
      </c>
      <c r="D3484" s="371"/>
      <c r="F3484" s="294"/>
      <c r="G3484" s="301"/>
      <c r="H3484" s="315"/>
      <c r="I3484" s="393"/>
      <c r="J3484" s="350"/>
      <c r="K3484" s="291"/>
      <c r="L3484" s="291"/>
      <c r="M3484" s="291"/>
      <c r="N3484" s="291"/>
      <c r="S3484" s="364"/>
      <c r="Z3484" s="609" t="s">
        <v>3848</v>
      </c>
      <c r="AA3484" s="609" t="s">
        <v>5675</v>
      </c>
    </row>
    <row r="3485" spans="1:27" ht="18">
      <c r="A3485" s="2714" t="s">
        <v>1437</v>
      </c>
      <c r="B3485" s="371">
        <v>4</v>
      </c>
      <c r="C3485" s="371"/>
      <c r="D3485" s="2716" t="str">
        <f>VLOOKUP($A3485,Sheet_NoteList,2,0)</f>
        <v>外币应付账款</v>
      </c>
      <c r="E3485" s="2716" t="s">
        <v>6531</v>
      </c>
      <c r="F3485" s="294"/>
      <c r="G3485" s="307" t="str">
        <f>"("&amp;B3485&amp;")"&amp;D3485</f>
        <v>(4)外币应付账款</v>
      </c>
      <c r="H3485" s="1517" t="str">
        <f>$A3485</f>
        <v>2202d</v>
      </c>
      <c r="I3485" s="343" t="s">
        <v>5578</v>
      </c>
      <c r="J3485" s="301" t="s">
        <v>5577</v>
      </c>
      <c r="K3485" s="2210">
        <f>J3493</f>
        <v>0</v>
      </c>
      <c r="L3485" s="345"/>
      <c r="M3485" s="301"/>
      <c r="N3485" s="391"/>
      <c r="O3485" s="345" t="str">
        <f>IF($I3485="适用",IF(ROUND(N$3446-N3485,2)&gt;=0,"","#Logical!"),"#N/A")</f>
        <v/>
      </c>
      <c r="P3485" s="301"/>
      <c r="Q3485" s="290" t="str">
        <f>IF($I3485="不适用","",IF(ROUND(SUM($H$3488:$J$3493),2)=0,"请输入",""))</f>
        <v>请输入</v>
      </c>
      <c r="S3485" s="364"/>
      <c r="Z3485" s="609" t="s">
        <v>3848</v>
      </c>
      <c r="AA3485" s="609" t="s">
        <v>5675</v>
      </c>
    </row>
    <row r="3486" spans="1:27" ht="0.75" customHeight="1" thickBot="1">
      <c r="A3486" s="2714"/>
      <c r="B3486" s="371"/>
      <c r="C3486" s="371"/>
      <c r="D3486" s="371"/>
      <c r="F3486" s="304"/>
      <c r="G3486" s="304" t="s">
        <v>3861</v>
      </c>
      <c r="H3486" s="304" t="s">
        <v>3073</v>
      </c>
      <c r="I3486" s="304" t="s">
        <v>3074</v>
      </c>
      <c r="J3486" s="304" t="s">
        <v>3075</v>
      </c>
      <c r="K3486" s="387"/>
      <c r="L3486" s="291"/>
      <c r="M3486" s="291"/>
      <c r="N3486" s="291"/>
      <c r="O3486" s="291"/>
      <c r="P3486" s="291"/>
      <c r="Q3486" s="367"/>
      <c r="R3486" s="367"/>
      <c r="S3486" s="364"/>
      <c r="Z3486" s="609" t="s">
        <v>3848</v>
      </c>
      <c r="AA3486" s="609" t="s">
        <v>5675</v>
      </c>
    </row>
    <row r="3487" spans="1:27" ht="24">
      <c r="A3487" s="2714"/>
      <c r="B3487" s="371"/>
      <c r="C3487" s="371"/>
      <c r="D3487" s="371"/>
      <c r="E3487" s="2716" t="s">
        <v>2749</v>
      </c>
      <c r="F3487" s="294"/>
      <c r="G3487" s="1624" t="s">
        <v>1371</v>
      </c>
      <c r="H3487" s="1622" t="s">
        <v>3076</v>
      </c>
      <c r="I3487" s="1622" t="s">
        <v>3077</v>
      </c>
      <c r="J3487" s="1623" t="s">
        <v>3078</v>
      </c>
      <c r="K3487" s="355" t="s">
        <v>5604</v>
      </c>
      <c r="L3487" s="291"/>
      <c r="M3487" s="291"/>
      <c r="N3487" s="291"/>
      <c r="O3487" s="291"/>
      <c r="P3487" s="291"/>
      <c r="Q3487" s="367"/>
      <c r="R3487" s="367"/>
      <c r="S3487" s="364"/>
      <c r="Z3487" s="609" t="s">
        <v>3848</v>
      </c>
      <c r="AA3487" s="609" t="s">
        <v>5675</v>
      </c>
    </row>
    <row r="3488" spans="1:27" ht="18">
      <c r="A3488" s="2714"/>
      <c r="B3488" s="371">
        <v>101</v>
      </c>
      <c r="C3488" s="371" t="s">
        <v>2791</v>
      </c>
      <c r="D3488" s="2716">
        <f t="shared" ref="D3488:D3493" si="404">IF(OR(G3488="*",G3488="",G3488=0),0,COUNTIF($G$3488:$G$3493,G3488))</f>
        <v>1</v>
      </c>
      <c r="E3488" s="2721">
        <v>1</v>
      </c>
      <c r="F3488" s="294"/>
      <c r="G3488" s="1625" t="s">
        <v>3079</v>
      </c>
      <c r="H3488" s="309"/>
      <c r="I3488" s="360"/>
      <c r="J3488" s="346"/>
      <c r="K3488" s="355" t="s">
        <v>5364</v>
      </c>
      <c r="L3488" s="1522" t="s">
        <v>5365</v>
      </c>
      <c r="M3488" s="291"/>
      <c r="N3488" s="291"/>
      <c r="O3488" s="291"/>
      <c r="P3488" s="291"/>
      <c r="Q3488" s="367"/>
      <c r="R3488" s="367"/>
      <c r="S3488" s="364"/>
      <c r="Z3488" s="609" t="s">
        <v>3848</v>
      </c>
      <c r="AA3488" s="609" t="s">
        <v>5675</v>
      </c>
    </row>
    <row r="3489" spans="1:27" ht="18">
      <c r="A3489" s="2714"/>
      <c r="B3489" s="371">
        <v>102</v>
      </c>
      <c r="C3489" s="371" t="s">
        <v>2791</v>
      </c>
      <c r="D3489" s="2716">
        <f t="shared" si="404"/>
        <v>1</v>
      </c>
      <c r="E3489" s="2721">
        <v>1</v>
      </c>
      <c r="F3489" s="294"/>
      <c r="G3489" s="1625" t="s">
        <v>3080</v>
      </c>
      <c r="H3489" s="309"/>
      <c r="I3489" s="360"/>
      <c r="J3489" s="346"/>
      <c r="K3489" s="291"/>
      <c r="L3489" s="291"/>
      <c r="M3489" s="291"/>
      <c r="N3489" s="291"/>
      <c r="O3489" s="291"/>
      <c r="P3489" s="291"/>
      <c r="Q3489" s="367"/>
      <c r="R3489" s="367"/>
      <c r="S3489" s="364"/>
      <c r="Z3489" s="609" t="s">
        <v>3848</v>
      </c>
      <c r="AA3489" s="609" t="s">
        <v>5675</v>
      </c>
    </row>
    <row r="3490" spans="1:27" ht="18">
      <c r="A3490" s="2714"/>
      <c r="B3490" s="371">
        <v>103</v>
      </c>
      <c r="C3490" s="371" t="s">
        <v>2791</v>
      </c>
      <c r="D3490" s="2716">
        <f t="shared" si="404"/>
        <v>1</v>
      </c>
      <c r="E3490" s="2721">
        <v>1</v>
      </c>
      <c r="F3490" s="294"/>
      <c r="G3490" s="1625" t="s">
        <v>3081</v>
      </c>
      <c r="H3490" s="309"/>
      <c r="I3490" s="360"/>
      <c r="J3490" s="346"/>
      <c r="K3490" s="291"/>
      <c r="L3490" s="291"/>
      <c r="M3490" s="291"/>
      <c r="N3490" s="291"/>
      <c r="O3490" s="291"/>
      <c r="P3490" s="291"/>
      <c r="Q3490" s="367"/>
      <c r="R3490" s="367"/>
      <c r="S3490" s="364"/>
      <c r="Z3490" s="609" t="s">
        <v>3848</v>
      </c>
      <c r="AA3490" s="609" t="s">
        <v>5675</v>
      </c>
    </row>
    <row r="3491" spans="1:27" ht="18">
      <c r="A3491" s="2714"/>
      <c r="B3491" s="371">
        <v>104</v>
      </c>
      <c r="C3491" s="371" t="s">
        <v>2791</v>
      </c>
      <c r="D3491" s="2716">
        <f t="shared" si="404"/>
        <v>0</v>
      </c>
      <c r="E3491" s="2721">
        <v>1</v>
      </c>
      <c r="F3491" s="294"/>
      <c r="G3491" s="1625" t="s">
        <v>2792</v>
      </c>
      <c r="H3491" s="309"/>
      <c r="I3491" s="360"/>
      <c r="J3491" s="346"/>
      <c r="K3491" s="291"/>
      <c r="L3491" s="291"/>
      <c r="M3491" s="291"/>
      <c r="N3491" s="291"/>
      <c r="O3491" s="291"/>
      <c r="P3491" s="291"/>
      <c r="Q3491" s="367"/>
      <c r="R3491" s="367"/>
      <c r="S3491" s="364"/>
      <c r="Z3491" s="609" t="s">
        <v>3848</v>
      </c>
      <c r="AA3491" s="609" t="s">
        <v>5675</v>
      </c>
    </row>
    <row r="3492" spans="1:27" ht="18">
      <c r="A3492" s="2714"/>
      <c r="B3492" s="371">
        <v>105</v>
      </c>
      <c r="C3492" s="371" t="s">
        <v>2791</v>
      </c>
      <c r="D3492" s="2716">
        <f t="shared" si="404"/>
        <v>0</v>
      </c>
      <c r="E3492" s="2721">
        <v>1</v>
      </c>
      <c r="F3492" s="294"/>
      <c r="G3492" s="1625" t="s">
        <v>2792</v>
      </c>
      <c r="H3492" s="309"/>
      <c r="I3492" s="360"/>
      <c r="J3492" s="346"/>
      <c r="K3492" s="291"/>
      <c r="L3492" s="291"/>
      <c r="M3492" s="291"/>
      <c r="N3492" s="291"/>
      <c r="O3492" s="291"/>
      <c r="P3492" s="291"/>
      <c r="Q3492" s="367"/>
      <c r="R3492" s="367"/>
      <c r="S3492" s="364"/>
      <c r="Z3492" s="609" t="s">
        <v>3848</v>
      </c>
      <c r="AA3492" s="609" t="s">
        <v>5675</v>
      </c>
    </row>
    <row r="3493" spans="1:27" ht="18.75" thickBot="1">
      <c r="A3493" s="2714"/>
      <c r="B3493" s="371"/>
      <c r="C3493" s="371"/>
      <c r="D3493" s="2716">
        <f t="shared" si="404"/>
        <v>1</v>
      </c>
      <c r="E3493" s="2721" t="s">
        <v>3032</v>
      </c>
      <c r="F3493" s="294"/>
      <c r="G3493" s="1529" t="s">
        <v>2752</v>
      </c>
      <c r="H3493" s="1525"/>
      <c r="I3493" s="1526"/>
      <c r="J3493" s="1528">
        <f>SUMPRODUCT($E3487:$E3492,J3487:J3492)</f>
        <v>0</v>
      </c>
      <c r="K3493" s="291"/>
      <c r="L3493" s="291"/>
      <c r="M3493" s="291"/>
      <c r="N3493" s="291"/>
      <c r="O3493" s="291"/>
      <c r="P3493" s="291"/>
      <c r="Q3493" s="367"/>
      <c r="R3493" s="367"/>
      <c r="S3493" s="364"/>
      <c r="Z3493" s="609" t="s">
        <v>3848</v>
      </c>
      <c r="AA3493" s="609" t="s">
        <v>5675</v>
      </c>
    </row>
    <row r="3494" spans="1:27" ht="18">
      <c r="A3494" s="2714"/>
      <c r="B3494" s="371"/>
      <c r="C3494" s="371" t="s">
        <v>2755</v>
      </c>
      <c r="D3494" s="371"/>
      <c r="F3494" s="294"/>
      <c r="G3494" s="301"/>
      <c r="H3494" s="315"/>
      <c r="I3494" s="393"/>
      <c r="J3494" s="315"/>
      <c r="K3494" s="291"/>
      <c r="L3494" s="291"/>
      <c r="M3494" s="291"/>
      <c r="N3494" s="291"/>
      <c r="O3494" s="291"/>
      <c r="P3494" s="291"/>
      <c r="Q3494" s="367"/>
      <c r="R3494" s="367"/>
      <c r="S3494" s="364"/>
      <c r="Z3494" s="609" t="s">
        <v>3848</v>
      </c>
      <c r="AA3494" s="609" t="s">
        <v>5675</v>
      </c>
    </row>
    <row r="3495" spans="1:27" ht="24">
      <c r="A3495" s="2714" t="s">
        <v>1432</v>
      </c>
      <c r="B3495" s="371">
        <v>5</v>
      </c>
      <c r="C3495" s="371"/>
      <c r="D3495" s="2716" t="str">
        <f>VLOOKUP($A3495,Sheet_NoteList,2,0)</f>
        <v>关联方应收应付款项——应付账款</v>
      </c>
      <c r="E3495" s="2716" t="s">
        <v>6531</v>
      </c>
      <c r="F3495" s="294"/>
      <c r="G3495" s="372" t="str">
        <f>"("&amp;B3495&amp;")"&amp;D3495</f>
        <v>(5)关联方应收应付款项——应付账款</v>
      </c>
      <c r="H3495" s="1517" t="str">
        <f>$A3495</f>
        <v>2202c</v>
      </c>
      <c r="I3495" s="343" t="s">
        <v>5612</v>
      </c>
      <c r="J3495" s="301"/>
      <c r="K3495" s="3083"/>
      <c r="L3495" s="315"/>
      <c r="M3495" s="301"/>
      <c r="N3495" s="3083"/>
      <c r="O3495" s="315"/>
      <c r="P3495" s="301"/>
      <c r="Q3495" s="290" t="str">
        <f>IF($I3495="不适用","",IF(ROUND(SUM($H$3498:$I$3503),2)=0,"请输入",""))</f>
        <v>请输入</v>
      </c>
      <c r="S3495" s="364"/>
      <c r="Z3495" s="609" t="s">
        <v>3848</v>
      </c>
      <c r="AA3495" s="609" t="s">
        <v>5675</v>
      </c>
    </row>
    <row r="3496" spans="1:27" ht="0.75" customHeight="1" thickBot="1">
      <c r="A3496" s="2714"/>
      <c r="B3496" s="371"/>
      <c r="C3496" s="371"/>
      <c r="D3496" s="371"/>
      <c r="F3496" s="304"/>
      <c r="G3496" s="304" t="s">
        <v>3862</v>
      </c>
      <c r="H3496" s="304" t="s">
        <v>2747</v>
      </c>
      <c r="I3496" s="304" t="s">
        <v>2748</v>
      </c>
      <c r="J3496" s="291"/>
      <c r="K3496" s="291"/>
      <c r="L3496" s="291"/>
      <c r="M3496" s="291"/>
      <c r="S3496" s="364"/>
      <c r="Z3496" s="609" t="s">
        <v>3848</v>
      </c>
      <c r="AA3496" s="609" t="s">
        <v>5675</v>
      </c>
    </row>
    <row r="3497" spans="1:27" ht="18">
      <c r="A3497" s="2714"/>
      <c r="B3497" s="371"/>
      <c r="C3497" s="371"/>
      <c r="D3497" s="371"/>
      <c r="E3497" s="2716" t="s">
        <v>2749</v>
      </c>
      <c r="F3497" s="294"/>
      <c r="G3497" s="1633" t="s">
        <v>1423</v>
      </c>
      <c r="H3497" s="1631" t="s">
        <v>2775</v>
      </c>
      <c r="I3497" s="1632" t="s">
        <v>2776</v>
      </c>
      <c r="J3497" s="343" t="s">
        <v>3089</v>
      </c>
      <c r="K3497" s="291"/>
      <c r="L3497" s="291"/>
      <c r="M3497" s="291"/>
      <c r="S3497" s="364"/>
      <c r="Z3497" s="609" t="s">
        <v>3848</v>
      </c>
      <c r="AA3497" s="609" t="s">
        <v>5675</v>
      </c>
    </row>
    <row r="3498" spans="1:27" ht="18">
      <c r="A3498" s="2714"/>
      <c r="B3498" s="371">
        <v>101</v>
      </c>
      <c r="C3498" s="371" t="s">
        <v>2791</v>
      </c>
      <c r="D3498" s="2716">
        <f t="shared" ref="D3498:D3503" si="405">IF(OR(G3498="*",G3498="",G3498=0),0,COUNTIF($G$3498:$G$3503,G3498))</f>
        <v>0</v>
      </c>
      <c r="E3498" s="2721">
        <v>1</v>
      </c>
      <c r="F3498" s="294"/>
      <c r="G3498" s="1634" t="s">
        <v>2792</v>
      </c>
      <c r="H3498" s="309"/>
      <c r="I3498" s="346"/>
      <c r="J3498" s="355" t="s">
        <v>5364</v>
      </c>
      <c r="K3498" s="1522" t="s">
        <v>5613</v>
      </c>
      <c r="L3498" s="291"/>
      <c r="M3498" s="291"/>
      <c r="S3498" s="364"/>
      <c r="Z3498" s="609" t="s">
        <v>3848</v>
      </c>
      <c r="AA3498" s="609" t="s">
        <v>5675</v>
      </c>
    </row>
    <row r="3499" spans="1:27" ht="18">
      <c r="A3499" s="2714"/>
      <c r="B3499" s="371">
        <v>102</v>
      </c>
      <c r="C3499" s="371" t="s">
        <v>2791</v>
      </c>
      <c r="D3499" s="2716">
        <f t="shared" si="405"/>
        <v>0</v>
      </c>
      <c r="E3499" s="2721">
        <v>1</v>
      </c>
      <c r="F3499" s="294"/>
      <c r="G3499" s="1634" t="s">
        <v>2792</v>
      </c>
      <c r="H3499" s="309"/>
      <c r="I3499" s="346"/>
      <c r="J3499" s="291"/>
      <c r="K3499" s="291"/>
      <c r="L3499" s="291"/>
      <c r="M3499" s="291"/>
      <c r="S3499" s="364"/>
      <c r="Z3499" s="609" t="s">
        <v>3848</v>
      </c>
      <c r="AA3499" s="609" t="s">
        <v>5675</v>
      </c>
    </row>
    <row r="3500" spans="1:27" ht="18">
      <c r="A3500" s="2714"/>
      <c r="B3500" s="371">
        <v>103</v>
      </c>
      <c r="C3500" s="371" t="s">
        <v>2791</v>
      </c>
      <c r="D3500" s="2716">
        <f t="shared" si="405"/>
        <v>0</v>
      </c>
      <c r="E3500" s="2721">
        <v>1</v>
      </c>
      <c r="F3500" s="294"/>
      <c r="G3500" s="1634" t="s">
        <v>2792</v>
      </c>
      <c r="H3500" s="309"/>
      <c r="I3500" s="346"/>
      <c r="J3500" s="291"/>
      <c r="K3500" s="291"/>
      <c r="L3500" s="291"/>
      <c r="M3500" s="291"/>
      <c r="S3500" s="364"/>
      <c r="Z3500" s="609" t="s">
        <v>3848</v>
      </c>
      <c r="AA3500" s="609" t="s">
        <v>5675</v>
      </c>
    </row>
    <row r="3501" spans="1:27" ht="18">
      <c r="A3501" s="2714"/>
      <c r="B3501" s="371">
        <v>104</v>
      </c>
      <c r="C3501" s="371" t="s">
        <v>2791</v>
      </c>
      <c r="D3501" s="2716">
        <f t="shared" si="405"/>
        <v>0</v>
      </c>
      <c r="E3501" s="2721">
        <v>1</v>
      </c>
      <c r="F3501" s="294"/>
      <c r="G3501" s="1634" t="s">
        <v>2792</v>
      </c>
      <c r="H3501" s="309"/>
      <c r="I3501" s="346"/>
      <c r="J3501" s="291"/>
      <c r="K3501" s="291"/>
      <c r="L3501" s="291"/>
      <c r="M3501" s="291"/>
      <c r="S3501" s="364"/>
      <c r="Z3501" s="609" t="s">
        <v>3848</v>
      </c>
      <c r="AA3501" s="609" t="s">
        <v>5675</v>
      </c>
    </row>
    <row r="3502" spans="1:27" ht="18">
      <c r="A3502" s="2714"/>
      <c r="B3502" s="371">
        <v>105</v>
      </c>
      <c r="C3502" s="371" t="s">
        <v>2791</v>
      </c>
      <c r="D3502" s="2716">
        <f t="shared" si="405"/>
        <v>0</v>
      </c>
      <c r="E3502" s="2721">
        <v>1</v>
      </c>
      <c r="F3502" s="294"/>
      <c r="G3502" s="1634" t="s">
        <v>2792</v>
      </c>
      <c r="H3502" s="309"/>
      <c r="I3502" s="346"/>
      <c r="J3502" s="291"/>
      <c r="K3502" s="291"/>
      <c r="L3502" s="291"/>
      <c r="M3502" s="291"/>
      <c r="S3502" s="364"/>
      <c r="Z3502" s="609" t="s">
        <v>3848</v>
      </c>
      <c r="AA3502" s="609" t="s">
        <v>5675</v>
      </c>
    </row>
    <row r="3503" spans="1:27" ht="18.75" thickBot="1">
      <c r="A3503" s="2714"/>
      <c r="B3503" s="371"/>
      <c r="C3503" s="371"/>
      <c r="D3503" s="2716">
        <f t="shared" si="405"/>
        <v>1</v>
      </c>
      <c r="E3503" s="2721" t="s">
        <v>3032</v>
      </c>
      <c r="F3503" s="294"/>
      <c r="G3503" s="1529" t="s">
        <v>2752</v>
      </c>
      <c r="H3503" s="1527">
        <f>SUMPRODUCT($E3497:$E3502,H3497:H3502)</f>
        <v>0</v>
      </c>
      <c r="I3503" s="1528">
        <f>SUMPRODUCT($E3497:$E3502,I3497:I3502)</f>
        <v>0</v>
      </c>
      <c r="J3503" s="291"/>
      <c r="K3503" s="291"/>
      <c r="L3503" s="291"/>
      <c r="M3503" s="291"/>
      <c r="S3503" s="364"/>
      <c r="Z3503" s="609" t="s">
        <v>3848</v>
      </c>
      <c r="AA3503" s="609" t="s">
        <v>5675</v>
      </c>
    </row>
    <row r="3504" spans="1:27" ht="18">
      <c r="A3504" s="2714"/>
      <c r="B3504" s="371"/>
      <c r="C3504" s="371" t="s">
        <v>2755</v>
      </c>
      <c r="D3504" s="371"/>
      <c r="F3504" s="294"/>
      <c r="G3504" s="301"/>
      <c r="H3504" s="315"/>
      <c r="I3504" s="315"/>
      <c r="J3504" s="291"/>
      <c r="K3504" s="291"/>
      <c r="L3504" s="291"/>
      <c r="M3504" s="291"/>
      <c r="S3504" s="364"/>
      <c r="Z3504" s="609" t="s">
        <v>3848</v>
      </c>
      <c r="AA3504" s="609" t="s">
        <v>5675</v>
      </c>
    </row>
    <row r="3505" spans="1:27" ht="24">
      <c r="A3505" s="2714" t="s">
        <v>1443</v>
      </c>
      <c r="B3505" s="371">
        <v>6</v>
      </c>
      <c r="C3505" s="371"/>
      <c r="D3505" s="2716" t="str">
        <f>VLOOKUP($A3505,Sheet_NoteList,2,0)</f>
        <v>单项金额较大的应付账款</v>
      </c>
      <c r="E3505" s="2716" t="s">
        <v>6531</v>
      </c>
      <c r="F3505" s="294"/>
      <c r="G3505" s="372" t="str">
        <f>"("&amp;B3505&amp;")"&amp;D3505</f>
        <v>(6)单项金额较大的应付账款</v>
      </c>
      <c r="H3505" s="1517" t="str">
        <f>$A3505</f>
        <v>2202g</v>
      </c>
      <c r="I3505" s="343" t="s">
        <v>5965</v>
      </c>
      <c r="J3505" s="301" t="s">
        <v>5963</v>
      </c>
      <c r="K3505" s="2210">
        <f>H3513</f>
        <v>0</v>
      </c>
      <c r="L3505" s="345" t="str">
        <f>IF($I3505="适用",IF(ROUND(K3446-K3505,2)&gt;=0,"","#Logical!"),"#N/A")</f>
        <v/>
      </c>
      <c r="M3505" s="301"/>
      <c r="N3505" s="3083"/>
      <c r="O3505" s="315"/>
      <c r="P3505" s="301"/>
      <c r="S3505" s="364"/>
      <c r="Z3505" s="609" t="s">
        <v>3848</v>
      </c>
      <c r="AA3505" s="609" t="s">
        <v>5675</v>
      </c>
    </row>
    <row r="3506" spans="1:27" ht="0.75" customHeight="1" thickBot="1">
      <c r="A3506" s="2714"/>
      <c r="B3506" s="371"/>
      <c r="C3506" s="371"/>
      <c r="D3506" s="371"/>
      <c r="E3506" s="586"/>
      <c r="F3506" s="586"/>
      <c r="G3506" s="586" t="s">
        <v>3863</v>
      </c>
      <c r="H3506" s="371" t="s">
        <v>2849</v>
      </c>
      <c r="I3506" s="371" t="s">
        <v>3110</v>
      </c>
      <c r="J3506" s="371" t="s">
        <v>3864</v>
      </c>
      <c r="K3506" s="291"/>
      <c r="L3506" s="291"/>
      <c r="M3506" s="291"/>
      <c r="N3506" s="291"/>
      <c r="S3506" s="364"/>
      <c r="Z3506" s="609" t="s">
        <v>3848</v>
      </c>
      <c r="AA3506" s="609" t="s">
        <v>5675</v>
      </c>
    </row>
    <row r="3507" spans="1:27" ht="18">
      <c r="A3507" s="2714"/>
      <c r="B3507" s="371"/>
      <c r="C3507" s="371"/>
      <c r="D3507" s="371"/>
      <c r="E3507" s="586" t="s">
        <v>2749</v>
      </c>
      <c r="F3507" s="363"/>
      <c r="G3507" s="2363" t="s">
        <v>3865</v>
      </c>
      <c r="H3507" s="2364" t="s">
        <v>3866</v>
      </c>
      <c r="I3507" s="2364" t="s">
        <v>2961</v>
      </c>
      <c r="J3507" s="2365" t="s">
        <v>3867</v>
      </c>
      <c r="K3507" s="355" t="s">
        <v>6176</v>
      </c>
      <c r="L3507" s="291"/>
      <c r="M3507" s="291"/>
      <c r="N3507" s="291"/>
      <c r="S3507" s="364"/>
      <c r="Z3507" s="609" t="s">
        <v>3848</v>
      </c>
      <c r="AA3507" s="609" t="s">
        <v>5675</v>
      </c>
    </row>
    <row r="3508" spans="1:27" ht="18">
      <c r="A3508" s="2714"/>
      <c r="B3508" s="371">
        <v>101</v>
      </c>
      <c r="C3508" s="371" t="s">
        <v>2791</v>
      </c>
      <c r="D3508" s="2716">
        <f t="shared" ref="D3508:D3513" si="406">IF(OR(G3508="*",G3508="",G3508=0),0,COUNTIF($G$3508:$G$3513,G3508))</f>
        <v>0</v>
      </c>
      <c r="E3508" s="2721">
        <v>1</v>
      </c>
      <c r="F3508" s="294"/>
      <c r="G3508" s="2375" t="s">
        <v>2792</v>
      </c>
      <c r="H3508" s="2275"/>
      <c r="I3508" s="2298"/>
      <c r="J3508" s="2276"/>
      <c r="K3508" s="579"/>
      <c r="L3508" s="291"/>
      <c r="M3508" s="291"/>
      <c r="N3508" s="291"/>
      <c r="S3508" s="364"/>
      <c r="Z3508" s="609" t="s">
        <v>3848</v>
      </c>
      <c r="AA3508" s="609" t="s">
        <v>5675</v>
      </c>
    </row>
    <row r="3509" spans="1:27" ht="18">
      <c r="A3509" s="2714"/>
      <c r="B3509" s="371">
        <v>102</v>
      </c>
      <c r="C3509" s="371" t="s">
        <v>2791</v>
      </c>
      <c r="D3509" s="2716">
        <f t="shared" si="406"/>
        <v>0</v>
      </c>
      <c r="E3509" s="2721">
        <v>1</v>
      </c>
      <c r="F3509" s="294"/>
      <c r="G3509" s="2375" t="s">
        <v>2792</v>
      </c>
      <c r="H3509" s="2275"/>
      <c r="I3509" s="2298"/>
      <c r="J3509" s="2276"/>
      <c r="K3509" s="291"/>
      <c r="L3509" s="291"/>
      <c r="M3509" s="291"/>
      <c r="N3509" s="291"/>
      <c r="S3509" s="364"/>
      <c r="Z3509" s="609" t="s">
        <v>3848</v>
      </c>
      <c r="AA3509" s="609" t="s">
        <v>5675</v>
      </c>
    </row>
    <row r="3510" spans="1:27" ht="18">
      <c r="A3510" s="2714"/>
      <c r="B3510" s="371">
        <v>103</v>
      </c>
      <c r="C3510" s="371" t="s">
        <v>2791</v>
      </c>
      <c r="D3510" s="2716">
        <f t="shared" si="406"/>
        <v>0</v>
      </c>
      <c r="E3510" s="2721">
        <v>1</v>
      </c>
      <c r="F3510" s="294"/>
      <c r="G3510" s="2375" t="s">
        <v>2792</v>
      </c>
      <c r="H3510" s="2275"/>
      <c r="I3510" s="2298"/>
      <c r="J3510" s="2276"/>
      <c r="K3510" s="291"/>
      <c r="L3510" s="291"/>
      <c r="M3510" s="291"/>
      <c r="N3510" s="291"/>
      <c r="S3510" s="364"/>
      <c r="Z3510" s="609" t="s">
        <v>3848</v>
      </c>
      <c r="AA3510" s="609" t="s">
        <v>5675</v>
      </c>
    </row>
    <row r="3511" spans="1:27" ht="18">
      <c r="A3511" s="2714"/>
      <c r="B3511" s="371">
        <v>104</v>
      </c>
      <c r="C3511" s="371" t="s">
        <v>2791</v>
      </c>
      <c r="D3511" s="2716">
        <f t="shared" si="406"/>
        <v>0</v>
      </c>
      <c r="E3511" s="2721">
        <v>1</v>
      </c>
      <c r="F3511" s="294"/>
      <c r="G3511" s="2375" t="s">
        <v>2792</v>
      </c>
      <c r="H3511" s="2275"/>
      <c r="I3511" s="2298"/>
      <c r="J3511" s="2276"/>
      <c r="K3511" s="291"/>
      <c r="L3511" s="291"/>
      <c r="M3511" s="291"/>
      <c r="N3511" s="291"/>
      <c r="S3511" s="364"/>
      <c r="Z3511" s="609" t="s">
        <v>3848</v>
      </c>
      <c r="AA3511" s="609" t="s">
        <v>5675</v>
      </c>
    </row>
    <row r="3512" spans="1:27" ht="18">
      <c r="A3512" s="2714"/>
      <c r="B3512" s="371">
        <v>105</v>
      </c>
      <c r="C3512" s="371" t="s">
        <v>2791</v>
      </c>
      <c r="D3512" s="2716">
        <f t="shared" si="406"/>
        <v>0</v>
      </c>
      <c r="E3512" s="2721">
        <v>1</v>
      </c>
      <c r="F3512" s="294"/>
      <c r="G3512" s="2375" t="s">
        <v>2792</v>
      </c>
      <c r="H3512" s="2275"/>
      <c r="I3512" s="2298"/>
      <c r="J3512" s="2276"/>
      <c r="K3512" s="291"/>
      <c r="L3512" s="291"/>
      <c r="M3512" s="291"/>
      <c r="N3512" s="291"/>
      <c r="S3512" s="364"/>
      <c r="Z3512" s="609" t="s">
        <v>3848</v>
      </c>
      <c r="AA3512" s="609" t="s">
        <v>5675</v>
      </c>
    </row>
    <row r="3513" spans="1:27" ht="18.75" thickBot="1">
      <c r="A3513" s="2714"/>
      <c r="B3513" s="371"/>
      <c r="C3513" s="371"/>
      <c r="D3513" s="2716">
        <f t="shared" si="406"/>
        <v>1</v>
      </c>
      <c r="E3513" s="2721" t="s">
        <v>2751</v>
      </c>
      <c r="F3513" s="294"/>
      <c r="G3513" s="1529" t="s">
        <v>2752</v>
      </c>
      <c r="H3513" s="1527">
        <f>SUMPRODUCT($E3507:$E3512,H3507:H3512)</f>
        <v>0</v>
      </c>
      <c r="I3513" s="2316"/>
      <c r="J3513" s="2266"/>
      <c r="K3513" s="291"/>
      <c r="L3513" s="291"/>
      <c r="M3513" s="291"/>
      <c r="N3513" s="291"/>
      <c r="S3513" s="364"/>
      <c r="Z3513" s="609" t="s">
        <v>3848</v>
      </c>
      <c r="AA3513" s="609" t="s">
        <v>5675</v>
      </c>
    </row>
    <row r="3514" spans="1:27" ht="18">
      <c r="A3514" s="2714"/>
      <c r="B3514" s="371"/>
      <c r="C3514" s="371" t="s">
        <v>2755</v>
      </c>
      <c r="D3514" s="371"/>
      <c r="F3514" s="294"/>
      <c r="G3514" s="301"/>
      <c r="H3514" s="315"/>
      <c r="I3514" s="393"/>
      <c r="J3514" s="393"/>
      <c r="K3514" s="291"/>
      <c r="L3514" s="291"/>
      <c r="M3514" s="291"/>
      <c r="N3514" s="291"/>
      <c r="S3514" s="364"/>
      <c r="Z3514" s="609" t="s">
        <v>3848</v>
      </c>
      <c r="AA3514" s="609" t="s">
        <v>5675</v>
      </c>
    </row>
    <row r="3515" spans="1:27" ht="18">
      <c r="A3515" s="2714" t="s">
        <v>1448</v>
      </c>
      <c r="B3515" s="371">
        <v>7</v>
      </c>
      <c r="C3515" s="371"/>
      <c r="D3515" s="2716" t="str">
        <f>VLOOKUP($A3515,Sheet_NoteList,2,0)</f>
        <v>应付账款补充资料</v>
      </c>
      <c r="E3515" s="2716" t="s">
        <v>6531</v>
      </c>
      <c r="F3515" s="294"/>
      <c r="G3515" s="597" t="str">
        <f>"("&amp;B3515&amp;")"&amp;D3515</f>
        <v>(7)应付账款补充资料</v>
      </c>
      <c r="H3515" s="1517" t="str">
        <f>$A3515</f>
        <v>2202x</v>
      </c>
      <c r="I3515" s="343" t="s">
        <v>5966</v>
      </c>
      <c r="J3515" s="301" t="s">
        <v>5963</v>
      </c>
      <c r="K3515" s="2210">
        <f>H3532</f>
        <v>0</v>
      </c>
      <c r="L3515" s="345"/>
      <c r="M3515" s="301"/>
      <c r="N3515" s="3083"/>
      <c r="O3515" s="315"/>
      <c r="P3515" s="301"/>
      <c r="S3515" s="364"/>
      <c r="Z3515" s="609" t="s">
        <v>3848</v>
      </c>
      <c r="AA3515" s="609" t="s">
        <v>5675</v>
      </c>
    </row>
    <row r="3516" spans="1:27" ht="0.75" customHeight="1" thickBot="1">
      <c r="A3516" s="2714"/>
      <c r="B3516" s="371"/>
      <c r="C3516" s="371"/>
      <c r="D3516" s="371"/>
      <c r="F3516" s="371"/>
      <c r="G3516" s="371" t="s">
        <v>3868</v>
      </c>
      <c r="H3516" s="371" t="s">
        <v>2747</v>
      </c>
      <c r="I3516" s="371" t="s">
        <v>3859</v>
      </c>
      <c r="K3516" s="291"/>
      <c r="L3516" s="291"/>
      <c r="M3516" s="291"/>
      <c r="N3516" s="291"/>
      <c r="S3516" s="364"/>
      <c r="Z3516" s="609" t="s">
        <v>3848</v>
      </c>
      <c r="AA3516" s="609" t="s">
        <v>5675</v>
      </c>
    </row>
    <row r="3517" spans="1:27" ht="18">
      <c r="A3517" s="2714"/>
      <c r="B3517" s="371"/>
      <c r="C3517" s="371"/>
      <c r="D3517" s="371"/>
      <c r="E3517" s="2716" t="s">
        <v>2749</v>
      </c>
      <c r="F3517" s="294"/>
      <c r="G3517" s="2386" t="s">
        <v>1465</v>
      </c>
      <c r="H3517" s="2398" t="s">
        <v>2775</v>
      </c>
      <c r="I3517" s="2388" t="s">
        <v>2508</v>
      </c>
      <c r="J3517" s="355" t="s">
        <v>6176</v>
      </c>
      <c r="K3517" s="291"/>
      <c r="L3517" s="291"/>
      <c r="M3517" s="291"/>
      <c r="N3517" s="291"/>
      <c r="S3517" s="364"/>
      <c r="Z3517" s="609" t="s">
        <v>3848</v>
      </c>
      <c r="AA3517" s="609" t="s">
        <v>5675</v>
      </c>
    </row>
    <row r="3518" spans="1:27" ht="24">
      <c r="A3518" s="2714"/>
      <c r="B3518" s="371">
        <v>101</v>
      </c>
      <c r="C3518" s="371"/>
      <c r="D3518" s="2716">
        <f t="shared" ref="D3518:D3532" si="407">IF(OR(G3518="*",G3518="",G3518=0),0,COUNTIF($G$3518:$G$3532,G3518))</f>
        <v>1</v>
      </c>
      <c r="E3518" s="2721" t="s">
        <v>41</v>
      </c>
      <c r="F3518" s="294"/>
      <c r="G3518" s="308" t="s">
        <v>3869</v>
      </c>
      <c r="H3518" s="309"/>
      <c r="I3518" s="388"/>
      <c r="J3518" s="579"/>
      <c r="K3518" s="291"/>
      <c r="L3518" s="291"/>
      <c r="M3518" s="291"/>
      <c r="N3518" s="291"/>
      <c r="S3518" s="364"/>
      <c r="Z3518" s="609" t="s">
        <v>3848</v>
      </c>
      <c r="AA3518" s="609" t="s">
        <v>5675</v>
      </c>
    </row>
    <row r="3519" spans="1:27" ht="18">
      <c r="A3519" s="2714"/>
      <c r="B3519" s="371">
        <v>101.001</v>
      </c>
      <c r="C3519" s="371" t="s">
        <v>2791</v>
      </c>
      <c r="D3519" s="2716">
        <f t="shared" si="407"/>
        <v>0</v>
      </c>
      <c r="E3519" s="2721" t="s">
        <v>3870</v>
      </c>
      <c r="F3519" s="294"/>
      <c r="G3519" s="319" t="s">
        <v>2792</v>
      </c>
      <c r="H3519" s="309"/>
      <c r="I3519" s="388"/>
      <c r="K3519" s="291"/>
      <c r="L3519" s="291"/>
      <c r="M3519" s="291"/>
      <c r="N3519" s="291"/>
      <c r="S3519" s="364"/>
      <c r="Z3519" s="609" t="s">
        <v>3848</v>
      </c>
      <c r="AA3519" s="609" t="s">
        <v>5675</v>
      </c>
    </row>
    <row r="3520" spans="1:27" ht="18">
      <c r="A3520" s="2714"/>
      <c r="B3520" s="371">
        <v>101.002</v>
      </c>
      <c r="C3520" s="371" t="s">
        <v>2791</v>
      </c>
      <c r="D3520" s="2716">
        <f t="shared" si="407"/>
        <v>0</v>
      </c>
      <c r="E3520" s="2721" t="s">
        <v>3870</v>
      </c>
      <c r="F3520" s="294"/>
      <c r="G3520" s="319" t="s">
        <v>2792</v>
      </c>
      <c r="H3520" s="309"/>
      <c r="I3520" s="388"/>
      <c r="K3520" s="291"/>
      <c r="L3520" s="291"/>
      <c r="M3520" s="291"/>
      <c r="N3520" s="291"/>
      <c r="S3520" s="364"/>
      <c r="Z3520" s="609" t="s">
        <v>3848</v>
      </c>
      <c r="AA3520" s="609" t="s">
        <v>5675</v>
      </c>
    </row>
    <row r="3521" spans="1:27" ht="18">
      <c r="A3521" s="2714"/>
      <c r="B3521" s="371">
        <v>101.003</v>
      </c>
      <c r="C3521" s="371" t="s">
        <v>2791</v>
      </c>
      <c r="D3521" s="2716">
        <f t="shared" si="407"/>
        <v>0</v>
      </c>
      <c r="E3521" s="2721" t="s">
        <v>3870</v>
      </c>
      <c r="F3521" s="294"/>
      <c r="G3521" s="319" t="s">
        <v>2792</v>
      </c>
      <c r="H3521" s="309"/>
      <c r="I3521" s="388"/>
      <c r="K3521" s="291"/>
      <c r="L3521" s="291"/>
      <c r="M3521" s="291"/>
      <c r="N3521" s="291"/>
      <c r="S3521" s="364"/>
      <c r="Z3521" s="609" t="s">
        <v>3848</v>
      </c>
      <c r="AA3521" s="609" t="s">
        <v>5675</v>
      </c>
    </row>
    <row r="3522" spans="1:27" ht="18">
      <c r="A3522" s="2714"/>
      <c r="B3522" s="371">
        <v>101.004</v>
      </c>
      <c r="C3522" s="371" t="s">
        <v>2791</v>
      </c>
      <c r="D3522" s="2716">
        <f t="shared" si="407"/>
        <v>0</v>
      </c>
      <c r="E3522" s="2721" t="s">
        <v>3870</v>
      </c>
      <c r="F3522" s="294"/>
      <c r="G3522" s="319" t="s">
        <v>2792</v>
      </c>
      <c r="H3522" s="309"/>
      <c r="I3522" s="388"/>
      <c r="K3522" s="291"/>
      <c r="L3522" s="291"/>
      <c r="M3522" s="291"/>
      <c r="N3522" s="291"/>
      <c r="S3522" s="364"/>
      <c r="Z3522" s="609" t="s">
        <v>3848</v>
      </c>
      <c r="AA3522" s="609" t="s">
        <v>5675</v>
      </c>
    </row>
    <row r="3523" spans="1:27" ht="18">
      <c r="A3523" s="2714"/>
      <c r="B3523" s="371">
        <v>101.005</v>
      </c>
      <c r="C3523" s="371" t="s">
        <v>2791</v>
      </c>
      <c r="D3523" s="2716">
        <f t="shared" si="407"/>
        <v>0</v>
      </c>
      <c r="E3523" s="2721" t="s">
        <v>3870</v>
      </c>
      <c r="F3523" s="294"/>
      <c r="G3523" s="319" t="s">
        <v>2792</v>
      </c>
      <c r="H3523" s="309"/>
      <c r="I3523" s="388"/>
      <c r="K3523" s="291"/>
      <c r="L3523" s="291"/>
      <c r="M3523" s="291"/>
      <c r="N3523" s="291"/>
      <c r="S3523" s="364"/>
      <c r="Z3523" s="609" t="s">
        <v>3848</v>
      </c>
      <c r="AA3523" s="609" t="s">
        <v>5675</v>
      </c>
    </row>
    <row r="3524" spans="1:27" ht="24">
      <c r="A3524" s="2714"/>
      <c r="B3524" s="371">
        <v>101.999</v>
      </c>
      <c r="C3524" s="371" t="s">
        <v>2793</v>
      </c>
      <c r="D3524" s="2716">
        <f t="shared" si="407"/>
        <v>1</v>
      </c>
      <c r="E3524" s="2721">
        <v>1</v>
      </c>
      <c r="F3524" s="294"/>
      <c r="G3524" s="549" t="s">
        <v>3870</v>
      </c>
      <c r="H3524" s="377">
        <f>SUMIF($E$3517:$E$3531,$G3524,H$3517:H$3531)</f>
        <v>0</v>
      </c>
      <c r="I3524" s="388"/>
      <c r="K3524" s="291"/>
      <c r="L3524" s="291"/>
      <c r="M3524" s="291"/>
      <c r="N3524" s="291"/>
      <c r="S3524" s="364"/>
      <c r="Z3524" s="609" t="s">
        <v>3848</v>
      </c>
      <c r="AA3524" s="609" t="s">
        <v>5675</v>
      </c>
    </row>
    <row r="3525" spans="1:27" ht="18">
      <c r="A3525" s="2714"/>
      <c r="B3525" s="371">
        <v>102</v>
      </c>
      <c r="C3525" s="371"/>
      <c r="D3525" s="2716">
        <f t="shared" si="407"/>
        <v>1</v>
      </c>
      <c r="E3525" s="2721" t="s">
        <v>41</v>
      </c>
      <c r="F3525" s="294"/>
      <c r="G3525" s="308" t="s">
        <v>3871</v>
      </c>
      <c r="H3525" s="309"/>
      <c r="I3525" s="388"/>
      <c r="K3525" s="291"/>
      <c r="L3525" s="291"/>
      <c r="M3525" s="291"/>
      <c r="N3525" s="291"/>
      <c r="S3525" s="364"/>
      <c r="Z3525" s="609" t="s">
        <v>3848</v>
      </c>
      <c r="AA3525" s="609" t="s">
        <v>5675</v>
      </c>
    </row>
    <row r="3526" spans="1:27" ht="18">
      <c r="A3526" s="2714"/>
      <c r="B3526" s="371">
        <v>102.001</v>
      </c>
      <c r="C3526" s="371" t="s">
        <v>2791</v>
      </c>
      <c r="D3526" s="2716">
        <f t="shared" si="407"/>
        <v>0</v>
      </c>
      <c r="E3526" s="2721" t="s">
        <v>3872</v>
      </c>
      <c r="F3526" s="294"/>
      <c r="G3526" s="319" t="s">
        <v>2792</v>
      </c>
      <c r="H3526" s="309"/>
      <c r="I3526" s="388"/>
      <c r="K3526" s="291"/>
      <c r="L3526" s="291"/>
      <c r="M3526" s="291"/>
      <c r="N3526" s="291"/>
      <c r="S3526" s="364"/>
      <c r="Z3526" s="609" t="s">
        <v>3848</v>
      </c>
      <c r="AA3526" s="609" t="s">
        <v>5675</v>
      </c>
    </row>
    <row r="3527" spans="1:27" ht="18">
      <c r="A3527" s="2714"/>
      <c r="B3527" s="371">
        <v>102.002</v>
      </c>
      <c r="C3527" s="371" t="s">
        <v>2791</v>
      </c>
      <c r="D3527" s="2716">
        <f t="shared" si="407"/>
        <v>0</v>
      </c>
      <c r="E3527" s="2721" t="s">
        <v>3872</v>
      </c>
      <c r="F3527" s="294"/>
      <c r="G3527" s="319" t="s">
        <v>2792</v>
      </c>
      <c r="H3527" s="309"/>
      <c r="I3527" s="388"/>
      <c r="K3527" s="291"/>
      <c r="L3527" s="291"/>
      <c r="M3527" s="291"/>
      <c r="N3527" s="291"/>
      <c r="S3527" s="364"/>
      <c r="Z3527" s="609" t="s">
        <v>3848</v>
      </c>
      <c r="AA3527" s="609" t="s">
        <v>5675</v>
      </c>
    </row>
    <row r="3528" spans="1:27" ht="18">
      <c r="A3528" s="2714"/>
      <c r="B3528" s="371">
        <v>102.003</v>
      </c>
      <c r="C3528" s="371" t="s">
        <v>2791</v>
      </c>
      <c r="D3528" s="2716">
        <f t="shared" si="407"/>
        <v>0</v>
      </c>
      <c r="E3528" s="2721" t="s">
        <v>3872</v>
      </c>
      <c r="F3528" s="294"/>
      <c r="G3528" s="319" t="s">
        <v>2792</v>
      </c>
      <c r="H3528" s="309"/>
      <c r="I3528" s="388"/>
      <c r="K3528" s="291"/>
      <c r="L3528" s="291"/>
      <c r="M3528" s="291"/>
      <c r="N3528" s="291"/>
      <c r="S3528" s="364"/>
      <c r="Z3528" s="609" t="s">
        <v>3848</v>
      </c>
      <c r="AA3528" s="609" t="s">
        <v>5675</v>
      </c>
    </row>
    <row r="3529" spans="1:27" ht="18">
      <c r="A3529" s="2714"/>
      <c r="B3529" s="371">
        <v>102.004</v>
      </c>
      <c r="C3529" s="371" t="s">
        <v>2791</v>
      </c>
      <c r="D3529" s="2716">
        <f t="shared" si="407"/>
        <v>0</v>
      </c>
      <c r="E3529" s="2721" t="s">
        <v>3872</v>
      </c>
      <c r="F3529" s="294"/>
      <c r="G3529" s="319" t="s">
        <v>2792</v>
      </c>
      <c r="H3529" s="309"/>
      <c r="I3529" s="388"/>
      <c r="K3529" s="291"/>
      <c r="L3529" s="291"/>
      <c r="M3529" s="291"/>
      <c r="N3529" s="291"/>
      <c r="S3529" s="364"/>
      <c r="Z3529" s="609" t="s">
        <v>3848</v>
      </c>
      <c r="AA3529" s="609" t="s">
        <v>5675</v>
      </c>
    </row>
    <row r="3530" spans="1:27" ht="18">
      <c r="A3530" s="2714"/>
      <c r="B3530" s="371">
        <v>102.005</v>
      </c>
      <c r="C3530" s="371" t="s">
        <v>2791</v>
      </c>
      <c r="D3530" s="2716">
        <f t="shared" si="407"/>
        <v>0</v>
      </c>
      <c r="E3530" s="2721" t="s">
        <v>3872</v>
      </c>
      <c r="F3530" s="294"/>
      <c r="G3530" s="319" t="s">
        <v>2792</v>
      </c>
      <c r="H3530" s="309"/>
      <c r="I3530" s="388"/>
      <c r="K3530" s="291"/>
      <c r="L3530" s="291"/>
      <c r="M3530" s="291"/>
      <c r="N3530" s="291"/>
      <c r="S3530" s="364"/>
      <c r="Z3530" s="609" t="s">
        <v>3848</v>
      </c>
      <c r="AA3530" s="609" t="s">
        <v>5675</v>
      </c>
    </row>
    <row r="3531" spans="1:27" ht="18">
      <c r="A3531" s="2714"/>
      <c r="B3531" s="371">
        <v>102.999</v>
      </c>
      <c r="C3531" s="371" t="s">
        <v>2793</v>
      </c>
      <c r="D3531" s="2716">
        <f t="shared" si="407"/>
        <v>1</v>
      </c>
      <c r="E3531" s="2721">
        <v>1</v>
      </c>
      <c r="F3531" s="294"/>
      <c r="G3531" s="549" t="s">
        <v>3872</v>
      </c>
      <c r="H3531" s="377">
        <f>SUMIF($E$3517:$E$3531,$G3531,H$3517:H$3531)</f>
        <v>0</v>
      </c>
      <c r="I3531" s="388"/>
      <c r="K3531" s="291"/>
      <c r="L3531" s="291"/>
      <c r="M3531" s="291"/>
      <c r="N3531" s="291"/>
      <c r="S3531" s="364"/>
      <c r="Z3531" s="609" t="s">
        <v>3848</v>
      </c>
      <c r="AA3531" s="609" t="s">
        <v>5675</v>
      </c>
    </row>
    <row r="3532" spans="1:27" ht="18.75" thickBot="1">
      <c r="A3532" s="2714"/>
      <c r="B3532" s="371"/>
      <c r="C3532" s="371"/>
      <c r="D3532" s="2716">
        <f t="shared" si="407"/>
        <v>1</v>
      </c>
      <c r="E3532" s="2721" t="s">
        <v>2751</v>
      </c>
      <c r="F3532" s="294"/>
      <c r="G3532" s="1529" t="s">
        <v>2752</v>
      </c>
      <c r="H3532" s="2391">
        <f>SUMPRODUCT($E3517:$E3531,H3517:H3531)</f>
        <v>0</v>
      </c>
      <c r="I3532" s="1612"/>
      <c r="K3532" s="291"/>
      <c r="L3532" s="291"/>
      <c r="M3532" s="291"/>
      <c r="N3532" s="291"/>
      <c r="S3532" s="364"/>
      <c r="Z3532" s="609" t="s">
        <v>3848</v>
      </c>
      <c r="AA3532" s="609" t="s">
        <v>5675</v>
      </c>
    </row>
    <row r="3533" spans="1:27" ht="18">
      <c r="A3533" s="2714"/>
      <c r="B3533" s="371"/>
      <c r="C3533" s="371" t="s">
        <v>2755</v>
      </c>
      <c r="D3533" s="371"/>
      <c r="F3533" s="294"/>
      <c r="G3533" s="301"/>
      <c r="H3533" s="315"/>
      <c r="I3533" s="393"/>
      <c r="J3533" s="350"/>
      <c r="K3533" s="291"/>
      <c r="L3533" s="291"/>
      <c r="M3533" s="291"/>
      <c r="N3533" s="291"/>
      <c r="S3533" s="364"/>
      <c r="Z3533" s="609" t="s">
        <v>3848</v>
      </c>
      <c r="AA3533" s="609" t="s">
        <v>5675</v>
      </c>
    </row>
    <row r="3534" spans="1:27" ht="18">
      <c r="A3534" s="2714">
        <v>2205</v>
      </c>
      <c r="B3534" s="371">
        <v>39</v>
      </c>
      <c r="C3534" s="2716" t="str">
        <f>VLOOKUP($A3534,Sheet_Items,2,0)</f>
        <v>预收款项</v>
      </c>
      <c r="D3534" s="371"/>
      <c r="E3534" s="2716" t="s">
        <v>2739</v>
      </c>
      <c r="F3534" s="294"/>
      <c r="G3534" s="305" t="str">
        <f>B3534&amp;" "&amp;C3534</f>
        <v>39 预收款项</v>
      </c>
      <c r="H3534" s="306"/>
      <c r="I3534" s="306"/>
      <c r="J3534" s="306" t="s">
        <v>2740</v>
      </c>
      <c r="K3534" s="341">
        <f>VLOOKUP($A3534,Sheet_Trialbal,6,0)</f>
        <v>2360727.0299999998</v>
      </c>
      <c r="L3534" s="342"/>
      <c r="M3534" s="306" t="s">
        <v>2741</v>
      </c>
      <c r="N3534" s="341">
        <f>VLOOKUP($A3534,Sheet_Trialbal,10,0)</f>
        <v>2229809.83</v>
      </c>
      <c r="O3534" s="306"/>
      <c r="P3534" s="301"/>
      <c r="S3534" s="364"/>
      <c r="Z3534" s="609" t="s">
        <v>3873</v>
      </c>
      <c r="AA3534" s="609" t="s">
        <v>5676</v>
      </c>
    </row>
    <row r="3535" spans="1:27" ht="18">
      <c r="A3535" s="2714" t="s">
        <v>1458</v>
      </c>
      <c r="B3535" s="371">
        <v>1</v>
      </c>
      <c r="C3535" s="371"/>
      <c r="D3535" s="2716" t="str">
        <f>VLOOKUP($A3535,Sheet_NoteList,2,0)</f>
        <v>预收款项列示</v>
      </c>
      <c r="E3535" s="2716" t="s">
        <v>2742</v>
      </c>
      <c r="F3535" s="294"/>
      <c r="G3535" s="307" t="str">
        <f>"("&amp;B3535&amp;")"&amp;D3535</f>
        <v>(1)预收款项列示</v>
      </c>
      <c r="H3535" s="1517" t="str">
        <f>$A3535</f>
        <v>2205f</v>
      </c>
      <c r="I3535" s="343" t="s">
        <v>2743</v>
      </c>
      <c r="J3535" s="301" t="s">
        <v>2744</v>
      </c>
      <c r="K3535" s="2210">
        <f>H3543</f>
        <v>2360727.0299999998</v>
      </c>
      <c r="L3535" s="345" t="str">
        <f>IF($I3535="适用",IF(ROUND(K$3534-K3535,2)=0,"F/S",ROUND(K$3534-K3535,2)),"#N/A")</f>
        <v>F/S</v>
      </c>
      <c r="M3535" s="301" t="s">
        <v>2745</v>
      </c>
      <c r="N3535" s="2210">
        <f>I3543</f>
        <v>2229809.83</v>
      </c>
      <c r="O3535" s="345" t="str">
        <f>IF($I3535="适用",IF(ROUND(N$3534-N3535,2)=0,"F/S",ROUND(N$3534-N3535,2)),"#N/A")</f>
        <v>F/S</v>
      </c>
      <c r="P3535" s="301"/>
      <c r="Q3535" s="290" t="str">
        <f>IF($I3535="不适用","",IF(ROUND(SUM($H$3538:$I$3543),2)=0,"请输入",""))</f>
        <v/>
      </c>
      <c r="S3535" s="364"/>
      <c r="Z3535" s="609" t="s">
        <v>3873</v>
      </c>
      <c r="AA3535" s="609" t="s">
        <v>5676</v>
      </c>
    </row>
    <row r="3536" spans="1:27" ht="0.75" customHeight="1" thickBot="1">
      <c r="A3536" s="2714"/>
      <c r="B3536" s="371"/>
      <c r="C3536" s="371"/>
      <c r="D3536" s="371"/>
      <c r="F3536" s="371"/>
      <c r="G3536" s="371" t="s">
        <v>3874</v>
      </c>
      <c r="H3536" s="371" t="s">
        <v>2747</v>
      </c>
      <c r="I3536" s="371" t="s">
        <v>2748</v>
      </c>
      <c r="J3536" s="291"/>
      <c r="K3536" s="291"/>
      <c r="L3536" s="291"/>
      <c r="M3536" s="291"/>
      <c r="S3536" s="364"/>
      <c r="Z3536" s="609" t="s">
        <v>3873</v>
      </c>
      <c r="AA3536" s="609" t="s">
        <v>5676</v>
      </c>
    </row>
    <row r="3537" spans="1:29" ht="18">
      <c r="A3537" s="2714"/>
      <c r="B3537" s="371"/>
      <c r="C3537" s="371"/>
      <c r="D3537" s="371"/>
      <c r="E3537" s="2716" t="s">
        <v>2749</v>
      </c>
      <c r="F3537" s="294"/>
      <c r="G3537" s="410" t="s">
        <v>47</v>
      </c>
      <c r="H3537" s="1454" t="str">
        <f>$V$2</f>
        <v>2019年12月31日</v>
      </c>
      <c r="I3537" s="1455" t="str">
        <f>$V$3</f>
        <v>2018年12月31日</v>
      </c>
      <c r="J3537" s="355" t="s">
        <v>5304</v>
      </c>
      <c r="K3537" s="291"/>
      <c r="L3537" s="291"/>
      <c r="M3537" s="291"/>
      <c r="S3537" s="364"/>
      <c r="Z3537" s="609" t="s">
        <v>3873</v>
      </c>
      <c r="AA3537" s="609" t="s">
        <v>5676</v>
      </c>
    </row>
    <row r="3538" spans="1:29" ht="18">
      <c r="A3538" s="2714"/>
      <c r="B3538" s="371">
        <v>101</v>
      </c>
      <c r="C3538" s="371"/>
      <c r="D3538" s="2716">
        <f t="shared" ref="D3538:D3543" si="408">IF(OR(G3538="*",G3538="",G3538=0),0,COUNTIF($G$3538:$G$3543,G3538))</f>
        <v>1</v>
      </c>
      <c r="E3538" s="2721">
        <v>1</v>
      </c>
      <c r="F3538" s="294"/>
      <c r="G3538" s="308" t="s">
        <v>3875</v>
      </c>
      <c r="H3538" s="309">
        <v>2360727.0299999998</v>
      </c>
      <c r="I3538" s="346">
        <v>2229809.83</v>
      </c>
      <c r="J3538" s="291"/>
      <c r="K3538" s="291"/>
      <c r="L3538" s="291"/>
      <c r="M3538" s="291"/>
      <c r="S3538" s="364"/>
      <c r="Z3538" s="609" t="s">
        <v>3873</v>
      </c>
      <c r="AA3538" s="609" t="s">
        <v>5676</v>
      </c>
    </row>
    <row r="3539" spans="1:29" ht="18">
      <c r="A3539" s="2714"/>
      <c r="B3539" s="371">
        <v>102</v>
      </c>
      <c r="C3539" s="371"/>
      <c r="D3539" s="2716">
        <f t="shared" si="408"/>
        <v>1</v>
      </c>
      <c r="E3539" s="2721">
        <v>1</v>
      </c>
      <c r="F3539" s="294"/>
      <c r="G3539" s="308" t="s">
        <v>3876</v>
      </c>
      <c r="H3539" s="309"/>
      <c r="I3539" s="346"/>
      <c r="J3539" s="291"/>
      <c r="K3539" s="291"/>
      <c r="L3539" s="291"/>
      <c r="M3539" s="291"/>
      <c r="S3539" s="364"/>
      <c r="Z3539" s="609" t="s">
        <v>3873</v>
      </c>
      <c r="AA3539" s="609" t="s">
        <v>5676</v>
      </c>
    </row>
    <row r="3540" spans="1:29" ht="18">
      <c r="A3540" s="2714"/>
      <c r="B3540" s="371">
        <v>103</v>
      </c>
      <c r="C3540" s="371" t="s">
        <v>2791</v>
      </c>
      <c r="D3540" s="2716">
        <f t="shared" si="408"/>
        <v>0</v>
      </c>
      <c r="E3540" s="2721">
        <v>1</v>
      </c>
      <c r="F3540" s="294"/>
      <c r="G3540" s="319" t="s">
        <v>2792</v>
      </c>
      <c r="H3540" s="309"/>
      <c r="I3540" s="346"/>
      <c r="J3540" s="291"/>
      <c r="K3540" s="291"/>
      <c r="L3540" s="291"/>
      <c r="M3540" s="291"/>
      <c r="S3540" s="364"/>
      <c r="Z3540" s="609" t="s">
        <v>3873</v>
      </c>
      <c r="AA3540" s="609" t="s">
        <v>5676</v>
      </c>
    </row>
    <row r="3541" spans="1:29" ht="18">
      <c r="A3541" s="2714"/>
      <c r="B3541" s="371">
        <v>104</v>
      </c>
      <c r="C3541" s="371" t="s">
        <v>2791</v>
      </c>
      <c r="D3541" s="2716">
        <f t="shared" si="408"/>
        <v>0</v>
      </c>
      <c r="E3541" s="2721">
        <v>1</v>
      </c>
      <c r="F3541" s="294"/>
      <c r="G3541" s="319" t="s">
        <v>2792</v>
      </c>
      <c r="H3541" s="309"/>
      <c r="I3541" s="346"/>
      <c r="J3541" s="291"/>
      <c r="K3541" s="291"/>
      <c r="L3541" s="291"/>
      <c r="M3541" s="291"/>
      <c r="S3541" s="364"/>
      <c r="Z3541" s="609" t="s">
        <v>3873</v>
      </c>
      <c r="AA3541" s="609" t="s">
        <v>5676</v>
      </c>
    </row>
    <row r="3542" spans="1:29" ht="18">
      <c r="A3542" s="2714"/>
      <c r="B3542" s="371">
        <v>105</v>
      </c>
      <c r="C3542" s="371" t="s">
        <v>2791</v>
      </c>
      <c r="D3542" s="2716">
        <f t="shared" si="408"/>
        <v>0</v>
      </c>
      <c r="E3542" s="2721">
        <v>1</v>
      </c>
      <c r="F3542" s="294"/>
      <c r="G3542" s="319" t="s">
        <v>2792</v>
      </c>
      <c r="H3542" s="309"/>
      <c r="I3542" s="346"/>
      <c r="J3542" s="291"/>
      <c r="K3542" s="291"/>
      <c r="L3542" s="291"/>
      <c r="M3542" s="291"/>
      <c r="S3542" s="364"/>
      <c r="Z3542" s="609" t="s">
        <v>3873</v>
      </c>
      <c r="AA3542" s="609" t="s">
        <v>5676</v>
      </c>
    </row>
    <row r="3543" spans="1:29" ht="18.75" thickBot="1">
      <c r="A3543" s="2714"/>
      <c r="B3543" s="371"/>
      <c r="C3543" s="371"/>
      <c r="D3543" s="2716">
        <f t="shared" si="408"/>
        <v>1</v>
      </c>
      <c r="E3543" s="2721" t="s">
        <v>2751</v>
      </c>
      <c r="F3543" s="294"/>
      <c r="G3543" s="374" t="s">
        <v>2752</v>
      </c>
      <c r="H3543" s="596">
        <f>SUMPRODUCT($E3537:$E3542,H3537:H3542)</f>
        <v>2360727.0299999998</v>
      </c>
      <c r="I3543" s="599">
        <f>SUMPRODUCT($E3537:$E3542,I3537:I3542)</f>
        <v>2229809.83</v>
      </c>
      <c r="J3543" s="1533" t="str">
        <f ca="1">HYPERLINK("#'"&amp;$G$1&amp;"'!"&amp;ADDRESS(ROW(Notes!H3556),COLUMN(Notes!H3556),4),"* 请勿删除此行！点击往勾稽单元格，F5+Enter返回")</f>
        <v>* 请勿删除此行！点击往勾稽单元格，F5+Enter返回</v>
      </c>
      <c r="K3543" s="291"/>
      <c r="L3543" s="291"/>
      <c r="M3543" s="291"/>
      <c r="S3543" s="364"/>
      <c r="Z3543" s="609" t="s">
        <v>3873</v>
      </c>
      <c r="AA3543" s="609" t="s">
        <v>5676</v>
      </c>
      <c r="AC3543" s="369" t="s">
        <v>6573</v>
      </c>
    </row>
    <row r="3544" spans="1:29" ht="18">
      <c r="A3544" s="2714"/>
      <c r="B3544" s="371"/>
      <c r="C3544" s="371" t="s">
        <v>2755</v>
      </c>
      <c r="D3544" s="371"/>
      <c r="F3544" s="294"/>
      <c r="G3544" s="301"/>
      <c r="H3544" s="315"/>
      <c r="I3544" s="315"/>
      <c r="J3544" s="291"/>
      <c r="K3544" s="291"/>
      <c r="L3544" s="291"/>
      <c r="M3544" s="291"/>
      <c r="S3544" s="364"/>
      <c r="Z3544" s="609" t="s">
        <v>3873</v>
      </c>
      <c r="AA3544" s="609" t="s">
        <v>5676</v>
      </c>
    </row>
    <row r="3545" spans="1:29" ht="18">
      <c r="A3545" s="2714" t="s">
        <v>1490</v>
      </c>
      <c r="B3545" s="371">
        <v>2</v>
      </c>
      <c r="C3545" s="371"/>
      <c r="D3545" s="2716" t="str">
        <f>VLOOKUP($A3545,Sheet_NoteList,2,0)</f>
        <v>预收账款按账龄列示</v>
      </c>
      <c r="E3545" s="2716" t="s">
        <v>6531</v>
      </c>
      <c r="F3545" s="294"/>
      <c r="G3545" s="307" t="str">
        <f>"("&amp;B3545&amp;")"&amp;D3545</f>
        <v>(2)预收账款按账龄列示</v>
      </c>
      <c r="H3545" s="1517" t="str">
        <f>$A3545</f>
        <v>2205g</v>
      </c>
      <c r="I3545" s="343" t="s">
        <v>5566</v>
      </c>
      <c r="J3545" s="301" t="s">
        <v>5564</v>
      </c>
      <c r="K3545" s="2210">
        <f>H3553</f>
        <v>0</v>
      </c>
      <c r="L3545" s="345">
        <f>IF($I3545="适用",IF(ROUND(K$3534-K3545,2)=0,"F/S",ROUND(K$3534-K3545,2)),"#N/A")</f>
        <v>2360727.0299999998</v>
      </c>
      <c r="M3545" s="301" t="s">
        <v>5565</v>
      </c>
      <c r="N3545" s="2210">
        <f>I3553</f>
        <v>0</v>
      </c>
      <c r="O3545" s="345">
        <f>IF($I3545="适用",IF(ROUND(N$3534-N3545,2)=0,"F/S",ROUND(N$3534-N3545,2)),"#N/A")</f>
        <v>2229809.83</v>
      </c>
      <c r="P3545" s="301"/>
      <c r="S3545" s="364"/>
      <c r="Z3545" s="609" t="s">
        <v>3873</v>
      </c>
      <c r="AA3545" s="609" t="s">
        <v>5676</v>
      </c>
    </row>
    <row r="3546" spans="1:29" ht="0.75" customHeight="1" thickBot="1">
      <c r="A3546" s="2714"/>
      <c r="B3546" s="371"/>
      <c r="C3546" s="371"/>
      <c r="D3546" s="371"/>
      <c r="E3546" s="586"/>
      <c r="F3546" s="586"/>
      <c r="G3546" s="586" t="s">
        <v>3877</v>
      </c>
      <c r="H3546" s="371" t="s">
        <v>2747</v>
      </c>
      <c r="I3546" s="371" t="s">
        <v>2748</v>
      </c>
      <c r="J3546" s="291"/>
      <c r="K3546" s="291"/>
      <c r="L3546" s="291"/>
      <c r="M3546" s="291"/>
      <c r="S3546" s="364"/>
      <c r="Z3546" s="609" t="s">
        <v>3873</v>
      </c>
      <c r="AA3546" s="609" t="s">
        <v>5676</v>
      </c>
    </row>
    <row r="3547" spans="1:29" ht="18">
      <c r="A3547" s="2714"/>
      <c r="B3547" s="371"/>
      <c r="C3547" s="371"/>
      <c r="D3547" s="371"/>
      <c r="E3547" s="586" t="s">
        <v>2749</v>
      </c>
      <c r="F3547" s="363"/>
      <c r="G3547" s="2660" t="s">
        <v>1439</v>
      </c>
      <c r="H3547" s="2661" t="s">
        <v>2775</v>
      </c>
      <c r="I3547" s="2662" t="s">
        <v>2776</v>
      </c>
      <c r="J3547" s="355" t="s">
        <v>6176</v>
      </c>
      <c r="K3547" s="291"/>
      <c r="L3547" s="291"/>
      <c r="M3547" s="291"/>
      <c r="S3547" s="364"/>
      <c r="Z3547" s="609" t="s">
        <v>3873</v>
      </c>
      <c r="AA3547" s="609" t="s">
        <v>5676</v>
      </c>
    </row>
    <row r="3548" spans="1:29" ht="18">
      <c r="A3548" s="2714"/>
      <c r="B3548" s="371">
        <v>101</v>
      </c>
      <c r="C3548" s="371" t="s">
        <v>2791</v>
      </c>
      <c r="D3548" s="2716">
        <f t="shared" ref="D3548:D3553" si="409">IF(OR(G3548="*",G3548="",G3548=0),0,COUNTIF($G$3548:$G$3553,G3548))</f>
        <v>1</v>
      </c>
      <c r="E3548" s="2721">
        <v>1</v>
      </c>
      <c r="F3548" s="294"/>
      <c r="G3548" s="2663" t="s">
        <v>3855</v>
      </c>
      <c r="H3548" s="2275"/>
      <c r="I3548" s="2296"/>
      <c r="J3548" s="579"/>
      <c r="K3548" s="291"/>
      <c r="L3548" s="291"/>
      <c r="M3548" s="291"/>
      <c r="S3548" s="364"/>
      <c r="Z3548" s="609" t="s">
        <v>3873</v>
      </c>
      <c r="AA3548" s="609" t="s">
        <v>5676</v>
      </c>
    </row>
    <row r="3549" spans="1:29" ht="18">
      <c r="A3549" s="2714"/>
      <c r="B3549" s="371">
        <v>102</v>
      </c>
      <c r="C3549" s="371" t="s">
        <v>2791</v>
      </c>
      <c r="D3549" s="2716">
        <f t="shared" si="409"/>
        <v>1</v>
      </c>
      <c r="E3549" s="2721">
        <v>1</v>
      </c>
      <c r="F3549" s="294"/>
      <c r="G3549" s="2663" t="s">
        <v>3878</v>
      </c>
      <c r="H3549" s="2275"/>
      <c r="I3549" s="2296"/>
      <c r="J3549" s="291"/>
      <c r="K3549" s="291"/>
      <c r="L3549" s="291"/>
      <c r="M3549" s="291"/>
      <c r="S3549" s="364"/>
      <c r="Z3549" s="609" t="s">
        <v>3873</v>
      </c>
      <c r="AA3549" s="609" t="s">
        <v>5676</v>
      </c>
    </row>
    <row r="3550" spans="1:29" ht="18">
      <c r="A3550" s="2714"/>
      <c r="B3550" s="371">
        <v>103</v>
      </c>
      <c r="C3550" s="371" t="s">
        <v>2791</v>
      </c>
      <c r="D3550" s="2716">
        <f t="shared" si="409"/>
        <v>0</v>
      </c>
      <c r="E3550" s="2721">
        <v>1</v>
      </c>
      <c r="F3550" s="294"/>
      <c r="G3550" s="2663" t="s">
        <v>2792</v>
      </c>
      <c r="H3550" s="2275"/>
      <c r="I3550" s="2296"/>
      <c r="J3550" s="291"/>
      <c r="K3550" s="291"/>
      <c r="L3550" s="291"/>
      <c r="M3550" s="291"/>
      <c r="S3550" s="364"/>
      <c r="Z3550" s="609" t="s">
        <v>3873</v>
      </c>
      <c r="AA3550" s="609" t="s">
        <v>5676</v>
      </c>
    </row>
    <row r="3551" spans="1:29" ht="18">
      <c r="A3551" s="2714"/>
      <c r="B3551" s="371">
        <v>104</v>
      </c>
      <c r="C3551" s="371" t="s">
        <v>2791</v>
      </c>
      <c r="D3551" s="2716">
        <f t="shared" si="409"/>
        <v>0</v>
      </c>
      <c r="E3551" s="2721">
        <v>1</v>
      </c>
      <c r="F3551" s="294"/>
      <c r="G3551" s="2663" t="s">
        <v>2792</v>
      </c>
      <c r="H3551" s="2275"/>
      <c r="I3551" s="2296"/>
      <c r="J3551" s="291"/>
      <c r="K3551" s="291"/>
      <c r="L3551" s="291"/>
      <c r="M3551" s="291"/>
      <c r="S3551" s="364"/>
      <c r="Z3551" s="609" t="s">
        <v>3873</v>
      </c>
      <c r="AA3551" s="609" t="s">
        <v>5676</v>
      </c>
    </row>
    <row r="3552" spans="1:29" ht="18">
      <c r="A3552" s="2714"/>
      <c r="B3552" s="371">
        <v>105</v>
      </c>
      <c r="C3552" s="371" t="s">
        <v>2791</v>
      </c>
      <c r="D3552" s="2716">
        <f t="shared" si="409"/>
        <v>0</v>
      </c>
      <c r="E3552" s="2721">
        <v>1</v>
      </c>
      <c r="F3552" s="294"/>
      <c r="G3552" s="2663" t="s">
        <v>2792</v>
      </c>
      <c r="H3552" s="2275"/>
      <c r="I3552" s="2296"/>
      <c r="J3552" s="291"/>
      <c r="K3552" s="291"/>
      <c r="L3552" s="291"/>
      <c r="M3552" s="291"/>
      <c r="S3552" s="364"/>
      <c r="Z3552" s="609" t="s">
        <v>3873</v>
      </c>
      <c r="AA3552" s="609" t="s">
        <v>5676</v>
      </c>
    </row>
    <row r="3553" spans="1:27" ht="18.75" thickBot="1">
      <c r="A3553" s="2714"/>
      <c r="B3553" s="371"/>
      <c r="C3553" s="371"/>
      <c r="D3553" s="2716">
        <f t="shared" si="409"/>
        <v>1</v>
      </c>
      <c r="E3553" s="2721" t="s">
        <v>2751</v>
      </c>
      <c r="F3553" s="294"/>
      <c r="G3553" s="1529" t="s">
        <v>2752</v>
      </c>
      <c r="H3553" s="1527">
        <f>SUMPRODUCT($E3547:$E3552,H3547:H3552)</f>
        <v>0</v>
      </c>
      <c r="I3553" s="1528">
        <f>SUMPRODUCT($E3547:$E3552,I3547:I3552)</f>
        <v>0</v>
      </c>
      <c r="J3553" s="291"/>
      <c r="K3553" s="291"/>
      <c r="L3553" s="291"/>
      <c r="M3553" s="291"/>
      <c r="S3553" s="364"/>
      <c r="Z3553" s="609" t="s">
        <v>3873</v>
      </c>
      <c r="AA3553" s="609" t="s">
        <v>5676</v>
      </c>
    </row>
    <row r="3554" spans="1:27" ht="18.75" thickBot="1">
      <c r="A3554" s="2714"/>
      <c r="B3554" s="371"/>
      <c r="C3554" s="371" t="s">
        <v>2755</v>
      </c>
      <c r="D3554" s="371"/>
      <c r="F3554" s="294"/>
      <c r="G3554" s="301"/>
      <c r="H3554" s="315" t="s">
        <v>3002</v>
      </c>
      <c r="I3554" s="315" t="s">
        <v>3002</v>
      </c>
      <c r="J3554" s="291"/>
      <c r="K3554" s="291"/>
      <c r="L3554" s="291"/>
      <c r="M3554" s="291"/>
      <c r="S3554" s="364"/>
      <c r="Z3554" s="609" t="s">
        <v>3873</v>
      </c>
      <c r="AA3554" s="609" t="s">
        <v>5676</v>
      </c>
    </row>
    <row r="3555" spans="1:27" ht="18.75" thickTop="1">
      <c r="A3555" s="2714"/>
      <c r="B3555" s="371"/>
      <c r="C3555" s="371" t="s">
        <v>2565</v>
      </c>
      <c r="D3555" s="371"/>
      <c r="F3555" s="294"/>
      <c r="G3555" s="1561" t="s">
        <v>5367</v>
      </c>
      <c r="H3555" s="1550" t="str">
        <f>G3535</f>
        <v>(1)预收款项列示</v>
      </c>
      <c r="I3555" s="1552"/>
      <c r="J3555" s="1553" t="s">
        <v>5368</v>
      </c>
      <c r="K3555" s="291"/>
      <c r="L3555" s="291"/>
      <c r="M3555" s="291"/>
      <c r="S3555" s="364"/>
      <c r="Z3555" s="609" t="s">
        <v>3873</v>
      </c>
      <c r="AA3555" s="609" t="s">
        <v>5676</v>
      </c>
    </row>
    <row r="3556" spans="1:27" ht="18">
      <c r="A3556" s="2714"/>
      <c r="B3556" s="371"/>
      <c r="C3556" s="371" t="s">
        <v>2565</v>
      </c>
      <c r="D3556" s="371"/>
      <c r="F3556" s="294"/>
      <c r="G3556" s="316" t="str">
        <f>"注释A:"&amp; G3543</f>
        <v>注释A:合       计</v>
      </c>
      <c r="H3556" s="2252">
        <f ca="1">HYPERLINK("#'"&amp;$G$1&amp;"'!"&amp;ADDRESS(ROW(Notes!H3543),COLUMN(Notes!H3543),4),H3543)</f>
        <v>2360727.0299999998</v>
      </c>
      <c r="I3556" s="2252">
        <f ca="1">HYPERLINK("#'"&amp;$G$1&amp;"'!"&amp;ADDRESS(ROW(Notes!I3543),COLUMN(Notes!I3543),4),I3543)</f>
        <v>2229809.83</v>
      </c>
      <c r="J3556" s="2632" t="str">
        <f>H3535</f>
        <v>2205f</v>
      </c>
      <c r="K3556" s="291"/>
      <c r="L3556" s="291"/>
      <c r="M3556" s="291"/>
      <c r="S3556" s="364"/>
      <c r="Z3556" s="609" t="s">
        <v>3873</v>
      </c>
      <c r="AA3556" s="609" t="s">
        <v>5676</v>
      </c>
    </row>
    <row r="3557" spans="1:27" ht="18">
      <c r="A3557" s="2714"/>
      <c r="B3557" s="371"/>
      <c r="C3557" s="371" t="s">
        <v>2565</v>
      </c>
      <c r="D3557" s="371"/>
      <c r="F3557" s="294"/>
      <c r="G3557" s="316" t="str">
        <f>"本注释B:"&amp; G3553</f>
        <v>本注释B:合       计</v>
      </c>
      <c r="H3557" s="456">
        <f>H3553</f>
        <v>0</v>
      </c>
      <c r="I3557" s="456">
        <f>I3553</f>
        <v>0</v>
      </c>
      <c r="J3557" s="2638" t="s">
        <v>1490</v>
      </c>
      <c r="K3557" s="291"/>
      <c r="L3557" s="291"/>
      <c r="M3557" s="291"/>
      <c r="S3557" s="364"/>
      <c r="Z3557" s="609" t="s">
        <v>3873</v>
      </c>
      <c r="AA3557" s="609" t="s">
        <v>5676</v>
      </c>
    </row>
    <row r="3558" spans="1:27" ht="18.75" thickBot="1">
      <c r="A3558" s="2714"/>
      <c r="B3558" s="371"/>
      <c r="C3558" s="371" t="s">
        <v>2565</v>
      </c>
      <c r="D3558" s="371"/>
      <c r="F3558" s="294"/>
      <c r="G3558" s="1562" t="s">
        <v>2757</v>
      </c>
      <c r="H3558" s="1531">
        <f ca="1">IF(AND(H3556="",H3557=""),"",ROUND(H3556-H3557,2))</f>
        <v>2360727.0299999998</v>
      </c>
      <c r="I3558" s="1531">
        <f ca="1">IF(AND(I3556="",I3557=""),"",ROUND(I3556-I3557,2))</f>
        <v>2229809.83</v>
      </c>
      <c r="J3558" s="1555"/>
      <c r="K3558" s="291"/>
      <c r="L3558" s="291"/>
      <c r="M3558" s="291"/>
      <c r="S3558" s="364"/>
      <c r="Z3558" s="609" t="s">
        <v>3873</v>
      </c>
      <c r="AA3558" s="609" t="s">
        <v>5676</v>
      </c>
    </row>
    <row r="3559" spans="1:27" ht="18.75" thickTop="1">
      <c r="A3559" s="2714"/>
      <c r="B3559" s="371"/>
      <c r="C3559" s="371" t="s">
        <v>2565</v>
      </c>
      <c r="D3559" s="371"/>
      <c r="F3559" s="294"/>
      <c r="G3559" s="354"/>
      <c r="H3559" s="459" t="str">
        <f ca="1">IF(OR(H3558=0,H3558=""),"√","？")</f>
        <v>？</v>
      </c>
      <c r="I3559" s="459" t="str">
        <f ca="1">IF(OR(I3558=0,I3558=""),"√","？")</f>
        <v>？</v>
      </c>
      <c r="J3559" s="354"/>
      <c r="K3559" s="291"/>
      <c r="L3559" s="291"/>
      <c r="M3559" s="291"/>
      <c r="S3559" s="364"/>
      <c r="Z3559" s="609" t="s">
        <v>3873</v>
      </c>
      <c r="AA3559" s="609" t="s">
        <v>5676</v>
      </c>
    </row>
    <row r="3560" spans="1:27" ht="18">
      <c r="A3560" s="2714"/>
      <c r="B3560" s="371"/>
      <c r="C3560" s="371" t="s">
        <v>2565</v>
      </c>
      <c r="D3560" s="371"/>
      <c r="F3560" s="294"/>
      <c r="G3560" s="460" t="s">
        <v>2759</v>
      </c>
      <c r="H3560" s="461"/>
      <c r="I3560" s="461"/>
      <c r="J3560" s="354"/>
      <c r="K3560" s="345">
        <f ca="1">SUMIF($H$3559:$J$3559,"&lt;&gt;√",$H$3558:$J$3558)</f>
        <v>4590536.8600000003</v>
      </c>
      <c r="L3560" s="475" t="str">
        <f ca="1">IF(OR(K3560=0,K3560=""),"√","？")</f>
        <v>？</v>
      </c>
      <c r="M3560" s="291"/>
      <c r="S3560" s="364"/>
      <c r="Z3560" s="609" t="s">
        <v>3873</v>
      </c>
      <c r="AA3560" s="609" t="s">
        <v>5676</v>
      </c>
    </row>
    <row r="3561" spans="1:27" ht="18">
      <c r="A3561" s="2714"/>
      <c r="B3561" s="371"/>
      <c r="C3561" s="371" t="s">
        <v>2565</v>
      </c>
      <c r="D3561" s="371"/>
      <c r="F3561" s="294"/>
      <c r="G3561" s="354"/>
      <c r="H3561" s="461"/>
      <c r="I3561" s="461"/>
      <c r="J3561" s="354"/>
      <c r="K3561" s="291"/>
      <c r="L3561" s="291"/>
      <c r="M3561" s="291"/>
      <c r="S3561" s="364"/>
      <c r="Z3561" s="609" t="s">
        <v>3873</v>
      </c>
      <c r="AA3561" s="609" t="s">
        <v>5676</v>
      </c>
    </row>
    <row r="3562" spans="1:27" ht="24">
      <c r="A3562" s="2714" t="s">
        <v>1463</v>
      </c>
      <c r="B3562" s="371">
        <v>3</v>
      </c>
      <c r="C3562" s="371"/>
      <c r="D3562" s="2716" t="str">
        <f>VLOOKUP($A3562,Sheet_NoteList,2,0)</f>
        <v>期末账龄超过1年的重要预收款项</v>
      </c>
      <c r="E3562" s="2716" t="s">
        <v>2742</v>
      </c>
      <c r="F3562" s="294"/>
      <c r="G3562" s="372" t="str">
        <f>"("&amp;B3562&amp;")"&amp;D3562</f>
        <v>(3)期末账龄超过1年的重要预收款项</v>
      </c>
      <c r="H3562" s="1517" t="str">
        <f>$A3562</f>
        <v>2205a</v>
      </c>
      <c r="I3562" s="343" t="s">
        <v>2743</v>
      </c>
      <c r="J3562" s="301" t="s">
        <v>2744</v>
      </c>
      <c r="K3562" s="2210">
        <f>H3570</f>
        <v>0</v>
      </c>
      <c r="L3562" s="345" t="str">
        <f>IF($I3562="适用",IF(ROUND(K3534-K3562,2)&gt;=0,"","#Logical!"),"#N/A")</f>
        <v/>
      </c>
      <c r="M3562" s="301"/>
      <c r="N3562" s="3083"/>
      <c r="O3562" s="315"/>
      <c r="P3562" s="301"/>
      <c r="Q3562" s="290" t="str">
        <f>IF($I3562="不适用","",IF(ROUND(SUM($H$3565:$I$3570),2)=0,"请输入",""))</f>
        <v>请输入</v>
      </c>
      <c r="S3562" s="364"/>
      <c r="Z3562" s="609" t="s">
        <v>3873</v>
      </c>
      <c r="AA3562" s="609" t="s">
        <v>5676</v>
      </c>
    </row>
    <row r="3563" spans="1:27" ht="0.75" customHeight="1" thickBot="1">
      <c r="A3563" s="2714"/>
      <c r="B3563" s="371"/>
      <c r="C3563" s="371"/>
      <c r="D3563" s="371"/>
      <c r="F3563" s="304"/>
      <c r="G3563" s="304" t="s">
        <v>3879</v>
      </c>
      <c r="H3563" s="304" t="s">
        <v>2747</v>
      </c>
      <c r="I3563" s="304" t="s">
        <v>3880</v>
      </c>
      <c r="K3563" s="291"/>
      <c r="L3563" s="291"/>
      <c r="M3563" s="291"/>
      <c r="N3563" s="291"/>
      <c r="S3563" s="364"/>
      <c r="Z3563" s="609" t="s">
        <v>3873</v>
      </c>
      <c r="AA3563" s="609" t="s">
        <v>5676</v>
      </c>
    </row>
    <row r="3564" spans="1:27" ht="24">
      <c r="A3564" s="2714"/>
      <c r="B3564" s="371"/>
      <c r="C3564" s="371"/>
      <c r="D3564" s="371"/>
      <c r="E3564" s="2716" t="s">
        <v>2749</v>
      </c>
      <c r="F3564" s="294"/>
      <c r="G3564" s="378" t="s">
        <v>47</v>
      </c>
      <c r="H3564" s="2473" t="str">
        <f>$V$2</f>
        <v>2019年12月31日</v>
      </c>
      <c r="I3564" s="1488" t="s">
        <v>5213</v>
      </c>
      <c r="J3564" s="355" t="s">
        <v>5304</v>
      </c>
      <c r="K3564" s="291"/>
      <c r="L3564" s="291"/>
      <c r="M3564" s="291"/>
      <c r="N3564" s="291"/>
      <c r="S3564" s="364"/>
      <c r="Z3564" s="609" t="s">
        <v>3873</v>
      </c>
      <c r="AA3564" s="609" t="s">
        <v>5676</v>
      </c>
    </row>
    <row r="3565" spans="1:27" ht="18">
      <c r="A3565" s="2714"/>
      <c r="B3565" s="371">
        <v>101</v>
      </c>
      <c r="C3565" s="371" t="s">
        <v>2791</v>
      </c>
      <c r="D3565" s="2716">
        <f t="shared" ref="D3565:D3570" si="410">IF(OR(G3565="*",G3565="",G3565=0),0,COUNTIF($G$3565:$G$3570,G3565))</f>
        <v>0</v>
      </c>
      <c r="E3565" s="2721">
        <v>1</v>
      </c>
      <c r="F3565" s="294"/>
      <c r="G3565" s="409" t="s">
        <v>2792</v>
      </c>
      <c r="H3565" s="383"/>
      <c r="I3565" s="492"/>
      <c r="K3565" s="291"/>
      <c r="L3565" s="291"/>
      <c r="M3565" s="291"/>
      <c r="N3565" s="291"/>
      <c r="S3565" s="364"/>
      <c r="Z3565" s="609" t="s">
        <v>3873</v>
      </c>
      <c r="AA3565" s="609" t="s">
        <v>5676</v>
      </c>
    </row>
    <row r="3566" spans="1:27" ht="18">
      <c r="A3566" s="2714"/>
      <c r="B3566" s="371">
        <v>102</v>
      </c>
      <c r="C3566" s="371" t="s">
        <v>2791</v>
      </c>
      <c r="D3566" s="2716">
        <f t="shared" si="410"/>
        <v>0</v>
      </c>
      <c r="E3566" s="2721">
        <v>1</v>
      </c>
      <c r="F3566" s="294"/>
      <c r="G3566" s="409" t="s">
        <v>2792</v>
      </c>
      <c r="H3566" s="383"/>
      <c r="I3566" s="492"/>
      <c r="K3566" s="291"/>
      <c r="L3566" s="291"/>
      <c r="M3566" s="291"/>
      <c r="N3566" s="291"/>
      <c r="S3566" s="364"/>
      <c r="Z3566" s="609" t="s">
        <v>3873</v>
      </c>
      <c r="AA3566" s="609" t="s">
        <v>5676</v>
      </c>
    </row>
    <row r="3567" spans="1:27" ht="18">
      <c r="A3567" s="2714"/>
      <c r="B3567" s="371">
        <v>103</v>
      </c>
      <c r="C3567" s="371" t="s">
        <v>2791</v>
      </c>
      <c r="D3567" s="2716">
        <f t="shared" si="410"/>
        <v>0</v>
      </c>
      <c r="E3567" s="2721">
        <v>1</v>
      </c>
      <c r="F3567" s="294"/>
      <c r="G3567" s="409" t="s">
        <v>2792</v>
      </c>
      <c r="H3567" s="383"/>
      <c r="I3567" s="492"/>
      <c r="K3567" s="291"/>
      <c r="L3567" s="291"/>
      <c r="M3567" s="291"/>
      <c r="N3567" s="291"/>
      <c r="S3567" s="364"/>
      <c r="Z3567" s="609" t="s">
        <v>3873</v>
      </c>
      <c r="AA3567" s="609" t="s">
        <v>5676</v>
      </c>
    </row>
    <row r="3568" spans="1:27" ht="18">
      <c r="A3568" s="2714"/>
      <c r="B3568" s="371">
        <v>104</v>
      </c>
      <c r="C3568" s="371" t="s">
        <v>2791</v>
      </c>
      <c r="D3568" s="2716">
        <f t="shared" si="410"/>
        <v>0</v>
      </c>
      <c r="E3568" s="2721">
        <v>1</v>
      </c>
      <c r="F3568" s="294"/>
      <c r="G3568" s="409" t="s">
        <v>2792</v>
      </c>
      <c r="H3568" s="383"/>
      <c r="I3568" s="492"/>
      <c r="K3568" s="291"/>
      <c r="L3568" s="291"/>
      <c r="M3568" s="291"/>
      <c r="N3568" s="291"/>
      <c r="S3568" s="364"/>
      <c r="Z3568" s="609" t="s">
        <v>3873</v>
      </c>
      <c r="AA3568" s="609" t="s">
        <v>5676</v>
      </c>
    </row>
    <row r="3569" spans="1:27" ht="18">
      <c r="A3569" s="2714"/>
      <c r="B3569" s="371">
        <v>105</v>
      </c>
      <c r="C3569" s="371" t="s">
        <v>2791</v>
      </c>
      <c r="D3569" s="2716">
        <f t="shared" si="410"/>
        <v>0</v>
      </c>
      <c r="E3569" s="2721">
        <v>1</v>
      </c>
      <c r="F3569" s="294"/>
      <c r="G3569" s="409" t="s">
        <v>2792</v>
      </c>
      <c r="H3569" s="383"/>
      <c r="I3569" s="492"/>
      <c r="K3569" s="291"/>
      <c r="L3569" s="291"/>
      <c r="M3569" s="291"/>
      <c r="N3569" s="291"/>
      <c r="S3569" s="364"/>
      <c r="Z3569" s="609" t="s">
        <v>3873</v>
      </c>
      <c r="AA3569" s="609" t="s">
        <v>5676</v>
      </c>
    </row>
    <row r="3570" spans="1:27" ht="18.75" thickBot="1">
      <c r="A3570" s="2714"/>
      <c r="B3570" s="371"/>
      <c r="C3570" s="371"/>
      <c r="D3570" s="2716">
        <f t="shared" si="410"/>
        <v>1</v>
      </c>
      <c r="E3570" s="2721" t="s">
        <v>2751</v>
      </c>
      <c r="F3570" s="294"/>
      <c r="G3570" s="403" t="s">
        <v>2752</v>
      </c>
      <c r="H3570" s="503">
        <f>SUMPRODUCT($E3564:$E3569,H3564:H3569)</f>
        <v>0</v>
      </c>
      <c r="I3570" s="513"/>
      <c r="K3570" s="291"/>
      <c r="L3570" s="291"/>
      <c r="M3570" s="291"/>
      <c r="N3570" s="291"/>
      <c r="S3570" s="364"/>
      <c r="Z3570" s="609" t="s">
        <v>3873</v>
      </c>
      <c r="AA3570" s="609" t="s">
        <v>5676</v>
      </c>
    </row>
    <row r="3571" spans="1:27" ht="18">
      <c r="A3571" s="2714"/>
      <c r="B3571" s="371"/>
      <c r="C3571" s="371" t="s">
        <v>2755</v>
      </c>
      <c r="D3571" s="371"/>
      <c r="F3571" s="294"/>
      <c r="G3571" s="301"/>
      <c r="H3571" s="349"/>
      <c r="I3571" s="350"/>
      <c r="J3571" s="350"/>
      <c r="K3571" s="291"/>
      <c r="L3571" s="291"/>
      <c r="M3571" s="291"/>
      <c r="N3571" s="291"/>
      <c r="S3571" s="364"/>
      <c r="Z3571" s="609" t="s">
        <v>3873</v>
      </c>
      <c r="AA3571" s="609" t="s">
        <v>5676</v>
      </c>
    </row>
    <row r="3572" spans="1:27" ht="24">
      <c r="A3572" s="2714" t="s">
        <v>1469</v>
      </c>
      <c r="B3572" s="371">
        <v>4</v>
      </c>
      <c r="C3572" s="371"/>
      <c r="D3572" s="2716" t="str">
        <f>VLOOKUP($A3572,Sheet_NoteList,2,0)</f>
        <v>建造合同形成的已结算未完工项目情况</v>
      </c>
      <c r="E3572" s="2716" t="s">
        <v>2742</v>
      </c>
      <c r="F3572" s="294"/>
      <c r="G3572" s="372" t="str">
        <f>"("&amp;B3572&amp;")"&amp;D3572</f>
        <v>(4)建造合同形成的已结算未完工项目情况</v>
      </c>
      <c r="H3572" s="1517" t="str">
        <f>$A3572</f>
        <v>2205h</v>
      </c>
      <c r="I3572" s="343" t="s">
        <v>2743</v>
      </c>
      <c r="J3572" s="301" t="s">
        <v>2744</v>
      </c>
      <c r="K3572" s="2210">
        <f>H3580</f>
        <v>0</v>
      </c>
      <c r="L3572" s="315"/>
      <c r="M3572" s="301"/>
      <c r="N3572" s="3083"/>
      <c r="O3572" s="315"/>
      <c r="P3572" s="301"/>
      <c r="Q3572" s="290" t="str">
        <f>IF($I3572="不适用","",IF(ROUND(SUM($H$3575:$I$3580),2)=0,"请输入",""))</f>
        <v>请输入</v>
      </c>
      <c r="S3572" s="364"/>
      <c r="Z3572" s="609" t="s">
        <v>3873</v>
      </c>
      <c r="AA3572" s="609" t="s">
        <v>5676</v>
      </c>
    </row>
    <row r="3573" spans="1:27" ht="0.75" customHeight="1" thickBot="1">
      <c r="A3573" s="2714"/>
      <c r="B3573" s="371"/>
      <c r="C3573" s="371"/>
      <c r="D3573" s="371"/>
      <c r="E3573" s="586"/>
      <c r="F3573" s="586"/>
      <c r="G3573" s="586" t="s">
        <v>3881</v>
      </c>
      <c r="H3573" s="371" t="s">
        <v>2747</v>
      </c>
      <c r="I3573" s="602"/>
      <c r="J3573" s="472"/>
      <c r="K3573" s="472"/>
      <c r="L3573" s="472"/>
      <c r="M3573" s="472"/>
      <c r="N3573" s="472"/>
      <c r="O3573" s="472"/>
      <c r="P3573" s="442"/>
      <c r="Q3573" s="442"/>
      <c r="R3573" s="443"/>
      <c r="S3573" s="364"/>
      <c r="Z3573" s="609" t="s">
        <v>3873</v>
      </c>
      <c r="AA3573" s="609" t="s">
        <v>5676</v>
      </c>
    </row>
    <row r="3574" spans="1:27" ht="18">
      <c r="A3574" s="2714"/>
      <c r="B3574" s="371"/>
      <c r="C3574" s="371"/>
      <c r="D3574" s="371"/>
      <c r="E3574" s="586" t="s">
        <v>2749</v>
      </c>
      <c r="F3574" s="363"/>
      <c r="G3574" s="2361" t="s">
        <v>47</v>
      </c>
      <c r="H3574" s="2479" t="str">
        <f>$V$2</f>
        <v>2019年12月31日</v>
      </c>
      <c r="I3574" s="355" t="s">
        <v>5304</v>
      </c>
      <c r="J3574" s="537"/>
      <c r="K3574" s="537"/>
      <c r="L3574" s="472"/>
      <c r="M3574" s="472"/>
      <c r="N3574" s="472"/>
      <c r="O3574" s="472"/>
      <c r="P3574" s="442"/>
      <c r="Q3574" s="442"/>
      <c r="R3574" s="443"/>
      <c r="S3574" s="364"/>
      <c r="Z3574" s="609" t="s">
        <v>3873</v>
      </c>
      <c r="AA3574" s="609" t="s">
        <v>5676</v>
      </c>
    </row>
    <row r="3575" spans="1:27" ht="18">
      <c r="A3575" s="2714"/>
      <c r="B3575" s="371">
        <v>101</v>
      </c>
      <c r="C3575" s="371"/>
      <c r="D3575" s="2716">
        <f t="shared" ref="D3575:D3580" si="411">IF(OR(G3575="*",G3575="",G3575=0),0,COUNTIF($G$3575:$G$3580,G3575))</f>
        <v>1</v>
      </c>
      <c r="E3575" s="2721">
        <v>1</v>
      </c>
      <c r="F3575" s="294"/>
      <c r="G3575" s="1474" t="s">
        <v>3258</v>
      </c>
      <c r="H3575" s="2296"/>
      <c r="I3575" s="538"/>
      <c r="J3575" s="537"/>
      <c r="K3575" s="537"/>
      <c r="L3575" s="472"/>
      <c r="M3575" s="472"/>
      <c r="N3575" s="472"/>
      <c r="O3575" s="472"/>
      <c r="P3575" s="442"/>
      <c r="Q3575" s="442"/>
      <c r="R3575" s="443"/>
      <c r="S3575" s="364"/>
      <c r="Z3575" s="609" t="s">
        <v>3873</v>
      </c>
      <c r="AA3575" s="609" t="s">
        <v>5676</v>
      </c>
    </row>
    <row r="3576" spans="1:27" ht="18">
      <c r="A3576" s="2714"/>
      <c r="B3576" s="371">
        <v>102</v>
      </c>
      <c r="C3576" s="371"/>
      <c r="D3576" s="2716">
        <f t="shared" si="411"/>
        <v>1</v>
      </c>
      <c r="E3576" s="2721">
        <v>1</v>
      </c>
      <c r="F3576" s="294"/>
      <c r="G3576" s="1474" t="s">
        <v>3259</v>
      </c>
      <c r="H3576" s="2296"/>
      <c r="I3576" s="437"/>
      <c r="J3576" s="472"/>
      <c r="K3576" s="472"/>
      <c r="L3576" s="472"/>
      <c r="M3576" s="472"/>
      <c r="N3576" s="472"/>
      <c r="O3576" s="472"/>
      <c r="P3576" s="442"/>
      <c r="Q3576" s="442"/>
      <c r="R3576" s="443"/>
      <c r="S3576" s="364"/>
      <c r="Z3576" s="609" t="s">
        <v>3873</v>
      </c>
      <c r="AA3576" s="609" t="s">
        <v>5676</v>
      </c>
    </row>
    <row r="3577" spans="1:27" ht="18">
      <c r="A3577" s="2714"/>
      <c r="B3577" s="371">
        <v>103</v>
      </c>
      <c r="C3577" s="371"/>
      <c r="D3577" s="2716">
        <f t="shared" si="411"/>
        <v>1</v>
      </c>
      <c r="E3577" s="2721">
        <v>-1</v>
      </c>
      <c r="F3577" s="294"/>
      <c r="G3577" s="1474" t="s">
        <v>3882</v>
      </c>
      <c r="H3577" s="2296"/>
      <c r="I3577" s="437"/>
      <c r="J3577" s="472"/>
      <c r="K3577" s="472"/>
      <c r="L3577" s="472"/>
      <c r="M3577" s="472"/>
      <c r="N3577" s="472"/>
      <c r="O3577" s="472"/>
      <c r="P3577" s="442"/>
      <c r="Q3577" s="442"/>
      <c r="R3577" s="443"/>
      <c r="S3577" s="364"/>
      <c r="Z3577" s="609" t="s">
        <v>3873</v>
      </c>
      <c r="AA3577" s="609" t="s">
        <v>5676</v>
      </c>
    </row>
    <row r="3578" spans="1:27" ht="18">
      <c r="A3578" s="2714"/>
      <c r="B3578" s="371">
        <v>104</v>
      </c>
      <c r="C3578" s="371"/>
      <c r="D3578" s="2716">
        <f t="shared" si="411"/>
        <v>1</v>
      </c>
      <c r="E3578" s="2721">
        <v>-1</v>
      </c>
      <c r="F3578" s="294"/>
      <c r="G3578" s="1474" t="s">
        <v>3883</v>
      </c>
      <c r="H3578" s="2296"/>
      <c r="I3578" s="437"/>
      <c r="J3578" s="472"/>
      <c r="K3578" s="472"/>
      <c r="L3578" s="472"/>
      <c r="M3578" s="472"/>
      <c r="N3578" s="472"/>
      <c r="O3578" s="472"/>
      <c r="P3578" s="442"/>
      <c r="Q3578" s="442"/>
      <c r="R3578" s="443"/>
      <c r="S3578" s="364"/>
      <c r="Z3578" s="609" t="s">
        <v>3873</v>
      </c>
      <c r="AA3578" s="609" t="s">
        <v>5676</v>
      </c>
    </row>
    <row r="3579" spans="1:27" ht="18">
      <c r="A3579" s="2714"/>
      <c r="B3579" s="371">
        <v>105</v>
      </c>
      <c r="C3579" s="371" t="s">
        <v>2791</v>
      </c>
      <c r="D3579" s="2716">
        <f t="shared" si="411"/>
        <v>0</v>
      </c>
      <c r="E3579" s="2721">
        <v>1</v>
      </c>
      <c r="F3579" s="294"/>
      <c r="G3579" s="2375" t="s">
        <v>2792</v>
      </c>
      <c r="H3579" s="2296"/>
      <c r="I3579" s="437"/>
      <c r="J3579" s="472"/>
      <c r="K3579" s="472"/>
      <c r="L3579" s="472"/>
      <c r="M3579" s="472"/>
      <c r="N3579" s="472"/>
      <c r="O3579" s="472"/>
      <c r="P3579" s="442"/>
      <c r="Q3579" s="442"/>
      <c r="R3579" s="443"/>
      <c r="S3579" s="364"/>
      <c r="Z3579" s="609" t="s">
        <v>3873</v>
      </c>
      <c r="AA3579" s="609" t="s">
        <v>5676</v>
      </c>
    </row>
    <row r="3580" spans="1:27" ht="24.75" thickBot="1">
      <c r="A3580" s="2714"/>
      <c r="B3580" s="371"/>
      <c r="C3580" s="371"/>
      <c r="D3580" s="2716">
        <f t="shared" si="411"/>
        <v>1</v>
      </c>
      <c r="E3580" s="2721" t="s">
        <v>3032</v>
      </c>
      <c r="F3580" s="294"/>
      <c r="G3580" s="2234" t="s">
        <v>3884</v>
      </c>
      <c r="H3580" s="2236">
        <f>SUMPRODUCT($E3574:$E3579,H3574:H3579)</f>
        <v>0</v>
      </c>
      <c r="I3580" s="437"/>
      <c r="J3580" s="472"/>
      <c r="K3580" s="472"/>
      <c r="L3580" s="472"/>
      <c r="M3580" s="472"/>
      <c r="N3580" s="472"/>
      <c r="O3580" s="472"/>
      <c r="P3580" s="442"/>
      <c r="Q3580" s="442"/>
      <c r="R3580" s="443"/>
      <c r="S3580" s="364"/>
      <c r="Z3580" s="609" t="s">
        <v>3873</v>
      </c>
      <c r="AA3580" s="609" t="s">
        <v>5676</v>
      </c>
    </row>
    <row r="3581" spans="1:27" ht="18">
      <c r="A3581" s="2714"/>
      <c r="B3581" s="371"/>
      <c r="C3581" s="371" t="s">
        <v>2755</v>
      </c>
      <c r="D3581" s="371"/>
      <c r="F3581" s="294"/>
      <c r="G3581" s="301"/>
      <c r="H3581" s="315"/>
      <c r="I3581" s="437"/>
      <c r="J3581" s="472"/>
      <c r="K3581" s="472"/>
      <c r="L3581" s="472"/>
      <c r="M3581" s="472"/>
      <c r="N3581" s="472"/>
      <c r="O3581" s="472"/>
      <c r="P3581" s="442"/>
      <c r="Q3581" s="442"/>
      <c r="R3581" s="443"/>
      <c r="S3581" s="364"/>
      <c r="Z3581" s="609" t="s">
        <v>3873</v>
      </c>
      <c r="AA3581" s="609" t="s">
        <v>5676</v>
      </c>
    </row>
    <row r="3582" spans="1:27" ht="24">
      <c r="A3582" s="2714" t="s">
        <v>1485</v>
      </c>
      <c r="B3582" s="371">
        <v>5</v>
      </c>
      <c r="C3582" s="371"/>
      <c r="D3582" s="2716" t="str">
        <f>VLOOKUP($A3582,Sheet_NoteList,2,0)</f>
        <v>预收款项中预售房产收款情况</v>
      </c>
      <c r="E3582" s="2716" t="s">
        <v>6531</v>
      </c>
      <c r="F3582" s="294"/>
      <c r="G3582" s="372" t="str">
        <f>"("&amp;B3582&amp;")"&amp;D3582</f>
        <v>(5)预收款项中预售房产收款情况</v>
      </c>
      <c r="H3582" s="1517" t="str">
        <f>$A3582</f>
        <v>2205e</v>
      </c>
      <c r="I3582" s="343" t="s">
        <v>5974</v>
      </c>
      <c r="J3582" s="301" t="s">
        <v>5973</v>
      </c>
      <c r="K3582" s="2210">
        <f>H3590</f>
        <v>0</v>
      </c>
      <c r="L3582" s="345" t="str">
        <f>IF($I3582="适用",IF(ROUND(K$3534-K3582,2)&gt;=0,"","#Logical!"),"#N/A")</f>
        <v/>
      </c>
      <c r="M3582" s="301" t="s">
        <v>5970</v>
      </c>
      <c r="N3582" s="2210">
        <f>I3590</f>
        <v>0</v>
      </c>
      <c r="O3582" s="345" t="str">
        <f>IF($I3582="适用",IF(ROUND(N$3534-N3582,2)&gt;=0,"","#Logical!"),"#N/A")</f>
        <v/>
      </c>
      <c r="P3582" s="301"/>
      <c r="Q3582" s="290" t="str">
        <f>IF($I3582="不适用","",IF(ROUND(SUM($H$3585:$K$3590),2)=0,"请输入",""))</f>
        <v>请输入</v>
      </c>
      <c r="S3582" s="364"/>
      <c r="Z3582" s="609" t="s">
        <v>3873</v>
      </c>
      <c r="AA3582" s="609" t="s">
        <v>5676</v>
      </c>
    </row>
    <row r="3583" spans="1:27" ht="0.75" customHeight="1" thickBot="1">
      <c r="A3583" s="2714"/>
      <c r="B3583" s="371"/>
      <c r="C3583" s="371"/>
      <c r="D3583" s="371"/>
      <c r="E3583" s="586"/>
      <c r="F3583" s="363"/>
      <c r="G3583" s="363" t="s">
        <v>3885</v>
      </c>
      <c r="H3583" s="294" t="s">
        <v>2747</v>
      </c>
      <c r="I3583" s="294" t="s">
        <v>2748</v>
      </c>
      <c r="J3583" s="294" t="s">
        <v>3886</v>
      </c>
      <c r="K3583" s="294" t="s">
        <v>3887</v>
      </c>
      <c r="L3583" s="291"/>
      <c r="M3583" s="291"/>
      <c r="N3583" s="291"/>
      <c r="O3583" s="291"/>
      <c r="S3583" s="364"/>
      <c r="Z3583" s="609" t="s">
        <v>3873</v>
      </c>
      <c r="AA3583" s="609" t="s">
        <v>5676</v>
      </c>
    </row>
    <row r="3584" spans="1:27" ht="18">
      <c r="A3584" s="2714"/>
      <c r="B3584" s="371"/>
      <c r="C3584" s="371"/>
      <c r="D3584" s="371"/>
      <c r="E3584" s="586" t="s">
        <v>2749</v>
      </c>
      <c r="F3584" s="363"/>
      <c r="G3584" s="2363" t="s">
        <v>1476</v>
      </c>
      <c r="H3584" s="2364" t="s">
        <v>2775</v>
      </c>
      <c r="I3584" s="2364" t="s">
        <v>2776</v>
      </c>
      <c r="J3584" s="2364" t="s">
        <v>3245</v>
      </c>
      <c r="K3584" s="2365" t="s">
        <v>3888</v>
      </c>
      <c r="L3584" s="355" t="s">
        <v>6176</v>
      </c>
      <c r="M3584" s="291"/>
      <c r="N3584" s="291"/>
      <c r="O3584" s="291"/>
      <c r="S3584" s="364"/>
      <c r="Z3584" s="609" t="s">
        <v>3873</v>
      </c>
      <c r="AA3584" s="609" t="s">
        <v>5676</v>
      </c>
    </row>
    <row r="3585" spans="1:27" ht="18">
      <c r="A3585" s="2714"/>
      <c r="B3585" s="371">
        <v>101</v>
      </c>
      <c r="C3585" s="371" t="s">
        <v>2791</v>
      </c>
      <c r="D3585" s="2716">
        <f t="shared" ref="D3585:D3590" si="412">IF(OR(G3585="*",G3585="",G3585=0),0,COUNTIF($G$3585:$G$3590,G3585))</f>
        <v>0</v>
      </c>
      <c r="E3585" s="2721">
        <v>1</v>
      </c>
      <c r="F3585" s="294"/>
      <c r="G3585" s="2375" t="s">
        <v>2792</v>
      </c>
      <c r="H3585" s="2275"/>
      <c r="I3585" s="2275"/>
      <c r="J3585" s="2298"/>
      <c r="K3585" s="2276"/>
      <c r="L3585" s="291"/>
      <c r="M3585" s="291"/>
      <c r="N3585" s="291"/>
      <c r="O3585" s="291"/>
      <c r="S3585" s="364"/>
      <c r="Z3585" s="609" t="s">
        <v>3873</v>
      </c>
      <c r="AA3585" s="609" t="s">
        <v>5676</v>
      </c>
    </row>
    <row r="3586" spans="1:27" ht="18">
      <c r="A3586" s="2714"/>
      <c r="B3586" s="371">
        <v>102</v>
      </c>
      <c r="C3586" s="371" t="s">
        <v>2791</v>
      </c>
      <c r="D3586" s="2716">
        <f t="shared" si="412"/>
        <v>0</v>
      </c>
      <c r="E3586" s="2721">
        <v>1</v>
      </c>
      <c r="F3586" s="294"/>
      <c r="G3586" s="2375" t="s">
        <v>2792</v>
      </c>
      <c r="H3586" s="2275"/>
      <c r="I3586" s="2275"/>
      <c r="J3586" s="2298"/>
      <c r="K3586" s="2276"/>
      <c r="L3586" s="291"/>
      <c r="M3586" s="291"/>
      <c r="N3586" s="291"/>
      <c r="O3586" s="291"/>
      <c r="S3586" s="364"/>
      <c r="Z3586" s="609" t="s">
        <v>3873</v>
      </c>
      <c r="AA3586" s="609" t="s">
        <v>5676</v>
      </c>
    </row>
    <row r="3587" spans="1:27" ht="18">
      <c r="A3587" s="2714"/>
      <c r="B3587" s="371">
        <v>103</v>
      </c>
      <c r="C3587" s="371" t="s">
        <v>2791</v>
      </c>
      <c r="D3587" s="2716">
        <f t="shared" si="412"/>
        <v>0</v>
      </c>
      <c r="E3587" s="2721">
        <v>1</v>
      </c>
      <c r="F3587" s="294"/>
      <c r="G3587" s="2375" t="s">
        <v>2792</v>
      </c>
      <c r="H3587" s="2275"/>
      <c r="I3587" s="2275"/>
      <c r="J3587" s="2298"/>
      <c r="K3587" s="2276"/>
      <c r="L3587" s="291"/>
      <c r="M3587" s="291"/>
      <c r="N3587" s="291"/>
      <c r="O3587" s="291"/>
      <c r="S3587" s="364"/>
      <c r="Z3587" s="609" t="s">
        <v>3873</v>
      </c>
      <c r="AA3587" s="609" t="s">
        <v>5676</v>
      </c>
    </row>
    <row r="3588" spans="1:27" ht="18">
      <c r="A3588" s="2714"/>
      <c r="B3588" s="371">
        <v>104</v>
      </c>
      <c r="C3588" s="371" t="s">
        <v>2791</v>
      </c>
      <c r="D3588" s="2716">
        <f t="shared" si="412"/>
        <v>0</v>
      </c>
      <c r="E3588" s="2721">
        <v>1</v>
      </c>
      <c r="F3588" s="294"/>
      <c r="G3588" s="2375" t="s">
        <v>2792</v>
      </c>
      <c r="H3588" s="2275"/>
      <c r="I3588" s="2275"/>
      <c r="J3588" s="2298"/>
      <c r="K3588" s="2276"/>
      <c r="L3588" s="291"/>
      <c r="M3588" s="291"/>
      <c r="N3588" s="291"/>
      <c r="O3588" s="291"/>
      <c r="S3588" s="364"/>
      <c r="Z3588" s="609" t="s">
        <v>3873</v>
      </c>
      <c r="AA3588" s="609" t="s">
        <v>5676</v>
      </c>
    </row>
    <row r="3589" spans="1:27" ht="18">
      <c r="A3589" s="2714"/>
      <c r="B3589" s="371">
        <v>105</v>
      </c>
      <c r="C3589" s="371" t="s">
        <v>2791</v>
      </c>
      <c r="D3589" s="2716">
        <f t="shared" si="412"/>
        <v>0</v>
      </c>
      <c r="E3589" s="2721">
        <v>1</v>
      </c>
      <c r="F3589" s="294"/>
      <c r="G3589" s="2375" t="s">
        <v>2792</v>
      </c>
      <c r="H3589" s="2275"/>
      <c r="I3589" s="2275"/>
      <c r="J3589" s="2298"/>
      <c r="K3589" s="2276"/>
      <c r="L3589" s="291"/>
      <c r="M3589" s="291"/>
      <c r="N3589" s="291"/>
      <c r="O3589" s="291"/>
      <c r="S3589" s="364"/>
      <c r="Z3589" s="609" t="s">
        <v>3873</v>
      </c>
      <c r="AA3589" s="609" t="s">
        <v>5676</v>
      </c>
    </row>
    <row r="3590" spans="1:27" ht="18.75" thickBot="1">
      <c r="A3590" s="2714"/>
      <c r="B3590" s="371"/>
      <c r="C3590" s="371"/>
      <c r="D3590" s="2716">
        <f t="shared" si="412"/>
        <v>1</v>
      </c>
      <c r="E3590" s="2721" t="s">
        <v>3032</v>
      </c>
      <c r="F3590" s="294"/>
      <c r="G3590" s="1529" t="s">
        <v>2752</v>
      </c>
      <c r="H3590" s="1527">
        <f>SUMPRODUCT($E3584:$E3589,H3584:H3589)</f>
        <v>0</v>
      </c>
      <c r="I3590" s="1527">
        <f>SUMPRODUCT($E3584:$E3589,I3584:I3589)</f>
        <v>0</v>
      </c>
      <c r="J3590" s="2316"/>
      <c r="K3590" s="2266"/>
      <c r="L3590" s="291"/>
      <c r="M3590" s="291"/>
      <c r="N3590" s="291"/>
      <c r="O3590" s="291"/>
      <c r="S3590" s="364"/>
      <c r="Z3590" s="609" t="s">
        <v>3873</v>
      </c>
      <c r="AA3590" s="609" t="s">
        <v>5676</v>
      </c>
    </row>
    <row r="3591" spans="1:27" ht="18">
      <c r="A3591" s="2714"/>
      <c r="B3591" s="371"/>
      <c r="C3591" s="371" t="s">
        <v>2755</v>
      </c>
      <c r="D3591" s="371"/>
      <c r="F3591" s="294"/>
      <c r="G3591" s="301"/>
      <c r="H3591" s="315"/>
      <c r="I3591" s="315"/>
      <c r="J3591" s="393"/>
      <c r="K3591" s="393"/>
      <c r="L3591" s="291"/>
      <c r="M3591" s="291"/>
      <c r="N3591" s="291"/>
      <c r="O3591" s="291"/>
      <c r="S3591" s="364"/>
      <c r="Z3591" s="609" t="s">
        <v>3873</v>
      </c>
      <c r="AA3591" s="609" t="s">
        <v>5676</v>
      </c>
    </row>
    <row r="3592" spans="1:27" ht="24">
      <c r="A3592" s="2714" t="s">
        <v>1474</v>
      </c>
      <c r="B3592" s="371">
        <v>6</v>
      </c>
      <c r="C3592" s="371"/>
      <c r="D3592" s="2716" t="str">
        <f>VLOOKUP($A3592,Sheet_NoteList,2,0)</f>
        <v>关联方应收应付款项——预收款项</v>
      </c>
      <c r="E3592" s="2716" t="s">
        <v>6531</v>
      </c>
      <c r="F3592" s="294"/>
      <c r="G3592" s="372" t="str">
        <f>"("&amp;B3592&amp;")"&amp;D3592</f>
        <v>(6)关联方应收应付款项——预收款项</v>
      </c>
      <c r="H3592" s="1517" t="str">
        <f>$A3592</f>
        <v>2205c</v>
      </c>
      <c r="I3592" s="343" t="s">
        <v>5612</v>
      </c>
      <c r="J3592" s="301"/>
      <c r="K3592" s="3083"/>
      <c r="L3592" s="315"/>
      <c r="M3592" s="301"/>
      <c r="N3592" s="3083"/>
      <c r="O3592" s="315"/>
      <c r="P3592" s="301"/>
      <c r="Q3592" s="290" t="str">
        <f>IF($I3592="不适用","",IF(ROUND(SUM($H$3595:$I$3600),2)=0,"请输入",""))</f>
        <v>请输入</v>
      </c>
      <c r="S3592" s="364"/>
      <c r="Z3592" s="609" t="s">
        <v>3873</v>
      </c>
      <c r="AA3592" s="609" t="s">
        <v>5676</v>
      </c>
    </row>
    <row r="3593" spans="1:27" ht="0.75" customHeight="1" thickBot="1">
      <c r="A3593" s="2714"/>
      <c r="B3593" s="371"/>
      <c r="C3593" s="371"/>
      <c r="D3593" s="371"/>
      <c r="F3593" s="304"/>
      <c r="G3593" s="304" t="s">
        <v>3889</v>
      </c>
      <c r="H3593" s="304" t="s">
        <v>2747</v>
      </c>
      <c r="I3593" s="304" t="s">
        <v>2748</v>
      </c>
      <c r="J3593" s="291"/>
      <c r="K3593" s="291"/>
      <c r="L3593" s="291"/>
      <c r="M3593" s="291"/>
      <c r="S3593" s="364"/>
      <c r="Z3593" s="609" t="s">
        <v>3873</v>
      </c>
      <c r="AA3593" s="609" t="s">
        <v>5676</v>
      </c>
    </row>
    <row r="3594" spans="1:27" ht="18">
      <c r="A3594" s="2714"/>
      <c r="B3594" s="371"/>
      <c r="C3594" s="371"/>
      <c r="D3594" s="371"/>
      <c r="E3594" s="2716" t="s">
        <v>2749</v>
      </c>
      <c r="F3594" s="294"/>
      <c r="G3594" s="1633" t="s">
        <v>1423</v>
      </c>
      <c r="H3594" s="1631" t="s">
        <v>2775</v>
      </c>
      <c r="I3594" s="1632" t="s">
        <v>2776</v>
      </c>
      <c r="J3594" s="343" t="s">
        <v>3089</v>
      </c>
      <c r="K3594" s="291"/>
      <c r="L3594" s="291"/>
      <c r="M3594" s="291"/>
      <c r="S3594" s="364"/>
      <c r="Z3594" s="609" t="s">
        <v>3873</v>
      </c>
      <c r="AA3594" s="609" t="s">
        <v>5676</v>
      </c>
    </row>
    <row r="3595" spans="1:27" ht="18">
      <c r="A3595" s="2714"/>
      <c r="B3595" s="371">
        <v>101</v>
      </c>
      <c r="C3595" s="371" t="s">
        <v>2791</v>
      </c>
      <c r="D3595" s="2716">
        <f t="shared" ref="D3595:D3600" si="413">IF(OR(G3595="*",G3595="",G3595=0),0,COUNTIF($G$3595:$G$3600,G3595))</f>
        <v>0</v>
      </c>
      <c r="E3595" s="2721">
        <v>1</v>
      </c>
      <c r="F3595" s="294"/>
      <c r="G3595" s="1634" t="s">
        <v>2792</v>
      </c>
      <c r="H3595" s="309"/>
      <c r="I3595" s="346"/>
      <c r="J3595" s="355" t="s">
        <v>5364</v>
      </c>
      <c r="K3595" s="1522" t="s">
        <v>5613</v>
      </c>
      <c r="L3595" s="291"/>
      <c r="M3595" s="291"/>
      <c r="S3595" s="364"/>
      <c r="Z3595" s="609" t="s">
        <v>3873</v>
      </c>
      <c r="AA3595" s="609" t="s">
        <v>5676</v>
      </c>
    </row>
    <row r="3596" spans="1:27" ht="18">
      <c r="A3596" s="2714"/>
      <c r="B3596" s="371">
        <v>102</v>
      </c>
      <c r="C3596" s="371" t="s">
        <v>2791</v>
      </c>
      <c r="D3596" s="2716">
        <f t="shared" si="413"/>
        <v>0</v>
      </c>
      <c r="E3596" s="2721">
        <v>1</v>
      </c>
      <c r="F3596" s="294"/>
      <c r="G3596" s="1634" t="s">
        <v>2792</v>
      </c>
      <c r="H3596" s="309"/>
      <c r="I3596" s="346"/>
      <c r="J3596" s="291"/>
      <c r="K3596" s="291"/>
      <c r="L3596" s="291"/>
      <c r="M3596" s="291"/>
      <c r="S3596" s="364"/>
      <c r="Z3596" s="609" t="s">
        <v>3873</v>
      </c>
      <c r="AA3596" s="609" t="s">
        <v>5676</v>
      </c>
    </row>
    <row r="3597" spans="1:27" ht="18">
      <c r="A3597" s="2714"/>
      <c r="B3597" s="371">
        <v>103</v>
      </c>
      <c r="C3597" s="371" t="s">
        <v>2791</v>
      </c>
      <c r="D3597" s="2716">
        <f t="shared" si="413"/>
        <v>0</v>
      </c>
      <c r="E3597" s="2721">
        <v>1</v>
      </c>
      <c r="F3597" s="294"/>
      <c r="G3597" s="1634" t="s">
        <v>2792</v>
      </c>
      <c r="H3597" s="309"/>
      <c r="I3597" s="346"/>
      <c r="J3597" s="291"/>
      <c r="K3597" s="291"/>
      <c r="L3597" s="291"/>
      <c r="M3597" s="291"/>
      <c r="S3597" s="364"/>
      <c r="Z3597" s="609" t="s">
        <v>3873</v>
      </c>
      <c r="AA3597" s="609" t="s">
        <v>5676</v>
      </c>
    </row>
    <row r="3598" spans="1:27" ht="18">
      <c r="A3598" s="2714"/>
      <c r="B3598" s="371">
        <v>104</v>
      </c>
      <c r="C3598" s="371" t="s">
        <v>2791</v>
      </c>
      <c r="D3598" s="2716">
        <f t="shared" si="413"/>
        <v>0</v>
      </c>
      <c r="E3598" s="2721">
        <v>1</v>
      </c>
      <c r="F3598" s="294"/>
      <c r="G3598" s="1634" t="s">
        <v>2792</v>
      </c>
      <c r="H3598" s="309"/>
      <c r="I3598" s="346"/>
      <c r="J3598" s="291"/>
      <c r="K3598" s="291"/>
      <c r="L3598" s="291"/>
      <c r="M3598" s="291"/>
      <c r="S3598" s="364"/>
      <c r="Z3598" s="609" t="s">
        <v>3873</v>
      </c>
      <c r="AA3598" s="609" t="s">
        <v>5676</v>
      </c>
    </row>
    <row r="3599" spans="1:27" ht="18">
      <c r="A3599" s="2714"/>
      <c r="B3599" s="371">
        <v>105</v>
      </c>
      <c r="C3599" s="371" t="s">
        <v>2791</v>
      </c>
      <c r="D3599" s="2716">
        <f t="shared" si="413"/>
        <v>0</v>
      </c>
      <c r="E3599" s="2721">
        <v>1</v>
      </c>
      <c r="F3599" s="294"/>
      <c r="G3599" s="1634" t="s">
        <v>2792</v>
      </c>
      <c r="H3599" s="309"/>
      <c r="I3599" s="346"/>
      <c r="J3599" s="291"/>
      <c r="K3599" s="291"/>
      <c r="L3599" s="291"/>
      <c r="M3599" s="291"/>
      <c r="S3599" s="364"/>
      <c r="Z3599" s="609" t="s">
        <v>3873</v>
      </c>
      <c r="AA3599" s="609" t="s">
        <v>5676</v>
      </c>
    </row>
    <row r="3600" spans="1:27" ht="18.75" thickBot="1">
      <c r="A3600" s="2714"/>
      <c r="B3600" s="371"/>
      <c r="C3600" s="371"/>
      <c r="D3600" s="2716">
        <f t="shared" si="413"/>
        <v>1</v>
      </c>
      <c r="E3600" s="2721" t="s">
        <v>3032</v>
      </c>
      <c r="F3600" s="294"/>
      <c r="G3600" s="1529" t="s">
        <v>2752</v>
      </c>
      <c r="H3600" s="1527">
        <f>SUMPRODUCT($E3594:$E3599,H3594:H3599)</f>
        <v>0</v>
      </c>
      <c r="I3600" s="1528">
        <f>SUMPRODUCT($E3594:$E3599,I3594:I3599)</f>
        <v>0</v>
      </c>
      <c r="J3600" s="291"/>
      <c r="K3600" s="291"/>
      <c r="L3600" s="291"/>
      <c r="M3600" s="291"/>
      <c r="S3600" s="364"/>
      <c r="Z3600" s="609" t="s">
        <v>3873</v>
      </c>
      <c r="AA3600" s="609" t="s">
        <v>5676</v>
      </c>
    </row>
    <row r="3601" spans="1:27" ht="18">
      <c r="A3601" s="2714"/>
      <c r="B3601" s="371"/>
      <c r="C3601" s="371" t="s">
        <v>2755</v>
      </c>
      <c r="D3601" s="371"/>
      <c r="F3601" s="294"/>
      <c r="G3601" s="301"/>
      <c r="H3601" s="315"/>
      <c r="I3601" s="315"/>
      <c r="J3601" s="291"/>
      <c r="K3601" s="291"/>
      <c r="L3601" s="291"/>
      <c r="M3601" s="291"/>
      <c r="S3601" s="364"/>
      <c r="Z3601" s="609" t="s">
        <v>3873</v>
      </c>
      <c r="AA3601" s="609" t="s">
        <v>5676</v>
      </c>
    </row>
    <row r="3602" spans="1:27" ht="18">
      <c r="A3602" s="2714" t="s">
        <v>1495</v>
      </c>
      <c r="B3602" s="371">
        <v>7</v>
      </c>
      <c r="C3602" s="371"/>
      <c r="D3602" s="2716" t="str">
        <f>VLOOKUP($A3602,Sheet_NoteList,2,0)</f>
        <v>预收款项补充资料</v>
      </c>
      <c r="E3602" s="2716" t="s">
        <v>6531</v>
      </c>
      <c r="F3602" s="294"/>
      <c r="G3602" s="597" t="str">
        <f>"("&amp;B3602&amp;")"&amp;D3602</f>
        <v>(7)预收款项补充资料</v>
      </c>
      <c r="H3602" s="1517" t="str">
        <f>$A3602</f>
        <v>2205x</v>
      </c>
      <c r="I3602" s="343" t="s">
        <v>5966</v>
      </c>
      <c r="J3602" s="301" t="s">
        <v>5971</v>
      </c>
      <c r="K3602" s="2210">
        <f>H3619</f>
        <v>0</v>
      </c>
      <c r="L3602" s="345"/>
      <c r="M3602" s="301"/>
      <c r="N3602" s="3083"/>
      <c r="O3602" s="315"/>
      <c r="P3602" s="301"/>
      <c r="S3602" s="364"/>
      <c r="Z3602" s="609" t="s">
        <v>3873</v>
      </c>
      <c r="AA3602" s="609" t="s">
        <v>5676</v>
      </c>
    </row>
    <row r="3603" spans="1:27" ht="0.75" customHeight="1" thickBot="1">
      <c r="A3603" s="2714"/>
      <c r="B3603" s="371"/>
      <c r="C3603" s="371"/>
      <c r="D3603" s="371"/>
      <c r="F3603" s="371"/>
      <c r="G3603" s="371" t="s">
        <v>3890</v>
      </c>
      <c r="H3603" s="371" t="s">
        <v>2747</v>
      </c>
      <c r="I3603" s="371" t="s">
        <v>3859</v>
      </c>
      <c r="K3603" s="291"/>
      <c r="L3603" s="291"/>
      <c r="M3603" s="291"/>
      <c r="N3603" s="291"/>
      <c r="S3603" s="364"/>
      <c r="Z3603" s="609" t="s">
        <v>3873</v>
      </c>
      <c r="AA3603" s="609" t="s">
        <v>5676</v>
      </c>
    </row>
    <row r="3604" spans="1:27" ht="18">
      <c r="A3604" s="2714"/>
      <c r="B3604" s="371"/>
      <c r="C3604" s="371"/>
      <c r="D3604" s="371"/>
      <c r="E3604" s="2716" t="s">
        <v>2749</v>
      </c>
      <c r="F3604" s="294"/>
      <c r="G3604" s="2386" t="s">
        <v>1465</v>
      </c>
      <c r="H3604" s="2398" t="s">
        <v>2775</v>
      </c>
      <c r="I3604" s="2388" t="s">
        <v>2508</v>
      </c>
      <c r="J3604" s="355" t="s">
        <v>6176</v>
      </c>
      <c r="K3604" s="291"/>
      <c r="L3604" s="291"/>
      <c r="M3604" s="291"/>
      <c r="N3604" s="291"/>
      <c r="S3604" s="364"/>
      <c r="Z3604" s="609" t="s">
        <v>3873</v>
      </c>
      <c r="AA3604" s="609" t="s">
        <v>5676</v>
      </c>
    </row>
    <row r="3605" spans="1:27" ht="24">
      <c r="A3605" s="2714"/>
      <c r="B3605" s="371">
        <v>101</v>
      </c>
      <c r="C3605" s="371"/>
      <c r="D3605" s="2716">
        <f t="shared" ref="D3605:D3619" si="414">IF(OR(G3605="*",G3605="",G3605=0),0,COUNTIF($G$3605:$G$3619,G3605))</f>
        <v>1</v>
      </c>
      <c r="E3605" s="2721" t="s">
        <v>41</v>
      </c>
      <c r="F3605" s="294"/>
      <c r="G3605" s="308" t="s">
        <v>3891</v>
      </c>
      <c r="H3605" s="309"/>
      <c r="I3605" s="388"/>
      <c r="J3605" s="579"/>
      <c r="K3605" s="291"/>
      <c r="L3605" s="291"/>
      <c r="M3605" s="291"/>
      <c r="N3605" s="291"/>
      <c r="S3605" s="364"/>
      <c r="Z3605" s="609" t="s">
        <v>3873</v>
      </c>
      <c r="AA3605" s="609" t="s">
        <v>5676</v>
      </c>
    </row>
    <row r="3606" spans="1:27" ht="18">
      <c r="A3606" s="2714"/>
      <c r="B3606" s="371">
        <v>101.001</v>
      </c>
      <c r="C3606" s="371" t="s">
        <v>2791</v>
      </c>
      <c r="D3606" s="2716">
        <f t="shared" si="414"/>
        <v>0</v>
      </c>
      <c r="E3606" s="2721" t="s">
        <v>3892</v>
      </c>
      <c r="F3606" s="294"/>
      <c r="G3606" s="319" t="s">
        <v>2792</v>
      </c>
      <c r="H3606" s="309"/>
      <c r="I3606" s="388"/>
      <c r="K3606" s="291"/>
      <c r="L3606" s="291"/>
      <c r="M3606" s="291"/>
      <c r="N3606" s="291"/>
      <c r="S3606" s="364"/>
      <c r="Z3606" s="609" t="s">
        <v>3873</v>
      </c>
      <c r="AA3606" s="609" t="s">
        <v>5676</v>
      </c>
    </row>
    <row r="3607" spans="1:27" ht="18">
      <c r="A3607" s="2714"/>
      <c r="B3607" s="371">
        <v>101.002</v>
      </c>
      <c r="C3607" s="371" t="s">
        <v>2791</v>
      </c>
      <c r="D3607" s="2716">
        <f t="shared" si="414"/>
        <v>0</v>
      </c>
      <c r="E3607" s="2721" t="s">
        <v>3892</v>
      </c>
      <c r="F3607" s="294"/>
      <c r="G3607" s="319" t="s">
        <v>2792</v>
      </c>
      <c r="H3607" s="309"/>
      <c r="I3607" s="388"/>
      <c r="K3607" s="291"/>
      <c r="L3607" s="291"/>
      <c r="M3607" s="291"/>
      <c r="N3607" s="291"/>
      <c r="S3607" s="364"/>
      <c r="Z3607" s="609" t="s">
        <v>3873</v>
      </c>
      <c r="AA3607" s="609" t="s">
        <v>5676</v>
      </c>
    </row>
    <row r="3608" spans="1:27" ht="18">
      <c r="A3608" s="2714"/>
      <c r="B3608" s="371">
        <v>101.003</v>
      </c>
      <c r="C3608" s="371" t="s">
        <v>2791</v>
      </c>
      <c r="D3608" s="2716">
        <f t="shared" si="414"/>
        <v>0</v>
      </c>
      <c r="E3608" s="2721" t="s">
        <v>3892</v>
      </c>
      <c r="F3608" s="294"/>
      <c r="G3608" s="319" t="s">
        <v>2792</v>
      </c>
      <c r="H3608" s="309"/>
      <c r="I3608" s="388"/>
      <c r="K3608" s="291"/>
      <c r="L3608" s="291"/>
      <c r="M3608" s="291"/>
      <c r="N3608" s="291"/>
      <c r="S3608" s="364"/>
      <c r="Z3608" s="609" t="s">
        <v>3873</v>
      </c>
      <c r="AA3608" s="609" t="s">
        <v>5676</v>
      </c>
    </row>
    <row r="3609" spans="1:27" ht="18">
      <c r="A3609" s="2714"/>
      <c r="B3609" s="371">
        <v>101.004</v>
      </c>
      <c r="C3609" s="371" t="s">
        <v>2791</v>
      </c>
      <c r="D3609" s="2716">
        <f t="shared" si="414"/>
        <v>0</v>
      </c>
      <c r="E3609" s="2721" t="s">
        <v>3892</v>
      </c>
      <c r="F3609" s="294"/>
      <c r="G3609" s="319" t="s">
        <v>2792</v>
      </c>
      <c r="H3609" s="309"/>
      <c r="I3609" s="388"/>
      <c r="K3609" s="291"/>
      <c r="L3609" s="291"/>
      <c r="M3609" s="291"/>
      <c r="N3609" s="291"/>
      <c r="S3609" s="364"/>
      <c r="Z3609" s="609" t="s">
        <v>3873</v>
      </c>
      <c r="AA3609" s="609" t="s">
        <v>5676</v>
      </c>
    </row>
    <row r="3610" spans="1:27" ht="18">
      <c r="A3610" s="2714"/>
      <c r="B3610" s="371">
        <v>101.005</v>
      </c>
      <c r="C3610" s="371" t="s">
        <v>2791</v>
      </c>
      <c r="D3610" s="2716">
        <f t="shared" si="414"/>
        <v>0</v>
      </c>
      <c r="E3610" s="2721" t="s">
        <v>3892</v>
      </c>
      <c r="F3610" s="294"/>
      <c r="G3610" s="319" t="s">
        <v>2792</v>
      </c>
      <c r="H3610" s="309"/>
      <c r="I3610" s="388"/>
      <c r="K3610" s="291"/>
      <c r="L3610" s="291"/>
      <c r="M3610" s="291"/>
      <c r="N3610" s="291"/>
      <c r="S3610" s="364"/>
      <c r="Z3610" s="609" t="s">
        <v>3873</v>
      </c>
      <c r="AA3610" s="609" t="s">
        <v>5676</v>
      </c>
    </row>
    <row r="3611" spans="1:27" ht="24">
      <c r="A3611" s="2714"/>
      <c r="B3611" s="371">
        <v>101.999</v>
      </c>
      <c r="C3611" s="371" t="s">
        <v>2793</v>
      </c>
      <c r="D3611" s="2716">
        <f t="shared" si="414"/>
        <v>1</v>
      </c>
      <c r="E3611" s="2721">
        <v>1</v>
      </c>
      <c r="F3611" s="294"/>
      <c r="G3611" s="603" t="s">
        <v>3892</v>
      </c>
      <c r="H3611" s="377">
        <f>SUMIF($E$3604:$E$3618,$G3611,H$3604:H$3618)</f>
        <v>0</v>
      </c>
      <c r="I3611" s="388"/>
      <c r="K3611" s="291"/>
      <c r="L3611" s="291"/>
      <c r="M3611" s="291"/>
      <c r="N3611" s="291"/>
      <c r="S3611" s="364"/>
      <c r="Z3611" s="609" t="s">
        <v>3873</v>
      </c>
      <c r="AA3611" s="609" t="s">
        <v>5676</v>
      </c>
    </row>
    <row r="3612" spans="1:27" ht="18">
      <c r="A3612" s="2714"/>
      <c r="B3612" s="371">
        <v>102</v>
      </c>
      <c r="C3612" s="371"/>
      <c r="D3612" s="2716">
        <f t="shared" si="414"/>
        <v>1</v>
      </c>
      <c r="E3612" s="2721" t="s">
        <v>41</v>
      </c>
      <c r="F3612" s="294"/>
      <c r="G3612" s="308" t="s">
        <v>3871</v>
      </c>
      <c r="H3612" s="309"/>
      <c r="I3612" s="388"/>
      <c r="K3612" s="291"/>
      <c r="L3612" s="291"/>
      <c r="M3612" s="291"/>
      <c r="N3612" s="291"/>
      <c r="S3612" s="364"/>
      <c r="Z3612" s="609" t="s">
        <v>3873</v>
      </c>
      <c r="AA3612" s="609" t="s">
        <v>5676</v>
      </c>
    </row>
    <row r="3613" spans="1:27" ht="18">
      <c r="A3613" s="2714"/>
      <c r="B3613" s="371">
        <v>102.001</v>
      </c>
      <c r="C3613" s="371" t="s">
        <v>2791</v>
      </c>
      <c r="D3613" s="2716">
        <f t="shared" si="414"/>
        <v>0</v>
      </c>
      <c r="E3613" s="2721" t="s">
        <v>3872</v>
      </c>
      <c r="F3613" s="294"/>
      <c r="G3613" s="319" t="s">
        <v>2792</v>
      </c>
      <c r="H3613" s="309"/>
      <c r="I3613" s="388"/>
      <c r="K3613" s="291"/>
      <c r="L3613" s="291"/>
      <c r="M3613" s="291"/>
      <c r="N3613" s="291"/>
      <c r="S3613" s="364"/>
      <c r="Z3613" s="609" t="s">
        <v>3873</v>
      </c>
      <c r="AA3613" s="609" t="s">
        <v>5676</v>
      </c>
    </row>
    <row r="3614" spans="1:27" ht="18">
      <c r="A3614" s="2714"/>
      <c r="B3614" s="371">
        <v>102.002</v>
      </c>
      <c r="C3614" s="371" t="s">
        <v>2791</v>
      </c>
      <c r="D3614" s="2716">
        <f t="shared" si="414"/>
        <v>0</v>
      </c>
      <c r="E3614" s="2721" t="s">
        <v>3872</v>
      </c>
      <c r="F3614" s="294"/>
      <c r="G3614" s="319" t="s">
        <v>2792</v>
      </c>
      <c r="H3614" s="309"/>
      <c r="I3614" s="388"/>
      <c r="K3614" s="291"/>
      <c r="L3614" s="291"/>
      <c r="M3614" s="291"/>
      <c r="N3614" s="291"/>
      <c r="S3614" s="364"/>
      <c r="Z3614" s="609" t="s">
        <v>3873</v>
      </c>
      <c r="AA3614" s="609" t="s">
        <v>5676</v>
      </c>
    </row>
    <row r="3615" spans="1:27" ht="18">
      <c r="A3615" s="2714"/>
      <c r="B3615" s="371">
        <v>102.003</v>
      </c>
      <c r="C3615" s="371" t="s">
        <v>2791</v>
      </c>
      <c r="D3615" s="2716">
        <f t="shared" si="414"/>
        <v>0</v>
      </c>
      <c r="E3615" s="2721" t="s">
        <v>3872</v>
      </c>
      <c r="F3615" s="294"/>
      <c r="G3615" s="319" t="s">
        <v>2792</v>
      </c>
      <c r="H3615" s="309"/>
      <c r="I3615" s="388"/>
      <c r="K3615" s="291"/>
      <c r="L3615" s="291"/>
      <c r="M3615" s="291"/>
      <c r="N3615" s="291"/>
      <c r="S3615" s="364"/>
      <c r="Z3615" s="609" t="s">
        <v>3873</v>
      </c>
      <c r="AA3615" s="609" t="s">
        <v>5676</v>
      </c>
    </row>
    <row r="3616" spans="1:27" ht="18">
      <c r="A3616" s="2714"/>
      <c r="B3616" s="371">
        <v>102.004</v>
      </c>
      <c r="C3616" s="371" t="s">
        <v>2791</v>
      </c>
      <c r="D3616" s="2716">
        <f t="shared" si="414"/>
        <v>0</v>
      </c>
      <c r="E3616" s="2721" t="s">
        <v>3872</v>
      </c>
      <c r="F3616" s="294"/>
      <c r="G3616" s="319" t="s">
        <v>2792</v>
      </c>
      <c r="H3616" s="309"/>
      <c r="I3616" s="388"/>
      <c r="K3616" s="291"/>
      <c r="L3616" s="291"/>
      <c r="M3616" s="291"/>
      <c r="N3616" s="291"/>
      <c r="S3616" s="364"/>
      <c r="Z3616" s="609" t="s">
        <v>3873</v>
      </c>
      <c r="AA3616" s="609" t="s">
        <v>5676</v>
      </c>
    </row>
    <row r="3617" spans="1:29" ht="18">
      <c r="A3617" s="2714"/>
      <c r="B3617" s="371">
        <v>102.005</v>
      </c>
      <c r="C3617" s="371" t="s">
        <v>2791</v>
      </c>
      <c r="D3617" s="2716">
        <f t="shared" si="414"/>
        <v>0</v>
      </c>
      <c r="E3617" s="2721" t="s">
        <v>3872</v>
      </c>
      <c r="F3617" s="294"/>
      <c r="G3617" s="319" t="s">
        <v>2792</v>
      </c>
      <c r="H3617" s="309"/>
      <c r="I3617" s="388"/>
      <c r="K3617" s="291"/>
      <c r="L3617" s="291"/>
      <c r="M3617" s="291"/>
      <c r="N3617" s="291"/>
      <c r="S3617" s="364"/>
      <c r="Z3617" s="609" t="s">
        <v>3873</v>
      </c>
      <c r="AA3617" s="609" t="s">
        <v>5676</v>
      </c>
    </row>
    <row r="3618" spans="1:29" ht="18">
      <c r="A3618" s="2714"/>
      <c r="B3618" s="371">
        <v>102.999</v>
      </c>
      <c r="C3618" s="371" t="s">
        <v>2793</v>
      </c>
      <c r="D3618" s="2716">
        <f t="shared" si="414"/>
        <v>1</v>
      </c>
      <c r="E3618" s="2721">
        <v>1</v>
      </c>
      <c r="F3618" s="294"/>
      <c r="G3618" s="549" t="s">
        <v>3872</v>
      </c>
      <c r="H3618" s="377">
        <f>SUMIF($E$3604:$E$3618,$G3618,H$3604:H$3618)</f>
        <v>0</v>
      </c>
      <c r="I3618" s="388"/>
      <c r="K3618" s="291"/>
      <c r="L3618" s="291"/>
      <c r="M3618" s="291"/>
      <c r="N3618" s="291"/>
      <c r="S3618" s="364"/>
      <c r="Z3618" s="609" t="s">
        <v>3873</v>
      </c>
      <c r="AA3618" s="609" t="s">
        <v>5676</v>
      </c>
    </row>
    <row r="3619" spans="1:29" ht="18.75" thickBot="1">
      <c r="A3619" s="2714"/>
      <c r="B3619" s="371"/>
      <c r="C3619" s="371"/>
      <c r="D3619" s="2716">
        <f t="shared" si="414"/>
        <v>1</v>
      </c>
      <c r="E3619" s="2721" t="s">
        <v>2751</v>
      </c>
      <c r="F3619" s="294"/>
      <c r="G3619" s="1529" t="s">
        <v>2752</v>
      </c>
      <c r="H3619" s="2391">
        <f>SUMPRODUCT($E3604:$E3618,H3604:H3618)</f>
        <v>0</v>
      </c>
      <c r="I3619" s="1612"/>
      <c r="K3619" s="291"/>
      <c r="L3619" s="291"/>
      <c r="M3619" s="291"/>
      <c r="N3619" s="291"/>
      <c r="S3619" s="364"/>
      <c r="Z3619" s="609" t="s">
        <v>3873</v>
      </c>
      <c r="AA3619" s="609" t="s">
        <v>5676</v>
      </c>
    </row>
    <row r="3620" spans="1:29" ht="18">
      <c r="A3620" s="2714"/>
      <c r="B3620" s="371"/>
      <c r="C3620" s="371" t="s">
        <v>2755</v>
      </c>
      <c r="D3620" s="371"/>
      <c r="F3620" s="294"/>
      <c r="G3620" s="301"/>
      <c r="H3620" s="315"/>
      <c r="I3620" s="393"/>
      <c r="J3620" s="350"/>
      <c r="K3620" s="291"/>
      <c r="L3620" s="291"/>
      <c r="M3620" s="291"/>
      <c r="N3620" s="291"/>
      <c r="S3620" s="364"/>
      <c r="Z3620" s="609" t="s">
        <v>3873</v>
      </c>
      <c r="AA3620" s="609" t="s">
        <v>5676</v>
      </c>
    </row>
    <row r="3621" spans="1:29" ht="18">
      <c r="A3621" s="2714">
        <v>2211</v>
      </c>
      <c r="B3621" s="371">
        <v>40</v>
      </c>
      <c r="C3621" s="2716" t="str">
        <f>VLOOKUP($A3621,Sheet_Items,2,0)</f>
        <v>应付职工薪酬</v>
      </c>
      <c r="D3621" s="371"/>
      <c r="E3621" s="2716" t="s">
        <v>2739</v>
      </c>
      <c r="F3621" s="294"/>
      <c r="G3621" s="305" t="str">
        <f>B3621&amp;" "&amp;C3621</f>
        <v>40 应付职工薪酬</v>
      </c>
      <c r="H3621" s="306"/>
      <c r="I3621" s="306"/>
      <c r="J3621" s="306" t="s">
        <v>2740</v>
      </c>
      <c r="K3621" s="341">
        <f>VLOOKUP($A3621,Sheet_Trialbal,6,0)</f>
        <v>1058561.81</v>
      </c>
      <c r="L3621" s="342"/>
      <c r="M3621" s="306" t="s">
        <v>2741</v>
      </c>
      <c r="N3621" s="341">
        <f>VLOOKUP($A3621,Sheet_Trialbal,10,0)</f>
        <v>974467.27</v>
      </c>
      <c r="O3621" s="306"/>
      <c r="P3621" s="301"/>
      <c r="S3621" s="364"/>
      <c r="Z3621" s="609" t="s">
        <v>3893</v>
      </c>
      <c r="AA3621" s="609" t="s">
        <v>5678</v>
      </c>
    </row>
    <row r="3622" spans="1:29" ht="18">
      <c r="A3622" s="2714" t="s">
        <v>1500</v>
      </c>
      <c r="B3622" s="371">
        <v>1</v>
      </c>
      <c r="C3622" s="371"/>
      <c r="D3622" s="2716" t="str">
        <f>VLOOKUP($A3622,Sheet_NoteList,2,0)</f>
        <v>应付职工薪酬列示</v>
      </c>
      <c r="E3622" s="2716" t="s">
        <v>2742</v>
      </c>
      <c r="F3622" s="294"/>
      <c r="G3622" s="307" t="str">
        <f>"("&amp;B3622&amp;")"&amp;D3622</f>
        <v>(1)应付职工薪酬列示</v>
      </c>
      <c r="H3622" s="1517" t="str">
        <f>$A3622</f>
        <v>2211a</v>
      </c>
      <c r="I3622" s="343" t="s">
        <v>2743</v>
      </c>
      <c r="J3622" s="301" t="s">
        <v>2744</v>
      </c>
      <c r="K3622" s="2210">
        <f>K3630</f>
        <v>1058561.81</v>
      </c>
      <c r="L3622" s="345" t="str">
        <f>IF($I3622="适用",IF(ROUND(K3621-K3622,2)=0,"F/S",ROUND(K3621-K3622,2)),"#N/A")</f>
        <v>F/S</v>
      </c>
      <c r="M3622" s="301" t="s">
        <v>2745</v>
      </c>
      <c r="N3622" s="2210">
        <f>H3630</f>
        <v>974467.27</v>
      </c>
      <c r="O3622" s="345" t="str">
        <f>IF($I3622="适用",IF(ROUND(N3621-N3622,2)=0,"F/S",ROUND(N3621-N3622,2)),"#N/A")</f>
        <v>F/S</v>
      </c>
      <c r="P3622" s="301"/>
      <c r="Q3622" s="290" t="str">
        <f>IF($I3622="不适用","",IF(ROUND(SUM($H$3625:$K$3630),2)=0,"请输入",""))</f>
        <v/>
      </c>
      <c r="S3622" s="364"/>
      <c r="Z3622" s="609" t="s">
        <v>3893</v>
      </c>
      <c r="AA3622" s="609" t="s">
        <v>5678</v>
      </c>
    </row>
    <row r="3623" spans="1:29" ht="0.75" customHeight="1" thickBot="1">
      <c r="A3623" s="2714"/>
      <c r="B3623" s="371"/>
      <c r="C3623" s="371"/>
      <c r="D3623" s="371"/>
      <c r="E3623" s="586"/>
      <c r="F3623" s="518"/>
      <c r="G3623" s="518" t="s">
        <v>3894</v>
      </c>
      <c r="H3623" s="304" t="s">
        <v>2904</v>
      </c>
      <c r="I3623" s="304" t="s">
        <v>3255</v>
      </c>
      <c r="J3623" s="304" t="s">
        <v>3256</v>
      </c>
      <c r="K3623" s="304" t="s">
        <v>3241</v>
      </c>
      <c r="L3623" s="291"/>
      <c r="M3623" s="291"/>
      <c r="N3623" s="291"/>
      <c r="O3623" s="291"/>
      <c r="S3623" s="364"/>
      <c r="Z3623" s="609" t="s">
        <v>3893</v>
      </c>
      <c r="AA3623" s="609" t="s">
        <v>5678</v>
      </c>
    </row>
    <row r="3624" spans="1:29" ht="18">
      <c r="A3624" s="2714"/>
      <c r="B3624" s="371"/>
      <c r="C3624" s="371"/>
      <c r="D3624" s="371"/>
      <c r="E3624" s="586" t="s">
        <v>2749</v>
      </c>
      <c r="F3624" s="363"/>
      <c r="G3624" s="2362" t="s">
        <v>47</v>
      </c>
      <c r="H3624" s="2475" t="str">
        <f>$V$3</f>
        <v>2018年12月31日</v>
      </c>
      <c r="I3624" s="2368" t="s">
        <v>3027</v>
      </c>
      <c r="J3624" s="2368" t="s">
        <v>3028</v>
      </c>
      <c r="K3624" s="2480" t="str">
        <f>$V$2</f>
        <v>2019年12月31日</v>
      </c>
      <c r="L3624" s="355" t="s">
        <v>5305</v>
      </c>
      <c r="M3624" s="291"/>
      <c r="N3624" s="291"/>
      <c r="O3624" s="291"/>
      <c r="S3624" s="364"/>
      <c r="Z3624" s="609" t="s">
        <v>3893</v>
      </c>
      <c r="AA3624" s="609" t="s">
        <v>5678</v>
      </c>
    </row>
    <row r="3625" spans="1:29" ht="18">
      <c r="A3625" s="2714"/>
      <c r="B3625" s="371">
        <v>101</v>
      </c>
      <c r="C3625" s="371"/>
      <c r="D3625" s="2716">
        <f t="shared" ref="D3625:D3630" si="415">IF(OR(G3625="*",G3625="",G3625=0),0,COUNTIF($G$3625:$G$3630,G3625))</f>
        <v>1</v>
      </c>
      <c r="E3625" s="2721">
        <v>1</v>
      </c>
      <c r="F3625" s="294"/>
      <c r="G3625" s="1474" t="s">
        <v>3895</v>
      </c>
      <c r="H3625" s="2275">
        <f>H3652</f>
        <v>974467.27</v>
      </c>
      <c r="I3625" s="2275">
        <f t="shared" ref="I3625:J3625" si="416">I3652</f>
        <v>7535815.4400000004</v>
      </c>
      <c r="J3625" s="2275">
        <f t="shared" si="416"/>
        <v>7451720.9000000004</v>
      </c>
      <c r="K3625" s="1477">
        <f>H3625+I3625-J3625</f>
        <v>1058561.81</v>
      </c>
      <c r="L3625" s="1533" t="str">
        <f ca="1">HYPERLINK("#'"&amp;$G$1&amp;"'!"&amp;ADDRESS(ROW(Notes!H3655),COLUMN(Notes!H3655),4),"* 请勿删除此行！点击往勾稽单元格，F5+Enter返回")</f>
        <v>* 请勿删除此行！点击往勾稽单元格，F5+Enter返回</v>
      </c>
      <c r="M3625" s="291"/>
      <c r="N3625" s="291"/>
      <c r="O3625" s="291"/>
      <c r="S3625" s="364"/>
      <c r="Z3625" s="609" t="s">
        <v>3893</v>
      </c>
      <c r="AA3625" s="609" t="s">
        <v>5678</v>
      </c>
      <c r="AC3625" s="369" t="s">
        <v>6573</v>
      </c>
    </row>
    <row r="3626" spans="1:29" ht="18">
      <c r="A3626" s="2714"/>
      <c r="B3626" s="371">
        <v>102</v>
      </c>
      <c r="C3626" s="371"/>
      <c r="D3626" s="2716">
        <f t="shared" si="415"/>
        <v>1</v>
      </c>
      <c r="E3626" s="2721">
        <v>1</v>
      </c>
      <c r="F3626" s="294"/>
      <c r="G3626" s="1474" t="s">
        <v>3896</v>
      </c>
      <c r="H3626" s="2275">
        <f>H3676</f>
        <v>0</v>
      </c>
      <c r="I3626" s="2275">
        <f t="shared" ref="I3626:J3626" si="417">I3676</f>
        <v>660125.1</v>
      </c>
      <c r="J3626" s="2275">
        <f t="shared" si="417"/>
        <v>660125.1</v>
      </c>
      <c r="K3626" s="1477">
        <f>H3626+I3626-J3626</f>
        <v>0</v>
      </c>
      <c r="L3626" s="1533" t="str">
        <f ca="1">HYPERLINK("#'"&amp;$G$1&amp;"'!"&amp;ADDRESS(ROW(Notes!H3679),COLUMN(Notes!H3679),4),"* 请勿删除此行！点击往勾稽单元格，F5+Enter返回")</f>
        <v>* 请勿删除此行！点击往勾稽单元格，F5+Enter返回</v>
      </c>
      <c r="M3626" s="291"/>
      <c r="N3626" s="291"/>
      <c r="O3626" s="291"/>
      <c r="S3626" s="364"/>
      <c r="Z3626" s="609" t="s">
        <v>3893</v>
      </c>
      <c r="AA3626" s="609" t="s">
        <v>5678</v>
      </c>
      <c r="AC3626" s="369" t="s">
        <v>6573</v>
      </c>
    </row>
    <row r="3627" spans="1:29" ht="18">
      <c r="A3627" s="2714"/>
      <c r="B3627" s="371">
        <v>103</v>
      </c>
      <c r="C3627" s="371"/>
      <c r="D3627" s="2716">
        <f t="shared" si="415"/>
        <v>1</v>
      </c>
      <c r="E3627" s="2721">
        <v>1</v>
      </c>
      <c r="F3627" s="294"/>
      <c r="G3627" s="1474" t="s">
        <v>3897</v>
      </c>
      <c r="H3627" s="2275"/>
      <c r="I3627" s="2275"/>
      <c r="J3627" s="2275"/>
      <c r="K3627" s="1477">
        <f>H3627+I3627-J3627</f>
        <v>0</v>
      </c>
      <c r="L3627" s="291"/>
      <c r="M3627" s="291"/>
      <c r="N3627" s="291"/>
      <c r="O3627" s="291"/>
      <c r="S3627" s="364"/>
      <c r="Z3627" s="609" t="s">
        <v>3893</v>
      </c>
      <c r="AA3627" s="609" t="s">
        <v>5678</v>
      </c>
    </row>
    <row r="3628" spans="1:29" ht="18">
      <c r="A3628" s="2714"/>
      <c r="B3628" s="371">
        <v>104</v>
      </c>
      <c r="C3628" s="371"/>
      <c r="D3628" s="2716">
        <f t="shared" si="415"/>
        <v>1</v>
      </c>
      <c r="E3628" s="2721">
        <v>1</v>
      </c>
      <c r="F3628" s="294"/>
      <c r="G3628" s="1474" t="s">
        <v>3898</v>
      </c>
      <c r="H3628" s="2275"/>
      <c r="I3628" s="2275"/>
      <c r="J3628" s="2275"/>
      <c r="K3628" s="1477">
        <f>H3628+I3628-J3628</f>
        <v>0</v>
      </c>
      <c r="L3628" s="291"/>
      <c r="M3628" s="291"/>
      <c r="N3628" s="291"/>
      <c r="O3628" s="291"/>
      <c r="S3628" s="364"/>
      <c r="Z3628" s="609" t="s">
        <v>3893</v>
      </c>
      <c r="AA3628" s="609" t="s">
        <v>5678</v>
      </c>
    </row>
    <row r="3629" spans="1:29" ht="18">
      <c r="A3629" s="2714"/>
      <c r="B3629" s="371">
        <v>116</v>
      </c>
      <c r="C3629" s="371" t="s">
        <v>2791</v>
      </c>
      <c r="D3629" s="2716">
        <f t="shared" si="415"/>
        <v>0</v>
      </c>
      <c r="E3629" s="2721">
        <v>1</v>
      </c>
      <c r="F3629" s="294"/>
      <c r="G3629" s="2375" t="s">
        <v>2792</v>
      </c>
      <c r="H3629" s="2275"/>
      <c r="I3629" s="2275"/>
      <c r="J3629" s="2275"/>
      <c r="K3629" s="1477">
        <f>H3629+I3629-J3629</f>
        <v>0</v>
      </c>
      <c r="L3629" s="291"/>
      <c r="M3629" s="291"/>
      <c r="N3629" s="291"/>
      <c r="O3629" s="291"/>
      <c r="S3629" s="364"/>
      <c r="Z3629" s="609" t="s">
        <v>3893</v>
      </c>
      <c r="AA3629" s="609" t="s">
        <v>5678</v>
      </c>
    </row>
    <row r="3630" spans="1:29" ht="18.75" thickBot="1">
      <c r="A3630" s="2714"/>
      <c r="B3630" s="371"/>
      <c r="C3630" s="371"/>
      <c r="D3630" s="2716">
        <f t="shared" si="415"/>
        <v>1</v>
      </c>
      <c r="E3630" s="2721" t="s">
        <v>2751</v>
      </c>
      <c r="F3630" s="294"/>
      <c r="G3630" s="374" t="s">
        <v>2752</v>
      </c>
      <c r="H3630" s="1478">
        <f>SUMPRODUCT($E3624:$E3629,H3624:H3629)</f>
        <v>974467.27</v>
      </c>
      <c r="I3630" s="1478">
        <f>SUMPRODUCT($E3624:$E3629,I3624:I3629)</f>
        <v>8195940.54</v>
      </c>
      <c r="J3630" s="1478">
        <f>SUMPRODUCT($E3624:$E3629,J3624:J3629)</f>
        <v>8111846</v>
      </c>
      <c r="K3630" s="1479">
        <f>SUMPRODUCT($E3624:$E3629,K3624:K3629)</f>
        <v>1058561.81</v>
      </c>
      <c r="L3630" s="291"/>
      <c r="M3630" s="291"/>
      <c r="N3630" s="291"/>
      <c r="O3630" s="291"/>
      <c r="S3630" s="364"/>
      <c r="Z3630" s="609" t="s">
        <v>3893</v>
      </c>
      <c r="AA3630" s="609" t="s">
        <v>5678</v>
      </c>
    </row>
    <row r="3631" spans="1:29" ht="18">
      <c r="A3631" s="2714"/>
      <c r="B3631" s="371"/>
      <c r="C3631" s="371" t="s">
        <v>2755</v>
      </c>
      <c r="D3631" s="371"/>
      <c r="F3631" s="294"/>
      <c r="G3631" s="557"/>
      <c r="H3631" s="315"/>
      <c r="I3631" s="315"/>
      <c r="J3631" s="315"/>
      <c r="K3631" s="315"/>
      <c r="L3631" s="291"/>
      <c r="M3631" s="291"/>
      <c r="N3631" s="291"/>
      <c r="O3631" s="291"/>
      <c r="S3631" s="364"/>
      <c r="Z3631" s="609" t="s">
        <v>3893</v>
      </c>
      <c r="AA3631" s="609" t="s">
        <v>5678</v>
      </c>
    </row>
    <row r="3632" spans="1:29" ht="18">
      <c r="A3632" s="2714" t="s">
        <v>1505</v>
      </c>
      <c r="B3632" s="371">
        <v>2</v>
      </c>
      <c r="C3632" s="371"/>
      <c r="D3632" s="2716" t="str">
        <f>VLOOKUP($A3632,Sheet_NoteList,2,0)</f>
        <v>短期薪酬列示</v>
      </c>
      <c r="E3632" s="2716" t="s">
        <v>2742</v>
      </c>
      <c r="F3632" s="294"/>
      <c r="G3632" s="307" t="str">
        <f>"("&amp;B3632&amp;")"&amp;D3632</f>
        <v>(2)短期薪酬列示</v>
      </c>
      <c r="H3632" s="1517" t="str">
        <f>$A3632</f>
        <v>2211b</v>
      </c>
      <c r="I3632" s="343" t="s">
        <v>2743</v>
      </c>
      <c r="J3632" s="301" t="s">
        <v>2744</v>
      </c>
      <c r="K3632" s="2210">
        <f>K3652</f>
        <v>1058561.81</v>
      </c>
      <c r="L3632" s="345"/>
      <c r="M3632" s="301" t="s">
        <v>2745</v>
      </c>
      <c r="N3632" s="2210">
        <f>H3652</f>
        <v>974467.27</v>
      </c>
      <c r="O3632" s="345"/>
      <c r="P3632" s="301"/>
      <c r="Q3632" s="290" t="str">
        <f>IF($I3632="不适用","",IF(ROUND(SUM($H$3635:$K$3652),2)=0,"请输入",""))</f>
        <v/>
      </c>
      <c r="S3632" s="364"/>
      <c r="Z3632" s="609" t="s">
        <v>3893</v>
      </c>
      <c r="AA3632" s="609" t="s">
        <v>5678</v>
      </c>
    </row>
    <row r="3633" spans="1:27" ht="0.75" customHeight="1" thickBot="1">
      <c r="A3633" s="2714"/>
      <c r="B3633" s="371"/>
      <c r="C3633" s="371"/>
      <c r="D3633" s="371"/>
      <c r="E3633" s="586"/>
      <c r="F3633" s="518"/>
      <c r="G3633" s="518" t="s">
        <v>3899</v>
      </c>
      <c r="H3633" s="304" t="s">
        <v>2904</v>
      </c>
      <c r="I3633" s="304" t="s">
        <v>3255</v>
      </c>
      <c r="J3633" s="304" t="s">
        <v>3256</v>
      </c>
      <c r="K3633" s="304" t="s">
        <v>3241</v>
      </c>
      <c r="L3633" s="291"/>
      <c r="M3633" s="291"/>
      <c r="N3633" s="291"/>
      <c r="O3633" s="291"/>
      <c r="S3633" s="364"/>
      <c r="Z3633" s="609" t="s">
        <v>3893</v>
      </c>
      <c r="AA3633" s="609" t="s">
        <v>5678</v>
      </c>
    </row>
    <row r="3634" spans="1:27" ht="18">
      <c r="A3634" s="2714"/>
      <c r="B3634" s="371"/>
      <c r="C3634" s="371"/>
      <c r="D3634" s="371"/>
      <c r="E3634" s="586" t="s">
        <v>2749</v>
      </c>
      <c r="F3634" s="363"/>
      <c r="G3634" s="2362" t="s">
        <v>47</v>
      </c>
      <c r="H3634" s="2475" t="str">
        <f>$V$3</f>
        <v>2018年12月31日</v>
      </c>
      <c r="I3634" s="2368" t="s">
        <v>3027</v>
      </c>
      <c r="J3634" s="2368" t="s">
        <v>3028</v>
      </c>
      <c r="K3634" s="2480" t="str">
        <f>$V$2</f>
        <v>2019年12月31日</v>
      </c>
      <c r="L3634" s="355" t="s">
        <v>5305</v>
      </c>
      <c r="M3634" s="291"/>
      <c r="N3634" s="291"/>
      <c r="O3634" s="291"/>
      <c r="S3634" s="364"/>
      <c r="Z3634" s="609" t="s">
        <v>3893</v>
      </c>
      <c r="AA3634" s="609" t="s">
        <v>5678</v>
      </c>
    </row>
    <row r="3635" spans="1:27" ht="18">
      <c r="A3635" s="2714"/>
      <c r="B3635" s="371">
        <v>101</v>
      </c>
      <c r="C3635" s="371"/>
      <c r="D3635" s="2716">
        <f t="shared" ref="D3635:D3652" si="418">IF(OR(G3635="*",G3635="",G3635=0),0,COUNTIF($G$3635:$G$3652,G3635))</f>
        <v>1</v>
      </c>
      <c r="E3635" s="2721">
        <v>1</v>
      </c>
      <c r="F3635" s="340"/>
      <c r="G3635" s="1474" t="s">
        <v>3900</v>
      </c>
      <c r="H3635" s="2275">
        <v>862485.28</v>
      </c>
      <c r="I3635" s="2275">
        <v>6479698.75</v>
      </c>
      <c r="J3635" s="2275">
        <v>6395322.7699999996</v>
      </c>
      <c r="K3635" s="1477">
        <f>H3635+I3635-J3635</f>
        <v>946861.26</v>
      </c>
      <c r="L3635" s="291"/>
      <c r="M3635" s="291"/>
      <c r="N3635" s="291"/>
      <c r="O3635" s="291"/>
      <c r="S3635" s="364"/>
      <c r="Z3635" s="609" t="s">
        <v>3893</v>
      </c>
      <c r="AA3635" s="609" t="s">
        <v>5678</v>
      </c>
    </row>
    <row r="3636" spans="1:27" ht="18">
      <c r="A3636" s="2714"/>
      <c r="B3636" s="371">
        <v>102</v>
      </c>
      <c r="C3636" s="371"/>
      <c r="D3636" s="2716">
        <f t="shared" si="418"/>
        <v>1</v>
      </c>
      <c r="E3636" s="2721">
        <v>1</v>
      </c>
      <c r="F3636" s="340"/>
      <c r="G3636" s="1474" t="s">
        <v>3901</v>
      </c>
      <c r="H3636" s="2275"/>
      <c r="I3636" s="2275"/>
      <c r="J3636" s="2275"/>
      <c r="K3636" s="1477">
        <f t="shared" ref="K3636:K3651" si="419">H3636+I3636-J3636</f>
        <v>0</v>
      </c>
      <c r="L3636" s="291"/>
      <c r="M3636" s="291"/>
      <c r="N3636" s="291"/>
      <c r="O3636" s="291"/>
      <c r="S3636" s="364"/>
      <c r="Z3636" s="609" t="s">
        <v>3893</v>
      </c>
      <c r="AA3636" s="609" t="s">
        <v>5678</v>
      </c>
    </row>
    <row r="3637" spans="1:27" ht="18">
      <c r="A3637" s="2714"/>
      <c r="B3637" s="371">
        <v>103</v>
      </c>
      <c r="C3637" s="371"/>
      <c r="D3637" s="2716">
        <f t="shared" si="418"/>
        <v>1</v>
      </c>
      <c r="E3637" s="2721" t="s">
        <v>41</v>
      </c>
      <c r="F3637" s="340"/>
      <c r="G3637" s="1474" t="s">
        <v>3902</v>
      </c>
      <c r="H3637" s="2275"/>
      <c r="I3637" s="2275"/>
      <c r="J3637" s="2275"/>
      <c r="K3637" s="2296"/>
      <c r="L3637" s="291"/>
      <c r="M3637" s="291"/>
      <c r="N3637" s="291"/>
      <c r="O3637" s="291"/>
      <c r="S3637" s="364"/>
      <c r="Z3637" s="609" t="s">
        <v>3893</v>
      </c>
      <c r="AA3637" s="609" t="s">
        <v>5678</v>
      </c>
    </row>
    <row r="3638" spans="1:27" ht="18">
      <c r="A3638" s="2714"/>
      <c r="B3638" s="371">
        <v>103.001</v>
      </c>
      <c r="C3638" s="371"/>
      <c r="D3638" s="2716">
        <f t="shared" si="418"/>
        <v>1</v>
      </c>
      <c r="E3638" s="2721" t="s">
        <v>3903</v>
      </c>
      <c r="F3638" s="340"/>
      <c r="G3638" s="1474" t="s">
        <v>3905</v>
      </c>
      <c r="H3638" s="2275"/>
      <c r="I3638" s="2275">
        <v>538015.80000000005</v>
      </c>
      <c r="J3638" s="2275">
        <v>538015.80000000005</v>
      </c>
      <c r="K3638" s="1477">
        <f t="shared" si="419"/>
        <v>0</v>
      </c>
      <c r="L3638" s="291"/>
      <c r="M3638" s="291"/>
      <c r="N3638" s="291"/>
      <c r="O3638" s="291"/>
      <c r="S3638" s="364"/>
      <c r="Z3638" s="609" t="s">
        <v>3893</v>
      </c>
      <c r="AA3638" s="609" t="s">
        <v>5678</v>
      </c>
    </row>
    <row r="3639" spans="1:27" ht="18">
      <c r="A3639" s="2714"/>
      <c r="B3639" s="371">
        <v>103.002</v>
      </c>
      <c r="C3639" s="371"/>
      <c r="D3639" s="2716">
        <f t="shared" si="418"/>
        <v>1</v>
      </c>
      <c r="E3639" s="2721" t="s">
        <v>3903</v>
      </c>
      <c r="F3639" s="340"/>
      <c r="G3639" s="603" t="s">
        <v>3906</v>
      </c>
      <c r="H3639" s="2275"/>
      <c r="I3639" s="2275">
        <v>77473.94</v>
      </c>
      <c r="J3639" s="2275">
        <v>77473.94</v>
      </c>
      <c r="K3639" s="1477">
        <f t="shared" si="419"/>
        <v>0</v>
      </c>
      <c r="L3639" s="291"/>
      <c r="M3639" s="291"/>
      <c r="N3639" s="291"/>
      <c r="O3639" s="291"/>
      <c r="S3639" s="364"/>
      <c r="Z3639" s="609" t="s">
        <v>3893</v>
      </c>
      <c r="AA3639" s="609" t="s">
        <v>5678</v>
      </c>
    </row>
    <row r="3640" spans="1:27" ht="18">
      <c r="A3640" s="2714"/>
      <c r="B3640" s="371">
        <v>103.003</v>
      </c>
      <c r="C3640" s="371"/>
      <c r="D3640" s="2716">
        <f t="shared" si="418"/>
        <v>1</v>
      </c>
      <c r="E3640" s="2721" t="s">
        <v>3903</v>
      </c>
      <c r="F3640" s="340"/>
      <c r="G3640" s="603" t="s">
        <v>3907</v>
      </c>
      <c r="H3640" s="2275"/>
      <c r="I3640" s="2275"/>
      <c r="J3640" s="2275"/>
      <c r="K3640" s="1477">
        <f t="shared" si="419"/>
        <v>0</v>
      </c>
      <c r="L3640" s="291"/>
      <c r="M3640" s="291"/>
      <c r="N3640" s="291"/>
      <c r="O3640" s="291"/>
      <c r="S3640" s="364"/>
      <c r="Z3640" s="609" t="s">
        <v>3893</v>
      </c>
      <c r="AA3640" s="609" t="s">
        <v>5678</v>
      </c>
    </row>
    <row r="3641" spans="1:27" ht="18">
      <c r="A3641" s="2714"/>
      <c r="B3641" s="371">
        <v>103.004</v>
      </c>
      <c r="C3641" s="371" t="s">
        <v>2791</v>
      </c>
      <c r="D3641" s="2716">
        <f t="shared" si="418"/>
        <v>0</v>
      </c>
      <c r="E3641" s="2721" t="s">
        <v>3903</v>
      </c>
      <c r="F3641" s="340"/>
      <c r="G3641" s="578" t="s">
        <v>2792</v>
      </c>
      <c r="H3641" s="2275"/>
      <c r="I3641" s="2275"/>
      <c r="J3641" s="2275"/>
      <c r="K3641" s="1477">
        <f t="shared" si="419"/>
        <v>0</v>
      </c>
      <c r="L3641" s="291"/>
      <c r="M3641" s="291"/>
      <c r="N3641" s="291"/>
      <c r="O3641" s="291"/>
      <c r="S3641" s="364"/>
      <c r="Z3641" s="609" t="s">
        <v>3893</v>
      </c>
      <c r="AA3641" s="609" t="s">
        <v>5678</v>
      </c>
    </row>
    <row r="3642" spans="1:27" ht="18">
      <c r="A3642" s="2714"/>
      <c r="B3642" s="371">
        <v>103.005</v>
      </c>
      <c r="C3642" s="371" t="s">
        <v>2791</v>
      </c>
      <c r="D3642" s="2716">
        <f t="shared" si="418"/>
        <v>0</v>
      </c>
      <c r="E3642" s="2721" t="s">
        <v>3903</v>
      </c>
      <c r="F3642" s="340"/>
      <c r="G3642" s="578" t="s">
        <v>2792</v>
      </c>
      <c r="H3642" s="2275"/>
      <c r="I3642" s="2275"/>
      <c r="J3642" s="2275"/>
      <c r="K3642" s="1477">
        <f t="shared" si="419"/>
        <v>0</v>
      </c>
      <c r="L3642" s="291"/>
      <c r="M3642" s="291"/>
      <c r="N3642" s="291"/>
      <c r="O3642" s="291"/>
      <c r="S3642" s="364"/>
      <c r="Z3642" s="609" t="s">
        <v>3893</v>
      </c>
      <c r="AA3642" s="609" t="s">
        <v>5678</v>
      </c>
    </row>
    <row r="3643" spans="1:27" ht="18">
      <c r="A3643" s="2714"/>
      <c r="B3643" s="371">
        <v>103.006</v>
      </c>
      <c r="C3643" s="371" t="s">
        <v>2791</v>
      </c>
      <c r="D3643" s="2716">
        <f t="shared" si="418"/>
        <v>0</v>
      </c>
      <c r="E3643" s="2721" t="s">
        <v>3903</v>
      </c>
      <c r="F3643" s="340"/>
      <c r="G3643" s="578" t="s">
        <v>2792</v>
      </c>
      <c r="H3643" s="2275"/>
      <c r="I3643" s="2275"/>
      <c r="J3643" s="2275"/>
      <c r="K3643" s="1477">
        <f t="shared" si="419"/>
        <v>0</v>
      </c>
      <c r="L3643" s="291"/>
      <c r="M3643" s="291"/>
      <c r="N3643" s="291"/>
      <c r="O3643" s="291"/>
      <c r="S3643" s="364"/>
      <c r="Z3643" s="609" t="s">
        <v>3893</v>
      </c>
      <c r="AA3643" s="609" t="s">
        <v>5678</v>
      </c>
    </row>
    <row r="3644" spans="1:27" ht="18">
      <c r="A3644" s="2714"/>
      <c r="B3644" s="371">
        <v>103.999</v>
      </c>
      <c r="C3644" s="371" t="s">
        <v>2793</v>
      </c>
      <c r="D3644" s="2716">
        <f t="shared" si="418"/>
        <v>1</v>
      </c>
      <c r="E3644" s="2721">
        <v>1</v>
      </c>
      <c r="F3644" s="340"/>
      <c r="G3644" s="1474" t="s">
        <v>3903</v>
      </c>
      <c r="H3644" s="1476">
        <f>SUMIF($E$3634:$E$3651,$G3644,H$3634:H$3651)</f>
        <v>0</v>
      </c>
      <c r="I3644" s="1476">
        <f>SUMIF($E$3634:$E$3651,$G3644,I$3634:I$3651)</f>
        <v>615489.74</v>
      </c>
      <c r="J3644" s="1476">
        <f>SUMIF($E$3634:$E$3651,$G3644,J$3634:J$3651)</f>
        <v>615489.74</v>
      </c>
      <c r="K3644" s="1477">
        <f>SUMIF($E$3634:$E$3651,$G3644,K$3634:K$3651)</f>
        <v>0</v>
      </c>
      <c r="L3644" s="291"/>
      <c r="M3644" s="291"/>
      <c r="N3644" s="291"/>
      <c r="O3644" s="291"/>
      <c r="S3644" s="364"/>
      <c r="Z3644" s="609" t="s">
        <v>3893</v>
      </c>
      <c r="AA3644" s="609" t="s">
        <v>5678</v>
      </c>
    </row>
    <row r="3645" spans="1:27" ht="18">
      <c r="A3645" s="2714"/>
      <c r="B3645" s="371">
        <v>104</v>
      </c>
      <c r="C3645" s="371"/>
      <c r="D3645" s="2716">
        <f t="shared" si="418"/>
        <v>1</v>
      </c>
      <c r="E3645" s="2721">
        <v>1</v>
      </c>
      <c r="F3645" s="340"/>
      <c r="G3645" s="1474" t="s">
        <v>3908</v>
      </c>
      <c r="H3645" s="2275"/>
      <c r="I3645" s="2275">
        <v>282736</v>
      </c>
      <c r="J3645" s="2275">
        <v>282736</v>
      </c>
      <c r="K3645" s="1477">
        <f t="shared" si="419"/>
        <v>0</v>
      </c>
      <c r="L3645" s="291"/>
      <c r="M3645" s="291"/>
      <c r="N3645" s="291"/>
      <c r="O3645" s="291"/>
      <c r="S3645" s="364"/>
      <c r="Z3645" s="609" t="s">
        <v>3893</v>
      </c>
      <c r="AA3645" s="609" t="s">
        <v>5678</v>
      </c>
    </row>
    <row r="3646" spans="1:27" ht="18">
      <c r="A3646" s="2714"/>
      <c r="B3646" s="371">
        <v>105</v>
      </c>
      <c r="C3646" s="371"/>
      <c r="D3646" s="2716">
        <f t="shared" si="418"/>
        <v>1</v>
      </c>
      <c r="E3646" s="2721">
        <v>1</v>
      </c>
      <c r="F3646" s="340"/>
      <c r="G3646" s="1474" t="s">
        <v>3909</v>
      </c>
      <c r="H3646" s="2275">
        <v>111981.99</v>
      </c>
      <c r="I3646" s="2275">
        <v>157890.95000000001</v>
      </c>
      <c r="J3646" s="2275">
        <v>158172.39000000001</v>
      </c>
      <c r="K3646" s="1477">
        <f t="shared" si="419"/>
        <v>111700.55</v>
      </c>
      <c r="L3646" s="291"/>
      <c r="M3646" s="291"/>
      <c r="N3646" s="291"/>
      <c r="O3646" s="291"/>
      <c r="S3646" s="364"/>
      <c r="Z3646" s="609" t="s">
        <v>3893</v>
      </c>
      <c r="AA3646" s="609" t="s">
        <v>5678</v>
      </c>
    </row>
    <row r="3647" spans="1:27" ht="18">
      <c r="A3647" s="2714"/>
      <c r="B3647" s="371">
        <v>106</v>
      </c>
      <c r="C3647" s="371"/>
      <c r="D3647" s="2716">
        <f t="shared" si="418"/>
        <v>1</v>
      </c>
      <c r="E3647" s="2721">
        <v>1</v>
      </c>
      <c r="F3647" s="340"/>
      <c r="G3647" s="1474" t="s">
        <v>3910</v>
      </c>
      <c r="H3647" s="2275"/>
      <c r="I3647" s="2275"/>
      <c r="J3647" s="2275"/>
      <c r="K3647" s="1477">
        <f t="shared" si="419"/>
        <v>0</v>
      </c>
      <c r="L3647" s="291"/>
      <c r="M3647" s="291"/>
      <c r="N3647" s="291"/>
      <c r="O3647" s="291"/>
      <c r="S3647" s="364"/>
      <c r="Z3647" s="609" t="s">
        <v>3893</v>
      </c>
      <c r="AA3647" s="609" t="s">
        <v>5678</v>
      </c>
    </row>
    <row r="3648" spans="1:27" ht="18">
      <c r="A3648" s="2714"/>
      <c r="B3648" s="371">
        <v>107</v>
      </c>
      <c r="C3648" s="371"/>
      <c r="D3648" s="2716">
        <f t="shared" si="418"/>
        <v>1</v>
      </c>
      <c r="E3648" s="2721">
        <v>1</v>
      </c>
      <c r="F3648" s="340"/>
      <c r="G3648" s="1474" t="s">
        <v>3911</v>
      </c>
      <c r="H3648" s="2275"/>
      <c r="I3648" s="2275"/>
      <c r="J3648" s="2275"/>
      <c r="K3648" s="1477">
        <f t="shared" si="419"/>
        <v>0</v>
      </c>
      <c r="L3648" s="291"/>
      <c r="M3648" s="291"/>
      <c r="N3648" s="291"/>
      <c r="O3648" s="291"/>
      <c r="S3648" s="364"/>
      <c r="Z3648" s="609" t="s">
        <v>3893</v>
      </c>
      <c r="AA3648" s="609" t="s">
        <v>5678</v>
      </c>
    </row>
    <row r="3649" spans="1:27" ht="18">
      <c r="A3649" s="2714"/>
      <c r="B3649" s="371">
        <v>108</v>
      </c>
      <c r="C3649" s="371" t="s">
        <v>2791</v>
      </c>
      <c r="D3649" s="2716">
        <f t="shared" si="418"/>
        <v>0</v>
      </c>
      <c r="E3649" s="2721">
        <v>1</v>
      </c>
      <c r="F3649" s="340"/>
      <c r="G3649" s="2375"/>
      <c r="H3649" s="2275"/>
      <c r="I3649" s="2275"/>
      <c r="J3649" s="2275"/>
      <c r="K3649" s="1477">
        <f t="shared" si="419"/>
        <v>0</v>
      </c>
      <c r="L3649" s="291"/>
      <c r="M3649" s="291"/>
      <c r="N3649" s="291"/>
      <c r="O3649" s="291"/>
      <c r="S3649" s="364"/>
      <c r="Z3649" s="609" t="s">
        <v>3893</v>
      </c>
      <c r="AA3649" s="609" t="s">
        <v>5678</v>
      </c>
    </row>
    <row r="3650" spans="1:27" ht="18">
      <c r="A3650" s="2714"/>
      <c r="B3650" s="371">
        <v>109</v>
      </c>
      <c r="C3650" s="371" t="s">
        <v>2791</v>
      </c>
      <c r="D3650" s="2716">
        <f t="shared" si="418"/>
        <v>0</v>
      </c>
      <c r="E3650" s="2721">
        <v>1</v>
      </c>
      <c r="F3650" s="340"/>
      <c r="G3650" s="2375" t="s">
        <v>2792</v>
      </c>
      <c r="H3650" s="2275"/>
      <c r="I3650" s="2275"/>
      <c r="J3650" s="2275"/>
      <c r="K3650" s="1477">
        <f t="shared" si="419"/>
        <v>0</v>
      </c>
      <c r="L3650" s="291"/>
      <c r="M3650" s="291"/>
      <c r="N3650" s="291"/>
      <c r="O3650" s="291"/>
      <c r="S3650" s="364"/>
      <c r="Z3650" s="609" t="s">
        <v>3893</v>
      </c>
      <c r="AA3650" s="609" t="s">
        <v>5678</v>
      </c>
    </row>
    <row r="3651" spans="1:27" ht="18">
      <c r="A3651" s="2714"/>
      <c r="B3651" s="371">
        <v>110</v>
      </c>
      <c r="C3651" s="371" t="s">
        <v>2791</v>
      </c>
      <c r="D3651" s="2716">
        <f t="shared" si="418"/>
        <v>0</v>
      </c>
      <c r="E3651" s="2721">
        <v>1</v>
      </c>
      <c r="F3651" s="340"/>
      <c r="G3651" s="2375" t="s">
        <v>2792</v>
      </c>
      <c r="H3651" s="2275"/>
      <c r="I3651" s="2275"/>
      <c r="J3651" s="2275"/>
      <c r="K3651" s="1477">
        <f t="shared" si="419"/>
        <v>0</v>
      </c>
      <c r="L3651" s="291"/>
      <c r="M3651" s="291"/>
      <c r="N3651" s="291"/>
      <c r="O3651" s="291"/>
      <c r="S3651" s="364"/>
      <c r="Z3651" s="609" t="s">
        <v>3893</v>
      </c>
      <c r="AA3651" s="609" t="s">
        <v>5678</v>
      </c>
    </row>
    <row r="3652" spans="1:27" ht="18.75" thickBot="1">
      <c r="A3652" s="2714"/>
      <c r="B3652" s="371"/>
      <c r="C3652" s="371"/>
      <c r="D3652" s="2716">
        <f t="shared" si="418"/>
        <v>1</v>
      </c>
      <c r="E3652" s="2721" t="s">
        <v>2751</v>
      </c>
      <c r="F3652" s="340"/>
      <c r="G3652" s="374" t="s">
        <v>2752</v>
      </c>
      <c r="H3652" s="1478">
        <f>SUMPRODUCT($E3634:$E3651,H3634:H3651)</f>
        <v>974467.27</v>
      </c>
      <c r="I3652" s="1478">
        <f>SUMPRODUCT($E3634:$E3651,I3634:I3651)</f>
        <v>7535815.4400000004</v>
      </c>
      <c r="J3652" s="1478">
        <f>SUMPRODUCT($E3634:$E3651,J3634:J3651)</f>
        <v>7451720.9000000004</v>
      </c>
      <c r="K3652" s="1479">
        <f>SUMPRODUCT($E3634:$E3651,K3634:K3651)</f>
        <v>1058561.81</v>
      </c>
      <c r="L3652" s="291"/>
      <c r="M3652" s="291"/>
      <c r="N3652" s="291"/>
      <c r="O3652" s="291"/>
      <c r="S3652" s="364"/>
      <c r="Z3652" s="609" t="s">
        <v>3893</v>
      </c>
      <c r="AA3652" s="609" t="s">
        <v>5678</v>
      </c>
    </row>
    <row r="3653" spans="1:27" ht="18.75" thickBot="1">
      <c r="A3653" s="2714"/>
      <c r="B3653" s="371"/>
      <c r="C3653" s="371" t="s">
        <v>2755</v>
      </c>
      <c r="D3653" s="371"/>
      <c r="F3653" s="294"/>
      <c r="G3653" s="557"/>
      <c r="H3653" s="527" t="s">
        <v>3002</v>
      </c>
      <c r="I3653" s="527" t="s">
        <v>3002</v>
      </c>
      <c r="J3653" s="527" t="s">
        <v>3002</v>
      </c>
      <c r="K3653" s="527" t="s">
        <v>3002</v>
      </c>
      <c r="L3653" s="291"/>
      <c r="M3653" s="291"/>
      <c r="N3653" s="291"/>
      <c r="O3653" s="291"/>
      <c r="S3653" s="364"/>
      <c r="Z3653" s="609" t="s">
        <v>3893</v>
      </c>
      <c r="AA3653" s="609" t="s">
        <v>5678</v>
      </c>
    </row>
    <row r="3654" spans="1:27" ht="18.75" thickTop="1">
      <c r="A3654" s="2714"/>
      <c r="B3654" s="371"/>
      <c r="C3654" s="371" t="s">
        <v>2565</v>
      </c>
      <c r="D3654" s="371"/>
      <c r="F3654" s="294"/>
      <c r="G3654" s="1561" t="s">
        <v>5367</v>
      </c>
      <c r="H3654" s="1550" t="str">
        <f>G3622</f>
        <v>(1)应付职工薪酬列示</v>
      </c>
      <c r="I3654" s="1552"/>
      <c r="J3654" s="1552"/>
      <c r="K3654" s="1552"/>
      <c r="L3654" s="1553" t="s">
        <v>5368</v>
      </c>
      <c r="M3654" s="291"/>
      <c r="N3654" s="291"/>
      <c r="O3654" s="291"/>
      <c r="S3654" s="364"/>
      <c r="Z3654" s="609" t="s">
        <v>3893</v>
      </c>
      <c r="AA3654" s="609" t="s">
        <v>5678</v>
      </c>
    </row>
    <row r="3655" spans="1:27" ht="18">
      <c r="A3655" s="2714"/>
      <c r="B3655" s="371"/>
      <c r="C3655" s="371" t="s">
        <v>2565</v>
      </c>
      <c r="D3655" s="371"/>
      <c r="F3655" s="294"/>
      <c r="G3655" s="604" t="str">
        <f>"注释A:"&amp; G3625</f>
        <v>注释A:一、短期薪酬</v>
      </c>
      <c r="H3655" s="2252">
        <f ca="1">HYPERLINK("#'"&amp;$G$1&amp;"'!"&amp;ADDRESS(ROW(Notes!H3625),COLUMN(Notes!H3625),4),H3625)</f>
        <v>974467.27</v>
      </c>
      <c r="I3655" s="2252">
        <f ca="1">HYPERLINK("#'"&amp;$G$1&amp;"'!"&amp;ADDRESS(ROW(Notes!I3625),COLUMN(Notes!I3625),4),I3625)</f>
        <v>7535815.4400000004</v>
      </c>
      <c r="J3655" s="2252">
        <f ca="1">HYPERLINK("#'"&amp;$G$1&amp;"'!"&amp;ADDRESS(ROW(Notes!J3625),COLUMN(Notes!J3625),4),J3625)</f>
        <v>7451720.9000000004</v>
      </c>
      <c r="K3655" s="2252">
        <f ca="1">HYPERLINK("#'"&amp;$G$1&amp;"'!"&amp;ADDRESS(ROW(Notes!K3625),COLUMN(Notes!K3625),4),K3625)</f>
        <v>1058561.81</v>
      </c>
      <c r="L3655" s="2632" t="str">
        <f>H3622</f>
        <v>2211a</v>
      </c>
      <c r="M3655" s="291"/>
      <c r="N3655" s="291"/>
      <c r="O3655" s="291"/>
      <c r="S3655" s="364"/>
      <c r="Z3655" s="609" t="s">
        <v>3893</v>
      </c>
      <c r="AA3655" s="609" t="s">
        <v>5678</v>
      </c>
    </row>
    <row r="3656" spans="1:27" ht="18">
      <c r="A3656" s="2714"/>
      <c r="B3656" s="371"/>
      <c r="C3656" s="371" t="s">
        <v>2565</v>
      </c>
      <c r="D3656" s="371"/>
      <c r="F3656" s="294"/>
      <c r="G3656" s="604" t="str">
        <f>"本注释B:"&amp; G3652</f>
        <v>本注释B:合       计</v>
      </c>
      <c r="H3656" s="456">
        <f>H3652</f>
        <v>974467.27</v>
      </c>
      <c r="I3656" s="456">
        <f t="shared" ref="I3656:K3656" si="420">I3652</f>
        <v>7535815.4400000004</v>
      </c>
      <c r="J3656" s="456">
        <f t="shared" si="420"/>
        <v>7451720.9000000004</v>
      </c>
      <c r="K3656" s="456">
        <f t="shared" si="420"/>
        <v>1058561.81</v>
      </c>
      <c r="L3656" s="2638" t="s">
        <v>1505</v>
      </c>
      <c r="M3656" s="291"/>
      <c r="N3656" s="291"/>
      <c r="O3656" s="291"/>
      <c r="S3656" s="364"/>
      <c r="Z3656" s="609" t="s">
        <v>3893</v>
      </c>
      <c r="AA3656" s="609" t="s">
        <v>5678</v>
      </c>
    </row>
    <row r="3657" spans="1:27" ht="18.75" thickBot="1">
      <c r="A3657" s="2714"/>
      <c r="B3657" s="371"/>
      <c r="C3657" s="371" t="s">
        <v>2565</v>
      </c>
      <c r="D3657" s="371"/>
      <c r="F3657" s="294"/>
      <c r="G3657" s="1562" t="s">
        <v>2757</v>
      </c>
      <c r="H3657" s="1531">
        <f ca="1">IF(AND(H3655="",H3656=""),"",ROUND(H3655-H3656,2))</f>
        <v>0</v>
      </c>
      <c r="I3657" s="1531">
        <f ca="1">IF(AND(I3655="",I3656=""),"",ROUND(I3655-I3656,2))</f>
        <v>0</v>
      </c>
      <c r="J3657" s="1531">
        <f ca="1">IF(AND(J3655="",J3656=""),"",ROUND(J3655-J3656,2))</f>
        <v>0</v>
      </c>
      <c r="K3657" s="1531">
        <f ca="1">IF(AND(K3655="",K3656=""),"",ROUND(K3655-K3656,2))</f>
        <v>0</v>
      </c>
      <c r="L3657" s="1555"/>
      <c r="M3657" s="291"/>
      <c r="N3657" s="291"/>
      <c r="O3657" s="291"/>
      <c r="S3657" s="364"/>
      <c r="Z3657" s="609" t="s">
        <v>3893</v>
      </c>
      <c r="AA3657" s="609" t="s">
        <v>5678</v>
      </c>
    </row>
    <row r="3658" spans="1:27" ht="18.75" thickTop="1">
      <c r="A3658" s="2714"/>
      <c r="B3658" s="371"/>
      <c r="C3658" s="371" t="s">
        <v>2565</v>
      </c>
      <c r="D3658" s="371"/>
      <c r="F3658" s="294"/>
      <c r="G3658" s="2640"/>
      <c r="H3658" s="459" t="str">
        <f ca="1">IF(OR(H3657=0,H3657=""),"√","？")</f>
        <v>√</v>
      </c>
      <c r="I3658" s="459" t="str">
        <f ca="1">IF(OR(I3657=0,I3657=""),"√","？")</f>
        <v>√</v>
      </c>
      <c r="J3658" s="459" t="str">
        <f ca="1">IF(OR(J3657=0,J3657=""),"√","？")</f>
        <v>√</v>
      </c>
      <c r="K3658" s="459" t="str">
        <f ca="1">IF(OR(K3657=0,K3657=""),"√","？")</f>
        <v>√</v>
      </c>
      <c r="L3658" s="354"/>
      <c r="M3658" s="291"/>
      <c r="N3658" s="291"/>
      <c r="O3658" s="291"/>
      <c r="S3658" s="364"/>
      <c r="Z3658" s="609" t="s">
        <v>3893</v>
      </c>
      <c r="AA3658" s="609" t="s">
        <v>5678</v>
      </c>
    </row>
    <row r="3659" spans="1:27" ht="18">
      <c r="A3659" s="2714"/>
      <c r="B3659" s="371"/>
      <c r="C3659" s="371" t="s">
        <v>2565</v>
      </c>
      <c r="D3659" s="371"/>
      <c r="F3659" s="294"/>
      <c r="G3659" s="460" t="s">
        <v>2759</v>
      </c>
      <c r="H3659" s="461"/>
      <c r="I3659" s="461"/>
      <c r="J3659" s="461"/>
      <c r="K3659" s="605">
        <f ca="1">SUMIF($H$3658:$L$3658,"&lt;&gt;√",$H$3657:$L$3657)</f>
        <v>0</v>
      </c>
      <c r="L3659" s="353" t="str">
        <f ca="1">IF(OR(K3659=0,K3659=""),"√","？")</f>
        <v>√</v>
      </c>
      <c r="M3659" s="291"/>
      <c r="N3659" s="291"/>
      <c r="O3659" s="291"/>
      <c r="S3659" s="364"/>
      <c r="Z3659" s="609" t="s">
        <v>3893</v>
      </c>
      <c r="AA3659" s="609" t="s">
        <v>5678</v>
      </c>
    </row>
    <row r="3660" spans="1:27" ht="18">
      <c r="A3660" s="2714"/>
      <c r="B3660" s="371"/>
      <c r="C3660" s="371" t="s">
        <v>2565</v>
      </c>
      <c r="D3660" s="371"/>
      <c r="F3660" s="294"/>
      <c r="G3660" s="2640"/>
      <c r="H3660" s="461"/>
      <c r="I3660" s="461"/>
      <c r="J3660" s="461"/>
      <c r="K3660" s="461"/>
      <c r="L3660" s="354"/>
      <c r="M3660" s="291"/>
      <c r="N3660" s="291"/>
      <c r="O3660" s="291"/>
      <c r="S3660" s="364"/>
      <c r="Z3660" s="609" t="s">
        <v>3893</v>
      </c>
      <c r="AA3660" s="609" t="s">
        <v>5678</v>
      </c>
    </row>
    <row r="3661" spans="1:27" ht="18">
      <c r="A3661" s="2714" t="s">
        <v>1510</v>
      </c>
      <c r="B3661" s="371">
        <v>3</v>
      </c>
      <c r="C3661" s="371"/>
      <c r="D3661" s="2716" t="str">
        <f>VLOOKUP($A3661,Sheet_NoteList,2,0)</f>
        <v>设定提存计划列示</v>
      </c>
      <c r="E3661" s="2716" t="s">
        <v>2742</v>
      </c>
      <c r="F3661" s="294"/>
      <c r="G3661" s="307" t="str">
        <f>"("&amp;B3661&amp;")"&amp;D3661</f>
        <v>(3)设定提存计划列示</v>
      </c>
      <c r="H3661" s="1517" t="str">
        <f>$A3661</f>
        <v>2211c</v>
      </c>
      <c r="I3661" s="343" t="s">
        <v>2743</v>
      </c>
      <c r="J3661" s="301" t="s">
        <v>2744</v>
      </c>
      <c r="K3661" s="2210">
        <f>K3676</f>
        <v>0</v>
      </c>
      <c r="L3661" s="345"/>
      <c r="M3661" s="301" t="s">
        <v>2745</v>
      </c>
      <c r="N3661" s="2210">
        <f>H3676</f>
        <v>0</v>
      </c>
      <c r="O3661" s="345"/>
      <c r="P3661" s="301"/>
      <c r="Q3661" s="290" t="str">
        <f>IF($I3661="不适用","",IF(ROUND(SUM($H$3664:$K$3676),2)=0,"请输入",""))</f>
        <v/>
      </c>
      <c r="S3661" s="364"/>
      <c r="Z3661" s="609" t="s">
        <v>3893</v>
      </c>
      <c r="AA3661" s="609" t="s">
        <v>5678</v>
      </c>
    </row>
    <row r="3662" spans="1:27" ht="0.75" customHeight="1" thickBot="1">
      <c r="A3662" s="2714"/>
      <c r="B3662" s="371"/>
      <c r="C3662" s="371"/>
      <c r="D3662" s="371"/>
      <c r="E3662" s="586"/>
      <c r="F3662" s="586"/>
      <c r="G3662" s="586" t="s">
        <v>3912</v>
      </c>
      <c r="H3662" s="371" t="s">
        <v>2904</v>
      </c>
      <c r="I3662" s="371" t="s">
        <v>3255</v>
      </c>
      <c r="J3662" s="371" t="s">
        <v>3256</v>
      </c>
      <c r="K3662" s="371" t="s">
        <v>3241</v>
      </c>
      <c r="L3662" s="291"/>
      <c r="M3662" s="291"/>
      <c r="N3662" s="291"/>
      <c r="O3662" s="291"/>
      <c r="S3662" s="364"/>
      <c r="Z3662" s="609" t="s">
        <v>3893</v>
      </c>
      <c r="AA3662" s="609" t="s">
        <v>5678</v>
      </c>
    </row>
    <row r="3663" spans="1:27" ht="18">
      <c r="A3663" s="2714"/>
      <c r="B3663" s="371"/>
      <c r="C3663" s="371"/>
      <c r="D3663" s="371"/>
      <c r="E3663" s="586" t="s">
        <v>2749</v>
      </c>
      <c r="F3663" s="363"/>
      <c r="G3663" s="2567" t="s">
        <v>47</v>
      </c>
      <c r="H3663" s="2532" t="str">
        <f>$V$3</f>
        <v>2018年12月31日</v>
      </c>
      <c r="I3663" s="2564" t="s">
        <v>3027</v>
      </c>
      <c r="J3663" s="2564" t="s">
        <v>3028</v>
      </c>
      <c r="K3663" s="2593" t="str">
        <f>$V$2</f>
        <v>2019年12月31日</v>
      </c>
      <c r="L3663" s="355" t="s">
        <v>5305</v>
      </c>
      <c r="M3663" s="291"/>
      <c r="N3663" s="291"/>
      <c r="O3663" s="291"/>
      <c r="S3663" s="364"/>
      <c r="Z3663" s="609" t="s">
        <v>3893</v>
      </c>
      <c r="AA3663" s="609" t="s">
        <v>5678</v>
      </c>
    </row>
    <row r="3664" spans="1:27" ht="18">
      <c r="A3664" s="2714"/>
      <c r="B3664" s="371">
        <v>101</v>
      </c>
      <c r="C3664" s="371"/>
      <c r="D3664" s="2716">
        <f t="shared" ref="D3664:D3676" si="421">IF(OR(G3664="*",G3664="",G3664=0),0,COUNTIF($G$3664:$G$3676,G3664))</f>
        <v>1</v>
      </c>
      <c r="E3664" s="2721" t="s">
        <v>41</v>
      </c>
      <c r="F3664" s="294"/>
      <c r="G3664" s="1474" t="s">
        <v>3913</v>
      </c>
      <c r="H3664" s="2275"/>
      <c r="I3664" s="2275"/>
      <c r="J3664" s="2275"/>
      <c r="K3664" s="2296"/>
      <c r="L3664" s="291"/>
      <c r="M3664" s="291"/>
      <c r="N3664" s="291"/>
      <c r="O3664" s="291"/>
      <c r="S3664" s="364"/>
      <c r="Z3664" s="609" t="s">
        <v>3893</v>
      </c>
      <c r="AA3664" s="609" t="s">
        <v>5678</v>
      </c>
    </row>
    <row r="3665" spans="1:29" ht="18">
      <c r="A3665" s="2714"/>
      <c r="B3665" s="371">
        <v>101.001</v>
      </c>
      <c r="C3665" s="371"/>
      <c r="D3665" s="2716">
        <f t="shared" si="421"/>
        <v>1</v>
      </c>
      <c r="E3665" s="2721" t="s">
        <v>3914</v>
      </c>
      <c r="F3665" s="294"/>
      <c r="G3665" s="603" t="s">
        <v>3915</v>
      </c>
      <c r="H3665" s="2275"/>
      <c r="I3665" s="2275">
        <v>635681.4</v>
      </c>
      <c r="J3665" s="2275">
        <v>635681.4</v>
      </c>
      <c r="K3665" s="1477">
        <f>H3665+I3665-J3665</f>
        <v>0</v>
      </c>
      <c r="L3665" s="291"/>
      <c r="M3665" s="291"/>
      <c r="N3665" s="291"/>
      <c r="O3665" s="291"/>
      <c r="S3665" s="364"/>
      <c r="Z3665" s="609" t="s">
        <v>3893</v>
      </c>
      <c r="AA3665" s="609" t="s">
        <v>5678</v>
      </c>
    </row>
    <row r="3666" spans="1:29" ht="18">
      <c r="A3666" s="2714"/>
      <c r="B3666" s="371">
        <v>101.002</v>
      </c>
      <c r="C3666" s="371"/>
      <c r="D3666" s="2716">
        <f t="shared" si="421"/>
        <v>1</v>
      </c>
      <c r="E3666" s="2721" t="s">
        <v>3914</v>
      </c>
      <c r="F3666" s="294"/>
      <c r="G3666" s="603" t="s">
        <v>3916</v>
      </c>
      <c r="H3666" s="2275"/>
      <c r="I3666" s="2275">
        <v>24443.7</v>
      </c>
      <c r="J3666" s="2275">
        <v>24443.7</v>
      </c>
      <c r="K3666" s="1477">
        <f>H3666+I3666-J3666</f>
        <v>0</v>
      </c>
      <c r="L3666" s="291"/>
      <c r="M3666" s="291"/>
      <c r="N3666" s="291"/>
      <c r="O3666" s="291"/>
      <c r="S3666" s="364"/>
      <c r="Z3666" s="609" t="s">
        <v>3893</v>
      </c>
      <c r="AA3666" s="609" t="s">
        <v>5678</v>
      </c>
    </row>
    <row r="3667" spans="1:29" ht="18">
      <c r="A3667" s="2714"/>
      <c r="B3667" s="371">
        <v>101.003</v>
      </c>
      <c r="C3667" s="371"/>
      <c r="D3667" s="2716">
        <f t="shared" si="421"/>
        <v>1</v>
      </c>
      <c r="E3667" s="2721" t="s">
        <v>3914</v>
      </c>
      <c r="F3667" s="294"/>
      <c r="G3667" s="603" t="s">
        <v>3917</v>
      </c>
      <c r="H3667" s="2275"/>
      <c r="I3667" s="2275"/>
      <c r="J3667" s="2275"/>
      <c r="K3667" s="1477">
        <f>H3667+I3667-J3667</f>
        <v>0</v>
      </c>
      <c r="L3667" s="291"/>
      <c r="M3667" s="291"/>
      <c r="N3667" s="291"/>
      <c r="O3667" s="291"/>
      <c r="S3667" s="364"/>
      <c r="Z3667" s="609" t="s">
        <v>3893</v>
      </c>
      <c r="AA3667" s="609" t="s">
        <v>5678</v>
      </c>
    </row>
    <row r="3668" spans="1:29" ht="18">
      <c r="A3668" s="2714"/>
      <c r="B3668" s="371">
        <v>101.004</v>
      </c>
      <c r="C3668" s="371" t="s">
        <v>2791</v>
      </c>
      <c r="D3668" s="2716">
        <f t="shared" si="421"/>
        <v>0</v>
      </c>
      <c r="E3668" s="2721" t="s">
        <v>3914</v>
      </c>
      <c r="F3668" s="294"/>
      <c r="G3668" s="578" t="s">
        <v>2792</v>
      </c>
      <c r="H3668" s="2275"/>
      <c r="I3668" s="2275"/>
      <c r="J3668" s="2275"/>
      <c r="K3668" s="1477">
        <f>H3668+I3668-J3668</f>
        <v>0</v>
      </c>
      <c r="L3668" s="291"/>
      <c r="M3668" s="291"/>
      <c r="N3668" s="291"/>
      <c r="O3668" s="291"/>
      <c r="S3668" s="364"/>
      <c r="Z3668" s="609" t="s">
        <v>3893</v>
      </c>
      <c r="AA3668" s="609" t="s">
        <v>5678</v>
      </c>
    </row>
    <row r="3669" spans="1:29" ht="18">
      <c r="A3669" s="2714"/>
      <c r="B3669" s="371">
        <v>101.005</v>
      </c>
      <c r="C3669" s="371" t="s">
        <v>2791</v>
      </c>
      <c r="D3669" s="2716">
        <f t="shared" si="421"/>
        <v>0</v>
      </c>
      <c r="E3669" s="2721" t="s">
        <v>3914</v>
      </c>
      <c r="F3669" s="294"/>
      <c r="G3669" s="578" t="s">
        <v>2792</v>
      </c>
      <c r="H3669" s="2275"/>
      <c r="I3669" s="2275"/>
      <c r="J3669" s="2275"/>
      <c r="K3669" s="1477">
        <f>H3669+I3669-J3669</f>
        <v>0</v>
      </c>
      <c r="L3669" s="291"/>
      <c r="M3669" s="291"/>
      <c r="N3669" s="291"/>
      <c r="O3669" s="291"/>
      <c r="S3669" s="364"/>
      <c r="Z3669" s="609" t="s">
        <v>3893</v>
      </c>
      <c r="AA3669" s="609" t="s">
        <v>5678</v>
      </c>
    </row>
    <row r="3670" spans="1:29" ht="18">
      <c r="A3670" s="2714"/>
      <c r="B3670" s="371">
        <v>101.999</v>
      </c>
      <c r="C3670" s="371" t="s">
        <v>2793</v>
      </c>
      <c r="D3670" s="2716">
        <f t="shared" si="421"/>
        <v>1</v>
      </c>
      <c r="E3670" s="2721">
        <v>1</v>
      </c>
      <c r="F3670" s="294"/>
      <c r="G3670" s="1474" t="s">
        <v>3914</v>
      </c>
      <c r="H3670" s="1476">
        <f>SUMIF($E$3663:$E$3675,$G3670,H$3663:H$3675)</f>
        <v>0</v>
      </c>
      <c r="I3670" s="1476">
        <f>SUMIF($E$3663:$E$3675,$G3670,I$3663:I$3675)</f>
        <v>660125.1</v>
      </c>
      <c r="J3670" s="1476">
        <f>SUMIF($E$3663:$E$3675,$G3670,J$3663:J$3675)</f>
        <v>660125.1</v>
      </c>
      <c r="K3670" s="1477">
        <f>SUMIF($E$3663:$E$3675,$G3670,K$3663:K$3675)</f>
        <v>0</v>
      </c>
      <c r="L3670" s="1533" t="str">
        <f ca="1">HYPERLINK("#'"&amp;$G$1&amp;"'!"&amp;ADDRESS(ROW(Notes!H3680),COLUMN(Notes!H3680),4),"* 请勿删除此行！点击往勾稽单元格，F5+Enter返回")</f>
        <v>* 请勿删除此行！点击往勾稽单元格，F5+Enter返回</v>
      </c>
      <c r="M3670" s="291"/>
      <c r="N3670" s="291"/>
      <c r="O3670" s="291"/>
      <c r="S3670" s="364"/>
      <c r="Z3670" s="609" t="s">
        <v>3893</v>
      </c>
      <c r="AA3670" s="609" t="s">
        <v>5678</v>
      </c>
      <c r="AC3670" s="369" t="s">
        <v>6573</v>
      </c>
    </row>
    <row r="3671" spans="1:29" ht="18">
      <c r="A3671" s="2714"/>
      <c r="B3671" s="371">
        <v>102</v>
      </c>
      <c r="C3671" s="371" t="s">
        <v>2791</v>
      </c>
      <c r="D3671" s="2716">
        <f t="shared" si="421"/>
        <v>1</v>
      </c>
      <c r="E3671" s="2721">
        <v>1</v>
      </c>
      <c r="F3671" s="294"/>
      <c r="G3671" s="2568" t="s">
        <v>3918</v>
      </c>
      <c r="H3671" s="2275">
        <f>SUM(H3672:H3674)</f>
        <v>0</v>
      </c>
      <c r="I3671" s="2275">
        <f t="shared" ref="I3671:J3671" si="422">SUM(I3672:I3674)</f>
        <v>0</v>
      </c>
      <c r="J3671" s="2275">
        <f t="shared" si="422"/>
        <v>0</v>
      </c>
      <c r="K3671" s="2296">
        <f>SUM(K3672:K3674)</f>
        <v>0</v>
      </c>
      <c r="L3671" s="291"/>
      <c r="M3671" s="291"/>
      <c r="N3671" s="291"/>
      <c r="O3671" s="291"/>
      <c r="S3671" s="364"/>
      <c r="Z3671" s="609" t="s">
        <v>3893</v>
      </c>
      <c r="AA3671" s="609" t="s">
        <v>5678</v>
      </c>
    </row>
    <row r="3672" spans="1:29" ht="18">
      <c r="A3672" s="2714"/>
      <c r="B3672" s="371">
        <v>103</v>
      </c>
      <c r="C3672" s="371" t="s">
        <v>2791</v>
      </c>
      <c r="D3672" s="2716">
        <f t="shared" si="421"/>
        <v>1</v>
      </c>
      <c r="E3672" s="2721">
        <v>0</v>
      </c>
      <c r="F3672" s="294"/>
      <c r="G3672" s="578" t="s">
        <v>3919</v>
      </c>
      <c r="H3672" s="2275"/>
      <c r="I3672" s="2275"/>
      <c r="J3672" s="2275"/>
      <c r="K3672" s="1477">
        <f>H3672+I3672-J3672</f>
        <v>0</v>
      </c>
      <c r="L3672" s="355" t="s">
        <v>6073</v>
      </c>
      <c r="M3672" s="291"/>
      <c r="N3672" s="291"/>
      <c r="O3672" s="291"/>
      <c r="S3672" s="364"/>
      <c r="Z3672" s="609" t="s">
        <v>3893</v>
      </c>
      <c r="AA3672" s="609" t="s">
        <v>5678</v>
      </c>
    </row>
    <row r="3673" spans="1:29" ht="18">
      <c r="A3673" s="2714"/>
      <c r="B3673" s="371">
        <v>104</v>
      </c>
      <c r="C3673" s="371" t="s">
        <v>2791</v>
      </c>
      <c r="D3673" s="2716">
        <f t="shared" si="421"/>
        <v>1</v>
      </c>
      <c r="E3673" s="2721">
        <v>0</v>
      </c>
      <c r="F3673" s="294"/>
      <c r="G3673" s="578" t="s">
        <v>3920</v>
      </c>
      <c r="H3673" s="2275"/>
      <c r="I3673" s="2275"/>
      <c r="J3673" s="2275"/>
      <c r="K3673" s="1477">
        <f>H3673+I3673-J3673</f>
        <v>0</v>
      </c>
      <c r="L3673" s="291"/>
      <c r="M3673" s="291"/>
      <c r="N3673" s="291"/>
      <c r="O3673" s="291"/>
      <c r="S3673" s="364"/>
      <c r="Z3673" s="609" t="s">
        <v>3893</v>
      </c>
      <c r="AA3673" s="609" t="s">
        <v>5678</v>
      </c>
    </row>
    <row r="3674" spans="1:29" ht="18">
      <c r="A3674" s="2714"/>
      <c r="B3674" s="371">
        <v>105</v>
      </c>
      <c r="C3674" s="371" t="s">
        <v>6532</v>
      </c>
      <c r="D3674" s="2716">
        <f t="shared" si="421"/>
        <v>0</v>
      </c>
      <c r="E3674" s="2721">
        <v>0</v>
      </c>
      <c r="F3674" s="294"/>
      <c r="G3674" s="578" t="s">
        <v>2792</v>
      </c>
      <c r="H3674" s="2275"/>
      <c r="I3674" s="2275"/>
      <c r="J3674" s="2275"/>
      <c r="K3674" s="1477">
        <f>H3674+I3674-J3674</f>
        <v>0</v>
      </c>
      <c r="L3674" s="291"/>
      <c r="M3674" s="291"/>
      <c r="N3674" s="291"/>
      <c r="O3674" s="291"/>
      <c r="S3674" s="364"/>
      <c r="Z3674" s="609" t="s">
        <v>3893</v>
      </c>
      <c r="AA3674" s="609" t="s">
        <v>5678</v>
      </c>
    </row>
    <row r="3675" spans="1:29" ht="18">
      <c r="A3675" s="2714"/>
      <c r="B3675" s="371">
        <v>106</v>
      </c>
      <c r="C3675" s="371" t="s">
        <v>2791</v>
      </c>
      <c r="D3675" s="2716">
        <f t="shared" si="421"/>
        <v>0</v>
      </c>
      <c r="E3675" s="2721">
        <v>1</v>
      </c>
      <c r="F3675" s="294"/>
      <c r="G3675" s="2568" t="s">
        <v>2792</v>
      </c>
      <c r="H3675" s="2275"/>
      <c r="I3675" s="2275"/>
      <c r="J3675" s="2275"/>
      <c r="K3675" s="1477">
        <f>H3675+I3675-J3675</f>
        <v>0</v>
      </c>
      <c r="L3675" s="291"/>
      <c r="M3675" s="291"/>
      <c r="N3675" s="291"/>
      <c r="O3675" s="291"/>
      <c r="S3675" s="364"/>
      <c r="Z3675" s="609" t="s">
        <v>3893</v>
      </c>
      <c r="AA3675" s="609" t="s">
        <v>5678</v>
      </c>
    </row>
    <row r="3676" spans="1:29" ht="18.75" thickBot="1">
      <c r="A3676" s="2714"/>
      <c r="B3676" s="371"/>
      <c r="C3676" s="371"/>
      <c r="D3676" s="2716">
        <f t="shared" si="421"/>
        <v>1</v>
      </c>
      <c r="E3676" s="2721" t="s">
        <v>2751</v>
      </c>
      <c r="F3676" s="294"/>
      <c r="G3676" s="374" t="s">
        <v>2752</v>
      </c>
      <c r="H3676" s="1496">
        <f>SUMPRODUCT($E3663:$E3675,H3663:H3675)</f>
        <v>0</v>
      </c>
      <c r="I3676" s="1496">
        <f>SUMPRODUCT($E3663:$E3675,I3663:I3675)</f>
        <v>660125.1</v>
      </c>
      <c r="J3676" s="1496">
        <f>SUMPRODUCT($E3663:$E3675,J3663:J3675)</f>
        <v>660125.1</v>
      </c>
      <c r="K3676" s="2594">
        <f>SUMPRODUCT($E3663:$E3675,K3663:K3675)</f>
        <v>0</v>
      </c>
      <c r="L3676" s="291"/>
      <c r="M3676" s="291"/>
      <c r="N3676" s="291"/>
      <c r="O3676" s="291"/>
      <c r="S3676" s="364"/>
      <c r="Z3676" s="609" t="s">
        <v>3893</v>
      </c>
      <c r="AA3676" s="609" t="s">
        <v>5678</v>
      </c>
    </row>
    <row r="3677" spans="1:29" ht="18.75" thickBot="1">
      <c r="A3677" s="2714"/>
      <c r="B3677" s="371"/>
      <c r="C3677" s="371" t="s">
        <v>2755</v>
      </c>
      <c r="D3677" s="371"/>
      <c r="F3677" s="294"/>
      <c r="G3677" s="557"/>
      <c r="H3677" s="527" t="s">
        <v>3002</v>
      </c>
      <c r="I3677" s="527" t="s">
        <v>3002</v>
      </c>
      <c r="J3677" s="527" t="s">
        <v>3002</v>
      </c>
      <c r="K3677" s="527" t="s">
        <v>3002</v>
      </c>
      <c r="L3677" s="291"/>
      <c r="M3677" s="291"/>
      <c r="N3677" s="291"/>
      <c r="O3677" s="291"/>
      <c r="S3677" s="364"/>
      <c r="Z3677" s="609" t="s">
        <v>3893</v>
      </c>
      <c r="AA3677" s="609" t="s">
        <v>5678</v>
      </c>
    </row>
    <row r="3678" spans="1:29" ht="18.75" thickTop="1">
      <c r="A3678" s="2714"/>
      <c r="B3678" s="371"/>
      <c r="C3678" s="371" t="s">
        <v>2565</v>
      </c>
      <c r="D3678" s="371"/>
      <c r="F3678" s="294"/>
      <c r="G3678" s="1561" t="s">
        <v>5367</v>
      </c>
      <c r="H3678" s="1550" t="str">
        <f>G3622</f>
        <v>(1)应付职工薪酬列示</v>
      </c>
      <c r="I3678" s="1552"/>
      <c r="J3678" s="1552"/>
      <c r="K3678" s="1552"/>
      <c r="L3678" s="1553" t="s">
        <v>5368</v>
      </c>
      <c r="M3678" s="291"/>
      <c r="N3678" s="291"/>
      <c r="O3678" s="291"/>
      <c r="S3678" s="364"/>
      <c r="Z3678" s="609" t="s">
        <v>3893</v>
      </c>
      <c r="AA3678" s="609" t="s">
        <v>5678</v>
      </c>
    </row>
    <row r="3679" spans="1:29" ht="24">
      <c r="A3679" s="2714"/>
      <c r="B3679" s="371"/>
      <c r="C3679" s="371" t="s">
        <v>2565</v>
      </c>
      <c r="D3679" s="371"/>
      <c r="F3679" s="294"/>
      <c r="G3679" s="604" t="str">
        <f>"注释A:"&amp; G3626</f>
        <v>注释A:二、离职后福利-设定提存计划</v>
      </c>
      <c r="H3679" s="2252">
        <f ca="1">HYPERLINK("#'"&amp;$G$1&amp;"'!"&amp;ADDRESS(ROW(Notes!H3626),COLUMN(Notes!H3626),4),H3626)</f>
        <v>0</v>
      </c>
      <c r="I3679" s="2252">
        <f ca="1">HYPERLINK("#'"&amp;$G$1&amp;"'!"&amp;ADDRESS(ROW(Notes!I3626),COLUMN(Notes!I3626),4),I3626)</f>
        <v>660125.1</v>
      </c>
      <c r="J3679" s="2252">
        <f ca="1">HYPERLINK("#'"&amp;$G$1&amp;"'!"&amp;ADDRESS(ROW(Notes!J3626),COLUMN(Notes!J3626),4),J3626)</f>
        <v>660125.1</v>
      </c>
      <c r="K3679" s="2252">
        <f ca="1">HYPERLINK("#'"&amp;$G$1&amp;"'!"&amp;ADDRESS(ROW(Notes!K3626),COLUMN(Notes!K3626),4),K3626)</f>
        <v>0</v>
      </c>
      <c r="L3679" s="2632" t="str">
        <f>H3622</f>
        <v>2211a</v>
      </c>
      <c r="M3679" s="291"/>
      <c r="N3679" s="291"/>
      <c r="O3679" s="291"/>
      <c r="S3679" s="364"/>
      <c r="Z3679" s="609" t="s">
        <v>3893</v>
      </c>
      <c r="AA3679" s="609" t="s">
        <v>5678</v>
      </c>
    </row>
    <row r="3680" spans="1:29" ht="18">
      <c r="A3680" s="2714"/>
      <c r="B3680" s="371"/>
      <c r="C3680" s="371" t="s">
        <v>2565</v>
      </c>
      <c r="D3680" s="371"/>
      <c r="F3680" s="294"/>
      <c r="G3680" s="604" t="str">
        <f>"本注释B:"&amp; G3670</f>
        <v>本注释B:离职后福利小计</v>
      </c>
      <c r="H3680" s="2252">
        <f ca="1">HYPERLINK("#'"&amp;$G$1&amp;"'!"&amp;ADDRESS(ROW(Notes!H3670),COLUMN(Notes!H3670),4),H3670)</f>
        <v>0</v>
      </c>
      <c r="I3680" s="2252">
        <f ca="1">HYPERLINK("#'"&amp;$G$1&amp;"'!"&amp;ADDRESS(ROW(Notes!I3670),COLUMN(Notes!I3670),4),I3670)</f>
        <v>660125.1</v>
      </c>
      <c r="J3680" s="2252">
        <f ca="1">HYPERLINK("#'"&amp;$G$1&amp;"'!"&amp;ADDRESS(ROW(Notes!J3670),COLUMN(Notes!J3670),4),J3670)</f>
        <v>660125.1</v>
      </c>
      <c r="K3680" s="2252">
        <f ca="1">HYPERLINK("#'"&amp;$G$1&amp;"'!"&amp;ADDRESS(ROW(Notes!K3670),COLUMN(Notes!K3670),4),K3670)</f>
        <v>0</v>
      </c>
      <c r="L3680" s="2638" t="s">
        <v>1510</v>
      </c>
      <c r="M3680" s="291"/>
      <c r="N3680" s="291"/>
      <c r="O3680" s="291"/>
      <c r="S3680" s="364"/>
      <c r="Z3680" s="609" t="s">
        <v>3893</v>
      </c>
      <c r="AA3680" s="609" t="s">
        <v>5678</v>
      </c>
    </row>
    <row r="3681" spans="1:27" ht="18.75" thickBot="1">
      <c r="A3681" s="2714"/>
      <c r="B3681" s="371"/>
      <c r="C3681" s="371" t="s">
        <v>2565</v>
      </c>
      <c r="D3681" s="371"/>
      <c r="F3681" s="294"/>
      <c r="G3681" s="1562" t="s">
        <v>2757</v>
      </c>
      <c r="H3681" s="1531">
        <f ca="1">IF(AND(H3679="",H3680=""),"",ROUND(H3679-H3680,2))</f>
        <v>0</v>
      </c>
      <c r="I3681" s="1531">
        <f ca="1">IF(AND(I3679="",I3680=""),"",ROUND(I3679-I3680,2))</f>
        <v>0</v>
      </c>
      <c r="J3681" s="1531">
        <f ca="1">IF(AND(J3679="",J3680=""),"",ROUND(J3679-J3680,2))</f>
        <v>0</v>
      </c>
      <c r="K3681" s="1531">
        <f ca="1">IF(AND(K3679="",K3680=""),"",ROUND(K3679-K3680,2))</f>
        <v>0</v>
      </c>
      <c r="L3681" s="1555"/>
      <c r="M3681" s="291"/>
      <c r="N3681" s="291"/>
      <c r="O3681" s="291"/>
      <c r="S3681" s="364"/>
      <c r="Z3681" s="609" t="s">
        <v>3893</v>
      </c>
      <c r="AA3681" s="609" t="s">
        <v>5678</v>
      </c>
    </row>
    <row r="3682" spans="1:27" ht="18.75" thickTop="1">
      <c r="A3682" s="2714"/>
      <c r="B3682" s="371"/>
      <c r="C3682" s="371" t="s">
        <v>2565</v>
      </c>
      <c r="D3682" s="371"/>
      <c r="F3682" s="294"/>
      <c r="G3682" s="2640"/>
      <c r="H3682" s="459" t="str">
        <f ca="1">IF(OR(H3681=0,H3681=""),"√","？")</f>
        <v>√</v>
      </c>
      <c r="I3682" s="459" t="str">
        <f ca="1">IF(OR(I3681=0,I3681=""),"√","？")</f>
        <v>√</v>
      </c>
      <c r="J3682" s="459" t="str">
        <f ca="1">IF(OR(J3681=0,J3681=""),"√","？")</f>
        <v>√</v>
      </c>
      <c r="K3682" s="459" t="str">
        <f ca="1">IF(OR(K3681=0,K3681=""),"√","？")</f>
        <v>√</v>
      </c>
      <c r="L3682" s="354"/>
      <c r="M3682" s="291"/>
      <c r="N3682" s="291"/>
      <c r="O3682" s="291"/>
      <c r="S3682" s="364"/>
      <c r="Z3682" s="609" t="s">
        <v>3893</v>
      </c>
      <c r="AA3682" s="609" t="s">
        <v>5678</v>
      </c>
    </row>
    <row r="3683" spans="1:27" ht="18">
      <c r="A3683" s="2714"/>
      <c r="B3683" s="371"/>
      <c r="C3683" s="371" t="s">
        <v>2565</v>
      </c>
      <c r="D3683" s="371"/>
      <c r="F3683" s="294"/>
      <c r="G3683" s="460" t="s">
        <v>2759</v>
      </c>
      <c r="H3683" s="461"/>
      <c r="I3683" s="461"/>
      <c r="J3683" s="461"/>
      <c r="K3683" s="605">
        <f ca="1">SUMIF($H$3682:$L$3682,"&lt;&gt;√",$H$3681:$L$3681)</f>
        <v>0</v>
      </c>
      <c r="L3683" s="353" t="str">
        <f ca="1">IF(OR(K3683=0,K3683=""),"√","？")</f>
        <v>√</v>
      </c>
      <c r="M3683" s="291"/>
      <c r="N3683" s="291"/>
      <c r="O3683" s="291"/>
      <c r="S3683" s="364"/>
      <c r="Z3683" s="609" t="s">
        <v>3893</v>
      </c>
      <c r="AA3683" s="609" t="s">
        <v>5678</v>
      </c>
    </row>
    <row r="3684" spans="1:27" ht="18">
      <c r="A3684" s="2714"/>
      <c r="B3684" s="371"/>
      <c r="C3684" s="371" t="s">
        <v>2565</v>
      </c>
      <c r="D3684" s="371"/>
      <c r="F3684" s="294"/>
      <c r="G3684" s="2640"/>
      <c r="H3684" s="461"/>
      <c r="I3684" s="461"/>
      <c r="J3684" s="461"/>
      <c r="K3684" s="461"/>
      <c r="L3684" s="354"/>
      <c r="M3684" s="291"/>
      <c r="N3684" s="291"/>
      <c r="O3684" s="291"/>
      <c r="S3684" s="364"/>
      <c r="Z3684" s="609" t="s">
        <v>3893</v>
      </c>
      <c r="AA3684" s="609" t="s">
        <v>5678</v>
      </c>
    </row>
    <row r="3685" spans="1:27" ht="18">
      <c r="A3685" s="2714" t="s">
        <v>1515</v>
      </c>
      <c r="B3685" s="371">
        <v>4</v>
      </c>
      <c r="C3685" s="371"/>
      <c r="D3685" s="2716" t="str">
        <f>VLOOKUP($A3685,Sheet_NoteList,2,0)</f>
        <v>应付职工薪酬分类列示</v>
      </c>
      <c r="E3685" s="2716" t="s">
        <v>6533</v>
      </c>
      <c r="F3685" s="294"/>
      <c r="G3685" s="372" t="str">
        <f>"("&amp;B3685&amp;")"&amp;D3685</f>
        <v>(4)应付职工薪酬分类列示</v>
      </c>
      <c r="H3685" s="1517" t="str">
        <f>$A3685</f>
        <v>2211d</v>
      </c>
      <c r="I3685" s="343" t="s">
        <v>5977</v>
      </c>
      <c r="J3685" s="301" t="s">
        <v>5979</v>
      </c>
      <c r="K3685" s="2210">
        <f>K3715</f>
        <v>0</v>
      </c>
      <c r="L3685" s="345"/>
      <c r="M3685" s="301" t="s">
        <v>5976</v>
      </c>
      <c r="N3685" s="2210">
        <f>H3715</f>
        <v>0</v>
      </c>
      <c r="O3685" s="345"/>
      <c r="P3685" s="301"/>
      <c r="S3685" s="364"/>
      <c r="Z3685" s="609" t="s">
        <v>3893</v>
      </c>
      <c r="AA3685" s="609" t="s">
        <v>5678</v>
      </c>
    </row>
    <row r="3686" spans="1:27" ht="0.75" customHeight="1" thickBot="1">
      <c r="A3686" s="2714"/>
      <c r="B3686" s="371"/>
      <c r="C3686" s="371"/>
      <c r="D3686" s="371"/>
      <c r="E3686" s="586"/>
      <c r="F3686" s="586"/>
      <c r="G3686" s="586" t="s">
        <v>3921</v>
      </c>
      <c r="H3686" s="371" t="s">
        <v>2904</v>
      </c>
      <c r="I3686" s="371" t="s">
        <v>3255</v>
      </c>
      <c r="J3686" s="371" t="s">
        <v>3256</v>
      </c>
      <c r="K3686" s="371" t="s">
        <v>3241</v>
      </c>
      <c r="L3686" s="291"/>
      <c r="M3686" s="291"/>
      <c r="N3686" s="291"/>
      <c r="O3686" s="291"/>
      <c r="S3686" s="364"/>
      <c r="Z3686" s="609" t="s">
        <v>3893</v>
      </c>
      <c r="AA3686" s="609" t="s">
        <v>5678</v>
      </c>
    </row>
    <row r="3687" spans="1:27" ht="18">
      <c r="A3687" s="2714"/>
      <c r="B3687" s="371"/>
      <c r="C3687" s="371"/>
      <c r="D3687" s="371"/>
      <c r="E3687" s="586" t="s">
        <v>2749</v>
      </c>
      <c r="F3687" s="363"/>
      <c r="G3687" s="2363" t="s">
        <v>47</v>
      </c>
      <c r="H3687" s="2476" t="str">
        <f>$V$3</f>
        <v>2018年12月31日</v>
      </c>
      <c r="I3687" s="2364" t="s">
        <v>3027</v>
      </c>
      <c r="J3687" s="2364" t="s">
        <v>3028</v>
      </c>
      <c r="K3687" s="2477" t="str">
        <f>$V$2</f>
        <v>2019年12月31日</v>
      </c>
      <c r="L3687" s="355" t="s">
        <v>6176</v>
      </c>
      <c r="M3687" s="291"/>
      <c r="N3687" s="291"/>
      <c r="O3687" s="291"/>
      <c r="S3687" s="364"/>
      <c r="Z3687" s="609" t="s">
        <v>3893</v>
      </c>
      <c r="AA3687" s="609" t="s">
        <v>5678</v>
      </c>
    </row>
    <row r="3688" spans="1:27" ht="18">
      <c r="A3688" s="2714"/>
      <c r="B3688" s="371">
        <v>101</v>
      </c>
      <c r="C3688" s="371"/>
      <c r="D3688" s="2716">
        <f t="shared" ref="D3688:D3715" si="423">IF(OR(G3688="*",G3688="",G3688=0),0,COUNTIF($G$3688:$G$3715,G3688))</f>
        <v>1</v>
      </c>
      <c r="E3688" s="2721">
        <v>1</v>
      </c>
      <c r="F3688" s="294"/>
      <c r="G3688" s="1474" t="s">
        <v>3922</v>
      </c>
      <c r="H3688" s="2275"/>
      <c r="I3688" s="2275"/>
      <c r="J3688" s="2275"/>
      <c r="K3688" s="1477">
        <f>H3688+I3688-J3688</f>
        <v>0</v>
      </c>
      <c r="L3688" s="579"/>
      <c r="M3688" s="291"/>
      <c r="N3688" s="291"/>
      <c r="O3688" s="291"/>
      <c r="S3688" s="364"/>
      <c r="Z3688" s="609" t="s">
        <v>3893</v>
      </c>
      <c r="AA3688" s="609" t="s">
        <v>5678</v>
      </c>
    </row>
    <row r="3689" spans="1:27" ht="18">
      <c r="A3689" s="2714"/>
      <c r="B3689" s="371">
        <v>102</v>
      </c>
      <c r="C3689" s="371"/>
      <c r="D3689" s="2716">
        <f t="shared" si="423"/>
        <v>1</v>
      </c>
      <c r="E3689" s="2721">
        <v>1</v>
      </c>
      <c r="F3689" s="294"/>
      <c r="G3689" s="1474" t="s">
        <v>3923</v>
      </c>
      <c r="H3689" s="2275"/>
      <c r="I3689" s="2275"/>
      <c r="J3689" s="2275"/>
      <c r="K3689" s="1477">
        <f>H3689+I3689-J3689</f>
        <v>0</v>
      </c>
      <c r="L3689" s="291"/>
      <c r="M3689" s="291"/>
      <c r="N3689" s="291"/>
      <c r="O3689" s="291"/>
      <c r="S3689" s="364"/>
      <c r="Z3689" s="609" t="s">
        <v>3893</v>
      </c>
      <c r="AA3689" s="609" t="s">
        <v>5678</v>
      </c>
    </row>
    <row r="3690" spans="1:27" ht="18">
      <c r="A3690" s="2714"/>
      <c r="B3690" s="371">
        <v>103</v>
      </c>
      <c r="C3690" s="371"/>
      <c r="D3690" s="2716">
        <f t="shared" si="423"/>
        <v>1</v>
      </c>
      <c r="E3690" s="2721">
        <v>0</v>
      </c>
      <c r="F3690" s="294"/>
      <c r="G3690" s="1474" t="s">
        <v>3924</v>
      </c>
      <c r="H3690" s="2275"/>
      <c r="I3690" s="2275"/>
      <c r="J3690" s="2275"/>
      <c r="K3690" s="1477">
        <f>H3690+I3690-J3690</f>
        <v>0</v>
      </c>
      <c r="L3690" s="291"/>
      <c r="M3690" s="291"/>
      <c r="N3690" s="291"/>
      <c r="O3690" s="291"/>
      <c r="S3690" s="364"/>
      <c r="Z3690" s="609" t="s">
        <v>3893</v>
      </c>
      <c r="AA3690" s="609" t="s">
        <v>5678</v>
      </c>
    </row>
    <row r="3691" spans="1:27" ht="18">
      <c r="A3691" s="2714"/>
      <c r="B3691" s="371">
        <v>104</v>
      </c>
      <c r="C3691" s="371"/>
      <c r="D3691" s="2716">
        <f t="shared" si="423"/>
        <v>1</v>
      </c>
      <c r="E3691" s="2721" t="s">
        <v>41</v>
      </c>
      <c r="F3691" s="294"/>
      <c r="G3691" s="1474" t="s">
        <v>3904</v>
      </c>
      <c r="H3691" s="2275"/>
      <c r="I3691" s="2275"/>
      <c r="J3691" s="2275"/>
      <c r="K3691" s="2296"/>
      <c r="L3691" s="291"/>
      <c r="M3691" s="291"/>
      <c r="N3691" s="291"/>
      <c r="O3691" s="291"/>
      <c r="S3691" s="364"/>
      <c r="Z3691" s="609" t="s">
        <v>3893</v>
      </c>
      <c r="AA3691" s="609" t="s">
        <v>5678</v>
      </c>
    </row>
    <row r="3692" spans="1:27" ht="18">
      <c r="A3692" s="2714"/>
      <c r="B3692" s="371">
        <v>104.001</v>
      </c>
      <c r="C3692" s="371"/>
      <c r="D3692" s="2716">
        <f t="shared" si="423"/>
        <v>1</v>
      </c>
      <c r="E3692" s="2721" t="s">
        <v>3903</v>
      </c>
      <c r="F3692" s="294"/>
      <c r="G3692" s="1474" t="s">
        <v>3925</v>
      </c>
      <c r="H3692" s="2275"/>
      <c r="I3692" s="2275"/>
      <c r="J3692" s="2275"/>
      <c r="K3692" s="1477">
        <f>H3692+I3692-J3692</f>
        <v>0</v>
      </c>
      <c r="L3692" s="291"/>
      <c r="M3692" s="291"/>
      <c r="N3692" s="291"/>
      <c r="O3692" s="291"/>
      <c r="S3692" s="364"/>
      <c r="Z3692" s="609" t="s">
        <v>3893</v>
      </c>
      <c r="AA3692" s="609" t="s">
        <v>5678</v>
      </c>
    </row>
    <row r="3693" spans="1:27" ht="18">
      <c r="A3693" s="2714"/>
      <c r="B3693" s="371">
        <v>104.002</v>
      </c>
      <c r="C3693" s="371"/>
      <c r="D3693" s="2716">
        <f t="shared" si="423"/>
        <v>1</v>
      </c>
      <c r="E3693" s="2721" t="s">
        <v>3903</v>
      </c>
      <c r="F3693" s="294"/>
      <c r="G3693" s="1474" t="s">
        <v>3926</v>
      </c>
      <c r="H3693" s="2275"/>
      <c r="I3693" s="2275"/>
      <c r="J3693" s="2275"/>
      <c r="K3693" s="1477">
        <f>H3693+I3693-J3693</f>
        <v>0</v>
      </c>
      <c r="L3693" s="291"/>
      <c r="M3693" s="291"/>
      <c r="N3693" s="291"/>
      <c r="O3693" s="291"/>
      <c r="S3693" s="364"/>
      <c r="Z3693" s="609" t="s">
        <v>3893</v>
      </c>
      <c r="AA3693" s="609" t="s">
        <v>5678</v>
      </c>
    </row>
    <row r="3694" spans="1:27" ht="18">
      <c r="A3694" s="2714"/>
      <c r="B3694" s="371">
        <v>104.003</v>
      </c>
      <c r="C3694" s="371"/>
      <c r="D3694" s="2716">
        <f t="shared" si="423"/>
        <v>1</v>
      </c>
      <c r="E3694" s="2721" t="s">
        <v>3903</v>
      </c>
      <c r="F3694" s="294"/>
      <c r="G3694" s="1474" t="s">
        <v>3927</v>
      </c>
      <c r="H3694" s="2275"/>
      <c r="I3694" s="2275"/>
      <c r="J3694" s="2275"/>
      <c r="K3694" s="1477">
        <f t="shared" ref="K3694:K3712" si="424">H3694+I3694-J3694</f>
        <v>0</v>
      </c>
      <c r="L3694" s="291"/>
      <c r="M3694" s="291"/>
      <c r="N3694" s="291"/>
      <c r="O3694" s="291"/>
      <c r="S3694" s="364"/>
      <c r="Z3694" s="609" t="s">
        <v>3893</v>
      </c>
      <c r="AA3694" s="609" t="s">
        <v>5678</v>
      </c>
    </row>
    <row r="3695" spans="1:27" ht="24">
      <c r="A3695" s="2714"/>
      <c r="B3695" s="371">
        <v>104.004</v>
      </c>
      <c r="C3695" s="371"/>
      <c r="D3695" s="2716">
        <f t="shared" si="423"/>
        <v>1</v>
      </c>
      <c r="E3695" s="2721" t="s">
        <v>3903</v>
      </c>
      <c r="F3695" s="294"/>
      <c r="G3695" s="1474" t="s">
        <v>3928</v>
      </c>
      <c r="H3695" s="2275"/>
      <c r="I3695" s="2275"/>
      <c r="J3695" s="2275"/>
      <c r="K3695" s="1477">
        <f t="shared" si="424"/>
        <v>0</v>
      </c>
      <c r="L3695" s="291"/>
      <c r="M3695" s="291"/>
      <c r="N3695" s="291"/>
      <c r="O3695" s="291"/>
      <c r="S3695" s="364"/>
      <c r="Z3695" s="609" t="s">
        <v>3893</v>
      </c>
      <c r="AA3695" s="609" t="s">
        <v>5678</v>
      </c>
    </row>
    <row r="3696" spans="1:27" ht="18">
      <c r="A3696" s="2714"/>
      <c r="B3696" s="371">
        <v>104.005</v>
      </c>
      <c r="C3696" s="371"/>
      <c r="D3696" s="2716">
        <f t="shared" si="423"/>
        <v>1</v>
      </c>
      <c r="E3696" s="2721" t="s">
        <v>3903</v>
      </c>
      <c r="F3696" s="294"/>
      <c r="G3696" s="1474" t="s">
        <v>3929</v>
      </c>
      <c r="H3696" s="2275"/>
      <c r="I3696" s="2275"/>
      <c r="J3696" s="2275"/>
      <c r="K3696" s="1477">
        <f t="shared" si="424"/>
        <v>0</v>
      </c>
      <c r="L3696" s="291"/>
      <c r="M3696" s="291"/>
      <c r="N3696" s="291"/>
      <c r="O3696" s="291"/>
      <c r="S3696" s="364"/>
      <c r="Z3696" s="609" t="s">
        <v>3893</v>
      </c>
      <c r="AA3696" s="609" t="s">
        <v>5678</v>
      </c>
    </row>
    <row r="3697" spans="1:27" ht="18">
      <c r="A3697" s="2714"/>
      <c r="B3697" s="371">
        <v>104.006</v>
      </c>
      <c r="C3697" s="371"/>
      <c r="D3697" s="2716">
        <f t="shared" si="423"/>
        <v>1</v>
      </c>
      <c r="E3697" s="2721" t="s">
        <v>3903</v>
      </c>
      <c r="F3697" s="294"/>
      <c r="G3697" s="1474" t="s">
        <v>3930</v>
      </c>
      <c r="H3697" s="2275"/>
      <c r="I3697" s="2275"/>
      <c r="J3697" s="2275"/>
      <c r="K3697" s="1477">
        <f t="shared" si="424"/>
        <v>0</v>
      </c>
      <c r="L3697" s="291"/>
      <c r="M3697" s="291"/>
      <c r="N3697" s="291"/>
      <c r="O3697" s="291"/>
      <c r="S3697" s="364"/>
      <c r="Z3697" s="609" t="s">
        <v>3893</v>
      </c>
      <c r="AA3697" s="609" t="s">
        <v>5678</v>
      </c>
    </row>
    <row r="3698" spans="1:27" ht="18">
      <c r="A3698" s="2714"/>
      <c r="B3698" s="371">
        <v>104.00700000000001</v>
      </c>
      <c r="C3698" s="371"/>
      <c r="D3698" s="2716">
        <f t="shared" si="423"/>
        <v>1</v>
      </c>
      <c r="E3698" s="2721" t="s">
        <v>3903</v>
      </c>
      <c r="F3698" s="294"/>
      <c r="G3698" s="1474" t="s">
        <v>3931</v>
      </c>
      <c r="H3698" s="2275"/>
      <c r="I3698" s="2275"/>
      <c r="J3698" s="2275"/>
      <c r="K3698" s="1477">
        <f t="shared" si="424"/>
        <v>0</v>
      </c>
      <c r="L3698" s="291"/>
      <c r="M3698" s="291"/>
      <c r="N3698" s="291"/>
      <c r="O3698" s="291"/>
      <c r="S3698" s="364"/>
      <c r="Z3698" s="609" t="s">
        <v>3893</v>
      </c>
      <c r="AA3698" s="609" t="s">
        <v>5678</v>
      </c>
    </row>
    <row r="3699" spans="1:27" ht="18">
      <c r="A3699" s="2714"/>
      <c r="B3699" s="371">
        <v>104.008</v>
      </c>
      <c r="C3699" s="371" t="s">
        <v>2791</v>
      </c>
      <c r="D3699" s="2716">
        <f t="shared" si="423"/>
        <v>0</v>
      </c>
      <c r="E3699" s="2721" t="s">
        <v>3903</v>
      </c>
      <c r="F3699" s="294"/>
      <c r="G3699" s="2375" t="s">
        <v>2792</v>
      </c>
      <c r="H3699" s="2275"/>
      <c r="I3699" s="2275"/>
      <c r="J3699" s="2275"/>
      <c r="K3699" s="1477">
        <f t="shared" si="424"/>
        <v>0</v>
      </c>
      <c r="L3699" s="291"/>
      <c r="M3699" s="291"/>
      <c r="N3699" s="291"/>
      <c r="O3699" s="291"/>
      <c r="S3699" s="364"/>
      <c r="Z3699" s="609" t="s">
        <v>3893</v>
      </c>
      <c r="AA3699" s="609" t="s">
        <v>5678</v>
      </c>
    </row>
    <row r="3700" spans="1:27" ht="18">
      <c r="A3700" s="2714"/>
      <c r="B3700" s="371">
        <v>104.009</v>
      </c>
      <c r="C3700" s="371" t="s">
        <v>2791</v>
      </c>
      <c r="D3700" s="2716">
        <f t="shared" si="423"/>
        <v>0</v>
      </c>
      <c r="E3700" s="2721" t="s">
        <v>3903</v>
      </c>
      <c r="F3700" s="294"/>
      <c r="G3700" s="2375" t="s">
        <v>2792</v>
      </c>
      <c r="H3700" s="2275"/>
      <c r="I3700" s="2275"/>
      <c r="J3700" s="2275"/>
      <c r="K3700" s="1477">
        <f t="shared" si="424"/>
        <v>0</v>
      </c>
      <c r="L3700" s="291"/>
      <c r="M3700" s="291"/>
      <c r="N3700" s="291"/>
      <c r="O3700" s="291"/>
      <c r="S3700" s="364"/>
      <c r="Z3700" s="609" t="s">
        <v>3893</v>
      </c>
      <c r="AA3700" s="609" t="s">
        <v>5678</v>
      </c>
    </row>
    <row r="3701" spans="1:27" ht="18">
      <c r="A3701" s="2714"/>
      <c r="B3701" s="371">
        <v>104.999</v>
      </c>
      <c r="C3701" s="371" t="s">
        <v>2793</v>
      </c>
      <c r="D3701" s="2716">
        <f t="shared" si="423"/>
        <v>1</v>
      </c>
      <c r="E3701" s="2721">
        <v>1</v>
      </c>
      <c r="F3701" s="294"/>
      <c r="G3701" s="1474" t="s">
        <v>3903</v>
      </c>
      <c r="H3701" s="1476">
        <f>SUMIF($E$3687:$E$3714,$G3701,H$3687:H$3714)</f>
        <v>0</v>
      </c>
      <c r="I3701" s="1476">
        <f>SUMIF($E$3687:$E$3714,$G3701,I$3687:I$3714)</f>
        <v>0</v>
      </c>
      <c r="J3701" s="1476">
        <f>SUMIF($E$3687:$E$3714,$G3701,J$3687:J$3714)</f>
        <v>0</v>
      </c>
      <c r="K3701" s="1477">
        <f>SUMIF($E$3687:$E$3714,$G3701,K$3687:K$3714)</f>
        <v>0</v>
      </c>
      <c r="L3701" s="291"/>
      <c r="M3701" s="291"/>
      <c r="N3701" s="291"/>
      <c r="O3701" s="291"/>
      <c r="S3701" s="364"/>
      <c r="Z3701" s="609" t="s">
        <v>3893</v>
      </c>
      <c r="AA3701" s="609" t="s">
        <v>5678</v>
      </c>
    </row>
    <row r="3702" spans="1:27" ht="18">
      <c r="A3702" s="2714"/>
      <c r="B3702" s="371">
        <v>105</v>
      </c>
      <c r="C3702" s="371"/>
      <c r="D3702" s="2716">
        <f t="shared" si="423"/>
        <v>1</v>
      </c>
      <c r="E3702" s="2721">
        <v>1</v>
      </c>
      <c r="F3702" s="294"/>
      <c r="G3702" s="1474" t="s">
        <v>3932</v>
      </c>
      <c r="H3702" s="2275"/>
      <c r="I3702" s="2275"/>
      <c r="J3702" s="2275"/>
      <c r="K3702" s="1477">
        <f t="shared" si="424"/>
        <v>0</v>
      </c>
      <c r="L3702" s="291"/>
      <c r="M3702" s="291"/>
      <c r="N3702" s="291"/>
      <c r="O3702" s="291"/>
      <c r="S3702" s="364"/>
      <c r="Z3702" s="609" t="s">
        <v>3893</v>
      </c>
      <c r="AA3702" s="609" t="s">
        <v>5678</v>
      </c>
    </row>
    <row r="3703" spans="1:27" ht="18">
      <c r="A3703" s="2714"/>
      <c r="B3703" s="371">
        <v>106</v>
      </c>
      <c r="C3703" s="371"/>
      <c r="D3703" s="2716">
        <f t="shared" si="423"/>
        <v>1</v>
      </c>
      <c r="E3703" s="2721">
        <v>1</v>
      </c>
      <c r="F3703" s="294"/>
      <c r="G3703" s="1474" t="s">
        <v>3933</v>
      </c>
      <c r="H3703" s="2275"/>
      <c r="I3703" s="2275"/>
      <c r="J3703" s="2275"/>
      <c r="K3703" s="1477">
        <f t="shared" si="424"/>
        <v>0</v>
      </c>
      <c r="L3703" s="291"/>
      <c r="M3703" s="291"/>
      <c r="N3703" s="291"/>
      <c r="O3703" s="291"/>
      <c r="S3703" s="364"/>
      <c r="Z3703" s="609" t="s">
        <v>3893</v>
      </c>
      <c r="AA3703" s="609" t="s">
        <v>5678</v>
      </c>
    </row>
    <row r="3704" spans="1:27" ht="18">
      <c r="A3704" s="2714"/>
      <c r="B3704" s="371">
        <v>107</v>
      </c>
      <c r="C3704" s="371"/>
      <c r="D3704" s="2716">
        <f t="shared" si="423"/>
        <v>1</v>
      </c>
      <c r="E3704" s="2721" t="s">
        <v>41</v>
      </c>
      <c r="F3704" s="294"/>
      <c r="G3704" s="1474" t="s">
        <v>3934</v>
      </c>
      <c r="H3704" s="2275"/>
      <c r="I3704" s="2275"/>
      <c r="J3704" s="2275"/>
      <c r="K3704" s="1477">
        <f t="shared" si="424"/>
        <v>0</v>
      </c>
      <c r="L3704" s="291"/>
      <c r="M3704" s="291"/>
      <c r="N3704" s="291"/>
      <c r="O3704" s="291"/>
      <c r="S3704" s="364"/>
      <c r="Z3704" s="609" t="s">
        <v>3893</v>
      </c>
      <c r="AA3704" s="609" t="s">
        <v>5678</v>
      </c>
    </row>
    <row r="3705" spans="1:27" ht="24">
      <c r="A3705" s="2714"/>
      <c r="B3705" s="371">
        <v>107.001</v>
      </c>
      <c r="C3705" s="371"/>
      <c r="D3705" s="2716">
        <f t="shared" si="423"/>
        <v>1</v>
      </c>
      <c r="E3705" s="2721" t="s">
        <v>3935</v>
      </c>
      <c r="F3705" s="294"/>
      <c r="G3705" s="1474" t="s">
        <v>3936</v>
      </c>
      <c r="H3705" s="2275"/>
      <c r="I3705" s="2275"/>
      <c r="J3705" s="2275"/>
      <c r="K3705" s="1477">
        <f t="shared" si="424"/>
        <v>0</v>
      </c>
      <c r="L3705" s="291"/>
      <c r="M3705" s="291"/>
      <c r="N3705" s="291"/>
      <c r="O3705" s="291"/>
      <c r="S3705" s="364"/>
      <c r="Z3705" s="609" t="s">
        <v>3893</v>
      </c>
      <c r="AA3705" s="609" t="s">
        <v>5678</v>
      </c>
    </row>
    <row r="3706" spans="1:27" ht="18">
      <c r="A3706" s="2714"/>
      <c r="B3706" s="371">
        <v>107.002</v>
      </c>
      <c r="C3706" s="371"/>
      <c r="D3706" s="2716">
        <f t="shared" si="423"/>
        <v>1</v>
      </c>
      <c r="E3706" s="2721" t="s">
        <v>3935</v>
      </c>
      <c r="F3706" s="294"/>
      <c r="G3706" s="1474" t="s">
        <v>3937</v>
      </c>
      <c r="H3706" s="2275"/>
      <c r="I3706" s="2275"/>
      <c r="J3706" s="2275"/>
      <c r="K3706" s="1477">
        <f t="shared" si="424"/>
        <v>0</v>
      </c>
      <c r="L3706" s="291"/>
      <c r="M3706" s="291"/>
      <c r="N3706" s="291"/>
      <c r="O3706" s="291"/>
      <c r="S3706" s="364"/>
      <c r="Z3706" s="609" t="s">
        <v>3893</v>
      </c>
      <c r="AA3706" s="609" t="s">
        <v>5678</v>
      </c>
    </row>
    <row r="3707" spans="1:27" ht="18">
      <c r="A3707" s="2714"/>
      <c r="B3707" s="371">
        <v>107.003</v>
      </c>
      <c r="C3707" s="371" t="s">
        <v>2791</v>
      </c>
      <c r="D3707" s="2716">
        <f t="shared" si="423"/>
        <v>0</v>
      </c>
      <c r="E3707" s="2721" t="s">
        <v>3935</v>
      </c>
      <c r="F3707" s="294"/>
      <c r="G3707" s="2375" t="s">
        <v>2792</v>
      </c>
      <c r="H3707" s="2275"/>
      <c r="I3707" s="2275"/>
      <c r="J3707" s="2275"/>
      <c r="K3707" s="1477">
        <f t="shared" si="424"/>
        <v>0</v>
      </c>
      <c r="L3707" s="291"/>
      <c r="M3707" s="291"/>
      <c r="N3707" s="291"/>
      <c r="O3707" s="291"/>
      <c r="S3707" s="364"/>
      <c r="Z3707" s="609" t="s">
        <v>3893</v>
      </c>
      <c r="AA3707" s="609" t="s">
        <v>5678</v>
      </c>
    </row>
    <row r="3708" spans="1:27" ht="18">
      <c r="A3708" s="2714"/>
      <c r="B3708" s="371">
        <v>107.999</v>
      </c>
      <c r="C3708" s="371" t="s">
        <v>2793</v>
      </c>
      <c r="D3708" s="2716">
        <f t="shared" si="423"/>
        <v>1</v>
      </c>
      <c r="E3708" s="2721">
        <v>1</v>
      </c>
      <c r="F3708" s="294"/>
      <c r="G3708" s="1474" t="s">
        <v>3935</v>
      </c>
      <c r="H3708" s="1476">
        <f>SUMIF($E$3687:$E$3714,$G3708,H$3687:H$3714)</f>
        <v>0</v>
      </c>
      <c r="I3708" s="1476">
        <f>SUMIF($E$3687:$E$3714,$G3708,I$3687:I$3714)</f>
        <v>0</v>
      </c>
      <c r="J3708" s="1476">
        <f>SUMIF($E$3687:$E$3714,$G3708,J$3687:J$3714)</f>
        <v>0</v>
      </c>
      <c r="K3708" s="1477">
        <f>SUMIF($E$3687:$E$3714,$G3708,K$3687:K$3714)</f>
        <v>0</v>
      </c>
      <c r="L3708" s="291"/>
      <c r="M3708" s="291"/>
      <c r="N3708" s="291"/>
      <c r="O3708" s="291"/>
      <c r="S3708" s="364"/>
      <c r="Z3708" s="609" t="s">
        <v>3893</v>
      </c>
      <c r="AA3708" s="609" t="s">
        <v>5678</v>
      </c>
    </row>
    <row r="3709" spans="1:27" ht="18">
      <c r="A3709" s="2714"/>
      <c r="B3709" s="371">
        <v>108</v>
      </c>
      <c r="C3709" s="371"/>
      <c r="D3709" s="2716">
        <f t="shared" si="423"/>
        <v>1</v>
      </c>
      <c r="E3709" s="2721" t="s">
        <v>41</v>
      </c>
      <c r="F3709" s="294"/>
      <c r="G3709" s="1474" t="s">
        <v>932</v>
      </c>
      <c r="H3709" s="2275"/>
      <c r="I3709" s="2275"/>
      <c r="J3709" s="2275"/>
      <c r="K3709" s="1477">
        <f t="shared" si="424"/>
        <v>0</v>
      </c>
      <c r="L3709" s="291"/>
      <c r="M3709" s="291"/>
      <c r="N3709" s="291"/>
      <c r="O3709" s="291"/>
      <c r="S3709" s="364"/>
      <c r="Z3709" s="609" t="s">
        <v>3893</v>
      </c>
      <c r="AA3709" s="609" t="s">
        <v>5678</v>
      </c>
    </row>
    <row r="3710" spans="1:27" ht="18">
      <c r="A3710" s="2714"/>
      <c r="B3710" s="371">
        <v>108.001</v>
      </c>
      <c r="C3710" s="371"/>
      <c r="D3710" s="2716">
        <f t="shared" si="423"/>
        <v>1</v>
      </c>
      <c r="E3710" s="2721" t="s">
        <v>3938</v>
      </c>
      <c r="F3710" s="294"/>
      <c r="G3710" s="1474" t="s">
        <v>3939</v>
      </c>
      <c r="H3710" s="2275"/>
      <c r="I3710" s="2275"/>
      <c r="J3710" s="2275"/>
      <c r="K3710" s="1477">
        <f t="shared" si="424"/>
        <v>0</v>
      </c>
      <c r="L3710" s="291"/>
      <c r="M3710" s="291"/>
      <c r="N3710" s="291"/>
      <c r="O3710" s="291"/>
      <c r="S3710" s="364"/>
      <c r="Z3710" s="609" t="s">
        <v>3893</v>
      </c>
      <c r="AA3710" s="609" t="s">
        <v>5678</v>
      </c>
    </row>
    <row r="3711" spans="1:27" ht="18">
      <c r="A3711" s="2714"/>
      <c r="B3711" s="371">
        <v>108.002</v>
      </c>
      <c r="C3711" s="371" t="s">
        <v>2791</v>
      </c>
      <c r="D3711" s="2716">
        <f t="shared" si="423"/>
        <v>0</v>
      </c>
      <c r="E3711" s="2721" t="s">
        <v>3938</v>
      </c>
      <c r="F3711" s="294"/>
      <c r="G3711" s="2375" t="s">
        <v>2792</v>
      </c>
      <c r="H3711" s="2275"/>
      <c r="I3711" s="2275"/>
      <c r="J3711" s="2275"/>
      <c r="K3711" s="1477">
        <f t="shared" si="424"/>
        <v>0</v>
      </c>
      <c r="L3711" s="291"/>
      <c r="M3711" s="291"/>
      <c r="N3711" s="291"/>
      <c r="O3711" s="291"/>
      <c r="S3711" s="364"/>
      <c r="Z3711" s="609" t="s">
        <v>3893</v>
      </c>
      <c r="AA3711" s="609" t="s">
        <v>5678</v>
      </c>
    </row>
    <row r="3712" spans="1:27" ht="18">
      <c r="A3712" s="2714"/>
      <c r="B3712" s="371">
        <v>108.003</v>
      </c>
      <c r="C3712" s="371" t="s">
        <v>2791</v>
      </c>
      <c r="D3712" s="2716">
        <f t="shared" si="423"/>
        <v>0</v>
      </c>
      <c r="E3712" s="2721" t="s">
        <v>3938</v>
      </c>
      <c r="F3712" s="294"/>
      <c r="G3712" s="2375" t="s">
        <v>2792</v>
      </c>
      <c r="H3712" s="2275"/>
      <c r="I3712" s="2275"/>
      <c r="J3712" s="2275"/>
      <c r="K3712" s="1477">
        <f t="shared" si="424"/>
        <v>0</v>
      </c>
      <c r="L3712" s="291"/>
      <c r="M3712" s="291"/>
      <c r="N3712" s="291"/>
      <c r="O3712" s="291"/>
      <c r="S3712" s="364"/>
      <c r="Z3712" s="609" t="s">
        <v>3893</v>
      </c>
      <c r="AA3712" s="609" t="s">
        <v>5678</v>
      </c>
    </row>
    <row r="3713" spans="1:27" ht="18">
      <c r="A3713" s="2714"/>
      <c r="B3713" s="371">
        <v>108.999</v>
      </c>
      <c r="C3713" s="371" t="s">
        <v>2793</v>
      </c>
      <c r="D3713" s="2716">
        <f t="shared" si="423"/>
        <v>1</v>
      </c>
      <c r="E3713" s="2721">
        <v>1</v>
      </c>
      <c r="F3713" s="294"/>
      <c r="G3713" s="1474" t="s">
        <v>3938</v>
      </c>
      <c r="H3713" s="1476">
        <f>SUMIF($E$3687:$E$3714,$G3713,H$3687:H$3714)</f>
        <v>0</v>
      </c>
      <c r="I3713" s="1476">
        <f>SUMIF($E$3687:$E$3714,$G3713,I$3687:I$3714)</f>
        <v>0</v>
      </c>
      <c r="J3713" s="1476">
        <f>SUMIF($E$3687:$E$3714,$G3713,J$3687:J$3714)</f>
        <v>0</v>
      </c>
      <c r="K3713" s="1477">
        <f>SUMIF($E$3687:$E$3714,$G3713,K$3687:K$3714)</f>
        <v>0</v>
      </c>
      <c r="L3713" s="291"/>
      <c r="M3713" s="291"/>
      <c r="N3713" s="291"/>
      <c r="O3713" s="291"/>
      <c r="S3713" s="364"/>
      <c r="Z3713" s="609" t="s">
        <v>3893</v>
      </c>
      <c r="AA3713" s="609" t="s">
        <v>5678</v>
      </c>
    </row>
    <row r="3714" spans="1:27" ht="18">
      <c r="A3714" s="2714"/>
      <c r="B3714" s="371">
        <v>109</v>
      </c>
      <c r="C3714" s="371" t="s">
        <v>2791</v>
      </c>
      <c r="D3714" s="2716">
        <f t="shared" si="423"/>
        <v>0</v>
      </c>
      <c r="E3714" s="2721">
        <v>1</v>
      </c>
      <c r="F3714" s="294"/>
      <c r="G3714" s="2375" t="s">
        <v>2792</v>
      </c>
      <c r="H3714" s="2275"/>
      <c r="I3714" s="2275"/>
      <c r="J3714" s="2275"/>
      <c r="K3714" s="1477">
        <f>H3714+I3714-J3714</f>
        <v>0</v>
      </c>
      <c r="L3714" s="291"/>
      <c r="M3714" s="291"/>
      <c r="N3714" s="291"/>
      <c r="O3714" s="291"/>
      <c r="S3714" s="364"/>
      <c r="Z3714" s="609" t="s">
        <v>3893</v>
      </c>
      <c r="AA3714" s="609" t="s">
        <v>5678</v>
      </c>
    </row>
    <row r="3715" spans="1:27" ht="18.75" thickBot="1">
      <c r="A3715" s="2714"/>
      <c r="B3715" s="371"/>
      <c r="C3715" s="371"/>
      <c r="D3715" s="2716">
        <f t="shared" si="423"/>
        <v>1</v>
      </c>
      <c r="E3715" s="2721" t="s">
        <v>2751</v>
      </c>
      <c r="F3715" s="294"/>
      <c r="G3715" s="1529" t="s">
        <v>2752</v>
      </c>
      <c r="H3715" s="1527">
        <f>SUMPRODUCT($E3687:$E3714,H3687:H3714)</f>
        <v>0</v>
      </c>
      <c r="I3715" s="1527">
        <f>SUMPRODUCT($E3687:$E3714,I3687:I3714)</f>
        <v>0</v>
      </c>
      <c r="J3715" s="1527">
        <f>SUMPRODUCT($E3687:$E3714,J3687:J3714)</f>
        <v>0</v>
      </c>
      <c r="K3715" s="1528">
        <f>SUMPRODUCT($E3687:$E3714,K3687:K3714)</f>
        <v>0</v>
      </c>
      <c r="L3715" s="291"/>
      <c r="M3715" s="291"/>
      <c r="N3715" s="291"/>
      <c r="O3715" s="291"/>
      <c r="S3715" s="364"/>
      <c r="Z3715" s="609" t="s">
        <v>3893</v>
      </c>
      <c r="AA3715" s="609" t="s">
        <v>5678</v>
      </c>
    </row>
    <row r="3716" spans="1:27" ht="18">
      <c r="A3716" s="2714"/>
      <c r="B3716" s="371"/>
      <c r="C3716" s="371" t="s">
        <v>2755</v>
      </c>
      <c r="D3716" s="371"/>
      <c r="F3716" s="294"/>
      <c r="G3716" s="557"/>
      <c r="H3716" s="315"/>
      <c r="I3716" s="315"/>
      <c r="J3716" s="315"/>
      <c r="K3716" s="315"/>
      <c r="L3716" s="291"/>
      <c r="M3716" s="291"/>
      <c r="N3716" s="291"/>
      <c r="O3716" s="291"/>
      <c r="S3716" s="364"/>
      <c r="Z3716" s="609" t="s">
        <v>3893</v>
      </c>
      <c r="AA3716" s="609" t="s">
        <v>5678</v>
      </c>
    </row>
    <row r="3717" spans="1:27" ht="18">
      <c r="A3717" s="2714" t="s">
        <v>1520</v>
      </c>
      <c r="B3717" s="371">
        <v>5</v>
      </c>
      <c r="C3717" s="371"/>
      <c r="D3717" s="2716" t="str">
        <f>VLOOKUP($A3717,Sheet_NoteList,2,0)</f>
        <v>应付职工薪酬补充资料</v>
      </c>
      <c r="E3717" s="2716" t="s">
        <v>6531</v>
      </c>
      <c r="F3717" s="294"/>
      <c r="G3717" s="307" t="str">
        <f>"("&amp;B3717&amp;")"&amp;D3717</f>
        <v>(5)应付职工薪酬补充资料</v>
      </c>
      <c r="H3717" s="1517" t="str">
        <f>$A3717</f>
        <v>2211x</v>
      </c>
      <c r="I3717" s="343" t="s">
        <v>5977</v>
      </c>
      <c r="J3717" s="301" t="s">
        <v>5975</v>
      </c>
      <c r="K3717" s="2210">
        <f>K3738</f>
        <v>0</v>
      </c>
      <c r="L3717" s="345"/>
      <c r="M3717" s="301" t="s">
        <v>5978</v>
      </c>
      <c r="N3717" s="2210">
        <f>H3738</f>
        <v>24696.639999999999</v>
      </c>
      <c r="O3717" s="345"/>
      <c r="P3717" s="301"/>
      <c r="S3717" s="364"/>
      <c r="Z3717" s="609" t="s">
        <v>3893</v>
      </c>
      <c r="AA3717" s="609" t="s">
        <v>5678</v>
      </c>
    </row>
    <row r="3718" spans="1:27" ht="0.75" customHeight="1" thickBot="1">
      <c r="A3718" s="2714"/>
      <c r="B3718" s="371"/>
      <c r="C3718" s="371"/>
      <c r="D3718" s="371"/>
      <c r="F3718" s="371"/>
      <c r="G3718" s="371" t="s">
        <v>3940</v>
      </c>
      <c r="H3718" s="371" t="s">
        <v>3620</v>
      </c>
      <c r="I3718" s="371" t="s">
        <v>2821</v>
      </c>
      <c r="J3718" s="291"/>
      <c r="K3718" s="291"/>
      <c r="L3718" s="291"/>
      <c r="M3718" s="291"/>
      <c r="N3718" s="291"/>
      <c r="O3718" s="291"/>
      <c r="S3718" s="364"/>
      <c r="Z3718" s="609" t="s">
        <v>3893</v>
      </c>
      <c r="AA3718" s="609" t="s">
        <v>5678</v>
      </c>
    </row>
    <row r="3719" spans="1:27" ht="18">
      <c r="A3719" s="2714"/>
      <c r="B3719" s="371"/>
      <c r="C3719" s="371"/>
      <c r="D3719" s="371"/>
      <c r="E3719" s="2716" t="s">
        <v>2749</v>
      </c>
      <c r="F3719" s="294"/>
      <c r="G3719" s="2386" t="s">
        <v>47</v>
      </c>
      <c r="H3719" s="2387" t="s">
        <v>2887</v>
      </c>
      <c r="I3719" s="2394" t="s">
        <v>2508</v>
      </c>
      <c r="J3719" s="355" t="s">
        <v>6176</v>
      </c>
      <c r="K3719" s="291"/>
      <c r="L3719" s="291"/>
      <c r="M3719" s="291"/>
      <c r="N3719" s="291"/>
      <c r="O3719" s="291"/>
      <c r="S3719" s="364"/>
      <c r="Z3719" s="609" t="s">
        <v>3893</v>
      </c>
      <c r="AA3719" s="609" t="s">
        <v>5678</v>
      </c>
    </row>
    <row r="3720" spans="1:27" ht="24">
      <c r="A3720" s="2714"/>
      <c r="B3720" s="371">
        <v>101</v>
      </c>
      <c r="C3720" s="371"/>
      <c r="D3720" s="2716">
        <f t="shared" ref="D3720:D3728" si="425">IF(OR(G3720="*",G3720="",G3720=0),0,COUNTIF($G$3720:$G$3728,G3720))</f>
        <v>1</v>
      </c>
      <c r="E3720" s="2721" t="s">
        <v>41</v>
      </c>
      <c r="F3720" s="294"/>
      <c r="G3720" s="308" t="s">
        <v>3941</v>
      </c>
      <c r="H3720" s="320"/>
      <c r="I3720" s="436"/>
      <c r="J3720" s="579"/>
      <c r="K3720" s="291"/>
      <c r="L3720" s="291"/>
      <c r="M3720" s="291"/>
      <c r="N3720" s="291"/>
      <c r="O3720" s="291"/>
      <c r="S3720" s="364"/>
      <c r="Z3720" s="609" t="s">
        <v>3893</v>
      </c>
      <c r="AA3720" s="609" t="s">
        <v>5678</v>
      </c>
    </row>
    <row r="3721" spans="1:27" ht="18">
      <c r="A3721" s="2714"/>
      <c r="B3721" s="371">
        <v>102</v>
      </c>
      <c r="C3721" s="371"/>
      <c r="D3721" s="2716">
        <f t="shared" si="425"/>
        <v>1</v>
      </c>
      <c r="E3721" s="2721">
        <v>-1</v>
      </c>
      <c r="F3721" s="294"/>
      <c r="G3721" s="308" t="s">
        <v>3942</v>
      </c>
      <c r="H3721" s="309"/>
      <c r="I3721" s="388"/>
      <c r="J3721" s="291"/>
      <c r="K3721" s="291"/>
      <c r="L3721" s="291"/>
      <c r="M3721" s="291"/>
      <c r="N3721" s="291"/>
      <c r="O3721" s="291"/>
      <c r="S3721" s="364"/>
      <c r="Z3721" s="609" t="s">
        <v>3893</v>
      </c>
      <c r="AA3721" s="609" t="s">
        <v>5678</v>
      </c>
    </row>
    <row r="3722" spans="1:27" ht="18">
      <c r="A3722" s="2714"/>
      <c r="B3722" s="371">
        <v>103</v>
      </c>
      <c r="C3722" s="371" t="s">
        <v>2791</v>
      </c>
      <c r="D3722" s="2716">
        <f t="shared" si="425"/>
        <v>1</v>
      </c>
      <c r="E3722" s="2721">
        <v>1</v>
      </c>
      <c r="F3722" s="294"/>
      <c r="G3722" s="578" t="s">
        <v>685</v>
      </c>
      <c r="H3722" s="309"/>
      <c r="I3722" s="388"/>
      <c r="J3722" s="291"/>
      <c r="K3722" s="291"/>
      <c r="L3722" s="291"/>
      <c r="M3722" s="291"/>
      <c r="N3722" s="291"/>
      <c r="O3722" s="291"/>
      <c r="S3722" s="364"/>
      <c r="Z3722" s="609" t="s">
        <v>3893</v>
      </c>
      <c r="AA3722" s="609" t="s">
        <v>5678</v>
      </c>
    </row>
    <row r="3723" spans="1:27" ht="18">
      <c r="A3723" s="2714"/>
      <c r="B3723" s="371">
        <v>104</v>
      </c>
      <c r="C3723" s="371" t="s">
        <v>2791</v>
      </c>
      <c r="D3723" s="2716">
        <f t="shared" si="425"/>
        <v>1</v>
      </c>
      <c r="E3723" s="2721">
        <v>1</v>
      </c>
      <c r="F3723" s="294"/>
      <c r="G3723" s="578" t="s">
        <v>680</v>
      </c>
      <c r="H3723" s="309"/>
      <c r="I3723" s="388"/>
      <c r="J3723" s="291"/>
      <c r="K3723" s="291"/>
      <c r="L3723" s="291"/>
      <c r="M3723" s="291"/>
      <c r="N3723" s="291"/>
      <c r="O3723" s="291"/>
      <c r="S3723" s="364"/>
      <c r="Z3723" s="609" t="s">
        <v>3893</v>
      </c>
      <c r="AA3723" s="609" t="s">
        <v>5678</v>
      </c>
    </row>
    <row r="3724" spans="1:27" ht="18">
      <c r="A3724" s="2714"/>
      <c r="B3724" s="371">
        <v>105</v>
      </c>
      <c r="C3724" s="371" t="s">
        <v>2791</v>
      </c>
      <c r="D3724" s="2716">
        <f t="shared" si="425"/>
        <v>1</v>
      </c>
      <c r="E3724" s="2721">
        <v>1</v>
      </c>
      <c r="F3724" s="294"/>
      <c r="G3724" s="578" t="s">
        <v>362</v>
      </c>
      <c r="H3724" s="309"/>
      <c r="I3724" s="388"/>
      <c r="J3724" s="291"/>
      <c r="K3724" s="291"/>
      <c r="L3724" s="291"/>
      <c r="M3724" s="291"/>
      <c r="N3724" s="291"/>
      <c r="O3724" s="291"/>
      <c r="S3724" s="364"/>
      <c r="Z3724" s="609" t="s">
        <v>3893</v>
      </c>
      <c r="AA3724" s="609" t="s">
        <v>5678</v>
      </c>
    </row>
    <row r="3725" spans="1:27" ht="18">
      <c r="A3725" s="2714"/>
      <c r="B3725" s="371">
        <v>106</v>
      </c>
      <c r="C3725" s="371" t="s">
        <v>2791</v>
      </c>
      <c r="D3725" s="2716">
        <f t="shared" si="425"/>
        <v>1</v>
      </c>
      <c r="E3725" s="2721">
        <v>1</v>
      </c>
      <c r="F3725" s="294"/>
      <c r="G3725" s="578" t="s">
        <v>369</v>
      </c>
      <c r="H3725" s="309"/>
      <c r="I3725" s="388"/>
      <c r="J3725" s="291"/>
      <c r="K3725" s="291"/>
      <c r="L3725" s="291"/>
      <c r="M3725" s="291"/>
      <c r="N3725" s="291"/>
      <c r="O3725" s="291"/>
      <c r="S3725" s="364"/>
      <c r="Z3725" s="609" t="s">
        <v>3893</v>
      </c>
      <c r="AA3725" s="609" t="s">
        <v>5678</v>
      </c>
    </row>
    <row r="3726" spans="1:27" ht="18">
      <c r="A3726" s="2714"/>
      <c r="B3726" s="371">
        <v>107</v>
      </c>
      <c r="C3726" s="371" t="s">
        <v>2791</v>
      </c>
      <c r="D3726" s="2716">
        <f t="shared" si="425"/>
        <v>1</v>
      </c>
      <c r="E3726" s="2721">
        <v>1</v>
      </c>
      <c r="F3726" s="294"/>
      <c r="G3726" s="578" t="s">
        <v>344</v>
      </c>
      <c r="H3726" s="320"/>
      <c r="I3726" s="436"/>
      <c r="J3726" s="291"/>
      <c r="K3726" s="291"/>
      <c r="L3726" s="291"/>
      <c r="M3726" s="291"/>
      <c r="N3726" s="291"/>
      <c r="O3726" s="291"/>
      <c r="S3726" s="364"/>
      <c r="Z3726" s="609" t="s">
        <v>3893</v>
      </c>
      <c r="AA3726" s="609" t="s">
        <v>5678</v>
      </c>
    </row>
    <row r="3727" spans="1:27" ht="18">
      <c r="A3727" s="2714"/>
      <c r="B3727" s="371">
        <v>108</v>
      </c>
      <c r="C3727" s="371" t="s">
        <v>2791</v>
      </c>
      <c r="D3727" s="2716">
        <f t="shared" si="425"/>
        <v>0</v>
      </c>
      <c r="E3727" s="2721">
        <v>1</v>
      </c>
      <c r="F3727" s="294"/>
      <c r="G3727" s="578" t="s">
        <v>2792</v>
      </c>
      <c r="H3727" s="320"/>
      <c r="I3727" s="436"/>
      <c r="J3727" s="291"/>
      <c r="K3727" s="291"/>
      <c r="L3727" s="291"/>
      <c r="M3727" s="291"/>
      <c r="N3727" s="291"/>
      <c r="O3727" s="291"/>
      <c r="S3727" s="364"/>
      <c r="Z3727" s="609" t="s">
        <v>3893</v>
      </c>
      <c r="AA3727" s="609" t="s">
        <v>5678</v>
      </c>
    </row>
    <row r="3728" spans="1:27" ht="18.75" thickBot="1">
      <c r="A3728" s="2714"/>
      <c r="B3728" s="371"/>
      <c r="C3728" s="371"/>
      <c r="D3728" s="2716">
        <f t="shared" si="425"/>
        <v>1</v>
      </c>
      <c r="E3728" s="2721" t="s">
        <v>2751</v>
      </c>
      <c r="F3728" s="294"/>
      <c r="G3728" s="1529" t="s">
        <v>2752</v>
      </c>
      <c r="H3728" s="2391">
        <f>SUMPRODUCT($E3719:$E3727,H3719:H3727)</f>
        <v>0</v>
      </c>
      <c r="I3728" s="2392"/>
      <c r="J3728" s="291"/>
      <c r="K3728" s="291"/>
      <c r="L3728" s="291"/>
      <c r="M3728" s="291"/>
      <c r="N3728" s="291"/>
      <c r="O3728" s="291"/>
      <c r="S3728" s="364"/>
      <c r="Z3728" s="609" t="s">
        <v>3893</v>
      </c>
      <c r="AA3728" s="609" t="s">
        <v>5678</v>
      </c>
    </row>
    <row r="3729" spans="1:29" ht="18">
      <c r="A3729" s="2714"/>
      <c r="B3729" s="371"/>
      <c r="C3729" s="371" t="s">
        <v>2755</v>
      </c>
      <c r="D3729" s="371"/>
      <c r="F3729" s="294"/>
      <c r="G3729" s="557"/>
      <c r="H3729" s="315"/>
      <c r="I3729" s="393"/>
      <c r="J3729" s="291"/>
      <c r="K3729" s="291"/>
      <c r="L3729" s="291"/>
      <c r="M3729" s="291"/>
      <c r="N3729" s="291"/>
      <c r="O3729" s="291"/>
      <c r="S3729" s="364"/>
      <c r="Z3729" s="609" t="s">
        <v>3893</v>
      </c>
      <c r="AA3729" s="609" t="s">
        <v>5678</v>
      </c>
    </row>
    <row r="3730" spans="1:29" ht="18">
      <c r="A3730" s="2714">
        <v>2221</v>
      </c>
      <c r="B3730" s="371">
        <v>41</v>
      </c>
      <c r="C3730" s="2716" t="str">
        <f>VLOOKUP($A3730,Sheet_Items,2,0)</f>
        <v>应交税费</v>
      </c>
      <c r="D3730" s="371"/>
      <c r="E3730" s="2716" t="s">
        <v>2739</v>
      </c>
      <c r="F3730" s="294"/>
      <c r="G3730" s="305" t="str">
        <f>B3730&amp;" "&amp;C3730</f>
        <v>41 应交税费</v>
      </c>
      <c r="H3730" s="306"/>
      <c r="I3730" s="306"/>
      <c r="J3730" s="306" t="s">
        <v>2740</v>
      </c>
      <c r="K3730" s="341">
        <f>VLOOKUP($A3730,Sheet_Trialbal,6,0)</f>
        <v>507471.64</v>
      </c>
      <c r="L3730" s="342"/>
      <c r="M3730" s="306" t="s">
        <v>2741</v>
      </c>
      <c r="N3730" s="341">
        <f>VLOOKUP($A3730,Sheet_Trialbal,10,0)</f>
        <v>487153.95</v>
      </c>
      <c r="O3730" s="306"/>
      <c r="P3730" s="301"/>
      <c r="S3730" s="364"/>
      <c r="Z3730" s="609" t="s">
        <v>3943</v>
      </c>
      <c r="AA3730" s="609" t="s">
        <v>5679</v>
      </c>
    </row>
    <row r="3731" spans="1:29" ht="18">
      <c r="A3731" s="2714" t="s">
        <v>1528</v>
      </c>
      <c r="B3731" s="371">
        <v>1</v>
      </c>
      <c r="C3731" s="371"/>
      <c r="D3731" s="2716" t="str">
        <f>VLOOKUP($A3731,Sheet_NoteList,2,0)</f>
        <v>应交税费本期增减变动</v>
      </c>
      <c r="E3731" s="2716" t="s">
        <v>6530</v>
      </c>
      <c r="F3731" s="294"/>
      <c r="G3731" s="307" t="str">
        <f>"("&amp;B3731&amp;")"&amp;D3731</f>
        <v>(1)应交税费本期增减变动</v>
      </c>
      <c r="H3731" s="1517" t="str">
        <f>$A3731</f>
        <v>2221a</v>
      </c>
      <c r="I3731" s="343" t="s">
        <v>5519</v>
      </c>
      <c r="J3731" s="301" t="s">
        <v>5517</v>
      </c>
      <c r="K3731" s="2210">
        <f>H3748</f>
        <v>507471.64</v>
      </c>
      <c r="L3731" s="345" t="str">
        <f>IF($I3731="适用",IF(ROUND(K3730-K3731,2)=0,"F/S",ROUND(K3730-K3731,2)),"#N/A")</f>
        <v>F/S</v>
      </c>
      <c r="M3731" s="301" t="s">
        <v>5518</v>
      </c>
      <c r="N3731" s="2210">
        <f>I3748</f>
        <v>487153.95</v>
      </c>
      <c r="O3731" s="345" t="str">
        <f>IF($I3731="适用",IF(ROUND(N3730-N3731,2)=0,"F/S",ROUND(N3730-N3731,2)),"#N/A")</f>
        <v>F/S</v>
      </c>
      <c r="P3731" s="301"/>
      <c r="Q3731" s="290" t="str">
        <f>IF($I3731="不适用","",IF(ROUND(SUM($H$3734:$K$3748),2)=0,"请输入",""))</f>
        <v/>
      </c>
      <c r="S3731" s="364"/>
      <c r="Z3731" s="609" t="s">
        <v>3943</v>
      </c>
      <c r="AA3731" s="609" t="s">
        <v>5679</v>
      </c>
    </row>
    <row r="3732" spans="1:29" ht="0.75" customHeight="1" thickBot="1">
      <c r="A3732" s="2714"/>
      <c r="B3732" s="371"/>
      <c r="C3732" s="371"/>
      <c r="D3732" s="371"/>
      <c r="F3732" s="293"/>
      <c r="G3732" s="368" t="s">
        <v>3950</v>
      </c>
      <c r="H3732" s="368" t="s">
        <v>2747</v>
      </c>
      <c r="I3732" s="368" t="s">
        <v>2748</v>
      </c>
      <c r="J3732" s="368" t="s">
        <v>3250</v>
      </c>
      <c r="K3732" s="368" t="s">
        <v>3251</v>
      </c>
      <c r="L3732" s="472"/>
      <c r="M3732" s="472"/>
      <c r="N3732" s="442"/>
      <c r="O3732" s="442"/>
      <c r="P3732" s="442"/>
      <c r="Q3732" s="442"/>
      <c r="R3732" s="443"/>
      <c r="S3732" s="364"/>
      <c r="Z3732" s="609" t="s">
        <v>3943</v>
      </c>
      <c r="AA3732" s="609" t="s">
        <v>5679</v>
      </c>
    </row>
    <row r="3733" spans="1:29" ht="18">
      <c r="A3733" s="2714"/>
      <c r="B3733" s="371"/>
      <c r="C3733" s="371"/>
      <c r="D3733" s="371"/>
      <c r="E3733" s="2716" t="s">
        <v>2749</v>
      </c>
      <c r="F3733" s="294"/>
      <c r="G3733" s="514" t="s">
        <v>3951</v>
      </c>
      <c r="H3733" s="1454" t="str">
        <f>$V$2</f>
        <v>2019年12月31日</v>
      </c>
      <c r="I3733" s="1455" t="str">
        <f>$V$3</f>
        <v>2018年12月31日</v>
      </c>
      <c r="J3733" s="1606" t="s">
        <v>5538</v>
      </c>
      <c r="K3733" s="1605" t="s">
        <v>5539</v>
      </c>
      <c r="L3733" s="355" t="s">
        <v>5306</v>
      </c>
      <c r="M3733" s="472"/>
      <c r="N3733" s="442"/>
      <c r="O3733" s="442"/>
      <c r="P3733" s="442"/>
      <c r="Q3733" s="442"/>
      <c r="R3733" s="443"/>
      <c r="S3733" s="364"/>
      <c r="Z3733" s="609" t="s">
        <v>3943</v>
      </c>
      <c r="AA3733" s="609" t="s">
        <v>5679</v>
      </c>
    </row>
    <row r="3734" spans="1:29" ht="18">
      <c r="A3734" s="2714"/>
      <c r="B3734" s="371">
        <v>101</v>
      </c>
      <c r="C3734" s="371"/>
      <c r="D3734" s="2716">
        <f t="shared" ref="D3734:D3748" si="426">IF(OR(G3734="*",G3734="",G3734=0),0,COUNTIF($G$3734:$G$3748,G3734))</f>
        <v>1</v>
      </c>
      <c r="E3734" s="2721">
        <v>1</v>
      </c>
      <c r="F3734" s="294"/>
      <c r="G3734" s="380" t="s">
        <v>3944</v>
      </c>
      <c r="H3734" s="383">
        <v>352809.08</v>
      </c>
      <c r="I3734" s="383">
        <v>322012.11</v>
      </c>
      <c r="J3734" s="383"/>
      <c r="K3734" s="401"/>
      <c r="L3734" s="473" t="s">
        <v>5540</v>
      </c>
      <c r="M3734" s="472"/>
      <c r="N3734" s="442"/>
      <c r="O3734" s="442"/>
      <c r="P3734" s="442"/>
      <c r="Q3734" s="442"/>
      <c r="R3734" s="443"/>
      <c r="S3734" s="364"/>
      <c r="Z3734" s="609" t="s">
        <v>3943</v>
      </c>
      <c r="AA3734" s="609" t="s">
        <v>5679</v>
      </c>
    </row>
    <row r="3735" spans="1:29" ht="18">
      <c r="A3735" s="2714"/>
      <c r="B3735" s="371">
        <v>102</v>
      </c>
      <c r="C3735" s="371"/>
      <c r="D3735" s="2716">
        <f t="shared" si="426"/>
        <v>1</v>
      </c>
      <c r="E3735" s="2721">
        <v>1</v>
      </c>
      <c r="F3735" s="294"/>
      <c r="G3735" s="380" t="s">
        <v>3945</v>
      </c>
      <c r="H3735" s="383"/>
      <c r="I3735" s="383"/>
      <c r="J3735" s="383"/>
      <c r="K3735" s="401"/>
      <c r="L3735" s="1589" t="str">
        <f ca="1">HYPERLINK("#'"&amp;$G$1&amp;"'!"&amp;ADDRESS(ROW(Notes!K4640),COLUMN(Notes!K4640),4),"* 请勿删除此行！点击往勾稽单元格，F5+Enter返回")</f>
        <v>* 请勿删除此行！点击往勾稽单元格，F5+Enter返回</v>
      </c>
      <c r="M3735" s="472"/>
      <c r="N3735" s="442"/>
      <c r="O3735" s="442"/>
      <c r="P3735" s="442"/>
      <c r="Q3735" s="442"/>
      <c r="R3735" s="443"/>
      <c r="S3735" s="364"/>
      <c r="Z3735" s="609" t="s">
        <v>3943</v>
      </c>
      <c r="AA3735" s="609" t="s">
        <v>5679</v>
      </c>
      <c r="AC3735" s="369" t="s">
        <v>2794</v>
      </c>
    </row>
    <row r="3736" spans="1:29" ht="18">
      <c r="A3736" s="2714"/>
      <c r="B3736" s="371">
        <v>103</v>
      </c>
      <c r="C3736" s="371"/>
      <c r="D3736" s="2716">
        <f t="shared" si="426"/>
        <v>1</v>
      </c>
      <c r="E3736" s="2721">
        <v>1</v>
      </c>
      <c r="F3736" s="294"/>
      <c r="G3736" s="380" t="s">
        <v>3946</v>
      </c>
      <c r="H3736" s="383"/>
      <c r="I3736" s="383"/>
      <c r="J3736" s="383"/>
      <c r="K3736" s="401"/>
      <c r="L3736" s="1589" t="str">
        <f ca="1">HYPERLINK("#'"&amp;$G$1&amp;"'!"&amp;ADDRESS(ROW(Notes!K4970),COLUMN(Notes!K4970),4),"* 请勿删除此行！点击往勾稽单元格，F5+Enter返回")</f>
        <v>* 请勿删除此行！点击往勾稽单元格，F5+Enter返回</v>
      </c>
      <c r="M3736" s="472"/>
      <c r="N3736" s="442"/>
      <c r="O3736" s="442"/>
      <c r="P3736" s="442"/>
      <c r="Q3736" s="442"/>
      <c r="R3736" s="443"/>
      <c r="S3736" s="364"/>
      <c r="Z3736" s="609" t="s">
        <v>3943</v>
      </c>
      <c r="AA3736" s="609" t="s">
        <v>5679</v>
      </c>
      <c r="AC3736" s="369" t="s">
        <v>2794</v>
      </c>
    </row>
    <row r="3737" spans="1:29" ht="18">
      <c r="A3737" s="2714"/>
      <c r="B3737" s="371">
        <v>104</v>
      </c>
      <c r="C3737" s="371"/>
      <c r="D3737" s="2716">
        <f t="shared" si="426"/>
        <v>1</v>
      </c>
      <c r="E3737" s="2721">
        <v>1</v>
      </c>
      <c r="F3737" s="294"/>
      <c r="G3737" s="380" t="s">
        <v>3947</v>
      </c>
      <c r="H3737" s="383">
        <v>9067.58</v>
      </c>
      <c r="I3737" s="383">
        <v>4535.1400000000003</v>
      </c>
      <c r="J3737" s="383"/>
      <c r="K3737" s="401"/>
      <c r="L3737" s="472"/>
      <c r="M3737" s="472"/>
      <c r="N3737" s="442"/>
      <c r="O3737" s="442"/>
      <c r="P3737" s="442"/>
      <c r="Q3737" s="442"/>
      <c r="R3737" s="443"/>
      <c r="S3737" s="364"/>
      <c r="Z3737" s="609" t="s">
        <v>3943</v>
      </c>
      <c r="AA3737" s="609" t="s">
        <v>5679</v>
      </c>
    </row>
    <row r="3738" spans="1:29" ht="18">
      <c r="A3738" s="2714"/>
      <c r="B3738" s="371">
        <v>105</v>
      </c>
      <c r="C3738" s="371"/>
      <c r="D3738" s="2716">
        <f t="shared" si="426"/>
        <v>1</v>
      </c>
      <c r="E3738" s="2721">
        <v>1</v>
      </c>
      <c r="F3738" s="294"/>
      <c r="G3738" s="380" t="s">
        <v>3948</v>
      </c>
      <c r="H3738" s="383">
        <v>24696.639999999999</v>
      </c>
      <c r="I3738" s="383">
        <v>22723.74</v>
      </c>
      <c r="J3738" s="383"/>
      <c r="K3738" s="401"/>
      <c r="L3738" s="1589" t="str">
        <f ca="1">HYPERLINK("#'"&amp;$G$1&amp;"'!"&amp;ADDRESS(ROW(Notes!K4641),COLUMN(Notes!K4641),4),"* 请勿删除此行！点击往勾稽单元格，F5+Enter返回")</f>
        <v>* 请勿删除此行！点击往勾稽单元格，F5+Enter返回</v>
      </c>
      <c r="M3738" s="472"/>
      <c r="N3738" s="442"/>
      <c r="O3738" s="442"/>
      <c r="P3738" s="442"/>
      <c r="Q3738" s="442"/>
      <c r="R3738" s="443"/>
      <c r="S3738" s="364"/>
      <c r="Z3738" s="609" t="s">
        <v>3943</v>
      </c>
      <c r="AA3738" s="609" t="s">
        <v>5679</v>
      </c>
      <c r="AC3738" s="369" t="s">
        <v>2794</v>
      </c>
    </row>
    <row r="3739" spans="1:29" ht="18">
      <c r="A3739" s="2714"/>
      <c r="B3739" s="371">
        <v>106</v>
      </c>
      <c r="C3739" s="371"/>
      <c r="D3739" s="2716">
        <f t="shared" si="426"/>
        <v>1</v>
      </c>
      <c r="E3739" s="2721">
        <v>1</v>
      </c>
      <c r="F3739" s="294"/>
      <c r="G3739" s="380" t="s">
        <v>3949</v>
      </c>
      <c r="H3739" s="383">
        <v>10584.27</v>
      </c>
      <c r="I3739" s="383">
        <v>9738.75</v>
      </c>
      <c r="J3739" s="383"/>
      <c r="K3739" s="401"/>
      <c r="L3739" s="1589" t="str">
        <f ca="1">HYPERLINK("#'"&amp;$G$1&amp;"'!"&amp;ADDRESS(ROW(Notes!K4642),COLUMN(Notes!K4642),4),"* 请勿删除此行！点击往勾稽单元格，F5+Enter返回")</f>
        <v>* 请勿删除此行！点击往勾稽单元格，F5+Enter返回</v>
      </c>
      <c r="M3739" s="472"/>
      <c r="N3739" s="442"/>
      <c r="O3739" s="442"/>
      <c r="P3739" s="442"/>
      <c r="Q3739" s="442"/>
      <c r="R3739" s="443"/>
      <c r="S3739" s="364"/>
      <c r="Z3739" s="609" t="s">
        <v>3943</v>
      </c>
      <c r="AA3739" s="609" t="s">
        <v>5679</v>
      </c>
      <c r="AC3739" s="369" t="s">
        <v>2794</v>
      </c>
    </row>
    <row r="3740" spans="1:29" ht="18">
      <c r="A3740" s="2714"/>
      <c r="B3740" s="371">
        <v>107</v>
      </c>
      <c r="C3740" s="371"/>
      <c r="D3740" s="2716">
        <f t="shared" si="426"/>
        <v>1</v>
      </c>
      <c r="E3740" s="2721">
        <v>1</v>
      </c>
      <c r="F3740" s="294"/>
      <c r="G3740" s="380" t="s">
        <v>5644</v>
      </c>
      <c r="H3740" s="383">
        <v>7056.18</v>
      </c>
      <c r="I3740" s="383">
        <v>6492.5</v>
      </c>
      <c r="J3740" s="383"/>
      <c r="K3740" s="401"/>
      <c r="L3740" s="1589" t="str">
        <f ca="1">HYPERLINK("#'"&amp;$G$1&amp;"'!"&amp;ADDRESS(ROW(Notes!K4643),COLUMN(Notes!K4643),4),"* 请勿删除此行！点击往勾稽单元格，F5+Enter返回")</f>
        <v>* 请勿删除此行！点击往勾稽单元格，F5+Enter返回</v>
      </c>
      <c r="M3740" s="472"/>
      <c r="N3740" s="442"/>
      <c r="O3740" s="442"/>
      <c r="P3740" s="442"/>
      <c r="Q3740" s="442"/>
      <c r="R3740" s="443"/>
      <c r="S3740" s="364"/>
      <c r="Z3740" s="609" t="s">
        <v>3943</v>
      </c>
      <c r="AA3740" s="609" t="s">
        <v>5679</v>
      </c>
      <c r="AC3740" s="369" t="s">
        <v>2794</v>
      </c>
    </row>
    <row r="3741" spans="1:29" ht="18">
      <c r="A3741" s="2714"/>
      <c r="B3741" s="371">
        <v>108</v>
      </c>
      <c r="C3741" s="371"/>
      <c r="D3741" s="2716">
        <f t="shared" si="426"/>
        <v>1</v>
      </c>
      <c r="E3741" s="2721">
        <v>1</v>
      </c>
      <c r="F3741" s="294"/>
      <c r="G3741" s="380" t="s">
        <v>4251</v>
      </c>
      <c r="H3741" s="383">
        <v>39198.17</v>
      </c>
      <c r="I3741" s="383">
        <v>41998.03</v>
      </c>
      <c r="J3741" s="383"/>
      <c r="K3741" s="401"/>
      <c r="L3741" s="1589" t="str">
        <f ca="1">HYPERLINK("#'"&amp;$G$1&amp;"'!"&amp;ADDRESS(ROW(Notes!K4644),COLUMN(Notes!K4644),4),"* 请勿删除此行！点击往勾稽单元格，F5+Enter返回")</f>
        <v>* 请勿删除此行！点击往勾稽单元格，F5+Enter返回</v>
      </c>
      <c r="M3741" s="472"/>
      <c r="N3741" s="442"/>
      <c r="O3741" s="442"/>
      <c r="P3741" s="442"/>
      <c r="Q3741" s="442"/>
      <c r="R3741" s="443"/>
      <c r="S3741" s="364"/>
      <c r="Z3741" s="609" t="s">
        <v>3943</v>
      </c>
      <c r="AA3741" s="609" t="s">
        <v>5679</v>
      </c>
      <c r="AC3741" s="369" t="s">
        <v>2794</v>
      </c>
    </row>
    <row r="3742" spans="1:29" ht="18">
      <c r="A3742" s="2714"/>
      <c r="B3742" s="371">
        <v>109</v>
      </c>
      <c r="C3742" s="371"/>
      <c r="D3742" s="2716">
        <f t="shared" si="426"/>
        <v>1</v>
      </c>
      <c r="E3742" s="2721">
        <v>1</v>
      </c>
      <c r="F3742" s="294"/>
      <c r="G3742" s="380" t="s">
        <v>5647</v>
      </c>
      <c r="H3742" s="383"/>
      <c r="I3742" s="383"/>
      <c r="J3742" s="383"/>
      <c r="K3742" s="401"/>
      <c r="L3742" s="1589" t="str">
        <f ca="1">HYPERLINK("#'"&amp;$G$1&amp;"'!"&amp;ADDRESS(ROW(Notes!K4645),COLUMN(Notes!K4645),4),"* 请勿删除此行！点击往勾稽单元格，F5+Enter返回")</f>
        <v>* 请勿删除此行！点击往勾稽单元格，F5+Enter返回</v>
      </c>
      <c r="M3742" s="472"/>
      <c r="N3742" s="442"/>
      <c r="O3742" s="442"/>
      <c r="P3742" s="442"/>
      <c r="Q3742" s="442"/>
      <c r="R3742" s="443"/>
      <c r="S3742" s="364"/>
      <c r="Z3742" s="609" t="s">
        <v>3943</v>
      </c>
      <c r="AA3742" s="609" t="s">
        <v>5679</v>
      </c>
      <c r="AC3742" s="369" t="s">
        <v>2794</v>
      </c>
    </row>
    <row r="3743" spans="1:29" ht="18">
      <c r="A3743" s="2714"/>
      <c r="B3743" s="371">
        <v>110</v>
      </c>
      <c r="C3743" s="371"/>
      <c r="D3743" s="2716">
        <f t="shared" si="426"/>
        <v>1</v>
      </c>
      <c r="E3743" s="2721">
        <v>1</v>
      </c>
      <c r="F3743" s="294"/>
      <c r="G3743" s="380" t="s">
        <v>5646</v>
      </c>
      <c r="H3743" s="383">
        <v>60893.82</v>
      </c>
      <c r="I3743" s="383">
        <v>76117.279999999999</v>
      </c>
      <c r="J3743" s="383"/>
      <c r="K3743" s="401"/>
      <c r="L3743" s="1589" t="str">
        <f ca="1">HYPERLINK("#'"&amp;$G$1&amp;"'!"&amp;ADDRESS(ROW(Notes!K4646),COLUMN(Notes!K4646),4),"* 请勿删除此行！点击往勾稽单元格，F5+Enter返回")</f>
        <v>* 请勿删除此行！点击往勾稽单元格，F5+Enter返回</v>
      </c>
      <c r="M3743" s="472"/>
      <c r="N3743" s="442"/>
      <c r="O3743" s="442"/>
      <c r="P3743" s="442"/>
      <c r="Q3743" s="442"/>
      <c r="R3743" s="443"/>
      <c r="S3743" s="364"/>
      <c r="Z3743" s="609" t="s">
        <v>3943</v>
      </c>
      <c r="AA3743" s="609" t="s">
        <v>5679</v>
      </c>
      <c r="AC3743" s="369" t="s">
        <v>2794</v>
      </c>
    </row>
    <row r="3744" spans="1:29" ht="18">
      <c r="A3744" s="2714"/>
      <c r="B3744" s="371">
        <v>111</v>
      </c>
      <c r="C3744" s="371"/>
      <c r="D3744" s="2716">
        <f t="shared" si="426"/>
        <v>1</v>
      </c>
      <c r="E3744" s="2721">
        <v>1</v>
      </c>
      <c r="F3744" s="294"/>
      <c r="G3744" s="380" t="s">
        <v>5645</v>
      </c>
      <c r="H3744" s="383"/>
      <c r="I3744" s="383"/>
      <c r="J3744" s="383"/>
      <c r="K3744" s="401"/>
      <c r="L3744" s="472"/>
      <c r="M3744" s="472"/>
      <c r="N3744" s="442"/>
      <c r="O3744" s="442"/>
      <c r="P3744" s="442"/>
      <c r="Q3744" s="442"/>
      <c r="R3744" s="443"/>
      <c r="S3744" s="364"/>
      <c r="Z3744" s="609" t="s">
        <v>3943</v>
      </c>
      <c r="AA3744" s="609" t="s">
        <v>5679</v>
      </c>
    </row>
    <row r="3745" spans="1:27" ht="18">
      <c r="A3745" s="2714"/>
      <c r="B3745" s="371">
        <v>112</v>
      </c>
      <c r="C3745" s="371" t="s">
        <v>2791</v>
      </c>
      <c r="D3745" s="2716">
        <f t="shared" si="426"/>
        <v>1</v>
      </c>
      <c r="E3745" s="2721">
        <v>1</v>
      </c>
      <c r="F3745" s="294"/>
      <c r="G3745" s="409" t="s">
        <v>4253</v>
      </c>
      <c r="H3745" s="383">
        <v>3165.9</v>
      </c>
      <c r="I3745" s="383">
        <v>3536.4</v>
      </c>
      <c r="J3745" s="383"/>
      <c r="K3745" s="401"/>
      <c r="L3745" s="472"/>
      <c r="M3745" s="472"/>
      <c r="N3745" s="442"/>
      <c r="O3745" s="442"/>
      <c r="P3745" s="442"/>
      <c r="Q3745" s="442"/>
      <c r="R3745" s="443"/>
      <c r="S3745" s="364"/>
      <c r="Z3745" s="609" t="s">
        <v>3943</v>
      </c>
      <c r="AA3745" s="609" t="s">
        <v>5679</v>
      </c>
    </row>
    <row r="3746" spans="1:27" ht="18">
      <c r="A3746" s="2714"/>
      <c r="B3746" s="371">
        <v>113</v>
      </c>
      <c r="C3746" s="371" t="s">
        <v>2791</v>
      </c>
      <c r="D3746" s="2716">
        <f t="shared" si="426"/>
        <v>0</v>
      </c>
      <c r="E3746" s="2721">
        <v>1</v>
      </c>
      <c r="F3746" s="294"/>
      <c r="G3746" s="409" t="s">
        <v>2792</v>
      </c>
      <c r="H3746" s="383"/>
      <c r="I3746" s="383"/>
      <c r="J3746" s="383"/>
      <c r="K3746" s="401"/>
      <c r="L3746" s="472"/>
      <c r="M3746" s="472"/>
      <c r="N3746" s="442"/>
      <c r="O3746" s="442"/>
      <c r="P3746" s="442"/>
      <c r="Q3746" s="442"/>
      <c r="R3746" s="443"/>
      <c r="S3746" s="364"/>
      <c r="Z3746" s="609" t="s">
        <v>3943</v>
      </c>
      <c r="AA3746" s="609" t="s">
        <v>5679</v>
      </c>
    </row>
    <row r="3747" spans="1:27" ht="18">
      <c r="A3747" s="2714"/>
      <c r="B3747" s="371">
        <v>114</v>
      </c>
      <c r="C3747" s="371" t="s">
        <v>2791</v>
      </c>
      <c r="D3747" s="2716">
        <f t="shared" si="426"/>
        <v>1</v>
      </c>
      <c r="E3747" s="2721">
        <v>1</v>
      </c>
      <c r="F3747" s="294"/>
      <c r="G3747" s="380" t="s">
        <v>3952</v>
      </c>
      <c r="H3747" s="383"/>
      <c r="I3747" s="383"/>
      <c r="J3747" s="383"/>
      <c r="K3747" s="401"/>
      <c r="L3747" s="472"/>
      <c r="M3747" s="472"/>
      <c r="N3747" s="442"/>
      <c r="O3747" s="442"/>
      <c r="P3747" s="442"/>
      <c r="Q3747" s="442"/>
      <c r="R3747" s="443"/>
      <c r="S3747" s="364"/>
      <c r="Z3747" s="609" t="s">
        <v>3943</v>
      </c>
      <c r="AA3747" s="609" t="s">
        <v>5679</v>
      </c>
    </row>
    <row r="3748" spans="1:27" ht="18.75" thickBot="1">
      <c r="A3748" s="2714"/>
      <c r="B3748" s="371"/>
      <c r="C3748" s="371"/>
      <c r="D3748" s="2716">
        <f t="shared" si="426"/>
        <v>1</v>
      </c>
      <c r="E3748" s="2721" t="s">
        <v>2751</v>
      </c>
      <c r="F3748" s="294"/>
      <c r="G3748" s="403" t="s">
        <v>2752</v>
      </c>
      <c r="H3748" s="1498">
        <f>SUMPRODUCT($E3733:$E3747,H3733:H3747)</f>
        <v>507471.64</v>
      </c>
      <c r="I3748" s="1498">
        <f>SUMPRODUCT($E3733:$E3747,I3733:I3747)</f>
        <v>487153.95</v>
      </c>
      <c r="J3748" s="1498">
        <f>SUMPRODUCT($E3733:$E3747,J3733:J3747)</f>
        <v>0</v>
      </c>
      <c r="K3748" s="1499">
        <f>SUMPRODUCT($E3733:$E3747,K3733:K3747)</f>
        <v>0</v>
      </c>
      <c r="L3748" s="472"/>
      <c r="M3748" s="472"/>
      <c r="N3748" s="442"/>
      <c r="O3748" s="442"/>
      <c r="P3748" s="442"/>
      <c r="Q3748" s="442"/>
      <c r="R3748" s="443"/>
      <c r="S3748" s="364"/>
      <c r="Z3748" s="609" t="s">
        <v>3943</v>
      </c>
      <c r="AA3748" s="609" t="s">
        <v>5679</v>
      </c>
    </row>
    <row r="3749" spans="1:27" ht="18">
      <c r="A3749" s="2714"/>
      <c r="B3749" s="371"/>
      <c r="C3749" s="371" t="s">
        <v>2755</v>
      </c>
      <c r="D3749" s="371"/>
      <c r="F3749" s="294"/>
      <c r="G3749" s="301"/>
      <c r="H3749" s="315"/>
      <c r="I3749" s="315"/>
      <c r="J3749" s="425"/>
      <c r="K3749" s="425"/>
      <c r="L3749" s="472"/>
      <c r="M3749" s="472"/>
      <c r="N3749" s="442"/>
      <c r="O3749" s="442"/>
      <c r="P3749" s="442"/>
      <c r="Q3749" s="442"/>
      <c r="R3749" s="443"/>
      <c r="S3749" s="364"/>
      <c r="Z3749" s="609" t="s">
        <v>3943</v>
      </c>
      <c r="AA3749" s="609" t="s">
        <v>5679</v>
      </c>
    </row>
    <row r="3750" spans="1:27" ht="18">
      <c r="A3750" s="2714" t="s">
        <v>1533</v>
      </c>
      <c r="B3750" s="371">
        <v>2</v>
      </c>
      <c r="C3750" s="371"/>
      <c r="D3750" s="2716" t="str">
        <f>VLOOKUP($A3750,Sheet_NoteList,2,0)</f>
        <v>应交税费补充资料</v>
      </c>
      <c r="E3750" s="2716" t="s">
        <v>6531</v>
      </c>
      <c r="F3750" s="294"/>
      <c r="G3750" s="307" t="str">
        <f>"("&amp;B3750&amp;")"&amp;D3750</f>
        <v>(2)应交税费补充资料</v>
      </c>
      <c r="H3750" s="1517" t="str">
        <f>$A3750</f>
        <v>2221x</v>
      </c>
      <c r="I3750" s="343" t="s">
        <v>5965</v>
      </c>
      <c r="J3750" s="301" t="s">
        <v>5963</v>
      </c>
      <c r="K3750" s="2210">
        <f>K3761</f>
        <v>0</v>
      </c>
      <c r="L3750" s="345"/>
      <c r="M3750" s="301" t="s">
        <v>5964</v>
      </c>
      <c r="N3750" s="2210">
        <f>H3761</f>
        <v>0</v>
      </c>
      <c r="O3750" s="345"/>
      <c r="P3750" s="301"/>
      <c r="S3750" s="364"/>
      <c r="Z3750" s="609" t="s">
        <v>3943</v>
      </c>
      <c r="AA3750" s="609" t="s">
        <v>5679</v>
      </c>
    </row>
    <row r="3751" spans="1:27" ht="0.75" customHeight="1" thickBot="1">
      <c r="A3751" s="2714"/>
      <c r="B3751" s="371"/>
      <c r="C3751" s="371"/>
      <c r="D3751" s="371"/>
      <c r="F3751" s="371"/>
      <c r="G3751" s="371" t="s">
        <v>3953</v>
      </c>
      <c r="H3751" s="371" t="s">
        <v>2904</v>
      </c>
      <c r="I3751" s="371" t="s">
        <v>3255</v>
      </c>
      <c r="J3751" s="371" t="s">
        <v>3256</v>
      </c>
      <c r="K3751" s="371" t="s">
        <v>3241</v>
      </c>
      <c r="M3751" s="291"/>
      <c r="S3751" s="364"/>
      <c r="Z3751" s="609" t="s">
        <v>3943</v>
      </c>
      <c r="AA3751" s="609" t="s">
        <v>5679</v>
      </c>
    </row>
    <row r="3752" spans="1:27" ht="18">
      <c r="A3752" s="2714"/>
      <c r="B3752" s="371"/>
      <c r="C3752" s="371"/>
      <c r="D3752" s="371"/>
      <c r="E3752" s="2716" t="s">
        <v>2749</v>
      </c>
      <c r="F3752" s="294"/>
      <c r="G3752" s="2393" t="s">
        <v>3951</v>
      </c>
      <c r="H3752" s="2398" t="s">
        <v>2776</v>
      </c>
      <c r="I3752" s="2387" t="s">
        <v>3712</v>
      </c>
      <c r="J3752" s="2387" t="s">
        <v>3713</v>
      </c>
      <c r="K3752" s="2388" t="s">
        <v>2775</v>
      </c>
      <c r="L3752" s="355" t="s">
        <v>6176</v>
      </c>
      <c r="M3752" s="291"/>
      <c r="S3752" s="364"/>
      <c r="Z3752" s="609" t="s">
        <v>3943</v>
      </c>
      <c r="AA3752" s="609" t="s">
        <v>5679</v>
      </c>
    </row>
    <row r="3753" spans="1:27" ht="18">
      <c r="A3753" s="2714"/>
      <c r="B3753" s="371">
        <v>101</v>
      </c>
      <c r="C3753" s="371"/>
      <c r="D3753" s="2716">
        <f t="shared" ref="D3753:D3761" si="427">IF(OR(G3753="*",G3753="",G3753=0),0,COUNTIF($G$3753:$G$3761,G3753))</f>
        <v>1</v>
      </c>
      <c r="E3753" s="2721" t="s">
        <v>41</v>
      </c>
      <c r="F3753" s="294"/>
      <c r="G3753" s="308" t="s">
        <v>3954</v>
      </c>
      <c r="H3753" s="309"/>
      <c r="I3753" s="309"/>
      <c r="J3753" s="309"/>
      <c r="K3753" s="346"/>
      <c r="L3753" s="579"/>
      <c r="M3753" s="291"/>
      <c r="S3753" s="364"/>
      <c r="Z3753" s="609" t="s">
        <v>3943</v>
      </c>
      <c r="AA3753" s="609" t="s">
        <v>5679</v>
      </c>
    </row>
    <row r="3754" spans="1:27" ht="18">
      <c r="A3754" s="2714"/>
      <c r="B3754" s="371">
        <v>102</v>
      </c>
      <c r="C3754" s="371" t="s">
        <v>2791</v>
      </c>
      <c r="D3754" s="2716">
        <f t="shared" si="427"/>
        <v>1</v>
      </c>
      <c r="E3754" s="2721">
        <v>1</v>
      </c>
      <c r="F3754" s="294"/>
      <c r="G3754" s="578" t="s">
        <v>3955</v>
      </c>
      <c r="H3754" s="309"/>
      <c r="I3754" s="309"/>
      <c r="J3754" s="309"/>
      <c r="K3754" s="346"/>
      <c r="M3754" s="291"/>
      <c r="S3754" s="364"/>
      <c r="Z3754" s="609" t="s">
        <v>3943</v>
      </c>
      <c r="AA3754" s="609" t="s">
        <v>5679</v>
      </c>
    </row>
    <row r="3755" spans="1:27" ht="18">
      <c r="A3755" s="2714"/>
      <c r="B3755" s="371">
        <v>103</v>
      </c>
      <c r="C3755" s="371" t="s">
        <v>2791</v>
      </c>
      <c r="D3755" s="2716">
        <f t="shared" si="427"/>
        <v>1</v>
      </c>
      <c r="E3755" s="2721">
        <v>1</v>
      </c>
      <c r="F3755" s="294"/>
      <c r="G3755" s="578" t="s">
        <v>3956</v>
      </c>
      <c r="H3755" s="309"/>
      <c r="I3755" s="309"/>
      <c r="J3755" s="309"/>
      <c r="K3755" s="346"/>
      <c r="M3755" s="291"/>
      <c r="S3755" s="364"/>
      <c r="Z3755" s="609" t="s">
        <v>3943</v>
      </c>
      <c r="AA3755" s="609" t="s">
        <v>5679</v>
      </c>
    </row>
    <row r="3756" spans="1:27" ht="18">
      <c r="A3756" s="2714"/>
      <c r="B3756" s="371">
        <v>104</v>
      </c>
      <c r="C3756" s="371" t="s">
        <v>2791</v>
      </c>
      <c r="D3756" s="2716">
        <f t="shared" si="427"/>
        <v>1</v>
      </c>
      <c r="E3756" s="2721">
        <v>1</v>
      </c>
      <c r="F3756" s="294"/>
      <c r="G3756" s="578" t="s">
        <v>3957</v>
      </c>
      <c r="H3756" s="309"/>
      <c r="I3756" s="309"/>
      <c r="J3756" s="309"/>
      <c r="K3756" s="346"/>
      <c r="M3756" s="291"/>
      <c r="S3756" s="364"/>
      <c r="Z3756" s="609" t="s">
        <v>3943</v>
      </c>
      <c r="AA3756" s="609" t="s">
        <v>5679</v>
      </c>
    </row>
    <row r="3757" spans="1:27" ht="18">
      <c r="A3757" s="2714"/>
      <c r="B3757" s="371">
        <v>105</v>
      </c>
      <c r="C3757" s="371" t="s">
        <v>2791</v>
      </c>
      <c r="D3757" s="2716">
        <f t="shared" si="427"/>
        <v>1</v>
      </c>
      <c r="E3757" s="2721">
        <v>1</v>
      </c>
      <c r="F3757" s="294"/>
      <c r="G3757" s="578" t="s">
        <v>3958</v>
      </c>
      <c r="H3757" s="309"/>
      <c r="I3757" s="309"/>
      <c r="J3757" s="309"/>
      <c r="K3757" s="346"/>
      <c r="M3757" s="291"/>
      <c r="S3757" s="364"/>
      <c r="Z3757" s="609" t="s">
        <v>3943</v>
      </c>
      <c r="AA3757" s="609" t="s">
        <v>5679</v>
      </c>
    </row>
    <row r="3758" spans="1:27" ht="18">
      <c r="A3758" s="2714"/>
      <c r="B3758" s="371">
        <v>106</v>
      </c>
      <c r="C3758" s="371" t="s">
        <v>2791</v>
      </c>
      <c r="D3758" s="2716">
        <f t="shared" si="427"/>
        <v>0</v>
      </c>
      <c r="E3758" s="2721">
        <v>1</v>
      </c>
      <c r="F3758" s="294"/>
      <c r="G3758" s="319" t="s">
        <v>2792</v>
      </c>
      <c r="H3758" s="309"/>
      <c r="I3758" s="309"/>
      <c r="J3758" s="309"/>
      <c r="K3758" s="346"/>
      <c r="M3758" s="291"/>
      <c r="S3758" s="364"/>
      <c r="Z3758" s="609" t="s">
        <v>3943</v>
      </c>
      <c r="AA3758" s="609" t="s">
        <v>5679</v>
      </c>
    </row>
    <row r="3759" spans="1:27" ht="18">
      <c r="A3759" s="2714"/>
      <c r="B3759" s="371">
        <v>107</v>
      </c>
      <c r="C3759" s="371" t="s">
        <v>2791</v>
      </c>
      <c r="D3759" s="2716">
        <f t="shared" si="427"/>
        <v>0</v>
      </c>
      <c r="E3759" s="2721">
        <v>1</v>
      </c>
      <c r="F3759" s="294"/>
      <c r="G3759" s="319" t="s">
        <v>2792</v>
      </c>
      <c r="H3759" s="309"/>
      <c r="I3759" s="309"/>
      <c r="J3759" s="309"/>
      <c r="K3759" s="346"/>
      <c r="M3759" s="291"/>
      <c r="S3759" s="364"/>
      <c r="Z3759" s="609" t="s">
        <v>3943</v>
      </c>
      <c r="AA3759" s="609" t="s">
        <v>5679</v>
      </c>
    </row>
    <row r="3760" spans="1:27" ht="18">
      <c r="A3760" s="2714"/>
      <c r="B3760" s="371">
        <v>108</v>
      </c>
      <c r="C3760" s="371" t="s">
        <v>2791</v>
      </c>
      <c r="D3760" s="2716">
        <f t="shared" si="427"/>
        <v>0</v>
      </c>
      <c r="E3760" s="2721">
        <v>1</v>
      </c>
      <c r="F3760" s="294"/>
      <c r="G3760" s="319" t="s">
        <v>2792</v>
      </c>
      <c r="H3760" s="309"/>
      <c r="I3760" s="309"/>
      <c r="J3760" s="309"/>
      <c r="K3760" s="346"/>
      <c r="M3760" s="291"/>
      <c r="S3760" s="364"/>
      <c r="Z3760" s="609" t="s">
        <v>3943</v>
      </c>
      <c r="AA3760" s="609" t="s">
        <v>5679</v>
      </c>
    </row>
    <row r="3761" spans="1:27" ht="18.75" thickBot="1">
      <c r="A3761" s="2714"/>
      <c r="B3761" s="371"/>
      <c r="C3761" s="371"/>
      <c r="D3761" s="2716">
        <f t="shared" si="427"/>
        <v>1</v>
      </c>
      <c r="E3761" s="2721" t="s">
        <v>2751</v>
      </c>
      <c r="F3761" s="294"/>
      <c r="G3761" s="1529" t="s">
        <v>2752</v>
      </c>
      <c r="H3761" s="2391">
        <f>SUMPRODUCT($E3752:$E3760,H3752:H3760)</f>
        <v>0</v>
      </c>
      <c r="I3761" s="2391">
        <f>SUMPRODUCT($E3752:$E3760,I3752:I3760)</f>
        <v>0</v>
      </c>
      <c r="J3761" s="2391">
        <f>SUMPRODUCT($E3752:$E3760,J3752:J3760)</f>
        <v>0</v>
      </c>
      <c r="K3761" s="2399">
        <f>SUMPRODUCT($E3752:$E3760,K3752:K3760)</f>
        <v>0</v>
      </c>
      <c r="M3761" s="291"/>
      <c r="S3761" s="364"/>
      <c r="Z3761" s="609" t="s">
        <v>3943</v>
      </c>
      <c r="AA3761" s="609" t="s">
        <v>5679</v>
      </c>
    </row>
    <row r="3762" spans="1:27" ht="18">
      <c r="A3762" s="2714"/>
      <c r="B3762" s="371"/>
      <c r="C3762" s="371" t="s">
        <v>2755</v>
      </c>
      <c r="D3762" s="371"/>
      <c r="F3762" s="294"/>
      <c r="G3762" s="301"/>
      <c r="H3762" s="315"/>
      <c r="I3762" s="315"/>
      <c r="J3762" s="315"/>
      <c r="K3762" s="315"/>
      <c r="L3762" s="291"/>
      <c r="M3762" s="291"/>
      <c r="S3762" s="364"/>
      <c r="Z3762" s="609" t="s">
        <v>3943</v>
      </c>
      <c r="AA3762" s="609" t="s">
        <v>5679</v>
      </c>
    </row>
    <row r="3763" spans="1:27" ht="24">
      <c r="A3763" s="2715">
        <v>2246</v>
      </c>
      <c r="B3763" s="371">
        <v>42</v>
      </c>
      <c r="C3763" s="2716" t="str">
        <f>VLOOKUP($A3763,Sheet_Items,2,0)</f>
        <v>其他应付款（报表项目）</v>
      </c>
      <c r="D3763" s="371"/>
      <c r="E3763" s="2716" t="s">
        <v>2739</v>
      </c>
      <c r="F3763" s="371"/>
      <c r="G3763" s="305" t="str">
        <f>B3763&amp;" "&amp;C3763</f>
        <v>42 其他应付款（报表项目）</v>
      </c>
      <c r="H3763" s="306"/>
      <c r="I3763" s="306"/>
      <c r="J3763" s="306" t="s">
        <v>2740</v>
      </c>
      <c r="K3763" s="341">
        <f>VLOOKUP($A3763,Sheet_Trialbal,6,0)</f>
        <v>1096090.05</v>
      </c>
      <c r="L3763" s="342"/>
      <c r="M3763" s="306" t="s">
        <v>2741</v>
      </c>
      <c r="N3763" s="341">
        <f>VLOOKUP($A3763,Sheet_Trialbal,10,0)</f>
        <v>2070907</v>
      </c>
      <c r="O3763" s="342"/>
      <c r="P3763" s="301"/>
      <c r="S3763" s="364"/>
      <c r="Z3763" s="609" t="s">
        <v>3959</v>
      </c>
      <c r="AA3763" s="609" t="s">
        <v>19</v>
      </c>
    </row>
    <row r="3764" spans="1:27" ht="18">
      <c r="A3764" s="2714" t="s">
        <v>1594</v>
      </c>
      <c r="B3764" s="371">
        <v>1</v>
      </c>
      <c r="C3764" s="371"/>
      <c r="D3764" s="2716" t="str">
        <f>VLOOKUP($A3764,Sheet_NoteList,2,0)</f>
        <v>其他应付款分类列示</v>
      </c>
      <c r="E3764" s="2716" t="s">
        <v>2742</v>
      </c>
      <c r="F3764" s="371"/>
      <c r="G3764" s="372" t="str">
        <f>"("&amp;B3764&amp;")"&amp;D3764</f>
        <v>(1)其他应付款分类列示</v>
      </c>
      <c r="H3764" s="1517" t="str">
        <f>$A3764</f>
        <v>2246a</v>
      </c>
      <c r="I3764" s="343" t="s">
        <v>2743</v>
      </c>
      <c r="J3764" s="301" t="s">
        <v>2744</v>
      </c>
      <c r="K3764" s="2210">
        <f>H3771</f>
        <v>1096090.05</v>
      </c>
      <c r="L3764" s="349"/>
      <c r="M3764" s="301" t="s">
        <v>2745</v>
      </c>
      <c r="N3764" s="2210">
        <f>I3771</f>
        <v>2070907</v>
      </c>
      <c r="O3764" s="349"/>
      <c r="P3764" s="301"/>
      <c r="S3764" s="364"/>
      <c r="Z3764" s="609" t="s">
        <v>3959</v>
      </c>
      <c r="AA3764" s="609" t="s">
        <v>19</v>
      </c>
    </row>
    <row r="3765" spans="1:27" ht="0.75" customHeight="1" thickBot="1">
      <c r="A3765" s="2714"/>
      <c r="B3765" s="371"/>
      <c r="C3765" s="371"/>
      <c r="D3765" s="2716"/>
      <c r="F3765" s="371"/>
      <c r="G3765" s="405" t="s">
        <v>3960</v>
      </c>
      <c r="H3765" s="371" t="s">
        <v>2747</v>
      </c>
      <c r="I3765" s="371" t="s">
        <v>2748</v>
      </c>
      <c r="J3765" s="301"/>
      <c r="K3765" s="391"/>
      <c r="L3765" s="349"/>
      <c r="M3765" s="301"/>
      <c r="N3765" s="391"/>
      <c r="O3765" s="349"/>
      <c r="P3765" s="301"/>
      <c r="S3765" s="364"/>
      <c r="Z3765" s="609" t="s">
        <v>3959</v>
      </c>
      <c r="AA3765" s="609" t="s">
        <v>19</v>
      </c>
    </row>
    <row r="3766" spans="1:27" ht="18.75" thickTop="1">
      <c r="A3766" s="2714"/>
      <c r="B3766" s="371"/>
      <c r="C3766" s="371"/>
      <c r="D3766" s="2716"/>
      <c r="E3766" s="2716" t="s">
        <v>2749</v>
      </c>
      <c r="F3766" s="371"/>
      <c r="G3766" s="373" t="s">
        <v>47</v>
      </c>
      <c r="H3766" s="1454" t="str">
        <f>$V$2</f>
        <v>2019年12月31日</v>
      </c>
      <c r="I3766" s="1455" t="str">
        <f>$V$3</f>
        <v>2018年12月31日</v>
      </c>
      <c r="J3766" s="355" t="s">
        <v>5307</v>
      </c>
      <c r="K3766" s="1584" t="str">
        <f>""&amp;"&gt;本期:"&amp;""</f>
        <v>&gt;本期:</v>
      </c>
      <c r="L3766" s="1584" t="str">
        <f>""&amp;"&gt;上期:"&amp;""</f>
        <v>&gt;上期:</v>
      </c>
      <c r="M3766" s="2658" t="str">
        <f>""&amp;"NoteID"&amp;""</f>
        <v>NoteID</v>
      </c>
      <c r="N3766" s="391"/>
      <c r="O3766" s="349"/>
      <c r="P3766" s="301"/>
      <c r="S3766" s="364"/>
      <c r="Z3766" s="609" t="s">
        <v>3959</v>
      </c>
      <c r="AA3766" s="609" t="s">
        <v>19</v>
      </c>
    </row>
    <row r="3767" spans="1:27" ht="18">
      <c r="A3767" s="2714"/>
      <c r="B3767" s="371">
        <v>101</v>
      </c>
      <c r="C3767" s="371"/>
      <c r="D3767" s="2716">
        <f t="shared" ref="D3767:D3771" si="428">IF(OR(G3767="*",G3767="",G3767=0),0,COUNTIF($G$3767:$G$3771,G3767))</f>
        <v>1</v>
      </c>
      <c r="E3767" s="2721">
        <v>1</v>
      </c>
      <c r="F3767" s="371"/>
      <c r="G3767" s="308" t="s">
        <v>499</v>
      </c>
      <c r="H3767" s="309"/>
      <c r="I3767" s="394"/>
      <c r="J3767" s="301"/>
      <c r="K3767" s="2252">
        <f ca="1">HYPERLINK("#'"&amp;$G$1&amp;"'!"&amp;ADDRESS(ROW(Notes!H3792),COLUMN(Notes!H3792),4),H3792-H3767)</f>
        <v>0</v>
      </c>
      <c r="L3767" s="2252">
        <f ca="1">HYPERLINK("#'"&amp;$G$1&amp;"'!"&amp;ADDRESS(ROW(Notes!I3792),COLUMN(Notes!I3792),4),I3792-I3767)</f>
        <v>0</v>
      </c>
      <c r="M3767" s="2665" t="str">
        <f>H3774</f>
        <v>2231a</v>
      </c>
      <c r="N3767" s="391"/>
      <c r="O3767" s="349"/>
      <c r="P3767" s="301"/>
      <c r="S3767" s="364"/>
      <c r="Z3767" s="609" t="s">
        <v>3959</v>
      </c>
      <c r="AA3767" s="609" t="s">
        <v>19</v>
      </c>
    </row>
    <row r="3768" spans="1:27" ht="18">
      <c r="A3768" s="2714"/>
      <c r="B3768" s="371">
        <v>102</v>
      </c>
      <c r="C3768" s="371"/>
      <c r="D3768" s="2716">
        <f t="shared" si="428"/>
        <v>1</v>
      </c>
      <c r="E3768" s="2721">
        <v>1</v>
      </c>
      <c r="F3768" s="371"/>
      <c r="G3768" s="308" t="s">
        <v>507</v>
      </c>
      <c r="H3768" s="309"/>
      <c r="I3768" s="394"/>
      <c r="J3768" s="301"/>
      <c r="K3768" s="2252">
        <f ca="1">HYPERLINK("#'"&amp;$G$1&amp;"'!"&amp;ADDRESS(ROW(Notes!H3820),COLUMN(Notes!H3820),4),H3820-H3768)</f>
        <v>0</v>
      </c>
      <c r="L3768" s="2252">
        <f ca="1">HYPERLINK("#'"&amp;$G$1&amp;"'!"&amp;ADDRESS(ROW(Notes!I3820),COLUMN(Notes!I3820),4),I3820-I3768)</f>
        <v>0</v>
      </c>
      <c r="M3768" s="2665" t="str">
        <f>H3805</f>
        <v>2232a</v>
      </c>
      <c r="N3768" s="391"/>
      <c r="O3768" s="349"/>
      <c r="P3768" s="301"/>
      <c r="S3768" s="364"/>
      <c r="Z3768" s="609" t="s">
        <v>3959</v>
      </c>
      <c r="AA3768" s="609" t="s">
        <v>19</v>
      </c>
    </row>
    <row r="3769" spans="1:27" ht="18">
      <c r="A3769" s="2714"/>
      <c r="B3769" s="371">
        <v>103</v>
      </c>
      <c r="C3769" s="371"/>
      <c r="D3769" s="2716">
        <f t="shared" si="428"/>
        <v>1</v>
      </c>
      <c r="E3769" s="2721">
        <v>1</v>
      </c>
      <c r="F3769" s="371"/>
      <c r="G3769" s="308" t="s">
        <v>513</v>
      </c>
      <c r="H3769" s="309">
        <f>H3841</f>
        <v>1096090.05</v>
      </c>
      <c r="I3769" s="394">
        <f>I3841</f>
        <v>2070907</v>
      </c>
      <c r="J3769" s="301"/>
      <c r="K3769" s="2252">
        <f ca="1">HYPERLINK("#'"&amp;$G$1&amp;"'!"&amp;ADDRESS(ROW(Notes!H3841),COLUMN(Notes!H3841),4),H3841-H3769)</f>
        <v>0</v>
      </c>
      <c r="L3769" s="2252">
        <f ca="1">HYPERLINK("#'"&amp;$G$1&amp;"'!"&amp;ADDRESS(ROW(Notes!I3841),COLUMN(Notes!I3841),4),I3841-I3769)</f>
        <v>0</v>
      </c>
      <c r="M3769" s="2665" t="str">
        <f>H3833</f>
        <v>2241e</v>
      </c>
      <c r="N3769" s="391"/>
      <c r="O3769" s="349"/>
      <c r="P3769" s="301"/>
      <c r="S3769" s="364"/>
      <c r="Z3769" s="609" t="s">
        <v>3959</v>
      </c>
      <c r="AA3769" s="609" t="s">
        <v>19</v>
      </c>
    </row>
    <row r="3770" spans="1:27" ht="18">
      <c r="A3770" s="2714"/>
      <c r="B3770" s="371">
        <v>104</v>
      </c>
      <c r="C3770" s="371" t="s">
        <v>2791</v>
      </c>
      <c r="D3770" s="2716">
        <f t="shared" si="428"/>
        <v>0</v>
      </c>
      <c r="E3770" s="2721">
        <v>1</v>
      </c>
      <c r="F3770" s="371"/>
      <c r="G3770" s="2568" t="s">
        <v>2792</v>
      </c>
      <c r="H3770" s="309"/>
      <c r="I3770" s="394"/>
      <c r="J3770" s="301"/>
      <c r="K3770" s="456"/>
      <c r="L3770" s="456"/>
      <c r="M3770" s="2666"/>
      <c r="N3770" s="391"/>
      <c r="O3770" s="349"/>
      <c r="P3770" s="301"/>
      <c r="S3770" s="364"/>
      <c r="Z3770" s="609" t="s">
        <v>3959</v>
      </c>
      <c r="AA3770" s="609" t="s">
        <v>19</v>
      </c>
    </row>
    <row r="3771" spans="1:27" ht="18.75" thickBot="1">
      <c r="A3771" s="2714"/>
      <c r="B3771" s="371"/>
      <c r="C3771" s="371"/>
      <c r="D3771" s="2716">
        <f t="shared" si="428"/>
        <v>1</v>
      </c>
      <c r="E3771" s="2721" t="s">
        <v>2751</v>
      </c>
      <c r="F3771" s="371"/>
      <c r="G3771" s="374" t="s">
        <v>2752</v>
      </c>
      <c r="H3771" s="1478">
        <f>SUMPRODUCT($E3766:$E3770,H3766:H3770)</f>
        <v>1096090.05</v>
      </c>
      <c r="I3771" s="1479">
        <f>SUMPRODUCT($E3766:$E3770,I3766:I3770)</f>
        <v>2070907</v>
      </c>
      <c r="J3771" s="301"/>
      <c r="K3771" s="1531">
        <f t="shared" ref="K3771:L3771" ca="1" si="429">SUM(K3767:K3770)</f>
        <v>0</v>
      </c>
      <c r="L3771" s="1531">
        <f t="shared" ca="1" si="429"/>
        <v>0</v>
      </c>
      <c r="M3771" s="2667"/>
      <c r="N3771" s="391"/>
      <c r="O3771" s="349"/>
      <c r="P3771" s="301"/>
      <c r="S3771" s="364"/>
      <c r="Z3771" s="609" t="s">
        <v>3959</v>
      </c>
      <c r="AA3771" s="609" t="s">
        <v>19</v>
      </c>
    </row>
    <row r="3772" spans="1:27" ht="18">
      <c r="A3772" s="2714"/>
      <c r="B3772" s="371"/>
      <c r="C3772" s="371" t="s">
        <v>2755</v>
      </c>
      <c r="D3772" s="2716"/>
      <c r="F3772" s="371"/>
      <c r="G3772" s="376"/>
      <c r="H3772" s="315"/>
      <c r="I3772" s="396"/>
      <c r="J3772" s="301"/>
      <c r="K3772" s="1539" t="s">
        <v>5495</v>
      </c>
      <c r="L3772" s="317"/>
      <c r="M3772" s="354"/>
      <c r="N3772" s="391"/>
      <c r="O3772" s="349"/>
      <c r="P3772" s="301"/>
      <c r="S3772" s="364"/>
      <c r="Z3772" s="609" t="s">
        <v>3959</v>
      </c>
      <c r="AA3772" s="609" t="s">
        <v>19</v>
      </c>
    </row>
    <row r="3773" spans="1:27" ht="18">
      <c r="A3773" s="2714">
        <v>2231</v>
      </c>
      <c r="B3773" s="371">
        <v>42.1</v>
      </c>
      <c r="C3773" s="2716" t="str">
        <f>VLOOKUP($A3773,Sheet_Items,2,0)</f>
        <v>应付利息</v>
      </c>
      <c r="D3773" s="371"/>
      <c r="E3773" s="2716" t="s">
        <v>2739</v>
      </c>
      <c r="F3773" s="294"/>
      <c r="G3773" s="305" t="str">
        <f>B3773&amp;" "&amp;C3773</f>
        <v>42.1 应付利息</v>
      </c>
      <c r="H3773" s="306"/>
      <c r="I3773" s="306"/>
      <c r="J3773" s="306" t="s">
        <v>2740</v>
      </c>
      <c r="K3773" s="341">
        <f>VLOOKUP($A3773,Sheet_Trialbal,6,0)</f>
        <v>0</v>
      </c>
      <c r="L3773" s="342"/>
      <c r="M3773" s="306" t="s">
        <v>2741</v>
      </c>
      <c r="N3773" s="341">
        <f>VLOOKUP($A3773,Sheet_Trialbal,10,0)</f>
        <v>0</v>
      </c>
      <c r="O3773" s="306"/>
      <c r="P3773" s="301"/>
      <c r="S3773" s="364"/>
      <c r="Z3773" s="609" t="s">
        <v>3961</v>
      </c>
      <c r="AA3773" s="609" t="s">
        <v>5680</v>
      </c>
    </row>
    <row r="3774" spans="1:27" ht="18">
      <c r="A3774" s="2714" t="s">
        <v>1538</v>
      </c>
      <c r="B3774" s="371">
        <v>1</v>
      </c>
      <c r="C3774" s="371"/>
      <c r="D3774" s="2716" t="str">
        <f>VLOOKUP($A3774,Sheet_NoteList,2,0)</f>
        <v>应付利息明细项目</v>
      </c>
      <c r="E3774" s="2716" t="s">
        <v>2742</v>
      </c>
      <c r="F3774" s="294"/>
      <c r="G3774" s="307" t="str">
        <f>"("&amp;B3774&amp;")"&amp;D3774</f>
        <v>(1)应付利息明细项目</v>
      </c>
      <c r="H3774" s="1517" t="str">
        <f>$A3774</f>
        <v>2231a</v>
      </c>
      <c r="I3774" s="343" t="s">
        <v>2743</v>
      </c>
      <c r="J3774" s="301" t="s">
        <v>2744</v>
      </c>
      <c r="K3774" s="2210">
        <f>H3792</f>
        <v>0</v>
      </c>
      <c r="L3774" s="345" t="str">
        <f>IF($I3774="适用",IF(ROUND(K3773-K3774,2)=0,"F/S",ROUND(K3773-K3774,2)),"#N/A")</f>
        <v>F/S</v>
      </c>
      <c r="M3774" s="301" t="s">
        <v>2745</v>
      </c>
      <c r="N3774" s="2210">
        <f>I3792</f>
        <v>0</v>
      </c>
      <c r="O3774" s="345" t="str">
        <f>IF($I3774="适用",IF(ROUND(N3773-N3774,2)=0,"F/S",ROUND(N3773-N3774,2)),"#N/A")</f>
        <v>F/S</v>
      </c>
      <c r="P3774" s="301"/>
      <c r="Q3774" s="290" t="str">
        <f>IF($I3774="不适用","",IF(ROUND(SUM($H$3777:$I$3792),2)=0,"请输入",""))</f>
        <v>请输入</v>
      </c>
      <c r="S3774" s="364"/>
      <c r="Z3774" s="609" t="s">
        <v>3961</v>
      </c>
      <c r="AA3774" s="609" t="s">
        <v>5680</v>
      </c>
    </row>
    <row r="3775" spans="1:27" ht="0.75" customHeight="1" thickBot="1">
      <c r="A3775" s="2714"/>
      <c r="B3775" s="371"/>
      <c r="C3775" s="371"/>
      <c r="D3775" s="371"/>
      <c r="F3775" s="371"/>
      <c r="G3775" s="371" t="s">
        <v>3962</v>
      </c>
      <c r="H3775" s="371" t="s">
        <v>2747</v>
      </c>
      <c r="I3775" s="371" t="s">
        <v>2748</v>
      </c>
      <c r="J3775" s="291"/>
      <c r="K3775" s="291"/>
      <c r="L3775" s="291"/>
      <c r="M3775" s="291"/>
      <c r="S3775" s="364"/>
      <c r="Z3775" s="609" t="s">
        <v>3961</v>
      </c>
      <c r="AA3775" s="609" t="s">
        <v>5680</v>
      </c>
    </row>
    <row r="3776" spans="1:27" ht="18">
      <c r="A3776" s="2714"/>
      <c r="B3776" s="371"/>
      <c r="C3776" s="371"/>
      <c r="D3776" s="371"/>
      <c r="E3776" s="2716" t="s">
        <v>2749</v>
      </c>
      <c r="F3776" s="294"/>
      <c r="G3776" s="1490" t="s">
        <v>47</v>
      </c>
      <c r="H3776" s="1454" t="str">
        <f>$V$2</f>
        <v>2019年12月31日</v>
      </c>
      <c r="I3776" s="1455" t="str">
        <f>$V$3</f>
        <v>2018年12月31日</v>
      </c>
      <c r="J3776" s="355" t="s">
        <v>5307</v>
      </c>
      <c r="K3776" s="291"/>
      <c r="L3776" s="291"/>
      <c r="M3776" s="291"/>
      <c r="S3776" s="364"/>
      <c r="Z3776" s="609" t="s">
        <v>3961</v>
      </c>
      <c r="AA3776" s="609" t="s">
        <v>5680</v>
      </c>
    </row>
    <row r="3777" spans="1:29" ht="24">
      <c r="A3777" s="2714"/>
      <c r="B3777" s="371">
        <v>101</v>
      </c>
      <c r="C3777" s="371"/>
      <c r="D3777" s="2716">
        <f t="shared" ref="D3777:D3792" si="430">IF(OR(G3777="*",G3777="",G3777=0),0,COUNTIF($G$3777:$G$3792,G3777))</f>
        <v>1</v>
      </c>
      <c r="E3777" s="2721">
        <v>1</v>
      </c>
      <c r="F3777" s="294"/>
      <c r="G3777" s="308" t="s">
        <v>3963</v>
      </c>
      <c r="H3777" s="309"/>
      <c r="I3777" s="346"/>
      <c r="J3777" s="291"/>
      <c r="K3777" s="291"/>
      <c r="L3777" s="291"/>
      <c r="M3777" s="291"/>
      <c r="S3777" s="364"/>
      <c r="Z3777" s="609" t="s">
        <v>3961</v>
      </c>
      <c r="AA3777" s="609" t="s">
        <v>5680</v>
      </c>
    </row>
    <row r="3778" spans="1:29" ht="18">
      <c r="A3778" s="2714"/>
      <c r="B3778" s="371">
        <v>102</v>
      </c>
      <c r="C3778" s="371"/>
      <c r="D3778" s="2716">
        <f t="shared" si="430"/>
        <v>1</v>
      </c>
      <c r="E3778" s="2721">
        <v>1</v>
      </c>
      <c r="F3778" s="294"/>
      <c r="G3778" s="308" t="s">
        <v>3964</v>
      </c>
      <c r="H3778" s="309"/>
      <c r="I3778" s="346"/>
      <c r="J3778" s="291"/>
      <c r="K3778" s="291"/>
      <c r="L3778" s="291"/>
      <c r="M3778" s="291"/>
      <c r="S3778" s="364"/>
      <c r="Z3778" s="609" t="s">
        <v>3961</v>
      </c>
      <c r="AA3778" s="609" t="s">
        <v>5680</v>
      </c>
    </row>
    <row r="3779" spans="1:29" ht="18">
      <c r="A3779" s="2714"/>
      <c r="B3779" s="371">
        <v>103</v>
      </c>
      <c r="C3779" s="371"/>
      <c r="D3779" s="2716">
        <f t="shared" si="430"/>
        <v>1</v>
      </c>
      <c r="E3779" s="2721">
        <v>1</v>
      </c>
      <c r="F3779" s="294"/>
      <c r="G3779" s="308" t="s">
        <v>3965</v>
      </c>
      <c r="H3779" s="309"/>
      <c r="I3779" s="346"/>
      <c r="J3779" s="291"/>
      <c r="K3779" s="291"/>
      <c r="L3779" s="291"/>
      <c r="M3779" s="291"/>
      <c r="S3779" s="364"/>
      <c r="Z3779" s="609" t="s">
        <v>3961</v>
      </c>
      <c r="AA3779" s="609" t="s">
        <v>5680</v>
      </c>
    </row>
    <row r="3780" spans="1:29" ht="18">
      <c r="A3780" s="2714"/>
      <c r="B3780" s="371">
        <v>104</v>
      </c>
      <c r="C3780" s="371"/>
      <c r="D3780" s="2716">
        <f t="shared" si="430"/>
        <v>1</v>
      </c>
      <c r="E3780" s="2721" t="s">
        <v>6534</v>
      </c>
      <c r="F3780" s="294"/>
      <c r="G3780" s="308" t="s">
        <v>5219</v>
      </c>
      <c r="H3780" s="309"/>
      <c r="I3780" s="346"/>
      <c r="J3780" s="291"/>
      <c r="K3780" s="291"/>
      <c r="L3780" s="291"/>
      <c r="M3780" s="291"/>
      <c r="S3780" s="364"/>
      <c r="Z3780" s="609" t="s">
        <v>3961</v>
      </c>
      <c r="AA3780" s="609" t="s">
        <v>5680</v>
      </c>
    </row>
    <row r="3781" spans="1:29" ht="18">
      <c r="A3781" s="2714"/>
      <c r="B3781" s="371">
        <v>104.001</v>
      </c>
      <c r="C3781" s="371" t="s">
        <v>2791</v>
      </c>
      <c r="D3781" s="2716">
        <f t="shared" si="430"/>
        <v>1</v>
      </c>
      <c r="E3781" s="2721" t="s">
        <v>5220</v>
      </c>
      <c r="F3781" s="294"/>
      <c r="G3781" s="1489" t="s">
        <v>5225</v>
      </c>
      <c r="H3781" s="309"/>
      <c r="I3781" s="346"/>
      <c r="J3781" s="355" t="s">
        <v>6073</v>
      </c>
      <c r="K3781" s="291"/>
      <c r="L3781" s="291"/>
      <c r="M3781" s="291"/>
      <c r="S3781" s="364"/>
      <c r="Z3781" s="609" t="s">
        <v>3961</v>
      </c>
      <c r="AA3781" s="609" t="s">
        <v>5680</v>
      </c>
    </row>
    <row r="3782" spans="1:29" ht="18">
      <c r="A3782" s="2714"/>
      <c r="B3782" s="371">
        <v>104.002</v>
      </c>
      <c r="C3782" s="371" t="s">
        <v>2791</v>
      </c>
      <c r="D3782" s="2716">
        <f t="shared" si="430"/>
        <v>0</v>
      </c>
      <c r="E3782" s="2721" t="s">
        <v>5220</v>
      </c>
      <c r="F3782" s="294"/>
      <c r="G3782" s="1489" t="s">
        <v>5235</v>
      </c>
      <c r="H3782" s="309"/>
      <c r="I3782" s="346"/>
      <c r="J3782" s="291"/>
      <c r="K3782" s="291"/>
      <c r="L3782" s="291"/>
      <c r="M3782" s="291"/>
      <c r="S3782" s="364"/>
      <c r="Z3782" s="609" t="s">
        <v>3961</v>
      </c>
      <c r="AA3782" s="609" t="s">
        <v>5680</v>
      </c>
    </row>
    <row r="3783" spans="1:29" ht="18">
      <c r="A3783" s="2714"/>
      <c r="B3783" s="371">
        <v>104.003</v>
      </c>
      <c r="C3783" s="371" t="s">
        <v>2791</v>
      </c>
      <c r="D3783" s="2716">
        <f t="shared" si="430"/>
        <v>0</v>
      </c>
      <c r="E3783" s="2721" t="s">
        <v>5220</v>
      </c>
      <c r="F3783" s="294"/>
      <c r="G3783" s="1489" t="s">
        <v>2792</v>
      </c>
      <c r="H3783" s="309"/>
      <c r="I3783" s="346"/>
      <c r="J3783" s="291"/>
      <c r="K3783" s="291"/>
      <c r="L3783" s="291"/>
      <c r="M3783" s="291"/>
      <c r="S3783" s="364"/>
      <c r="Z3783" s="609" t="s">
        <v>3961</v>
      </c>
      <c r="AA3783" s="609" t="s">
        <v>5680</v>
      </c>
    </row>
    <row r="3784" spans="1:29" ht="24">
      <c r="A3784" s="2714"/>
      <c r="B3784" s="371">
        <v>104.999</v>
      </c>
      <c r="C3784" s="371" t="s">
        <v>2793</v>
      </c>
      <c r="D3784" s="2716">
        <f t="shared" si="430"/>
        <v>1</v>
      </c>
      <c r="E3784" s="2721">
        <v>1</v>
      </c>
      <c r="F3784" s="294"/>
      <c r="G3784" s="308" t="s">
        <v>5221</v>
      </c>
      <c r="H3784" s="1476">
        <f>SUMIF($E$3776:$E$3791,$G3784,H$3776:H$3791)</f>
        <v>0</v>
      </c>
      <c r="I3784" s="1477">
        <f>SUMIF($E$3776:$E$3791,$G3784,I$3776:I$3791)</f>
        <v>0</v>
      </c>
      <c r="J3784" s="291"/>
      <c r="K3784" s="291"/>
      <c r="L3784" s="291"/>
      <c r="M3784" s="291"/>
      <c r="S3784" s="364"/>
      <c r="Z3784" s="609" t="s">
        <v>3961</v>
      </c>
      <c r="AA3784" s="609" t="s">
        <v>5680</v>
      </c>
    </row>
    <row r="3785" spans="1:29" ht="18">
      <c r="A3785" s="2714"/>
      <c r="B3785" s="371">
        <v>105</v>
      </c>
      <c r="C3785" s="371"/>
      <c r="D3785" s="2716">
        <f t="shared" si="430"/>
        <v>1</v>
      </c>
      <c r="E3785" s="2721" t="s">
        <v>41</v>
      </c>
      <c r="F3785" s="294"/>
      <c r="G3785" s="308" t="s">
        <v>5222</v>
      </c>
      <c r="H3785" s="309"/>
      <c r="I3785" s="346"/>
      <c r="J3785" s="291"/>
      <c r="K3785" s="291"/>
      <c r="L3785" s="291"/>
      <c r="M3785" s="291"/>
      <c r="S3785" s="364"/>
      <c r="Z3785" s="609" t="s">
        <v>3961</v>
      </c>
      <c r="AA3785" s="609" t="s">
        <v>5680</v>
      </c>
    </row>
    <row r="3786" spans="1:29" ht="18">
      <c r="A3786" s="2714"/>
      <c r="B3786" s="371">
        <v>105.001</v>
      </c>
      <c r="C3786" s="371" t="s">
        <v>2791</v>
      </c>
      <c r="D3786" s="2716">
        <f t="shared" si="430"/>
        <v>1</v>
      </c>
      <c r="E3786" s="2721" t="s">
        <v>5223</v>
      </c>
      <c r="F3786" s="294"/>
      <c r="G3786" s="1489" t="s">
        <v>5236</v>
      </c>
      <c r="H3786" s="309"/>
      <c r="I3786" s="346"/>
      <c r="J3786" s="355" t="s">
        <v>6073</v>
      </c>
      <c r="K3786" s="291"/>
      <c r="L3786" s="291"/>
      <c r="M3786" s="291"/>
      <c r="S3786" s="364"/>
      <c r="Z3786" s="609" t="s">
        <v>3961</v>
      </c>
      <c r="AA3786" s="609" t="s">
        <v>5680</v>
      </c>
    </row>
    <row r="3787" spans="1:29" ht="18">
      <c r="A3787" s="2714"/>
      <c r="B3787" s="371">
        <v>105.002</v>
      </c>
      <c r="C3787" s="371" t="s">
        <v>2791</v>
      </c>
      <c r="D3787" s="2716">
        <f t="shared" si="430"/>
        <v>0</v>
      </c>
      <c r="E3787" s="2721" t="s">
        <v>5223</v>
      </c>
      <c r="F3787" s="294"/>
      <c r="G3787" s="1489" t="s">
        <v>5226</v>
      </c>
      <c r="H3787" s="309"/>
      <c r="I3787" s="346"/>
      <c r="J3787" s="291"/>
      <c r="K3787" s="291"/>
      <c r="L3787" s="291"/>
      <c r="M3787" s="291"/>
      <c r="S3787" s="364"/>
      <c r="Z3787" s="609" t="s">
        <v>3961</v>
      </c>
      <c r="AA3787" s="609" t="s">
        <v>5680</v>
      </c>
    </row>
    <row r="3788" spans="1:29" ht="18">
      <c r="A3788" s="2714"/>
      <c r="B3788" s="371">
        <v>105.003</v>
      </c>
      <c r="C3788" s="371" t="s">
        <v>6532</v>
      </c>
      <c r="D3788" s="2716">
        <f t="shared" si="430"/>
        <v>0</v>
      </c>
      <c r="E3788" s="2721" t="s">
        <v>5223</v>
      </c>
      <c r="F3788" s="294"/>
      <c r="G3788" s="1489" t="s">
        <v>2792</v>
      </c>
      <c r="H3788" s="309"/>
      <c r="I3788" s="346"/>
      <c r="J3788" s="291"/>
      <c r="K3788" s="291"/>
      <c r="L3788" s="291"/>
      <c r="M3788" s="291"/>
      <c r="S3788" s="364"/>
      <c r="Z3788" s="609" t="s">
        <v>3961</v>
      </c>
      <c r="AA3788" s="609" t="s">
        <v>5680</v>
      </c>
    </row>
    <row r="3789" spans="1:29" ht="24">
      <c r="A3789" s="2714"/>
      <c r="B3789" s="371">
        <v>105.999</v>
      </c>
      <c r="C3789" s="371" t="s">
        <v>6562</v>
      </c>
      <c r="D3789" s="2716">
        <f t="shared" si="430"/>
        <v>1</v>
      </c>
      <c r="E3789" s="2721">
        <v>1</v>
      </c>
      <c r="F3789" s="294"/>
      <c r="G3789" s="308" t="s">
        <v>5224</v>
      </c>
      <c r="H3789" s="1476">
        <f>SUMIF($E$3776:$E$3791,$G3789,H$3776:H$3791)</f>
        <v>0</v>
      </c>
      <c r="I3789" s="1477">
        <f>SUMIF($E$3776:$E$3791,$G3789,I$3776:I$3791)</f>
        <v>0</v>
      </c>
      <c r="J3789" s="291"/>
      <c r="K3789" s="291"/>
      <c r="L3789" s="291"/>
      <c r="M3789" s="291"/>
      <c r="S3789" s="364"/>
      <c r="Z3789" s="609" t="s">
        <v>3961</v>
      </c>
      <c r="AA3789" s="609" t="s">
        <v>5680</v>
      </c>
    </row>
    <row r="3790" spans="1:29" ht="18">
      <c r="A3790" s="2714"/>
      <c r="B3790" s="371">
        <v>106</v>
      </c>
      <c r="C3790" s="371" t="s">
        <v>2791</v>
      </c>
      <c r="D3790" s="2716">
        <f t="shared" si="430"/>
        <v>0</v>
      </c>
      <c r="E3790" s="2721">
        <v>1</v>
      </c>
      <c r="F3790" s="294"/>
      <c r="G3790" s="1489" t="s">
        <v>2792</v>
      </c>
      <c r="H3790" s="309"/>
      <c r="I3790" s="346"/>
      <c r="J3790" s="291"/>
      <c r="K3790" s="291"/>
      <c r="L3790" s="291"/>
      <c r="M3790" s="291"/>
      <c r="S3790" s="364"/>
      <c r="Z3790" s="609" t="s">
        <v>3961</v>
      </c>
      <c r="AA3790" s="609" t="s">
        <v>5680</v>
      </c>
    </row>
    <row r="3791" spans="1:29" ht="18">
      <c r="A3791" s="2714"/>
      <c r="B3791" s="371">
        <v>107</v>
      </c>
      <c r="C3791" s="371" t="s">
        <v>2791</v>
      </c>
      <c r="D3791" s="2716">
        <f t="shared" si="430"/>
        <v>0</v>
      </c>
      <c r="E3791" s="2721">
        <v>1</v>
      </c>
      <c r="F3791" s="294"/>
      <c r="G3791" s="1489" t="s">
        <v>2792</v>
      </c>
      <c r="H3791" s="309"/>
      <c r="I3791" s="346"/>
      <c r="J3791" s="291"/>
      <c r="K3791" s="291"/>
      <c r="L3791" s="291"/>
      <c r="M3791" s="291"/>
      <c r="S3791" s="364"/>
      <c r="Z3791" s="609" t="s">
        <v>3961</v>
      </c>
      <c r="AA3791" s="609" t="s">
        <v>5680</v>
      </c>
    </row>
    <row r="3792" spans="1:29" ht="18.75" thickBot="1">
      <c r="A3792" s="2714"/>
      <c r="B3792" s="371"/>
      <c r="C3792" s="371"/>
      <c r="D3792" s="2716">
        <f t="shared" si="430"/>
        <v>1</v>
      </c>
      <c r="E3792" s="2721" t="s">
        <v>2751</v>
      </c>
      <c r="F3792" s="294"/>
      <c r="G3792" s="374" t="s">
        <v>2752</v>
      </c>
      <c r="H3792" s="1478">
        <f>SUMPRODUCT($E3776:$E3791,H3776:H3791)</f>
        <v>0</v>
      </c>
      <c r="I3792" s="1479">
        <f>SUMPRODUCT($E3776:$E3791,I3776:I3791)</f>
        <v>0</v>
      </c>
      <c r="J3792" s="1533" t="str">
        <f ca="1">HYPERLINK("#'"&amp;$G$1&amp;"'!"&amp;ADDRESS(ROW(Notes!K3767),COLUMN(Notes!K3767),4),"* 请勿删除此行！点击往勾稽单元格，F5+Enter返回")</f>
        <v>* 请勿删除此行！点击往勾稽单元格，F5+Enter返回</v>
      </c>
      <c r="K3792" s="291"/>
      <c r="L3792" s="291"/>
      <c r="M3792" s="291"/>
      <c r="S3792" s="364"/>
      <c r="Z3792" s="609" t="s">
        <v>3961</v>
      </c>
      <c r="AA3792" s="609" t="s">
        <v>5680</v>
      </c>
      <c r="AC3792" s="369" t="s">
        <v>6573</v>
      </c>
    </row>
    <row r="3793" spans="1:27" ht="18">
      <c r="A3793" s="2714"/>
      <c r="B3793" s="371"/>
      <c r="C3793" s="371" t="s">
        <v>2755</v>
      </c>
      <c r="D3793" s="371"/>
      <c r="F3793" s="294"/>
      <c r="G3793" s="301"/>
      <c r="H3793" s="315"/>
      <c r="I3793" s="315"/>
      <c r="J3793" s="291"/>
      <c r="K3793" s="291"/>
      <c r="L3793" s="291"/>
      <c r="M3793" s="291"/>
      <c r="S3793" s="364"/>
      <c r="Z3793" s="609" t="s">
        <v>3961</v>
      </c>
      <c r="AA3793" s="609" t="s">
        <v>5680</v>
      </c>
    </row>
    <row r="3794" spans="1:27" ht="24">
      <c r="A3794" s="2714" t="s">
        <v>1543</v>
      </c>
      <c r="B3794" s="371">
        <v>2</v>
      </c>
      <c r="C3794" s="371"/>
      <c r="D3794" s="2716" t="str">
        <f>VLOOKUP($A3794,Sheet_NoteList,2,0)</f>
        <v>期末重要的已逾期未支付的利息情况</v>
      </c>
      <c r="E3794" s="2716" t="s">
        <v>2742</v>
      </c>
      <c r="F3794" s="294"/>
      <c r="G3794" s="372" t="str">
        <f>"("&amp;B3794&amp;")"&amp;D3794</f>
        <v>(2)期末重要的已逾期未支付的利息情况</v>
      </c>
      <c r="H3794" s="1517" t="str">
        <f>$A3794</f>
        <v>2231b</v>
      </c>
      <c r="I3794" s="343" t="s">
        <v>2743</v>
      </c>
      <c r="J3794" s="301"/>
      <c r="K3794" s="391"/>
      <c r="L3794" s="345"/>
      <c r="M3794" s="301"/>
      <c r="N3794" s="391"/>
      <c r="O3794" s="345"/>
      <c r="P3794" s="301"/>
      <c r="Q3794" s="290" t="str">
        <f>IF($I3794="不适用","",IF(ROUND(SUM($H$3797:$I$3802),2)=0,"请输入",""))</f>
        <v>请输入</v>
      </c>
      <c r="S3794" s="364"/>
      <c r="Z3794" s="609" t="s">
        <v>3961</v>
      </c>
      <c r="AA3794" s="609" t="s">
        <v>5680</v>
      </c>
    </row>
    <row r="3795" spans="1:27" ht="0.75" customHeight="1" thickBot="1">
      <c r="A3795" s="2714"/>
      <c r="B3795" s="371"/>
      <c r="C3795" s="371"/>
      <c r="D3795" s="371"/>
      <c r="E3795" s="586"/>
      <c r="F3795" s="518"/>
      <c r="G3795" s="518" t="s">
        <v>3966</v>
      </c>
      <c r="H3795" s="304" t="s">
        <v>2747</v>
      </c>
      <c r="I3795" s="304" t="s">
        <v>3967</v>
      </c>
      <c r="J3795" s="291"/>
      <c r="K3795" s="291"/>
      <c r="L3795" s="291"/>
      <c r="M3795" s="291"/>
      <c r="S3795" s="364"/>
      <c r="Z3795" s="609" t="s">
        <v>3961</v>
      </c>
      <c r="AA3795" s="609" t="s">
        <v>5680</v>
      </c>
    </row>
    <row r="3796" spans="1:27" ht="24">
      <c r="A3796" s="2714"/>
      <c r="B3796" s="371"/>
      <c r="C3796" s="371"/>
      <c r="D3796" s="371"/>
      <c r="E3796" s="586" t="s">
        <v>2749</v>
      </c>
      <c r="F3796" s="363"/>
      <c r="G3796" s="2362" t="s">
        <v>1545</v>
      </c>
      <c r="H3796" s="2368" t="s">
        <v>3968</v>
      </c>
      <c r="I3796" s="2373" t="s">
        <v>3130</v>
      </c>
      <c r="J3796" s="355" t="s">
        <v>5307</v>
      </c>
      <c r="K3796" s="291"/>
      <c r="L3796" s="291"/>
      <c r="M3796" s="291"/>
      <c r="S3796" s="364"/>
      <c r="Z3796" s="609" t="s">
        <v>3961</v>
      </c>
      <c r="AA3796" s="609" t="s">
        <v>5680</v>
      </c>
    </row>
    <row r="3797" spans="1:27" ht="18">
      <c r="A3797" s="2714"/>
      <c r="B3797" s="371">
        <v>101</v>
      </c>
      <c r="C3797" s="371" t="s">
        <v>2791</v>
      </c>
      <c r="D3797" s="2716">
        <f t="shared" ref="D3797:D3802" si="431">IF(OR(G3797="*",G3797="",G3797=0),0,COUNTIF($G$3797:$G$3802,G3797))</f>
        <v>0</v>
      </c>
      <c r="E3797" s="2721">
        <v>1</v>
      </c>
      <c r="F3797" s="294"/>
      <c r="G3797" s="2375" t="s">
        <v>2792</v>
      </c>
      <c r="H3797" s="2275"/>
      <c r="I3797" s="2276"/>
      <c r="J3797" s="291"/>
      <c r="K3797" s="291"/>
      <c r="L3797" s="291"/>
      <c r="M3797" s="291"/>
      <c r="S3797" s="364"/>
      <c r="Z3797" s="609" t="s">
        <v>3961</v>
      </c>
      <c r="AA3797" s="609" t="s">
        <v>5680</v>
      </c>
    </row>
    <row r="3798" spans="1:27" ht="18">
      <c r="A3798" s="2714"/>
      <c r="B3798" s="371">
        <v>102</v>
      </c>
      <c r="C3798" s="371" t="s">
        <v>2791</v>
      </c>
      <c r="D3798" s="2716">
        <f t="shared" si="431"/>
        <v>0</v>
      </c>
      <c r="E3798" s="2721">
        <v>1</v>
      </c>
      <c r="F3798" s="294"/>
      <c r="G3798" s="2375" t="s">
        <v>2792</v>
      </c>
      <c r="H3798" s="2275"/>
      <c r="I3798" s="2276"/>
      <c r="J3798" s="291"/>
      <c r="K3798" s="291"/>
      <c r="L3798" s="291"/>
      <c r="M3798" s="291"/>
      <c r="S3798" s="364"/>
      <c r="Z3798" s="609" t="s">
        <v>3961</v>
      </c>
      <c r="AA3798" s="609" t="s">
        <v>5680</v>
      </c>
    </row>
    <row r="3799" spans="1:27" ht="18">
      <c r="A3799" s="2714"/>
      <c r="B3799" s="371">
        <v>103</v>
      </c>
      <c r="C3799" s="371" t="s">
        <v>2791</v>
      </c>
      <c r="D3799" s="2716">
        <f t="shared" si="431"/>
        <v>0</v>
      </c>
      <c r="E3799" s="2721">
        <v>1</v>
      </c>
      <c r="F3799" s="294"/>
      <c r="G3799" s="2375" t="s">
        <v>2792</v>
      </c>
      <c r="H3799" s="2275"/>
      <c r="I3799" s="2276"/>
      <c r="J3799" s="291"/>
      <c r="K3799" s="291"/>
      <c r="L3799" s="291"/>
      <c r="M3799" s="291"/>
      <c r="S3799" s="364"/>
      <c r="Z3799" s="609" t="s">
        <v>3961</v>
      </c>
      <c r="AA3799" s="609" t="s">
        <v>5680</v>
      </c>
    </row>
    <row r="3800" spans="1:27" ht="18">
      <c r="A3800" s="2714"/>
      <c r="B3800" s="371">
        <v>104</v>
      </c>
      <c r="C3800" s="371" t="s">
        <v>2791</v>
      </c>
      <c r="D3800" s="2716">
        <f t="shared" si="431"/>
        <v>0</v>
      </c>
      <c r="E3800" s="2721">
        <v>1</v>
      </c>
      <c r="F3800" s="294"/>
      <c r="G3800" s="2375" t="s">
        <v>2792</v>
      </c>
      <c r="H3800" s="2275"/>
      <c r="I3800" s="2276"/>
      <c r="J3800" s="291"/>
      <c r="K3800" s="291"/>
      <c r="L3800" s="291"/>
      <c r="M3800" s="291"/>
      <c r="S3800" s="364"/>
      <c r="Z3800" s="609" t="s">
        <v>3961</v>
      </c>
      <c r="AA3800" s="609" t="s">
        <v>5680</v>
      </c>
    </row>
    <row r="3801" spans="1:27" ht="18">
      <c r="A3801" s="2714"/>
      <c r="B3801" s="371">
        <v>105</v>
      </c>
      <c r="C3801" s="371" t="s">
        <v>2791</v>
      </c>
      <c r="D3801" s="2716">
        <f t="shared" si="431"/>
        <v>0</v>
      </c>
      <c r="E3801" s="2721">
        <v>1</v>
      </c>
      <c r="F3801" s="294"/>
      <c r="G3801" s="2375" t="s">
        <v>2792</v>
      </c>
      <c r="H3801" s="2275"/>
      <c r="I3801" s="2276"/>
      <c r="J3801" s="291"/>
      <c r="K3801" s="291"/>
      <c r="L3801" s="291"/>
      <c r="M3801" s="291"/>
      <c r="S3801" s="364"/>
      <c r="Z3801" s="609" t="s">
        <v>3961</v>
      </c>
      <c r="AA3801" s="609" t="s">
        <v>5680</v>
      </c>
    </row>
    <row r="3802" spans="1:27" ht="18.75" thickBot="1">
      <c r="A3802" s="2714"/>
      <c r="B3802" s="371"/>
      <c r="C3802" s="371"/>
      <c r="D3802" s="2716">
        <f t="shared" si="431"/>
        <v>1</v>
      </c>
      <c r="E3802" s="2721" t="s">
        <v>2751</v>
      </c>
      <c r="F3802" s="294"/>
      <c r="G3802" s="374" t="s">
        <v>2752</v>
      </c>
      <c r="H3802" s="1478">
        <f>SUMPRODUCT($E3796:$E3801,H3796:H3801)</f>
        <v>0</v>
      </c>
      <c r="I3802" s="2260"/>
      <c r="J3802" s="291"/>
      <c r="K3802" s="291"/>
      <c r="L3802" s="291"/>
      <c r="M3802" s="291"/>
      <c r="S3802" s="364"/>
      <c r="Z3802" s="609" t="s">
        <v>3961</v>
      </c>
      <c r="AA3802" s="609" t="s">
        <v>5680</v>
      </c>
    </row>
    <row r="3803" spans="1:27" ht="18">
      <c r="A3803" s="2714"/>
      <c r="B3803" s="371"/>
      <c r="C3803" s="371" t="s">
        <v>2755</v>
      </c>
      <c r="D3803" s="371"/>
      <c r="F3803" s="294"/>
      <c r="G3803" s="301"/>
      <c r="H3803" s="315"/>
      <c r="I3803" s="393"/>
      <c r="J3803" s="291"/>
      <c r="K3803" s="291"/>
      <c r="L3803" s="291"/>
      <c r="M3803" s="291"/>
      <c r="S3803" s="364"/>
      <c r="Z3803" s="609" t="s">
        <v>3961</v>
      </c>
      <c r="AA3803" s="609" t="s">
        <v>5680</v>
      </c>
    </row>
    <row r="3804" spans="1:27" ht="18">
      <c r="A3804" s="2714">
        <v>2232</v>
      </c>
      <c r="B3804" s="371">
        <v>42.2</v>
      </c>
      <c r="C3804" s="2716" t="str">
        <f>VLOOKUP($A3804,Sheet_Items,2,0)</f>
        <v>应付股利</v>
      </c>
      <c r="D3804" s="371"/>
      <c r="E3804" s="2716" t="s">
        <v>2739</v>
      </c>
      <c r="F3804" s="294"/>
      <c r="G3804" s="305" t="str">
        <f>B3804&amp;" "&amp;C3804</f>
        <v>42.2 应付股利</v>
      </c>
      <c r="H3804" s="306"/>
      <c r="I3804" s="306"/>
      <c r="J3804" s="306" t="s">
        <v>2740</v>
      </c>
      <c r="K3804" s="341">
        <f>VLOOKUP($A3804,Sheet_Trialbal,6,0)</f>
        <v>0</v>
      </c>
      <c r="L3804" s="342"/>
      <c r="M3804" s="306" t="s">
        <v>2741</v>
      </c>
      <c r="N3804" s="341">
        <f>VLOOKUP($A3804,Sheet_Trialbal,10,0)</f>
        <v>0</v>
      </c>
      <c r="O3804" s="306"/>
      <c r="P3804" s="301"/>
      <c r="S3804" s="364"/>
      <c r="Z3804" s="609" t="s">
        <v>3969</v>
      </c>
      <c r="AA3804" s="609" t="s">
        <v>5681</v>
      </c>
    </row>
    <row r="3805" spans="1:27" ht="18">
      <c r="A3805" s="2714" t="s">
        <v>1549</v>
      </c>
      <c r="B3805" s="371">
        <v>1</v>
      </c>
      <c r="C3805" s="371"/>
      <c r="D3805" s="2716" t="str">
        <f>VLOOKUP($A3805,Sheet_NoteList,2,0)</f>
        <v>应付股利明细项目</v>
      </c>
      <c r="E3805" s="2716" t="s">
        <v>2742</v>
      </c>
      <c r="F3805" s="294"/>
      <c r="G3805" s="307" t="str">
        <f>"("&amp;B3805&amp;")"&amp;D3805</f>
        <v>(1)应付股利明细项目</v>
      </c>
      <c r="H3805" s="1517" t="str">
        <f>$A3805</f>
        <v>2232a</v>
      </c>
      <c r="I3805" s="343" t="s">
        <v>2743</v>
      </c>
      <c r="J3805" s="301" t="s">
        <v>2744</v>
      </c>
      <c r="K3805" s="2210">
        <f>H3820</f>
        <v>0</v>
      </c>
      <c r="L3805" s="345" t="str">
        <f>IF($I3805="适用",IF(ROUND(K3804-K3805,2)=0,"F/S",ROUND(K3804-K3805,2)),"#N/A")</f>
        <v>F/S</v>
      </c>
      <c r="M3805" s="301" t="s">
        <v>2745</v>
      </c>
      <c r="N3805" s="2210">
        <f>I3820</f>
        <v>0</v>
      </c>
      <c r="O3805" s="345" t="str">
        <f>IF($I3805="适用",IF(ROUND(N3804-N3805,2)=0,"F/S",ROUND(N3804-N3805,2)),"#N/A")</f>
        <v>F/S</v>
      </c>
      <c r="P3805" s="301"/>
      <c r="Q3805" s="290" t="str">
        <f>IF($I3805="不适用","",IF(ROUND(SUM($H$3808:$I$3820),2)=0,"请输入",""))</f>
        <v>请输入</v>
      </c>
      <c r="S3805" s="364"/>
      <c r="Z3805" s="609" t="s">
        <v>3969</v>
      </c>
      <c r="AA3805" s="609" t="s">
        <v>5681</v>
      </c>
    </row>
    <row r="3806" spans="1:27" ht="0.75" customHeight="1" thickBot="1">
      <c r="A3806" s="2714"/>
      <c r="B3806" s="371"/>
      <c r="C3806" s="371"/>
      <c r="D3806" s="371"/>
      <c r="F3806" s="304"/>
      <c r="G3806" s="304" t="s">
        <v>3970</v>
      </c>
      <c r="H3806" s="304" t="s">
        <v>2747</v>
      </c>
      <c r="I3806" s="304" t="s">
        <v>2748</v>
      </c>
      <c r="J3806" s="291"/>
      <c r="K3806" s="291"/>
      <c r="L3806" s="291"/>
      <c r="M3806" s="291"/>
      <c r="N3806" s="291"/>
      <c r="S3806" s="364"/>
      <c r="Z3806" s="609" t="s">
        <v>3969</v>
      </c>
      <c r="AA3806" s="609" t="s">
        <v>5681</v>
      </c>
    </row>
    <row r="3807" spans="1:27" ht="18">
      <c r="A3807" s="2714"/>
      <c r="B3807" s="371"/>
      <c r="C3807" s="371"/>
      <c r="D3807" s="371"/>
      <c r="E3807" s="2716" t="s">
        <v>2749</v>
      </c>
      <c r="F3807" s="294"/>
      <c r="G3807" s="1516" t="s">
        <v>5358</v>
      </c>
      <c r="H3807" s="1454" t="str">
        <f>$V$2</f>
        <v>2019年12月31日</v>
      </c>
      <c r="I3807" s="1455" t="str">
        <f>$V$3</f>
        <v>2018年12月31日</v>
      </c>
      <c r="J3807" s="355" t="s">
        <v>5307</v>
      </c>
      <c r="K3807" s="291"/>
      <c r="L3807" s="291"/>
      <c r="M3807" s="291"/>
      <c r="N3807" s="291"/>
      <c r="S3807" s="364"/>
      <c r="Z3807" s="609" t="s">
        <v>3969</v>
      </c>
      <c r="AA3807" s="609" t="s">
        <v>5681</v>
      </c>
    </row>
    <row r="3808" spans="1:27" ht="18">
      <c r="A3808" s="2714"/>
      <c r="B3808" s="371">
        <v>101</v>
      </c>
      <c r="C3808" s="371"/>
      <c r="D3808" s="2716">
        <f t="shared" ref="D3808:D3820" si="432">IF(OR(G3808="*",G3808="",G3808=0),0,COUNTIF($G$3808:$G$3820,G3808))</f>
        <v>1</v>
      </c>
      <c r="E3808" s="2721">
        <v>1</v>
      </c>
      <c r="F3808" s="294"/>
      <c r="G3808" s="308" t="s">
        <v>3971</v>
      </c>
      <c r="H3808" s="309"/>
      <c r="I3808" s="346"/>
      <c r="J3808" s="291"/>
      <c r="K3808" s="291"/>
      <c r="L3808" s="291"/>
      <c r="M3808" s="291"/>
      <c r="N3808" s="291"/>
      <c r="S3808" s="364"/>
      <c r="Z3808" s="609" t="s">
        <v>3969</v>
      </c>
      <c r="AA3808" s="609" t="s">
        <v>5681</v>
      </c>
    </row>
    <row r="3809" spans="1:29" ht="18">
      <c r="A3809" s="2714"/>
      <c r="B3809" s="371">
        <v>102</v>
      </c>
      <c r="C3809" s="371"/>
      <c r="D3809" s="2716">
        <f t="shared" si="432"/>
        <v>1</v>
      </c>
      <c r="E3809" s="2721" t="s">
        <v>41</v>
      </c>
      <c r="F3809" s="294"/>
      <c r="G3809" s="308" t="s">
        <v>5227</v>
      </c>
      <c r="H3809" s="309"/>
      <c r="I3809" s="346"/>
      <c r="J3809" s="291"/>
      <c r="K3809" s="291"/>
      <c r="L3809" s="291"/>
      <c r="M3809" s="291"/>
      <c r="N3809" s="291"/>
      <c r="S3809" s="364"/>
      <c r="Z3809" s="609" t="s">
        <v>3969</v>
      </c>
      <c r="AA3809" s="609" t="s">
        <v>5681</v>
      </c>
    </row>
    <row r="3810" spans="1:29" ht="18">
      <c r="A3810" s="2714"/>
      <c r="B3810" s="371">
        <v>102.001</v>
      </c>
      <c r="C3810" s="371" t="s">
        <v>2791</v>
      </c>
      <c r="D3810" s="2716">
        <f t="shared" si="432"/>
        <v>1</v>
      </c>
      <c r="E3810" s="2721" t="s">
        <v>5229</v>
      </c>
      <c r="F3810" s="294"/>
      <c r="G3810" s="1489" t="s">
        <v>5228</v>
      </c>
      <c r="H3810" s="309"/>
      <c r="I3810" s="346"/>
      <c r="J3810" s="291"/>
      <c r="K3810" s="291"/>
      <c r="L3810" s="291"/>
      <c r="M3810" s="291"/>
      <c r="N3810" s="291"/>
      <c r="S3810" s="364"/>
      <c r="Z3810" s="609" t="s">
        <v>3969</v>
      </c>
      <c r="AA3810" s="609" t="s">
        <v>5681</v>
      </c>
    </row>
    <row r="3811" spans="1:29" ht="18">
      <c r="A3811" s="2714"/>
      <c r="B3811" s="371">
        <v>102.002</v>
      </c>
      <c r="C3811" s="371" t="s">
        <v>2791</v>
      </c>
      <c r="D3811" s="2716">
        <f t="shared" si="432"/>
        <v>0</v>
      </c>
      <c r="E3811" s="2721" t="s">
        <v>5229</v>
      </c>
      <c r="F3811" s="294"/>
      <c r="G3811" s="1489" t="s">
        <v>5226</v>
      </c>
      <c r="H3811" s="309"/>
      <c r="I3811" s="346"/>
      <c r="J3811" s="291"/>
      <c r="K3811" s="291"/>
      <c r="L3811" s="291"/>
      <c r="M3811" s="291"/>
      <c r="N3811" s="291"/>
      <c r="S3811" s="364"/>
      <c r="Z3811" s="609" t="s">
        <v>3969</v>
      </c>
      <c r="AA3811" s="609" t="s">
        <v>5681</v>
      </c>
    </row>
    <row r="3812" spans="1:29" ht="18">
      <c r="A3812" s="2714"/>
      <c r="B3812" s="371">
        <v>102.003</v>
      </c>
      <c r="C3812" s="371" t="s">
        <v>2791</v>
      </c>
      <c r="D3812" s="2716">
        <f t="shared" si="432"/>
        <v>0</v>
      </c>
      <c r="E3812" s="2721" t="s">
        <v>5229</v>
      </c>
      <c r="F3812" s="294"/>
      <c r="G3812" s="1489" t="s">
        <v>2792</v>
      </c>
      <c r="H3812" s="309"/>
      <c r="I3812" s="346"/>
      <c r="J3812" s="291"/>
      <c r="K3812" s="291"/>
      <c r="L3812" s="291"/>
      <c r="M3812" s="291"/>
      <c r="N3812" s="291"/>
      <c r="S3812" s="364"/>
      <c r="Z3812" s="609" t="s">
        <v>3969</v>
      </c>
      <c r="AA3812" s="609" t="s">
        <v>5681</v>
      </c>
    </row>
    <row r="3813" spans="1:29" ht="24">
      <c r="A3813" s="2714"/>
      <c r="B3813" s="371">
        <v>102.999</v>
      </c>
      <c r="C3813" s="371" t="s">
        <v>2793</v>
      </c>
      <c r="D3813" s="2716">
        <f t="shared" si="432"/>
        <v>1</v>
      </c>
      <c r="E3813" s="2721">
        <v>1</v>
      </c>
      <c r="F3813" s="294"/>
      <c r="G3813" s="308" t="s">
        <v>5230</v>
      </c>
      <c r="H3813" s="1476">
        <f>SUMIF($E$3807:$E$3819,$G3813,H$3807:H$3819)</f>
        <v>0</v>
      </c>
      <c r="I3813" s="1477">
        <f>SUMIF($E$3807:$E$3819,$G3813,I$3807:I$3819)</f>
        <v>0</v>
      </c>
      <c r="J3813" s="291"/>
      <c r="K3813" s="291"/>
      <c r="L3813" s="291"/>
      <c r="M3813" s="291"/>
      <c r="N3813" s="291"/>
      <c r="S3813" s="364"/>
      <c r="Z3813" s="609" t="s">
        <v>3969</v>
      </c>
      <c r="AA3813" s="609" t="s">
        <v>5681</v>
      </c>
    </row>
    <row r="3814" spans="1:29" ht="18">
      <c r="A3814" s="2714"/>
      <c r="B3814" s="371">
        <v>103</v>
      </c>
      <c r="C3814" s="371"/>
      <c r="D3814" s="2716">
        <f t="shared" si="432"/>
        <v>1</v>
      </c>
      <c r="E3814" s="2721" t="s">
        <v>41</v>
      </c>
      <c r="F3814" s="294"/>
      <c r="G3814" s="308" t="s">
        <v>5231</v>
      </c>
      <c r="H3814" s="309"/>
      <c r="I3814" s="346"/>
      <c r="J3814" s="291"/>
      <c r="K3814" s="291"/>
      <c r="L3814" s="291"/>
      <c r="M3814" s="291"/>
      <c r="N3814" s="291"/>
      <c r="S3814" s="364"/>
      <c r="Z3814" s="609" t="s">
        <v>3969</v>
      </c>
      <c r="AA3814" s="609" t="s">
        <v>5681</v>
      </c>
    </row>
    <row r="3815" spans="1:29" ht="18">
      <c r="A3815" s="2714"/>
      <c r="B3815" s="371">
        <v>103.001</v>
      </c>
      <c r="C3815" s="371" t="s">
        <v>2791</v>
      </c>
      <c r="D3815" s="2716">
        <f t="shared" si="432"/>
        <v>1</v>
      </c>
      <c r="E3815" s="2721" t="s">
        <v>5233</v>
      </c>
      <c r="F3815" s="294"/>
      <c r="G3815" s="1489" t="s">
        <v>5232</v>
      </c>
      <c r="H3815" s="309"/>
      <c r="I3815" s="346"/>
      <c r="J3815" s="291"/>
      <c r="K3815" s="291"/>
      <c r="L3815" s="291"/>
      <c r="M3815" s="291"/>
      <c r="N3815" s="291"/>
      <c r="S3815" s="364"/>
      <c r="Z3815" s="609" t="s">
        <v>3969</v>
      </c>
      <c r="AA3815" s="609" t="s">
        <v>5681</v>
      </c>
    </row>
    <row r="3816" spans="1:29" ht="18">
      <c r="A3816" s="2714"/>
      <c r="B3816" s="371">
        <v>103.002</v>
      </c>
      <c r="C3816" s="371" t="s">
        <v>2791</v>
      </c>
      <c r="D3816" s="2716">
        <f t="shared" si="432"/>
        <v>0</v>
      </c>
      <c r="E3816" s="2721" t="s">
        <v>5233</v>
      </c>
      <c r="F3816" s="294"/>
      <c r="G3816" s="1489" t="s">
        <v>5226</v>
      </c>
      <c r="H3816" s="309"/>
      <c r="I3816" s="346"/>
      <c r="J3816" s="291"/>
      <c r="K3816" s="291"/>
      <c r="L3816" s="291"/>
      <c r="M3816" s="291"/>
      <c r="N3816" s="291"/>
      <c r="S3816" s="364"/>
      <c r="Z3816" s="609" t="s">
        <v>3969</v>
      </c>
      <c r="AA3816" s="609" t="s">
        <v>5681</v>
      </c>
    </row>
    <row r="3817" spans="1:29" ht="18">
      <c r="A3817" s="2714"/>
      <c r="B3817" s="371">
        <v>103.003</v>
      </c>
      <c r="C3817" s="371" t="s">
        <v>6532</v>
      </c>
      <c r="D3817" s="2716">
        <f t="shared" si="432"/>
        <v>0</v>
      </c>
      <c r="E3817" s="2721" t="s">
        <v>5233</v>
      </c>
      <c r="F3817" s="294"/>
      <c r="G3817" s="1489" t="s">
        <v>2792</v>
      </c>
      <c r="H3817" s="309"/>
      <c r="I3817" s="346"/>
      <c r="J3817" s="291"/>
      <c r="K3817" s="291"/>
      <c r="L3817" s="291"/>
      <c r="M3817" s="291"/>
      <c r="N3817" s="291"/>
      <c r="S3817" s="364"/>
      <c r="Z3817" s="609" t="s">
        <v>3969</v>
      </c>
      <c r="AA3817" s="609" t="s">
        <v>5681</v>
      </c>
    </row>
    <row r="3818" spans="1:29" ht="24">
      <c r="A3818" s="2714"/>
      <c r="B3818" s="371">
        <v>103.999</v>
      </c>
      <c r="C3818" s="371" t="s">
        <v>2793</v>
      </c>
      <c r="D3818" s="2716">
        <f t="shared" si="432"/>
        <v>1</v>
      </c>
      <c r="E3818" s="2721">
        <v>1</v>
      </c>
      <c r="F3818" s="294"/>
      <c r="G3818" s="308" t="s">
        <v>5234</v>
      </c>
      <c r="H3818" s="1476">
        <f>SUMIF($E$3807:$E$3819,$G3818,H$3807:H$3819)</f>
        <v>0</v>
      </c>
      <c r="I3818" s="1477">
        <f>SUMIF($E$3807:$E$3819,$G3818,I$3807:I$3819)</f>
        <v>0</v>
      </c>
      <c r="J3818" s="291"/>
      <c r="K3818" s="291"/>
      <c r="L3818" s="291"/>
      <c r="M3818" s="291"/>
      <c r="N3818" s="291"/>
      <c r="S3818" s="364"/>
      <c r="Z3818" s="609" t="s">
        <v>3969</v>
      </c>
      <c r="AA3818" s="609" t="s">
        <v>5681</v>
      </c>
    </row>
    <row r="3819" spans="1:29" ht="18">
      <c r="A3819" s="2714"/>
      <c r="B3819" s="371">
        <v>104</v>
      </c>
      <c r="C3819" s="371" t="s">
        <v>2791</v>
      </c>
      <c r="D3819" s="2716">
        <f t="shared" si="432"/>
        <v>0</v>
      </c>
      <c r="E3819" s="2721">
        <v>1</v>
      </c>
      <c r="F3819" s="294"/>
      <c r="G3819" s="1489" t="s">
        <v>2792</v>
      </c>
      <c r="H3819" s="309"/>
      <c r="I3819" s="346"/>
      <c r="J3819" s="291"/>
      <c r="K3819" s="291"/>
      <c r="L3819" s="291"/>
      <c r="M3819" s="291"/>
      <c r="N3819" s="291"/>
      <c r="S3819" s="364"/>
      <c r="Z3819" s="609" t="s">
        <v>3969</v>
      </c>
      <c r="AA3819" s="609" t="s">
        <v>5681</v>
      </c>
    </row>
    <row r="3820" spans="1:29" ht="18.75" thickBot="1">
      <c r="A3820" s="2714"/>
      <c r="B3820" s="371"/>
      <c r="C3820" s="371"/>
      <c r="D3820" s="2716">
        <f t="shared" si="432"/>
        <v>1</v>
      </c>
      <c r="E3820" s="2721" t="s">
        <v>2751</v>
      </c>
      <c r="F3820" s="294"/>
      <c r="G3820" s="374" t="s">
        <v>5357</v>
      </c>
      <c r="H3820" s="1478">
        <f>SUMPRODUCT($E3807:$E3819,H3807:H3819)</f>
        <v>0</v>
      </c>
      <c r="I3820" s="1479">
        <f>SUMPRODUCT($E3807:$E3819,I3807:I3819)</f>
        <v>0</v>
      </c>
      <c r="J3820" s="1533" t="str">
        <f ca="1">HYPERLINK("#'"&amp;$G$1&amp;"'!"&amp;ADDRESS(ROW(Notes!K3768),COLUMN(Notes!K3768),4),"* 请勿删除此行！点击往勾稽单元格，F5+Enter返回")</f>
        <v>* 请勿删除此行！点击往勾稽单元格，F5+Enter返回</v>
      </c>
      <c r="K3820" s="291"/>
      <c r="L3820" s="291"/>
      <c r="M3820" s="291"/>
      <c r="N3820" s="291"/>
      <c r="S3820" s="364"/>
      <c r="Z3820" s="609" t="s">
        <v>3969</v>
      </c>
      <c r="AA3820" s="609" t="s">
        <v>5681</v>
      </c>
      <c r="AC3820" s="369" t="s">
        <v>6573</v>
      </c>
    </row>
    <row r="3821" spans="1:29" ht="18">
      <c r="A3821" s="2714"/>
      <c r="B3821" s="371"/>
      <c r="C3821" s="371" t="s">
        <v>2755</v>
      </c>
      <c r="D3821" s="371"/>
      <c r="F3821" s="294"/>
      <c r="G3821" s="301"/>
      <c r="H3821" s="315"/>
      <c r="I3821" s="315"/>
      <c r="J3821" s="350"/>
      <c r="K3821" s="291"/>
      <c r="L3821" s="291"/>
      <c r="M3821" s="291"/>
      <c r="N3821" s="291"/>
      <c r="S3821" s="364"/>
      <c r="Z3821" s="609" t="s">
        <v>3969</v>
      </c>
      <c r="AA3821" s="609" t="s">
        <v>5681</v>
      </c>
    </row>
    <row r="3822" spans="1:29" ht="24">
      <c r="A3822" s="2714" t="s">
        <v>1554</v>
      </c>
      <c r="B3822" s="371">
        <v>2</v>
      </c>
      <c r="C3822" s="371"/>
      <c r="D3822" s="2716" t="str">
        <f>VLOOKUP($A3822,Sheet_NoteList,2,0)</f>
        <v>期末重要的超过1年未支付的应付股利</v>
      </c>
      <c r="E3822" s="2716" t="s">
        <v>2742</v>
      </c>
      <c r="F3822" s="294"/>
      <c r="G3822" s="372" t="str">
        <f>"("&amp;B3822&amp;")"&amp;D3822</f>
        <v>(2)期末重要的超过1年未支付的应付股利</v>
      </c>
      <c r="H3822" s="1517" t="str">
        <f>$A3822</f>
        <v>2232b</v>
      </c>
      <c r="I3822" s="343" t="s">
        <v>2743</v>
      </c>
      <c r="J3822" s="301" t="s">
        <v>2744</v>
      </c>
      <c r="K3822" s="2210">
        <f>H3830</f>
        <v>0</v>
      </c>
      <c r="L3822" s="345"/>
      <c r="M3822" s="301"/>
      <c r="N3822" s="391"/>
      <c r="O3822" s="345"/>
      <c r="P3822" s="301"/>
      <c r="Q3822" s="290" t="str">
        <f>IF($I3822="不适用","",IF(ROUND(SUM($H$3825:$I$3830),2)=0,"请输入",""))</f>
        <v>请输入</v>
      </c>
      <c r="S3822" s="364"/>
      <c r="Z3822" s="609" t="s">
        <v>3969</v>
      </c>
      <c r="AA3822" s="609" t="s">
        <v>5681</v>
      </c>
    </row>
    <row r="3823" spans="1:29" ht="0.75" customHeight="1" thickBot="1">
      <c r="A3823" s="2714"/>
      <c r="B3823" s="371"/>
      <c r="C3823" s="371"/>
      <c r="D3823" s="371"/>
      <c r="F3823" s="304"/>
      <c r="G3823" s="304" t="s">
        <v>3972</v>
      </c>
      <c r="H3823" s="304" t="s">
        <v>2747</v>
      </c>
      <c r="I3823" s="304" t="s">
        <v>3973</v>
      </c>
      <c r="K3823" s="291"/>
      <c r="L3823" s="291"/>
      <c r="M3823" s="291"/>
      <c r="N3823" s="291"/>
      <c r="S3823" s="364"/>
      <c r="Z3823" s="609" t="s">
        <v>3969</v>
      </c>
      <c r="AA3823" s="609" t="s">
        <v>5681</v>
      </c>
    </row>
    <row r="3824" spans="1:29" ht="24">
      <c r="A3824" s="2714"/>
      <c r="B3824" s="371"/>
      <c r="C3824" s="371"/>
      <c r="D3824" s="371"/>
      <c r="E3824" s="2716" t="s">
        <v>2749</v>
      </c>
      <c r="F3824" s="294"/>
      <c r="G3824" s="378" t="s">
        <v>1465</v>
      </c>
      <c r="H3824" s="504" t="str">
        <f>$W$2&amp;"余额"</f>
        <v>2019年12月31日余额</v>
      </c>
      <c r="I3824" s="399" t="s">
        <v>3974</v>
      </c>
      <c r="J3824" s="355" t="s">
        <v>5307</v>
      </c>
      <c r="K3824" s="291"/>
      <c r="L3824" s="291"/>
      <c r="M3824" s="291"/>
      <c r="N3824" s="291"/>
      <c r="S3824" s="364"/>
      <c r="Z3824" s="609" t="s">
        <v>3969</v>
      </c>
      <c r="AA3824" s="609" t="s">
        <v>5681</v>
      </c>
    </row>
    <row r="3825" spans="1:27" ht="18">
      <c r="A3825" s="2714"/>
      <c r="B3825" s="371">
        <v>101</v>
      </c>
      <c r="C3825" s="371" t="s">
        <v>2791</v>
      </c>
      <c r="D3825" s="2716">
        <f t="shared" ref="D3825:D3830" si="433">IF(OR(G3825="*",G3825="",G3825=0),0,COUNTIF($G$3825:$G$3830,G3825))</f>
        <v>0</v>
      </c>
      <c r="E3825" s="2721">
        <v>1</v>
      </c>
      <c r="F3825" s="294"/>
      <c r="G3825" s="409" t="s">
        <v>2792</v>
      </c>
      <c r="H3825" s="383"/>
      <c r="I3825" s="492"/>
      <c r="K3825" s="291"/>
      <c r="L3825" s="291"/>
      <c r="M3825" s="291"/>
      <c r="N3825" s="291"/>
      <c r="S3825" s="364"/>
      <c r="Z3825" s="609" t="s">
        <v>3969</v>
      </c>
      <c r="AA3825" s="609" t="s">
        <v>5681</v>
      </c>
    </row>
    <row r="3826" spans="1:27" ht="18">
      <c r="A3826" s="2714"/>
      <c r="B3826" s="371">
        <v>102</v>
      </c>
      <c r="C3826" s="371" t="s">
        <v>2791</v>
      </c>
      <c r="D3826" s="2716">
        <f t="shared" si="433"/>
        <v>0</v>
      </c>
      <c r="E3826" s="2721">
        <v>1</v>
      </c>
      <c r="F3826" s="294"/>
      <c r="G3826" s="409" t="s">
        <v>2792</v>
      </c>
      <c r="H3826" s="383"/>
      <c r="I3826" s="492"/>
      <c r="K3826" s="291"/>
      <c r="L3826" s="291"/>
      <c r="M3826" s="291"/>
      <c r="N3826" s="291"/>
      <c r="S3826" s="364"/>
      <c r="Z3826" s="609" t="s">
        <v>3969</v>
      </c>
      <c r="AA3826" s="609" t="s">
        <v>5681</v>
      </c>
    </row>
    <row r="3827" spans="1:27" ht="18">
      <c r="A3827" s="2714"/>
      <c r="B3827" s="371">
        <v>103</v>
      </c>
      <c r="C3827" s="371" t="s">
        <v>2791</v>
      </c>
      <c r="D3827" s="2716">
        <f t="shared" si="433"/>
        <v>0</v>
      </c>
      <c r="E3827" s="2721">
        <v>1</v>
      </c>
      <c r="F3827" s="294"/>
      <c r="G3827" s="409" t="s">
        <v>2792</v>
      </c>
      <c r="H3827" s="383"/>
      <c r="I3827" s="492"/>
      <c r="K3827" s="291"/>
      <c r="L3827" s="291"/>
      <c r="M3827" s="291"/>
      <c r="N3827" s="291"/>
      <c r="S3827" s="364"/>
      <c r="Z3827" s="609" t="s">
        <v>3969</v>
      </c>
      <c r="AA3827" s="609" t="s">
        <v>5681</v>
      </c>
    </row>
    <row r="3828" spans="1:27" ht="18">
      <c r="A3828" s="2714"/>
      <c r="B3828" s="371">
        <v>104</v>
      </c>
      <c r="C3828" s="371" t="s">
        <v>2791</v>
      </c>
      <c r="D3828" s="2716">
        <f t="shared" si="433"/>
        <v>0</v>
      </c>
      <c r="E3828" s="2721">
        <v>1</v>
      </c>
      <c r="F3828" s="294"/>
      <c r="G3828" s="409" t="s">
        <v>2792</v>
      </c>
      <c r="H3828" s="383"/>
      <c r="I3828" s="492"/>
      <c r="K3828" s="291"/>
      <c r="L3828" s="291"/>
      <c r="M3828" s="291"/>
      <c r="N3828" s="291"/>
      <c r="S3828" s="364"/>
      <c r="Z3828" s="609" t="s">
        <v>3969</v>
      </c>
      <c r="AA3828" s="609" t="s">
        <v>5681</v>
      </c>
    </row>
    <row r="3829" spans="1:27" ht="18">
      <c r="A3829" s="2714"/>
      <c r="B3829" s="371">
        <v>105</v>
      </c>
      <c r="C3829" s="371" t="s">
        <v>2791</v>
      </c>
      <c r="D3829" s="2716">
        <f t="shared" si="433"/>
        <v>0</v>
      </c>
      <c r="E3829" s="2721">
        <v>1</v>
      </c>
      <c r="F3829" s="294"/>
      <c r="G3829" s="409" t="s">
        <v>2792</v>
      </c>
      <c r="H3829" s="383"/>
      <c r="I3829" s="492"/>
      <c r="K3829" s="291"/>
      <c r="L3829" s="291"/>
      <c r="M3829" s="291"/>
      <c r="N3829" s="291"/>
      <c r="S3829" s="364"/>
      <c r="Z3829" s="609" t="s">
        <v>3969</v>
      </c>
      <c r="AA3829" s="609" t="s">
        <v>5681</v>
      </c>
    </row>
    <row r="3830" spans="1:27" ht="18.75" thickBot="1">
      <c r="A3830" s="2714"/>
      <c r="B3830" s="371"/>
      <c r="C3830" s="371"/>
      <c r="D3830" s="2716">
        <f t="shared" si="433"/>
        <v>1</v>
      </c>
      <c r="E3830" s="2721" t="s">
        <v>2751</v>
      </c>
      <c r="F3830" s="294"/>
      <c r="G3830" s="403" t="s">
        <v>2752</v>
      </c>
      <c r="H3830" s="503">
        <f>SUMPRODUCT($E3824:$E3829,H3824:H3829)</f>
        <v>0</v>
      </c>
      <c r="I3830" s="513"/>
      <c r="K3830" s="291"/>
      <c r="L3830" s="291"/>
      <c r="M3830" s="291"/>
      <c r="N3830" s="291"/>
      <c r="S3830" s="364"/>
      <c r="Z3830" s="609" t="s">
        <v>3969</v>
      </c>
      <c r="AA3830" s="609" t="s">
        <v>5681</v>
      </c>
    </row>
    <row r="3831" spans="1:27" ht="18">
      <c r="A3831" s="2714"/>
      <c r="B3831" s="371"/>
      <c r="C3831" s="371" t="s">
        <v>2755</v>
      </c>
      <c r="D3831" s="371"/>
      <c r="F3831" s="294"/>
      <c r="G3831" s="301"/>
      <c r="H3831" s="349"/>
      <c r="I3831" s="350"/>
      <c r="J3831" s="350"/>
      <c r="K3831" s="291"/>
      <c r="L3831" s="291"/>
      <c r="M3831" s="291"/>
      <c r="N3831" s="291"/>
      <c r="S3831" s="364"/>
      <c r="Z3831" s="609" t="s">
        <v>3969</v>
      </c>
      <c r="AA3831" s="609" t="s">
        <v>5681</v>
      </c>
    </row>
    <row r="3832" spans="1:27" ht="18">
      <c r="A3832" s="2714">
        <v>2241</v>
      </c>
      <c r="B3832" s="371">
        <v>42.3</v>
      </c>
      <c r="C3832" s="2716" t="str">
        <f>VLOOKUP($A3832,Sheet_Items,2,0)</f>
        <v>其他应付款</v>
      </c>
      <c r="D3832" s="371"/>
      <c r="E3832" s="2716" t="s">
        <v>2739</v>
      </c>
      <c r="F3832" s="294"/>
      <c r="G3832" s="305" t="str">
        <f>B3832&amp;" "&amp;C3832</f>
        <v>42.3 其他应付款</v>
      </c>
      <c r="H3832" s="306"/>
      <c r="I3832" s="306"/>
      <c r="J3832" s="306" t="s">
        <v>2740</v>
      </c>
      <c r="K3832" s="341">
        <f>VLOOKUP($A3832,Sheet_Trialbal,6,0)</f>
        <v>1096090.05</v>
      </c>
      <c r="L3832" s="342"/>
      <c r="M3832" s="306" t="s">
        <v>2741</v>
      </c>
      <c r="N3832" s="341">
        <f>VLOOKUP($A3832,Sheet_Trialbal,10,0)</f>
        <v>2070907</v>
      </c>
      <c r="O3832" s="306"/>
      <c r="P3832" s="301"/>
      <c r="S3832" s="364"/>
      <c r="Z3832" s="609" t="s">
        <v>3975</v>
      </c>
      <c r="AA3832" s="609" t="s">
        <v>5682</v>
      </c>
    </row>
    <row r="3833" spans="1:27" ht="24">
      <c r="A3833" s="2714" t="s">
        <v>1559</v>
      </c>
      <c r="B3833" s="371">
        <v>1</v>
      </c>
      <c r="C3833" s="371"/>
      <c r="D3833" s="2716" t="str">
        <f>VLOOKUP($A3833,Sheet_NoteList,2,0)</f>
        <v>按款项性质列示其他应付款</v>
      </c>
      <c r="E3833" s="2716" t="s">
        <v>2742</v>
      </c>
      <c r="F3833" s="294"/>
      <c r="G3833" s="372" t="str">
        <f>"("&amp;B3833&amp;")"&amp;D3833</f>
        <v>(1)按款项性质列示其他应付款</v>
      </c>
      <c r="H3833" s="1517" t="str">
        <f>$A3833</f>
        <v>2241e</v>
      </c>
      <c r="I3833" s="343" t="s">
        <v>2743</v>
      </c>
      <c r="J3833" s="301" t="s">
        <v>2744</v>
      </c>
      <c r="K3833" s="2210">
        <f>H3841</f>
        <v>1096090.05</v>
      </c>
      <c r="L3833" s="345" t="str">
        <f>IF($I3833="适用",IF(ROUND(K$3832-K3833,2)=0,"F/S",ROUND(K$3832-K3833,2)),"#N/A")</f>
        <v>F/S</v>
      </c>
      <c r="M3833" s="301" t="s">
        <v>2745</v>
      </c>
      <c r="N3833" s="2210">
        <f>I3841</f>
        <v>2070907</v>
      </c>
      <c r="O3833" s="345" t="str">
        <f>IF($I3833="适用",IF(ROUND(N$3832-N3833,2)=0,"F/S",ROUND(N$3832-N3833,2)),"#N/A")</f>
        <v>F/S</v>
      </c>
      <c r="P3833" s="301"/>
      <c r="Q3833" s="290" t="str">
        <f>IF($I3833="不适用","",IF(ROUND(SUM($H$3836:$I$3841),2)=0,"请输入",""))</f>
        <v/>
      </c>
      <c r="S3833" s="364"/>
      <c r="Z3833" s="609" t="s">
        <v>3975</v>
      </c>
      <c r="AA3833" s="609" t="s">
        <v>5682</v>
      </c>
    </row>
    <row r="3834" spans="1:27" ht="0.75" customHeight="1" thickBot="1">
      <c r="A3834" s="2714"/>
      <c r="B3834" s="371"/>
      <c r="C3834" s="371"/>
      <c r="D3834" s="371"/>
      <c r="E3834" s="586"/>
      <c r="F3834" s="586"/>
      <c r="G3834" s="586" t="s">
        <v>3976</v>
      </c>
      <c r="H3834" s="371" t="s">
        <v>2747</v>
      </c>
      <c r="I3834" s="371" t="s">
        <v>2748</v>
      </c>
      <c r="J3834" s="291"/>
      <c r="K3834" s="291"/>
      <c r="L3834" s="291"/>
      <c r="M3834" s="291"/>
      <c r="S3834" s="364"/>
      <c r="Z3834" s="609" t="s">
        <v>3975</v>
      </c>
      <c r="AA3834" s="609" t="s">
        <v>5682</v>
      </c>
    </row>
    <row r="3835" spans="1:27" ht="18">
      <c r="A3835" s="2714"/>
      <c r="B3835" s="371"/>
      <c r="C3835" s="371"/>
      <c r="D3835" s="371"/>
      <c r="E3835" s="586" t="s">
        <v>2749</v>
      </c>
      <c r="F3835" s="363"/>
      <c r="G3835" s="2362" t="s">
        <v>47</v>
      </c>
      <c r="H3835" s="2225" t="str">
        <f>$V$2</f>
        <v>2019年12月31日</v>
      </c>
      <c r="I3835" s="2226" t="str">
        <f>$V$3</f>
        <v>2018年12月31日</v>
      </c>
      <c r="J3835" s="355" t="s">
        <v>5307</v>
      </c>
      <c r="K3835" s="291"/>
      <c r="L3835" s="291"/>
      <c r="M3835" s="291"/>
      <c r="S3835" s="364"/>
      <c r="Z3835" s="609" t="s">
        <v>3975</v>
      </c>
      <c r="AA3835" s="609" t="s">
        <v>5682</v>
      </c>
    </row>
    <row r="3836" spans="1:27" ht="18">
      <c r="A3836" s="2714"/>
      <c r="B3836" s="371">
        <v>101</v>
      </c>
      <c r="C3836" s="371" t="s">
        <v>2791</v>
      </c>
      <c r="D3836" s="2716">
        <f t="shared" ref="D3836:D3841" si="434">IF(OR(G3836="*",G3836="",G3836=0),0,COUNTIF($G$3836:$G$3841,G3836))</f>
        <v>1</v>
      </c>
      <c r="E3836" s="2721">
        <v>1</v>
      </c>
      <c r="F3836" s="294"/>
      <c r="G3836" s="2375" t="s">
        <v>6902</v>
      </c>
      <c r="H3836" s="2275">
        <v>20000</v>
      </c>
      <c r="I3836" s="2296">
        <v>20000</v>
      </c>
      <c r="J3836" s="291"/>
      <c r="K3836" s="291"/>
      <c r="L3836" s="291"/>
      <c r="M3836" s="291"/>
      <c r="S3836" s="364"/>
      <c r="Z3836" s="609" t="s">
        <v>3975</v>
      </c>
      <c r="AA3836" s="609" t="s">
        <v>5682</v>
      </c>
    </row>
    <row r="3837" spans="1:27" ht="18">
      <c r="A3837" s="2714"/>
      <c r="B3837" s="371">
        <v>102</v>
      </c>
      <c r="C3837" s="371" t="s">
        <v>2791</v>
      </c>
      <c r="D3837" s="2716">
        <f t="shared" si="434"/>
        <v>1</v>
      </c>
      <c r="E3837" s="2721">
        <v>1</v>
      </c>
      <c r="F3837" s="294"/>
      <c r="G3837" s="2375" t="s">
        <v>6903</v>
      </c>
      <c r="H3837" s="2275"/>
      <c r="I3837" s="2296"/>
      <c r="J3837" s="291"/>
      <c r="K3837" s="291"/>
      <c r="L3837" s="291"/>
      <c r="M3837" s="291"/>
      <c r="S3837" s="364"/>
      <c r="Z3837" s="609" t="s">
        <v>3975</v>
      </c>
      <c r="AA3837" s="609" t="s">
        <v>5682</v>
      </c>
    </row>
    <row r="3838" spans="1:27" ht="18">
      <c r="A3838" s="2714"/>
      <c r="B3838" s="371">
        <v>103</v>
      </c>
      <c r="C3838" s="371" t="s">
        <v>2791</v>
      </c>
      <c r="D3838" s="2716">
        <f t="shared" si="434"/>
        <v>1</v>
      </c>
      <c r="E3838" s="2721">
        <v>1</v>
      </c>
      <c r="F3838" s="294"/>
      <c r="G3838" s="2375" t="s">
        <v>6896</v>
      </c>
      <c r="H3838" s="2275">
        <v>299375</v>
      </c>
      <c r="I3838" s="2296">
        <v>304375</v>
      </c>
      <c r="J3838" s="291"/>
      <c r="K3838" s="291"/>
      <c r="L3838" s="291"/>
      <c r="M3838" s="291"/>
      <c r="S3838" s="364"/>
      <c r="Z3838" s="609" t="s">
        <v>3975</v>
      </c>
      <c r="AA3838" s="609" t="s">
        <v>5682</v>
      </c>
    </row>
    <row r="3839" spans="1:27" ht="18">
      <c r="A3839" s="2714"/>
      <c r="B3839" s="371">
        <v>104</v>
      </c>
      <c r="C3839" s="371" t="s">
        <v>2791</v>
      </c>
      <c r="D3839" s="2716">
        <f t="shared" si="434"/>
        <v>1</v>
      </c>
      <c r="E3839" s="2721">
        <v>1</v>
      </c>
      <c r="F3839" s="294"/>
      <c r="G3839" s="2375" t="s">
        <v>6904</v>
      </c>
      <c r="H3839" s="2275">
        <v>776715.05</v>
      </c>
      <c r="I3839" s="2296">
        <v>746532</v>
      </c>
      <c r="J3839" s="291"/>
      <c r="K3839" s="291"/>
      <c r="L3839" s="291"/>
      <c r="M3839" s="291"/>
      <c r="S3839" s="364"/>
      <c r="Z3839" s="609" t="s">
        <v>3975</v>
      </c>
      <c r="AA3839" s="609" t="s">
        <v>5682</v>
      </c>
    </row>
    <row r="3840" spans="1:27" ht="18">
      <c r="A3840" s="2714"/>
      <c r="B3840" s="371">
        <v>105</v>
      </c>
      <c r="C3840" s="371" t="s">
        <v>2791</v>
      </c>
      <c r="D3840" s="2716">
        <f t="shared" si="434"/>
        <v>1</v>
      </c>
      <c r="E3840" s="2721">
        <v>1</v>
      </c>
      <c r="F3840" s="294"/>
      <c r="G3840" s="2375" t="s">
        <v>6905</v>
      </c>
      <c r="H3840" s="2275"/>
      <c r="I3840" s="2296">
        <v>1000000</v>
      </c>
      <c r="J3840" s="291"/>
      <c r="K3840" s="291"/>
      <c r="L3840" s="291"/>
      <c r="M3840" s="291"/>
      <c r="S3840" s="364"/>
      <c r="Z3840" s="609" t="s">
        <v>3975</v>
      </c>
      <c r="AA3840" s="609" t="s">
        <v>5682</v>
      </c>
    </row>
    <row r="3841" spans="1:29" ht="18.75" thickBot="1">
      <c r="A3841" s="2714"/>
      <c r="B3841" s="371"/>
      <c r="C3841" s="371"/>
      <c r="D3841" s="2716">
        <f t="shared" si="434"/>
        <v>1</v>
      </c>
      <c r="E3841" s="2721" t="s">
        <v>2751</v>
      </c>
      <c r="F3841" s="294"/>
      <c r="G3841" s="374" t="s">
        <v>2752</v>
      </c>
      <c r="H3841" s="1478">
        <f>SUMPRODUCT($E3835:$E3840,H3835:H3840)</f>
        <v>1096090.05</v>
      </c>
      <c r="I3841" s="1479">
        <f>SUMPRODUCT($E3835:$E3840,I3835:I3840)</f>
        <v>2070907</v>
      </c>
      <c r="J3841" s="1533" t="str">
        <f ca="1">HYPERLINK("#'"&amp;$G$1&amp;"'!"&amp;ADDRESS(ROW(Notes!K3769),COLUMN(Notes!K3769),4),"* 请勿删除此行！点击往勾稽单元格，F5+Enter返回")</f>
        <v>* 请勿删除此行！点击往勾稽单元格，F5+Enter返回</v>
      </c>
      <c r="K3841" s="291"/>
      <c r="L3841" s="291"/>
      <c r="M3841" s="291"/>
      <c r="S3841" s="364"/>
      <c r="Z3841" s="609" t="s">
        <v>3975</v>
      </c>
      <c r="AA3841" s="609" t="s">
        <v>5682</v>
      </c>
      <c r="AC3841" s="369" t="s">
        <v>6573</v>
      </c>
    </row>
    <row r="3842" spans="1:29" ht="18">
      <c r="A3842" s="2714"/>
      <c r="B3842" s="371"/>
      <c r="C3842" s="371" t="s">
        <v>2755</v>
      </c>
      <c r="D3842" s="371"/>
      <c r="F3842" s="294"/>
      <c r="G3842" s="301"/>
      <c r="H3842" s="315"/>
      <c r="I3842" s="315"/>
      <c r="J3842" s="291"/>
      <c r="K3842" s="291"/>
      <c r="L3842" s="291"/>
      <c r="M3842" s="291"/>
      <c r="S3842" s="364"/>
      <c r="Z3842" s="609" t="s">
        <v>3975</v>
      </c>
      <c r="AA3842" s="609" t="s">
        <v>5682</v>
      </c>
    </row>
    <row r="3843" spans="1:29" ht="18">
      <c r="A3843" s="2714" t="s">
        <v>1569</v>
      </c>
      <c r="B3843" s="371">
        <v>2</v>
      </c>
      <c r="C3843" s="371"/>
      <c r="D3843" s="2716" t="str">
        <f>VLOOKUP($A3843,Sheet_NoteList,2,0)</f>
        <v>其他应付款按账龄列示</v>
      </c>
      <c r="E3843" s="2716" t="s">
        <v>6531</v>
      </c>
      <c r="F3843" s="294"/>
      <c r="G3843" s="372" t="str">
        <f>"("&amp;B3843&amp;")"&amp;D3843</f>
        <v>(2)其他应付款按账龄列示</v>
      </c>
      <c r="H3843" s="1517" t="str">
        <f>$A3843</f>
        <v>2241f</v>
      </c>
      <c r="I3843" s="343" t="s">
        <v>5569</v>
      </c>
      <c r="J3843" s="301" t="s">
        <v>5567</v>
      </c>
      <c r="K3843" s="2210">
        <f>H3851</f>
        <v>0</v>
      </c>
      <c r="L3843" s="345">
        <f>IF($I3843="适用",IF(ROUND(K$3832-K3843,2)=0,"F/S",ROUND(K$3832-K3843,2)),"#N/A")</f>
        <v>1096090.05</v>
      </c>
      <c r="M3843" s="301" t="s">
        <v>5568</v>
      </c>
      <c r="N3843" s="2210">
        <f>I3851</f>
        <v>0</v>
      </c>
      <c r="O3843" s="345">
        <f>IF($I3843="适用",IF(ROUND(N$3832-N3843,2)=0,"F/S",ROUND(N$3832-N3843,2)),"#N/A")</f>
        <v>2070907</v>
      </c>
      <c r="P3843" s="301"/>
      <c r="S3843" s="364"/>
      <c r="Z3843" s="609" t="s">
        <v>3975</v>
      </c>
      <c r="AA3843" s="609" t="s">
        <v>5682</v>
      </c>
    </row>
    <row r="3844" spans="1:29" ht="0.75" customHeight="1" thickBot="1">
      <c r="A3844" s="2714"/>
      <c r="B3844" s="371"/>
      <c r="C3844" s="371"/>
      <c r="D3844" s="371"/>
      <c r="F3844" s="371"/>
      <c r="G3844" s="371" t="s">
        <v>3977</v>
      </c>
      <c r="H3844" s="371" t="s">
        <v>2747</v>
      </c>
      <c r="I3844" s="371" t="s">
        <v>2748</v>
      </c>
      <c r="J3844" s="291"/>
      <c r="K3844" s="291"/>
      <c r="L3844" s="291"/>
      <c r="M3844" s="291"/>
      <c r="S3844" s="364"/>
      <c r="Z3844" s="609" t="s">
        <v>3975</v>
      </c>
      <c r="AA3844" s="609" t="s">
        <v>5682</v>
      </c>
    </row>
    <row r="3845" spans="1:29" ht="18">
      <c r="A3845" s="2714"/>
      <c r="B3845" s="371"/>
      <c r="C3845" s="371"/>
      <c r="D3845" s="371"/>
      <c r="E3845" s="2716" t="s">
        <v>2749</v>
      </c>
      <c r="F3845" s="294"/>
      <c r="G3845" s="1615" t="s">
        <v>1439</v>
      </c>
      <c r="H3845" s="1613" t="s">
        <v>2775</v>
      </c>
      <c r="I3845" s="1614" t="s">
        <v>2776</v>
      </c>
      <c r="J3845" s="355" t="s">
        <v>6176</v>
      </c>
      <c r="K3845" s="291"/>
      <c r="L3845" s="291"/>
      <c r="M3845" s="291"/>
      <c r="S3845" s="364"/>
      <c r="Z3845" s="609" t="s">
        <v>3975</v>
      </c>
      <c r="AA3845" s="609" t="s">
        <v>5682</v>
      </c>
    </row>
    <row r="3846" spans="1:29" ht="18">
      <c r="A3846" s="2714"/>
      <c r="B3846" s="371">
        <v>101</v>
      </c>
      <c r="C3846" s="371" t="s">
        <v>2791</v>
      </c>
      <c r="D3846" s="2716">
        <f t="shared" ref="D3846:D3851" si="435">IF(OR(G3846="*",G3846="",G3846=0),0,COUNTIF($G$3846:$G$3851,G3846))</f>
        <v>1</v>
      </c>
      <c r="E3846" s="2721">
        <v>1</v>
      </c>
      <c r="F3846" s="294"/>
      <c r="G3846" s="1616" t="s">
        <v>3855</v>
      </c>
      <c r="H3846" s="309"/>
      <c r="I3846" s="346"/>
      <c r="J3846" s="579"/>
      <c r="K3846" s="291"/>
      <c r="L3846" s="291"/>
      <c r="M3846" s="291"/>
      <c r="S3846" s="364"/>
      <c r="Z3846" s="609" t="s">
        <v>3975</v>
      </c>
      <c r="AA3846" s="609" t="s">
        <v>5682</v>
      </c>
    </row>
    <row r="3847" spans="1:29" ht="18">
      <c r="A3847" s="2714"/>
      <c r="B3847" s="371">
        <v>102</v>
      </c>
      <c r="C3847" s="371" t="s">
        <v>2791</v>
      </c>
      <c r="D3847" s="2716">
        <f t="shared" si="435"/>
        <v>1</v>
      </c>
      <c r="E3847" s="2721">
        <v>1</v>
      </c>
      <c r="F3847" s="294"/>
      <c r="G3847" s="1616" t="s">
        <v>3856</v>
      </c>
      <c r="H3847" s="309"/>
      <c r="I3847" s="346"/>
      <c r="J3847" s="291"/>
      <c r="K3847" s="291"/>
      <c r="L3847" s="291"/>
      <c r="M3847" s="291"/>
      <c r="S3847" s="364"/>
      <c r="Z3847" s="609" t="s">
        <v>3975</v>
      </c>
      <c r="AA3847" s="609" t="s">
        <v>5682</v>
      </c>
    </row>
    <row r="3848" spans="1:29" ht="18">
      <c r="A3848" s="2714"/>
      <c r="B3848" s="371">
        <v>103</v>
      </c>
      <c r="C3848" s="371" t="s">
        <v>2791</v>
      </c>
      <c r="D3848" s="2716">
        <f t="shared" si="435"/>
        <v>1</v>
      </c>
      <c r="E3848" s="2721">
        <v>1</v>
      </c>
      <c r="F3848" s="294"/>
      <c r="G3848" s="1616" t="s">
        <v>3857</v>
      </c>
      <c r="H3848" s="309"/>
      <c r="I3848" s="346"/>
      <c r="J3848" s="291"/>
      <c r="K3848" s="291"/>
      <c r="L3848" s="291"/>
      <c r="M3848" s="291"/>
      <c r="S3848" s="364"/>
      <c r="Z3848" s="609" t="s">
        <v>3975</v>
      </c>
      <c r="AA3848" s="609" t="s">
        <v>5682</v>
      </c>
    </row>
    <row r="3849" spans="1:29" ht="18">
      <c r="A3849" s="2714"/>
      <c r="B3849" s="371">
        <v>104</v>
      </c>
      <c r="C3849" s="371" t="s">
        <v>2791</v>
      </c>
      <c r="D3849" s="2716">
        <f t="shared" si="435"/>
        <v>1</v>
      </c>
      <c r="E3849" s="2721">
        <v>1</v>
      </c>
      <c r="F3849" s="294"/>
      <c r="G3849" s="1616" t="s">
        <v>3108</v>
      </c>
      <c r="H3849" s="309"/>
      <c r="I3849" s="346"/>
      <c r="J3849" s="291"/>
      <c r="K3849" s="291"/>
      <c r="L3849" s="291"/>
      <c r="M3849" s="291"/>
      <c r="S3849" s="364"/>
      <c r="Z3849" s="609" t="s">
        <v>3975</v>
      </c>
      <c r="AA3849" s="609" t="s">
        <v>5682</v>
      </c>
    </row>
    <row r="3850" spans="1:29" ht="18">
      <c r="A3850" s="2714"/>
      <c r="B3850" s="371">
        <v>105</v>
      </c>
      <c r="C3850" s="371" t="s">
        <v>2791</v>
      </c>
      <c r="D3850" s="2716">
        <f t="shared" si="435"/>
        <v>0</v>
      </c>
      <c r="E3850" s="2721">
        <v>1</v>
      </c>
      <c r="F3850" s="294"/>
      <c r="G3850" s="1616" t="s">
        <v>2792</v>
      </c>
      <c r="H3850" s="309"/>
      <c r="I3850" s="346"/>
      <c r="J3850" s="291"/>
      <c r="K3850" s="291"/>
      <c r="L3850" s="291"/>
      <c r="M3850" s="291"/>
      <c r="S3850" s="364"/>
      <c r="Z3850" s="609" t="s">
        <v>3975</v>
      </c>
      <c r="AA3850" s="609" t="s">
        <v>5682</v>
      </c>
    </row>
    <row r="3851" spans="1:29" ht="18.75" thickBot="1">
      <c r="A3851" s="2714"/>
      <c r="B3851" s="371"/>
      <c r="C3851" s="371"/>
      <c r="D3851" s="2716">
        <f t="shared" si="435"/>
        <v>1</v>
      </c>
      <c r="E3851" s="2721" t="s">
        <v>2751</v>
      </c>
      <c r="F3851" s="294"/>
      <c r="G3851" s="1529" t="s">
        <v>2752</v>
      </c>
      <c r="H3851" s="1527">
        <f>SUMPRODUCT($E3845:$E3850,H3845:H3850)</f>
        <v>0</v>
      </c>
      <c r="I3851" s="1528">
        <f>SUMPRODUCT($E3845:$E3850,I3845:I3850)</f>
        <v>0</v>
      </c>
      <c r="J3851" s="291"/>
      <c r="K3851" s="291"/>
      <c r="L3851" s="291"/>
      <c r="M3851" s="291"/>
      <c r="S3851" s="364"/>
      <c r="Z3851" s="609" t="s">
        <v>3975</v>
      </c>
      <c r="AA3851" s="609" t="s">
        <v>5682</v>
      </c>
    </row>
    <row r="3852" spans="1:29" ht="18.75" thickBot="1">
      <c r="A3852" s="2714"/>
      <c r="B3852" s="371"/>
      <c r="C3852" s="371" t="s">
        <v>2755</v>
      </c>
      <c r="D3852" s="371"/>
      <c r="F3852" s="294"/>
      <c r="G3852" s="301"/>
      <c r="H3852" s="527" t="s">
        <v>3002</v>
      </c>
      <c r="I3852" s="527" t="s">
        <v>3002</v>
      </c>
      <c r="J3852" s="291"/>
      <c r="K3852" s="291"/>
      <c r="L3852" s="291"/>
      <c r="M3852" s="291"/>
      <c r="S3852" s="364"/>
      <c r="Z3852" s="609" t="s">
        <v>3975</v>
      </c>
      <c r="AA3852" s="609" t="s">
        <v>5682</v>
      </c>
    </row>
    <row r="3853" spans="1:29" ht="18.75" thickTop="1">
      <c r="A3853" s="2714"/>
      <c r="B3853" s="371"/>
      <c r="C3853" s="371" t="s">
        <v>2565</v>
      </c>
      <c r="D3853" s="371"/>
      <c r="F3853" s="294"/>
      <c r="G3853" s="1561" t="s">
        <v>5367</v>
      </c>
      <c r="H3853" s="1550" t="str">
        <f>G3833</f>
        <v>(1)按款项性质列示其他应付款</v>
      </c>
      <c r="I3853" s="1552"/>
      <c r="J3853" s="1553" t="s">
        <v>5368</v>
      </c>
      <c r="K3853" s="291"/>
      <c r="L3853" s="291"/>
      <c r="M3853" s="291"/>
      <c r="S3853" s="364"/>
      <c r="Z3853" s="609" t="s">
        <v>3975</v>
      </c>
      <c r="AA3853" s="609" t="s">
        <v>5682</v>
      </c>
    </row>
    <row r="3854" spans="1:29" ht="18">
      <c r="A3854" s="2714"/>
      <c r="B3854" s="371"/>
      <c r="C3854" s="371" t="s">
        <v>2565</v>
      </c>
      <c r="D3854" s="371"/>
      <c r="F3854" s="294"/>
      <c r="G3854" s="316" t="str">
        <f>"注释A:"&amp; G3841</f>
        <v>注释A:合       计</v>
      </c>
      <c r="H3854" s="2252">
        <f ca="1">HYPERLINK("#'"&amp;$G$1&amp;"'!"&amp;ADDRESS(ROW(Notes!H3841),COLUMN(Notes!H3841),4),H3841)</f>
        <v>1096090.05</v>
      </c>
      <c r="I3854" s="2252">
        <f ca="1">HYPERLINK("#'"&amp;$G$1&amp;"'!"&amp;ADDRESS(ROW(Notes!I3841),COLUMN(Notes!I3841),4),I3841)</f>
        <v>2070907</v>
      </c>
      <c r="J3854" s="2632" t="str">
        <f>H3833</f>
        <v>2241e</v>
      </c>
      <c r="K3854" s="291"/>
      <c r="L3854" s="291"/>
      <c r="M3854" s="291"/>
      <c r="S3854" s="364"/>
      <c r="Z3854" s="609" t="s">
        <v>3975</v>
      </c>
      <c r="AA3854" s="609" t="s">
        <v>5682</v>
      </c>
    </row>
    <row r="3855" spans="1:29" ht="18">
      <c r="A3855" s="2714"/>
      <c r="B3855" s="371"/>
      <c r="C3855" s="371" t="s">
        <v>2565</v>
      </c>
      <c r="D3855" s="371"/>
      <c r="F3855" s="294"/>
      <c r="G3855" s="316" t="str">
        <f>"本注释B:"&amp; G3851</f>
        <v>本注释B:合       计</v>
      </c>
      <c r="H3855" s="456">
        <f>H3841</f>
        <v>1096090.05</v>
      </c>
      <c r="I3855" s="456">
        <f>I3841</f>
        <v>2070907</v>
      </c>
      <c r="J3855" s="2638" t="s">
        <v>1569</v>
      </c>
      <c r="K3855" s="291"/>
      <c r="L3855" s="291"/>
      <c r="M3855" s="291"/>
      <c r="S3855" s="364"/>
      <c r="Z3855" s="609" t="s">
        <v>3975</v>
      </c>
      <c r="AA3855" s="609" t="s">
        <v>5682</v>
      </c>
    </row>
    <row r="3856" spans="1:29" ht="18.75" thickBot="1">
      <c r="A3856" s="2714"/>
      <c r="B3856" s="371"/>
      <c r="C3856" s="371" t="s">
        <v>2565</v>
      </c>
      <c r="D3856" s="371"/>
      <c r="F3856" s="294"/>
      <c r="G3856" s="1562" t="s">
        <v>2757</v>
      </c>
      <c r="H3856" s="1531">
        <f ca="1">IF(AND(H3854="",H3855=""),"",ROUND(H3854-H3855,2))</f>
        <v>0</v>
      </c>
      <c r="I3856" s="1531">
        <f ca="1">IF(AND(I3854="",I3855=""),"",ROUND(I3854-I3855,2))</f>
        <v>0</v>
      </c>
      <c r="J3856" s="1555"/>
      <c r="K3856" s="291"/>
      <c r="L3856" s="291"/>
      <c r="M3856" s="291"/>
      <c r="S3856" s="364"/>
      <c r="Z3856" s="609" t="s">
        <v>3975</v>
      </c>
      <c r="AA3856" s="609" t="s">
        <v>5682</v>
      </c>
    </row>
    <row r="3857" spans="1:27" ht="18.75" thickTop="1">
      <c r="A3857" s="2714"/>
      <c r="B3857" s="371"/>
      <c r="C3857" s="371" t="s">
        <v>2565</v>
      </c>
      <c r="D3857" s="371"/>
      <c r="F3857" s="294"/>
      <c r="G3857" s="354"/>
      <c r="H3857" s="459" t="str">
        <f ca="1">IF(OR(H3856=0,H3856=""),"√","？")</f>
        <v>√</v>
      </c>
      <c r="I3857" s="459" t="str">
        <f ca="1">IF(OR(I3856=0,I3856=""),"√","？")</f>
        <v>√</v>
      </c>
      <c r="J3857" s="354"/>
      <c r="K3857" s="291"/>
      <c r="L3857" s="291"/>
      <c r="M3857" s="291"/>
      <c r="S3857" s="364"/>
      <c r="Z3857" s="609" t="s">
        <v>3975</v>
      </c>
      <c r="AA3857" s="609" t="s">
        <v>5682</v>
      </c>
    </row>
    <row r="3858" spans="1:27" ht="18">
      <c r="A3858" s="2714"/>
      <c r="B3858" s="371"/>
      <c r="C3858" s="371" t="s">
        <v>2565</v>
      </c>
      <c r="D3858" s="371"/>
      <c r="F3858" s="294"/>
      <c r="G3858" s="460" t="s">
        <v>2759</v>
      </c>
      <c r="H3858" s="461"/>
      <c r="I3858" s="461"/>
      <c r="J3858" s="354"/>
      <c r="K3858" s="345">
        <f ca="1">SUMIF($H$3857:$J$3857,"&lt;&gt;√",$H$3856:$J$3856)</f>
        <v>0</v>
      </c>
      <c r="L3858" s="475" t="str">
        <f ca="1">IF(OR(K3858=0,K3858=""),"√","？")</f>
        <v>√</v>
      </c>
      <c r="M3858" s="291"/>
      <c r="S3858" s="364"/>
      <c r="Z3858" s="609" t="s">
        <v>3975</v>
      </c>
      <c r="AA3858" s="609" t="s">
        <v>5682</v>
      </c>
    </row>
    <row r="3859" spans="1:27" ht="18">
      <c r="A3859" s="2714"/>
      <c r="B3859" s="371"/>
      <c r="C3859" s="371" t="s">
        <v>2565</v>
      </c>
      <c r="D3859" s="371"/>
      <c r="F3859" s="294"/>
      <c r="G3859" s="354"/>
      <c r="H3859" s="461"/>
      <c r="I3859" s="461"/>
      <c r="J3859" s="354"/>
      <c r="K3859" s="291"/>
      <c r="L3859" s="291"/>
      <c r="M3859" s="291"/>
      <c r="S3859" s="364"/>
      <c r="Z3859" s="609" t="s">
        <v>3975</v>
      </c>
      <c r="AA3859" s="609" t="s">
        <v>5682</v>
      </c>
    </row>
    <row r="3860" spans="1:27" ht="24">
      <c r="A3860" s="2714" t="s">
        <v>1564</v>
      </c>
      <c r="B3860" s="371">
        <v>3</v>
      </c>
      <c r="C3860" s="371"/>
      <c r="D3860" s="2716" t="str">
        <f>VLOOKUP($A3860,Sheet_NoteList,2,0)</f>
        <v>期末账龄超过1年的重要其他应付款</v>
      </c>
      <c r="E3860" s="2716" t="s">
        <v>2742</v>
      </c>
      <c r="F3860" s="294"/>
      <c r="G3860" s="372" t="str">
        <f>"("&amp;B3860&amp;")"&amp;D3860</f>
        <v>(3)期末账龄超过1年的重要其他应付款</v>
      </c>
      <c r="H3860" s="1517" t="str">
        <f>$A3860</f>
        <v>2241c</v>
      </c>
      <c r="I3860" s="343" t="s">
        <v>2743</v>
      </c>
      <c r="J3860" s="301" t="s">
        <v>2744</v>
      </c>
      <c r="K3860" s="2210">
        <f>H3868</f>
        <v>0</v>
      </c>
      <c r="L3860" s="345" t="str">
        <f>IF($I3860="适用",IF(ROUND(K$3832-K3860,2)&gt;=0,"","#Logical!"),"#N/A")</f>
        <v/>
      </c>
      <c r="M3860" s="301"/>
      <c r="N3860" s="3083"/>
      <c r="O3860" s="315"/>
      <c r="P3860" s="301"/>
      <c r="Q3860" s="290" t="str">
        <f>IF($I3860="不适用","",IF(ROUND(SUM($H$3863:$I$3868),2)=0,"请输入",""))</f>
        <v>请输入</v>
      </c>
      <c r="S3860" s="364"/>
      <c r="Z3860" s="609" t="s">
        <v>3975</v>
      </c>
      <c r="AA3860" s="609" t="s">
        <v>5682</v>
      </c>
    </row>
    <row r="3861" spans="1:27" ht="0.75" customHeight="1" thickBot="1">
      <c r="A3861" s="2714"/>
      <c r="B3861" s="371"/>
      <c r="C3861" s="371"/>
      <c r="D3861" s="371"/>
      <c r="E3861" s="586"/>
      <c r="F3861" s="586"/>
      <c r="G3861" s="586" t="s">
        <v>3978</v>
      </c>
      <c r="H3861" s="371" t="s">
        <v>2849</v>
      </c>
      <c r="I3861" s="371" t="s">
        <v>3880</v>
      </c>
      <c r="J3861" s="387"/>
      <c r="K3861" s="291"/>
      <c r="L3861" s="291"/>
      <c r="M3861" s="291"/>
      <c r="N3861" s="291"/>
      <c r="S3861" s="364"/>
      <c r="Z3861" s="609" t="s">
        <v>3975</v>
      </c>
      <c r="AA3861" s="609" t="s">
        <v>5682</v>
      </c>
    </row>
    <row r="3862" spans="1:27" ht="24">
      <c r="A3862" s="2714"/>
      <c r="B3862" s="371"/>
      <c r="C3862" s="371"/>
      <c r="D3862" s="371"/>
      <c r="E3862" s="586" t="s">
        <v>2749</v>
      </c>
      <c r="F3862" s="363"/>
      <c r="G3862" s="2362" t="s">
        <v>47</v>
      </c>
      <c r="H3862" s="2225" t="str">
        <f>$W$2&amp;"余额"</f>
        <v>2019年12月31日余额</v>
      </c>
      <c r="I3862" s="2373" t="s">
        <v>5251</v>
      </c>
      <c r="J3862" s="355" t="s">
        <v>5307</v>
      </c>
      <c r="K3862" s="291"/>
      <c r="L3862" s="291"/>
      <c r="M3862" s="291"/>
      <c r="N3862" s="291"/>
      <c r="S3862" s="364"/>
      <c r="Z3862" s="609" t="s">
        <v>3975</v>
      </c>
      <c r="AA3862" s="609" t="s">
        <v>5682</v>
      </c>
    </row>
    <row r="3863" spans="1:27" ht="18">
      <c r="A3863" s="2714"/>
      <c r="B3863" s="371">
        <v>101</v>
      </c>
      <c r="C3863" s="371" t="s">
        <v>2791</v>
      </c>
      <c r="D3863" s="2716">
        <f t="shared" ref="D3863:D3868" si="436">IF(OR(G3863="*",G3863="",G3863=0),0,COUNTIF($G$3863:$G$3868,G3863))</f>
        <v>0</v>
      </c>
      <c r="E3863" s="2721">
        <v>1</v>
      </c>
      <c r="F3863" s="294"/>
      <c r="G3863" s="2375" t="s">
        <v>2792</v>
      </c>
      <c r="H3863" s="2275"/>
      <c r="I3863" s="2276"/>
      <c r="J3863" s="291"/>
      <c r="K3863" s="291"/>
      <c r="L3863" s="291"/>
      <c r="M3863" s="291"/>
      <c r="N3863" s="291"/>
      <c r="S3863" s="364"/>
      <c r="Z3863" s="609" t="s">
        <v>3975</v>
      </c>
      <c r="AA3863" s="609" t="s">
        <v>5682</v>
      </c>
    </row>
    <row r="3864" spans="1:27" ht="18">
      <c r="A3864" s="2714"/>
      <c r="B3864" s="371">
        <v>102</v>
      </c>
      <c r="C3864" s="371" t="s">
        <v>2791</v>
      </c>
      <c r="D3864" s="2716">
        <f t="shared" si="436"/>
        <v>0</v>
      </c>
      <c r="E3864" s="2721">
        <v>1</v>
      </c>
      <c r="F3864" s="294"/>
      <c r="G3864" s="2375" t="s">
        <v>2792</v>
      </c>
      <c r="H3864" s="2275"/>
      <c r="I3864" s="2276"/>
      <c r="J3864" s="291"/>
      <c r="K3864" s="291"/>
      <c r="L3864" s="291"/>
      <c r="M3864" s="291"/>
      <c r="N3864" s="291"/>
      <c r="S3864" s="364"/>
      <c r="Z3864" s="609" t="s">
        <v>3975</v>
      </c>
      <c r="AA3864" s="609" t="s">
        <v>5682</v>
      </c>
    </row>
    <row r="3865" spans="1:27" ht="18">
      <c r="A3865" s="2714"/>
      <c r="B3865" s="371">
        <v>103</v>
      </c>
      <c r="C3865" s="371" t="s">
        <v>2791</v>
      </c>
      <c r="D3865" s="2716">
        <f t="shared" si="436"/>
        <v>0</v>
      </c>
      <c r="E3865" s="2721">
        <v>1</v>
      </c>
      <c r="F3865" s="294"/>
      <c r="G3865" s="2375" t="s">
        <v>2792</v>
      </c>
      <c r="H3865" s="2275"/>
      <c r="I3865" s="2276"/>
      <c r="J3865" s="291"/>
      <c r="K3865" s="291"/>
      <c r="L3865" s="291"/>
      <c r="M3865" s="291"/>
      <c r="N3865" s="291"/>
      <c r="S3865" s="364"/>
      <c r="Z3865" s="609" t="s">
        <v>3975</v>
      </c>
      <c r="AA3865" s="609" t="s">
        <v>5682</v>
      </c>
    </row>
    <row r="3866" spans="1:27" ht="18">
      <c r="A3866" s="2714"/>
      <c r="B3866" s="371">
        <v>104</v>
      </c>
      <c r="C3866" s="371" t="s">
        <v>2791</v>
      </c>
      <c r="D3866" s="2716">
        <f t="shared" si="436"/>
        <v>0</v>
      </c>
      <c r="E3866" s="2721">
        <v>1</v>
      </c>
      <c r="F3866" s="294"/>
      <c r="G3866" s="2375" t="s">
        <v>2792</v>
      </c>
      <c r="H3866" s="2275"/>
      <c r="I3866" s="2276"/>
      <c r="J3866" s="291"/>
      <c r="K3866" s="291"/>
      <c r="L3866" s="291"/>
      <c r="M3866" s="291"/>
      <c r="N3866" s="291"/>
      <c r="S3866" s="364"/>
      <c r="Z3866" s="609" t="s">
        <v>3975</v>
      </c>
      <c r="AA3866" s="609" t="s">
        <v>5682</v>
      </c>
    </row>
    <row r="3867" spans="1:27" ht="18">
      <c r="A3867" s="2714"/>
      <c r="B3867" s="371">
        <v>105</v>
      </c>
      <c r="C3867" s="371" t="s">
        <v>2791</v>
      </c>
      <c r="D3867" s="2716">
        <f t="shared" si="436"/>
        <v>0</v>
      </c>
      <c r="E3867" s="2721">
        <v>1</v>
      </c>
      <c r="F3867" s="294"/>
      <c r="G3867" s="2375" t="s">
        <v>2792</v>
      </c>
      <c r="H3867" s="2275"/>
      <c r="I3867" s="2276"/>
      <c r="J3867" s="291"/>
      <c r="K3867" s="291"/>
      <c r="L3867" s="291"/>
      <c r="M3867" s="291"/>
      <c r="N3867" s="291"/>
      <c r="S3867" s="364"/>
      <c r="Z3867" s="609" t="s">
        <v>3975</v>
      </c>
      <c r="AA3867" s="609" t="s">
        <v>5682</v>
      </c>
    </row>
    <row r="3868" spans="1:27" ht="18.75" thickBot="1">
      <c r="A3868" s="2714"/>
      <c r="B3868" s="371"/>
      <c r="C3868" s="371"/>
      <c r="D3868" s="2716">
        <f t="shared" si="436"/>
        <v>1</v>
      </c>
      <c r="E3868" s="2721" t="s">
        <v>2751</v>
      </c>
      <c r="F3868" s="294"/>
      <c r="G3868" s="374" t="s">
        <v>2752</v>
      </c>
      <c r="H3868" s="1478">
        <f>SUMPRODUCT($E3862:$E3867,H3862:H3867)</f>
        <v>0</v>
      </c>
      <c r="I3868" s="2260"/>
      <c r="J3868" s="291"/>
      <c r="K3868" s="291"/>
      <c r="L3868" s="291"/>
      <c r="M3868" s="291"/>
      <c r="N3868" s="291"/>
      <c r="S3868" s="364"/>
      <c r="Z3868" s="609" t="s">
        <v>3975</v>
      </c>
      <c r="AA3868" s="609" t="s">
        <v>5682</v>
      </c>
    </row>
    <row r="3869" spans="1:27" ht="18">
      <c r="A3869" s="2714"/>
      <c r="B3869" s="371"/>
      <c r="C3869" s="371" t="s">
        <v>2755</v>
      </c>
      <c r="D3869" s="371"/>
      <c r="F3869" s="294"/>
      <c r="G3869" s="301"/>
      <c r="H3869" s="315"/>
      <c r="I3869" s="393"/>
      <c r="J3869" s="350"/>
      <c r="K3869" s="291"/>
      <c r="L3869" s="291"/>
      <c r="M3869" s="291"/>
      <c r="N3869" s="291"/>
      <c r="S3869" s="364"/>
      <c r="Z3869" s="609" t="s">
        <v>3975</v>
      </c>
      <c r="AA3869" s="609" t="s">
        <v>5682</v>
      </c>
    </row>
    <row r="3870" spans="1:27" ht="24">
      <c r="A3870" s="2714" t="s">
        <v>1579</v>
      </c>
      <c r="B3870" s="371">
        <v>4</v>
      </c>
      <c r="C3870" s="371"/>
      <c r="D3870" s="2716" t="str">
        <f>VLOOKUP($A3870,Sheet_NoteList,2,0)</f>
        <v>单项金额较大的其他应付款</v>
      </c>
      <c r="E3870" s="2716" t="s">
        <v>6531</v>
      </c>
      <c r="F3870" s="294"/>
      <c r="G3870" s="372" t="str">
        <f>"("&amp;B3870&amp;")"&amp;D3870</f>
        <v>(4)单项金额较大的其他应付款</v>
      </c>
      <c r="H3870" s="1517" t="str">
        <f>$A3870</f>
        <v>2241b</v>
      </c>
      <c r="I3870" s="343" t="s">
        <v>5974</v>
      </c>
      <c r="J3870" s="301" t="s">
        <v>5973</v>
      </c>
      <c r="K3870" s="2210">
        <f>H3878</f>
        <v>0</v>
      </c>
      <c r="L3870" s="345" t="str">
        <f>IF($I3870="适用",IF(ROUND(K$3832-K3870,2)&gt;=0,"","#Logical!"),"#N/A")</f>
        <v/>
      </c>
      <c r="M3870" s="301"/>
      <c r="N3870" s="3083"/>
      <c r="O3870" s="315"/>
      <c r="P3870" s="301"/>
      <c r="S3870" s="364"/>
      <c r="Z3870" s="609" t="s">
        <v>3975</v>
      </c>
      <c r="AA3870" s="609" t="s">
        <v>5682</v>
      </c>
    </row>
    <row r="3871" spans="1:27" ht="0.75" customHeight="1" thickBot="1">
      <c r="A3871" s="2714"/>
      <c r="B3871" s="371"/>
      <c r="C3871" s="371"/>
      <c r="D3871" s="371"/>
      <c r="E3871" s="586"/>
      <c r="F3871" s="586"/>
      <c r="G3871" s="586" t="s">
        <v>3979</v>
      </c>
      <c r="H3871" s="371" t="s">
        <v>2849</v>
      </c>
      <c r="I3871" s="371" t="s">
        <v>3110</v>
      </c>
      <c r="J3871" s="371" t="s">
        <v>3864</v>
      </c>
      <c r="K3871" s="291"/>
      <c r="L3871" s="291"/>
      <c r="M3871" s="291"/>
      <c r="N3871" s="291"/>
      <c r="S3871" s="364"/>
      <c r="Z3871" s="609" t="s">
        <v>3975</v>
      </c>
      <c r="AA3871" s="609" t="s">
        <v>5682</v>
      </c>
    </row>
    <row r="3872" spans="1:27" ht="18">
      <c r="A3872" s="2714"/>
      <c r="B3872" s="371"/>
      <c r="C3872" s="371"/>
      <c r="D3872" s="371"/>
      <c r="E3872" s="586" t="s">
        <v>2749</v>
      </c>
      <c r="F3872" s="363"/>
      <c r="G3872" s="2363" t="s">
        <v>3865</v>
      </c>
      <c r="H3872" s="2364" t="s">
        <v>3866</v>
      </c>
      <c r="I3872" s="2364" t="s">
        <v>2961</v>
      </c>
      <c r="J3872" s="2365" t="s">
        <v>3867</v>
      </c>
      <c r="K3872" s="355" t="s">
        <v>6141</v>
      </c>
      <c r="L3872" s="291"/>
      <c r="M3872" s="291"/>
      <c r="N3872" s="291"/>
      <c r="S3872" s="364"/>
      <c r="Z3872" s="609" t="s">
        <v>3975</v>
      </c>
      <c r="AA3872" s="609" t="s">
        <v>5682</v>
      </c>
    </row>
    <row r="3873" spans="1:27" ht="18">
      <c r="A3873" s="2714"/>
      <c r="B3873" s="371">
        <v>101</v>
      </c>
      <c r="C3873" s="371" t="s">
        <v>2791</v>
      </c>
      <c r="D3873" s="2716">
        <f t="shared" ref="D3873:D3878" si="437">IF(OR(G3873="*",G3873="",G3873=0),0,COUNTIF($G$3873:$G$3878,G3873))</f>
        <v>0</v>
      </c>
      <c r="E3873" s="2721">
        <v>1</v>
      </c>
      <c r="F3873" s="294"/>
      <c r="G3873" s="2375" t="s">
        <v>2792</v>
      </c>
      <c r="H3873" s="2275"/>
      <c r="I3873" s="2298"/>
      <c r="J3873" s="2276"/>
      <c r="K3873" s="579"/>
      <c r="L3873" s="291"/>
      <c r="M3873" s="291"/>
      <c r="N3873" s="291"/>
      <c r="S3873" s="364"/>
      <c r="Z3873" s="609" t="s">
        <v>3975</v>
      </c>
      <c r="AA3873" s="609" t="s">
        <v>5682</v>
      </c>
    </row>
    <row r="3874" spans="1:27" ht="18">
      <c r="A3874" s="2714"/>
      <c r="B3874" s="371">
        <v>102</v>
      </c>
      <c r="C3874" s="371" t="s">
        <v>2791</v>
      </c>
      <c r="D3874" s="2716">
        <f t="shared" si="437"/>
        <v>0</v>
      </c>
      <c r="E3874" s="2721">
        <v>1</v>
      </c>
      <c r="F3874" s="294"/>
      <c r="G3874" s="2375" t="s">
        <v>2792</v>
      </c>
      <c r="H3874" s="2275"/>
      <c r="I3874" s="2298"/>
      <c r="J3874" s="2276"/>
      <c r="K3874" s="291"/>
      <c r="L3874" s="291"/>
      <c r="M3874" s="291"/>
      <c r="N3874" s="291"/>
      <c r="S3874" s="364"/>
      <c r="Z3874" s="609" t="s">
        <v>3975</v>
      </c>
      <c r="AA3874" s="609" t="s">
        <v>5682</v>
      </c>
    </row>
    <row r="3875" spans="1:27" ht="18">
      <c r="A3875" s="2714"/>
      <c r="B3875" s="371">
        <v>103</v>
      </c>
      <c r="C3875" s="371" t="s">
        <v>2791</v>
      </c>
      <c r="D3875" s="2716">
        <f t="shared" si="437"/>
        <v>0</v>
      </c>
      <c r="E3875" s="2721">
        <v>1</v>
      </c>
      <c r="F3875" s="294"/>
      <c r="G3875" s="2375" t="s">
        <v>2792</v>
      </c>
      <c r="H3875" s="2275"/>
      <c r="I3875" s="2298"/>
      <c r="J3875" s="2276"/>
      <c r="K3875" s="291"/>
      <c r="L3875" s="291"/>
      <c r="M3875" s="291"/>
      <c r="N3875" s="291"/>
      <c r="S3875" s="364"/>
      <c r="Z3875" s="609" t="s">
        <v>3975</v>
      </c>
      <c r="AA3875" s="609" t="s">
        <v>5682</v>
      </c>
    </row>
    <row r="3876" spans="1:27" ht="18">
      <c r="A3876" s="2714"/>
      <c r="B3876" s="371">
        <v>104</v>
      </c>
      <c r="C3876" s="371" t="s">
        <v>2791</v>
      </c>
      <c r="D3876" s="2716">
        <f t="shared" si="437"/>
        <v>0</v>
      </c>
      <c r="E3876" s="2721">
        <v>1</v>
      </c>
      <c r="F3876" s="294"/>
      <c r="G3876" s="2375" t="s">
        <v>2792</v>
      </c>
      <c r="H3876" s="2275"/>
      <c r="I3876" s="2298"/>
      <c r="J3876" s="2276"/>
      <c r="K3876" s="291"/>
      <c r="L3876" s="291"/>
      <c r="M3876" s="291"/>
      <c r="N3876" s="291"/>
      <c r="S3876" s="364"/>
      <c r="Z3876" s="609" t="s">
        <v>3975</v>
      </c>
      <c r="AA3876" s="609" t="s">
        <v>5682</v>
      </c>
    </row>
    <row r="3877" spans="1:27" ht="18">
      <c r="A3877" s="2714"/>
      <c r="B3877" s="371">
        <v>105</v>
      </c>
      <c r="C3877" s="371" t="s">
        <v>2791</v>
      </c>
      <c r="D3877" s="2716">
        <f t="shared" si="437"/>
        <v>0</v>
      </c>
      <c r="E3877" s="2721">
        <v>1</v>
      </c>
      <c r="F3877" s="294"/>
      <c r="G3877" s="2375" t="s">
        <v>2792</v>
      </c>
      <c r="H3877" s="2275"/>
      <c r="I3877" s="2298"/>
      <c r="J3877" s="2276"/>
      <c r="K3877" s="291"/>
      <c r="L3877" s="291"/>
      <c r="M3877" s="291"/>
      <c r="N3877" s="291"/>
      <c r="S3877" s="364"/>
      <c r="Z3877" s="609" t="s">
        <v>3975</v>
      </c>
      <c r="AA3877" s="609" t="s">
        <v>5682</v>
      </c>
    </row>
    <row r="3878" spans="1:27" ht="18.75" thickBot="1">
      <c r="A3878" s="2714"/>
      <c r="B3878" s="371"/>
      <c r="C3878" s="371"/>
      <c r="D3878" s="2716">
        <f t="shared" si="437"/>
        <v>1</v>
      </c>
      <c r="E3878" s="2721" t="s">
        <v>2751</v>
      </c>
      <c r="F3878" s="294"/>
      <c r="G3878" s="1529" t="s">
        <v>2752</v>
      </c>
      <c r="H3878" s="1527">
        <f>SUMPRODUCT($E3872:$E3877,H3872:H3877)</f>
        <v>0</v>
      </c>
      <c r="I3878" s="2316"/>
      <c r="J3878" s="2266"/>
      <c r="K3878" s="291"/>
      <c r="L3878" s="291"/>
      <c r="M3878" s="291"/>
      <c r="N3878" s="291"/>
      <c r="S3878" s="364"/>
      <c r="Z3878" s="609" t="s">
        <v>3975</v>
      </c>
      <c r="AA3878" s="609" t="s">
        <v>5682</v>
      </c>
    </row>
    <row r="3879" spans="1:27" ht="18">
      <c r="A3879" s="2714"/>
      <c r="B3879" s="371"/>
      <c r="C3879" s="371" t="s">
        <v>2755</v>
      </c>
      <c r="D3879" s="371"/>
      <c r="F3879" s="294"/>
      <c r="G3879" s="301"/>
      <c r="H3879" s="315"/>
      <c r="I3879" s="393"/>
      <c r="J3879" s="393"/>
      <c r="K3879" s="291"/>
      <c r="L3879" s="291"/>
      <c r="M3879" s="291"/>
      <c r="N3879" s="291"/>
      <c r="S3879" s="364"/>
      <c r="Z3879" s="609" t="s">
        <v>3975</v>
      </c>
      <c r="AA3879" s="609" t="s">
        <v>5682</v>
      </c>
    </row>
    <row r="3880" spans="1:27" ht="18">
      <c r="A3880" s="2714" t="s">
        <v>1584</v>
      </c>
      <c r="B3880" s="371">
        <v>5</v>
      </c>
      <c r="C3880" s="371"/>
      <c r="D3880" s="2716" t="str">
        <f>VLOOKUP($A3880,Sheet_NoteList,2,0)</f>
        <v>外币其他应付款</v>
      </c>
      <c r="E3880" s="2716" t="s">
        <v>6531</v>
      </c>
      <c r="F3880" s="294"/>
      <c r="G3880" s="307" t="str">
        <f>"("&amp;B3880&amp;")"&amp;D3880</f>
        <v>(5)外币其他应付款</v>
      </c>
      <c r="H3880" s="1517" t="str">
        <f>$A3880</f>
        <v>2241g</v>
      </c>
      <c r="I3880" s="343" t="s">
        <v>5578</v>
      </c>
      <c r="J3880" s="301" t="s">
        <v>5579</v>
      </c>
      <c r="K3880" s="2210">
        <f>J3888</f>
        <v>0</v>
      </c>
      <c r="L3880" s="345"/>
      <c r="M3880" s="301"/>
      <c r="N3880" s="391"/>
      <c r="O3880" s="345"/>
      <c r="P3880" s="301"/>
      <c r="Q3880" s="290" t="str">
        <f>IF($I3880="不适用","",IF(ROUND(SUM($H$3883:$J$3888),2)=0,"请输入",""))</f>
        <v>请输入</v>
      </c>
      <c r="S3880" s="364"/>
      <c r="Z3880" s="609" t="s">
        <v>3975</v>
      </c>
      <c r="AA3880" s="609" t="s">
        <v>5682</v>
      </c>
    </row>
    <row r="3881" spans="1:27" ht="0.75" customHeight="1" thickBot="1">
      <c r="A3881" s="2714"/>
      <c r="B3881" s="371"/>
      <c r="C3881" s="371"/>
      <c r="D3881" s="371"/>
      <c r="F3881" s="304"/>
      <c r="G3881" s="304" t="s">
        <v>3980</v>
      </c>
      <c r="H3881" s="304" t="s">
        <v>3073</v>
      </c>
      <c r="I3881" s="304" t="s">
        <v>3074</v>
      </c>
      <c r="J3881" s="304" t="s">
        <v>3075</v>
      </c>
      <c r="K3881" s="387"/>
      <c r="S3881" s="364"/>
      <c r="Z3881" s="609" t="s">
        <v>3975</v>
      </c>
      <c r="AA3881" s="609" t="s">
        <v>5682</v>
      </c>
    </row>
    <row r="3882" spans="1:27" ht="24">
      <c r="A3882" s="2714"/>
      <c r="B3882" s="371"/>
      <c r="C3882" s="371"/>
      <c r="D3882" s="371"/>
      <c r="E3882" s="2716" t="s">
        <v>2749</v>
      </c>
      <c r="F3882" s="294"/>
      <c r="G3882" s="1630" t="s">
        <v>1371</v>
      </c>
      <c r="H3882" s="1622" t="s">
        <v>3076</v>
      </c>
      <c r="I3882" s="1622" t="s">
        <v>3077</v>
      </c>
      <c r="J3882" s="1623" t="s">
        <v>3078</v>
      </c>
      <c r="K3882" s="355" t="s">
        <v>5604</v>
      </c>
      <c r="L3882" s="291"/>
      <c r="S3882" s="364"/>
      <c r="Z3882" s="609" t="s">
        <v>3975</v>
      </c>
      <c r="AA3882" s="609" t="s">
        <v>5682</v>
      </c>
    </row>
    <row r="3883" spans="1:27" ht="18">
      <c r="A3883" s="2714"/>
      <c r="B3883" s="371">
        <v>101</v>
      </c>
      <c r="C3883" s="371" t="s">
        <v>2791</v>
      </c>
      <c r="D3883" s="2716">
        <f t="shared" ref="D3883:D3888" si="438">IF(OR(G3883="*",G3883="",G3883=0),0,COUNTIF($G$3883:$G$3888,G3883))</f>
        <v>1</v>
      </c>
      <c r="E3883" s="2721">
        <v>1</v>
      </c>
      <c r="F3883" s="294"/>
      <c r="G3883" s="1625" t="s">
        <v>3079</v>
      </c>
      <c r="H3883" s="309"/>
      <c r="I3883" s="360"/>
      <c r="J3883" s="346"/>
      <c r="K3883" s="355" t="s">
        <v>5364</v>
      </c>
      <c r="L3883" s="1522" t="s">
        <v>5365</v>
      </c>
      <c r="S3883" s="364"/>
      <c r="Z3883" s="609" t="s">
        <v>3975</v>
      </c>
      <c r="AA3883" s="609" t="s">
        <v>5682</v>
      </c>
    </row>
    <row r="3884" spans="1:27" ht="18">
      <c r="A3884" s="2714"/>
      <c r="B3884" s="371">
        <v>102</v>
      </c>
      <c r="C3884" s="371" t="s">
        <v>2791</v>
      </c>
      <c r="D3884" s="2716">
        <f t="shared" si="438"/>
        <v>1</v>
      </c>
      <c r="E3884" s="2721">
        <v>1</v>
      </c>
      <c r="F3884" s="294"/>
      <c r="G3884" s="1625" t="s">
        <v>3080</v>
      </c>
      <c r="H3884" s="309"/>
      <c r="I3884" s="360"/>
      <c r="J3884" s="346"/>
      <c r="S3884" s="364"/>
      <c r="Z3884" s="609" t="s">
        <v>3975</v>
      </c>
      <c r="AA3884" s="609" t="s">
        <v>5682</v>
      </c>
    </row>
    <row r="3885" spans="1:27" ht="18">
      <c r="A3885" s="2714"/>
      <c r="B3885" s="371">
        <v>103</v>
      </c>
      <c r="C3885" s="371" t="s">
        <v>2791</v>
      </c>
      <c r="D3885" s="2716">
        <f t="shared" si="438"/>
        <v>1</v>
      </c>
      <c r="E3885" s="2721">
        <v>1</v>
      </c>
      <c r="F3885" s="294"/>
      <c r="G3885" s="1625" t="s">
        <v>3081</v>
      </c>
      <c r="H3885" s="309"/>
      <c r="I3885" s="360"/>
      <c r="J3885" s="346"/>
      <c r="S3885" s="364"/>
      <c r="Z3885" s="609" t="s">
        <v>3975</v>
      </c>
      <c r="AA3885" s="609" t="s">
        <v>5682</v>
      </c>
    </row>
    <row r="3886" spans="1:27" ht="18">
      <c r="A3886" s="2714"/>
      <c r="B3886" s="371">
        <v>104</v>
      </c>
      <c r="C3886" s="371" t="s">
        <v>2791</v>
      </c>
      <c r="D3886" s="2716">
        <f t="shared" si="438"/>
        <v>0</v>
      </c>
      <c r="E3886" s="2721">
        <v>1</v>
      </c>
      <c r="F3886" s="294"/>
      <c r="G3886" s="1625" t="s">
        <v>2792</v>
      </c>
      <c r="H3886" s="309"/>
      <c r="I3886" s="360"/>
      <c r="J3886" s="346"/>
      <c r="S3886" s="364"/>
      <c r="Z3886" s="609" t="s">
        <v>3975</v>
      </c>
      <c r="AA3886" s="609" t="s">
        <v>5682</v>
      </c>
    </row>
    <row r="3887" spans="1:27" ht="18">
      <c r="A3887" s="2714"/>
      <c r="B3887" s="371">
        <v>105</v>
      </c>
      <c r="C3887" s="371" t="s">
        <v>2791</v>
      </c>
      <c r="D3887" s="2716">
        <f t="shared" si="438"/>
        <v>0</v>
      </c>
      <c r="E3887" s="2721">
        <v>1</v>
      </c>
      <c r="F3887" s="294"/>
      <c r="G3887" s="1625" t="s">
        <v>2792</v>
      </c>
      <c r="H3887" s="309"/>
      <c r="I3887" s="360"/>
      <c r="J3887" s="346"/>
      <c r="S3887" s="364"/>
      <c r="Z3887" s="609" t="s">
        <v>3975</v>
      </c>
      <c r="AA3887" s="609" t="s">
        <v>5682</v>
      </c>
    </row>
    <row r="3888" spans="1:27" ht="18.75" thickBot="1">
      <c r="A3888" s="2714"/>
      <c r="B3888" s="371"/>
      <c r="C3888" s="371"/>
      <c r="D3888" s="2716">
        <f t="shared" si="438"/>
        <v>1</v>
      </c>
      <c r="E3888" s="2721" t="s">
        <v>3032</v>
      </c>
      <c r="F3888" s="294"/>
      <c r="G3888" s="1529" t="s">
        <v>2752</v>
      </c>
      <c r="H3888" s="1525"/>
      <c r="I3888" s="1526"/>
      <c r="J3888" s="1528">
        <f>SUMPRODUCT($E3882:$E3887,J3882:J3887)</f>
        <v>0</v>
      </c>
      <c r="S3888" s="364"/>
      <c r="Z3888" s="609" t="s">
        <v>3975</v>
      </c>
      <c r="AA3888" s="609" t="s">
        <v>5682</v>
      </c>
    </row>
    <row r="3889" spans="1:27" ht="18">
      <c r="A3889" s="2714"/>
      <c r="B3889" s="371"/>
      <c r="C3889" s="371" t="s">
        <v>2755</v>
      </c>
      <c r="D3889" s="371"/>
      <c r="F3889" s="294"/>
      <c r="G3889" s="301"/>
      <c r="H3889" s="315"/>
      <c r="I3889" s="393"/>
      <c r="J3889" s="315"/>
      <c r="S3889" s="364"/>
      <c r="Z3889" s="609" t="s">
        <v>3975</v>
      </c>
      <c r="AA3889" s="609" t="s">
        <v>5682</v>
      </c>
    </row>
    <row r="3890" spans="1:27" ht="24">
      <c r="A3890" s="2714" t="s">
        <v>1574</v>
      </c>
      <c r="B3890" s="371">
        <v>6</v>
      </c>
      <c r="C3890" s="371"/>
      <c r="D3890" s="2716" t="str">
        <f>VLOOKUP($A3890,Sheet_NoteList,2,0)</f>
        <v>关联方应收应付款项——其他应付款</v>
      </c>
      <c r="E3890" s="2716" t="s">
        <v>6531</v>
      </c>
      <c r="F3890" s="294"/>
      <c r="G3890" s="372" t="str">
        <f>"("&amp;B3890&amp;")"&amp;D3890</f>
        <v>(6)关联方应收应付款项——其他应付款</v>
      </c>
      <c r="H3890" s="1517" t="str">
        <f>$A3890</f>
        <v>2241a</v>
      </c>
      <c r="I3890" s="343" t="s">
        <v>5614</v>
      </c>
      <c r="J3890" s="301"/>
      <c r="K3890" s="3083"/>
      <c r="L3890" s="315"/>
      <c r="M3890" s="301"/>
      <c r="N3890" s="3083"/>
      <c r="O3890" s="315"/>
      <c r="P3890" s="301"/>
      <c r="Q3890" s="290" t="str">
        <f>IF($I3890="不适用","",IF(ROUND(SUM($H$3893:$I$3898),2)=0,"请输入",""))</f>
        <v>请输入</v>
      </c>
      <c r="S3890" s="364"/>
      <c r="Z3890" s="609" t="s">
        <v>3975</v>
      </c>
      <c r="AA3890" s="609" t="s">
        <v>5682</v>
      </c>
    </row>
    <row r="3891" spans="1:27" ht="0.75" customHeight="1" thickBot="1">
      <c r="A3891" s="2714"/>
      <c r="B3891" s="371"/>
      <c r="C3891" s="371"/>
      <c r="D3891" s="371"/>
      <c r="F3891" s="304"/>
      <c r="G3891" s="304" t="s">
        <v>3981</v>
      </c>
      <c r="H3891" s="304" t="s">
        <v>2747</v>
      </c>
      <c r="I3891" s="304" t="s">
        <v>2748</v>
      </c>
      <c r="J3891" s="291"/>
      <c r="K3891" s="291"/>
      <c r="L3891" s="291"/>
      <c r="M3891" s="291"/>
      <c r="S3891" s="364"/>
      <c r="Z3891" s="609" t="s">
        <v>3975</v>
      </c>
      <c r="AA3891" s="609" t="s">
        <v>5682</v>
      </c>
    </row>
    <row r="3892" spans="1:27" ht="18">
      <c r="A3892" s="2714"/>
      <c r="B3892" s="371"/>
      <c r="C3892" s="371"/>
      <c r="D3892" s="371"/>
      <c r="E3892" s="2716" t="s">
        <v>2749</v>
      </c>
      <c r="F3892" s="294"/>
      <c r="G3892" s="1633" t="s">
        <v>1423</v>
      </c>
      <c r="H3892" s="1631" t="s">
        <v>2775</v>
      </c>
      <c r="I3892" s="1632" t="s">
        <v>2776</v>
      </c>
      <c r="J3892" s="343" t="s">
        <v>3089</v>
      </c>
      <c r="K3892" s="291"/>
      <c r="L3892" s="291"/>
      <c r="M3892" s="291"/>
      <c r="S3892" s="364"/>
      <c r="Z3892" s="609" t="s">
        <v>3975</v>
      </c>
      <c r="AA3892" s="609" t="s">
        <v>5682</v>
      </c>
    </row>
    <row r="3893" spans="1:27" ht="18">
      <c r="A3893" s="2714"/>
      <c r="B3893" s="371">
        <v>101</v>
      </c>
      <c r="C3893" s="371" t="s">
        <v>2791</v>
      </c>
      <c r="D3893" s="2716">
        <f t="shared" ref="D3893:D3898" si="439">IF(OR(G3893="*",G3893="",G3893=0),0,COUNTIF($G$3893:$G$3898,G3893))</f>
        <v>0</v>
      </c>
      <c r="E3893" s="2721">
        <v>1</v>
      </c>
      <c r="F3893" s="294"/>
      <c r="G3893" s="1634" t="s">
        <v>2792</v>
      </c>
      <c r="H3893" s="309"/>
      <c r="I3893" s="346"/>
      <c r="J3893" s="355" t="s">
        <v>5364</v>
      </c>
      <c r="K3893" s="1522" t="s">
        <v>5613</v>
      </c>
      <c r="L3893" s="291"/>
      <c r="M3893" s="291"/>
      <c r="S3893" s="364"/>
      <c r="Z3893" s="609" t="s">
        <v>3975</v>
      </c>
      <c r="AA3893" s="609" t="s">
        <v>5682</v>
      </c>
    </row>
    <row r="3894" spans="1:27" ht="18">
      <c r="A3894" s="2714"/>
      <c r="B3894" s="371">
        <v>102</v>
      </c>
      <c r="C3894" s="371" t="s">
        <v>2791</v>
      </c>
      <c r="D3894" s="2716">
        <f t="shared" si="439"/>
        <v>0</v>
      </c>
      <c r="E3894" s="2721">
        <v>1</v>
      </c>
      <c r="F3894" s="294"/>
      <c r="G3894" s="1634" t="s">
        <v>2792</v>
      </c>
      <c r="H3894" s="309"/>
      <c r="I3894" s="346"/>
      <c r="J3894" s="291"/>
      <c r="K3894" s="291"/>
      <c r="L3894" s="291"/>
      <c r="M3894" s="291"/>
      <c r="S3894" s="364"/>
      <c r="Z3894" s="609" t="s">
        <v>3975</v>
      </c>
      <c r="AA3894" s="609" t="s">
        <v>5682</v>
      </c>
    </row>
    <row r="3895" spans="1:27" ht="18">
      <c r="A3895" s="2714"/>
      <c r="B3895" s="371">
        <v>103</v>
      </c>
      <c r="C3895" s="371" t="s">
        <v>2791</v>
      </c>
      <c r="D3895" s="2716">
        <f t="shared" si="439"/>
        <v>0</v>
      </c>
      <c r="E3895" s="2721">
        <v>1</v>
      </c>
      <c r="F3895" s="294"/>
      <c r="G3895" s="1634" t="s">
        <v>2792</v>
      </c>
      <c r="H3895" s="309"/>
      <c r="I3895" s="346"/>
      <c r="J3895" s="291"/>
      <c r="K3895" s="291"/>
      <c r="L3895" s="291"/>
      <c r="M3895" s="291"/>
      <c r="S3895" s="364"/>
      <c r="Z3895" s="609" t="s">
        <v>3975</v>
      </c>
      <c r="AA3895" s="609" t="s">
        <v>5682</v>
      </c>
    </row>
    <row r="3896" spans="1:27" ht="18">
      <c r="A3896" s="2714"/>
      <c r="B3896" s="371">
        <v>104</v>
      </c>
      <c r="C3896" s="371" t="s">
        <v>2791</v>
      </c>
      <c r="D3896" s="2716">
        <f t="shared" si="439"/>
        <v>0</v>
      </c>
      <c r="E3896" s="2721">
        <v>1</v>
      </c>
      <c r="F3896" s="294"/>
      <c r="G3896" s="1634" t="s">
        <v>2792</v>
      </c>
      <c r="H3896" s="309"/>
      <c r="I3896" s="346"/>
      <c r="J3896" s="291"/>
      <c r="K3896" s="291"/>
      <c r="L3896" s="291"/>
      <c r="M3896" s="291"/>
      <c r="S3896" s="364"/>
      <c r="Z3896" s="609" t="s">
        <v>3975</v>
      </c>
      <c r="AA3896" s="609" t="s">
        <v>5682</v>
      </c>
    </row>
    <row r="3897" spans="1:27" ht="18">
      <c r="A3897" s="2714"/>
      <c r="B3897" s="371">
        <v>105</v>
      </c>
      <c r="C3897" s="371" t="s">
        <v>2791</v>
      </c>
      <c r="D3897" s="2716">
        <f t="shared" si="439"/>
        <v>0</v>
      </c>
      <c r="E3897" s="2721">
        <v>1</v>
      </c>
      <c r="F3897" s="294"/>
      <c r="G3897" s="1634" t="s">
        <v>2792</v>
      </c>
      <c r="H3897" s="309"/>
      <c r="I3897" s="346"/>
      <c r="J3897" s="291"/>
      <c r="K3897" s="291"/>
      <c r="L3897" s="291"/>
      <c r="M3897" s="291"/>
      <c r="S3897" s="364"/>
      <c r="Z3897" s="609" t="s">
        <v>3975</v>
      </c>
      <c r="AA3897" s="609" t="s">
        <v>5682</v>
      </c>
    </row>
    <row r="3898" spans="1:27" ht="18.75" thickBot="1">
      <c r="A3898" s="2714"/>
      <c r="B3898" s="371"/>
      <c r="C3898" s="371"/>
      <c r="D3898" s="2716">
        <f t="shared" si="439"/>
        <v>1</v>
      </c>
      <c r="E3898" s="2721" t="s">
        <v>2751</v>
      </c>
      <c r="F3898" s="294"/>
      <c r="G3898" s="1529" t="s">
        <v>2752</v>
      </c>
      <c r="H3898" s="1527">
        <f>SUMPRODUCT($E3892:$E3897,H3892:H3897)</f>
        <v>0</v>
      </c>
      <c r="I3898" s="1528">
        <f>SUMPRODUCT($E3892:$E3897,I3892:I3897)</f>
        <v>0</v>
      </c>
      <c r="J3898" s="291"/>
      <c r="K3898" s="291"/>
      <c r="L3898" s="291"/>
      <c r="M3898" s="291"/>
      <c r="S3898" s="364"/>
      <c r="Z3898" s="609" t="s">
        <v>3975</v>
      </c>
      <c r="AA3898" s="609" t="s">
        <v>5682</v>
      </c>
    </row>
    <row r="3899" spans="1:27" ht="18">
      <c r="A3899" s="2714"/>
      <c r="B3899" s="371"/>
      <c r="C3899" s="371" t="s">
        <v>2755</v>
      </c>
      <c r="D3899" s="371"/>
      <c r="F3899" s="294"/>
      <c r="G3899" s="301"/>
      <c r="H3899" s="315"/>
      <c r="I3899" s="315"/>
      <c r="J3899" s="291"/>
      <c r="K3899" s="291"/>
      <c r="L3899" s="291"/>
      <c r="M3899" s="291"/>
      <c r="S3899" s="364"/>
      <c r="Z3899" s="609" t="s">
        <v>3975</v>
      </c>
      <c r="AA3899" s="609" t="s">
        <v>5682</v>
      </c>
    </row>
    <row r="3900" spans="1:27" ht="18">
      <c r="A3900" s="2714" t="s">
        <v>1589</v>
      </c>
      <c r="B3900" s="371">
        <v>7</v>
      </c>
      <c r="C3900" s="371"/>
      <c r="D3900" s="2716" t="str">
        <f>VLOOKUP($A3900,Sheet_NoteList,2,0)</f>
        <v>其他应付款补充资料</v>
      </c>
      <c r="E3900" s="2716" t="s">
        <v>6531</v>
      </c>
      <c r="F3900" s="294"/>
      <c r="G3900" s="597" t="str">
        <f>"("&amp;B3900&amp;")"&amp;D3900</f>
        <v>(7)其他应付款补充资料</v>
      </c>
      <c r="H3900" s="1517" t="str">
        <f>$A3900</f>
        <v>2241x</v>
      </c>
      <c r="I3900" s="343" t="s">
        <v>5965</v>
      </c>
      <c r="J3900" s="301" t="s">
        <v>5963</v>
      </c>
      <c r="K3900" s="2210">
        <f>H3917</f>
        <v>0</v>
      </c>
      <c r="L3900" s="345"/>
      <c r="M3900" s="301"/>
      <c r="N3900" s="3083"/>
      <c r="O3900" s="315"/>
      <c r="P3900" s="301"/>
      <c r="S3900" s="364"/>
      <c r="Z3900" s="609" t="s">
        <v>3975</v>
      </c>
      <c r="AA3900" s="609" t="s">
        <v>5682</v>
      </c>
    </row>
    <row r="3901" spans="1:27" ht="0.75" customHeight="1" thickBot="1">
      <c r="A3901" s="2714"/>
      <c r="B3901" s="371"/>
      <c r="C3901" s="371"/>
      <c r="D3901" s="371"/>
      <c r="F3901" s="371"/>
      <c r="G3901" s="371" t="s">
        <v>3982</v>
      </c>
      <c r="H3901" s="371" t="s">
        <v>2747</v>
      </c>
      <c r="I3901" s="371" t="s">
        <v>3859</v>
      </c>
      <c r="K3901" s="291"/>
      <c r="L3901" s="291"/>
      <c r="M3901" s="291"/>
      <c r="N3901" s="291"/>
      <c r="S3901" s="364"/>
      <c r="Z3901" s="609" t="s">
        <v>3975</v>
      </c>
      <c r="AA3901" s="609" t="s">
        <v>5682</v>
      </c>
    </row>
    <row r="3902" spans="1:27" ht="18">
      <c r="A3902" s="2714"/>
      <c r="B3902" s="371"/>
      <c r="C3902" s="371"/>
      <c r="D3902" s="371"/>
      <c r="E3902" s="2716" t="s">
        <v>2749</v>
      </c>
      <c r="F3902" s="294"/>
      <c r="G3902" s="2386" t="s">
        <v>1465</v>
      </c>
      <c r="H3902" s="2398" t="s">
        <v>2775</v>
      </c>
      <c r="I3902" s="2388" t="s">
        <v>2508</v>
      </c>
      <c r="J3902" s="355" t="s">
        <v>6141</v>
      </c>
      <c r="K3902" s="291"/>
      <c r="L3902" s="291"/>
      <c r="M3902" s="291"/>
      <c r="N3902" s="291"/>
      <c r="S3902" s="364"/>
      <c r="Z3902" s="609" t="s">
        <v>3975</v>
      </c>
      <c r="AA3902" s="609" t="s">
        <v>5682</v>
      </c>
    </row>
    <row r="3903" spans="1:27" ht="24">
      <c r="A3903" s="2714"/>
      <c r="B3903" s="371">
        <v>101</v>
      </c>
      <c r="C3903" s="371"/>
      <c r="D3903" s="2716">
        <f t="shared" ref="D3903:D3917" si="440">IF(OR(G3903="*",G3903="",G3903=0),0,COUNTIF($G$3903:$G$3917,G3903))</f>
        <v>1</v>
      </c>
      <c r="E3903" s="2721" t="s">
        <v>41</v>
      </c>
      <c r="F3903" s="294"/>
      <c r="G3903" s="308" t="s">
        <v>3983</v>
      </c>
      <c r="H3903" s="309"/>
      <c r="I3903" s="388"/>
      <c r="J3903" s="579"/>
      <c r="K3903" s="291"/>
      <c r="L3903" s="291"/>
      <c r="M3903" s="291"/>
      <c r="N3903" s="291"/>
      <c r="S3903" s="364"/>
      <c r="Z3903" s="609" t="s">
        <v>3975</v>
      </c>
      <c r="AA3903" s="609" t="s">
        <v>5682</v>
      </c>
    </row>
    <row r="3904" spans="1:27" ht="18">
      <c r="A3904" s="2714"/>
      <c r="B3904" s="371">
        <v>101.001</v>
      </c>
      <c r="C3904" s="371" t="s">
        <v>2791</v>
      </c>
      <c r="D3904" s="2716">
        <f t="shared" si="440"/>
        <v>0</v>
      </c>
      <c r="E3904" s="2721" t="s">
        <v>3984</v>
      </c>
      <c r="F3904" s="294"/>
      <c r="G3904" s="319" t="s">
        <v>2792</v>
      </c>
      <c r="H3904" s="309"/>
      <c r="I3904" s="388"/>
      <c r="K3904" s="291"/>
      <c r="L3904" s="291"/>
      <c r="M3904" s="291"/>
      <c r="N3904" s="291"/>
      <c r="S3904" s="364"/>
      <c r="Z3904" s="609" t="s">
        <v>3975</v>
      </c>
      <c r="AA3904" s="609" t="s">
        <v>5682</v>
      </c>
    </row>
    <row r="3905" spans="1:27" ht="18">
      <c r="A3905" s="2714"/>
      <c r="B3905" s="371">
        <v>101.002</v>
      </c>
      <c r="C3905" s="371" t="s">
        <v>2791</v>
      </c>
      <c r="D3905" s="2716">
        <f t="shared" si="440"/>
        <v>0</v>
      </c>
      <c r="E3905" s="2721" t="s">
        <v>3984</v>
      </c>
      <c r="F3905" s="294"/>
      <c r="G3905" s="319" t="s">
        <v>2792</v>
      </c>
      <c r="H3905" s="309"/>
      <c r="I3905" s="388"/>
      <c r="K3905" s="291"/>
      <c r="L3905" s="291"/>
      <c r="M3905" s="291"/>
      <c r="N3905" s="291"/>
      <c r="S3905" s="364"/>
      <c r="Z3905" s="609" t="s">
        <v>3975</v>
      </c>
      <c r="AA3905" s="609" t="s">
        <v>5682</v>
      </c>
    </row>
    <row r="3906" spans="1:27" ht="18">
      <c r="A3906" s="2714"/>
      <c r="B3906" s="371">
        <v>101.003</v>
      </c>
      <c r="C3906" s="371" t="s">
        <v>2791</v>
      </c>
      <c r="D3906" s="2716">
        <f t="shared" si="440"/>
        <v>0</v>
      </c>
      <c r="E3906" s="2721" t="s">
        <v>3984</v>
      </c>
      <c r="F3906" s="294"/>
      <c r="G3906" s="319" t="s">
        <v>2792</v>
      </c>
      <c r="H3906" s="309"/>
      <c r="I3906" s="388"/>
      <c r="K3906" s="291"/>
      <c r="L3906" s="291"/>
      <c r="M3906" s="291"/>
      <c r="N3906" s="291"/>
      <c r="S3906" s="364"/>
      <c r="Z3906" s="609" t="s">
        <v>3975</v>
      </c>
      <c r="AA3906" s="609" t="s">
        <v>5682</v>
      </c>
    </row>
    <row r="3907" spans="1:27" ht="18">
      <c r="A3907" s="2714"/>
      <c r="B3907" s="371">
        <v>101.004</v>
      </c>
      <c r="C3907" s="371" t="s">
        <v>2791</v>
      </c>
      <c r="D3907" s="2716">
        <f t="shared" si="440"/>
        <v>0</v>
      </c>
      <c r="E3907" s="2721" t="s">
        <v>3984</v>
      </c>
      <c r="F3907" s="294"/>
      <c r="G3907" s="319" t="s">
        <v>2792</v>
      </c>
      <c r="H3907" s="309"/>
      <c r="I3907" s="388"/>
      <c r="K3907" s="291"/>
      <c r="L3907" s="291"/>
      <c r="M3907" s="291"/>
      <c r="N3907" s="291"/>
      <c r="S3907" s="364"/>
      <c r="Z3907" s="609" t="s">
        <v>3975</v>
      </c>
      <c r="AA3907" s="609" t="s">
        <v>5682</v>
      </c>
    </row>
    <row r="3908" spans="1:27" ht="18">
      <c r="A3908" s="2714"/>
      <c r="B3908" s="371">
        <v>101.005</v>
      </c>
      <c r="C3908" s="371" t="s">
        <v>2791</v>
      </c>
      <c r="D3908" s="2716">
        <f t="shared" si="440"/>
        <v>0</v>
      </c>
      <c r="E3908" s="2721" t="s">
        <v>3984</v>
      </c>
      <c r="F3908" s="294"/>
      <c r="G3908" s="319" t="s">
        <v>2792</v>
      </c>
      <c r="H3908" s="309"/>
      <c r="I3908" s="388"/>
      <c r="K3908" s="291"/>
      <c r="L3908" s="291"/>
      <c r="M3908" s="291"/>
      <c r="N3908" s="291"/>
      <c r="S3908" s="364"/>
      <c r="Z3908" s="609" t="s">
        <v>3975</v>
      </c>
      <c r="AA3908" s="609" t="s">
        <v>5682</v>
      </c>
    </row>
    <row r="3909" spans="1:27" ht="24">
      <c r="A3909" s="2714"/>
      <c r="B3909" s="371">
        <v>101.999</v>
      </c>
      <c r="C3909" s="371" t="s">
        <v>2793</v>
      </c>
      <c r="D3909" s="2716">
        <f t="shared" si="440"/>
        <v>1</v>
      </c>
      <c r="E3909" s="2721">
        <v>1</v>
      </c>
      <c r="F3909" s="294"/>
      <c r="G3909" s="603" t="s">
        <v>3984</v>
      </c>
      <c r="H3909" s="377">
        <f>SUMIF($E$3902:$E$3916,$G3909,H$3902:H$3916)</f>
        <v>0</v>
      </c>
      <c r="I3909" s="388"/>
      <c r="K3909" s="291"/>
      <c r="L3909" s="291"/>
      <c r="M3909" s="291"/>
      <c r="N3909" s="291"/>
      <c r="S3909" s="364"/>
      <c r="Z3909" s="609" t="s">
        <v>3975</v>
      </c>
      <c r="AA3909" s="609" t="s">
        <v>5682</v>
      </c>
    </row>
    <row r="3910" spans="1:27" ht="18">
      <c r="A3910" s="2714"/>
      <c r="B3910" s="371">
        <v>102</v>
      </c>
      <c r="C3910" s="371"/>
      <c r="D3910" s="2716">
        <f t="shared" si="440"/>
        <v>1</v>
      </c>
      <c r="E3910" s="2721" t="s">
        <v>41</v>
      </c>
      <c r="F3910" s="294"/>
      <c r="G3910" s="308" t="s">
        <v>3871</v>
      </c>
      <c r="H3910" s="309"/>
      <c r="I3910" s="388"/>
      <c r="K3910" s="291"/>
      <c r="L3910" s="291"/>
      <c r="M3910" s="291"/>
      <c r="N3910" s="291"/>
      <c r="S3910" s="364"/>
      <c r="Z3910" s="609" t="s">
        <v>3975</v>
      </c>
      <c r="AA3910" s="609" t="s">
        <v>5682</v>
      </c>
    </row>
    <row r="3911" spans="1:27" ht="18">
      <c r="A3911" s="2714"/>
      <c r="B3911" s="371">
        <v>102.001</v>
      </c>
      <c r="C3911" s="371" t="s">
        <v>2791</v>
      </c>
      <c r="D3911" s="2716">
        <f t="shared" si="440"/>
        <v>0</v>
      </c>
      <c r="E3911" s="2721" t="s">
        <v>3872</v>
      </c>
      <c r="F3911" s="294"/>
      <c r="G3911" s="319" t="s">
        <v>2792</v>
      </c>
      <c r="H3911" s="309"/>
      <c r="I3911" s="388"/>
      <c r="K3911" s="291"/>
      <c r="L3911" s="291"/>
      <c r="M3911" s="291"/>
      <c r="N3911" s="291"/>
      <c r="S3911" s="364"/>
      <c r="Z3911" s="609" t="s">
        <v>3975</v>
      </c>
      <c r="AA3911" s="609" t="s">
        <v>5682</v>
      </c>
    </row>
    <row r="3912" spans="1:27" ht="18">
      <c r="A3912" s="2714"/>
      <c r="B3912" s="371">
        <v>102.002</v>
      </c>
      <c r="C3912" s="371" t="s">
        <v>2791</v>
      </c>
      <c r="D3912" s="2716">
        <f t="shared" si="440"/>
        <v>0</v>
      </c>
      <c r="E3912" s="2721" t="s">
        <v>3872</v>
      </c>
      <c r="F3912" s="294"/>
      <c r="G3912" s="319" t="s">
        <v>2792</v>
      </c>
      <c r="H3912" s="309"/>
      <c r="I3912" s="388"/>
      <c r="K3912" s="291"/>
      <c r="L3912" s="291"/>
      <c r="M3912" s="291"/>
      <c r="N3912" s="291"/>
      <c r="S3912" s="364"/>
      <c r="Z3912" s="609" t="s">
        <v>3975</v>
      </c>
      <c r="AA3912" s="609" t="s">
        <v>5682</v>
      </c>
    </row>
    <row r="3913" spans="1:27" ht="18">
      <c r="A3913" s="2714"/>
      <c r="B3913" s="371">
        <v>102.003</v>
      </c>
      <c r="C3913" s="371" t="s">
        <v>2791</v>
      </c>
      <c r="D3913" s="2716">
        <f t="shared" si="440"/>
        <v>0</v>
      </c>
      <c r="E3913" s="2721" t="s">
        <v>3872</v>
      </c>
      <c r="F3913" s="294"/>
      <c r="G3913" s="319" t="s">
        <v>2792</v>
      </c>
      <c r="H3913" s="309"/>
      <c r="I3913" s="388"/>
      <c r="K3913" s="291"/>
      <c r="L3913" s="291"/>
      <c r="M3913" s="291"/>
      <c r="N3913" s="291"/>
      <c r="S3913" s="364"/>
      <c r="Z3913" s="609" t="s">
        <v>3975</v>
      </c>
      <c r="AA3913" s="609" t="s">
        <v>5682</v>
      </c>
    </row>
    <row r="3914" spans="1:27" ht="18">
      <c r="A3914" s="2714"/>
      <c r="B3914" s="371">
        <v>102.004</v>
      </c>
      <c r="C3914" s="371" t="s">
        <v>2791</v>
      </c>
      <c r="D3914" s="2716">
        <f t="shared" si="440"/>
        <v>0</v>
      </c>
      <c r="E3914" s="2721" t="s">
        <v>3872</v>
      </c>
      <c r="F3914" s="294"/>
      <c r="G3914" s="319" t="s">
        <v>2792</v>
      </c>
      <c r="H3914" s="309"/>
      <c r="I3914" s="388"/>
      <c r="K3914" s="291"/>
      <c r="L3914" s="291"/>
      <c r="M3914" s="291"/>
      <c r="N3914" s="291"/>
      <c r="S3914" s="364"/>
      <c r="Z3914" s="609" t="s">
        <v>3975</v>
      </c>
      <c r="AA3914" s="609" t="s">
        <v>5682</v>
      </c>
    </row>
    <row r="3915" spans="1:27" ht="18">
      <c r="A3915" s="2714"/>
      <c r="B3915" s="371">
        <v>102.005</v>
      </c>
      <c r="C3915" s="371" t="s">
        <v>2791</v>
      </c>
      <c r="D3915" s="2716">
        <f t="shared" si="440"/>
        <v>0</v>
      </c>
      <c r="E3915" s="2721" t="s">
        <v>3872</v>
      </c>
      <c r="F3915" s="294"/>
      <c r="G3915" s="319" t="s">
        <v>2792</v>
      </c>
      <c r="H3915" s="309"/>
      <c r="I3915" s="388"/>
      <c r="K3915" s="291"/>
      <c r="L3915" s="291"/>
      <c r="M3915" s="291"/>
      <c r="N3915" s="291"/>
      <c r="S3915" s="364"/>
      <c r="Z3915" s="609" t="s">
        <v>3975</v>
      </c>
      <c r="AA3915" s="609" t="s">
        <v>5682</v>
      </c>
    </row>
    <row r="3916" spans="1:27" ht="18">
      <c r="A3916" s="2714"/>
      <c r="B3916" s="371">
        <v>102.999</v>
      </c>
      <c r="C3916" s="371" t="s">
        <v>2793</v>
      </c>
      <c r="D3916" s="2716">
        <f t="shared" si="440"/>
        <v>1</v>
      </c>
      <c r="E3916" s="2721">
        <v>1</v>
      </c>
      <c r="F3916" s="294"/>
      <c r="G3916" s="549" t="s">
        <v>3872</v>
      </c>
      <c r="H3916" s="377">
        <f>SUMIF($E$3902:$E$3916,$G3916,H$3902:H$3916)</f>
        <v>0</v>
      </c>
      <c r="I3916" s="388"/>
      <c r="K3916" s="291"/>
      <c r="L3916" s="291"/>
      <c r="M3916" s="291"/>
      <c r="N3916" s="291"/>
      <c r="S3916" s="364"/>
      <c r="Z3916" s="609" t="s">
        <v>3975</v>
      </c>
      <c r="AA3916" s="609" t="s">
        <v>5682</v>
      </c>
    </row>
    <row r="3917" spans="1:27" ht="18.75" thickBot="1">
      <c r="A3917" s="2714"/>
      <c r="B3917" s="371"/>
      <c r="C3917" s="371"/>
      <c r="D3917" s="2716">
        <f t="shared" si="440"/>
        <v>1</v>
      </c>
      <c r="E3917" s="2721" t="s">
        <v>2751</v>
      </c>
      <c r="F3917" s="294"/>
      <c r="G3917" s="1529" t="s">
        <v>2752</v>
      </c>
      <c r="H3917" s="2391">
        <f>SUMPRODUCT($E3902:$E3916,H3902:H3916)</f>
        <v>0</v>
      </c>
      <c r="I3917" s="1612"/>
      <c r="K3917" s="291"/>
      <c r="L3917" s="291"/>
      <c r="M3917" s="291"/>
      <c r="N3917" s="291"/>
      <c r="S3917" s="364"/>
      <c r="Z3917" s="609" t="s">
        <v>3975</v>
      </c>
      <c r="AA3917" s="609" t="s">
        <v>5682</v>
      </c>
    </row>
    <row r="3918" spans="1:27" ht="18">
      <c r="A3918" s="2714"/>
      <c r="B3918" s="371"/>
      <c r="C3918" s="371" t="s">
        <v>2755</v>
      </c>
      <c r="D3918" s="371"/>
      <c r="F3918" s="294"/>
      <c r="G3918" s="301"/>
      <c r="H3918" s="315"/>
      <c r="I3918" s="393"/>
      <c r="J3918" s="350"/>
      <c r="K3918" s="291"/>
      <c r="L3918" s="291"/>
      <c r="M3918" s="291"/>
      <c r="N3918" s="291"/>
      <c r="S3918" s="364"/>
      <c r="Z3918" s="609" t="s">
        <v>3975</v>
      </c>
      <c r="AA3918" s="609" t="s">
        <v>5682</v>
      </c>
    </row>
    <row r="3919" spans="1:27" ht="18">
      <c r="A3919" s="2714">
        <v>2315</v>
      </c>
      <c r="B3919" s="371">
        <v>43</v>
      </c>
      <c r="C3919" s="2716" t="str">
        <f>VLOOKUP($A3919,Sheet_Items,2,0)</f>
        <v>持有待售负债</v>
      </c>
      <c r="D3919" s="371"/>
      <c r="F3919" s="294"/>
      <c r="G3919" s="1461" t="str">
        <f>B3919&amp;" "&amp;C3919</f>
        <v>43 持有待售负债</v>
      </c>
      <c r="H3919" s="290"/>
      <c r="I3919" s="290"/>
      <c r="J3919" s="540" t="s">
        <v>2740</v>
      </c>
      <c r="K3919" s="341">
        <f>VLOOKUP($A3919,Sheet_Trialbal,6,0)</f>
        <v>0</v>
      </c>
      <c r="L3919" s="541"/>
      <c r="M3919" s="540" t="s">
        <v>2741</v>
      </c>
      <c r="N3919" s="341">
        <f>VLOOKUP($A3919,Sheet_Trialbal,10,0)</f>
        <v>0</v>
      </c>
      <c r="O3919" s="540"/>
      <c r="S3919" s="364"/>
      <c r="Z3919" s="609" t="s">
        <v>3985</v>
      </c>
      <c r="AA3919" s="609" t="s">
        <v>5683</v>
      </c>
    </row>
    <row r="3920" spans="1:27" ht="18">
      <c r="A3920" s="2714" t="s">
        <v>1599</v>
      </c>
      <c r="B3920" s="371">
        <v>1</v>
      </c>
      <c r="C3920" s="371"/>
      <c r="D3920" s="2716" t="str">
        <f>VLOOKUP($A3920,Sheet_NoteList,2,0)</f>
        <v>持有待售负债明细</v>
      </c>
      <c r="E3920" s="2716" t="s">
        <v>2742</v>
      </c>
      <c r="F3920" s="294"/>
      <c r="G3920" s="307" t="str">
        <f>"("&amp;B3920&amp;")"&amp;D3920</f>
        <v>(1)持有待售负债明细</v>
      </c>
      <c r="H3920" s="1517" t="str">
        <f>$A3920</f>
        <v>2315a</v>
      </c>
      <c r="I3920" s="343" t="s">
        <v>2743</v>
      </c>
      <c r="J3920" s="301" t="s">
        <v>2744</v>
      </c>
      <c r="K3920" s="2210">
        <f>H3928</f>
        <v>0</v>
      </c>
      <c r="L3920" s="345" t="str">
        <f>IF($I3920="适用",IF(K3920="请设置公式",0,IF(ROUND(K$3919-K3920,2)=0,"F/S",ROUND(K$3919-K3920,2))),"#N/A")</f>
        <v>F/S</v>
      </c>
      <c r="M3920" s="301" t="s">
        <v>2745</v>
      </c>
      <c r="N3920" s="2210">
        <f>I3928</f>
        <v>0</v>
      </c>
      <c r="O3920" s="345" t="str">
        <f>IF($I3920="适用",IF(N3920="请设置公式",0,IF(ROUND(N$3919-N3920,2)=0,"F/S",ROUND(N$3919-N3920,2))),"#N/A")</f>
        <v>F/S</v>
      </c>
      <c r="P3920" s="301"/>
      <c r="Q3920" s="290" t="str">
        <f>IF($I3920="不适用","",IF(ROUND(SUM($H$3923:$I$3928),2)=0,"请输入",""))</f>
        <v>请输入</v>
      </c>
      <c r="S3920" s="364"/>
      <c r="Z3920" s="609" t="s">
        <v>3985</v>
      </c>
      <c r="AA3920" s="609" t="s">
        <v>5683</v>
      </c>
    </row>
    <row r="3921" spans="1:29" ht="0.75" customHeight="1" thickBot="1">
      <c r="A3921" s="2714"/>
      <c r="B3921" s="371"/>
      <c r="C3921" s="371"/>
      <c r="D3921" s="371"/>
      <c r="F3921" s="304"/>
      <c r="G3921" s="304" t="s">
        <v>3986</v>
      </c>
      <c r="H3921" s="304" t="s">
        <v>2747</v>
      </c>
      <c r="I3921" s="304" t="s">
        <v>2748</v>
      </c>
      <c r="J3921" s="291"/>
      <c r="K3921" s="291"/>
      <c r="L3921" s="291"/>
      <c r="M3921" s="291"/>
      <c r="S3921" s="364"/>
      <c r="Z3921" s="609" t="s">
        <v>3985</v>
      </c>
      <c r="AA3921" s="609" t="s">
        <v>5683</v>
      </c>
    </row>
    <row r="3922" spans="1:29" ht="18">
      <c r="A3922" s="2714"/>
      <c r="B3922" s="371"/>
      <c r="C3922" s="371"/>
      <c r="D3922" s="371"/>
      <c r="E3922" s="2716" t="s">
        <v>2749</v>
      </c>
      <c r="F3922" s="294"/>
      <c r="G3922" s="410" t="s">
        <v>47</v>
      </c>
      <c r="H3922" s="1454" t="str">
        <f>$V$2</f>
        <v>2019年12月31日</v>
      </c>
      <c r="I3922" s="1455" t="str">
        <f>$V$3</f>
        <v>2018年12月31日</v>
      </c>
      <c r="J3922" s="355" t="s">
        <v>5308</v>
      </c>
      <c r="K3922" s="291"/>
      <c r="L3922" s="291"/>
      <c r="M3922" s="291"/>
      <c r="S3922" s="364"/>
      <c r="Z3922" s="609" t="s">
        <v>3985</v>
      </c>
      <c r="AA3922" s="609" t="s">
        <v>5683</v>
      </c>
    </row>
    <row r="3923" spans="1:29" ht="18">
      <c r="A3923" s="2714"/>
      <c r="B3923" s="371">
        <v>101</v>
      </c>
      <c r="C3923" s="371" t="s">
        <v>2791</v>
      </c>
      <c r="D3923" s="2716">
        <f t="shared" ref="D3923:D3928" si="441">IF(OR(G3923="*",G3923="",G3923=0),0,COUNTIF($G$3923:$G$3928,G3923))</f>
        <v>0</v>
      </c>
      <c r="E3923" s="2721">
        <v>1</v>
      </c>
      <c r="F3923" s="294"/>
      <c r="G3923" s="319" t="s">
        <v>2792</v>
      </c>
      <c r="H3923" s="309"/>
      <c r="I3923" s="346"/>
      <c r="J3923" s="291"/>
      <c r="K3923" s="291"/>
      <c r="L3923" s="291"/>
      <c r="M3923" s="291"/>
      <c r="S3923" s="364"/>
      <c r="Z3923" s="609" t="s">
        <v>3985</v>
      </c>
      <c r="AA3923" s="609" t="s">
        <v>5683</v>
      </c>
    </row>
    <row r="3924" spans="1:29" ht="18">
      <c r="A3924" s="2714"/>
      <c r="B3924" s="371">
        <v>103</v>
      </c>
      <c r="C3924" s="371" t="s">
        <v>2791</v>
      </c>
      <c r="D3924" s="2716">
        <f t="shared" si="441"/>
        <v>0</v>
      </c>
      <c r="E3924" s="2721">
        <v>1</v>
      </c>
      <c r="F3924" s="294"/>
      <c r="G3924" s="319" t="s">
        <v>2792</v>
      </c>
      <c r="H3924" s="309"/>
      <c r="I3924" s="346"/>
      <c r="J3924" s="291"/>
      <c r="K3924" s="291"/>
      <c r="L3924" s="291"/>
      <c r="M3924" s="291"/>
      <c r="S3924" s="364"/>
      <c r="Z3924" s="609" t="s">
        <v>3985</v>
      </c>
      <c r="AA3924" s="609" t="s">
        <v>5683</v>
      </c>
    </row>
    <row r="3925" spans="1:29" ht="18">
      <c r="A3925" s="2714"/>
      <c r="B3925" s="371">
        <v>104</v>
      </c>
      <c r="C3925" s="371" t="s">
        <v>2791</v>
      </c>
      <c r="D3925" s="2716">
        <f t="shared" si="441"/>
        <v>0</v>
      </c>
      <c r="E3925" s="2721">
        <v>1</v>
      </c>
      <c r="F3925" s="294"/>
      <c r="G3925" s="319" t="s">
        <v>2792</v>
      </c>
      <c r="H3925" s="309"/>
      <c r="I3925" s="346"/>
      <c r="J3925" s="291"/>
      <c r="K3925" s="291"/>
      <c r="L3925" s="291"/>
      <c r="M3925" s="291"/>
      <c r="S3925" s="364"/>
      <c r="Z3925" s="609" t="s">
        <v>3985</v>
      </c>
      <c r="AA3925" s="609" t="s">
        <v>5683</v>
      </c>
    </row>
    <row r="3926" spans="1:29" ht="18">
      <c r="A3926" s="2714"/>
      <c r="B3926" s="371">
        <v>104</v>
      </c>
      <c r="C3926" s="371" t="s">
        <v>2791</v>
      </c>
      <c r="D3926" s="2716">
        <f t="shared" si="441"/>
        <v>0</v>
      </c>
      <c r="E3926" s="2721">
        <v>1</v>
      </c>
      <c r="F3926" s="294"/>
      <c r="G3926" s="319" t="s">
        <v>2792</v>
      </c>
      <c r="H3926" s="309"/>
      <c r="I3926" s="346"/>
      <c r="J3926" s="291"/>
      <c r="K3926" s="291"/>
      <c r="L3926" s="291"/>
      <c r="M3926" s="291"/>
      <c r="S3926" s="364"/>
      <c r="Z3926" s="609" t="s">
        <v>3985</v>
      </c>
      <c r="AA3926" s="609" t="s">
        <v>5683</v>
      </c>
    </row>
    <row r="3927" spans="1:29" ht="18">
      <c r="A3927" s="2714"/>
      <c r="B3927" s="371">
        <v>105</v>
      </c>
      <c r="C3927" s="371" t="s">
        <v>2791</v>
      </c>
      <c r="D3927" s="2716">
        <f t="shared" si="441"/>
        <v>0</v>
      </c>
      <c r="E3927" s="2721">
        <v>1</v>
      </c>
      <c r="F3927" s="294"/>
      <c r="G3927" s="319" t="s">
        <v>2792</v>
      </c>
      <c r="H3927" s="309"/>
      <c r="I3927" s="346"/>
      <c r="J3927" s="291"/>
      <c r="K3927" s="291"/>
      <c r="L3927" s="291"/>
      <c r="M3927" s="291"/>
      <c r="S3927" s="364"/>
      <c r="Z3927" s="609" t="s">
        <v>3985</v>
      </c>
      <c r="AA3927" s="609" t="s">
        <v>5683</v>
      </c>
    </row>
    <row r="3928" spans="1:29" ht="18.75" thickBot="1">
      <c r="A3928" s="2714"/>
      <c r="B3928" s="371"/>
      <c r="C3928" s="371"/>
      <c r="D3928" s="2716">
        <f t="shared" si="441"/>
        <v>1</v>
      </c>
      <c r="E3928" s="2721" t="s">
        <v>2751</v>
      </c>
      <c r="F3928" s="294"/>
      <c r="G3928" s="374" t="s">
        <v>2752</v>
      </c>
      <c r="H3928" s="596">
        <f>SUMPRODUCT($E3922:$E3927,H3922:H3927)</f>
        <v>0</v>
      </c>
      <c r="I3928" s="599">
        <f>SUMPRODUCT($E3922:$E3927,I3922:I3927)</f>
        <v>0</v>
      </c>
      <c r="J3928" s="291"/>
      <c r="K3928" s="291"/>
      <c r="L3928" s="291"/>
      <c r="M3928" s="291"/>
      <c r="S3928" s="364"/>
      <c r="Z3928" s="609" t="s">
        <v>3985</v>
      </c>
      <c r="AA3928" s="609" t="s">
        <v>5683</v>
      </c>
    </row>
    <row r="3929" spans="1:29" ht="18">
      <c r="A3929" s="2714"/>
      <c r="B3929" s="371"/>
      <c r="C3929" s="371" t="s">
        <v>2755</v>
      </c>
      <c r="D3929" s="371"/>
      <c r="F3929" s="294"/>
      <c r="G3929" s="301"/>
      <c r="H3929" s="315"/>
      <c r="I3929" s="315"/>
      <c r="J3929" s="291"/>
      <c r="K3929" s="291"/>
      <c r="L3929" s="291"/>
      <c r="M3929" s="291"/>
      <c r="S3929" s="364"/>
      <c r="Z3929" s="609" t="s">
        <v>3985</v>
      </c>
      <c r="AA3929" s="609" t="s">
        <v>5683</v>
      </c>
    </row>
    <row r="3930" spans="1:29" ht="18">
      <c r="A3930" s="2714">
        <v>2395</v>
      </c>
      <c r="B3930" s="371">
        <v>44</v>
      </c>
      <c r="C3930" s="2716" t="str">
        <f>VLOOKUP($A3930,Sheet_Items,2,0)</f>
        <v>一年内到期的非流动负债</v>
      </c>
      <c r="D3930" s="371"/>
      <c r="E3930" s="2716" t="s">
        <v>2739</v>
      </c>
      <c r="F3930" s="294"/>
      <c r="G3930" s="535" t="str">
        <f>B3930&amp;" "&amp;C3930</f>
        <v>44 一年内到期的非流动负债</v>
      </c>
      <c r="H3930" s="306"/>
      <c r="I3930" s="306"/>
      <c r="J3930" s="306" t="s">
        <v>2740</v>
      </c>
      <c r="K3930" s="341">
        <f>VLOOKUP($A3930,Sheet_Trialbal,6,0)</f>
        <v>0</v>
      </c>
      <c r="L3930" s="342"/>
      <c r="M3930" s="306" t="s">
        <v>2741</v>
      </c>
      <c r="N3930" s="341">
        <f>VLOOKUP($A3930,Sheet_Trialbal,10,0)</f>
        <v>0</v>
      </c>
      <c r="O3930" s="306"/>
      <c r="P3930" s="301"/>
      <c r="S3930" s="364"/>
      <c r="Z3930" s="609" t="s">
        <v>3987</v>
      </c>
      <c r="AA3930" s="609" t="s">
        <v>5684</v>
      </c>
    </row>
    <row r="3931" spans="1:29" ht="24">
      <c r="A3931" s="2714" t="s">
        <v>1603</v>
      </c>
      <c r="B3931" s="371">
        <v>1</v>
      </c>
      <c r="C3931" s="371"/>
      <c r="D3931" s="2716" t="str">
        <f>VLOOKUP($A3931,Sheet_NoteList,2,0)</f>
        <v>一年内到期的非流动负债明细项目</v>
      </c>
      <c r="E3931" s="2716" t="s">
        <v>2742</v>
      </c>
      <c r="F3931" s="294"/>
      <c r="G3931" s="372" t="str">
        <f>"("&amp;B3931&amp;")"&amp;D3931</f>
        <v>(1)一年内到期的非流动负债明细项目</v>
      </c>
      <c r="H3931" s="1517" t="str">
        <f>$A3931</f>
        <v>2395a</v>
      </c>
      <c r="I3931" s="343" t="s">
        <v>2743</v>
      </c>
      <c r="J3931" s="301" t="s">
        <v>2744</v>
      </c>
      <c r="K3931" s="2210">
        <f>H3939</f>
        <v>0</v>
      </c>
      <c r="L3931" s="345" t="str">
        <f>IF($I3931="适用",IF(ROUND(K3930-K3931,2)=0,"F/S",ROUND(K3930-K3931,2)),"#N/A")</f>
        <v>F/S</v>
      </c>
      <c r="M3931" s="301" t="s">
        <v>2745</v>
      </c>
      <c r="N3931" s="2210">
        <f>I3939</f>
        <v>0</v>
      </c>
      <c r="O3931" s="345" t="str">
        <f>IF($I3931="适用",IF(ROUND(N3930-N3931,2)=0,"F/S",ROUND(N3930-N3931,2)),"#N/A")</f>
        <v>F/S</v>
      </c>
      <c r="P3931" s="301"/>
      <c r="Q3931" s="290" t="str">
        <f>IF($I3931="不适用","",IF(ROUND(SUM($H$3934:$I$3939),2)=0,"请输入",""))</f>
        <v>请输入</v>
      </c>
      <c r="S3931" s="364"/>
      <c r="Z3931" s="609" t="s">
        <v>3987</v>
      </c>
      <c r="AA3931" s="609" t="s">
        <v>5684</v>
      </c>
    </row>
    <row r="3932" spans="1:29" ht="0.75" customHeight="1" thickBot="1">
      <c r="A3932" s="2714"/>
      <c r="B3932" s="371"/>
      <c r="C3932" s="371"/>
      <c r="D3932" s="371"/>
      <c r="E3932" s="586"/>
      <c r="F3932" s="363"/>
      <c r="G3932" s="363" t="s">
        <v>3988</v>
      </c>
      <c r="H3932" s="294" t="s">
        <v>2747</v>
      </c>
      <c r="I3932" s="294" t="s">
        <v>2748</v>
      </c>
      <c r="J3932" s="291"/>
      <c r="K3932" s="291"/>
      <c r="L3932" s="291"/>
      <c r="M3932" s="291"/>
      <c r="S3932" s="364"/>
      <c r="Z3932" s="609" t="s">
        <v>3987</v>
      </c>
      <c r="AA3932" s="609" t="s">
        <v>5684</v>
      </c>
    </row>
    <row r="3933" spans="1:29" ht="18.75" thickTop="1">
      <c r="A3933" s="2714"/>
      <c r="B3933" s="371"/>
      <c r="C3933" s="371"/>
      <c r="D3933" s="371"/>
      <c r="E3933" s="586" t="s">
        <v>2749</v>
      </c>
      <c r="F3933" s="363"/>
      <c r="G3933" s="2362" t="s">
        <v>47</v>
      </c>
      <c r="H3933" s="2225" t="str">
        <f>$V$2</f>
        <v>2019年12月31日</v>
      </c>
      <c r="I3933" s="2226" t="str">
        <f>$V$3</f>
        <v>2018年12月31日</v>
      </c>
      <c r="J3933" s="355" t="s">
        <v>5309</v>
      </c>
      <c r="K3933" s="1584" t="str">
        <f>""&amp;"&gt;本期:"&amp;""</f>
        <v>&gt;本期:</v>
      </c>
      <c r="L3933" s="1584" t="str">
        <f>""&amp;"&gt;上期:"&amp;""</f>
        <v>&gt;上期:</v>
      </c>
      <c r="M3933" s="2658" t="str">
        <f>""&amp;"NoteID"&amp;""</f>
        <v>NoteID</v>
      </c>
      <c r="S3933" s="364"/>
      <c r="Z3933" s="609" t="s">
        <v>3987</v>
      </c>
      <c r="AA3933" s="609" t="s">
        <v>5684</v>
      </c>
    </row>
    <row r="3934" spans="1:29" ht="18">
      <c r="A3934" s="2714"/>
      <c r="B3934" s="371">
        <v>101</v>
      </c>
      <c r="C3934" s="371"/>
      <c r="D3934" s="2716">
        <f t="shared" ref="D3934:D3939" si="442">IF(OR(G3934="*",G3934="",G3934=0),0,COUNTIF($G$3934:$G$3939,G3934))</f>
        <v>1</v>
      </c>
      <c r="E3934" s="2721">
        <v>1</v>
      </c>
      <c r="F3934" s="294"/>
      <c r="G3934" s="1474" t="s">
        <v>6357</v>
      </c>
      <c r="H3934" s="2275"/>
      <c r="I3934" s="2296"/>
      <c r="J3934" s="357"/>
      <c r="K3934" s="2252">
        <f ca="1">HYPERLINK("#'"&amp;$G$1&amp;"'!"&amp;ADDRESS(ROW(Notes!H4011),COLUMN(Notes!H4011),4),H4011-H3934)</f>
        <v>0</v>
      </c>
      <c r="L3934" s="2252">
        <f ca="1">HYPERLINK("#'"&amp;$G$1&amp;"'!"&amp;ADDRESS(ROW(Notes!I4011),COLUMN(Notes!I4011),4),I4011-I3934)</f>
        <v>0</v>
      </c>
      <c r="M3934" s="2665" t="str">
        <f>H4001</f>
        <v>2501a</v>
      </c>
      <c r="S3934" s="364"/>
      <c r="Z3934" s="609" t="s">
        <v>3987</v>
      </c>
      <c r="AA3934" s="609" t="s">
        <v>5684</v>
      </c>
      <c r="AC3934" s="369" t="s">
        <v>2794</v>
      </c>
    </row>
    <row r="3935" spans="1:29" ht="18">
      <c r="A3935" s="2714"/>
      <c r="B3935" s="371">
        <v>102</v>
      </c>
      <c r="C3935" s="371"/>
      <c r="D3935" s="2716">
        <f t="shared" si="442"/>
        <v>1</v>
      </c>
      <c r="E3935" s="2721">
        <v>1</v>
      </c>
      <c r="F3935" s="294"/>
      <c r="G3935" s="1474" t="s">
        <v>6358</v>
      </c>
      <c r="H3935" s="2275"/>
      <c r="I3935" s="2296"/>
      <c r="J3935" s="357"/>
      <c r="K3935" s="2252">
        <f ca="1">HYPERLINK("#'"&amp;$G$1&amp;"'!"&amp;ADDRESS(ROW(Notes!H4062),COLUMN(Notes!H4062),4),H4062-H3935)</f>
        <v>0</v>
      </c>
      <c r="L3935" s="2252">
        <f ca="1">HYPERLINK("#'"&amp;$G$1&amp;"'!"&amp;ADDRESS(ROW(Notes!I4062),COLUMN(Notes!I4062),4),I4062-I3935)</f>
        <v>0</v>
      </c>
      <c r="M3935" s="2665" t="str">
        <f>H4055</f>
        <v>2502b</v>
      </c>
      <c r="S3935" s="364"/>
      <c r="Z3935" s="609" t="s">
        <v>3987</v>
      </c>
      <c r="AA3935" s="609" t="s">
        <v>5684</v>
      </c>
      <c r="AC3935" s="369" t="s">
        <v>2794</v>
      </c>
    </row>
    <row r="3936" spans="1:29" ht="18">
      <c r="A3936" s="2714"/>
      <c r="B3936" s="371">
        <v>103</v>
      </c>
      <c r="C3936" s="371"/>
      <c r="D3936" s="2716">
        <f t="shared" si="442"/>
        <v>1</v>
      </c>
      <c r="E3936" s="2721">
        <v>1</v>
      </c>
      <c r="F3936" s="294"/>
      <c r="G3936" s="1474" t="s">
        <v>6359</v>
      </c>
      <c r="H3936" s="2275"/>
      <c r="I3936" s="2296"/>
      <c r="J3936" s="357"/>
      <c r="K3936" s="2252">
        <f ca="1">HYPERLINK("#'"&amp;$G$1&amp;"'!"&amp;ADDRESS(ROW(Notes!H4118),COLUMN(Notes!H4118),4),H4118-H3936)</f>
        <v>0</v>
      </c>
      <c r="L3936" s="2252">
        <f ca="1">HYPERLINK("#'"&amp;$G$1&amp;"'!"&amp;ADDRESS(ROW(Notes!I4118),COLUMN(Notes!I4118),4),I4118-I3936)</f>
        <v>0</v>
      </c>
      <c r="M3936" s="2665" t="str">
        <f>H4111</f>
        <v>2706a</v>
      </c>
      <c r="S3936" s="364"/>
      <c r="Z3936" s="609" t="s">
        <v>3987</v>
      </c>
      <c r="AA3936" s="609" t="s">
        <v>5684</v>
      </c>
      <c r="AC3936" s="369" t="s">
        <v>2794</v>
      </c>
    </row>
    <row r="3937" spans="1:27" ht="18">
      <c r="A3937" s="2714"/>
      <c r="B3937" s="371">
        <v>104</v>
      </c>
      <c r="C3937" s="371" t="s">
        <v>2791</v>
      </c>
      <c r="D3937" s="2716">
        <f t="shared" si="442"/>
        <v>0</v>
      </c>
      <c r="E3937" s="2721">
        <v>1</v>
      </c>
      <c r="F3937" s="294"/>
      <c r="G3937" s="2375" t="s">
        <v>2792</v>
      </c>
      <c r="H3937" s="2275"/>
      <c r="I3937" s="2296"/>
      <c r="J3937" s="291"/>
      <c r="K3937" s="456"/>
      <c r="L3937" s="456"/>
      <c r="M3937" s="2666"/>
      <c r="S3937" s="364"/>
      <c r="Z3937" s="609" t="s">
        <v>3987</v>
      </c>
      <c r="AA3937" s="609" t="s">
        <v>5684</v>
      </c>
    </row>
    <row r="3938" spans="1:27" ht="18">
      <c r="A3938" s="2714"/>
      <c r="B3938" s="371">
        <v>106</v>
      </c>
      <c r="C3938" s="371" t="s">
        <v>2791</v>
      </c>
      <c r="D3938" s="2716">
        <f t="shared" si="442"/>
        <v>0</v>
      </c>
      <c r="E3938" s="2721">
        <v>1</v>
      </c>
      <c r="F3938" s="294"/>
      <c r="G3938" s="2375" t="s">
        <v>2792</v>
      </c>
      <c r="H3938" s="2275"/>
      <c r="I3938" s="2296"/>
      <c r="J3938" s="291"/>
      <c r="K3938" s="456"/>
      <c r="L3938" s="456"/>
      <c r="M3938" s="2666"/>
      <c r="S3938" s="364"/>
      <c r="Z3938" s="609" t="s">
        <v>3987</v>
      </c>
      <c r="AA3938" s="609" t="s">
        <v>5684</v>
      </c>
    </row>
    <row r="3939" spans="1:27" ht="18.75" thickBot="1">
      <c r="A3939" s="2714"/>
      <c r="B3939" s="371"/>
      <c r="C3939" s="371"/>
      <c r="D3939" s="2716">
        <f t="shared" si="442"/>
        <v>1</v>
      </c>
      <c r="E3939" s="2721" t="s">
        <v>2751</v>
      </c>
      <c r="F3939" s="294"/>
      <c r="G3939" s="374" t="s">
        <v>2752</v>
      </c>
      <c r="H3939" s="1478">
        <f>SUMPRODUCT($E3933:$E3938,H3933:H3938)</f>
        <v>0</v>
      </c>
      <c r="I3939" s="1479">
        <f>SUMPRODUCT($E3933:$E3938,I3933:I3938)</f>
        <v>0</v>
      </c>
      <c r="J3939" s="291"/>
      <c r="K3939" s="1531">
        <f t="shared" ref="K3939:L3939" ca="1" si="443">SUM(K3934:K3938)</f>
        <v>0</v>
      </c>
      <c r="L3939" s="1531">
        <f t="shared" ca="1" si="443"/>
        <v>0</v>
      </c>
      <c r="M3939" s="2667"/>
      <c r="S3939" s="364"/>
      <c r="Z3939" s="609" t="s">
        <v>3987</v>
      </c>
      <c r="AA3939" s="609" t="s">
        <v>5684</v>
      </c>
    </row>
    <row r="3940" spans="1:27" ht="18">
      <c r="A3940" s="2714"/>
      <c r="B3940" s="371"/>
      <c r="C3940" s="371" t="s">
        <v>2755</v>
      </c>
      <c r="D3940" s="371"/>
      <c r="F3940" s="294"/>
      <c r="G3940" s="301"/>
      <c r="H3940" s="315"/>
      <c r="I3940" s="315"/>
      <c r="J3940" s="291"/>
      <c r="K3940" s="1539" t="s">
        <v>5505</v>
      </c>
      <c r="L3940" s="354"/>
      <c r="M3940" s="354"/>
      <c r="S3940" s="364"/>
      <c r="Z3940" s="609" t="s">
        <v>3987</v>
      </c>
      <c r="AA3940" s="609" t="s">
        <v>5684</v>
      </c>
    </row>
    <row r="3941" spans="1:27" ht="18">
      <c r="A3941" s="2714" t="s">
        <v>1608</v>
      </c>
      <c r="B3941" s="371">
        <v>2</v>
      </c>
      <c r="C3941" s="371"/>
      <c r="D3941" s="2716" t="str">
        <f>VLOOKUP($A3941,Sheet_NoteList,2,0)</f>
        <v>一年内到期的长期借款</v>
      </c>
      <c r="E3941" s="2716" t="s">
        <v>6531</v>
      </c>
      <c r="F3941" s="294"/>
      <c r="G3941" s="307" t="str">
        <f>"("&amp;B3941&amp;")"&amp;D3941</f>
        <v>(2)一年内到期的长期借款</v>
      </c>
      <c r="H3941" s="1517" t="str">
        <f>$A3941</f>
        <v>2395b</v>
      </c>
      <c r="I3941" s="343" t="s">
        <v>5965</v>
      </c>
      <c r="J3941" s="301" t="s">
        <v>5963</v>
      </c>
      <c r="K3941" s="2210">
        <f>H3949</f>
        <v>0</v>
      </c>
      <c r="L3941" s="345" t="str">
        <f>IF($I3941="适用",IF(ROUND(K$3930-K3941,2)&gt;=0,"","#Logical!"),"#N/A")</f>
        <v/>
      </c>
      <c r="M3941" s="301" t="s">
        <v>5970</v>
      </c>
      <c r="N3941" s="2210">
        <f>I3949</f>
        <v>0</v>
      </c>
      <c r="O3941" s="345" t="str">
        <f>IF($I3941="适用",IF(ROUND(N$3930-N3941,2)&gt;=0,"","#Logical!"),"#N/A")</f>
        <v/>
      </c>
      <c r="P3941" s="301"/>
      <c r="Q3941" s="290" t="str">
        <f>IF($I3941="不适用","",IF(ROUND(SUM($H$3944:$I$3949),2)=0,"请输入",""))</f>
        <v>请输入</v>
      </c>
      <c r="S3941" s="364"/>
      <c r="Z3941" s="609" t="s">
        <v>3987</v>
      </c>
      <c r="AA3941" s="609" t="s">
        <v>5684</v>
      </c>
    </row>
    <row r="3942" spans="1:27" ht="0.75" customHeight="1" thickBot="1">
      <c r="A3942" s="2714"/>
      <c r="B3942" s="371"/>
      <c r="C3942" s="371"/>
      <c r="D3942" s="371"/>
      <c r="E3942" s="586"/>
      <c r="F3942" s="518"/>
      <c r="G3942" s="518" t="s">
        <v>3989</v>
      </c>
      <c r="H3942" s="304" t="s">
        <v>2747</v>
      </c>
      <c r="I3942" s="304" t="s">
        <v>2748</v>
      </c>
      <c r="J3942" s="291"/>
      <c r="K3942" s="291"/>
      <c r="L3942" s="291"/>
      <c r="M3942" s="291"/>
      <c r="S3942" s="364"/>
      <c r="Z3942" s="609" t="s">
        <v>3987</v>
      </c>
      <c r="AA3942" s="609" t="s">
        <v>5684</v>
      </c>
    </row>
    <row r="3943" spans="1:27" ht="18">
      <c r="A3943" s="2714"/>
      <c r="B3943" s="371"/>
      <c r="C3943" s="371"/>
      <c r="D3943" s="371"/>
      <c r="E3943" s="586" t="s">
        <v>2749</v>
      </c>
      <c r="F3943" s="363"/>
      <c r="G3943" s="2363" t="s">
        <v>47</v>
      </c>
      <c r="H3943" s="2364" t="s">
        <v>2775</v>
      </c>
      <c r="I3943" s="2365" t="s">
        <v>2776</v>
      </c>
      <c r="J3943" s="355" t="s">
        <v>6141</v>
      </c>
      <c r="K3943" s="291"/>
      <c r="L3943" s="291"/>
      <c r="M3943" s="291"/>
      <c r="S3943" s="364"/>
      <c r="Z3943" s="609" t="s">
        <v>3987</v>
      </c>
      <c r="AA3943" s="609" t="s">
        <v>5684</v>
      </c>
    </row>
    <row r="3944" spans="1:27" ht="18">
      <c r="A3944" s="2714"/>
      <c r="B3944" s="371">
        <v>101</v>
      </c>
      <c r="C3944" s="371"/>
      <c r="D3944" s="2716">
        <f t="shared" ref="D3944:D3949" si="444">IF(OR(G3944="*",G3944="",G3944=0),0,COUNTIF($G$3944:$G$3949,G3944))</f>
        <v>1</v>
      </c>
      <c r="E3944" s="2721">
        <v>1</v>
      </c>
      <c r="F3944" s="294"/>
      <c r="G3944" s="1474" t="s">
        <v>3808</v>
      </c>
      <c r="H3944" s="2275"/>
      <c r="I3944" s="2296"/>
      <c r="J3944" s="291"/>
      <c r="K3944" s="291"/>
      <c r="L3944" s="291"/>
      <c r="M3944" s="291"/>
      <c r="S3944" s="364"/>
      <c r="Z3944" s="609" t="s">
        <v>3987</v>
      </c>
      <c r="AA3944" s="609" t="s">
        <v>5684</v>
      </c>
    </row>
    <row r="3945" spans="1:27" ht="18">
      <c r="A3945" s="2714"/>
      <c r="B3945" s="371">
        <v>102</v>
      </c>
      <c r="C3945" s="371"/>
      <c r="D3945" s="2716">
        <f t="shared" si="444"/>
        <v>1</v>
      </c>
      <c r="E3945" s="2721">
        <v>1</v>
      </c>
      <c r="F3945" s="294"/>
      <c r="G3945" s="1474" t="s">
        <v>3809</v>
      </c>
      <c r="H3945" s="2275"/>
      <c r="I3945" s="2296"/>
      <c r="J3945" s="291"/>
      <c r="K3945" s="291"/>
      <c r="L3945" s="291"/>
      <c r="M3945" s="291"/>
      <c r="S3945" s="364"/>
      <c r="Z3945" s="609" t="s">
        <v>3987</v>
      </c>
      <c r="AA3945" s="609" t="s">
        <v>5684</v>
      </c>
    </row>
    <row r="3946" spans="1:27" ht="18">
      <c r="A3946" s="2714"/>
      <c r="B3946" s="371">
        <v>103</v>
      </c>
      <c r="C3946" s="371"/>
      <c r="D3946" s="2716">
        <f t="shared" si="444"/>
        <v>1</v>
      </c>
      <c r="E3946" s="2721">
        <v>1</v>
      </c>
      <c r="F3946" s="294"/>
      <c r="G3946" s="1474" t="s">
        <v>3810</v>
      </c>
      <c r="H3946" s="2275"/>
      <c r="I3946" s="2296"/>
      <c r="J3946" s="291"/>
      <c r="K3946" s="291"/>
      <c r="L3946" s="291"/>
      <c r="M3946" s="291"/>
      <c r="S3946" s="364"/>
      <c r="Z3946" s="609" t="s">
        <v>3987</v>
      </c>
      <c r="AA3946" s="609" t="s">
        <v>5684</v>
      </c>
    </row>
    <row r="3947" spans="1:27" ht="18">
      <c r="A3947" s="2714"/>
      <c r="B3947" s="371">
        <v>104</v>
      </c>
      <c r="C3947" s="371"/>
      <c r="D3947" s="2716">
        <f t="shared" si="444"/>
        <v>1</v>
      </c>
      <c r="E3947" s="2721">
        <v>1</v>
      </c>
      <c r="F3947" s="294"/>
      <c r="G3947" s="1474" t="s">
        <v>3811</v>
      </c>
      <c r="H3947" s="2275"/>
      <c r="I3947" s="2296"/>
      <c r="J3947" s="291"/>
      <c r="K3947" s="291"/>
      <c r="L3947" s="291"/>
      <c r="M3947" s="291"/>
      <c r="S3947" s="364"/>
      <c r="Z3947" s="609" t="s">
        <v>3987</v>
      </c>
      <c r="AA3947" s="609" t="s">
        <v>5684</v>
      </c>
    </row>
    <row r="3948" spans="1:27" ht="18">
      <c r="A3948" s="2714"/>
      <c r="B3948" s="371">
        <v>105</v>
      </c>
      <c r="C3948" s="371" t="s">
        <v>2791</v>
      </c>
      <c r="D3948" s="2716">
        <f t="shared" si="444"/>
        <v>0</v>
      </c>
      <c r="E3948" s="2721">
        <v>1</v>
      </c>
      <c r="F3948" s="294"/>
      <c r="G3948" s="2375" t="s">
        <v>2792</v>
      </c>
      <c r="H3948" s="2275"/>
      <c r="I3948" s="2296"/>
      <c r="J3948" s="291"/>
      <c r="K3948" s="291"/>
      <c r="L3948" s="291"/>
      <c r="M3948" s="291"/>
      <c r="S3948" s="364"/>
      <c r="Z3948" s="609" t="s">
        <v>3987</v>
      </c>
      <c r="AA3948" s="609" t="s">
        <v>5684</v>
      </c>
    </row>
    <row r="3949" spans="1:27" ht="18.75" thickBot="1">
      <c r="A3949" s="2714"/>
      <c r="B3949" s="371"/>
      <c r="C3949" s="371"/>
      <c r="D3949" s="2716">
        <f t="shared" si="444"/>
        <v>1</v>
      </c>
      <c r="E3949" s="2721" t="s">
        <v>2751</v>
      </c>
      <c r="F3949" s="294"/>
      <c r="G3949" s="1529" t="s">
        <v>2752</v>
      </c>
      <c r="H3949" s="1527">
        <f>SUMPRODUCT($E3943:$E3948,H3943:H3948)</f>
        <v>0</v>
      </c>
      <c r="I3949" s="1528">
        <f>SUMPRODUCT($E3943:$E3948,I3943:I3948)</f>
        <v>0</v>
      </c>
      <c r="J3949" s="291"/>
      <c r="K3949" s="291"/>
      <c r="L3949" s="291"/>
      <c r="M3949" s="291"/>
      <c r="S3949" s="364"/>
      <c r="Z3949" s="609" t="s">
        <v>3987</v>
      </c>
      <c r="AA3949" s="609" t="s">
        <v>5684</v>
      </c>
    </row>
    <row r="3950" spans="1:27" ht="18">
      <c r="A3950" s="2714"/>
      <c r="B3950" s="371"/>
      <c r="C3950" s="371" t="s">
        <v>2755</v>
      </c>
      <c r="D3950" s="371"/>
      <c r="F3950" s="294"/>
      <c r="G3950" s="557"/>
      <c r="H3950" s="315"/>
      <c r="I3950" s="315"/>
      <c r="J3950" s="291"/>
      <c r="K3950" s="291"/>
      <c r="L3950" s="291"/>
      <c r="M3950" s="291"/>
      <c r="S3950" s="364"/>
      <c r="Z3950" s="609" t="s">
        <v>3987</v>
      </c>
      <c r="AA3950" s="609" t="s">
        <v>5684</v>
      </c>
    </row>
    <row r="3951" spans="1:27" ht="18">
      <c r="A3951" s="2714" t="s">
        <v>1612</v>
      </c>
      <c r="B3951" s="371">
        <v>3</v>
      </c>
      <c r="C3951" s="371"/>
      <c r="D3951" s="2716" t="str">
        <f>VLOOKUP($A3951,Sheet_NoteList,2,0)</f>
        <v>一年内到期的应付债券</v>
      </c>
      <c r="E3951" s="2716" t="s">
        <v>6531</v>
      </c>
      <c r="F3951" s="294"/>
      <c r="G3951" s="307" t="str">
        <f>"("&amp;B3951&amp;")"&amp;D3951</f>
        <v>(3)一年内到期的应付债券</v>
      </c>
      <c r="H3951" s="1517" t="str">
        <f>$A3951</f>
        <v>2395e</v>
      </c>
      <c r="I3951" s="343" t="s">
        <v>5965</v>
      </c>
      <c r="J3951" s="301" t="s">
        <v>5963</v>
      </c>
      <c r="K3951" s="2210">
        <f>Q3959</f>
        <v>0</v>
      </c>
      <c r="L3951" s="345" t="str">
        <f>IF($I3951="适用",IF(ROUND(K$3930-K3951,2)&gt;=0,"","#Logical!"),"#N/A")</f>
        <v/>
      </c>
      <c r="M3951" s="301" t="s">
        <v>5964</v>
      </c>
      <c r="N3951" s="2210">
        <f>L3959</f>
        <v>0</v>
      </c>
      <c r="O3951" s="345" t="str">
        <f>IF($I3951="适用",IF(ROUND(N$3930-N3951,2)&gt;=0,"","#Logical!"),"#N/A")</f>
        <v/>
      </c>
      <c r="P3951" s="301"/>
      <c r="Q3951" s="290" t="str">
        <f>IF($I3951="不适用","",IF(ROUND(SUM($H$3954:$Q$3959),2)=0,"请输入",""))</f>
        <v>请输入</v>
      </c>
      <c r="R3951" s="367"/>
      <c r="S3951" s="364"/>
      <c r="Z3951" s="609" t="s">
        <v>3987</v>
      </c>
      <c r="AA3951" s="609" t="s">
        <v>5684</v>
      </c>
    </row>
    <row r="3952" spans="1:27" ht="0.75" customHeight="1" thickBot="1">
      <c r="A3952" s="2714"/>
      <c r="B3952" s="371"/>
      <c r="C3952" s="371"/>
      <c r="D3952" s="371"/>
      <c r="E3952" s="586"/>
      <c r="F3952" s="518"/>
      <c r="G3952" s="518" t="s">
        <v>3990</v>
      </c>
      <c r="H3952" s="304" t="s">
        <v>3431</v>
      </c>
      <c r="I3952" s="304" t="s">
        <v>3991</v>
      </c>
      <c r="J3952" s="304" t="s">
        <v>3992</v>
      </c>
      <c r="K3952" s="304" t="s">
        <v>3993</v>
      </c>
      <c r="L3952" s="304" t="s">
        <v>3242</v>
      </c>
      <c r="M3952" s="304" t="s">
        <v>3994</v>
      </c>
      <c r="N3952" s="304" t="s">
        <v>3995</v>
      </c>
      <c r="O3952" s="304" t="s">
        <v>3996</v>
      </c>
      <c r="P3952" s="304" t="s">
        <v>3997</v>
      </c>
      <c r="Q3952" s="366" t="s">
        <v>3499</v>
      </c>
      <c r="R3952" s="367"/>
      <c r="S3952" s="364"/>
      <c r="T3952" s="291"/>
      <c r="Z3952" s="609" t="s">
        <v>3987</v>
      </c>
      <c r="AA3952" s="609" t="s">
        <v>5684</v>
      </c>
    </row>
    <row r="3953" spans="1:27" ht="18">
      <c r="A3953" s="2714"/>
      <c r="B3953" s="371"/>
      <c r="C3953" s="371"/>
      <c r="D3953" s="371"/>
      <c r="E3953" s="586" t="s">
        <v>2749</v>
      </c>
      <c r="F3953" s="363"/>
      <c r="G3953" s="2363" t="s">
        <v>1613</v>
      </c>
      <c r="H3953" s="2364" t="s">
        <v>3319</v>
      </c>
      <c r="I3953" s="2364" t="s">
        <v>3998</v>
      </c>
      <c r="J3953" s="2364" t="s">
        <v>3999</v>
      </c>
      <c r="K3953" s="2364" t="s">
        <v>4000</v>
      </c>
      <c r="L3953" s="2364" t="s">
        <v>3524</v>
      </c>
      <c r="M3953" s="2364" t="s">
        <v>4001</v>
      </c>
      <c r="N3953" s="2364" t="s">
        <v>4002</v>
      </c>
      <c r="O3953" s="2364" t="s">
        <v>4003</v>
      </c>
      <c r="P3953" s="2364" t="s">
        <v>4004</v>
      </c>
      <c r="Q3953" s="2365" t="s">
        <v>2560</v>
      </c>
      <c r="R3953" s="355" t="s">
        <v>6141</v>
      </c>
      <c r="S3953" s="364"/>
      <c r="T3953" s="291"/>
      <c r="Z3953" s="609" t="s">
        <v>3987</v>
      </c>
      <c r="AA3953" s="609" t="s">
        <v>5684</v>
      </c>
    </row>
    <row r="3954" spans="1:27" ht="18">
      <c r="A3954" s="2714"/>
      <c r="B3954" s="371">
        <v>101</v>
      </c>
      <c r="C3954" s="371" t="s">
        <v>2791</v>
      </c>
      <c r="D3954" s="2716">
        <f t="shared" ref="D3954:D3959" si="445">IF(OR(G3954="*",G3954="",G3954=0),0,COUNTIF($G$3954:$G$3959,G3954))</f>
        <v>0</v>
      </c>
      <c r="E3954" s="2721">
        <v>1</v>
      </c>
      <c r="F3954" s="294"/>
      <c r="G3954" s="2375" t="s">
        <v>2792</v>
      </c>
      <c r="H3954" s="2275"/>
      <c r="I3954" s="2298"/>
      <c r="J3954" s="2298"/>
      <c r="K3954" s="2275"/>
      <c r="L3954" s="2275"/>
      <c r="M3954" s="2275"/>
      <c r="N3954" s="2275"/>
      <c r="O3954" s="2275"/>
      <c r="P3954" s="2275"/>
      <c r="Q3954" s="1477">
        <f>SUM(L3954:N3954,O3954,-P3954)</f>
        <v>0</v>
      </c>
      <c r="R3954" s="367"/>
      <c r="S3954" s="364"/>
      <c r="T3954" s="291"/>
      <c r="Z3954" s="609" t="s">
        <v>3987</v>
      </c>
      <c r="AA3954" s="609" t="s">
        <v>5684</v>
      </c>
    </row>
    <row r="3955" spans="1:27" ht="18">
      <c r="A3955" s="2714"/>
      <c r="B3955" s="371">
        <v>102</v>
      </c>
      <c r="C3955" s="371" t="s">
        <v>2791</v>
      </c>
      <c r="D3955" s="2716">
        <f t="shared" si="445"/>
        <v>0</v>
      </c>
      <c r="E3955" s="2721">
        <v>1</v>
      </c>
      <c r="F3955" s="294"/>
      <c r="G3955" s="2375" t="s">
        <v>2792</v>
      </c>
      <c r="H3955" s="2275"/>
      <c r="I3955" s="2298"/>
      <c r="J3955" s="2298"/>
      <c r="K3955" s="2275"/>
      <c r="L3955" s="2275"/>
      <c r="M3955" s="2275"/>
      <c r="N3955" s="2275"/>
      <c r="O3955" s="2275"/>
      <c r="P3955" s="2275"/>
      <c r="Q3955" s="1477">
        <f>SUM(L3955:N3955,O3955,-P3955)</f>
        <v>0</v>
      </c>
      <c r="R3955" s="367"/>
      <c r="S3955" s="364"/>
      <c r="T3955" s="291"/>
      <c r="Z3955" s="609" t="s">
        <v>3987</v>
      </c>
      <c r="AA3955" s="609" t="s">
        <v>5684</v>
      </c>
    </row>
    <row r="3956" spans="1:27" ht="18">
      <c r="A3956" s="2714"/>
      <c r="B3956" s="371">
        <v>103</v>
      </c>
      <c r="C3956" s="371" t="s">
        <v>2791</v>
      </c>
      <c r="D3956" s="2716">
        <f t="shared" si="445"/>
        <v>0</v>
      </c>
      <c r="E3956" s="2721">
        <v>1</v>
      </c>
      <c r="F3956" s="294"/>
      <c r="G3956" s="2375" t="s">
        <v>2792</v>
      </c>
      <c r="H3956" s="2275"/>
      <c r="I3956" s="2298"/>
      <c r="J3956" s="2298"/>
      <c r="K3956" s="2275"/>
      <c r="L3956" s="2275"/>
      <c r="M3956" s="2275"/>
      <c r="N3956" s="2275"/>
      <c r="O3956" s="2275"/>
      <c r="P3956" s="2275"/>
      <c r="Q3956" s="1477">
        <f>SUM(L3956:N3956,O3956,-P3956)</f>
        <v>0</v>
      </c>
      <c r="R3956" s="367"/>
      <c r="S3956" s="364"/>
      <c r="T3956" s="291"/>
      <c r="Z3956" s="609" t="s">
        <v>3987</v>
      </c>
      <c r="AA3956" s="609" t="s">
        <v>5684</v>
      </c>
    </row>
    <row r="3957" spans="1:27" ht="18">
      <c r="A3957" s="2714"/>
      <c r="B3957" s="371">
        <v>104</v>
      </c>
      <c r="C3957" s="371" t="s">
        <v>2791</v>
      </c>
      <c r="D3957" s="2716">
        <f t="shared" si="445"/>
        <v>0</v>
      </c>
      <c r="E3957" s="2721">
        <v>1</v>
      </c>
      <c r="F3957" s="294"/>
      <c r="G3957" s="2375" t="s">
        <v>2792</v>
      </c>
      <c r="H3957" s="2275"/>
      <c r="I3957" s="2298"/>
      <c r="J3957" s="2298"/>
      <c r="K3957" s="2275"/>
      <c r="L3957" s="2275"/>
      <c r="M3957" s="2275"/>
      <c r="N3957" s="2275"/>
      <c r="O3957" s="2275"/>
      <c r="P3957" s="2275"/>
      <c r="Q3957" s="1477">
        <f>SUM(L3957:N3957,O3957,-P3957)</f>
        <v>0</v>
      </c>
      <c r="R3957" s="367"/>
      <c r="S3957" s="364"/>
      <c r="T3957" s="291"/>
      <c r="Z3957" s="609" t="s">
        <v>3987</v>
      </c>
      <c r="AA3957" s="609" t="s">
        <v>5684</v>
      </c>
    </row>
    <row r="3958" spans="1:27" ht="18">
      <c r="A3958" s="2714"/>
      <c r="B3958" s="371">
        <v>105</v>
      </c>
      <c r="C3958" s="371" t="s">
        <v>2791</v>
      </c>
      <c r="D3958" s="2716">
        <f t="shared" si="445"/>
        <v>0</v>
      </c>
      <c r="E3958" s="2721">
        <v>1</v>
      </c>
      <c r="F3958" s="294"/>
      <c r="G3958" s="2375" t="s">
        <v>2792</v>
      </c>
      <c r="H3958" s="2275"/>
      <c r="I3958" s="2298"/>
      <c r="J3958" s="2298"/>
      <c r="K3958" s="2275"/>
      <c r="L3958" s="2275"/>
      <c r="M3958" s="2275"/>
      <c r="N3958" s="2275"/>
      <c r="O3958" s="2275"/>
      <c r="P3958" s="2275"/>
      <c r="Q3958" s="1477">
        <f>SUM(L3958:N3958,O3958,-P3958)</f>
        <v>0</v>
      </c>
      <c r="R3958" s="367"/>
      <c r="S3958" s="364"/>
      <c r="T3958" s="291"/>
      <c r="Z3958" s="609" t="s">
        <v>3987</v>
      </c>
      <c r="AA3958" s="609" t="s">
        <v>5684</v>
      </c>
    </row>
    <row r="3959" spans="1:27" ht="18.75" thickBot="1">
      <c r="A3959" s="2714"/>
      <c r="B3959" s="371"/>
      <c r="C3959" s="371"/>
      <c r="D3959" s="2716">
        <f t="shared" si="445"/>
        <v>1</v>
      </c>
      <c r="E3959" s="2721" t="s">
        <v>2751</v>
      </c>
      <c r="F3959" s="294"/>
      <c r="G3959" s="1529" t="s">
        <v>2752</v>
      </c>
      <c r="H3959" s="1527">
        <f>SUMPRODUCT($E3953:$E3958,H3953:H3958)</f>
        <v>0</v>
      </c>
      <c r="I3959" s="2316"/>
      <c r="J3959" s="2316"/>
      <c r="K3959" s="1527">
        <f t="shared" ref="K3959:Q3959" si="446">SUMPRODUCT($E3953:$E3958,K3953:K3958)</f>
        <v>0</v>
      </c>
      <c r="L3959" s="1527">
        <f t="shared" si="446"/>
        <v>0</v>
      </c>
      <c r="M3959" s="1527">
        <f t="shared" si="446"/>
        <v>0</v>
      </c>
      <c r="N3959" s="1527">
        <f t="shared" si="446"/>
        <v>0</v>
      </c>
      <c r="O3959" s="1527">
        <f t="shared" si="446"/>
        <v>0</v>
      </c>
      <c r="P3959" s="1527">
        <f t="shared" si="446"/>
        <v>0</v>
      </c>
      <c r="Q3959" s="1528">
        <f t="shared" si="446"/>
        <v>0</v>
      </c>
      <c r="R3959" s="367"/>
      <c r="S3959" s="364"/>
      <c r="T3959" s="291"/>
      <c r="Z3959" s="609" t="s">
        <v>3987</v>
      </c>
      <c r="AA3959" s="609" t="s">
        <v>5684</v>
      </c>
    </row>
    <row r="3960" spans="1:27" ht="18">
      <c r="A3960" s="2714"/>
      <c r="B3960" s="371"/>
      <c r="C3960" s="371" t="s">
        <v>2755</v>
      </c>
      <c r="D3960" s="371"/>
      <c r="F3960" s="294"/>
      <c r="G3960" s="301"/>
      <c r="H3960" s="315"/>
      <c r="I3960" s="393"/>
      <c r="J3960" s="393"/>
      <c r="K3960" s="315"/>
      <c r="L3960" s="315" t="s">
        <v>3002</v>
      </c>
      <c r="M3960" s="315"/>
      <c r="N3960" s="315"/>
      <c r="O3960" s="315"/>
      <c r="P3960" s="315"/>
      <c r="Q3960" s="566" t="s">
        <v>3002</v>
      </c>
      <c r="R3960" s="367"/>
      <c r="S3960" s="364"/>
      <c r="T3960" s="291"/>
      <c r="Z3960" s="609" t="s">
        <v>3987</v>
      </c>
      <c r="AA3960" s="609" t="s">
        <v>5684</v>
      </c>
    </row>
    <row r="3961" spans="1:27" ht="24">
      <c r="A3961" s="2714" t="s">
        <v>1617</v>
      </c>
      <c r="B3961" s="371">
        <v>4</v>
      </c>
      <c r="C3961" s="371"/>
      <c r="D3961" s="2716" t="str">
        <f>VLOOKUP($A3961,Sheet_NoteList,2,0)</f>
        <v>一年内到期的长期应付款项</v>
      </c>
      <c r="E3961" s="2716" t="s">
        <v>6531</v>
      </c>
      <c r="F3961" s="294"/>
      <c r="G3961" s="372" t="str">
        <f>"("&amp;B3961&amp;")"&amp;D3961</f>
        <v>(4)一年内到期的长期应付款项</v>
      </c>
      <c r="H3961" s="1517" t="str">
        <f>$A3961</f>
        <v>2395f</v>
      </c>
      <c r="I3961" s="343" t="s">
        <v>5966</v>
      </c>
      <c r="J3961" s="301" t="s">
        <v>5971</v>
      </c>
      <c r="K3961" s="2210">
        <f>H3969</f>
        <v>0</v>
      </c>
      <c r="L3961" s="345" t="str">
        <f>IF($I3961="适用",IF(ROUND(K$3930-K3961,2)&gt;=0,"","#Logical!"),"#N/A")</f>
        <v/>
      </c>
      <c r="M3961" s="301" t="s">
        <v>5967</v>
      </c>
      <c r="N3961" s="2210">
        <f>I3969</f>
        <v>0</v>
      </c>
      <c r="O3961" s="345" t="str">
        <f>IF($I3961="适用",IF(ROUND(N$3930-N3961,2)&gt;=0,"","#Logical!"),"#N/A")</f>
        <v/>
      </c>
      <c r="P3961" s="301"/>
      <c r="Q3961" s="290" t="str">
        <f>IF($I3961="不适用","",IF(ROUND(SUM($H$3964:$I$3969),2)=0,"请输入",""))</f>
        <v>请输入</v>
      </c>
      <c r="S3961" s="364"/>
      <c r="Z3961" s="609" t="s">
        <v>3987</v>
      </c>
      <c r="AA3961" s="609" t="s">
        <v>5684</v>
      </c>
    </row>
    <row r="3962" spans="1:27" ht="0.75" customHeight="1" thickBot="1">
      <c r="A3962" s="2714"/>
      <c r="B3962" s="371"/>
      <c r="C3962" s="371"/>
      <c r="D3962" s="371"/>
      <c r="E3962" s="586"/>
      <c r="F3962" s="518"/>
      <c r="G3962" s="518" t="s">
        <v>4005</v>
      </c>
      <c r="H3962" s="304" t="s">
        <v>2747</v>
      </c>
      <c r="I3962" s="304" t="s">
        <v>2748</v>
      </c>
      <c r="J3962" s="387"/>
      <c r="K3962" s="387"/>
      <c r="L3962" s="387"/>
      <c r="M3962" s="387"/>
      <c r="N3962" s="291"/>
      <c r="O3962" s="291"/>
      <c r="P3962" s="291"/>
      <c r="Q3962" s="367"/>
      <c r="R3962" s="367"/>
      <c r="S3962" s="364"/>
      <c r="Z3962" s="609" t="s">
        <v>3987</v>
      </c>
      <c r="AA3962" s="609" t="s">
        <v>5684</v>
      </c>
    </row>
    <row r="3963" spans="1:27" ht="18">
      <c r="A3963" s="2714"/>
      <c r="B3963" s="371"/>
      <c r="C3963" s="371"/>
      <c r="D3963" s="371"/>
      <c r="E3963" s="586" t="s">
        <v>2749</v>
      </c>
      <c r="F3963" s="363"/>
      <c r="G3963" s="2363" t="s">
        <v>47</v>
      </c>
      <c r="H3963" s="2364" t="s">
        <v>2775</v>
      </c>
      <c r="I3963" s="2365" t="s">
        <v>2776</v>
      </c>
      <c r="J3963" s="355" t="s">
        <v>6141</v>
      </c>
      <c r="K3963" s="291"/>
      <c r="L3963" s="291"/>
      <c r="M3963" s="291"/>
      <c r="N3963" s="291"/>
      <c r="O3963" s="291"/>
      <c r="P3963" s="291"/>
      <c r="Q3963" s="367"/>
      <c r="R3963" s="367"/>
      <c r="S3963" s="364"/>
      <c r="Z3963" s="609" t="s">
        <v>3987</v>
      </c>
      <c r="AA3963" s="609" t="s">
        <v>5684</v>
      </c>
    </row>
    <row r="3964" spans="1:27" ht="18">
      <c r="A3964" s="2714"/>
      <c r="B3964" s="371">
        <v>101</v>
      </c>
      <c r="C3964" s="371"/>
      <c r="D3964" s="2716">
        <f t="shared" ref="D3964:D3969" si="447">IF(OR(G3964="*",G3964="",G3964=0),0,COUNTIF($G$3964:$G$3969,G3964))</f>
        <v>1</v>
      </c>
      <c r="E3964" s="2721">
        <v>1</v>
      </c>
      <c r="F3964" s="294"/>
      <c r="G3964" s="1474" t="s">
        <v>4006</v>
      </c>
      <c r="H3964" s="2275"/>
      <c r="I3964" s="2296"/>
      <c r="J3964" s="291"/>
      <c r="K3964" s="291"/>
      <c r="L3964" s="291"/>
      <c r="M3964" s="291"/>
      <c r="N3964" s="291"/>
      <c r="O3964" s="291"/>
      <c r="P3964" s="291"/>
      <c r="Q3964" s="367"/>
      <c r="R3964" s="367"/>
      <c r="S3964" s="364"/>
      <c r="Z3964" s="609" t="s">
        <v>3987</v>
      </c>
      <c r="AA3964" s="609" t="s">
        <v>5684</v>
      </c>
    </row>
    <row r="3965" spans="1:27" ht="18">
      <c r="A3965" s="2714"/>
      <c r="B3965" s="371">
        <v>102</v>
      </c>
      <c r="C3965" s="371" t="s">
        <v>2791</v>
      </c>
      <c r="D3965" s="2716">
        <f t="shared" si="447"/>
        <v>0</v>
      </c>
      <c r="E3965" s="2721">
        <v>1</v>
      </c>
      <c r="F3965" s="294"/>
      <c r="G3965" s="2375" t="s">
        <v>2792</v>
      </c>
      <c r="H3965" s="2275"/>
      <c r="I3965" s="2296"/>
      <c r="J3965" s="291"/>
      <c r="K3965" s="291"/>
      <c r="L3965" s="291"/>
      <c r="M3965" s="291"/>
      <c r="N3965" s="291"/>
      <c r="O3965" s="291"/>
      <c r="P3965" s="291"/>
      <c r="Q3965" s="367"/>
      <c r="R3965" s="367"/>
      <c r="S3965" s="364"/>
      <c r="Z3965" s="609" t="s">
        <v>3987</v>
      </c>
      <c r="AA3965" s="609" t="s">
        <v>5684</v>
      </c>
    </row>
    <row r="3966" spans="1:27" ht="18">
      <c r="A3966" s="2714"/>
      <c r="B3966" s="371">
        <v>103</v>
      </c>
      <c r="C3966" s="371" t="s">
        <v>2791</v>
      </c>
      <c r="D3966" s="2716">
        <f t="shared" si="447"/>
        <v>0</v>
      </c>
      <c r="E3966" s="2721">
        <v>1</v>
      </c>
      <c r="F3966" s="294"/>
      <c r="G3966" s="2375" t="s">
        <v>2792</v>
      </c>
      <c r="H3966" s="2275"/>
      <c r="I3966" s="2296"/>
      <c r="J3966" s="291"/>
      <c r="K3966" s="291"/>
      <c r="L3966" s="291"/>
      <c r="M3966" s="291"/>
      <c r="N3966" s="291"/>
      <c r="O3966" s="291"/>
      <c r="P3966" s="291"/>
      <c r="Q3966" s="367"/>
      <c r="R3966" s="367"/>
      <c r="S3966" s="364"/>
      <c r="Z3966" s="609" t="s">
        <v>3987</v>
      </c>
      <c r="AA3966" s="609" t="s">
        <v>5684</v>
      </c>
    </row>
    <row r="3967" spans="1:27" ht="18">
      <c r="A3967" s="2714"/>
      <c r="B3967" s="371">
        <v>104</v>
      </c>
      <c r="C3967" s="371" t="s">
        <v>2791</v>
      </c>
      <c r="D3967" s="2716">
        <f t="shared" si="447"/>
        <v>0</v>
      </c>
      <c r="E3967" s="2721">
        <v>1</v>
      </c>
      <c r="F3967" s="294"/>
      <c r="G3967" s="2375" t="s">
        <v>2792</v>
      </c>
      <c r="H3967" s="2275"/>
      <c r="I3967" s="2296"/>
      <c r="J3967" s="291"/>
      <c r="K3967" s="291"/>
      <c r="L3967" s="291"/>
      <c r="M3967" s="291"/>
      <c r="N3967" s="291"/>
      <c r="O3967" s="291"/>
      <c r="P3967" s="291"/>
      <c r="Q3967" s="367"/>
      <c r="R3967" s="367"/>
      <c r="S3967" s="364"/>
      <c r="Z3967" s="609" t="s">
        <v>3987</v>
      </c>
      <c r="AA3967" s="609" t="s">
        <v>5684</v>
      </c>
    </row>
    <row r="3968" spans="1:27" ht="18">
      <c r="A3968" s="2714"/>
      <c r="B3968" s="371">
        <v>105</v>
      </c>
      <c r="C3968" s="371" t="s">
        <v>2791</v>
      </c>
      <c r="D3968" s="2716">
        <f t="shared" si="447"/>
        <v>0</v>
      </c>
      <c r="E3968" s="2721">
        <v>1</v>
      </c>
      <c r="F3968" s="294"/>
      <c r="G3968" s="2375" t="s">
        <v>2792</v>
      </c>
      <c r="H3968" s="2275"/>
      <c r="I3968" s="2296"/>
      <c r="J3968" s="291"/>
      <c r="K3968" s="291"/>
      <c r="L3968" s="291"/>
      <c r="M3968" s="291"/>
      <c r="N3968" s="291"/>
      <c r="O3968" s="291"/>
      <c r="P3968" s="291"/>
      <c r="Q3968" s="367"/>
      <c r="R3968" s="367"/>
      <c r="S3968" s="364"/>
      <c r="Z3968" s="609" t="s">
        <v>3987</v>
      </c>
      <c r="AA3968" s="609" t="s">
        <v>5684</v>
      </c>
    </row>
    <row r="3969" spans="1:29" ht="18.75" thickBot="1">
      <c r="A3969" s="2714"/>
      <c r="B3969" s="371"/>
      <c r="C3969" s="371"/>
      <c r="D3969" s="2716">
        <f t="shared" si="447"/>
        <v>1</v>
      </c>
      <c r="E3969" s="2721" t="s">
        <v>2751</v>
      </c>
      <c r="F3969" s="294"/>
      <c r="G3969" s="1529" t="s">
        <v>2752</v>
      </c>
      <c r="H3969" s="1527">
        <f>SUMPRODUCT($E3963:$E3968,H3963:H3968)</f>
        <v>0</v>
      </c>
      <c r="I3969" s="1528">
        <f>SUMPRODUCT($E3963:$E3968,I3963:I3968)</f>
        <v>0</v>
      </c>
      <c r="J3969" s="291"/>
      <c r="K3969" s="291"/>
      <c r="L3969" s="291"/>
      <c r="M3969" s="291"/>
      <c r="N3969" s="291"/>
      <c r="O3969" s="291"/>
      <c r="P3969" s="291"/>
      <c r="Q3969" s="367"/>
      <c r="R3969" s="367"/>
      <c r="S3969" s="364"/>
      <c r="Z3969" s="609" t="s">
        <v>3987</v>
      </c>
      <c r="AA3969" s="609" t="s">
        <v>5684</v>
      </c>
    </row>
    <row r="3970" spans="1:29" ht="18">
      <c r="A3970" s="2714"/>
      <c r="B3970" s="371"/>
      <c r="C3970" s="371" t="s">
        <v>2755</v>
      </c>
      <c r="D3970" s="371"/>
      <c r="F3970" s="294"/>
      <c r="G3970" s="301"/>
      <c r="H3970" s="315" t="s">
        <v>3002</v>
      </c>
      <c r="I3970" s="315" t="s">
        <v>3002</v>
      </c>
      <c r="J3970" s="350"/>
      <c r="K3970" s="349"/>
      <c r="L3970" s="349"/>
      <c r="M3970" s="350"/>
      <c r="N3970" s="291"/>
      <c r="O3970" s="291"/>
      <c r="P3970" s="291"/>
      <c r="Q3970" s="367"/>
      <c r="R3970" s="367"/>
      <c r="S3970" s="364"/>
      <c r="Z3970" s="609" t="s">
        <v>3987</v>
      </c>
      <c r="AA3970" s="609" t="s">
        <v>5684</v>
      </c>
    </row>
    <row r="3971" spans="1:29" ht="18">
      <c r="A3971" s="2714">
        <v>2396</v>
      </c>
      <c r="B3971" s="371">
        <v>45</v>
      </c>
      <c r="C3971" s="2716" t="str">
        <f>VLOOKUP($A3971,Sheet_Items,2,0)</f>
        <v>其他流动负债</v>
      </c>
      <c r="D3971" s="371"/>
      <c r="E3971" s="2716" t="s">
        <v>2739</v>
      </c>
      <c r="F3971" s="294"/>
      <c r="G3971" s="535" t="str">
        <f>B3971&amp;" "&amp;C3971</f>
        <v>45 其他流动负债</v>
      </c>
      <c r="H3971" s="306"/>
      <c r="I3971" s="306"/>
      <c r="J3971" s="306" t="s">
        <v>2740</v>
      </c>
      <c r="K3971" s="341">
        <f>VLOOKUP($A3971,Sheet_Trialbal,6,0)</f>
        <v>0</v>
      </c>
      <c r="L3971" s="342"/>
      <c r="M3971" s="306" t="s">
        <v>2741</v>
      </c>
      <c r="N3971" s="341">
        <f>VLOOKUP($A3971,Sheet_Trialbal,10,0)</f>
        <v>0</v>
      </c>
      <c r="O3971" s="306"/>
      <c r="P3971" s="301"/>
      <c r="S3971" s="364"/>
      <c r="Z3971" s="609" t="s">
        <v>4007</v>
      </c>
      <c r="AA3971" s="609" t="s">
        <v>5685</v>
      </c>
    </row>
    <row r="3972" spans="1:29" ht="18">
      <c r="A3972" s="2714" t="s">
        <v>1621</v>
      </c>
      <c r="B3972" s="371">
        <v>1</v>
      </c>
      <c r="C3972" s="371"/>
      <c r="D3972" s="2716" t="str">
        <f>VLOOKUP($A3972,Sheet_NoteList,2,0)</f>
        <v>其他流动负债明细项目</v>
      </c>
      <c r="E3972" s="2716" t="s">
        <v>2742</v>
      </c>
      <c r="F3972" s="294"/>
      <c r="G3972" s="307" t="str">
        <f>"("&amp;B3972&amp;")"&amp;D3972</f>
        <v>(1)其他流动负债明细项目</v>
      </c>
      <c r="H3972" s="1517" t="str">
        <f>$A3972</f>
        <v>2396a</v>
      </c>
      <c r="I3972" s="343" t="s">
        <v>2743</v>
      </c>
      <c r="J3972" s="301" t="s">
        <v>2744</v>
      </c>
      <c r="K3972" s="2210">
        <f>H3981</f>
        <v>0</v>
      </c>
      <c r="L3972" s="345" t="str">
        <f>IF($I3972="适用",IF(ROUND(K3971-K3972,2)=0,"F/S",ROUND(K3971-K3972,2)),"#N/A")</f>
        <v>F/S</v>
      </c>
      <c r="M3972" s="301" t="s">
        <v>2745</v>
      </c>
      <c r="N3972" s="2210">
        <f>I3981</f>
        <v>0</v>
      </c>
      <c r="O3972" s="345" t="str">
        <f>IF($I3972="适用",IF(ROUND(N3971-N3972,2)=0,"F/S",ROUND(N3971-N3972,2)),"#N/A")</f>
        <v>F/S</v>
      </c>
      <c r="P3972" s="301"/>
      <c r="Q3972" s="290" t="str">
        <f>IF($I3972="不适用","",IF(ROUND(SUM($H$3975:$I$3981),2)=0,"请输入",""))</f>
        <v>请输入</v>
      </c>
      <c r="S3972" s="364"/>
      <c r="Z3972" s="609" t="s">
        <v>4007</v>
      </c>
      <c r="AA3972" s="609" t="s">
        <v>5685</v>
      </c>
    </row>
    <row r="3973" spans="1:29" ht="0.75" customHeight="1" thickBot="1">
      <c r="A3973" s="2714"/>
      <c r="B3973" s="371"/>
      <c r="C3973" s="371"/>
      <c r="D3973" s="371"/>
      <c r="F3973" s="294"/>
      <c r="G3973" s="294" t="s">
        <v>4008</v>
      </c>
      <c r="H3973" s="294" t="s">
        <v>2747</v>
      </c>
      <c r="I3973" s="294" t="s">
        <v>2748</v>
      </c>
      <c r="J3973" s="291"/>
      <c r="K3973" s="291"/>
      <c r="L3973" s="291"/>
      <c r="M3973" s="291"/>
      <c r="S3973" s="364"/>
      <c r="Z3973" s="609" t="s">
        <v>4007</v>
      </c>
      <c r="AA3973" s="609" t="s">
        <v>5685</v>
      </c>
    </row>
    <row r="3974" spans="1:29" ht="18">
      <c r="A3974" s="2714"/>
      <c r="B3974" s="371"/>
      <c r="C3974" s="371"/>
      <c r="D3974" s="371"/>
      <c r="E3974" s="2716" t="s">
        <v>2749</v>
      </c>
      <c r="F3974" s="294"/>
      <c r="G3974" s="410" t="s">
        <v>47</v>
      </c>
      <c r="H3974" s="1454" t="str">
        <f>$V$2</f>
        <v>2019年12月31日</v>
      </c>
      <c r="I3974" s="1455" t="str">
        <f>$V$3</f>
        <v>2018年12月31日</v>
      </c>
      <c r="J3974" s="355" t="s">
        <v>5310</v>
      </c>
      <c r="K3974" s="291"/>
      <c r="L3974" s="291"/>
      <c r="M3974" s="291"/>
      <c r="S3974" s="364"/>
      <c r="Z3974" s="609" t="s">
        <v>4007</v>
      </c>
      <c r="AA3974" s="609" t="s">
        <v>5685</v>
      </c>
    </row>
    <row r="3975" spans="1:29" ht="18">
      <c r="A3975" s="2714"/>
      <c r="B3975" s="371">
        <v>101</v>
      </c>
      <c r="C3975" s="371"/>
      <c r="D3975" s="2716">
        <f t="shared" ref="D3975:D3981" si="448">IF(OR(G3975="*",G3975="",G3975=0),0,COUNTIF($G$3975:$G$3981,G3975))</f>
        <v>1</v>
      </c>
      <c r="E3975" s="2721">
        <v>1</v>
      </c>
      <c r="F3975" s="294"/>
      <c r="G3975" s="308" t="s">
        <v>1627</v>
      </c>
      <c r="H3975" s="309"/>
      <c r="I3975" s="346"/>
      <c r="J3975" s="1533" t="str">
        <f ca="1">HYPERLINK("#'"&amp;$G$1&amp;"'!"&amp;ADDRESS(ROW(Notes!L3994),COLUMN(Notes!L3994),4),"* 请勿删除此行！点击往勾稽单元格，F5+Enter返回")</f>
        <v>* 请勿删除此行！点击往勾稽单元格，F5+Enter返回</v>
      </c>
      <c r="K3975" s="291"/>
      <c r="L3975" s="291"/>
      <c r="M3975" s="291"/>
      <c r="S3975" s="364"/>
      <c r="Z3975" s="609" t="s">
        <v>4007</v>
      </c>
      <c r="AA3975" s="609" t="s">
        <v>5685</v>
      </c>
      <c r="AC3975" s="369" t="s">
        <v>6573</v>
      </c>
    </row>
    <row r="3976" spans="1:29" ht="24">
      <c r="A3976" s="2714"/>
      <c r="B3976" s="371">
        <v>102</v>
      </c>
      <c r="C3976" s="371"/>
      <c r="D3976" s="2716">
        <f t="shared" si="448"/>
        <v>1</v>
      </c>
      <c r="E3976" s="2721">
        <v>1</v>
      </c>
      <c r="F3976" s="294"/>
      <c r="G3976" s="308" t="s">
        <v>5252</v>
      </c>
      <c r="H3976" s="309"/>
      <c r="I3976" s="346"/>
      <c r="J3976" s="357"/>
      <c r="K3976" s="291"/>
      <c r="L3976" s="291"/>
      <c r="M3976" s="291"/>
      <c r="S3976" s="364"/>
      <c r="Z3976" s="609" t="s">
        <v>4007</v>
      </c>
      <c r="AA3976" s="609" t="s">
        <v>5685</v>
      </c>
    </row>
    <row r="3977" spans="1:29" ht="18">
      <c r="A3977" s="2714"/>
      <c r="B3977" s="371">
        <v>103</v>
      </c>
      <c r="C3977" s="371" t="s">
        <v>2791</v>
      </c>
      <c r="D3977" s="2716">
        <f t="shared" si="448"/>
        <v>0</v>
      </c>
      <c r="E3977" s="2721">
        <v>1</v>
      </c>
      <c r="F3977" s="294"/>
      <c r="G3977" s="319" t="s">
        <v>2792</v>
      </c>
      <c r="H3977" s="309"/>
      <c r="I3977" s="346"/>
      <c r="J3977" s="357"/>
      <c r="K3977" s="291"/>
      <c r="L3977" s="291"/>
      <c r="M3977" s="291"/>
      <c r="S3977" s="364"/>
      <c r="Z3977" s="609" t="s">
        <v>4007</v>
      </c>
      <c r="AA3977" s="609" t="s">
        <v>5685</v>
      </c>
    </row>
    <row r="3978" spans="1:29" ht="18">
      <c r="A3978" s="2714"/>
      <c r="B3978" s="371">
        <v>105</v>
      </c>
      <c r="C3978" s="371" t="s">
        <v>2791</v>
      </c>
      <c r="D3978" s="2716">
        <f t="shared" si="448"/>
        <v>0</v>
      </c>
      <c r="E3978" s="2721">
        <v>1</v>
      </c>
      <c r="F3978" s="294"/>
      <c r="G3978" s="319" t="s">
        <v>2792</v>
      </c>
      <c r="H3978" s="309"/>
      <c r="I3978" s="346"/>
      <c r="J3978" s="291"/>
      <c r="K3978" s="291"/>
      <c r="L3978" s="291"/>
      <c r="M3978" s="291"/>
      <c r="S3978" s="364"/>
      <c r="Z3978" s="609" t="s">
        <v>4007</v>
      </c>
      <c r="AA3978" s="609" t="s">
        <v>5685</v>
      </c>
    </row>
    <row r="3979" spans="1:29" ht="18">
      <c r="A3979" s="2714"/>
      <c r="B3979" s="371">
        <v>106</v>
      </c>
      <c r="C3979" s="371" t="s">
        <v>2791</v>
      </c>
      <c r="D3979" s="2716">
        <f t="shared" si="448"/>
        <v>0</v>
      </c>
      <c r="E3979" s="2721">
        <v>1</v>
      </c>
      <c r="F3979" s="294"/>
      <c r="G3979" s="319" t="s">
        <v>2792</v>
      </c>
      <c r="H3979" s="309"/>
      <c r="I3979" s="346"/>
      <c r="J3979" s="291"/>
      <c r="K3979" s="291"/>
      <c r="L3979" s="291"/>
      <c r="M3979" s="291"/>
      <c r="S3979" s="364"/>
      <c r="Z3979" s="609" t="s">
        <v>4007</v>
      </c>
      <c r="AA3979" s="609" t="s">
        <v>5685</v>
      </c>
    </row>
    <row r="3980" spans="1:29" ht="18">
      <c r="A3980" s="2714"/>
      <c r="B3980" s="371">
        <v>107</v>
      </c>
      <c r="C3980" s="371" t="s">
        <v>2791</v>
      </c>
      <c r="D3980" s="2716">
        <f t="shared" si="448"/>
        <v>0</v>
      </c>
      <c r="E3980" s="2721">
        <v>1</v>
      </c>
      <c r="F3980" s="294"/>
      <c r="G3980" s="319" t="s">
        <v>2792</v>
      </c>
      <c r="H3980" s="309"/>
      <c r="I3980" s="346"/>
      <c r="J3980" s="291"/>
      <c r="K3980" s="291"/>
      <c r="L3980" s="291"/>
      <c r="M3980" s="291"/>
      <c r="S3980" s="364"/>
      <c r="Z3980" s="609" t="s">
        <v>4007</v>
      </c>
      <c r="AA3980" s="609" t="s">
        <v>5685</v>
      </c>
    </row>
    <row r="3981" spans="1:29" ht="18.75" thickBot="1">
      <c r="A3981" s="2714"/>
      <c r="B3981" s="371"/>
      <c r="C3981" s="371"/>
      <c r="D3981" s="2716">
        <f t="shared" si="448"/>
        <v>1</v>
      </c>
      <c r="E3981" s="2721" t="s">
        <v>2751</v>
      </c>
      <c r="F3981" s="294"/>
      <c r="G3981" s="374" t="s">
        <v>2752</v>
      </c>
      <c r="H3981" s="375">
        <f>SUMPRODUCT($E3974:$E3980,H3974:H3980)</f>
        <v>0</v>
      </c>
      <c r="I3981" s="395">
        <f>SUMPRODUCT($E3974:$E3980,I3974:I3980)</f>
        <v>0</v>
      </c>
      <c r="J3981" s="291"/>
      <c r="K3981" s="291"/>
      <c r="L3981" s="291"/>
      <c r="M3981" s="291"/>
      <c r="S3981" s="364"/>
      <c r="Z3981" s="609" t="s">
        <v>4007</v>
      </c>
      <c r="AA3981" s="609" t="s">
        <v>5685</v>
      </c>
    </row>
    <row r="3982" spans="1:29" ht="18">
      <c r="A3982" s="2714"/>
      <c r="B3982" s="371"/>
      <c r="C3982" s="371" t="s">
        <v>2755</v>
      </c>
      <c r="D3982" s="371"/>
      <c r="F3982" s="294"/>
      <c r="G3982" s="301"/>
      <c r="H3982" s="315"/>
      <c r="I3982" s="315"/>
      <c r="J3982" s="291"/>
      <c r="K3982" s="291"/>
      <c r="L3982" s="291"/>
      <c r="M3982" s="291"/>
      <c r="S3982" s="364"/>
      <c r="Z3982" s="609" t="s">
        <v>4007</v>
      </c>
      <c r="AA3982" s="609" t="s">
        <v>5685</v>
      </c>
    </row>
    <row r="3983" spans="1:29" ht="24">
      <c r="A3983" s="2714" t="s">
        <v>1626</v>
      </c>
      <c r="B3983" s="371">
        <v>2</v>
      </c>
      <c r="C3983" s="371"/>
      <c r="D3983" s="2716" t="str">
        <f>VLOOKUP($A3983,Sheet_NoteList,2,0)</f>
        <v>短期应付债券的增减变动</v>
      </c>
      <c r="E3983" s="2716" t="s">
        <v>2742</v>
      </c>
      <c r="F3983" s="294"/>
      <c r="G3983" s="372" t="str">
        <f>"("&amp;B3983&amp;")"&amp;D3983</f>
        <v>(2)短期应付债券的增减变动</v>
      </c>
      <c r="H3983" s="1517" t="str">
        <f>$A3983</f>
        <v>2396c</v>
      </c>
      <c r="I3983" s="343" t="s">
        <v>2743</v>
      </c>
      <c r="J3983" s="301" t="s">
        <v>2744</v>
      </c>
      <c r="K3983" s="2210">
        <f>Q3991</f>
        <v>0</v>
      </c>
      <c r="L3983" s="345"/>
      <c r="M3983" s="301" t="s">
        <v>2745</v>
      </c>
      <c r="N3983" s="2210">
        <f>L3991</f>
        <v>0</v>
      </c>
      <c r="O3983" s="315"/>
      <c r="P3983" s="301"/>
      <c r="Q3983" s="290" t="str">
        <f>IF($I3983="不适用","",IF(ROUND(SUM($H$3986:$Q$3991),2)=0,"请输入",""))</f>
        <v>请输入</v>
      </c>
      <c r="R3983" s="367"/>
      <c r="S3983" s="364"/>
      <c r="Z3983" s="609" t="s">
        <v>4007</v>
      </c>
      <c r="AA3983" s="609" t="s">
        <v>5685</v>
      </c>
    </row>
    <row r="3984" spans="1:29" ht="0.75" customHeight="1" thickBot="1">
      <c r="A3984" s="2714"/>
      <c r="B3984" s="371"/>
      <c r="C3984" s="371"/>
      <c r="D3984" s="371"/>
      <c r="F3984" s="304"/>
      <c r="G3984" s="304" t="s">
        <v>4009</v>
      </c>
      <c r="H3984" s="304" t="s">
        <v>3431</v>
      </c>
      <c r="I3984" s="304" t="s">
        <v>3991</v>
      </c>
      <c r="J3984" s="304" t="s">
        <v>3992</v>
      </c>
      <c r="K3984" s="304" t="s">
        <v>3993</v>
      </c>
      <c r="L3984" s="304" t="s">
        <v>3242</v>
      </c>
      <c r="M3984" s="304" t="s">
        <v>3994</v>
      </c>
      <c r="N3984" s="304" t="s">
        <v>3995</v>
      </c>
      <c r="O3984" s="304" t="s">
        <v>3996</v>
      </c>
      <c r="P3984" s="304" t="s">
        <v>3997</v>
      </c>
      <c r="Q3984" s="366" t="s">
        <v>3499</v>
      </c>
      <c r="R3984" s="367"/>
      <c r="S3984" s="364"/>
      <c r="T3984" s="291"/>
      <c r="Z3984" s="609" t="s">
        <v>4007</v>
      </c>
      <c r="AA3984" s="609" t="s">
        <v>5685</v>
      </c>
    </row>
    <row r="3985" spans="1:27" ht="24">
      <c r="A3985" s="2714"/>
      <c r="B3985" s="371"/>
      <c r="C3985" s="371"/>
      <c r="D3985" s="371"/>
      <c r="E3985" s="2716" t="s">
        <v>2749</v>
      </c>
      <c r="F3985" s="294"/>
      <c r="G3985" s="378" t="s">
        <v>1613</v>
      </c>
      <c r="H3985" s="398" t="s">
        <v>3319</v>
      </c>
      <c r="I3985" s="398" t="s">
        <v>3998</v>
      </c>
      <c r="J3985" s="398" t="s">
        <v>3999</v>
      </c>
      <c r="K3985" s="398" t="s">
        <v>4000</v>
      </c>
      <c r="L3985" s="504" t="str">
        <f>$W$3&amp;"余额"</f>
        <v>2018年12月31日余额</v>
      </c>
      <c r="M3985" s="398" t="s">
        <v>4001</v>
      </c>
      <c r="N3985" s="398" t="s">
        <v>4002</v>
      </c>
      <c r="O3985" s="379" t="s">
        <v>4003</v>
      </c>
      <c r="P3985" s="398" t="s">
        <v>4004</v>
      </c>
      <c r="Q3985" s="606" t="str">
        <f>$W$2&amp;"余额"</f>
        <v>2019年12月31日余额</v>
      </c>
      <c r="R3985" s="355" t="s">
        <v>5310</v>
      </c>
      <c r="S3985" s="364"/>
      <c r="T3985" s="291"/>
      <c r="Z3985" s="609" t="s">
        <v>4007</v>
      </c>
      <c r="AA3985" s="609" t="s">
        <v>5685</v>
      </c>
    </row>
    <row r="3986" spans="1:27" ht="18">
      <c r="A3986" s="2714"/>
      <c r="B3986" s="371">
        <v>101</v>
      </c>
      <c r="C3986" s="371" t="s">
        <v>2791</v>
      </c>
      <c r="D3986" s="2716">
        <f t="shared" ref="D3986:D3991" si="449">IF(OR(G3986="*",G3986="",G3986=0),0,COUNTIF($G$3986:$G$3991,G3986))</f>
        <v>0</v>
      </c>
      <c r="E3986" s="2721">
        <v>1</v>
      </c>
      <c r="F3986" s="294"/>
      <c r="G3986" s="409" t="s">
        <v>2792</v>
      </c>
      <c r="H3986" s="383"/>
      <c r="I3986" s="469"/>
      <c r="J3986" s="469"/>
      <c r="K3986" s="383"/>
      <c r="L3986" s="383"/>
      <c r="M3986" s="383"/>
      <c r="N3986" s="383"/>
      <c r="O3986" s="381"/>
      <c r="P3986" s="383"/>
      <c r="Q3986" s="401">
        <f>SUM(L3986:N3986,O3986,-P3986)</f>
        <v>0</v>
      </c>
      <c r="R3986" s="367"/>
      <c r="S3986" s="364"/>
      <c r="T3986" s="291"/>
      <c r="Z3986" s="609" t="s">
        <v>4007</v>
      </c>
      <c r="AA3986" s="609" t="s">
        <v>5685</v>
      </c>
    </row>
    <row r="3987" spans="1:27" ht="18">
      <c r="A3987" s="2714"/>
      <c r="B3987" s="371">
        <v>102</v>
      </c>
      <c r="C3987" s="371" t="s">
        <v>2791</v>
      </c>
      <c r="D3987" s="2716">
        <f t="shared" si="449"/>
        <v>0</v>
      </c>
      <c r="E3987" s="2721">
        <v>1</v>
      </c>
      <c r="F3987" s="294"/>
      <c r="G3987" s="409" t="s">
        <v>2792</v>
      </c>
      <c r="H3987" s="383"/>
      <c r="I3987" s="469"/>
      <c r="J3987" s="469"/>
      <c r="K3987" s="383"/>
      <c r="L3987" s="383"/>
      <c r="M3987" s="383"/>
      <c r="N3987" s="383"/>
      <c r="O3987" s="381"/>
      <c r="P3987" s="383"/>
      <c r="Q3987" s="401">
        <f>SUM(L3987:N3987,O3987,-P3987)</f>
        <v>0</v>
      </c>
      <c r="R3987" s="367"/>
      <c r="S3987" s="364"/>
      <c r="T3987" s="291"/>
      <c r="Z3987" s="609" t="s">
        <v>4007</v>
      </c>
      <c r="AA3987" s="609" t="s">
        <v>5685</v>
      </c>
    </row>
    <row r="3988" spans="1:27" ht="18">
      <c r="A3988" s="2714"/>
      <c r="B3988" s="371">
        <v>103</v>
      </c>
      <c r="C3988" s="371" t="s">
        <v>2791</v>
      </c>
      <c r="D3988" s="2716">
        <f t="shared" si="449"/>
        <v>0</v>
      </c>
      <c r="E3988" s="2721">
        <v>1</v>
      </c>
      <c r="F3988" s="294"/>
      <c r="G3988" s="409" t="s">
        <v>2792</v>
      </c>
      <c r="H3988" s="383"/>
      <c r="I3988" s="469"/>
      <c r="J3988" s="469"/>
      <c r="K3988" s="383"/>
      <c r="L3988" s="383"/>
      <c r="M3988" s="383"/>
      <c r="N3988" s="383"/>
      <c r="O3988" s="381"/>
      <c r="P3988" s="383"/>
      <c r="Q3988" s="401">
        <f>SUM(L3988:N3988,O3988,-P3988)</f>
        <v>0</v>
      </c>
      <c r="R3988" s="367"/>
      <c r="S3988" s="364"/>
      <c r="T3988" s="291"/>
      <c r="Z3988" s="609" t="s">
        <v>4007</v>
      </c>
      <c r="AA3988" s="609" t="s">
        <v>5685</v>
      </c>
    </row>
    <row r="3989" spans="1:27" ht="18">
      <c r="A3989" s="2714"/>
      <c r="B3989" s="371">
        <v>104</v>
      </c>
      <c r="C3989" s="371" t="s">
        <v>2791</v>
      </c>
      <c r="D3989" s="2716">
        <f t="shared" si="449"/>
        <v>0</v>
      </c>
      <c r="E3989" s="2721">
        <v>1</v>
      </c>
      <c r="F3989" s="294"/>
      <c r="G3989" s="409" t="s">
        <v>2792</v>
      </c>
      <c r="H3989" s="383"/>
      <c r="I3989" s="469"/>
      <c r="J3989" s="469"/>
      <c r="K3989" s="383"/>
      <c r="L3989" s="383"/>
      <c r="M3989" s="383"/>
      <c r="N3989" s="383"/>
      <c r="O3989" s="381"/>
      <c r="P3989" s="383"/>
      <c r="Q3989" s="401">
        <f>SUM(L3989:N3989,O3989,-P3989)</f>
        <v>0</v>
      </c>
      <c r="R3989" s="367"/>
      <c r="S3989" s="364"/>
      <c r="T3989" s="291"/>
      <c r="Z3989" s="609" t="s">
        <v>4007</v>
      </c>
      <c r="AA3989" s="609" t="s">
        <v>5685</v>
      </c>
    </row>
    <row r="3990" spans="1:27" ht="18">
      <c r="A3990" s="2714"/>
      <c r="B3990" s="371">
        <v>105</v>
      </c>
      <c r="C3990" s="371" t="s">
        <v>2791</v>
      </c>
      <c r="D3990" s="2716">
        <f t="shared" si="449"/>
        <v>0</v>
      </c>
      <c r="E3990" s="2721">
        <v>1</v>
      </c>
      <c r="F3990" s="294"/>
      <c r="G3990" s="409" t="s">
        <v>2792</v>
      </c>
      <c r="H3990" s="383"/>
      <c r="I3990" s="469"/>
      <c r="J3990" s="469"/>
      <c r="K3990" s="383"/>
      <c r="L3990" s="383"/>
      <c r="M3990" s="383"/>
      <c r="N3990" s="383"/>
      <c r="O3990" s="381"/>
      <c r="P3990" s="383"/>
      <c r="Q3990" s="401">
        <f>SUM(L3990:N3990,O3990,-P3990)</f>
        <v>0</v>
      </c>
      <c r="R3990" s="367"/>
      <c r="S3990" s="364"/>
      <c r="T3990" s="291"/>
      <c r="Z3990" s="609" t="s">
        <v>4007</v>
      </c>
      <c r="AA3990" s="609" t="s">
        <v>5685</v>
      </c>
    </row>
    <row r="3991" spans="1:27" ht="18.75" thickBot="1">
      <c r="A3991" s="2714"/>
      <c r="B3991" s="371"/>
      <c r="C3991" s="371"/>
      <c r="D3991" s="2716">
        <f t="shared" si="449"/>
        <v>1</v>
      </c>
      <c r="E3991" s="2721" t="s">
        <v>2751</v>
      </c>
      <c r="F3991" s="294"/>
      <c r="G3991" s="403" t="s">
        <v>2752</v>
      </c>
      <c r="H3991" s="503">
        <f>SUMPRODUCT($E3985:$E3990,H3985:H3990)</f>
        <v>0</v>
      </c>
      <c r="I3991" s="512"/>
      <c r="J3991" s="512"/>
      <c r="K3991" s="503">
        <f t="shared" ref="K3991:Q3991" si="450">SUMPRODUCT($E3985:$E3990,K3985:K3990)</f>
        <v>0</v>
      </c>
      <c r="L3991" s="503">
        <f t="shared" si="450"/>
        <v>0</v>
      </c>
      <c r="M3991" s="503">
        <f t="shared" si="450"/>
        <v>0</v>
      </c>
      <c r="N3991" s="503">
        <f t="shared" si="450"/>
        <v>0</v>
      </c>
      <c r="O3991" s="503">
        <f t="shared" si="450"/>
        <v>0</v>
      </c>
      <c r="P3991" s="503">
        <f t="shared" si="450"/>
        <v>0</v>
      </c>
      <c r="Q3991" s="515">
        <f t="shared" si="450"/>
        <v>0</v>
      </c>
      <c r="R3991" s="367"/>
      <c r="S3991" s="364"/>
      <c r="T3991" s="291"/>
      <c r="Z3991" s="609" t="s">
        <v>4007</v>
      </c>
      <c r="AA3991" s="609" t="s">
        <v>5685</v>
      </c>
    </row>
    <row r="3992" spans="1:27" ht="18.75" thickBot="1">
      <c r="A3992" s="2714"/>
      <c r="B3992" s="371"/>
      <c r="C3992" s="371" t="s">
        <v>2755</v>
      </c>
      <c r="D3992" s="371"/>
      <c r="F3992" s="294"/>
      <c r="G3992" s="301"/>
      <c r="H3992" s="315"/>
      <c r="I3992" s="393"/>
      <c r="J3992" s="393"/>
      <c r="K3992" s="315"/>
      <c r="L3992" s="527" t="s">
        <v>3002</v>
      </c>
      <c r="M3992" s="315"/>
      <c r="N3992" s="315"/>
      <c r="O3992" s="315"/>
      <c r="P3992" s="315"/>
      <c r="Q3992" s="528" t="s">
        <v>3002</v>
      </c>
      <c r="R3992" s="367"/>
      <c r="S3992" s="364"/>
      <c r="T3992" s="291"/>
      <c r="Z3992" s="609" t="s">
        <v>4007</v>
      </c>
      <c r="AA3992" s="609" t="s">
        <v>5685</v>
      </c>
    </row>
    <row r="3993" spans="1:27" ht="18.75" thickTop="1">
      <c r="A3993" s="2714"/>
      <c r="B3993" s="371"/>
      <c r="C3993" s="371" t="s">
        <v>2565</v>
      </c>
      <c r="D3993" s="371"/>
      <c r="F3993" s="294"/>
      <c r="G3993" s="454" t="s">
        <v>2756</v>
      </c>
      <c r="H3993" s="455" t="str">
        <f>G3972</f>
        <v>(1)其他流动负债明细项目</v>
      </c>
      <c r="I3993" s="474"/>
      <c r="J3993" s="474"/>
      <c r="K3993" s="474"/>
      <c r="L3993" s="487"/>
      <c r="M3993" s="474"/>
      <c r="N3993" s="474"/>
      <c r="O3993" s="474"/>
      <c r="P3993" s="474"/>
      <c r="Q3993" s="487"/>
      <c r="R3993" s="367"/>
      <c r="S3993" s="364"/>
      <c r="T3993" s="291"/>
      <c r="Z3993" s="609" t="s">
        <v>4007</v>
      </c>
      <c r="AA3993" s="609" t="s">
        <v>5685</v>
      </c>
    </row>
    <row r="3994" spans="1:27" ht="18">
      <c r="A3994" s="2714"/>
      <c r="B3994" s="371"/>
      <c r="C3994" s="371" t="s">
        <v>2565</v>
      </c>
      <c r="D3994" s="371"/>
      <c r="F3994" s="294"/>
      <c r="G3994" s="316" t="str">
        <f>G3975</f>
        <v>短期应付债券</v>
      </c>
      <c r="H3994" s="351"/>
      <c r="I3994" s="351"/>
      <c r="J3994" s="351"/>
      <c r="K3994" s="351"/>
      <c r="L3994" s="2252">
        <f ca="1">HYPERLINK("#'"&amp;$G$1&amp;"'!"&amp;ADDRESS(ROW(Notes!I3975),COLUMN(Notes!I3975),4),I3975)</f>
        <v>0</v>
      </c>
      <c r="M3994" s="351"/>
      <c r="N3994" s="351"/>
      <c r="O3994" s="351"/>
      <c r="P3994" s="351"/>
      <c r="Q3994" s="2669">
        <f ca="1">HYPERLINK("#'"&amp;$G$1&amp;"'!"&amp;ADDRESS(ROW(Notes!H3975),COLUMN(Notes!H3975),4),H3975)</f>
        <v>0</v>
      </c>
      <c r="R3994" s="2668" t="str">
        <f>H3972</f>
        <v>2396a</v>
      </c>
      <c r="S3994" s="364"/>
      <c r="T3994" s="291"/>
      <c r="Z3994" s="609" t="s">
        <v>4007</v>
      </c>
      <c r="AA3994" s="609" t="s">
        <v>5685</v>
      </c>
    </row>
    <row r="3995" spans="1:27" ht="18">
      <c r="A3995" s="2714"/>
      <c r="B3995" s="371"/>
      <c r="C3995" s="371" t="s">
        <v>2565</v>
      </c>
      <c r="D3995" s="371"/>
      <c r="F3995" s="294"/>
      <c r="G3995" s="316" t="s">
        <v>3003</v>
      </c>
      <c r="H3995" s="351"/>
      <c r="I3995" s="351"/>
      <c r="J3995" s="351"/>
      <c r="K3995" s="351"/>
      <c r="L3995" s="456">
        <f>L3991</f>
        <v>0</v>
      </c>
      <c r="M3995" s="351"/>
      <c r="N3995" s="351"/>
      <c r="O3995" s="351"/>
      <c r="P3995" s="351"/>
      <c r="Q3995" s="495">
        <f>Q3991</f>
        <v>0</v>
      </c>
      <c r="R3995" s="367"/>
      <c r="S3995" s="364"/>
      <c r="T3995" s="291"/>
      <c r="Z3995" s="609" t="s">
        <v>4007</v>
      </c>
      <c r="AA3995" s="609" t="s">
        <v>5685</v>
      </c>
    </row>
    <row r="3996" spans="1:27" ht="18.75" thickBot="1">
      <c r="A3996" s="2714"/>
      <c r="B3996" s="371"/>
      <c r="C3996" s="371" t="s">
        <v>2565</v>
      </c>
      <c r="D3996" s="371"/>
      <c r="F3996" s="294"/>
      <c r="G3996" s="457" t="s">
        <v>2757</v>
      </c>
      <c r="H3996" s="356"/>
      <c r="I3996" s="356"/>
      <c r="J3996" s="356"/>
      <c r="K3996" s="356"/>
      <c r="L3996" s="458">
        <f ca="1">IF(AND(L3994="",L3995=""),"",ROUND(L3994-L3995,2))</f>
        <v>0</v>
      </c>
      <c r="M3996" s="356"/>
      <c r="N3996" s="356"/>
      <c r="O3996" s="356"/>
      <c r="P3996" s="356"/>
      <c r="Q3996" s="458">
        <f ca="1">IF(AND(Q3994="",Q3995=""),"",ROUND(Q3994-Q3995,2))</f>
        <v>0</v>
      </c>
      <c r="R3996" s="367"/>
      <c r="S3996" s="364"/>
      <c r="T3996" s="291"/>
      <c r="Z3996" s="609" t="s">
        <v>4007</v>
      </c>
      <c r="AA3996" s="609" t="s">
        <v>5685</v>
      </c>
    </row>
    <row r="3997" spans="1:27" ht="18.75" thickTop="1">
      <c r="A3997" s="2714"/>
      <c r="B3997" s="371"/>
      <c r="C3997" s="371" t="s">
        <v>2565</v>
      </c>
      <c r="D3997" s="371"/>
      <c r="F3997" s="294"/>
      <c r="G3997" s="354"/>
      <c r="H3997" s="317"/>
      <c r="I3997" s="317"/>
      <c r="J3997" s="317"/>
      <c r="K3997" s="317"/>
      <c r="L3997" s="459" t="str">
        <f ca="1">IF(OR(L3996=0,L3996=""),"√","？")</f>
        <v>√</v>
      </c>
      <c r="M3997" s="317"/>
      <c r="N3997" s="317"/>
      <c r="O3997" s="317"/>
      <c r="P3997" s="317"/>
      <c r="Q3997" s="496" t="str">
        <f ca="1">IF(OR(Q3996=0,Q3996=""),"√","？")</f>
        <v>√</v>
      </c>
      <c r="R3997" s="367"/>
      <c r="S3997" s="364"/>
      <c r="T3997" s="291"/>
      <c r="Z3997" s="609" t="s">
        <v>4007</v>
      </c>
      <c r="AA3997" s="609" t="s">
        <v>5685</v>
      </c>
    </row>
    <row r="3998" spans="1:27" ht="18">
      <c r="A3998" s="2714"/>
      <c r="B3998" s="371"/>
      <c r="C3998" s="371" t="s">
        <v>2565</v>
      </c>
      <c r="D3998" s="371"/>
      <c r="F3998" s="294"/>
      <c r="G3998" s="460" t="s">
        <v>2759</v>
      </c>
      <c r="H3998" s="317"/>
      <c r="I3998" s="317"/>
      <c r="J3998" s="317"/>
      <c r="K3998" s="352">
        <f ca="1">SUMIF($H$3997:$Q$3997,"&lt;&gt;√",$H$3996:$Q$3996)</f>
        <v>0</v>
      </c>
      <c r="L3998" s="353" t="str">
        <f ca="1">IF(OR(K3998=0,K3998=""),"√","？")</f>
        <v>√</v>
      </c>
      <c r="M3998" s="317"/>
      <c r="N3998" s="317"/>
      <c r="O3998" s="317"/>
      <c r="P3998" s="317"/>
      <c r="Q3998" s="497"/>
      <c r="R3998" s="367"/>
      <c r="S3998" s="364"/>
      <c r="T3998" s="291"/>
      <c r="Z3998" s="609" t="s">
        <v>4007</v>
      </c>
      <c r="AA3998" s="609" t="s">
        <v>5685</v>
      </c>
    </row>
    <row r="3999" spans="1:27" ht="18">
      <c r="A3999" s="2714"/>
      <c r="B3999" s="371"/>
      <c r="C3999" s="371" t="s">
        <v>2565</v>
      </c>
      <c r="D3999" s="371"/>
      <c r="F3999" s="294"/>
      <c r="G3999" s="354"/>
      <c r="H3999" s="317"/>
      <c r="I3999" s="317"/>
      <c r="J3999" s="317"/>
      <c r="K3999" s="317"/>
      <c r="L3999" s="461"/>
      <c r="M3999" s="317"/>
      <c r="N3999" s="317"/>
      <c r="O3999" s="317"/>
      <c r="P3999" s="317"/>
      <c r="Q3999" s="497"/>
      <c r="R3999" s="367"/>
      <c r="S3999" s="364"/>
      <c r="T3999" s="291"/>
      <c r="Z3999" s="609" t="s">
        <v>4007</v>
      </c>
      <c r="AA3999" s="609" t="s">
        <v>5685</v>
      </c>
    </row>
    <row r="4000" spans="1:27" ht="18">
      <c r="A4000" s="2714">
        <v>2501</v>
      </c>
      <c r="B4000" s="371">
        <v>46</v>
      </c>
      <c r="C4000" s="2716" t="str">
        <f>VLOOKUP($A4000,Sheet_Items,2,0)</f>
        <v>长期借款</v>
      </c>
      <c r="D4000" s="371"/>
      <c r="E4000" s="2716" t="s">
        <v>2739</v>
      </c>
      <c r="F4000" s="294"/>
      <c r="G4000" s="535" t="str">
        <f>B4000&amp;" "&amp;C4000</f>
        <v>46 长期借款</v>
      </c>
      <c r="H4000" s="306"/>
      <c r="I4000" s="306"/>
      <c r="J4000" s="306" t="s">
        <v>2740</v>
      </c>
      <c r="K4000" s="341">
        <f>VLOOKUP($A4000,Sheet_Trialbal,6,0)</f>
        <v>0</v>
      </c>
      <c r="L4000" s="342"/>
      <c r="M4000" s="306" t="s">
        <v>2741</v>
      </c>
      <c r="N4000" s="341">
        <f>VLOOKUP($A4000,Sheet_Trialbal,10,0)</f>
        <v>0</v>
      </c>
      <c r="O4000" s="306"/>
      <c r="P4000" s="301"/>
      <c r="S4000" s="364"/>
      <c r="Z4000" s="609" t="s">
        <v>4014</v>
      </c>
      <c r="AA4000" s="609" t="s">
        <v>5686</v>
      </c>
    </row>
    <row r="4001" spans="1:29" ht="18">
      <c r="A4001" s="2714" t="s">
        <v>1637</v>
      </c>
      <c r="B4001" s="371">
        <v>1</v>
      </c>
      <c r="C4001" s="371"/>
      <c r="D4001" s="2716" t="str">
        <f>VLOOKUP($A4001,Sheet_NoteList,2,0)</f>
        <v>长期借款分类</v>
      </c>
      <c r="E4001" s="2716" t="s">
        <v>2742</v>
      </c>
      <c r="F4001" s="294"/>
      <c r="G4001" s="307" t="str">
        <f>"("&amp;B4001&amp;")"&amp;D4001</f>
        <v>(1)长期借款分类</v>
      </c>
      <c r="H4001" s="1517" t="str">
        <f>$A4001</f>
        <v>2501a</v>
      </c>
      <c r="I4001" s="343" t="s">
        <v>2743</v>
      </c>
      <c r="J4001" s="301" t="s">
        <v>2744</v>
      </c>
      <c r="K4001" s="2210">
        <f>H4012</f>
        <v>0</v>
      </c>
      <c r="L4001" s="345" t="str">
        <f>IF($I4001="适用",IF(ROUND(K4000-K4001,2)=0,"F/S",ROUND(K4000-K4001,2)),"#N/A")</f>
        <v>F/S</v>
      </c>
      <c r="M4001" s="301" t="s">
        <v>2745</v>
      </c>
      <c r="N4001" s="2210">
        <f>I4012</f>
        <v>0</v>
      </c>
      <c r="O4001" s="345" t="str">
        <f>IF($I4001="适用",IF(ROUND(N4000-N4001,2)=0,"F/S",ROUND(N4000-N4001,2)),"#N/A")</f>
        <v>F/S</v>
      </c>
      <c r="P4001" s="301"/>
      <c r="Q4001" s="290" t="str">
        <f ca="1">IF($I4001="不适用","",IF(ROUND(SUM($H$4004:$K$4012),2)=0,"请输入",""))</f>
        <v>请输入</v>
      </c>
      <c r="S4001" s="364"/>
      <c r="Z4001" s="609" t="s">
        <v>4014</v>
      </c>
      <c r="AA4001" s="609" t="s">
        <v>5686</v>
      </c>
    </row>
    <row r="4002" spans="1:29" ht="0.75" customHeight="1" thickBot="1">
      <c r="A4002" s="2714"/>
      <c r="B4002" s="371"/>
      <c r="C4002" s="371"/>
      <c r="D4002" s="371"/>
      <c r="E4002" s="586"/>
      <c r="F4002" s="586"/>
      <c r="G4002" s="586" t="s">
        <v>4015</v>
      </c>
      <c r="H4002" s="371" t="s">
        <v>2747</v>
      </c>
      <c r="I4002" s="371" t="s">
        <v>6289</v>
      </c>
      <c r="J4002" s="371" t="s">
        <v>6290</v>
      </c>
      <c r="K4002" s="476"/>
      <c r="L4002" s="472"/>
      <c r="M4002" s="472"/>
      <c r="N4002" s="442"/>
      <c r="O4002" s="442"/>
      <c r="P4002" s="442"/>
      <c r="Q4002" s="442"/>
      <c r="R4002" s="443"/>
      <c r="S4002" s="364"/>
      <c r="Z4002" s="609" t="s">
        <v>4014</v>
      </c>
      <c r="AA4002" s="609" t="s">
        <v>5686</v>
      </c>
    </row>
    <row r="4003" spans="1:29" ht="18">
      <c r="A4003" s="2714"/>
      <c r="B4003" s="371"/>
      <c r="C4003" s="371"/>
      <c r="D4003" s="371"/>
      <c r="E4003" s="586" t="s">
        <v>2749</v>
      </c>
      <c r="F4003" s="363"/>
      <c r="G4003" s="2408" t="s">
        <v>1359</v>
      </c>
      <c r="H4003" s="2225" t="str">
        <f>$V$2</f>
        <v>2019年12月31日</v>
      </c>
      <c r="I4003" s="2225" t="str">
        <f>$V$3</f>
        <v>2018年12月31日</v>
      </c>
      <c r="J4003" s="2560" t="s">
        <v>6142</v>
      </c>
      <c r="K4003" s="355" t="s">
        <v>5311</v>
      </c>
      <c r="L4003" s="472"/>
      <c r="M4003" s="472"/>
      <c r="N4003" s="442"/>
      <c r="O4003" s="442"/>
      <c r="P4003" s="442"/>
      <c r="Q4003" s="442"/>
      <c r="R4003" s="443"/>
      <c r="S4003" s="364"/>
      <c r="Z4003" s="609" t="s">
        <v>4014</v>
      </c>
      <c r="AA4003" s="609" t="s">
        <v>5686</v>
      </c>
    </row>
    <row r="4004" spans="1:29" ht="18">
      <c r="A4004" s="2714"/>
      <c r="B4004" s="371">
        <v>101</v>
      </c>
      <c r="C4004" s="371"/>
      <c r="D4004" s="2716">
        <f t="shared" ref="D4004:D4012" si="451">IF(OR(G4004="*",G4004="",G4004=0),0,COUNTIF($G$4004:$G$4012,G4004))</f>
        <v>1</v>
      </c>
      <c r="E4004" s="2721" t="s">
        <v>41</v>
      </c>
      <c r="F4004" s="294"/>
      <c r="G4004" s="1474" t="s">
        <v>4016</v>
      </c>
      <c r="H4004" s="2275"/>
      <c r="I4004" s="2275"/>
      <c r="J4004" s="2276"/>
      <c r="K4004" s="437"/>
      <c r="L4004" s="525"/>
      <c r="M4004" s="472"/>
      <c r="N4004" s="442"/>
      <c r="O4004" s="442"/>
      <c r="P4004" s="442"/>
      <c r="Q4004" s="442"/>
      <c r="R4004" s="443"/>
      <c r="S4004" s="364"/>
      <c r="Z4004" s="609" t="s">
        <v>4014</v>
      </c>
      <c r="AA4004" s="609" t="s">
        <v>5686</v>
      </c>
      <c r="AC4004" s="369" t="s">
        <v>2794</v>
      </c>
    </row>
    <row r="4005" spans="1:29" ht="18">
      <c r="A4005" s="2714"/>
      <c r="B4005" s="371">
        <v>101.001</v>
      </c>
      <c r="C4005" s="371"/>
      <c r="D4005" s="2716">
        <f t="shared" si="451"/>
        <v>1</v>
      </c>
      <c r="E4005" s="2721" t="s">
        <v>4017</v>
      </c>
      <c r="F4005" s="294"/>
      <c r="G4005" s="603" t="s">
        <v>3808</v>
      </c>
      <c r="H4005" s="2275"/>
      <c r="I4005" s="2275"/>
      <c r="J4005" s="2276"/>
      <c r="K4005" s="437"/>
      <c r="L4005" s="525"/>
      <c r="M4005" s="472"/>
      <c r="N4005" s="442"/>
      <c r="O4005" s="442"/>
      <c r="P4005" s="442"/>
      <c r="Q4005" s="442"/>
      <c r="R4005" s="443"/>
      <c r="S4005" s="364"/>
      <c r="Z4005" s="609" t="s">
        <v>4014</v>
      </c>
      <c r="AA4005" s="609" t="s">
        <v>5686</v>
      </c>
      <c r="AC4005" s="369" t="s">
        <v>2794</v>
      </c>
    </row>
    <row r="4006" spans="1:29" ht="18">
      <c r="A4006" s="2714"/>
      <c r="B4006" s="371">
        <v>101.002</v>
      </c>
      <c r="C4006" s="371"/>
      <c r="D4006" s="2716">
        <f t="shared" si="451"/>
        <v>1</v>
      </c>
      <c r="E4006" s="2721" t="s">
        <v>4017</v>
      </c>
      <c r="F4006" s="294"/>
      <c r="G4006" s="603" t="s">
        <v>3809</v>
      </c>
      <c r="H4006" s="2275"/>
      <c r="I4006" s="2275"/>
      <c r="J4006" s="2276"/>
      <c r="K4006" s="437"/>
      <c r="L4006" s="525"/>
      <c r="M4006" s="472"/>
      <c r="N4006" s="442"/>
      <c r="O4006" s="442"/>
      <c r="P4006" s="442"/>
      <c r="Q4006" s="442"/>
      <c r="R4006" s="443"/>
      <c r="S4006" s="364"/>
      <c r="Z4006" s="609" t="s">
        <v>4014</v>
      </c>
      <c r="AA4006" s="609" t="s">
        <v>5686</v>
      </c>
      <c r="AC4006" s="369" t="s">
        <v>2794</v>
      </c>
    </row>
    <row r="4007" spans="1:29" ht="18">
      <c r="A4007" s="2714"/>
      <c r="B4007" s="371">
        <v>101.003</v>
      </c>
      <c r="C4007" s="371"/>
      <c r="D4007" s="2716">
        <f t="shared" si="451"/>
        <v>1</v>
      </c>
      <c r="E4007" s="2721" t="s">
        <v>4017</v>
      </c>
      <c r="F4007" s="294"/>
      <c r="G4007" s="603" t="s">
        <v>3810</v>
      </c>
      <c r="H4007" s="2275"/>
      <c r="I4007" s="2275"/>
      <c r="J4007" s="2276"/>
      <c r="K4007" s="437"/>
      <c r="L4007" s="525"/>
      <c r="M4007" s="472"/>
      <c r="N4007" s="442"/>
      <c r="O4007" s="442"/>
      <c r="P4007" s="442"/>
      <c r="Q4007" s="442"/>
      <c r="R4007" s="443"/>
      <c r="S4007" s="364"/>
      <c r="Z4007" s="609" t="s">
        <v>4014</v>
      </c>
      <c r="AA4007" s="609" t="s">
        <v>5686</v>
      </c>
      <c r="AC4007" s="369" t="s">
        <v>2794</v>
      </c>
    </row>
    <row r="4008" spans="1:29" ht="18">
      <c r="A4008" s="2714"/>
      <c r="B4008" s="371">
        <v>101.004</v>
      </c>
      <c r="C4008" s="371"/>
      <c r="D4008" s="2716">
        <f t="shared" si="451"/>
        <v>1</v>
      </c>
      <c r="E4008" s="2721" t="s">
        <v>4017</v>
      </c>
      <c r="F4008" s="294"/>
      <c r="G4008" s="603" t="s">
        <v>3811</v>
      </c>
      <c r="H4008" s="2275"/>
      <c r="I4008" s="2275"/>
      <c r="J4008" s="2276"/>
      <c r="K4008" s="437"/>
      <c r="L4008" s="472"/>
      <c r="M4008" s="472"/>
      <c r="N4008" s="442"/>
      <c r="O4008" s="442"/>
      <c r="P4008" s="442"/>
      <c r="Q4008" s="442"/>
      <c r="R4008" s="443"/>
      <c r="S4008" s="364"/>
      <c r="Z4008" s="609" t="s">
        <v>4014</v>
      </c>
      <c r="AA4008" s="609" t="s">
        <v>5686</v>
      </c>
    </row>
    <row r="4009" spans="1:29" ht="18">
      <c r="A4009" s="2714"/>
      <c r="B4009" s="371">
        <v>101.005</v>
      </c>
      <c r="C4009" s="371" t="s">
        <v>2791</v>
      </c>
      <c r="D4009" s="2716">
        <f t="shared" si="451"/>
        <v>0</v>
      </c>
      <c r="E4009" s="2721" t="s">
        <v>4017</v>
      </c>
      <c r="F4009" s="294"/>
      <c r="G4009" s="578" t="s">
        <v>2792</v>
      </c>
      <c r="H4009" s="2275"/>
      <c r="I4009" s="2275"/>
      <c r="J4009" s="2276"/>
      <c r="K4009" s="437"/>
      <c r="L4009" s="472"/>
      <c r="M4009" s="472"/>
      <c r="N4009" s="442"/>
      <c r="O4009" s="442"/>
      <c r="P4009" s="442"/>
      <c r="Q4009" s="442"/>
      <c r="R4009" s="443"/>
      <c r="S4009" s="364"/>
      <c r="Z4009" s="609" t="s">
        <v>4014</v>
      </c>
      <c r="AA4009" s="609" t="s">
        <v>5686</v>
      </c>
    </row>
    <row r="4010" spans="1:29" ht="18">
      <c r="A4010" s="2714"/>
      <c r="B4010" s="371">
        <v>101.999</v>
      </c>
      <c r="C4010" s="371" t="s">
        <v>2793</v>
      </c>
      <c r="D4010" s="2716">
        <f t="shared" si="451"/>
        <v>1</v>
      </c>
      <c r="E4010" s="2721">
        <v>1</v>
      </c>
      <c r="F4010" s="294"/>
      <c r="G4010" s="1474" t="s">
        <v>4017</v>
      </c>
      <c r="H4010" s="1476">
        <f>SUMIF($E$4003:$E$4011,$G4010,H$4003:H$4011)</f>
        <v>0</v>
      </c>
      <c r="I4010" s="1476">
        <f>SUMIF($E$4003:$E$4011,$G4010,I$4003:I$4011)</f>
        <v>0</v>
      </c>
      <c r="J4010" s="2276"/>
      <c r="K4010" s="437"/>
      <c r="L4010" s="472"/>
      <c r="M4010" s="472"/>
      <c r="N4010" s="442"/>
      <c r="O4010" s="442"/>
      <c r="P4010" s="442"/>
      <c r="Q4010" s="442"/>
      <c r="R4010" s="443"/>
      <c r="S4010" s="364"/>
      <c r="Z4010" s="609" t="s">
        <v>4014</v>
      </c>
      <c r="AA4010" s="609" t="s">
        <v>5686</v>
      </c>
    </row>
    <row r="4011" spans="1:29" ht="18">
      <c r="A4011" s="2714"/>
      <c r="B4011" s="371">
        <v>102</v>
      </c>
      <c r="C4011" s="371" t="s">
        <v>2791</v>
      </c>
      <c r="D4011" s="2716">
        <f t="shared" si="451"/>
        <v>1</v>
      </c>
      <c r="E4011" s="2721">
        <v>-1</v>
      </c>
      <c r="F4011" s="294"/>
      <c r="G4011" s="2568" t="s">
        <v>4018</v>
      </c>
      <c r="H4011" s="2275"/>
      <c r="I4011" s="2275"/>
      <c r="J4011" s="2276"/>
      <c r="K4011" s="1589" t="str">
        <f ca="1">HYPERLINK("#'"&amp;$G$1&amp;"'!"&amp;ADDRESS(ROW(Notes!K3934),COLUMN(Notes!K3934),4),"* 请勿删除此行！点击往勾稽单元格，F5+Enter返回")</f>
        <v>* 请勿删除此行！点击往勾稽单元格，F5+Enter返回</v>
      </c>
      <c r="L4011" s="472"/>
      <c r="M4011" s="472"/>
      <c r="N4011" s="442"/>
      <c r="O4011" s="442"/>
      <c r="P4011" s="442"/>
      <c r="Q4011" s="442"/>
      <c r="R4011" s="443"/>
      <c r="S4011" s="364"/>
      <c r="Z4011" s="609" t="s">
        <v>4014</v>
      </c>
      <c r="AA4011" s="609" t="s">
        <v>5686</v>
      </c>
      <c r="AC4011" s="369" t="s">
        <v>6573</v>
      </c>
    </row>
    <row r="4012" spans="1:29" ht="18.75" thickBot="1">
      <c r="A4012" s="2714"/>
      <c r="B4012" s="371"/>
      <c r="C4012" s="371"/>
      <c r="D4012" s="2716">
        <f t="shared" si="451"/>
        <v>1</v>
      </c>
      <c r="E4012" s="2721" t="s">
        <v>2751</v>
      </c>
      <c r="F4012" s="294"/>
      <c r="G4012" s="374" t="s">
        <v>2752</v>
      </c>
      <c r="H4012" s="1478">
        <f>SUMPRODUCT($E4003:$E4011,H4003:H4011)</f>
        <v>0</v>
      </c>
      <c r="I4012" s="1478">
        <f>SUMPRODUCT($E4003:$E4011,I4003:I4011)</f>
        <v>0</v>
      </c>
      <c r="J4012" s="2260"/>
      <c r="K4012" s="437"/>
      <c r="L4012" s="472"/>
      <c r="M4012" s="472"/>
      <c r="N4012" s="442"/>
      <c r="O4012" s="442"/>
      <c r="P4012" s="442"/>
      <c r="Q4012" s="442"/>
      <c r="R4012" s="443"/>
      <c r="S4012" s="364"/>
      <c r="Z4012" s="609" t="s">
        <v>4014</v>
      </c>
      <c r="AA4012" s="609" t="s">
        <v>5686</v>
      </c>
    </row>
    <row r="4013" spans="1:29" ht="18">
      <c r="A4013" s="2714"/>
      <c r="B4013" s="371"/>
      <c r="C4013" s="371" t="s">
        <v>2755</v>
      </c>
      <c r="D4013" s="371"/>
      <c r="F4013" s="294"/>
      <c r="G4013" s="301"/>
      <c r="H4013" s="315"/>
      <c r="I4013" s="315"/>
      <c r="J4013" s="393"/>
      <c r="K4013" s="427"/>
      <c r="L4013" s="472"/>
      <c r="M4013" s="472"/>
      <c r="N4013" s="442"/>
      <c r="O4013" s="442"/>
      <c r="P4013" s="442"/>
      <c r="Q4013" s="442"/>
      <c r="R4013" s="443"/>
      <c r="S4013" s="364"/>
      <c r="Z4013" s="609" t="s">
        <v>4014</v>
      </c>
      <c r="AA4013" s="609" t="s">
        <v>5686</v>
      </c>
    </row>
    <row r="4014" spans="1:29" ht="24">
      <c r="A4014" s="2714" t="s">
        <v>1642</v>
      </c>
      <c r="B4014" s="371">
        <v>1.1000000000000001</v>
      </c>
      <c r="C4014" s="371"/>
      <c r="D4014" s="2716" t="str">
        <f>VLOOKUP($A4014,Sheet_NoteList,2,0)</f>
        <v>长期借款中的质押借款明细列示</v>
      </c>
      <c r="E4014" s="2716" t="s">
        <v>6531</v>
      </c>
      <c r="F4014" s="294"/>
      <c r="G4014" s="483" t="str">
        <f>"("&amp;B4014&amp;")"&amp;D4014</f>
        <v>(1.1)长期借款中的质押借款明细列示</v>
      </c>
      <c r="H4014" s="1517" t="str">
        <f>$A4014</f>
        <v>2501d</v>
      </c>
      <c r="I4014" s="343" t="s">
        <v>5965</v>
      </c>
      <c r="J4014" s="301" t="s">
        <v>5963</v>
      </c>
      <c r="K4014" s="2210">
        <f>H4022</f>
        <v>0</v>
      </c>
      <c r="L4014" s="345"/>
      <c r="M4014" s="301"/>
      <c r="N4014" s="391"/>
      <c r="O4014" s="345"/>
      <c r="P4014" s="301"/>
      <c r="S4014" s="364"/>
      <c r="Z4014" s="609" t="s">
        <v>4014</v>
      </c>
      <c r="AA4014" s="609" t="s">
        <v>5686</v>
      </c>
    </row>
    <row r="4015" spans="1:29" ht="0.75" customHeight="1" thickBot="1">
      <c r="A4015" s="2714"/>
      <c r="B4015" s="371"/>
      <c r="C4015" s="371"/>
      <c r="D4015" s="371"/>
      <c r="E4015" s="586"/>
      <c r="F4015" s="586"/>
      <c r="G4015" s="586" t="s">
        <v>4020</v>
      </c>
      <c r="H4015" s="371" t="s">
        <v>2747</v>
      </c>
      <c r="I4015" s="371" t="s">
        <v>3813</v>
      </c>
      <c r="J4015" s="371" t="s">
        <v>3814</v>
      </c>
      <c r="K4015" s="371" t="s">
        <v>4021</v>
      </c>
      <c r="L4015" s="543" t="s">
        <v>3145</v>
      </c>
      <c r="M4015" s="290"/>
      <c r="N4015" s="290"/>
      <c r="O4015" s="290"/>
      <c r="P4015" s="290"/>
      <c r="S4015" s="364"/>
      <c r="Z4015" s="609" t="s">
        <v>4014</v>
      </c>
      <c r="AA4015" s="609" t="s">
        <v>5686</v>
      </c>
    </row>
    <row r="4016" spans="1:29" ht="24">
      <c r="A4016" s="2714"/>
      <c r="B4016" s="371"/>
      <c r="C4016" s="371"/>
      <c r="D4016" s="371"/>
      <c r="E4016" s="586" t="s">
        <v>2749</v>
      </c>
      <c r="F4016" s="363"/>
      <c r="G4016" s="2409" t="s">
        <v>1365</v>
      </c>
      <c r="H4016" s="2404" t="s">
        <v>3815</v>
      </c>
      <c r="I4016" s="2404" t="s">
        <v>3816</v>
      </c>
      <c r="J4016" s="2404" t="s">
        <v>3817</v>
      </c>
      <c r="K4016" s="2404" t="s">
        <v>4022</v>
      </c>
      <c r="L4016" s="2403" t="s">
        <v>2508</v>
      </c>
      <c r="M4016" s="355" t="s">
        <v>6141</v>
      </c>
      <c r="N4016" s="290"/>
      <c r="O4016" s="290"/>
      <c r="P4016" s="290"/>
      <c r="S4016" s="364"/>
      <c r="Z4016" s="609" t="s">
        <v>4014</v>
      </c>
      <c r="AA4016" s="609" t="s">
        <v>5686</v>
      </c>
    </row>
    <row r="4017" spans="1:27" ht="18">
      <c r="A4017" s="2714"/>
      <c r="B4017" s="371">
        <v>101</v>
      </c>
      <c r="C4017" s="371" t="s">
        <v>2791</v>
      </c>
      <c r="D4017" s="2716">
        <f t="shared" ref="D4017:D4022" si="452">IF(OR(G4017="*",G4017="",G4017=0),0,COUNTIF($G$4017:$G$4022,G4017))</f>
        <v>0</v>
      </c>
      <c r="E4017" s="2721">
        <v>1</v>
      </c>
      <c r="F4017" s="294"/>
      <c r="G4017" s="2406" t="s">
        <v>2792</v>
      </c>
      <c r="H4017" s="2275"/>
      <c r="I4017" s="2298"/>
      <c r="J4017" s="2298"/>
      <c r="K4017" s="2275"/>
      <c r="L4017" s="2276"/>
      <c r="M4017" s="579"/>
      <c r="N4017" s="290"/>
      <c r="O4017" s="290"/>
      <c r="P4017" s="290"/>
      <c r="S4017" s="364"/>
      <c r="Z4017" s="609" t="s">
        <v>4014</v>
      </c>
      <c r="AA4017" s="609" t="s">
        <v>5686</v>
      </c>
    </row>
    <row r="4018" spans="1:27" ht="18">
      <c r="A4018" s="2714"/>
      <c r="B4018" s="371">
        <v>102</v>
      </c>
      <c r="C4018" s="371" t="s">
        <v>2791</v>
      </c>
      <c r="D4018" s="2716">
        <f t="shared" si="452"/>
        <v>0</v>
      </c>
      <c r="E4018" s="2721">
        <v>1</v>
      </c>
      <c r="F4018" s="294"/>
      <c r="G4018" s="2406" t="s">
        <v>2792</v>
      </c>
      <c r="H4018" s="2275"/>
      <c r="I4018" s="2298"/>
      <c r="J4018" s="2298"/>
      <c r="K4018" s="2275"/>
      <c r="L4018" s="2276"/>
      <c r="M4018" s="290"/>
      <c r="N4018" s="290"/>
      <c r="O4018" s="290"/>
      <c r="P4018" s="290"/>
      <c r="S4018" s="364"/>
      <c r="Z4018" s="609" t="s">
        <v>4014</v>
      </c>
      <c r="AA4018" s="609" t="s">
        <v>5686</v>
      </c>
    </row>
    <row r="4019" spans="1:27" ht="18">
      <c r="A4019" s="2714"/>
      <c r="B4019" s="371">
        <v>103</v>
      </c>
      <c r="C4019" s="371" t="s">
        <v>2791</v>
      </c>
      <c r="D4019" s="2716">
        <f t="shared" si="452"/>
        <v>0</v>
      </c>
      <c r="E4019" s="2721">
        <v>1</v>
      </c>
      <c r="F4019" s="294"/>
      <c r="G4019" s="2406" t="s">
        <v>2792</v>
      </c>
      <c r="H4019" s="2275"/>
      <c r="I4019" s="2298"/>
      <c r="J4019" s="2298"/>
      <c r="K4019" s="2275"/>
      <c r="L4019" s="2276"/>
      <c r="M4019" s="290"/>
      <c r="N4019" s="290"/>
      <c r="O4019" s="290"/>
      <c r="P4019" s="290"/>
      <c r="S4019" s="364"/>
      <c r="Z4019" s="609" t="s">
        <v>4014</v>
      </c>
      <c r="AA4019" s="609" t="s">
        <v>5686</v>
      </c>
    </row>
    <row r="4020" spans="1:27" ht="18">
      <c r="A4020" s="2714"/>
      <c r="B4020" s="371">
        <v>104</v>
      </c>
      <c r="C4020" s="371" t="s">
        <v>2791</v>
      </c>
      <c r="D4020" s="2716">
        <f t="shared" si="452"/>
        <v>0</v>
      </c>
      <c r="E4020" s="2721">
        <v>1</v>
      </c>
      <c r="F4020" s="294"/>
      <c r="G4020" s="2406" t="s">
        <v>2792</v>
      </c>
      <c r="H4020" s="2275"/>
      <c r="I4020" s="2298"/>
      <c r="J4020" s="2298"/>
      <c r="K4020" s="2275"/>
      <c r="L4020" s="2276"/>
      <c r="M4020" s="290"/>
      <c r="N4020" s="290"/>
      <c r="O4020" s="290"/>
      <c r="P4020" s="290"/>
      <c r="S4020" s="364"/>
      <c r="Z4020" s="609" t="s">
        <v>4014</v>
      </c>
      <c r="AA4020" s="609" t="s">
        <v>5686</v>
      </c>
    </row>
    <row r="4021" spans="1:27" ht="18">
      <c r="A4021" s="2714"/>
      <c r="B4021" s="371">
        <v>105</v>
      </c>
      <c r="C4021" s="371" t="s">
        <v>2791</v>
      </c>
      <c r="D4021" s="2716">
        <f t="shared" si="452"/>
        <v>0</v>
      </c>
      <c r="E4021" s="2721">
        <v>1</v>
      </c>
      <c r="F4021" s="294"/>
      <c r="G4021" s="2406" t="s">
        <v>2792</v>
      </c>
      <c r="H4021" s="2275"/>
      <c r="I4021" s="2298"/>
      <c r="J4021" s="2298"/>
      <c r="K4021" s="2275"/>
      <c r="L4021" s="2276"/>
      <c r="M4021" s="290"/>
      <c r="N4021" s="290"/>
      <c r="O4021" s="290"/>
      <c r="P4021" s="290"/>
      <c r="S4021" s="364"/>
      <c r="Z4021" s="609" t="s">
        <v>4014</v>
      </c>
      <c r="AA4021" s="609" t="s">
        <v>5686</v>
      </c>
    </row>
    <row r="4022" spans="1:27" ht="18.75" thickBot="1">
      <c r="A4022" s="2714"/>
      <c r="B4022" s="371"/>
      <c r="C4022" s="371"/>
      <c r="D4022" s="2716">
        <f t="shared" si="452"/>
        <v>1</v>
      </c>
      <c r="E4022" s="2721" t="s">
        <v>2751</v>
      </c>
      <c r="F4022" s="294"/>
      <c r="G4022" s="1529" t="s">
        <v>2752</v>
      </c>
      <c r="H4022" s="1527">
        <f>SUMPRODUCT($E4016:$E4021,H4016:H4021)</f>
        <v>0</v>
      </c>
      <c r="I4022" s="2316"/>
      <c r="J4022" s="2316"/>
      <c r="K4022" s="1527">
        <f>SUMPRODUCT($E4016:$E4021,K4016:K4021)</f>
        <v>0</v>
      </c>
      <c r="L4022" s="2266"/>
      <c r="M4022" s="290"/>
      <c r="N4022" s="290"/>
      <c r="O4022" s="290"/>
      <c r="P4022" s="290"/>
      <c r="S4022" s="364"/>
      <c r="Z4022" s="609" t="s">
        <v>4014</v>
      </c>
      <c r="AA4022" s="609" t="s">
        <v>5686</v>
      </c>
    </row>
    <row r="4023" spans="1:27" ht="18">
      <c r="A4023" s="2714"/>
      <c r="B4023" s="371"/>
      <c r="C4023" s="371" t="s">
        <v>2755</v>
      </c>
      <c r="D4023" s="371"/>
      <c r="F4023" s="294"/>
      <c r="G4023" s="301"/>
      <c r="H4023" s="315" t="s">
        <v>3002</v>
      </c>
      <c r="I4023" s="393"/>
      <c r="J4023" s="393"/>
      <c r="K4023" s="566"/>
      <c r="L4023" s="545"/>
      <c r="M4023" s="290"/>
      <c r="N4023" s="290"/>
      <c r="O4023" s="290"/>
      <c r="P4023" s="290"/>
      <c r="S4023" s="364"/>
      <c r="Z4023" s="609" t="s">
        <v>4014</v>
      </c>
      <c r="AA4023" s="609" t="s">
        <v>5686</v>
      </c>
    </row>
    <row r="4024" spans="1:27" ht="24">
      <c r="A4024" s="2714" t="s">
        <v>1647</v>
      </c>
      <c r="B4024" s="371">
        <v>1.2</v>
      </c>
      <c r="C4024" s="371"/>
      <c r="D4024" s="2716" t="str">
        <f>VLOOKUP($A4024,Sheet_NoteList,2,0)</f>
        <v>长期借款中的抵押借款明细列示</v>
      </c>
      <c r="E4024" s="2716" t="s">
        <v>6531</v>
      </c>
      <c r="F4024" s="294"/>
      <c r="G4024" s="483" t="str">
        <f>"("&amp;B4024&amp;")"&amp;D4024</f>
        <v>(1.2)长期借款中的抵押借款明细列示</v>
      </c>
      <c r="H4024" s="1517" t="str">
        <f>$A4024</f>
        <v>2501e</v>
      </c>
      <c r="I4024" s="343" t="s">
        <v>5966</v>
      </c>
      <c r="J4024" s="301" t="s">
        <v>5971</v>
      </c>
      <c r="K4024" s="2210">
        <f>H4032</f>
        <v>0</v>
      </c>
      <c r="L4024" s="345"/>
      <c r="M4024" s="301"/>
      <c r="N4024" s="391"/>
      <c r="O4024" s="345"/>
      <c r="P4024" s="301"/>
      <c r="S4024" s="364"/>
      <c r="Z4024" s="609" t="s">
        <v>4014</v>
      </c>
      <c r="AA4024" s="609" t="s">
        <v>5686</v>
      </c>
    </row>
    <row r="4025" spans="1:27" ht="0.75" customHeight="1" thickBot="1">
      <c r="A4025" s="2714"/>
      <c r="B4025" s="371"/>
      <c r="C4025" s="371"/>
      <c r="D4025" s="371"/>
      <c r="E4025" s="586"/>
      <c r="F4025" s="586"/>
      <c r="G4025" s="586" t="s">
        <v>4023</v>
      </c>
      <c r="H4025" s="371" t="s">
        <v>2747</v>
      </c>
      <c r="I4025" s="371" t="s">
        <v>3813</v>
      </c>
      <c r="J4025" s="371" t="s">
        <v>3814</v>
      </c>
      <c r="K4025" s="371" t="s">
        <v>4021</v>
      </c>
      <c r="L4025" s="543" t="s">
        <v>3145</v>
      </c>
      <c r="M4025" s="290"/>
      <c r="N4025" s="290"/>
      <c r="O4025" s="290"/>
      <c r="P4025" s="290"/>
      <c r="S4025" s="364"/>
      <c r="Z4025" s="609" t="s">
        <v>4014</v>
      </c>
      <c r="AA4025" s="609" t="s">
        <v>5686</v>
      </c>
    </row>
    <row r="4026" spans="1:27" ht="24">
      <c r="A4026" s="2714"/>
      <c r="B4026" s="371"/>
      <c r="C4026" s="371"/>
      <c r="D4026" s="371"/>
      <c r="E4026" s="586" t="s">
        <v>2749</v>
      </c>
      <c r="F4026" s="363"/>
      <c r="G4026" s="2409" t="s">
        <v>1365</v>
      </c>
      <c r="H4026" s="2404" t="s">
        <v>3815</v>
      </c>
      <c r="I4026" s="2404" t="s">
        <v>3819</v>
      </c>
      <c r="J4026" s="2404" t="s">
        <v>3820</v>
      </c>
      <c r="K4026" s="2404" t="s">
        <v>4022</v>
      </c>
      <c r="L4026" s="2403" t="s">
        <v>2508</v>
      </c>
      <c r="M4026" s="355" t="s">
        <v>6141</v>
      </c>
      <c r="N4026" s="290"/>
      <c r="O4026" s="290"/>
      <c r="P4026" s="290"/>
      <c r="S4026" s="364"/>
      <c r="Z4026" s="609" t="s">
        <v>4014</v>
      </c>
      <c r="AA4026" s="609" t="s">
        <v>5686</v>
      </c>
    </row>
    <row r="4027" spans="1:27" ht="18">
      <c r="A4027" s="2714"/>
      <c r="B4027" s="371">
        <v>101</v>
      </c>
      <c r="C4027" s="371" t="s">
        <v>2791</v>
      </c>
      <c r="D4027" s="2716">
        <f t="shared" ref="D4027:D4032" si="453">IF(OR(G4027="*",G4027="",G4027=0),0,COUNTIF($G$4027:$G$4032,G4027))</f>
        <v>0</v>
      </c>
      <c r="E4027" s="2721">
        <v>1</v>
      </c>
      <c r="F4027" s="294"/>
      <c r="G4027" s="2406" t="s">
        <v>2792</v>
      </c>
      <c r="H4027" s="2275"/>
      <c r="I4027" s="2298"/>
      <c r="J4027" s="2298"/>
      <c r="K4027" s="2275"/>
      <c r="L4027" s="2276"/>
      <c r="M4027" s="579"/>
      <c r="N4027" s="290"/>
      <c r="O4027" s="290"/>
      <c r="P4027" s="290"/>
      <c r="S4027" s="364"/>
      <c r="Z4027" s="609" t="s">
        <v>4014</v>
      </c>
      <c r="AA4027" s="609" t="s">
        <v>5686</v>
      </c>
    </row>
    <row r="4028" spans="1:27" ht="18">
      <c r="A4028" s="2714"/>
      <c r="B4028" s="371">
        <v>102</v>
      </c>
      <c r="C4028" s="371" t="s">
        <v>2791</v>
      </c>
      <c r="D4028" s="2716">
        <f t="shared" si="453"/>
        <v>0</v>
      </c>
      <c r="E4028" s="2721">
        <v>1</v>
      </c>
      <c r="F4028" s="294"/>
      <c r="G4028" s="2406" t="s">
        <v>2792</v>
      </c>
      <c r="H4028" s="2275"/>
      <c r="I4028" s="2298"/>
      <c r="J4028" s="2298"/>
      <c r="K4028" s="2275"/>
      <c r="L4028" s="2276"/>
      <c r="M4028" s="290"/>
      <c r="N4028" s="290"/>
      <c r="O4028" s="290"/>
      <c r="P4028" s="290"/>
      <c r="S4028" s="364"/>
      <c r="Z4028" s="609" t="s">
        <v>4014</v>
      </c>
      <c r="AA4028" s="609" t="s">
        <v>5686</v>
      </c>
    </row>
    <row r="4029" spans="1:27" ht="18">
      <c r="A4029" s="2714"/>
      <c r="B4029" s="371">
        <v>103</v>
      </c>
      <c r="C4029" s="371" t="s">
        <v>2791</v>
      </c>
      <c r="D4029" s="2716">
        <f t="shared" si="453"/>
        <v>0</v>
      </c>
      <c r="E4029" s="2721">
        <v>1</v>
      </c>
      <c r="F4029" s="294"/>
      <c r="G4029" s="2406" t="s">
        <v>2792</v>
      </c>
      <c r="H4029" s="2275"/>
      <c r="I4029" s="2298"/>
      <c r="J4029" s="2298"/>
      <c r="K4029" s="2275"/>
      <c r="L4029" s="2276"/>
      <c r="M4029" s="290"/>
      <c r="N4029" s="290"/>
      <c r="O4029" s="290"/>
      <c r="P4029" s="290"/>
      <c r="S4029" s="364"/>
      <c r="Z4029" s="609" t="s">
        <v>4014</v>
      </c>
      <c r="AA4029" s="609" t="s">
        <v>5686</v>
      </c>
    </row>
    <row r="4030" spans="1:27" ht="18">
      <c r="A4030" s="2714"/>
      <c r="B4030" s="371">
        <v>104</v>
      </c>
      <c r="C4030" s="371" t="s">
        <v>2791</v>
      </c>
      <c r="D4030" s="2716">
        <f t="shared" si="453"/>
        <v>0</v>
      </c>
      <c r="E4030" s="2721">
        <v>1</v>
      </c>
      <c r="F4030" s="294"/>
      <c r="G4030" s="2406" t="s">
        <v>2792</v>
      </c>
      <c r="H4030" s="2275"/>
      <c r="I4030" s="2298"/>
      <c r="J4030" s="2298"/>
      <c r="K4030" s="2275"/>
      <c r="L4030" s="2276"/>
      <c r="M4030" s="290"/>
      <c r="N4030" s="290"/>
      <c r="O4030" s="290"/>
      <c r="P4030" s="290"/>
      <c r="S4030" s="364"/>
      <c r="Z4030" s="609" t="s">
        <v>4014</v>
      </c>
      <c r="AA4030" s="609" t="s">
        <v>5686</v>
      </c>
    </row>
    <row r="4031" spans="1:27" ht="18">
      <c r="A4031" s="2714"/>
      <c r="B4031" s="371">
        <v>105</v>
      </c>
      <c r="C4031" s="371" t="s">
        <v>2791</v>
      </c>
      <c r="D4031" s="2716">
        <f t="shared" si="453"/>
        <v>0</v>
      </c>
      <c r="E4031" s="2721">
        <v>1</v>
      </c>
      <c r="F4031" s="294"/>
      <c r="G4031" s="2406" t="s">
        <v>2792</v>
      </c>
      <c r="H4031" s="2275"/>
      <c r="I4031" s="2298"/>
      <c r="J4031" s="2298"/>
      <c r="K4031" s="2275"/>
      <c r="L4031" s="2276"/>
      <c r="M4031" s="290"/>
      <c r="N4031" s="290"/>
      <c r="O4031" s="290"/>
      <c r="P4031" s="290"/>
      <c r="S4031" s="364"/>
      <c r="Z4031" s="609" t="s">
        <v>4014</v>
      </c>
      <c r="AA4031" s="609" t="s">
        <v>5686</v>
      </c>
    </row>
    <row r="4032" spans="1:27" ht="18.75" thickBot="1">
      <c r="A4032" s="2714"/>
      <c r="B4032" s="371"/>
      <c r="C4032" s="371"/>
      <c r="D4032" s="2716">
        <f t="shared" si="453"/>
        <v>1</v>
      </c>
      <c r="E4032" s="2721" t="s">
        <v>2751</v>
      </c>
      <c r="F4032" s="294"/>
      <c r="G4032" s="1529" t="s">
        <v>2752</v>
      </c>
      <c r="H4032" s="1527">
        <f>SUMPRODUCT($E4026:$E4031,H4026:H4031)</f>
        <v>0</v>
      </c>
      <c r="I4032" s="2316"/>
      <c r="J4032" s="2316"/>
      <c r="K4032" s="1527">
        <f>SUMPRODUCT($E4026:$E4031,K4026:K4031)</f>
        <v>0</v>
      </c>
      <c r="L4032" s="2266"/>
      <c r="M4032" s="290"/>
      <c r="N4032" s="290"/>
      <c r="O4032" s="290"/>
      <c r="P4032" s="290"/>
      <c r="S4032" s="364"/>
      <c r="Z4032" s="609" t="s">
        <v>4014</v>
      </c>
      <c r="AA4032" s="609" t="s">
        <v>5686</v>
      </c>
    </row>
    <row r="4033" spans="1:27" ht="18">
      <c r="A4033" s="2714"/>
      <c r="B4033" s="371"/>
      <c r="C4033" s="371" t="s">
        <v>2755</v>
      </c>
      <c r="D4033" s="371"/>
      <c r="F4033" s="294"/>
      <c r="G4033" s="301"/>
      <c r="H4033" s="315" t="s">
        <v>3002</v>
      </c>
      <c r="I4033" s="393"/>
      <c r="J4033" s="393"/>
      <c r="K4033" s="566"/>
      <c r="L4033" s="545"/>
      <c r="M4033" s="290"/>
      <c r="N4033" s="290"/>
      <c r="O4033" s="290"/>
      <c r="P4033" s="290"/>
      <c r="S4033" s="364"/>
      <c r="Z4033" s="609" t="s">
        <v>4014</v>
      </c>
      <c r="AA4033" s="609" t="s">
        <v>5686</v>
      </c>
    </row>
    <row r="4034" spans="1:27" ht="24">
      <c r="A4034" s="2714" t="s">
        <v>1652</v>
      </c>
      <c r="B4034" s="371">
        <v>1.3</v>
      </c>
      <c r="C4034" s="371"/>
      <c r="D4034" s="2716" t="str">
        <f>VLOOKUP($A4034,Sheet_NoteList,2,0)</f>
        <v>长期借款中的保证借款明细列示</v>
      </c>
      <c r="E4034" s="2716" t="s">
        <v>6531</v>
      </c>
      <c r="F4034" s="294"/>
      <c r="G4034" s="483" t="str">
        <f>"("&amp;B4034&amp;")"&amp;D4034</f>
        <v>(1.3)长期借款中的保证借款明细列示</v>
      </c>
      <c r="H4034" s="1517" t="str">
        <f>$A4034</f>
        <v>2501f</v>
      </c>
      <c r="I4034" s="343" t="s">
        <v>5966</v>
      </c>
      <c r="J4034" s="301" t="s">
        <v>5971</v>
      </c>
      <c r="K4034" s="2210">
        <f>H4042</f>
        <v>0</v>
      </c>
      <c r="L4034" s="345"/>
      <c r="M4034" s="301"/>
      <c r="N4034" s="391"/>
      <c r="O4034" s="345"/>
      <c r="P4034" s="301"/>
      <c r="S4034" s="364"/>
      <c r="Z4034" s="609" t="s">
        <v>4014</v>
      </c>
      <c r="AA4034" s="609" t="s">
        <v>5686</v>
      </c>
    </row>
    <row r="4035" spans="1:27" ht="0.75" customHeight="1" thickBot="1">
      <c r="A4035" s="2714"/>
      <c r="B4035" s="371"/>
      <c r="C4035" s="371"/>
      <c r="D4035" s="371"/>
      <c r="E4035" s="586"/>
      <c r="F4035" s="586"/>
      <c r="G4035" s="586" t="s">
        <v>4024</v>
      </c>
      <c r="H4035" s="371" t="s">
        <v>2747</v>
      </c>
      <c r="I4035" s="371" t="s">
        <v>3822</v>
      </c>
      <c r="J4035" s="371" t="s">
        <v>3814</v>
      </c>
      <c r="K4035" s="371" t="s">
        <v>4021</v>
      </c>
      <c r="L4035" s="290"/>
      <c r="M4035" s="290"/>
      <c r="N4035" s="290"/>
      <c r="O4035" s="290"/>
      <c r="P4035" s="290"/>
      <c r="S4035" s="364"/>
      <c r="Z4035" s="609" t="s">
        <v>4014</v>
      </c>
      <c r="AA4035" s="609" t="s">
        <v>5686</v>
      </c>
    </row>
    <row r="4036" spans="1:27" ht="24">
      <c r="A4036" s="2714"/>
      <c r="B4036" s="371"/>
      <c r="C4036" s="371"/>
      <c r="D4036" s="371"/>
      <c r="E4036" s="586" t="s">
        <v>2749</v>
      </c>
      <c r="F4036" s="363"/>
      <c r="G4036" s="2409" t="s">
        <v>1365</v>
      </c>
      <c r="H4036" s="2404" t="s">
        <v>3815</v>
      </c>
      <c r="I4036" s="2404" t="s">
        <v>3823</v>
      </c>
      <c r="J4036" s="2404" t="s">
        <v>3824</v>
      </c>
      <c r="K4036" s="2403" t="s">
        <v>4022</v>
      </c>
      <c r="L4036" s="355" t="s">
        <v>6141</v>
      </c>
      <c r="M4036" s="290"/>
      <c r="N4036" s="290"/>
      <c r="O4036" s="290"/>
      <c r="P4036" s="290"/>
      <c r="S4036" s="364"/>
      <c r="Z4036" s="609" t="s">
        <v>4014</v>
      </c>
      <c r="AA4036" s="609" t="s">
        <v>5686</v>
      </c>
    </row>
    <row r="4037" spans="1:27" ht="18">
      <c r="A4037" s="2714"/>
      <c r="B4037" s="371">
        <v>101</v>
      </c>
      <c r="C4037" s="371" t="s">
        <v>2791</v>
      </c>
      <c r="D4037" s="2716">
        <f t="shared" ref="D4037:D4042" si="454">IF(OR(G4037="*",G4037="",G4037=0),0,COUNTIF($G$4037:$G$4042,G4037))</f>
        <v>0</v>
      </c>
      <c r="E4037" s="2721">
        <v>1</v>
      </c>
      <c r="F4037" s="294"/>
      <c r="G4037" s="2406" t="s">
        <v>2792</v>
      </c>
      <c r="H4037" s="2275"/>
      <c r="I4037" s="2298"/>
      <c r="J4037" s="2298"/>
      <c r="K4037" s="2296"/>
      <c r="L4037" s="579"/>
      <c r="M4037" s="290"/>
      <c r="N4037" s="290"/>
      <c r="O4037" s="290"/>
      <c r="P4037" s="290"/>
      <c r="S4037" s="364"/>
      <c r="Z4037" s="609" t="s">
        <v>4014</v>
      </c>
      <c r="AA4037" s="609" t="s">
        <v>5686</v>
      </c>
    </row>
    <row r="4038" spans="1:27" ht="18">
      <c r="A4038" s="2714"/>
      <c r="B4038" s="371">
        <v>102</v>
      </c>
      <c r="C4038" s="371" t="s">
        <v>2791</v>
      </c>
      <c r="D4038" s="2716">
        <f t="shared" si="454"/>
        <v>0</v>
      </c>
      <c r="E4038" s="2721">
        <v>1</v>
      </c>
      <c r="F4038" s="294"/>
      <c r="G4038" s="2406" t="s">
        <v>2792</v>
      </c>
      <c r="H4038" s="2275"/>
      <c r="I4038" s="2298"/>
      <c r="J4038" s="2298"/>
      <c r="K4038" s="2296"/>
      <c r="L4038" s="290"/>
      <c r="M4038" s="290"/>
      <c r="N4038" s="290"/>
      <c r="O4038" s="290"/>
      <c r="P4038" s="290"/>
      <c r="S4038" s="364"/>
      <c r="Z4038" s="609" t="s">
        <v>4014</v>
      </c>
      <c r="AA4038" s="609" t="s">
        <v>5686</v>
      </c>
    </row>
    <row r="4039" spans="1:27" ht="18">
      <c r="A4039" s="2714"/>
      <c r="B4039" s="371">
        <v>103</v>
      </c>
      <c r="C4039" s="371" t="s">
        <v>2791</v>
      </c>
      <c r="D4039" s="2716">
        <f t="shared" si="454"/>
        <v>0</v>
      </c>
      <c r="E4039" s="2721">
        <v>1</v>
      </c>
      <c r="F4039" s="294"/>
      <c r="G4039" s="2406" t="s">
        <v>2792</v>
      </c>
      <c r="H4039" s="2275"/>
      <c r="I4039" s="2298"/>
      <c r="J4039" s="2298"/>
      <c r="K4039" s="2296"/>
      <c r="L4039" s="290"/>
      <c r="M4039" s="290"/>
      <c r="N4039" s="290"/>
      <c r="O4039" s="290"/>
      <c r="P4039" s="290"/>
      <c r="S4039" s="364"/>
      <c r="Z4039" s="609" t="s">
        <v>4014</v>
      </c>
      <c r="AA4039" s="609" t="s">
        <v>5686</v>
      </c>
    </row>
    <row r="4040" spans="1:27" ht="18">
      <c r="A4040" s="2714"/>
      <c r="B4040" s="371">
        <v>104</v>
      </c>
      <c r="C4040" s="371" t="s">
        <v>2791</v>
      </c>
      <c r="D4040" s="2716">
        <f t="shared" si="454"/>
        <v>0</v>
      </c>
      <c r="E4040" s="2721">
        <v>1</v>
      </c>
      <c r="F4040" s="294"/>
      <c r="G4040" s="2406" t="s">
        <v>2792</v>
      </c>
      <c r="H4040" s="2275"/>
      <c r="I4040" s="2298"/>
      <c r="J4040" s="2298"/>
      <c r="K4040" s="2296"/>
      <c r="L4040" s="290"/>
      <c r="M4040" s="290"/>
      <c r="N4040" s="290"/>
      <c r="O4040" s="290"/>
      <c r="P4040" s="290"/>
      <c r="S4040" s="364"/>
      <c r="Z4040" s="609" t="s">
        <v>4014</v>
      </c>
      <c r="AA4040" s="609" t="s">
        <v>5686</v>
      </c>
    </row>
    <row r="4041" spans="1:27" ht="18">
      <c r="A4041" s="2714"/>
      <c r="B4041" s="371">
        <v>105</v>
      </c>
      <c r="C4041" s="371" t="s">
        <v>2791</v>
      </c>
      <c r="D4041" s="2716">
        <f t="shared" si="454"/>
        <v>0</v>
      </c>
      <c r="E4041" s="2721">
        <v>1</v>
      </c>
      <c r="F4041" s="294"/>
      <c r="G4041" s="2406" t="s">
        <v>2792</v>
      </c>
      <c r="H4041" s="2275"/>
      <c r="I4041" s="2298"/>
      <c r="J4041" s="2298"/>
      <c r="K4041" s="2296"/>
      <c r="L4041" s="290"/>
      <c r="M4041" s="290"/>
      <c r="N4041" s="290"/>
      <c r="O4041" s="290"/>
      <c r="P4041" s="290"/>
      <c r="S4041" s="364"/>
      <c r="Z4041" s="609" t="s">
        <v>4014</v>
      </c>
      <c r="AA4041" s="609" t="s">
        <v>5686</v>
      </c>
    </row>
    <row r="4042" spans="1:27" ht="18.75" thickBot="1">
      <c r="A4042" s="2714"/>
      <c r="B4042" s="371"/>
      <c r="C4042" s="371"/>
      <c r="D4042" s="2716">
        <f t="shared" si="454"/>
        <v>1</v>
      </c>
      <c r="E4042" s="2721" t="s">
        <v>2751</v>
      </c>
      <c r="F4042" s="294"/>
      <c r="G4042" s="1529" t="s">
        <v>2752</v>
      </c>
      <c r="H4042" s="1527">
        <f>SUMPRODUCT($E4036:$E4041,H4036:H4041)</f>
        <v>0</v>
      </c>
      <c r="I4042" s="2316"/>
      <c r="J4042" s="2316"/>
      <c r="K4042" s="1528">
        <f>SUMPRODUCT($E4036:$E4041,K4036:K4041)</f>
        <v>0</v>
      </c>
      <c r="L4042" s="290"/>
      <c r="M4042" s="290"/>
      <c r="N4042" s="290"/>
      <c r="O4042" s="290"/>
      <c r="P4042" s="290"/>
      <c r="S4042" s="364"/>
      <c r="Z4042" s="609" t="s">
        <v>4014</v>
      </c>
      <c r="AA4042" s="609" t="s">
        <v>5686</v>
      </c>
    </row>
    <row r="4043" spans="1:27" ht="18">
      <c r="A4043" s="2714"/>
      <c r="B4043" s="371"/>
      <c r="C4043" s="371" t="s">
        <v>2755</v>
      </c>
      <c r="D4043" s="371"/>
      <c r="F4043" s="294"/>
      <c r="G4043" s="301"/>
      <c r="H4043" s="315" t="s">
        <v>3002</v>
      </c>
      <c r="I4043" s="393"/>
      <c r="J4043" s="393"/>
      <c r="K4043" s="566"/>
      <c r="L4043" s="290"/>
      <c r="M4043" s="290"/>
      <c r="N4043" s="290"/>
      <c r="O4043" s="290"/>
      <c r="P4043" s="290"/>
      <c r="S4043" s="364"/>
      <c r="Z4043" s="609" t="s">
        <v>4014</v>
      </c>
      <c r="AA4043" s="609" t="s">
        <v>5686</v>
      </c>
    </row>
    <row r="4044" spans="1:27" ht="18">
      <c r="A4044" s="2714" t="s">
        <v>1657</v>
      </c>
      <c r="B4044" s="371">
        <v>2</v>
      </c>
      <c r="C4044" s="371"/>
      <c r="D4044" s="2716" t="str">
        <f>VLOOKUP($A4044,Sheet_NoteList,2,0)</f>
        <v>外币长期借款</v>
      </c>
      <c r="E4044" s="2716" t="s">
        <v>6531</v>
      </c>
      <c r="F4044" s="294"/>
      <c r="G4044" s="372" t="str">
        <f>"("&amp;B4044&amp;")"&amp;D4044</f>
        <v>(2)外币长期借款</v>
      </c>
      <c r="H4044" s="1517" t="str">
        <f>$A4044</f>
        <v>2501c</v>
      </c>
      <c r="I4044" s="343" t="s">
        <v>5582</v>
      </c>
      <c r="J4044" s="301" t="s">
        <v>5580</v>
      </c>
      <c r="K4044" s="2210">
        <f>J4052</f>
        <v>0</v>
      </c>
      <c r="L4044" s="345"/>
      <c r="M4044" s="301" t="s">
        <v>5581</v>
      </c>
      <c r="N4044" s="2210">
        <f>L4052</f>
        <v>0</v>
      </c>
      <c r="O4044" s="345"/>
      <c r="P4044" s="301"/>
      <c r="Q4044" s="290" t="str">
        <f>IF($I4044="不适用","",IF(ROUND(SUM($H$4047:$J$4052),2)=0,"请输入",""))</f>
        <v>请输入</v>
      </c>
      <c r="S4044" s="364"/>
      <c r="Z4044" s="609" t="s">
        <v>4014</v>
      </c>
      <c r="AA4044" s="609" t="s">
        <v>5686</v>
      </c>
    </row>
    <row r="4045" spans="1:27" ht="0.75" customHeight="1" thickBot="1">
      <c r="A4045" s="2714"/>
      <c r="B4045" s="371"/>
      <c r="C4045" s="371"/>
      <c r="D4045" s="371"/>
      <c r="F4045" s="304"/>
      <c r="G4045" s="304" t="s">
        <v>4019</v>
      </c>
      <c r="H4045" s="304" t="s">
        <v>3073</v>
      </c>
      <c r="I4045" s="304" t="s">
        <v>3074</v>
      </c>
      <c r="J4045" s="304" t="s">
        <v>3075</v>
      </c>
      <c r="N4045" s="291"/>
      <c r="O4045" s="291"/>
      <c r="P4045" s="291"/>
      <c r="Q4045" s="367"/>
      <c r="R4045" s="367"/>
      <c r="S4045" s="364"/>
      <c r="Z4045" s="609" t="s">
        <v>4014</v>
      </c>
      <c r="AA4045" s="609" t="s">
        <v>5686</v>
      </c>
    </row>
    <row r="4046" spans="1:27" ht="24">
      <c r="A4046" s="2714"/>
      <c r="B4046" s="371"/>
      <c r="C4046" s="371"/>
      <c r="D4046" s="371"/>
      <c r="E4046" s="2716" t="s">
        <v>2749</v>
      </c>
      <c r="F4046" s="294"/>
      <c r="G4046" s="1629" t="s">
        <v>1371</v>
      </c>
      <c r="H4046" s="1627" t="s">
        <v>3076</v>
      </c>
      <c r="I4046" s="1627" t="s">
        <v>3077</v>
      </c>
      <c r="J4046" s="1628" t="s">
        <v>3078</v>
      </c>
      <c r="K4046" s="355" t="s">
        <v>5604</v>
      </c>
      <c r="L4046" s="291"/>
      <c r="N4046" s="291"/>
      <c r="O4046" s="291"/>
      <c r="P4046" s="291"/>
      <c r="Q4046" s="367"/>
      <c r="R4046" s="367"/>
      <c r="S4046" s="364"/>
      <c r="Z4046" s="609" t="s">
        <v>4014</v>
      </c>
      <c r="AA4046" s="609" t="s">
        <v>5686</v>
      </c>
    </row>
    <row r="4047" spans="1:27" ht="18">
      <c r="A4047" s="2714"/>
      <c r="B4047" s="371">
        <v>101</v>
      </c>
      <c r="C4047" s="371" t="s">
        <v>2791</v>
      </c>
      <c r="D4047" s="2716">
        <f t="shared" ref="D4047:D4052" si="455">IF(OR(G4047="*",G4047="",G4047=0),0,COUNTIF($G$4047:$G$4052,G4047))</f>
        <v>1</v>
      </c>
      <c r="E4047" s="2721">
        <v>1</v>
      </c>
      <c r="F4047" s="294"/>
      <c r="G4047" s="1626" t="s">
        <v>3079</v>
      </c>
      <c r="H4047" s="309"/>
      <c r="I4047" s="360"/>
      <c r="J4047" s="346"/>
      <c r="K4047" s="355" t="s">
        <v>5364</v>
      </c>
      <c r="L4047" s="1522" t="s">
        <v>5365</v>
      </c>
      <c r="M4047" s="291"/>
      <c r="N4047" s="291"/>
      <c r="O4047" s="291"/>
      <c r="P4047" s="291"/>
      <c r="S4047" s="364"/>
      <c r="Z4047" s="609" t="s">
        <v>4014</v>
      </c>
      <c r="AA4047" s="609" t="s">
        <v>5686</v>
      </c>
    </row>
    <row r="4048" spans="1:27" ht="18">
      <c r="A4048" s="2714"/>
      <c r="B4048" s="371">
        <v>102</v>
      </c>
      <c r="C4048" s="371" t="s">
        <v>2791</v>
      </c>
      <c r="D4048" s="2716">
        <f t="shared" si="455"/>
        <v>1</v>
      </c>
      <c r="E4048" s="2721">
        <v>1</v>
      </c>
      <c r="F4048" s="294"/>
      <c r="G4048" s="1626" t="s">
        <v>3080</v>
      </c>
      <c r="H4048" s="309"/>
      <c r="I4048" s="360"/>
      <c r="J4048" s="346"/>
      <c r="K4048" s="291"/>
      <c r="L4048" s="291"/>
      <c r="M4048" s="291"/>
      <c r="N4048" s="291"/>
      <c r="O4048" s="291"/>
      <c r="P4048" s="291"/>
      <c r="S4048" s="364"/>
      <c r="Z4048" s="609" t="s">
        <v>4014</v>
      </c>
      <c r="AA4048" s="609" t="s">
        <v>5686</v>
      </c>
    </row>
    <row r="4049" spans="1:29" ht="18">
      <c r="A4049" s="2714"/>
      <c r="B4049" s="371">
        <v>103</v>
      </c>
      <c r="C4049" s="371" t="s">
        <v>2791</v>
      </c>
      <c r="D4049" s="2716">
        <f t="shared" si="455"/>
        <v>1</v>
      </c>
      <c r="E4049" s="2721">
        <v>1</v>
      </c>
      <c r="F4049" s="294"/>
      <c r="G4049" s="1626" t="s">
        <v>3081</v>
      </c>
      <c r="H4049" s="309"/>
      <c r="I4049" s="360"/>
      <c r="J4049" s="346"/>
      <c r="K4049" s="291"/>
      <c r="L4049" s="291"/>
      <c r="M4049" s="291"/>
      <c r="N4049" s="291"/>
      <c r="O4049" s="291"/>
      <c r="P4049" s="291"/>
      <c r="S4049" s="364"/>
      <c r="Z4049" s="609" t="s">
        <v>4014</v>
      </c>
      <c r="AA4049" s="609" t="s">
        <v>5686</v>
      </c>
    </row>
    <row r="4050" spans="1:29" ht="18">
      <c r="A4050" s="2714"/>
      <c r="B4050" s="371">
        <v>104</v>
      </c>
      <c r="C4050" s="371" t="s">
        <v>2791</v>
      </c>
      <c r="D4050" s="2716">
        <f t="shared" si="455"/>
        <v>0</v>
      </c>
      <c r="E4050" s="2721">
        <v>1</v>
      </c>
      <c r="F4050" s="294"/>
      <c r="G4050" s="1626" t="s">
        <v>2792</v>
      </c>
      <c r="H4050" s="309"/>
      <c r="I4050" s="360"/>
      <c r="J4050" s="346"/>
      <c r="K4050" s="291"/>
      <c r="L4050" s="291"/>
      <c r="M4050" s="291"/>
      <c r="N4050" s="291"/>
      <c r="O4050" s="291"/>
      <c r="P4050" s="291"/>
      <c r="S4050" s="364"/>
      <c r="Z4050" s="609" t="s">
        <v>4014</v>
      </c>
      <c r="AA4050" s="609" t="s">
        <v>5686</v>
      </c>
    </row>
    <row r="4051" spans="1:29" ht="18">
      <c r="A4051" s="2714"/>
      <c r="B4051" s="371">
        <v>105</v>
      </c>
      <c r="C4051" s="371" t="s">
        <v>2791</v>
      </c>
      <c r="D4051" s="2716">
        <f t="shared" si="455"/>
        <v>0</v>
      </c>
      <c r="E4051" s="2721">
        <v>1</v>
      </c>
      <c r="F4051" s="294"/>
      <c r="G4051" s="1626" t="s">
        <v>2792</v>
      </c>
      <c r="H4051" s="309"/>
      <c r="I4051" s="360"/>
      <c r="J4051" s="346"/>
      <c r="K4051" s="291"/>
      <c r="L4051" s="291"/>
      <c r="M4051" s="291"/>
      <c r="N4051" s="291"/>
      <c r="O4051" s="291"/>
      <c r="P4051" s="291"/>
      <c r="S4051" s="364"/>
      <c r="Z4051" s="609" t="s">
        <v>4014</v>
      </c>
      <c r="AA4051" s="609" t="s">
        <v>5686</v>
      </c>
    </row>
    <row r="4052" spans="1:29" ht="18.75" thickBot="1">
      <c r="A4052" s="2714"/>
      <c r="B4052" s="371"/>
      <c r="C4052" s="371"/>
      <c r="D4052" s="2716">
        <f t="shared" si="455"/>
        <v>1</v>
      </c>
      <c r="E4052" s="2721" t="s">
        <v>2751</v>
      </c>
      <c r="F4052" s="294"/>
      <c r="G4052" s="1529" t="s">
        <v>2752</v>
      </c>
      <c r="H4052" s="1525"/>
      <c r="I4052" s="1570"/>
      <c r="J4052" s="1528">
        <f>SUMPRODUCT($E4046:$E4051,J4046:J4051)</f>
        <v>0</v>
      </c>
      <c r="K4052" s="291"/>
      <c r="L4052" s="291"/>
      <c r="M4052" s="291"/>
      <c r="N4052" s="291"/>
      <c r="O4052" s="291"/>
      <c r="P4052" s="291"/>
      <c r="S4052" s="364"/>
      <c r="Z4052" s="609" t="s">
        <v>4014</v>
      </c>
      <c r="AA4052" s="609" t="s">
        <v>5686</v>
      </c>
    </row>
    <row r="4053" spans="1:29" ht="18">
      <c r="A4053" s="2714"/>
      <c r="B4053" s="371"/>
      <c r="C4053" s="371" t="s">
        <v>2755</v>
      </c>
      <c r="D4053" s="371"/>
      <c r="F4053" s="294"/>
      <c r="G4053" s="301"/>
      <c r="H4053" s="315"/>
      <c r="I4053" s="393"/>
      <c r="J4053" s="315"/>
      <c r="K4053" s="291"/>
      <c r="L4053" s="291"/>
      <c r="M4053" s="291"/>
      <c r="N4053" s="291"/>
      <c r="O4053" s="291"/>
      <c r="P4053" s="291"/>
      <c r="S4053" s="364"/>
      <c r="Z4053" s="609" t="s">
        <v>4014</v>
      </c>
      <c r="AA4053" s="609" t="s">
        <v>5686</v>
      </c>
    </row>
    <row r="4054" spans="1:29" ht="18">
      <c r="A4054" s="2714">
        <v>2502</v>
      </c>
      <c r="B4054" s="371">
        <v>47</v>
      </c>
      <c r="C4054" s="2716" t="str">
        <f>VLOOKUP($A4054,Sheet_Items,2,0)</f>
        <v>应付债券</v>
      </c>
      <c r="D4054" s="371"/>
      <c r="E4054" s="2716" t="s">
        <v>2739</v>
      </c>
      <c r="F4054" s="294"/>
      <c r="G4054" s="535" t="str">
        <f>B4054&amp;" "&amp;C4054</f>
        <v>47 应付债券</v>
      </c>
      <c r="H4054" s="306"/>
      <c r="I4054" s="306"/>
      <c r="J4054" s="306" t="s">
        <v>2740</v>
      </c>
      <c r="K4054" s="341">
        <f>VLOOKUP($A4054,Sheet_Trialbal,6,0)</f>
        <v>0</v>
      </c>
      <c r="L4054" s="342"/>
      <c r="M4054" s="306" t="s">
        <v>2741</v>
      </c>
      <c r="N4054" s="341">
        <f>VLOOKUP($A4054,Sheet_Trialbal,10,0)</f>
        <v>0</v>
      </c>
      <c r="O4054" s="306"/>
      <c r="P4054" s="301"/>
      <c r="S4054" s="364"/>
      <c r="Z4054" s="609" t="s">
        <v>4025</v>
      </c>
      <c r="AA4054" s="609" t="s">
        <v>5687</v>
      </c>
    </row>
    <row r="4055" spans="1:29" ht="18">
      <c r="A4055" s="2714" t="s">
        <v>1662</v>
      </c>
      <c r="B4055" s="371">
        <v>1</v>
      </c>
      <c r="C4055" s="371"/>
      <c r="D4055" s="2716" t="str">
        <f>VLOOKUP($A4055,Sheet_NoteList,2,0)</f>
        <v>应付债券明细项目</v>
      </c>
      <c r="E4055" s="2716" t="s">
        <v>2742</v>
      </c>
      <c r="F4055" s="294"/>
      <c r="G4055" s="307" t="str">
        <f>"("&amp;B4055&amp;")"&amp;D4055</f>
        <v>(1)应付债券明细项目</v>
      </c>
      <c r="H4055" s="1517" t="str">
        <f>$A4055</f>
        <v>2502b</v>
      </c>
      <c r="I4055" s="343" t="s">
        <v>2743</v>
      </c>
      <c r="J4055" s="301" t="s">
        <v>2744</v>
      </c>
      <c r="K4055" s="2210">
        <f>H4063</f>
        <v>0</v>
      </c>
      <c r="L4055" s="345" t="str">
        <f>IF($I4055="适用",IF(ROUND(K4054-K4055,2)=0,"F/S",ROUND(K4054-K4055,2)),"#N/A")</f>
        <v>F/S</v>
      </c>
      <c r="M4055" s="301" t="s">
        <v>2745</v>
      </c>
      <c r="N4055" s="2210">
        <f>I4063</f>
        <v>0</v>
      </c>
      <c r="O4055" s="345" t="str">
        <f>IF($I4055="适用",IF(ROUND(N4054-N4055,2)=0,"F/S",ROUND(N4054-N4055,2)),"#N/A")</f>
        <v>F/S</v>
      </c>
      <c r="P4055" s="301"/>
      <c r="Q4055" s="290" t="str">
        <f>IF($I4055="不适用","",IF(ROUND(SUM($H$4058:$I$4063),2)=0,"请输入",""))</f>
        <v>请输入</v>
      </c>
      <c r="S4055" s="364"/>
      <c r="Z4055" s="609" t="s">
        <v>4025</v>
      </c>
      <c r="AA4055" s="609" t="s">
        <v>5687</v>
      </c>
    </row>
    <row r="4056" spans="1:29" ht="0.75" customHeight="1" thickBot="1">
      <c r="A4056" s="2714"/>
      <c r="B4056" s="371"/>
      <c r="C4056" s="371"/>
      <c r="D4056" s="371"/>
      <c r="F4056" s="304"/>
      <c r="G4056" s="304" t="s">
        <v>4026</v>
      </c>
      <c r="H4056" s="304" t="s">
        <v>2747</v>
      </c>
      <c r="I4056" s="304" t="s">
        <v>2748</v>
      </c>
      <c r="J4056" s="387"/>
      <c r="K4056" s="387"/>
      <c r="L4056" s="387"/>
      <c r="M4056" s="387"/>
      <c r="N4056" s="291"/>
      <c r="O4056" s="291"/>
      <c r="P4056" s="291"/>
      <c r="Q4056" s="367"/>
      <c r="R4056" s="367"/>
      <c r="S4056" s="364"/>
      <c r="Z4056" s="609" t="s">
        <v>4025</v>
      </c>
      <c r="AA4056" s="609" t="s">
        <v>5687</v>
      </c>
    </row>
    <row r="4057" spans="1:29" ht="18">
      <c r="A4057" s="2714"/>
      <c r="B4057" s="371"/>
      <c r="C4057" s="371"/>
      <c r="D4057" s="371"/>
      <c r="E4057" s="2716" t="s">
        <v>2749</v>
      </c>
      <c r="F4057" s="294"/>
      <c r="G4057" s="410" t="s">
        <v>47</v>
      </c>
      <c r="H4057" s="1454" t="str">
        <f>$V$2</f>
        <v>2019年12月31日</v>
      </c>
      <c r="I4057" s="1455" t="str">
        <f>$V$3</f>
        <v>2018年12月31日</v>
      </c>
      <c r="J4057" s="355" t="s">
        <v>5312</v>
      </c>
      <c r="K4057" s="291"/>
      <c r="L4057" s="291"/>
      <c r="M4057" s="291"/>
      <c r="N4057" s="291"/>
      <c r="O4057" s="291"/>
      <c r="P4057" s="291"/>
      <c r="Q4057" s="367"/>
      <c r="R4057" s="367"/>
      <c r="S4057" s="364"/>
      <c r="Z4057" s="609" t="s">
        <v>4025</v>
      </c>
      <c r="AA4057" s="609" t="s">
        <v>5687</v>
      </c>
    </row>
    <row r="4058" spans="1:29" ht="18">
      <c r="A4058" s="2714"/>
      <c r="B4058" s="371">
        <v>101</v>
      </c>
      <c r="C4058" s="371" t="s">
        <v>2791</v>
      </c>
      <c r="D4058" s="2716">
        <f t="shared" ref="D4058:D4063" si="456">IF(OR(G4058="*",G4058="",G4058=0),0,COUNTIF($G$4058:$G$4063,G4058))</f>
        <v>0</v>
      </c>
      <c r="E4058" s="2721" t="s">
        <v>2939</v>
      </c>
      <c r="F4058" s="294"/>
      <c r="G4058" s="319" t="s">
        <v>2792</v>
      </c>
      <c r="H4058" s="309"/>
      <c r="I4058" s="346"/>
      <c r="J4058" s="291"/>
      <c r="K4058" s="291"/>
      <c r="L4058" s="291"/>
      <c r="M4058" s="291"/>
      <c r="N4058" s="291"/>
      <c r="O4058" s="291"/>
      <c r="P4058" s="291"/>
      <c r="Q4058" s="367"/>
      <c r="R4058" s="367"/>
      <c r="S4058" s="364"/>
      <c r="Z4058" s="609" t="s">
        <v>4025</v>
      </c>
      <c r="AA4058" s="609" t="s">
        <v>5687</v>
      </c>
    </row>
    <row r="4059" spans="1:29" ht="18">
      <c r="A4059" s="2714"/>
      <c r="B4059" s="371">
        <v>101.001</v>
      </c>
      <c r="C4059" s="371" t="s">
        <v>2791</v>
      </c>
      <c r="D4059" s="2716">
        <f t="shared" si="456"/>
        <v>0</v>
      </c>
      <c r="E4059" s="2721" t="s">
        <v>2939</v>
      </c>
      <c r="F4059" s="294"/>
      <c r="G4059" s="319" t="s">
        <v>2792</v>
      </c>
      <c r="H4059" s="309"/>
      <c r="I4059" s="346"/>
      <c r="J4059" s="291"/>
      <c r="K4059" s="291"/>
      <c r="L4059" s="291"/>
      <c r="M4059" s="291"/>
      <c r="N4059" s="291"/>
      <c r="O4059" s="291"/>
      <c r="P4059" s="291"/>
      <c r="Q4059" s="367"/>
      <c r="R4059" s="367"/>
      <c r="S4059" s="364"/>
      <c r="Z4059" s="609" t="s">
        <v>4025</v>
      </c>
      <c r="AA4059" s="609" t="s">
        <v>5687</v>
      </c>
    </row>
    <row r="4060" spans="1:29" ht="18">
      <c r="A4060" s="2714"/>
      <c r="B4060" s="371">
        <v>101.002</v>
      </c>
      <c r="C4060" s="371" t="s">
        <v>2791</v>
      </c>
      <c r="D4060" s="2716">
        <f t="shared" si="456"/>
        <v>0</v>
      </c>
      <c r="E4060" s="2721" t="s">
        <v>2939</v>
      </c>
      <c r="F4060" s="294"/>
      <c r="G4060" s="319" t="s">
        <v>2792</v>
      </c>
      <c r="H4060" s="309"/>
      <c r="I4060" s="346"/>
      <c r="J4060" s="291"/>
      <c r="K4060" s="291"/>
      <c r="L4060" s="291"/>
      <c r="M4060" s="291"/>
      <c r="N4060" s="291"/>
      <c r="O4060" s="291"/>
      <c r="P4060" s="291"/>
      <c r="Q4060" s="367"/>
      <c r="R4060" s="367"/>
      <c r="S4060" s="364"/>
      <c r="Z4060" s="609" t="s">
        <v>4025</v>
      </c>
      <c r="AA4060" s="609" t="s">
        <v>5687</v>
      </c>
    </row>
    <row r="4061" spans="1:29" ht="18">
      <c r="A4061" s="2714"/>
      <c r="B4061" s="371">
        <v>102</v>
      </c>
      <c r="C4061" s="371" t="s">
        <v>2793</v>
      </c>
      <c r="D4061" s="2716">
        <f t="shared" si="456"/>
        <v>1</v>
      </c>
      <c r="E4061" s="2721">
        <v>1</v>
      </c>
      <c r="F4061" s="294"/>
      <c r="G4061" s="308" t="s">
        <v>2939</v>
      </c>
      <c r="H4061" s="1476">
        <f>SUMIF($E$4057:$E$4062,$G4061,H$4057:H$4062)</f>
        <v>0</v>
      </c>
      <c r="I4061" s="1477">
        <f>SUMIF($E$4057:$E$4062,$G4061,I$4057:I$4062)</f>
        <v>0</v>
      </c>
      <c r="J4061" s="291"/>
      <c r="K4061" s="291"/>
      <c r="L4061" s="291"/>
      <c r="M4061" s="291"/>
      <c r="N4061" s="291"/>
      <c r="O4061" s="291"/>
      <c r="P4061" s="291"/>
      <c r="Q4061" s="367"/>
      <c r="R4061" s="367"/>
      <c r="S4061" s="364"/>
      <c r="Z4061" s="609" t="s">
        <v>4025</v>
      </c>
      <c r="AA4061" s="609" t="s">
        <v>5687</v>
      </c>
    </row>
    <row r="4062" spans="1:29" ht="18">
      <c r="A4062" s="2714"/>
      <c r="B4062" s="371">
        <v>103</v>
      </c>
      <c r="C4062" s="371" t="s">
        <v>2791</v>
      </c>
      <c r="D4062" s="2716">
        <f t="shared" si="456"/>
        <v>1</v>
      </c>
      <c r="E4062" s="2721">
        <v>-1</v>
      </c>
      <c r="F4062" s="294"/>
      <c r="G4062" s="2568" t="s">
        <v>4027</v>
      </c>
      <c r="H4062" s="309"/>
      <c r="I4062" s="346"/>
      <c r="J4062" s="1533" t="str">
        <f ca="1">HYPERLINK("#'"&amp;$G$1&amp;"'!"&amp;ADDRESS(ROW(Notes!K3935),COLUMN(Notes!K3935),4),"* 请勿删除此行！点击往勾稽单元格，F5+Enter返回")</f>
        <v>* 请勿删除此行！点击往勾稽单元格，F5+Enter返回</v>
      </c>
      <c r="K4062" s="291"/>
      <c r="L4062" s="291"/>
      <c r="M4062" s="291"/>
      <c r="N4062" s="291"/>
      <c r="O4062" s="291"/>
      <c r="P4062" s="291"/>
      <c r="Q4062" s="367"/>
      <c r="R4062" s="367"/>
      <c r="S4062" s="364"/>
      <c r="Z4062" s="609" t="s">
        <v>4025</v>
      </c>
      <c r="AA4062" s="609" t="s">
        <v>5687</v>
      </c>
      <c r="AC4062" s="369" t="s">
        <v>6573</v>
      </c>
    </row>
    <row r="4063" spans="1:29" ht="18.75" thickBot="1">
      <c r="A4063" s="2714"/>
      <c r="B4063" s="371"/>
      <c r="C4063" s="371"/>
      <c r="D4063" s="2716">
        <f t="shared" si="456"/>
        <v>1</v>
      </c>
      <c r="E4063" s="2721" t="s">
        <v>2751</v>
      </c>
      <c r="F4063" s="294"/>
      <c r="G4063" s="374" t="s">
        <v>2752</v>
      </c>
      <c r="H4063" s="1478">
        <f>SUMPRODUCT($E4057:$E4062,H4057:H4062)</f>
        <v>0</v>
      </c>
      <c r="I4063" s="1479">
        <f>SUMPRODUCT($E4057:$E4062,I4057:I4062)</f>
        <v>0</v>
      </c>
      <c r="J4063" s="357"/>
      <c r="K4063" s="291"/>
      <c r="L4063" s="291"/>
      <c r="M4063" s="291"/>
      <c r="N4063" s="291"/>
      <c r="O4063" s="291"/>
      <c r="P4063" s="291"/>
      <c r="Q4063" s="367"/>
      <c r="R4063" s="367"/>
      <c r="S4063" s="364"/>
      <c r="Z4063" s="609" t="s">
        <v>4025</v>
      </c>
      <c r="AA4063" s="609" t="s">
        <v>5687</v>
      </c>
      <c r="AC4063" s="369" t="s">
        <v>2794</v>
      </c>
    </row>
    <row r="4064" spans="1:29" ht="18">
      <c r="A4064" s="2714"/>
      <c r="B4064" s="371"/>
      <c r="C4064" s="371" t="s">
        <v>2755</v>
      </c>
      <c r="D4064" s="371"/>
      <c r="F4064" s="294"/>
      <c r="G4064" s="301"/>
      <c r="H4064" s="315"/>
      <c r="I4064" s="315"/>
      <c r="J4064" s="350"/>
      <c r="K4064" s="349"/>
      <c r="L4064" s="349"/>
      <c r="M4064" s="350"/>
      <c r="N4064" s="291"/>
      <c r="O4064" s="291"/>
      <c r="P4064" s="291"/>
      <c r="Q4064" s="367"/>
      <c r="R4064" s="367"/>
      <c r="S4064" s="364"/>
      <c r="Z4064" s="609" t="s">
        <v>4025</v>
      </c>
      <c r="AA4064" s="609" t="s">
        <v>5687</v>
      </c>
    </row>
    <row r="4065" spans="1:27" ht="48">
      <c r="A4065" s="2714" t="s">
        <v>1667</v>
      </c>
      <c r="B4065" s="371">
        <v>2</v>
      </c>
      <c r="C4065" s="371"/>
      <c r="D4065" s="2716" t="str">
        <f>VLOOKUP($A4065,Sheet_NoteList,2,0)</f>
        <v>应付债券的增减变动（不包括划分为金融负债的优先股、永续债等其他金融工具）</v>
      </c>
      <c r="E4065" s="2716" t="s">
        <v>2742</v>
      </c>
      <c r="F4065" s="294"/>
      <c r="G4065" s="372" t="str">
        <f>"("&amp;B4065&amp;")"&amp;D4065</f>
        <v>(2)应付债券的增减变动（不包括划分为金融负债的优先股、永续债等其他金融工具）</v>
      </c>
      <c r="H4065" s="1517" t="str">
        <f>$A4065</f>
        <v>2502a</v>
      </c>
      <c r="I4065" s="343" t="s">
        <v>2743</v>
      </c>
      <c r="J4065" s="301" t="s">
        <v>2744</v>
      </c>
      <c r="K4065" s="2210">
        <f>Q4076</f>
        <v>0</v>
      </c>
      <c r="L4065" s="345"/>
      <c r="M4065" s="301" t="s">
        <v>2745</v>
      </c>
      <c r="N4065" s="2210">
        <f>L4076</f>
        <v>0</v>
      </c>
      <c r="O4065" s="345"/>
      <c r="P4065" s="301"/>
      <c r="Q4065" s="290" t="str">
        <f>IF($I4065="不适用","",IF(ROUND(SUM($H$4068:$Q$4076),2)=0,"请输入",""))</f>
        <v>请输入</v>
      </c>
      <c r="R4065" s="367"/>
      <c r="S4065" s="364"/>
      <c r="Z4065" s="609" t="s">
        <v>4025</v>
      </c>
      <c r="AA4065" s="609" t="s">
        <v>5687</v>
      </c>
    </row>
    <row r="4066" spans="1:27" ht="0.75" customHeight="1" thickBot="1">
      <c r="A4066" s="2714"/>
      <c r="B4066" s="371"/>
      <c r="C4066" s="371"/>
      <c r="D4066" s="371"/>
      <c r="F4066" s="304"/>
      <c r="G4066" s="304" t="s">
        <v>4028</v>
      </c>
      <c r="H4066" s="304" t="s">
        <v>3431</v>
      </c>
      <c r="I4066" s="304" t="s">
        <v>3991</v>
      </c>
      <c r="J4066" s="304" t="s">
        <v>3992</v>
      </c>
      <c r="K4066" s="304" t="s">
        <v>3993</v>
      </c>
      <c r="L4066" s="304" t="s">
        <v>3242</v>
      </c>
      <c r="M4066" s="304" t="s">
        <v>3994</v>
      </c>
      <c r="N4066" s="304" t="s">
        <v>3995</v>
      </c>
      <c r="O4066" s="304" t="s">
        <v>3996</v>
      </c>
      <c r="P4066" s="304" t="s">
        <v>3997</v>
      </c>
      <c r="Q4066" s="366" t="s">
        <v>3499</v>
      </c>
      <c r="R4066" s="367"/>
      <c r="S4066" s="364"/>
      <c r="T4066" s="291"/>
      <c r="Z4066" s="609" t="s">
        <v>4025</v>
      </c>
      <c r="AA4066" s="609" t="s">
        <v>5687</v>
      </c>
    </row>
    <row r="4067" spans="1:27" ht="18">
      <c r="A4067" s="2714"/>
      <c r="B4067" s="371"/>
      <c r="C4067" s="371"/>
      <c r="D4067" s="371"/>
      <c r="E4067" s="2716" t="s">
        <v>2749</v>
      </c>
      <c r="F4067" s="294"/>
      <c r="G4067" s="378" t="s">
        <v>1613</v>
      </c>
      <c r="H4067" s="398" t="s">
        <v>3319</v>
      </c>
      <c r="I4067" s="398" t="s">
        <v>3998</v>
      </c>
      <c r="J4067" s="398" t="s">
        <v>3999</v>
      </c>
      <c r="K4067" s="398" t="s">
        <v>4000</v>
      </c>
      <c r="L4067" s="2473" t="str">
        <f>$V$3</f>
        <v>2018年12月31日</v>
      </c>
      <c r="M4067" s="398" t="s">
        <v>4001</v>
      </c>
      <c r="N4067" s="398" t="s">
        <v>4002</v>
      </c>
      <c r="O4067" s="379" t="s">
        <v>4003</v>
      </c>
      <c r="P4067" s="398" t="s">
        <v>4004</v>
      </c>
      <c r="Q4067" s="1456" t="str">
        <f>$V$2</f>
        <v>2019年12月31日</v>
      </c>
      <c r="R4067" s="355" t="s">
        <v>5312</v>
      </c>
      <c r="S4067" s="364"/>
      <c r="T4067" s="291"/>
      <c r="Z4067" s="609" t="s">
        <v>4025</v>
      </c>
      <c r="AA4067" s="609" t="s">
        <v>5687</v>
      </c>
    </row>
    <row r="4068" spans="1:27" ht="18">
      <c r="A4068" s="2714"/>
      <c r="B4068" s="371">
        <v>101</v>
      </c>
      <c r="C4068" s="371"/>
      <c r="D4068" s="2716">
        <f t="shared" ref="D4068:D4076" si="457">IF(OR(G4068="*",G4068="",G4068=0),0,COUNTIF($G$4068:$G$4076,G4068))</f>
        <v>1</v>
      </c>
      <c r="E4068" s="2721" t="s">
        <v>41</v>
      </c>
      <c r="F4068" s="294"/>
      <c r="G4068" s="380" t="s">
        <v>4029</v>
      </c>
      <c r="H4068" s="383"/>
      <c r="I4068" s="469"/>
      <c r="J4068" s="469"/>
      <c r="K4068" s="383"/>
      <c r="L4068" s="383"/>
      <c r="M4068" s="383"/>
      <c r="N4068" s="383"/>
      <c r="O4068" s="381"/>
      <c r="P4068" s="383"/>
      <c r="Q4068" s="401"/>
      <c r="R4068" s="367"/>
      <c r="S4068" s="364"/>
      <c r="T4068" s="291"/>
      <c r="Z4068" s="609" t="s">
        <v>4025</v>
      </c>
      <c r="AA4068" s="609" t="s">
        <v>5687</v>
      </c>
    </row>
    <row r="4069" spans="1:27" ht="18">
      <c r="A4069" s="2714"/>
      <c r="B4069" s="371">
        <v>101.001</v>
      </c>
      <c r="C4069" s="371" t="s">
        <v>2791</v>
      </c>
      <c r="D4069" s="2716">
        <f t="shared" si="457"/>
        <v>0</v>
      </c>
      <c r="E4069" s="2721" t="s">
        <v>4017</v>
      </c>
      <c r="F4069" s="294"/>
      <c r="G4069" s="409" t="s">
        <v>2792</v>
      </c>
      <c r="H4069" s="383"/>
      <c r="I4069" s="469"/>
      <c r="J4069" s="469"/>
      <c r="K4069" s="383"/>
      <c r="L4069" s="383"/>
      <c r="M4069" s="383"/>
      <c r="N4069" s="383"/>
      <c r="O4069" s="381"/>
      <c r="P4069" s="383"/>
      <c r="Q4069" s="401">
        <f t="shared" ref="Q4069:Q4073" si="458">SUM(L4069:N4069,O4069,-P4069)</f>
        <v>0</v>
      </c>
      <c r="R4069" s="367"/>
      <c r="S4069" s="364"/>
      <c r="T4069" s="291"/>
      <c r="Z4069" s="609" t="s">
        <v>4025</v>
      </c>
      <c r="AA4069" s="609" t="s">
        <v>5687</v>
      </c>
    </row>
    <row r="4070" spans="1:27" ht="18">
      <c r="A4070" s="2714"/>
      <c r="B4070" s="371">
        <v>101.002</v>
      </c>
      <c r="C4070" s="371" t="s">
        <v>2791</v>
      </c>
      <c r="D4070" s="2716">
        <f t="shared" si="457"/>
        <v>0</v>
      </c>
      <c r="E4070" s="2721" t="s">
        <v>4017</v>
      </c>
      <c r="F4070" s="294"/>
      <c r="G4070" s="409" t="s">
        <v>2792</v>
      </c>
      <c r="H4070" s="383"/>
      <c r="I4070" s="469"/>
      <c r="J4070" s="469"/>
      <c r="K4070" s="383"/>
      <c r="L4070" s="383"/>
      <c r="M4070" s="383"/>
      <c r="N4070" s="383"/>
      <c r="O4070" s="381"/>
      <c r="P4070" s="383"/>
      <c r="Q4070" s="401">
        <f t="shared" si="458"/>
        <v>0</v>
      </c>
      <c r="R4070" s="367"/>
      <c r="S4070" s="364"/>
      <c r="T4070" s="291"/>
      <c r="Z4070" s="609" t="s">
        <v>4025</v>
      </c>
      <c r="AA4070" s="609" t="s">
        <v>5687</v>
      </c>
    </row>
    <row r="4071" spans="1:27" ht="18">
      <c r="A4071" s="2714"/>
      <c r="B4071" s="371">
        <v>101.003</v>
      </c>
      <c r="C4071" s="371" t="s">
        <v>2791</v>
      </c>
      <c r="D4071" s="2716">
        <f t="shared" si="457"/>
        <v>0</v>
      </c>
      <c r="E4071" s="2721" t="s">
        <v>4017</v>
      </c>
      <c r="F4071" s="294"/>
      <c r="G4071" s="409" t="s">
        <v>2792</v>
      </c>
      <c r="H4071" s="383"/>
      <c r="I4071" s="469"/>
      <c r="J4071" s="469"/>
      <c r="K4071" s="383"/>
      <c r="L4071" s="383"/>
      <c r="M4071" s="383"/>
      <c r="N4071" s="383"/>
      <c r="O4071" s="381"/>
      <c r="P4071" s="383"/>
      <c r="Q4071" s="401">
        <f t="shared" si="458"/>
        <v>0</v>
      </c>
      <c r="R4071" s="367"/>
      <c r="S4071" s="364"/>
      <c r="T4071" s="291"/>
      <c r="Z4071" s="609" t="s">
        <v>4025</v>
      </c>
      <c r="AA4071" s="609" t="s">
        <v>5687</v>
      </c>
    </row>
    <row r="4072" spans="1:27" ht="18">
      <c r="A4072" s="2714"/>
      <c r="B4072" s="371">
        <v>101.004</v>
      </c>
      <c r="C4072" s="371" t="s">
        <v>2791</v>
      </c>
      <c r="D4072" s="2716">
        <f t="shared" si="457"/>
        <v>0</v>
      </c>
      <c r="E4072" s="2721" t="s">
        <v>4017</v>
      </c>
      <c r="F4072" s="294"/>
      <c r="G4072" s="409" t="s">
        <v>2792</v>
      </c>
      <c r="H4072" s="383"/>
      <c r="I4072" s="469"/>
      <c r="J4072" s="469"/>
      <c r="K4072" s="383"/>
      <c r="L4072" s="383"/>
      <c r="M4072" s="383"/>
      <c r="N4072" s="383"/>
      <c r="O4072" s="381"/>
      <c r="P4072" s="383"/>
      <c r="Q4072" s="401">
        <f t="shared" si="458"/>
        <v>0</v>
      </c>
      <c r="R4072" s="367"/>
      <c r="S4072" s="364"/>
      <c r="T4072" s="291"/>
      <c r="Z4072" s="609" t="s">
        <v>4025</v>
      </c>
      <c r="AA4072" s="609" t="s">
        <v>5687</v>
      </c>
    </row>
    <row r="4073" spans="1:27" ht="18">
      <c r="A4073" s="2714"/>
      <c r="B4073" s="371">
        <v>101.005</v>
      </c>
      <c r="C4073" s="371" t="s">
        <v>2791</v>
      </c>
      <c r="D4073" s="2716">
        <f t="shared" si="457"/>
        <v>0</v>
      </c>
      <c r="E4073" s="2721" t="s">
        <v>4017</v>
      </c>
      <c r="F4073" s="294"/>
      <c r="G4073" s="409" t="s">
        <v>2792</v>
      </c>
      <c r="H4073" s="383"/>
      <c r="I4073" s="469"/>
      <c r="J4073" s="469"/>
      <c r="K4073" s="383"/>
      <c r="L4073" s="383"/>
      <c r="M4073" s="383"/>
      <c r="N4073" s="383"/>
      <c r="O4073" s="381"/>
      <c r="P4073" s="383"/>
      <c r="Q4073" s="401">
        <f t="shared" si="458"/>
        <v>0</v>
      </c>
      <c r="R4073" s="367"/>
      <c r="S4073" s="364"/>
      <c r="T4073" s="291"/>
      <c r="Z4073" s="609" t="s">
        <v>4025</v>
      </c>
      <c r="AA4073" s="609" t="s">
        <v>5687</v>
      </c>
    </row>
    <row r="4074" spans="1:27" ht="18">
      <c r="A4074" s="2714"/>
      <c r="B4074" s="371">
        <v>101.999</v>
      </c>
      <c r="C4074" s="371" t="s">
        <v>2793</v>
      </c>
      <c r="D4074" s="2716">
        <f t="shared" si="457"/>
        <v>1</v>
      </c>
      <c r="E4074" s="2721">
        <v>1</v>
      </c>
      <c r="F4074" s="294"/>
      <c r="G4074" s="385" t="s">
        <v>4017</v>
      </c>
      <c r="H4074" s="386">
        <f>SUMIF($E$4067:$E$4075,$G4074,H$4067:H$4075)</f>
        <v>0</v>
      </c>
      <c r="I4074" s="469"/>
      <c r="J4074" s="469"/>
      <c r="K4074" s="386">
        <f t="shared" ref="K4074:Q4074" si="459">SUMIF($E$4067:$E$4075,$G4074,K$4067:K$4075)</f>
        <v>0</v>
      </c>
      <c r="L4074" s="386">
        <f t="shared" si="459"/>
        <v>0</v>
      </c>
      <c r="M4074" s="386">
        <f t="shared" si="459"/>
        <v>0</v>
      </c>
      <c r="N4074" s="386">
        <f t="shared" si="459"/>
        <v>0</v>
      </c>
      <c r="O4074" s="386">
        <f t="shared" si="459"/>
        <v>0</v>
      </c>
      <c r="P4074" s="386">
        <f t="shared" si="459"/>
        <v>0</v>
      </c>
      <c r="Q4074" s="402">
        <f t="shared" si="459"/>
        <v>0</v>
      </c>
      <c r="R4074" s="367"/>
      <c r="S4074" s="364"/>
      <c r="T4074" s="291"/>
      <c r="Z4074" s="609" t="s">
        <v>4025</v>
      </c>
      <c r="AA4074" s="609" t="s">
        <v>5687</v>
      </c>
    </row>
    <row r="4075" spans="1:27" ht="18">
      <c r="A4075" s="2714"/>
      <c r="B4075" s="371">
        <v>102</v>
      </c>
      <c r="C4075" s="371" t="s">
        <v>2791</v>
      </c>
      <c r="D4075" s="2716">
        <f t="shared" si="457"/>
        <v>1</v>
      </c>
      <c r="E4075" s="2721">
        <v>-1</v>
      </c>
      <c r="F4075" s="294"/>
      <c r="G4075" s="409" t="s">
        <v>4027</v>
      </c>
      <c r="H4075" s="383"/>
      <c r="I4075" s="469"/>
      <c r="J4075" s="469"/>
      <c r="K4075" s="383"/>
      <c r="L4075" s="383"/>
      <c r="M4075" s="383"/>
      <c r="N4075" s="383"/>
      <c r="O4075" s="381"/>
      <c r="P4075" s="383"/>
      <c r="Q4075" s="401">
        <f>SUM(L4075:N4075,O4075,-P4075)</f>
        <v>0</v>
      </c>
      <c r="R4075" s="367"/>
      <c r="S4075" s="364"/>
      <c r="T4075" s="291"/>
      <c r="Z4075" s="609" t="s">
        <v>4025</v>
      </c>
      <c r="AA4075" s="609" t="s">
        <v>5687</v>
      </c>
    </row>
    <row r="4076" spans="1:27" ht="18.75" thickBot="1">
      <c r="A4076" s="2714"/>
      <c r="B4076" s="371"/>
      <c r="C4076" s="371"/>
      <c r="D4076" s="2716">
        <f t="shared" si="457"/>
        <v>1</v>
      </c>
      <c r="E4076" s="2721" t="s">
        <v>2751</v>
      </c>
      <c r="F4076" s="294"/>
      <c r="G4076" s="403" t="s">
        <v>2752</v>
      </c>
      <c r="H4076" s="404">
        <f>SUMPRODUCT($E4067:$E4075,H4067:H4075)</f>
        <v>0</v>
      </c>
      <c r="I4076" s="512"/>
      <c r="J4076" s="512"/>
      <c r="K4076" s="404">
        <f t="shared" ref="K4076:Q4076" si="460">SUMPRODUCT($E4067:$E4075,K4067:K4075)</f>
        <v>0</v>
      </c>
      <c r="L4076" s="404">
        <f t="shared" si="460"/>
        <v>0</v>
      </c>
      <c r="M4076" s="404">
        <f t="shared" si="460"/>
        <v>0</v>
      </c>
      <c r="N4076" s="404">
        <f t="shared" si="460"/>
        <v>0</v>
      </c>
      <c r="O4076" s="404">
        <f t="shared" si="460"/>
        <v>0</v>
      </c>
      <c r="P4076" s="404">
        <f t="shared" si="460"/>
        <v>0</v>
      </c>
      <c r="Q4076" s="413">
        <f t="shared" si="460"/>
        <v>0</v>
      </c>
      <c r="R4076" s="367"/>
      <c r="S4076" s="364"/>
      <c r="T4076" s="291"/>
      <c r="Z4076" s="609" t="s">
        <v>4025</v>
      </c>
      <c r="AA4076" s="609" t="s">
        <v>5687</v>
      </c>
    </row>
    <row r="4077" spans="1:27" ht="18">
      <c r="A4077" s="2714"/>
      <c r="B4077" s="371"/>
      <c r="C4077" s="371" t="s">
        <v>2755</v>
      </c>
      <c r="D4077" s="371"/>
      <c r="F4077" s="294"/>
      <c r="G4077" s="301"/>
      <c r="H4077" s="315"/>
      <c r="I4077" s="393"/>
      <c r="J4077" s="393"/>
      <c r="K4077" s="315"/>
      <c r="L4077" s="527" t="s">
        <v>3002</v>
      </c>
      <c r="M4077" s="315"/>
      <c r="N4077" s="315"/>
      <c r="O4077" s="315"/>
      <c r="P4077" s="315"/>
      <c r="Q4077" s="528" t="s">
        <v>3002</v>
      </c>
      <c r="R4077" s="367"/>
      <c r="S4077" s="364"/>
      <c r="T4077" s="291"/>
      <c r="Z4077" s="609" t="s">
        <v>4025</v>
      </c>
      <c r="AA4077" s="609" t="s">
        <v>5687</v>
      </c>
    </row>
    <row r="4078" spans="1:27" ht="48">
      <c r="A4078" s="2714" t="s">
        <v>1671</v>
      </c>
      <c r="B4078" s="371">
        <v>3</v>
      </c>
      <c r="C4078" s="371"/>
      <c r="D4078" s="2716" t="str">
        <f>VLOOKUP($A4078,Sheet_NoteList,2,0)</f>
        <v>划分为金融负债的其他金融工具说明（期末发行在外的优先股、永续债等其他金融工具的基本情况表）</v>
      </c>
      <c r="E4078" s="2716" t="s">
        <v>2742</v>
      </c>
      <c r="F4078" s="294"/>
      <c r="G4078" s="372" t="str">
        <f>"("&amp;B4078&amp;")"&amp;D4078</f>
        <v>(3)划分为金融负债的其他金融工具说明（期末发行在外的优先股、永续债等其他金融工具的基本情况表）</v>
      </c>
      <c r="H4078" s="1517" t="str">
        <f>$A4078</f>
        <v>2502d</v>
      </c>
      <c r="I4078" s="343" t="s">
        <v>2743</v>
      </c>
      <c r="J4078" s="301" t="s">
        <v>2744</v>
      </c>
      <c r="K4078" s="2210">
        <f>N4086</f>
        <v>0</v>
      </c>
      <c r="L4078" s="345"/>
      <c r="M4078" s="301"/>
      <c r="N4078" s="391"/>
      <c r="O4078" s="345"/>
      <c r="P4078" s="301"/>
      <c r="Q4078" s="290" t="str">
        <f>IF($I4078="不适用","",IF(ROUND(SUM($H$4081:$O$4086),2)=0,"请输入",""))</f>
        <v>请输入</v>
      </c>
      <c r="S4078" s="364"/>
      <c r="Z4078" s="609" t="s">
        <v>4025</v>
      </c>
      <c r="AA4078" s="609" t="s">
        <v>5687</v>
      </c>
    </row>
    <row r="4079" spans="1:27" ht="0.75" customHeight="1" thickBot="1">
      <c r="A4079" s="2714"/>
      <c r="B4079" s="371"/>
      <c r="C4079" s="371"/>
      <c r="D4079" s="371"/>
      <c r="E4079" s="586"/>
      <c r="F4079" s="586"/>
      <c r="G4079" s="586" t="s">
        <v>4030</v>
      </c>
      <c r="H4079" s="371" t="s">
        <v>4031</v>
      </c>
      <c r="I4079" s="371" t="s">
        <v>4032</v>
      </c>
      <c r="J4079" s="371" t="s">
        <v>4033</v>
      </c>
      <c r="K4079" s="371" t="s">
        <v>4034</v>
      </c>
      <c r="L4079" s="371" t="s">
        <v>4035</v>
      </c>
      <c r="M4079" s="371" t="s">
        <v>4036</v>
      </c>
      <c r="N4079" s="371" t="s">
        <v>4037</v>
      </c>
      <c r="O4079" s="371" t="s">
        <v>4038</v>
      </c>
      <c r="P4079" s="371" t="s">
        <v>4039</v>
      </c>
      <c r="S4079" s="364"/>
      <c r="Z4079" s="609" t="s">
        <v>4025</v>
      </c>
      <c r="AA4079" s="609" t="s">
        <v>5687</v>
      </c>
    </row>
    <row r="4080" spans="1:27" ht="24">
      <c r="A4080" s="2714"/>
      <c r="B4080" s="371"/>
      <c r="C4080" s="371"/>
      <c r="D4080" s="371"/>
      <c r="E4080" s="586" t="s">
        <v>2749</v>
      </c>
      <c r="F4080" s="363"/>
      <c r="G4080" s="2400" t="s">
        <v>1673</v>
      </c>
      <c r="H4080" s="2401" t="s">
        <v>4040</v>
      </c>
      <c r="I4080" s="2401" t="s">
        <v>4041</v>
      </c>
      <c r="J4080" s="2401" t="s">
        <v>4042</v>
      </c>
      <c r="K4080" s="2401" t="s">
        <v>4043</v>
      </c>
      <c r="L4080" s="2401" t="s">
        <v>2887</v>
      </c>
      <c r="M4080" s="2401" t="s">
        <v>4044</v>
      </c>
      <c r="N4080" s="2401" t="s">
        <v>4045</v>
      </c>
      <c r="O4080" s="2407" t="s">
        <v>4046</v>
      </c>
      <c r="P4080" s="355" t="s">
        <v>5312</v>
      </c>
      <c r="R4080" s="364"/>
      <c r="S4080" s="288"/>
      <c r="Z4080" s="609" t="s">
        <v>4025</v>
      </c>
      <c r="AA4080" s="609" t="s">
        <v>5687</v>
      </c>
    </row>
    <row r="4081" spans="1:27" ht="18">
      <c r="A4081" s="2714"/>
      <c r="B4081" s="371">
        <v>101</v>
      </c>
      <c r="C4081" s="371" t="s">
        <v>2791</v>
      </c>
      <c r="D4081" s="2716">
        <f t="shared" ref="D4081:D4086" si="461">IF(OR(G4081="*",G4081="",G4081=0),0,COUNTIF($G$4081:$G$4086,G4081))</f>
        <v>0</v>
      </c>
      <c r="E4081" s="2721">
        <v>1</v>
      </c>
      <c r="F4081" s="294"/>
      <c r="G4081" s="2406" t="s">
        <v>2792</v>
      </c>
      <c r="H4081" s="2298"/>
      <c r="I4081" s="2298"/>
      <c r="J4081" s="2298"/>
      <c r="K4081" s="2275"/>
      <c r="L4081" s="2595">
        <f>J4081*K4081</f>
        <v>0</v>
      </c>
      <c r="M4081" s="2275"/>
      <c r="N4081" s="2298"/>
      <c r="O4081" s="2276"/>
      <c r="P4081" s="290"/>
      <c r="S4081" s="364"/>
      <c r="Z4081" s="609" t="s">
        <v>4025</v>
      </c>
      <c r="AA4081" s="609" t="s">
        <v>5687</v>
      </c>
    </row>
    <row r="4082" spans="1:27" ht="18">
      <c r="A4082" s="2714"/>
      <c r="B4082" s="371">
        <v>102</v>
      </c>
      <c r="C4082" s="371" t="s">
        <v>2791</v>
      </c>
      <c r="D4082" s="2716">
        <f t="shared" si="461"/>
        <v>0</v>
      </c>
      <c r="E4082" s="2721">
        <v>1</v>
      </c>
      <c r="F4082" s="294"/>
      <c r="G4082" s="2406" t="s">
        <v>2792</v>
      </c>
      <c r="H4082" s="2298"/>
      <c r="I4082" s="2298"/>
      <c r="J4082" s="2298"/>
      <c r="K4082" s="2275"/>
      <c r="L4082" s="2595">
        <f>J4082*K4082</f>
        <v>0</v>
      </c>
      <c r="M4082" s="2275"/>
      <c r="N4082" s="2298"/>
      <c r="O4082" s="2276"/>
      <c r="P4082" s="290"/>
      <c r="S4082" s="364"/>
      <c r="Z4082" s="609" t="s">
        <v>4025</v>
      </c>
      <c r="AA4082" s="609" t="s">
        <v>5687</v>
      </c>
    </row>
    <row r="4083" spans="1:27" ht="18">
      <c r="A4083" s="2714"/>
      <c r="B4083" s="371">
        <v>103</v>
      </c>
      <c r="C4083" s="371" t="s">
        <v>2791</v>
      </c>
      <c r="D4083" s="2716">
        <f t="shared" si="461"/>
        <v>0</v>
      </c>
      <c r="E4083" s="2721">
        <v>1</v>
      </c>
      <c r="F4083" s="294"/>
      <c r="G4083" s="2406" t="s">
        <v>2792</v>
      </c>
      <c r="H4083" s="2298"/>
      <c r="I4083" s="2298"/>
      <c r="J4083" s="2298"/>
      <c r="K4083" s="2275"/>
      <c r="L4083" s="2595">
        <f>J4083*K4083</f>
        <v>0</v>
      </c>
      <c r="M4083" s="2275"/>
      <c r="N4083" s="2298"/>
      <c r="O4083" s="2276"/>
      <c r="P4083" s="290"/>
      <c r="S4083" s="364"/>
      <c r="Z4083" s="609" t="s">
        <v>4025</v>
      </c>
      <c r="AA4083" s="609" t="s">
        <v>5687</v>
      </c>
    </row>
    <row r="4084" spans="1:27" ht="18">
      <c r="A4084" s="2714"/>
      <c r="B4084" s="371">
        <v>104</v>
      </c>
      <c r="C4084" s="371" t="s">
        <v>2791</v>
      </c>
      <c r="D4084" s="2716">
        <f t="shared" si="461"/>
        <v>0</v>
      </c>
      <c r="E4084" s="2721">
        <v>1</v>
      </c>
      <c r="F4084" s="294"/>
      <c r="G4084" s="2406" t="s">
        <v>2792</v>
      </c>
      <c r="H4084" s="2298"/>
      <c r="I4084" s="2298"/>
      <c r="J4084" s="2298"/>
      <c r="K4084" s="2275"/>
      <c r="L4084" s="2595">
        <f>J4084*K4084</f>
        <v>0</v>
      </c>
      <c r="M4084" s="2275"/>
      <c r="N4084" s="2298"/>
      <c r="O4084" s="2276"/>
      <c r="P4084" s="290"/>
      <c r="S4084" s="364"/>
      <c r="Z4084" s="609" t="s">
        <v>4025</v>
      </c>
      <c r="AA4084" s="609" t="s">
        <v>5687</v>
      </c>
    </row>
    <row r="4085" spans="1:27" ht="18">
      <c r="A4085" s="2714"/>
      <c r="B4085" s="371">
        <v>105</v>
      </c>
      <c r="C4085" s="371" t="s">
        <v>2791</v>
      </c>
      <c r="D4085" s="2716">
        <f t="shared" si="461"/>
        <v>0</v>
      </c>
      <c r="E4085" s="2721">
        <v>1</v>
      </c>
      <c r="F4085" s="294"/>
      <c r="G4085" s="2406" t="s">
        <v>2792</v>
      </c>
      <c r="H4085" s="2298"/>
      <c r="I4085" s="2298"/>
      <c r="J4085" s="2298"/>
      <c r="K4085" s="2275"/>
      <c r="L4085" s="2595">
        <f>J4085*K4085</f>
        <v>0</v>
      </c>
      <c r="M4085" s="2275"/>
      <c r="N4085" s="2298"/>
      <c r="O4085" s="2276"/>
      <c r="P4085" s="290"/>
      <c r="S4085" s="364"/>
      <c r="Z4085" s="609" t="s">
        <v>4025</v>
      </c>
      <c r="AA4085" s="609" t="s">
        <v>5687</v>
      </c>
    </row>
    <row r="4086" spans="1:27" ht="18.75" thickBot="1">
      <c r="A4086" s="2714"/>
      <c r="B4086" s="371"/>
      <c r="C4086" s="371"/>
      <c r="D4086" s="2716">
        <f t="shared" si="461"/>
        <v>1</v>
      </c>
      <c r="E4086" s="2721" t="s">
        <v>2751</v>
      </c>
      <c r="F4086" s="294"/>
      <c r="G4086" s="2234" t="s">
        <v>2752</v>
      </c>
      <c r="H4086" s="2241"/>
      <c r="I4086" s="2241"/>
      <c r="J4086" s="2241"/>
      <c r="K4086" s="2308"/>
      <c r="L4086" s="2596">
        <f>SUMPRODUCT($E4080:$E4085,L4080:L4085)</f>
        <v>0</v>
      </c>
      <c r="M4086" s="2308"/>
      <c r="N4086" s="2241"/>
      <c r="O4086" s="2244"/>
      <c r="P4086" s="290"/>
      <c r="S4086" s="364"/>
      <c r="Z4086" s="609" t="s">
        <v>4025</v>
      </c>
      <c r="AA4086" s="609" t="s">
        <v>5687</v>
      </c>
    </row>
    <row r="4087" spans="1:27" ht="18">
      <c r="A4087" s="2714"/>
      <c r="B4087" s="371"/>
      <c r="C4087" s="371" t="s">
        <v>2755</v>
      </c>
      <c r="D4087" s="371"/>
      <c r="F4087" s="294"/>
      <c r="G4087" s="301"/>
      <c r="H4087" s="393"/>
      <c r="I4087" s="393"/>
      <c r="J4087" s="393"/>
      <c r="K4087" s="315"/>
      <c r="L4087" s="393"/>
      <c r="M4087" s="315"/>
      <c r="N4087" s="393"/>
      <c r="O4087" s="393"/>
      <c r="P4087" s="393"/>
      <c r="S4087" s="364"/>
      <c r="Z4087" s="609" t="s">
        <v>4025</v>
      </c>
      <c r="AA4087" s="609" t="s">
        <v>5687</v>
      </c>
    </row>
    <row r="4088" spans="1:27" ht="48">
      <c r="A4088" s="2714" t="s">
        <v>1677</v>
      </c>
      <c r="B4088" s="371">
        <v>4</v>
      </c>
      <c r="C4088" s="371"/>
      <c r="D4088" s="2716" t="str">
        <f>VLOOKUP($A4088,Sheet_NoteList,2,0)</f>
        <v>划分为金融负债的其他金融工具说明（期末发行在外的优先股、永续债等其他金融工具变动情况表）</v>
      </c>
      <c r="E4088" s="2716" t="s">
        <v>2742</v>
      </c>
      <c r="F4088" s="294"/>
      <c r="G4088" s="372" t="str">
        <f>"("&amp;B4088&amp;")"&amp;D4088</f>
        <v>(4)划分为金融负债的其他金融工具说明（期末发行在外的优先股、永续债等其他金融工具变动情况表）</v>
      </c>
      <c r="H4088" s="1517" t="str">
        <f>$A4088</f>
        <v>2502c</v>
      </c>
      <c r="I4088" s="343" t="s">
        <v>2743</v>
      </c>
      <c r="J4088" s="301" t="s">
        <v>2744</v>
      </c>
      <c r="K4088" s="2210">
        <f>O4098</f>
        <v>0</v>
      </c>
      <c r="L4088" s="345"/>
      <c r="M4088" s="301" t="s">
        <v>2745</v>
      </c>
      <c r="N4088" s="2210">
        <f>I4098</f>
        <v>0</v>
      </c>
      <c r="O4088" s="345"/>
      <c r="P4088" s="301"/>
      <c r="Q4088" s="290" t="str">
        <f>IF($I4088="不适用","",IF(ROUND(SUM($H$4093:$O$4098),2)=0,"请输入",""))</f>
        <v>请输入</v>
      </c>
      <c r="S4088" s="364"/>
      <c r="Z4088" s="609" t="s">
        <v>4025</v>
      </c>
      <c r="AA4088" s="609" t="s">
        <v>5687</v>
      </c>
    </row>
    <row r="4089" spans="1:27" ht="0.75" customHeight="1">
      <c r="A4089" s="2714"/>
      <c r="B4089" s="371"/>
      <c r="C4089" s="371"/>
      <c r="D4089" s="371"/>
      <c r="F4089" s="371"/>
      <c r="G4089" s="371" t="s">
        <v>4047</v>
      </c>
      <c r="H4089" s="371" t="s">
        <v>4048</v>
      </c>
      <c r="I4089" s="371" t="s">
        <v>4049</v>
      </c>
      <c r="J4089" s="371" t="s">
        <v>4050</v>
      </c>
      <c r="K4089" s="371" t="s">
        <v>4051</v>
      </c>
      <c r="L4089" s="371" t="s">
        <v>4052</v>
      </c>
      <c r="M4089" s="371" t="s">
        <v>4053</v>
      </c>
      <c r="N4089" s="371" t="s">
        <v>4054</v>
      </c>
      <c r="O4089" s="371" t="s">
        <v>4055</v>
      </c>
      <c r="S4089" s="364"/>
      <c r="Z4089" s="609" t="s">
        <v>4025</v>
      </c>
      <c r="AA4089" s="609" t="s">
        <v>5687</v>
      </c>
    </row>
    <row r="4090" spans="1:27" ht="0.75" customHeight="1" thickBot="1">
      <c r="A4090" s="2714"/>
      <c r="B4090" s="371"/>
      <c r="C4090" s="371"/>
      <c r="D4090" s="371"/>
      <c r="F4090" s="371"/>
      <c r="G4090" s="371"/>
      <c r="H4090" s="371" t="s">
        <v>4056</v>
      </c>
      <c r="I4090" s="371" t="s">
        <v>3215</v>
      </c>
      <c r="J4090" s="371" t="s">
        <v>4057</v>
      </c>
      <c r="K4090" s="371" t="s">
        <v>4058</v>
      </c>
      <c r="L4090" s="371" t="s">
        <v>4059</v>
      </c>
      <c r="M4090" s="371" t="s">
        <v>4060</v>
      </c>
      <c r="N4090" s="371" t="s">
        <v>4061</v>
      </c>
      <c r="O4090" s="371" t="s">
        <v>2857</v>
      </c>
      <c r="S4090" s="364"/>
      <c r="Z4090" s="609" t="s">
        <v>4025</v>
      </c>
      <c r="AA4090" s="609" t="s">
        <v>5687</v>
      </c>
    </row>
    <row r="4091" spans="1:27" ht="16.5" customHeight="1">
      <c r="A4091" s="2714"/>
      <c r="B4091" s="371"/>
      <c r="C4091" s="371"/>
      <c r="D4091" s="371"/>
      <c r="E4091" s="2716" t="s">
        <v>2749</v>
      </c>
      <c r="F4091" s="294"/>
      <c r="G4091" s="3493" t="s">
        <v>1673</v>
      </c>
      <c r="H4091" s="3400" t="str">
        <f>$V$3</f>
        <v>2018年12月31日</v>
      </c>
      <c r="I4091" s="3402"/>
      <c r="J4091" s="3390" t="s">
        <v>3027</v>
      </c>
      <c r="K4091" s="3390"/>
      <c r="L4091" s="3390" t="s">
        <v>3028</v>
      </c>
      <c r="M4091" s="3390"/>
      <c r="N4091" s="3400" t="str">
        <f>$V$2</f>
        <v>2019年12月31日</v>
      </c>
      <c r="O4091" s="3401"/>
      <c r="P4091" s="355" t="s">
        <v>5312</v>
      </c>
      <c r="S4091" s="364"/>
      <c r="Z4091" s="609" t="s">
        <v>4025</v>
      </c>
      <c r="AA4091" s="609" t="s">
        <v>5687</v>
      </c>
    </row>
    <row r="4092" spans="1:27" ht="18">
      <c r="A4092" s="2714"/>
      <c r="B4092" s="371"/>
      <c r="C4092" s="371"/>
      <c r="D4092" s="371"/>
      <c r="E4092" s="2716" t="s">
        <v>2749</v>
      </c>
      <c r="F4092" s="294"/>
      <c r="G4092" s="3494"/>
      <c r="H4092" s="502" t="s">
        <v>4043</v>
      </c>
      <c r="I4092" s="502" t="s">
        <v>2863</v>
      </c>
      <c r="J4092" s="502" t="s">
        <v>4043</v>
      </c>
      <c r="K4092" s="502" t="s">
        <v>2863</v>
      </c>
      <c r="L4092" s="502" t="s">
        <v>4043</v>
      </c>
      <c r="M4092" s="502" t="s">
        <v>2863</v>
      </c>
      <c r="N4092" s="502" t="s">
        <v>4043</v>
      </c>
      <c r="O4092" s="508" t="s">
        <v>2863</v>
      </c>
      <c r="S4092" s="364"/>
      <c r="Z4092" s="609" t="s">
        <v>4025</v>
      </c>
      <c r="AA4092" s="609" t="s">
        <v>5687</v>
      </c>
    </row>
    <row r="4093" spans="1:27" ht="18">
      <c r="A4093" s="2714"/>
      <c r="B4093" s="371">
        <v>101</v>
      </c>
      <c r="C4093" s="371" t="s">
        <v>2791</v>
      </c>
      <c r="D4093" s="2716">
        <f t="shared" ref="D4093:D4098" si="462">IF(OR(G4093="*",G4093="",G4093=0),0,COUNTIF($G$4093:$G$4098,G4093))</f>
        <v>0</v>
      </c>
      <c r="E4093" s="2721">
        <v>1</v>
      </c>
      <c r="F4093" s="294"/>
      <c r="G4093" s="319" t="s">
        <v>2792</v>
      </c>
      <c r="H4093" s="309"/>
      <c r="I4093" s="309"/>
      <c r="J4093" s="309"/>
      <c r="K4093" s="309"/>
      <c r="L4093" s="320"/>
      <c r="M4093" s="309"/>
      <c r="N4093" s="309">
        <f t="shared" ref="N4093:O4097" si="463">SUM(H4093,J4093,-L4093)</f>
        <v>0</v>
      </c>
      <c r="O4093" s="346">
        <f t="shared" si="463"/>
        <v>0</v>
      </c>
      <c r="S4093" s="364"/>
      <c r="Z4093" s="609" t="s">
        <v>4025</v>
      </c>
      <c r="AA4093" s="609" t="s">
        <v>5687</v>
      </c>
    </row>
    <row r="4094" spans="1:27" ht="18">
      <c r="A4094" s="2714"/>
      <c r="B4094" s="371">
        <v>102</v>
      </c>
      <c r="C4094" s="371" t="s">
        <v>2791</v>
      </c>
      <c r="D4094" s="2716">
        <f t="shared" si="462"/>
        <v>0</v>
      </c>
      <c r="E4094" s="2721">
        <v>1</v>
      </c>
      <c r="F4094" s="294"/>
      <c r="G4094" s="319" t="s">
        <v>2792</v>
      </c>
      <c r="H4094" s="309"/>
      <c r="I4094" s="309"/>
      <c r="J4094" s="309"/>
      <c r="K4094" s="309"/>
      <c r="L4094" s="320"/>
      <c r="M4094" s="309"/>
      <c r="N4094" s="309">
        <f t="shared" si="463"/>
        <v>0</v>
      </c>
      <c r="O4094" s="346">
        <f t="shared" si="463"/>
        <v>0</v>
      </c>
      <c r="S4094" s="364"/>
      <c r="Z4094" s="609" t="s">
        <v>4025</v>
      </c>
      <c r="AA4094" s="609" t="s">
        <v>5687</v>
      </c>
    </row>
    <row r="4095" spans="1:27" ht="18">
      <c r="A4095" s="2714"/>
      <c r="B4095" s="371">
        <v>103</v>
      </c>
      <c r="C4095" s="371" t="s">
        <v>2791</v>
      </c>
      <c r="D4095" s="2716">
        <f t="shared" si="462"/>
        <v>0</v>
      </c>
      <c r="E4095" s="2721">
        <v>1</v>
      </c>
      <c r="F4095" s="294"/>
      <c r="G4095" s="319" t="s">
        <v>2792</v>
      </c>
      <c r="H4095" s="309"/>
      <c r="I4095" s="309"/>
      <c r="J4095" s="309"/>
      <c r="K4095" s="309"/>
      <c r="L4095" s="320"/>
      <c r="M4095" s="309"/>
      <c r="N4095" s="309">
        <f>SUM(H4095,J4095,-L4095)</f>
        <v>0</v>
      </c>
      <c r="O4095" s="346">
        <f>SUM(I4095,K4095,-M4095)</f>
        <v>0</v>
      </c>
      <c r="S4095" s="364"/>
      <c r="Z4095" s="609" t="s">
        <v>4025</v>
      </c>
      <c r="AA4095" s="609" t="s">
        <v>5687</v>
      </c>
    </row>
    <row r="4096" spans="1:27" ht="18">
      <c r="A4096" s="2714"/>
      <c r="B4096" s="371">
        <v>104</v>
      </c>
      <c r="C4096" s="371" t="s">
        <v>2791</v>
      </c>
      <c r="D4096" s="2716">
        <f t="shared" si="462"/>
        <v>0</v>
      </c>
      <c r="E4096" s="2721">
        <v>1</v>
      </c>
      <c r="F4096" s="294"/>
      <c r="G4096" s="319" t="s">
        <v>2792</v>
      </c>
      <c r="H4096" s="309"/>
      <c r="I4096" s="309"/>
      <c r="J4096" s="309"/>
      <c r="K4096" s="309"/>
      <c r="L4096" s="320"/>
      <c r="M4096" s="309"/>
      <c r="N4096" s="309">
        <f>SUM(H4096,J4096,-L4096)</f>
        <v>0</v>
      </c>
      <c r="O4096" s="346">
        <f>SUM(I4096,K4096,-M4096)</f>
        <v>0</v>
      </c>
      <c r="S4096" s="364"/>
      <c r="Z4096" s="609" t="s">
        <v>4025</v>
      </c>
      <c r="AA4096" s="609" t="s">
        <v>5687</v>
      </c>
    </row>
    <row r="4097" spans="1:27" ht="18">
      <c r="A4097" s="2714"/>
      <c r="B4097" s="371">
        <v>105</v>
      </c>
      <c r="C4097" s="371" t="s">
        <v>2791</v>
      </c>
      <c r="D4097" s="2716">
        <f t="shared" si="462"/>
        <v>0</v>
      </c>
      <c r="E4097" s="2721">
        <v>1</v>
      </c>
      <c r="F4097" s="294"/>
      <c r="G4097" s="319" t="s">
        <v>2792</v>
      </c>
      <c r="H4097" s="309"/>
      <c r="I4097" s="309"/>
      <c r="J4097" s="309"/>
      <c r="K4097" s="309"/>
      <c r="L4097" s="320"/>
      <c r="M4097" s="309"/>
      <c r="N4097" s="309">
        <f t="shared" si="463"/>
        <v>0</v>
      </c>
      <c r="O4097" s="346">
        <f t="shared" si="463"/>
        <v>0</v>
      </c>
      <c r="S4097" s="364"/>
      <c r="Z4097" s="609" t="s">
        <v>4025</v>
      </c>
      <c r="AA4097" s="609" t="s">
        <v>5687</v>
      </c>
    </row>
    <row r="4098" spans="1:27" ht="18.75" thickBot="1">
      <c r="A4098" s="2714"/>
      <c r="B4098" s="371"/>
      <c r="C4098" s="371"/>
      <c r="D4098" s="2716">
        <f t="shared" si="462"/>
        <v>1</v>
      </c>
      <c r="E4098" s="2721" t="s">
        <v>2751</v>
      </c>
      <c r="F4098" s="294"/>
      <c r="G4098" s="374" t="s">
        <v>2752</v>
      </c>
      <c r="H4098" s="607"/>
      <c r="I4098" s="607">
        <f t="shared" ref="I4098:O4098" si="464">SUMPRODUCT($E4092:$E4097,I4092:I4097)</f>
        <v>0</v>
      </c>
      <c r="J4098" s="607"/>
      <c r="K4098" s="607">
        <f t="shared" si="464"/>
        <v>0</v>
      </c>
      <c r="L4098" s="607"/>
      <c r="M4098" s="607">
        <f t="shared" si="464"/>
        <v>0</v>
      </c>
      <c r="N4098" s="607"/>
      <c r="O4098" s="608">
        <f t="shared" si="464"/>
        <v>0</v>
      </c>
      <c r="S4098" s="364"/>
      <c r="Z4098" s="609" t="s">
        <v>4025</v>
      </c>
      <c r="AA4098" s="609" t="s">
        <v>5687</v>
      </c>
    </row>
    <row r="4099" spans="1:27" ht="18">
      <c r="A4099" s="2714"/>
      <c r="B4099" s="371"/>
      <c r="C4099" s="371" t="s">
        <v>2755</v>
      </c>
      <c r="D4099" s="371"/>
      <c r="F4099" s="294"/>
      <c r="G4099" s="301"/>
      <c r="H4099" s="349"/>
      <c r="I4099" s="349"/>
      <c r="J4099" s="349"/>
      <c r="K4099" s="349"/>
      <c r="L4099" s="349"/>
      <c r="M4099" s="349"/>
      <c r="N4099" s="349"/>
      <c r="O4099" s="349"/>
      <c r="S4099" s="364"/>
      <c r="Z4099" s="609" t="s">
        <v>4025</v>
      </c>
      <c r="AA4099" s="609" t="s">
        <v>5687</v>
      </c>
    </row>
    <row r="4100" spans="1:27" ht="18">
      <c r="A4100" s="2714" t="s">
        <v>5589</v>
      </c>
      <c r="B4100" s="371">
        <v>5</v>
      </c>
      <c r="C4100" s="371"/>
      <c r="D4100" s="2716" t="str">
        <f>VLOOKUP($A4100,Sheet_NoteList,2,0)</f>
        <v>外币应付债券</v>
      </c>
      <c r="E4100" s="2716" t="s">
        <v>6531</v>
      </c>
      <c r="F4100" s="293"/>
      <c r="G4100" s="372" t="str">
        <f>"("&amp;B4100&amp;")"&amp;D4100</f>
        <v>(5)外币应付债券</v>
      </c>
      <c r="H4100" s="1517" t="str">
        <f>$A4100</f>
        <v>2502e</v>
      </c>
      <c r="I4100" s="343" t="s">
        <v>5596</v>
      </c>
      <c r="J4100" s="301" t="s">
        <v>5597</v>
      </c>
      <c r="K4100" s="2210">
        <f>H4108</f>
        <v>0</v>
      </c>
      <c r="L4100" s="349" t="str">
        <f>IF($I4100="适用",IF(ROUND(K$4054-K4100,2)=0,"F/S",ROUND(K$4054-K4100,2)),"#N/A")</f>
        <v>F/S</v>
      </c>
      <c r="M4100" s="301" t="s">
        <v>5598</v>
      </c>
      <c r="N4100" s="2210">
        <f>I4108</f>
        <v>0</v>
      </c>
      <c r="O4100" s="349" t="str">
        <f>IF($I4100="适用",IF(ROUND(N$4054-N4100,2)=0,"F/S",ROUND(N$4054-N4100,2)),"#N/A")</f>
        <v>F/S</v>
      </c>
      <c r="P4100" s="301"/>
      <c r="S4100" s="364"/>
      <c r="Z4100" s="609" t="s">
        <v>4025</v>
      </c>
      <c r="AA4100" s="609" t="s">
        <v>5687</v>
      </c>
    </row>
    <row r="4101" spans="1:27" ht="0.75" customHeight="1" thickBot="1">
      <c r="A4101" s="2714"/>
      <c r="B4101" s="371"/>
      <c r="C4101" s="371"/>
      <c r="D4101" s="2716"/>
      <c r="F4101" s="371"/>
      <c r="G4101" s="405" t="s">
        <v>5599</v>
      </c>
      <c r="H4101" s="371" t="s">
        <v>3073</v>
      </c>
      <c r="I4101" s="371" t="s">
        <v>3074</v>
      </c>
      <c r="J4101" s="371" t="s">
        <v>3075</v>
      </c>
      <c r="K4101" s="387"/>
      <c r="L4101" s="349"/>
      <c r="M4101" s="301"/>
      <c r="N4101" s="391"/>
      <c r="O4101" s="349"/>
      <c r="P4101" s="301"/>
      <c r="S4101" s="364"/>
      <c r="Z4101" s="609" t="s">
        <v>4025</v>
      </c>
      <c r="AA4101" s="609" t="s">
        <v>5687</v>
      </c>
    </row>
    <row r="4102" spans="1:27" ht="24">
      <c r="A4102" s="2714"/>
      <c r="B4102" s="371"/>
      <c r="C4102" s="371"/>
      <c r="D4102" s="2716"/>
      <c r="E4102" s="2716" t="s">
        <v>2749</v>
      </c>
      <c r="F4102" s="293"/>
      <c r="G4102" s="1635" t="s">
        <v>47</v>
      </c>
      <c r="H4102" s="1631" t="s">
        <v>3076</v>
      </c>
      <c r="I4102" s="1631" t="s">
        <v>3077</v>
      </c>
      <c r="J4102" s="1632" t="s">
        <v>3078</v>
      </c>
      <c r="K4102" s="355" t="s">
        <v>5604</v>
      </c>
      <c r="L4102" s="349"/>
      <c r="M4102" s="301"/>
      <c r="N4102" s="391"/>
      <c r="O4102" s="349"/>
      <c r="P4102" s="301"/>
      <c r="S4102" s="364"/>
      <c r="Z4102" s="609" t="s">
        <v>4025</v>
      </c>
      <c r="AA4102" s="609" t="s">
        <v>5687</v>
      </c>
    </row>
    <row r="4103" spans="1:27" ht="18">
      <c r="A4103" s="2714"/>
      <c r="B4103" s="371">
        <v>101</v>
      </c>
      <c r="C4103" s="371" t="s">
        <v>2791</v>
      </c>
      <c r="D4103" s="2716">
        <f t="shared" ref="D4103:D4108" si="465">IF(OR(G4103="*",G4103="",G4103=0),0,COUNTIF($G$4103:$G$4108,G4103))</f>
        <v>1</v>
      </c>
      <c r="E4103" s="2721">
        <v>1</v>
      </c>
      <c r="F4103" s="293"/>
      <c r="G4103" s="1634" t="s">
        <v>3079</v>
      </c>
      <c r="H4103" s="309"/>
      <c r="I4103" s="360"/>
      <c r="J4103" s="346"/>
      <c r="K4103" s="355" t="s">
        <v>5364</v>
      </c>
      <c r="L4103" s="1522" t="s">
        <v>5365</v>
      </c>
      <c r="M4103" s="301"/>
      <c r="N4103" s="391"/>
      <c r="O4103" s="349"/>
      <c r="P4103" s="301"/>
      <c r="S4103" s="364"/>
      <c r="Z4103" s="609" t="s">
        <v>4025</v>
      </c>
      <c r="AA4103" s="609" t="s">
        <v>5687</v>
      </c>
    </row>
    <row r="4104" spans="1:27" ht="18">
      <c r="A4104" s="2714"/>
      <c r="B4104" s="371">
        <v>102</v>
      </c>
      <c r="C4104" s="371" t="s">
        <v>2791</v>
      </c>
      <c r="D4104" s="2716">
        <f t="shared" si="465"/>
        <v>1</v>
      </c>
      <c r="E4104" s="2721">
        <v>1</v>
      </c>
      <c r="F4104" s="293"/>
      <c r="G4104" s="1634" t="s">
        <v>3080</v>
      </c>
      <c r="H4104" s="1577"/>
      <c r="I4104" s="430"/>
      <c r="J4104" s="346"/>
      <c r="K4104" s="391"/>
      <c r="L4104" s="349"/>
      <c r="M4104" s="301"/>
      <c r="N4104" s="391"/>
      <c r="O4104" s="349"/>
      <c r="P4104" s="301"/>
      <c r="S4104" s="364"/>
      <c r="Z4104" s="609" t="s">
        <v>4025</v>
      </c>
      <c r="AA4104" s="609" t="s">
        <v>5687</v>
      </c>
    </row>
    <row r="4105" spans="1:27" ht="18">
      <c r="A4105" s="2714"/>
      <c r="B4105" s="371">
        <v>103</v>
      </c>
      <c r="C4105" s="371" t="s">
        <v>2791</v>
      </c>
      <c r="D4105" s="2716">
        <f t="shared" si="465"/>
        <v>1</v>
      </c>
      <c r="E4105" s="2721">
        <v>1</v>
      </c>
      <c r="F4105" s="293"/>
      <c r="G4105" s="1634" t="s">
        <v>3081</v>
      </c>
      <c r="H4105" s="1577"/>
      <c r="I4105" s="430"/>
      <c r="J4105" s="346"/>
      <c r="K4105" s="391"/>
      <c r="L4105" s="349"/>
      <c r="M4105" s="301"/>
      <c r="N4105" s="391"/>
      <c r="O4105" s="349"/>
      <c r="P4105" s="301"/>
      <c r="S4105" s="364"/>
      <c r="Z4105" s="609" t="s">
        <v>4025</v>
      </c>
      <c r="AA4105" s="609" t="s">
        <v>5687</v>
      </c>
    </row>
    <row r="4106" spans="1:27" ht="18">
      <c r="A4106" s="2714"/>
      <c r="B4106" s="371">
        <v>104</v>
      </c>
      <c r="C4106" s="371" t="s">
        <v>2791</v>
      </c>
      <c r="D4106" s="2716">
        <f t="shared" si="465"/>
        <v>0</v>
      </c>
      <c r="E4106" s="2721">
        <v>1</v>
      </c>
      <c r="F4106" s="293"/>
      <c r="G4106" s="1634" t="s">
        <v>2792</v>
      </c>
      <c r="H4106" s="1577"/>
      <c r="I4106" s="430"/>
      <c r="J4106" s="346"/>
      <c r="K4106" s="391"/>
      <c r="L4106" s="349"/>
      <c r="M4106" s="301"/>
      <c r="N4106" s="391"/>
      <c r="O4106" s="349"/>
      <c r="P4106" s="301"/>
      <c r="S4106" s="364"/>
      <c r="Z4106" s="609" t="s">
        <v>4025</v>
      </c>
      <c r="AA4106" s="609" t="s">
        <v>5687</v>
      </c>
    </row>
    <row r="4107" spans="1:27" ht="18">
      <c r="A4107" s="2714"/>
      <c r="B4107" s="371">
        <v>105</v>
      </c>
      <c r="C4107" s="371" t="s">
        <v>2791</v>
      </c>
      <c r="D4107" s="2716">
        <f t="shared" si="465"/>
        <v>0</v>
      </c>
      <c r="E4107" s="2721">
        <v>1</v>
      </c>
      <c r="F4107" s="293"/>
      <c r="G4107" s="1634" t="s">
        <v>2792</v>
      </c>
      <c r="H4107" s="1577"/>
      <c r="I4107" s="430"/>
      <c r="J4107" s="346"/>
      <c r="K4107" s="391"/>
      <c r="L4107" s="349"/>
      <c r="M4107" s="301"/>
      <c r="N4107" s="391"/>
      <c r="O4107" s="349"/>
      <c r="P4107" s="301"/>
      <c r="S4107" s="364"/>
      <c r="Z4107" s="609" t="s">
        <v>4025</v>
      </c>
      <c r="AA4107" s="609" t="s">
        <v>5687</v>
      </c>
    </row>
    <row r="4108" spans="1:27" ht="18.75" thickBot="1">
      <c r="A4108" s="2714"/>
      <c r="B4108" s="371"/>
      <c r="C4108" s="371"/>
      <c r="D4108" s="2716">
        <f t="shared" si="465"/>
        <v>1</v>
      </c>
      <c r="E4108" s="2721" t="s">
        <v>2751</v>
      </c>
      <c r="F4108" s="293"/>
      <c r="G4108" s="1529" t="s">
        <v>2752</v>
      </c>
      <c r="H4108" s="1527"/>
      <c r="I4108" s="1637"/>
      <c r="J4108" s="1528">
        <f>SUMPRODUCT($E4102:$E4107,J4102:J4107)</f>
        <v>0</v>
      </c>
      <c r="K4108" s="391"/>
      <c r="L4108" s="349"/>
      <c r="M4108" s="301"/>
      <c r="N4108" s="391"/>
      <c r="O4108" s="349"/>
      <c r="P4108" s="301"/>
      <c r="S4108" s="364"/>
      <c r="Z4108" s="609" t="s">
        <v>4025</v>
      </c>
      <c r="AA4108" s="609" t="s">
        <v>5687</v>
      </c>
    </row>
    <row r="4109" spans="1:27" ht="18">
      <c r="A4109" s="2714"/>
      <c r="B4109" s="371"/>
      <c r="C4109" s="371" t="s">
        <v>2755</v>
      </c>
      <c r="D4109" s="2716"/>
      <c r="F4109" s="293"/>
      <c r="G4109" s="376"/>
      <c r="H4109" s="1576"/>
      <c r="I4109" s="432"/>
      <c r="J4109" s="315"/>
      <c r="K4109" s="391"/>
      <c r="L4109" s="349"/>
      <c r="M4109" s="301"/>
      <c r="N4109" s="391"/>
      <c r="O4109" s="349"/>
      <c r="P4109" s="301"/>
      <c r="S4109" s="364"/>
      <c r="Z4109" s="609" t="s">
        <v>4025</v>
      </c>
      <c r="AA4109" s="609" t="s">
        <v>5687</v>
      </c>
    </row>
    <row r="4110" spans="1:27" ht="24">
      <c r="A4110" s="2715">
        <v>2706</v>
      </c>
      <c r="B4110" s="371">
        <v>48</v>
      </c>
      <c r="C4110" s="2716" t="str">
        <f>VLOOKUP($A4110,Sheet_Items,2,0)</f>
        <v>长期应付款（报表项目）</v>
      </c>
      <c r="D4110" s="371"/>
      <c r="E4110" s="2716" t="s">
        <v>2739</v>
      </c>
      <c r="F4110" s="371"/>
      <c r="G4110" s="305" t="str">
        <f>B4110&amp;" "&amp;C4110</f>
        <v>48 长期应付款（报表项目）</v>
      </c>
      <c r="H4110" s="306"/>
      <c r="I4110" s="306"/>
      <c r="J4110" s="306" t="s">
        <v>2740</v>
      </c>
      <c r="K4110" s="341">
        <f>VLOOKUP($A4110,Sheet_Trialbal,6,0)</f>
        <v>0</v>
      </c>
      <c r="L4110" s="342"/>
      <c r="M4110" s="306" t="s">
        <v>2741</v>
      </c>
      <c r="N4110" s="341">
        <f>VLOOKUP($A4110,Sheet_Trialbal,10,0)</f>
        <v>0</v>
      </c>
      <c r="O4110" s="342"/>
      <c r="P4110" s="301"/>
      <c r="S4110" s="364"/>
      <c r="Z4110" s="609" t="s">
        <v>4062</v>
      </c>
      <c r="AA4110" s="609" t="s">
        <v>19</v>
      </c>
    </row>
    <row r="4111" spans="1:27" ht="18">
      <c r="A4111" s="2714" t="s">
        <v>1682</v>
      </c>
      <c r="B4111" s="371">
        <v>1</v>
      </c>
      <c r="C4111" s="371"/>
      <c r="D4111" s="2716" t="str">
        <f>VLOOKUP($A4111,Sheet_NoteList,2,0)</f>
        <v>长期应付款分类列示</v>
      </c>
      <c r="E4111" s="2716" t="s">
        <v>2742</v>
      </c>
      <c r="F4111" s="371"/>
      <c r="G4111" s="372" t="str">
        <f>"("&amp;B4111&amp;")"&amp;D4111</f>
        <v>(1)长期应付款分类列示</v>
      </c>
      <c r="H4111" s="1517" t="str">
        <f>$A4111</f>
        <v>2706a</v>
      </c>
      <c r="I4111" s="343" t="s">
        <v>2743</v>
      </c>
      <c r="J4111" s="301" t="s">
        <v>2744</v>
      </c>
      <c r="K4111" s="2210">
        <f>H4119</f>
        <v>0</v>
      </c>
      <c r="L4111" s="349"/>
      <c r="M4111" s="301" t="s">
        <v>2745</v>
      </c>
      <c r="N4111" s="2210">
        <f>I4119</f>
        <v>0</v>
      </c>
      <c r="O4111" s="349"/>
      <c r="P4111" s="301"/>
      <c r="S4111" s="364"/>
      <c r="Z4111" s="609" t="s">
        <v>4062</v>
      </c>
      <c r="AA4111" s="609" t="s">
        <v>19</v>
      </c>
    </row>
    <row r="4112" spans="1:27" ht="0.75" customHeight="1" thickBot="1">
      <c r="A4112" s="2714"/>
      <c r="B4112" s="371"/>
      <c r="C4112" s="371"/>
      <c r="D4112" s="2716"/>
      <c r="F4112" s="371"/>
      <c r="G4112" s="405" t="s">
        <v>4063</v>
      </c>
      <c r="H4112" s="371" t="s">
        <v>2747</v>
      </c>
      <c r="I4112" s="371" t="s">
        <v>2748</v>
      </c>
      <c r="J4112" s="301"/>
      <c r="K4112" s="391"/>
      <c r="L4112" s="349"/>
      <c r="M4112" s="301"/>
      <c r="N4112" s="391"/>
      <c r="O4112" s="349"/>
      <c r="P4112" s="301"/>
      <c r="S4112" s="364"/>
      <c r="Z4112" s="609" t="s">
        <v>4062</v>
      </c>
      <c r="AA4112" s="609" t="s">
        <v>19</v>
      </c>
    </row>
    <row r="4113" spans="1:29" ht="18">
      <c r="A4113" s="2714"/>
      <c r="B4113" s="371"/>
      <c r="C4113" s="371"/>
      <c r="D4113" s="2716"/>
      <c r="E4113" s="2716" t="s">
        <v>2749</v>
      </c>
      <c r="F4113" s="371"/>
      <c r="G4113" s="373" t="s">
        <v>47</v>
      </c>
      <c r="H4113" s="1454" t="str">
        <f>$V$2</f>
        <v>2019年12月31日</v>
      </c>
      <c r="I4113" s="1455" t="str">
        <f>$V$3</f>
        <v>2018年12月31日</v>
      </c>
      <c r="J4113" s="355" t="s">
        <v>5313</v>
      </c>
      <c r="K4113" s="391"/>
      <c r="L4113" s="391"/>
      <c r="M4113" s="391"/>
      <c r="N4113" s="391"/>
      <c r="O4113" s="349"/>
      <c r="P4113" s="301"/>
      <c r="S4113" s="364"/>
      <c r="Z4113" s="609" t="s">
        <v>4062</v>
      </c>
      <c r="AA4113" s="609" t="s">
        <v>19</v>
      </c>
    </row>
    <row r="4114" spans="1:29" ht="18">
      <c r="A4114" s="2714"/>
      <c r="B4114" s="371">
        <v>101</v>
      </c>
      <c r="C4114" s="371"/>
      <c r="D4114" s="2716">
        <f t="shared" ref="D4114:D4119" si="466">IF(OR(G4114="*",G4114="",G4114=0),0,COUNTIF($G$4114:$G$4119,G4114))</f>
        <v>1</v>
      </c>
      <c r="E4114" s="2721" t="s">
        <v>2939</v>
      </c>
      <c r="F4114" s="371"/>
      <c r="G4114" s="308" t="s">
        <v>554</v>
      </c>
      <c r="H4114" s="309"/>
      <c r="I4114" s="394"/>
      <c r="J4114" s="1595" t="str">
        <f ca="1">HYPERLINK("#'"&amp;$G$1&amp;"'!"&amp;ADDRESS(ROW(Notes!H4134),COLUMN(Notes!H4134),4),"* 请勿删除此行！点击往勾稽单元格，F5+Enter返回")</f>
        <v>* 请勿删除此行！点击往勾稽单元格，F5+Enter返回</v>
      </c>
      <c r="K4114" s="391"/>
      <c r="L4114" s="391"/>
      <c r="M4114" s="391"/>
      <c r="N4114" s="391"/>
      <c r="O4114" s="349"/>
      <c r="P4114" s="301"/>
      <c r="S4114" s="364"/>
      <c r="Z4114" s="609" t="s">
        <v>4062</v>
      </c>
      <c r="AA4114" s="609" t="s">
        <v>19</v>
      </c>
      <c r="AC4114" s="369" t="s">
        <v>6573</v>
      </c>
    </row>
    <row r="4115" spans="1:29" ht="18">
      <c r="A4115" s="2714"/>
      <c r="B4115" s="371">
        <v>101.001</v>
      </c>
      <c r="C4115" s="371"/>
      <c r="D4115" s="2716">
        <f t="shared" si="466"/>
        <v>1</v>
      </c>
      <c r="E4115" s="2721" t="s">
        <v>2939</v>
      </c>
      <c r="F4115" s="371"/>
      <c r="G4115" s="308" t="s">
        <v>562</v>
      </c>
      <c r="H4115" s="309"/>
      <c r="I4115" s="394"/>
      <c r="J4115" s="301"/>
      <c r="K4115" s="391"/>
      <c r="L4115" s="391"/>
      <c r="M4115" s="391"/>
      <c r="N4115" s="391"/>
      <c r="O4115" s="349"/>
      <c r="P4115" s="301"/>
      <c r="S4115" s="364"/>
      <c r="Z4115" s="609" t="s">
        <v>4062</v>
      </c>
      <c r="AA4115" s="609" t="s">
        <v>19</v>
      </c>
    </row>
    <row r="4116" spans="1:29" ht="18">
      <c r="A4116" s="2714"/>
      <c r="B4116" s="371">
        <v>101.002</v>
      </c>
      <c r="C4116" s="371" t="s">
        <v>2791</v>
      </c>
      <c r="D4116" s="2716">
        <f t="shared" si="466"/>
        <v>0</v>
      </c>
      <c r="E4116" s="2721" t="s">
        <v>2939</v>
      </c>
      <c r="F4116" s="371"/>
      <c r="G4116" s="2406" t="s">
        <v>2792</v>
      </c>
      <c r="H4116" s="309"/>
      <c r="I4116" s="394"/>
      <c r="J4116" s="301"/>
      <c r="K4116" s="391"/>
      <c r="L4116" s="391"/>
      <c r="M4116" s="391"/>
      <c r="N4116" s="391"/>
      <c r="O4116" s="349"/>
      <c r="P4116" s="301"/>
      <c r="S4116" s="364"/>
      <c r="Z4116" s="609" t="s">
        <v>4062</v>
      </c>
      <c r="AA4116" s="609" t="s">
        <v>19</v>
      </c>
    </row>
    <row r="4117" spans="1:29" ht="18">
      <c r="A4117" s="2714"/>
      <c r="B4117" s="371">
        <v>102</v>
      </c>
      <c r="C4117" s="371" t="s">
        <v>2793</v>
      </c>
      <c r="D4117" s="2716">
        <f t="shared" si="466"/>
        <v>1</v>
      </c>
      <c r="E4117" s="2721">
        <v>1</v>
      </c>
      <c r="F4117" s="371"/>
      <c r="G4117" s="308" t="s">
        <v>2939</v>
      </c>
      <c r="H4117" s="1476">
        <f>SUMIF($E$4113:$E$4118,$G4117,H$4113:H$4118)</f>
        <v>0</v>
      </c>
      <c r="I4117" s="1495">
        <f>SUMIF($E$4113:$E$4118,$G4117,I$4113:I$4118)</f>
        <v>0</v>
      </c>
      <c r="J4117" s="301"/>
      <c r="K4117" s="391"/>
      <c r="L4117" s="391"/>
      <c r="M4117" s="391"/>
      <c r="N4117" s="391"/>
      <c r="O4117" s="349"/>
      <c r="P4117" s="301"/>
      <c r="S4117" s="364"/>
      <c r="Z4117" s="609" t="s">
        <v>4062</v>
      </c>
      <c r="AA4117" s="609" t="s">
        <v>19</v>
      </c>
    </row>
    <row r="4118" spans="1:29" ht="24">
      <c r="A4118" s="2714"/>
      <c r="B4118" s="371">
        <v>103</v>
      </c>
      <c r="C4118" s="371" t="s">
        <v>2791</v>
      </c>
      <c r="D4118" s="2716">
        <f t="shared" si="466"/>
        <v>1</v>
      </c>
      <c r="E4118" s="2721">
        <v>-1</v>
      </c>
      <c r="F4118" s="371"/>
      <c r="G4118" s="2568" t="s">
        <v>6143</v>
      </c>
      <c r="H4118" s="610"/>
      <c r="I4118" s="611"/>
      <c r="J4118" s="1595" t="str">
        <f ca="1">HYPERLINK("#'"&amp;$G$1&amp;"'!"&amp;ADDRESS(ROW(Notes!K3936),COLUMN(Notes!K3936),4),"* 请勿删除此行！点击往勾稽单元格，F5+Enter返回")</f>
        <v>* 请勿删除此行！点击往勾稽单元格，F5+Enter返回</v>
      </c>
      <c r="K4118" s="391"/>
      <c r="L4118" s="391"/>
      <c r="M4118" s="391"/>
      <c r="N4118" s="391"/>
      <c r="O4118" s="349"/>
      <c r="P4118" s="301"/>
      <c r="S4118" s="364"/>
      <c r="Z4118" s="609" t="s">
        <v>4062</v>
      </c>
      <c r="AA4118" s="609" t="s">
        <v>19</v>
      </c>
      <c r="AC4118" s="369" t="s">
        <v>6573</v>
      </c>
    </row>
    <row r="4119" spans="1:29" ht="18.75" thickBot="1">
      <c r="A4119" s="2714"/>
      <c r="B4119" s="371"/>
      <c r="C4119" s="371"/>
      <c r="D4119" s="2716">
        <f t="shared" si="466"/>
        <v>1</v>
      </c>
      <c r="E4119" s="2721" t="s">
        <v>2751</v>
      </c>
      <c r="F4119" s="371"/>
      <c r="G4119" s="374" t="s">
        <v>3351</v>
      </c>
      <c r="H4119" s="1496">
        <f>SUMPRODUCT($E4113:$E4118,H4113:H4118)</f>
        <v>0</v>
      </c>
      <c r="I4119" s="1479">
        <f>SUMPRODUCT($E4113:$E4118,I4113:I4118)</f>
        <v>0</v>
      </c>
      <c r="J4119" s="301"/>
      <c r="K4119" s="391"/>
      <c r="L4119" s="391"/>
      <c r="M4119" s="391"/>
      <c r="N4119" s="391"/>
      <c r="O4119" s="349"/>
      <c r="P4119" s="301"/>
      <c r="S4119" s="364"/>
      <c r="Z4119" s="609" t="s">
        <v>4062</v>
      </c>
      <c r="AA4119" s="609" t="s">
        <v>19</v>
      </c>
    </row>
    <row r="4120" spans="1:29" ht="18">
      <c r="A4120" s="2714"/>
      <c r="B4120" s="371"/>
      <c r="C4120" s="371" t="s">
        <v>2755</v>
      </c>
      <c r="D4120" s="2716"/>
      <c r="F4120" s="371"/>
      <c r="G4120" s="376"/>
      <c r="H4120" s="315"/>
      <c r="I4120" s="396"/>
      <c r="J4120" s="301"/>
      <c r="K4120" s="391"/>
      <c r="L4120" s="391"/>
      <c r="M4120" s="391"/>
      <c r="N4120" s="391"/>
      <c r="O4120" s="349"/>
      <c r="P4120" s="301"/>
      <c r="S4120" s="364"/>
      <c r="Z4120" s="609" t="s">
        <v>4062</v>
      </c>
      <c r="AA4120" s="609" t="s">
        <v>19</v>
      </c>
    </row>
    <row r="4121" spans="1:29" ht="18">
      <c r="A4121" s="2714">
        <v>2701</v>
      </c>
      <c r="B4121" s="371">
        <v>48.1</v>
      </c>
      <c r="C4121" s="2716" t="str">
        <f>VLOOKUP($A4121,Sheet_Items,2,0)</f>
        <v>长期应付款</v>
      </c>
      <c r="D4121" s="371"/>
      <c r="E4121" s="2716" t="s">
        <v>2739</v>
      </c>
      <c r="F4121" s="294"/>
      <c r="G4121" s="535" t="str">
        <f>B4121&amp;" "&amp;C4121</f>
        <v>48.1 长期应付款</v>
      </c>
      <c r="H4121" s="306"/>
      <c r="I4121" s="306"/>
      <c r="J4121" s="306" t="s">
        <v>2740</v>
      </c>
      <c r="K4121" s="341">
        <f>VLOOKUP($A4121,Sheet_Trialbal,6,0)</f>
        <v>0</v>
      </c>
      <c r="L4121" s="342"/>
      <c r="M4121" s="306" t="s">
        <v>2741</v>
      </c>
      <c r="N4121" s="341">
        <f>VLOOKUP($A4121,Sheet_Trialbal,10,0)</f>
        <v>0</v>
      </c>
      <c r="O4121" s="306"/>
      <c r="P4121" s="301"/>
      <c r="S4121" s="364"/>
      <c r="Z4121" s="609" t="s">
        <v>4064</v>
      </c>
      <c r="AA4121" s="609" t="s">
        <v>5689</v>
      </c>
    </row>
    <row r="4122" spans="1:29" ht="24">
      <c r="A4122" s="2714" t="s">
        <v>1687</v>
      </c>
      <c r="B4122" s="371">
        <v>1</v>
      </c>
      <c r="C4122" s="371"/>
      <c r="D4122" s="2716" t="str">
        <f>VLOOKUP($A4122,Sheet_NoteList,2,0)</f>
        <v>按款项性质列示长期应付款</v>
      </c>
      <c r="E4122" s="2716" t="s">
        <v>2742</v>
      </c>
      <c r="F4122" s="294"/>
      <c r="G4122" s="372" t="str">
        <f>"("&amp;B4122&amp;")"&amp;D4122</f>
        <v>(1)按款项性质列示长期应付款</v>
      </c>
      <c r="H4122" s="1517" t="str">
        <f>$A4122</f>
        <v>2701c</v>
      </c>
      <c r="I4122" s="343" t="s">
        <v>2743</v>
      </c>
      <c r="J4122" s="301" t="s">
        <v>2744</v>
      </c>
      <c r="K4122" s="2210">
        <f>H4131</f>
        <v>0</v>
      </c>
      <c r="L4122" s="345" t="str">
        <f>IF($I4122="适用",IF(ROUND(K4121-K4122,2)=0,"F/S",ROUND(K4121-K4122,2)),"#N/A")</f>
        <v>F/S</v>
      </c>
      <c r="M4122" s="301" t="s">
        <v>2745</v>
      </c>
      <c r="N4122" s="2210">
        <f>I4131</f>
        <v>0</v>
      </c>
      <c r="O4122" s="345" t="str">
        <f>IF($I4122="适用",IF(ROUND(N4121-N4122,2)=0,"F/S",ROUND(N4121-N4122,2)),"#N/A")</f>
        <v>F/S</v>
      </c>
      <c r="P4122" s="301"/>
      <c r="Q4122" s="290" t="str">
        <f>IF($I4122="不适用","",IF(ROUND(SUM($H$4125:$I$4131),2)=0,"请输入",""))</f>
        <v>请输入</v>
      </c>
      <c r="S4122" s="364"/>
      <c r="Z4122" s="609" t="s">
        <v>4064</v>
      </c>
      <c r="AA4122" s="609" t="s">
        <v>5689</v>
      </c>
    </row>
    <row r="4123" spans="1:29" ht="0.75" customHeight="1" thickBot="1">
      <c r="A4123" s="2714"/>
      <c r="B4123" s="371"/>
      <c r="C4123" s="371"/>
      <c r="D4123" s="371"/>
      <c r="E4123" s="586"/>
      <c r="F4123" s="518"/>
      <c r="G4123" s="518" t="s">
        <v>4065</v>
      </c>
      <c r="H4123" s="304" t="s">
        <v>2747</v>
      </c>
      <c r="I4123" s="304" t="s">
        <v>2748</v>
      </c>
      <c r="N4123" s="291"/>
      <c r="O4123" s="291"/>
      <c r="P4123" s="291"/>
      <c r="Q4123" s="367"/>
      <c r="R4123" s="367"/>
      <c r="S4123" s="364"/>
      <c r="Z4123" s="609" t="s">
        <v>4064</v>
      </c>
      <c r="AA4123" s="609" t="s">
        <v>5689</v>
      </c>
    </row>
    <row r="4124" spans="1:29" ht="18">
      <c r="A4124" s="2714"/>
      <c r="B4124" s="371"/>
      <c r="C4124" s="371"/>
      <c r="D4124" s="371"/>
      <c r="E4124" s="586" t="s">
        <v>2749</v>
      </c>
      <c r="F4124" s="363"/>
      <c r="G4124" s="2408" t="s">
        <v>47</v>
      </c>
      <c r="H4124" s="2225" t="str">
        <f>$V$2</f>
        <v>2019年12月31日</v>
      </c>
      <c r="I4124" s="2226" t="str">
        <f>$V$3</f>
        <v>2018年12月31日</v>
      </c>
      <c r="J4124" s="355" t="s">
        <v>5313</v>
      </c>
      <c r="N4124" s="291"/>
      <c r="O4124" s="291"/>
      <c r="P4124" s="291"/>
      <c r="Q4124" s="367"/>
      <c r="R4124" s="367"/>
      <c r="S4124" s="364"/>
      <c r="Z4124" s="609" t="s">
        <v>4064</v>
      </c>
      <c r="AA4124" s="609" t="s">
        <v>5689</v>
      </c>
    </row>
    <row r="4125" spans="1:29" ht="18">
      <c r="A4125" s="2714"/>
      <c r="B4125" s="371">
        <v>101</v>
      </c>
      <c r="C4125" s="371"/>
      <c r="D4125" s="2716">
        <f t="shared" ref="D4125:D4131" si="467">IF(OR(G4125="*",G4125="",G4125=0),0,COUNTIF($G$4125:$G$4131,G4125))</f>
        <v>1</v>
      </c>
      <c r="E4125" s="2721" t="s">
        <v>4017</v>
      </c>
      <c r="F4125" s="294"/>
      <c r="G4125" s="1474" t="s">
        <v>4006</v>
      </c>
      <c r="H4125" s="2275"/>
      <c r="I4125" s="2296"/>
      <c r="N4125" s="291"/>
      <c r="O4125" s="291"/>
      <c r="P4125" s="291"/>
      <c r="Q4125" s="367"/>
      <c r="R4125" s="367"/>
      <c r="S4125" s="364"/>
      <c r="Z4125" s="609" t="s">
        <v>4064</v>
      </c>
      <c r="AA4125" s="609" t="s">
        <v>5689</v>
      </c>
    </row>
    <row r="4126" spans="1:29" ht="18">
      <c r="A4126" s="2714"/>
      <c r="B4126" s="371">
        <v>101.001</v>
      </c>
      <c r="C4126" s="371" t="s">
        <v>2791</v>
      </c>
      <c r="D4126" s="2716">
        <f t="shared" si="467"/>
        <v>0</v>
      </c>
      <c r="E4126" s="2721" t="s">
        <v>4017</v>
      </c>
      <c r="F4126" s="294"/>
      <c r="G4126" s="2406" t="s">
        <v>2792</v>
      </c>
      <c r="H4126" s="2275"/>
      <c r="I4126" s="2296"/>
      <c r="N4126" s="291"/>
      <c r="O4126" s="291"/>
      <c r="P4126" s="291"/>
      <c r="Q4126" s="367"/>
      <c r="R4126" s="367"/>
      <c r="S4126" s="364"/>
      <c r="Z4126" s="609" t="s">
        <v>4064</v>
      </c>
      <c r="AA4126" s="609" t="s">
        <v>5689</v>
      </c>
    </row>
    <row r="4127" spans="1:29" ht="18">
      <c r="A4127" s="2714"/>
      <c r="B4127" s="371">
        <v>101.002</v>
      </c>
      <c r="C4127" s="371" t="s">
        <v>2791</v>
      </c>
      <c r="D4127" s="2716">
        <f t="shared" si="467"/>
        <v>0</v>
      </c>
      <c r="E4127" s="2721" t="s">
        <v>4017</v>
      </c>
      <c r="F4127" s="294"/>
      <c r="G4127" s="2406" t="s">
        <v>2792</v>
      </c>
      <c r="H4127" s="2275"/>
      <c r="I4127" s="2296"/>
      <c r="N4127" s="291"/>
      <c r="O4127" s="291"/>
      <c r="P4127" s="291"/>
      <c r="Q4127" s="367"/>
      <c r="R4127" s="367"/>
      <c r="S4127" s="364"/>
      <c r="Z4127" s="609" t="s">
        <v>4064</v>
      </c>
      <c r="AA4127" s="609" t="s">
        <v>5689</v>
      </c>
    </row>
    <row r="4128" spans="1:29" ht="18">
      <c r="A4128" s="2714"/>
      <c r="B4128" s="371">
        <v>101.003</v>
      </c>
      <c r="C4128" s="371" t="s">
        <v>2791</v>
      </c>
      <c r="D4128" s="2716">
        <f t="shared" si="467"/>
        <v>0</v>
      </c>
      <c r="E4128" s="2721" t="s">
        <v>4017</v>
      </c>
      <c r="F4128" s="294"/>
      <c r="G4128" s="2406" t="s">
        <v>2792</v>
      </c>
      <c r="H4128" s="2275"/>
      <c r="I4128" s="2296"/>
      <c r="N4128" s="291"/>
      <c r="O4128" s="291"/>
      <c r="P4128" s="291"/>
      <c r="Q4128" s="367"/>
      <c r="R4128" s="367"/>
      <c r="S4128" s="364"/>
      <c r="Z4128" s="609" t="s">
        <v>4064</v>
      </c>
      <c r="AA4128" s="609" t="s">
        <v>5689</v>
      </c>
    </row>
    <row r="4129" spans="1:29" ht="18">
      <c r="A4129" s="2714"/>
      <c r="B4129" s="371">
        <v>102</v>
      </c>
      <c r="C4129" s="371" t="s">
        <v>2793</v>
      </c>
      <c r="D4129" s="2716">
        <f t="shared" si="467"/>
        <v>1</v>
      </c>
      <c r="E4129" s="2721">
        <v>1</v>
      </c>
      <c r="F4129" s="294"/>
      <c r="G4129" s="1474" t="s">
        <v>4017</v>
      </c>
      <c r="H4129" s="1476">
        <f>SUMIF($E$4124:$E$4130,$G4129,H$4124:H$4130)</f>
        <v>0</v>
      </c>
      <c r="I4129" s="1477">
        <f>SUMIF($E$4124:$E$4130,$G4129,I$4124:I$4130)</f>
        <v>0</v>
      </c>
      <c r="J4129" s="1534" t="str">
        <f ca="1">HYPERLINK("#'"&amp;$G$1&amp;"'!"&amp;ADDRESS(ROW(Notes!H4135),COLUMN(Notes!H4135),4),"* 请勿删除此行！点击往勾稽单元格，F5+Enter返回")</f>
        <v>* 请勿删除此行！点击往勾稽单元格，F5+Enter返回</v>
      </c>
      <c r="N4129" s="291"/>
      <c r="O4129" s="291"/>
      <c r="P4129" s="291"/>
      <c r="Q4129" s="367"/>
      <c r="R4129" s="367"/>
      <c r="S4129" s="364"/>
      <c r="Z4129" s="609" t="s">
        <v>4064</v>
      </c>
      <c r="AA4129" s="609" t="s">
        <v>5689</v>
      </c>
      <c r="AC4129" s="369" t="s">
        <v>6573</v>
      </c>
    </row>
    <row r="4130" spans="1:29" ht="18">
      <c r="A4130" s="2714"/>
      <c r="B4130" s="371">
        <v>103</v>
      </c>
      <c r="C4130" s="371" t="s">
        <v>2791</v>
      </c>
      <c r="D4130" s="2716">
        <f t="shared" si="467"/>
        <v>1</v>
      </c>
      <c r="E4130" s="2721">
        <v>-1</v>
      </c>
      <c r="F4130" s="294"/>
      <c r="G4130" s="2568" t="s">
        <v>4066</v>
      </c>
      <c r="H4130" s="2275"/>
      <c r="I4130" s="2296"/>
      <c r="N4130" s="291"/>
      <c r="O4130" s="291"/>
      <c r="P4130" s="291"/>
      <c r="Q4130" s="367"/>
      <c r="R4130" s="367"/>
      <c r="S4130" s="364"/>
      <c r="Z4130" s="609" t="s">
        <v>4064</v>
      </c>
      <c r="AA4130" s="609" t="s">
        <v>5689</v>
      </c>
    </row>
    <row r="4131" spans="1:29" ht="18.75" thickBot="1">
      <c r="A4131" s="2714"/>
      <c r="B4131" s="371"/>
      <c r="C4131" s="371"/>
      <c r="D4131" s="2716">
        <f t="shared" si="467"/>
        <v>1</v>
      </c>
      <c r="E4131" s="2721" t="s">
        <v>2751</v>
      </c>
      <c r="F4131" s="294"/>
      <c r="G4131" s="374" t="s">
        <v>2752</v>
      </c>
      <c r="H4131" s="1478">
        <f>SUMPRODUCT($E4124:$E4130,H4124:H4130)</f>
        <v>0</v>
      </c>
      <c r="I4131" s="1479">
        <f>SUMPRODUCT($E4124:$E4130,I4124:I4130)</f>
        <v>0</v>
      </c>
      <c r="N4131" s="291"/>
      <c r="O4131" s="291"/>
      <c r="P4131" s="291"/>
      <c r="Q4131" s="367"/>
      <c r="R4131" s="367"/>
      <c r="S4131" s="364"/>
      <c r="Z4131" s="609" t="s">
        <v>4064</v>
      </c>
      <c r="AA4131" s="609" t="s">
        <v>5689</v>
      </c>
    </row>
    <row r="4132" spans="1:29" ht="18.75" thickBot="1">
      <c r="A4132" s="2714"/>
      <c r="B4132" s="371"/>
      <c r="C4132" s="371" t="s">
        <v>2755</v>
      </c>
      <c r="D4132" s="371"/>
      <c r="F4132" s="294"/>
      <c r="G4132" s="301"/>
      <c r="H4132" s="527" t="s">
        <v>3002</v>
      </c>
      <c r="I4132" s="527" t="s">
        <v>3002</v>
      </c>
      <c r="J4132" s="349"/>
      <c r="K4132" s="349"/>
      <c r="L4132" s="315"/>
      <c r="M4132" s="393"/>
      <c r="N4132" s="291"/>
      <c r="O4132" s="291"/>
      <c r="P4132" s="291"/>
      <c r="Q4132" s="367"/>
      <c r="R4132" s="367"/>
      <c r="S4132" s="364"/>
      <c r="Z4132" s="609" t="s">
        <v>4064</v>
      </c>
      <c r="AA4132" s="609" t="s">
        <v>5689</v>
      </c>
    </row>
    <row r="4133" spans="1:29" ht="18.75" thickTop="1">
      <c r="A4133" s="2714"/>
      <c r="B4133" s="371"/>
      <c r="C4133" s="371" t="s">
        <v>2565</v>
      </c>
      <c r="D4133" s="371"/>
      <c r="F4133" s="294"/>
      <c r="G4133" s="1561" t="s">
        <v>5367</v>
      </c>
      <c r="H4133" s="1550" t="str">
        <f>G4111</f>
        <v>(1)长期应付款分类列示</v>
      </c>
      <c r="I4133" s="1552"/>
      <c r="J4133" s="1553" t="s">
        <v>5368</v>
      </c>
      <c r="K4133" s="349"/>
      <c r="L4133" s="315"/>
      <c r="M4133" s="393"/>
      <c r="N4133" s="291"/>
      <c r="O4133" s="291"/>
      <c r="P4133" s="291"/>
      <c r="Q4133" s="367"/>
      <c r="R4133" s="367"/>
      <c r="S4133" s="364"/>
      <c r="Z4133" s="609" t="s">
        <v>4064</v>
      </c>
      <c r="AA4133" s="609" t="s">
        <v>5689</v>
      </c>
    </row>
    <row r="4134" spans="1:29" ht="18">
      <c r="A4134" s="2714"/>
      <c r="B4134" s="371"/>
      <c r="C4134" s="371" t="s">
        <v>2565</v>
      </c>
      <c r="D4134" s="371"/>
      <c r="F4134" s="294"/>
      <c r="G4134" s="316" t="str">
        <f>"注释A:"&amp; G4114</f>
        <v>注释A:长期应付款</v>
      </c>
      <c r="H4134" s="2252">
        <f ca="1">HYPERLINK("#'"&amp;$G$1&amp;"'!"&amp;ADDRESS(ROW(Notes!H4114),COLUMN(Notes!H4114),4),H4114)</f>
        <v>0</v>
      </c>
      <c r="I4134" s="2252">
        <f ca="1">HYPERLINK("#'"&amp;$G$1&amp;"'!"&amp;ADDRESS(ROW(Notes!I4114),COLUMN(Notes!I4114),4),I4114)</f>
        <v>0</v>
      </c>
      <c r="J4134" s="2632" t="str">
        <f>H4111</f>
        <v>2706a</v>
      </c>
      <c r="K4134" s="349"/>
      <c r="L4134" s="315"/>
      <c r="M4134" s="393"/>
      <c r="N4134" s="291"/>
      <c r="O4134" s="291"/>
      <c r="P4134" s="291"/>
      <c r="Q4134" s="367"/>
      <c r="R4134" s="367"/>
      <c r="S4134" s="364"/>
      <c r="Z4134" s="609" t="s">
        <v>4064</v>
      </c>
      <c r="AA4134" s="609" t="s">
        <v>5689</v>
      </c>
    </row>
    <row r="4135" spans="1:29" ht="18">
      <c r="A4135" s="2714"/>
      <c r="B4135" s="371"/>
      <c r="C4135" s="371" t="s">
        <v>2565</v>
      </c>
      <c r="D4135" s="371"/>
      <c r="F4135" s="294"/>
      <c r="G4135" s="316" t="str">
        <f>"本注释B:"&amp; G4129</f>
        <v>本注释B:小    计</v>
      </c>
      <c r="H4135" s="2252">
        <f ca="1">HYPERLINK("#'"&amp;$G$1&amp;"'!"&amp;ADDRESS(ROW(Notes!H4129),COLUMN(Notes!H4129),4),H4129)</f>
        <v>0</v>
      </c>
      <c r="I4135" s="2252">
        <f ca="1">HYPERLINK("#'"&amp;$G$1&amp;"'!"&amp;ADDRESS(ROW(Notes!I4129),COLUMN(Notes!I4129),4),I4129)</f>
        <v>0</v>
      </c>
      <c r="J4135" s="2638" t="s">
        <v>1687</v>
      </c>
      <c r="K4135" s="349"/>
      <c r="L4135" s="315"/>
      <c r="M4135" s="393"/>
      <c r="N4135" s="291"/>
      <c r="O4135" s="291"/>
      <c r="P4135" s="291"/>
      <c r="Q4135" s="367"/>
      <c r="R4135" s="367"/>
      <c r="S4135" s="364"/>
      <c r="Z4135" s="609" t="s">
        <v>4064</v>
      </c>
      <c r="AA4135" s="609" t="s">
        <v>5689</v>
      </c>
    </row>
    <row r="4136" spans="1:29" ht="18.75" thickBot="1">
      <c r="A4136" s="2714"/>
      <c r="B4136" s="371"/>
      <c r="C4136" s="371" t="s">
        <v>2565</v>
      </c>
      <c r="D4136" s="371"/>
      <c r="F4136" s="294"/>
      <c r="G4136" s="1562" t="s">
        <v>2757</v>
      </c>
      <c r="H4136" s="1531">
        <f ca="1">IF(AND(H4134="",H4135=""),"",ROUND(H4134-H4135,2))</f>
        <v>0</v>
      </c>
      <c r="I4136" s="1531">
        <f ca="1">IF(AND(I4134="",I4135=""),"",ROUND(I4134-I4135,2))</f>
        <v>0</v>
      </c>
      <c r="J4136" s="1555"/>
      <c r="K4136" s="349"/>
      <c r="L4136" s="315"/>
      <c r="M4136" s="393"/>
      <c r="N4136" s="291"/>
      <c r="O4136" s="291"/>
      <c r="P4136" s="291"/>
      <c r="Q4136" s="367"/>
      <c r="R4136" s="367"/>
      <c r="S4136" s="364"/>
      <c r="Z4136" s="609" t="s">
        <v>4064</v>
      </c>
      <c r="AA4136" s="609" t="s">
        <v>5689</v>
      </c>
    </row>
    <row r="4137" spans="1:29" ht="18.75" thickTop="1">
      <c r="A4137" s="2714"/>
      <c r="B4137" s="371"/>
      <c r="C4137" s="371" t="s">
        <v>2565</v>
      </c>
      <c r="D4137" s="371"/>
      <c r="F4137" s="294"/>
      <c r="G4137" s="354"/>
      <c r="H4137" s="459" t="str">
        <f ca="1">IF(OR(H4136=0,H4136=""),"√","？")</f>
        <v>√</v>
      </c>
      <c r="I4137" s="459" t="str">
        <f ca="1">IF(OR(I4136=0,I4136=""),"√","？")</f>
        <v>√</v>
      </c>
      <c r="J4137" s="317"/>
      <c r="K4137" s="349"/>
      <c r="L4137" s="315"/>
      <c r="M4137" s="393"/>
      <c r="N4137" s="291"/>
      <c r="O4137" s="291"/>
      <c r="P4137" s="291"/>
      <c r="Q4137" s="367"/>
      <c r="R4137" s="367"/>
      <c r="S4137" s="364"/>
      <c r="Z4137" s="609" t="s">
        <v>4064</v>
      </c>
      <c r="AA4137" s="609" t="s">
        <v>5689</v>
      </c>
    </row>
    <row r="4138" spans="1:29" ht="18">
      <c r="A4138" s="2714"/>
      <c r="B4138" s="371"/>
      <c r="C4138" s="371" t="s">
        <v>2565</v>
      </c>
      <c r="D4138" s="371"/>
      <c r="F4138" s="294"/>
      <c r="G4138" s="460" t="s">
        <v>2759</v>
      </c>
      <c r="H4138" s="461"/>
      <c r="I4138" s="461"/>
      <c r="J4138" s="317"/>
      <c r="K4138" s="345">
        <f ca="1">SUMIF($H$4137:$J$4137,"&lt;&gt;√",$H$4136:$J$4136)</f>
        <v>0</v>
      </c>
      <c r="L4138" s="2670" t="str">
        <f ca="1">IF(OR(K4138=0,K4138=""),"√","？")</f>
        <v>√</v>
      </c>
      <c r="M4138" s="393"/>
      <c r="N4138" s="291"/>
      <c r="O4138" s="291"/>
      <c r="P4138" s="291"/>
      <c r="Q4138" s="367"/>
      <c r="R4138" s="367"/>
      <c r="S4138" s="364"/>
      <c r="Z4138" s="609" t="s">
        <v>4064</v>
      </c>
      <c r="AA4138" s="609" t="s">
        <v>5689</v>
      </c>
    </row>
    <row r="4139" spans="1:29" ht="18">
      <c r="A4139" s="2714"/>
      <c r="B4139" s="371"/>
      <c r="C4139" s="371" t="s">
        <v>2565</v>
      </c>
      <c r="D4139" s="371"/>
      <c r="F4139" s="294"/>
      <c r="G4139" s="354"/>
      <c r="H4139" s="461"/>
      <c r="I4139" s="461"/>
      <c r="J4139" s="317"/>
      <c r="K4139" s="349"/>
      <c r="L4139" s="315"/>
      <c r="M4139" s="393"/>
      <c r="N4139" s="291"/>
      <c r="O4139" s="291"/>
      <c r="P4139" s="291"/>
      <c r="Q4139" s="367"/>
      <c r="R4139" s="367"/>
      <c r="S4139" s="364"/>
      <c r="Z4139" s="609" t="s">
        <v>4064</v>
      </c>
      <c r="AA4139" s="609" t="s">
        <v>5689</v>
      </c>
    </row>
    <row r="4140" spans="1:29" ht="18">
      <c r="A4140" s="2714" t="s">
        <v>1692</v>
      </c>
      <c r="B4140" s="371">
        <v>2</v>
      </c>
      <c r="C4140" s="371"/>
      <c r="D4140" s="2716" t="str">
        <f>VLOOKUP($A4140,Sheet_NoteList,2,0)</f>
        <v>外币长期应付款</v>
      </c>
      <c r="E4140" s="2716" t="s">
        <v>6533</v>
      </c>
      <c r="F4140" s="294"/>
      <c r="G4140" s="307" t="str">
        <f>"("&amp;B4140&amp;")"&amp;D4140</f>
        <v>(2)外币长期应付款</v>
      </c>
      <c r="H4140" s="1517" t="str">
        <f>$A4140</f>
        <v>2701d</v>
      </c>
      <c r="I4140" s="343" t="s">
        <v>5584</v>
      </c>
      <c r="J4140" s="301" t="s">
        <v>5583</v>
      </c>
      <c r="K4140" s="2210">
        <f>J4148</f>
        <v>0</v>
      </c>
      <c r="L4140" s="345"/>
      <c r="M4140" s="301"/>
      <c r="N4140" s="391"/>
      <c r="O4140" s="345" t="str">
        <f>IF($I4140="适用",IF(ROUND(N$3446-N4140,2)&gt;=0,"","#Logical!"),"#N/A")</f>
        <v/>
      </c>
      <c r="P4140" s="301"/>
      <c r="Q4140" s="290" t="str">
        <f>IF($I4140="不适用","",IF(ROUND(SUM($H$4143:$J$4148),2)=0,"请输入",""))</f>
        <v>请输入</v>
      </c>
      <c r="S4140" s="364"/>
      <c r="Z4140" s="609" t="s">
        <v>4064</v>
      </c>
      <c r="AA4140" s="609" t="s">
        <v>5689</v>
      </c>
    </row>
    <row r="4141" spans="1:29" ht="0.75" customHeight="1" thickBot="1">
      <c r="A4141" s="2714"/>
      <c r="B4141" s="371"/>
      <c r="C4141" s="371"/>
      <c r="D4141" s="371"/>
      <c r="F4141" s="304"/>
      <c r="G4141" s="304" t="s">
        <v>4067</v>
      </c>
      <c r="H4141" s="304" t="s">
        <v>3073</v>
      </c>
      <c r="I4141" s="304" t="s">
        <v>3074</v>
      </c>
      <c r="J4141" s="304" t="s">
        <v>3075</v>
      </c>
      <c r="K4141" s="387"/>
      <c r="L4141" s="291"/>
      <c r="M4141" s="291"/>
      <c r="N4141" s="291"/>
      <c r="O4141" s="291"/>
      <c r="P4141" s="291"/>
      <c r="Q4141" s="367"/>
      <c r="R4141" s="367"/>
      <c r="S4141" s="364"/>
      <c r="Z4141" s="609" t="s">
        <v>4064</v>
      </c>
      <c r="AA4141" s="609" t="s">
        <v>5689</v>
      </c>
    </row>
    <row r="4142" spans="1:29" ht="24">
      <c r="A4142" s="2714"/>
      <c r="B4142" s="371"/>
      <c r="C4142" s="371"/>
      <c r="D4142" s="371"/>
      <c r="E4142" s="2716" t="s">
        <v>2749</v>
      </c>
      <c r="F4142" s="294"/>
      <c r="G4142" s="1629" t="s">
        <v>1371</v>
      </c>
      <c r="H4142" s="1627" t="s">
        <v>3076</v>
      </c>
      <c r="I4142" s="1627" t="s">
        <v>3077</v>
      </c>
      <c r="J4142" s="1628" t="s">
        <v>3078</v>
      </c>
      <c r="K4142" s="355" t="s">
        <v>5604</v>
      </c>
      <c r="L4142" s="291"/>
      <c r="M4142" s="291"/>
      <c r="N4142" s="291"/>
      <c r="O4142" s="291"/>
      <c r="P4142" s="291"/>
      <c r="Q4142" s="367"/>
      <c r="R4142" s="367"/>
      <c r="S4142" s="364"/>
      <c r="Z4142" s="609" t="s">
        <v>4064</v>
      </c>
      <c r="AA4142" s="609" t="s">
        <v>5689</v>
      </c>
    </row>
    <row r="4143" spans="1:29" ht="18">
      <c r="A4143" s="2714"/>
      <c r="B4143" s="371">
        <v>101</v>
      </c>
      <c r="C4143" s="371" t="s">
        <v>2791</v>
      </c>
      <c r="D4143" s="2716">
        <f t="shared" ref="D4143:D4148" si="468">IF(OR(G4143="*",G4143="",G4143=0),0,COUNTIF($G$4143:$G$4148,G4143))</f>
        <v>1</v>
      </c>
      <c r="E4143" s="2721">
        <v>1</v>
      </c>
      <c r="F4143" s="294"/>
      <c r="G4143" s="1626" t="s">
        <v>3079</v>
      </c>
      <c r="H4143" s="309"/>
      <c r="I4143" s="360"/>
      <c r="J4143" s="346"/>
      <c r="K4143" s="355" t="s">
        <v>5364</v>
      </c>
      <c r="L4143" s="1522" t="s">
        <v>5365</v>
      </c>
      <c r="M4143" s="291"/>
      <c r="N4143" s="291"/>
      <c r="O4143" s="291"/>
      <c r="P4143" s="291"/>
      <c r="Q4143" s="367"/>
      <c r="R4143" s="367"/>
      <c r="S4143" s="364"/>
      <c r="Z4143" s="609" t="s">
        <v>4064</v>
      </c>
      <c r="AA4143" s="609" t="s">
        <v>5689</v>
      </c>
    </row>
    <row r="4144" spans="1:29" ht="18">
      <c r="A4144" s="2714"/>
      <c r="B4144" s="371">
        <v>102</v>
      </c>
      <c r="C4144" s="371" t="s">
        <v>2791</v>
      </c>
      <c r="D4144" s="2716">
        <f t="shared" si="468"/>
        <v>1</v>
      </c>
      <c r="E4144" s="2721">
        <v>1</v>
      </c>
      <c r="F4144" s="294"/>
      <c r="G4144" s="1626" t="s">
        <v>3080</v>
      </c>
      <c r="H4144" s="309"/>
      <c r="I4144" s="360"/>
      <c r="J4144" s="346"/>
      <c r="K4144" s="291"/>
      <c r="L4144" s="291"/>
      <c r="M4144" s="291"/>
      <c r="N4144" s="291"/>
      <c r="O4144" s="291"/>
      <c r="P4144" s="291"/>
      <c r="Q4144" s="367"/>
      <c r="R4144" s="367"/>
      <c r="S4144" s="364"/>
      <c r="Z4144" s="609" t="s">
        <v>4064</v>
      </c>
      <c r="AA4144" s="609" t="s">
        <v>5689</v>
      </c>
    </row>
    <row r="4145" spans="1:27" ht="18">
      <c r="A4145" s="2714"/>
      <c r="B4145" s="371">
        <v>103</v>
      </c>
      <c r="C4145" s="371" t="s">
        <v>2791</v>
      </c>
      <c r="D4145" s="2716">
        <f t="shared" si="468"/>
        <v>1</v>
      </c>
      <c r="E4145" s="2721">
        <v>1</v>
      </c>
      <c r="F4145" s="294"/>
      <c r="G4145" s="1626" t="s">
        <v>3081</v>
      </c>
      <c r="H4145" s="309"/>
      <c r="I4145" s="360"/>
      <c r="J4145" s="346"/>
      <c r="K4145" s="291"/>
      <c r="L4145" s="291"/>
      <c r="M4145" s="291"/>
      <c r="N4145" s="291"/>
      <c r="O4145" s="291"/>
      <c r="P4145" s="291"/>
      <c r="Q4145" s="367"/>
      <c r="R4145" s="367"/>
      <c r="S4145" s="364"/>
      <c r="Z4145" s="609" t="s">
        <v>4064</v>
      </c>
      <c r="AA4145" s="609" t="s">
        <v>5689</v>
      </c>
    </row>
    <row r="4146" spans="1:27" ht="18">
      <c r="A4146" s="2714"/>
      <c r="B4146" s="371">
        <v>104</v>
      </c>
      <c r="C4146" s="371" t="s">
        <v>2791</v>
      </c>
      <c r="D4146" s="2716">
        <f t="shared" si="468"/>
        <v>0</v>
      </c>
      <c r="E4146" s="2721">
        <v>1</v>
      </c>
      <c r="F4146" s="294"/>
      <c r="G4146" s="1626" t="s">
        <v>2792</v>
      </c>
      <c r="H4146" s="309"/>
      <c r="I4146" s="360"/>
      <c r="J4146" s="346"/>
      <c r="K4146" s="291"/>
      <c r="L4146" s="291"/>
      <c r="M4146" s="291"/>
      <c r="N4146" s="291"/>
      <c r="O4146" s="291"/>
      <c r="P4146" s="291"/>
      <c r="Q4146" s="367"/>
      <c r="R4146" s="367"/>
      <c r="S4146" s="364"/>
      <c r="Z4146" s="609" t="s">
        <v>4064</v>
      </c>
      <c r="AA4146" s="609" t="s">
        <v>5689</v>
      </c>
    </row>
    <row r="4147" spans="1:27" ht="18">
      <c r="A4147" s="2714"/>
      <c r="B4147" s="371">
        <v>105</v>
      </c>
      <c r="C4147" s="371" t="s">
        <v>2791</v>
      </c>
      <c r="D4147" s="2716">
        <f t="shared" si="468"/>
        <v>0</v>
      </c>
      <c r="E4147" s="2721">
        <v>1</v>
      </c>
      <c r="F4147" s="294"/>
      <c r="G4147" s="1626" t="s">
        <v>2792</v>
      </c>
      <c r="H4147" s="309"/>
      <c r="I4147" s="360"/>
      <c r="J4147" s="346"/>
      <c r="K4147" s="291"/>
      <c r="L4147" s="291"/>
      <c r="M4147" s="291"/>
      <c r="N4147" s="291"/>
      <c r="O4147" s="291"/>
      <c r="P4147" s="291"/>
      <c r="Q4147" s="367"/>
      <c r="R4147" s="367"/>
      <c r="S4147" s="364"/>
      <c r="Z4147" s="609" t="s">
        <v>4064</v>
      </c>
      <c r="AA4147" s="609" t="s">
        <v>5689</v>
      </c>
    </row>
    <row r="4148" spans="1:27" ht="18.75" thickBot="1">
      <c r="A4148" s="2714"/>
      <c r="B4148" s="371"/>
      <c r="C4148" s="371"/>
      <c r="D4148" s="2716">
        <f t="shared" si="468"/>
        <v>1</v>
      </c>
      <c r="E4148" s="2721" t="s">
        <v>3032</v>
      </c>
      <c r="F4148" s="294"/>
      <c r="G4148" s="1529" t="s">
        <v>2752</v>
      </c>
      <c r="H4148" s="1525"/>
      <c r="I4148" s="1526"/>
      <c r="J4148" s="1528">
        <f>SUMPRODUCT($E4142:$E4147,J4142:J4147)</f>
        <v>0</v>
      </c>
      <c r="K4148" s="291"/>
      <c r="L4148" s="291"/>
      <c r="M4148" s="291"/>
      <c r="N4148" s="291"/>
      <c r="O4148" s="291"/>
      <c r="P4148" s="291"/>
      <c r="Q4148" s="367"/>
      <c r="R4148" s="367"/>
      <c r="S4148" s="364"/>
      <c r="Z4148" s="609" t="s">
        <v>4064</v>
      </c>
      <c r="AA4148" s="609" t="s">
        <v>5689</v>
      </c>
    </row>
    <row r="4149" spans="1:27" ht="18">
      <c r="A4149" s="2714"/>
      <c r="B4149" s="371"/>
      <c r="C4149" s="371" t="s">
        <v>2755</v>
      </c>
      <c r="D4149" s="371"/>
      <c r="F4149" s="294"/>
      <c r="G4149" s="301"/>
      <c r="H4149" s="315"/>
      <c r="I4149" s="393"/>
      <c r="J4149" s="315"/>
      <c r="K4149" s="291"/>
      <c r="L4149" s="291"/>
      <c r="M4149" s="291"/>
      <c r="N4149" s="291"/>
      <c r="O4149" s="291"/>
      <c r="P4149" s="291"/>
      <c r="Q4149" s="367"/>
      <c r="R4149" s="367"/>
      <c r="S4149" s="364"/>
      <c r="Z4149" s="609" t="s">
        <v>4064</v>
      </c>
      <c r="AA4149" s="609" t="s">
        <v>5689</v>
      </c>
    </row>
    <row r="4150" spans="1:27" ht="18">
      <c r="A4150" s="2714">
        <v>2711</v>
      </c>
      <c r="B4150" s="371">
        <v>48.2</v>
      </c>
      <c r="C4150" s="2716" t="str">
        <f>VLOOKUP($A4150,Sheet_Items,2,0)</f>
        <v>专项应付款</v>
      </c>
      <c r="D4150" s="371"/>
      <c r="E4150" s="2716" t="s">
        <v>2739</v>
      </c>
      <c r="F4150" s="294"/>
      <c r="G4150" s="535" t="str">
        <f>B4150&amp;" "&amp;C4150</f>
        <v>48.2 专项应付款</v>
      </c>
      <c r="H4150" s="306"/>
      <c r="I4150" s="306"/>
      <c r="J4150" s="306" t="s">
        <v>2740</v>
      </c>
      <c r="K4150" s="341">
        <f>VLOOKUP($A4150,Sheet_Trialbal,6,0)</f>
        <v>0</v>
      </c>
      <c r="L4150" s="342"/>
      <c r="M4150" s="306" t="s">
        <v>2741</v>
      </c>
      <c r="N4150" s="341">
        <f>VLOOKUP($A4150,Sheet_Trialbal,10,0)</f>
        <v>0</v>
      </c>
      <c r="O4150" s="306"/>
      <c r="P4150" s="301"/>
      <c r="S4150" s="364"/>
      <c r="Z4150" s="609" t="s">
        <v>4068</v>
      </c>
      <c r="AA4150" s="609" t="s">
        <v>5690</v>
      </c>
    </row>
    <row r="4151" spans="1:27" ht="18">
      <c r="A4151" s="2714" t="s">
        <v>1697</v>
      </c>
      <c r="B4151" s="371">
        <v>1</v>
      </c>
      <c r="C4151" s="371"/>
      <c r="D4151" s="2716" t="str">
        <f>VLOOKUP($A4151,Sheet_NoteList,2,0)</f>
        <v>专项应付款明细项目</v>
      </c>
      <c r="E4151" s="2716" t="s">
        <v>2742</v>
      </c>
      <c r="F4151" s="294"/>
      <c r="G4151" s="307" t="str">
        <f>"("&amp;B4151&amp;")"&amp;D4151</f>
        <v>(1)专项应付款明细项目</v>
      </c>
      <c r="H4151" s="1517" t="str">
        <f>$A4151</f>
        <v>2711a</v>
      </c>
      <c r="I4151" s="343" t="s">
        <v>2743</v>
      </c>
      <c r="J4151" s="301" t="s">
        <v>2744</v>
      </c>
      <c r="K4151" s="2210">
        <f>K4159</f>
        <v>0</v>
      </c>
      <c r="L4151" s="345" t="str">
        <f>IF($I4151="适用",IF(ROUND(K4150-K4151,2)=0,"F/S",ROUND(K4150-K4151,2)),"#N/A")</f>
        <v>F/S</v>
      </c>
      <c r="M4151" s="301" t="s">
        <v>2745</v>
      </c>
      <c r="N4151" s="2210">
        <f>H4159</f>
        <v>0</v>
      </c>
      <c r="O4151" s="345" t="str">
        <f>IF($I4151="适用",IF(ROUND(N4150-N4151,2)=0,"F/S",ROUND(N4150-N4151,2)),"#N/A")</f>
        <v>F/S</v>
      </c>
      <c r="P4151" s="301"/>
      <c r="Q4151" s="290" t="str">
        <f>IF($I4151="不适用","",IF(ROUND(SUM($H$4154:$L$4159),2)=0,"请输入",""))</f>
        <v>请输入</v>
      </c>
      <c r="S4151" s="364"/>
      <c r="Z4151" s="609" t="s">
        <v>4068</v>
      </c>
      <c r="AA4151" s="609" t="s">
        <v>5690</v>
      </c>
    </row>
    <row r="4152" spans="1:27" ht="0.75" customHeight="1" thickBot="1">
      <c r="A4152" s="2714"/>
      <c r="B4152" s="371"/>
      <c r="C4152" s="371"/>
      <c r="D4152" s="371"/>
      <c r="E4152" s="586"/>
      <c r="F4152" s="518"/>
      <c r="G4152" s="518" t="s">
        <v>4069</v>
      </c>
      <c r="H4152" s="304" t="s">
        <v>2904</v>
      </c>
      <c r="I4152" s="304" t="s">
        <v>3255</v>
      </c>
      <c r="J4152" s="304" t="s">
        <v>3256</v>
      </c>
      <c r="K4152" s="304" t="s">
        <v>3241</v>
      </c>
      <c r="L4152" s="304" t="s">
        <v>4070</v>
      </c>
      <c r="M4152" s="291"/>
      <c r="N4152" s="291"/>
      <c r="O4152" s="291"/>
      <c r="P4152" s="291"/>
      <c r="S4152" s="364"/>
      <c r="Z4152" s="609" t="s">
        <v>4068</v>
      </c>
      <c r="AA4152" s="609" t="s">
        <v>5690</v>
      </c>
    </row>
    <row r="4153" spans="1:27" ht="18">
      <c r="A4153" s="2714"/>
      <c r="B4153" s="371"/>
      <c r="C4153" s="371"/>
      <c r="D4153" s="371"/>
      <c r="E4153" s="586" t="s">
        <v>2749</v>
      </c>
      <c r="F4153" s="363"/>
      <c r="G4153" s="2408" t="s">
        <v>47</v>
      </c>
      <c r="H4153" s="2475" t="str">
        <f>$V$3</f>
        <v>2018年12月31日</v>
      </c>
      <c r="I4153" s="2405" t="s">
        <v>3027</v>
      </c>
      <c r="J4153" s="2405" t="s">
        <v>3028</v>
      </c>
      <c r="K4153" s="2475" t="str">
        <f>$V$2</f>
        <v>2019年12月31日</v>
      </c>
      <c r="L4153" s="2402" t="s">
        <v>4071</v>
      </c>
      <c r="M4153" s="355" t="s">
        <v>5313</v>
      </c>
      <c r="N4153" s="291"/>
      <c r="O4153" s="291"/>
      <c r="P4153" s="291"/>
      <c r="S4153" s="364"/>
      <c r="Z4153" s="609" t="s">
        <v>4068</v>
      </c>
      <c r="AA4153" s="609" t="s">
        <v>5690</v>
      </c>
    </row>
    <row r="4154" spans="1:27" ht="18">
      <c r="A4154" s="2714"/>
      <c r="B4154" s="371">
        <v>101</v>
      </c>
      <c r="C4154" s="371" t="s">
        <v>2791</v>
      </c>
      <c r="D4154" s="2716">
        <f t="shared" ref="D4154:D4159" si="469">IF(OR(G4154="*",G4154="",G4154=0),0,COUNTIF($G$4154:$G$4159,G4154))</f>
        <v>0</v>
      </c>
      <c r="E4154" s="2721">
        <v>1</v>
      </c>
      <c r="F4154" s="294"/>
      <c r="G4154" s="2406" t="s">
        <v>2792</v>
      </c>
      <c r="H4154" s="2275"/>
      <c r="I4154" s="2275"/>
      <c r="J4154" s="2275"/>
      <c r="K4154" s="1476">
        <f>H4154+I4154-J4154</f>
        <v>0</v>
      </c>
      <c r="L4154" s="2276"/>
      <c r="M4154" s="291"/>
      <c r="N4154" s="291"/>
      <c r="O4154" s="291"/>
      <c r="P4154" s="291"/>
      <c r="S4154" s="364"/>
      <c r="Z4154" s="609" t="s">
        <v>4068</v>
      </c>
      <c r="AA4154" s="609" t="s">
        <v>5690</v>
      </c>
    </row>
    <row r="4155" spans="1:27" ht="18">
      <c r="A4155" s="2714"/>
      <c r="B4155" s="371">
        <v>102</v>
      </c>
      <c r="C4155" s="371" t="s">
        <v>2791</v>
      </c>
      <c r="D4155" s="2716">
        <f t="shared" si="469"/>
        <v>0</v>
      </c>
      <c r="E4155" s="2721">
        <v>1</v>
      </c>
      <c r="F4155" s="294"/>
      <c r="G4155" s="2406" t="s">
        <v>2792</v>
      </c>
      <c r="H4155" s="2275"/>
      <c r="I4155" s="2275"/>
      <c r="J4155" s="2275"/>
      <c r="K4155" s="1476">
        <f>H4155+I4155-J4155</f>
        <v>0</v>
      </c>
      <c r="L4155" s="2276"/>
      <c r="M4155" s="291"/>
      <c r="N4155" s="291"/>
      <c r="O4155" s="291"/>
      <c r="P4155" s="291"/>
      <c r="S4155" s="364"/>
      <c r="Z4155" s="609" t="s">
        <v>4068</v>
      </c>
      <c r="AA4155" s="609" t="s">
        <v>5690</v>
      </c>
    </row>
    <row r="4156" spans="1:27" ht="18">
      <c r="A4156" s="2714"/>
      <c r="B4156" s="371">
        <v>103</v>
      </c>
      <c r="C4156" s="371" t="s">
        <v>2791</v>
      </c>
      <c r="D4156" s="2716">
        <f t="shared" si="469"/>
        <v>0</v>
      </c>
      <c r="E4156" s="2721">
        <v>1</v>
      </c>
      <c r="F4156" s="294"/>
      <c r="G4156" s="2406" t="s">
        <v>2792</v>
      </c>
      <c r="H4156" s="2275"/>
      <c r="I4156" s="2275"/>
      <c r="J4156" s="2275"/>
      <c r="K4156" s="1476">
        <f>H4156+I4156-J4156</f>
        <v>0</v>
      </c>
      <c r="L4156" s="2276"/>
      <c r="M4156" s="291"/>
      <c r="N4156" s="291"/>
      <c r="O4156" s="291"/>
      <c r="P4156" s="291"/>
      <c r="S4156" s="364"/>
      <c r="Z4156" s="609" t="s">
        <v>4068</v>
      </c>
      <c r="AA4156" s="609" t="s">
        <v>5690</v>
      </c>
    </row>
    <row r="4157" spans="1:27" ht="18">
      <c r="A4157" s="2714"/>
      <c r="B4157" s="371">
        <v>104</v>
      </c>
      <c r="C4157" s="371" t="s">
        <v>2791</v>
      </c>
      <c r="D4157" s="2716">
        <f t="shared" si="469"/>
        <v>0</v>
      </c>
      <c r="E4157" s="2721">
        <v>1</v>
      </c>
      <c r="F4157" s="294"/>
      <c r="G4157" s="2406" t="s">
        <v>2792</v>
      </c>
      <c r="H4157" s="2275"/>
      <c r="I4157" s="2275"/>
      <c r="J4157" s="2275"/>
      <c r="K4157" s="1476">
        <f>H4157+I4157-J4157</f>
        <v>0</v>
      </c>
      <c r="L4157" s="2276"/>
      <c r="M4157" s="291"/>
      <c r="N4157" s="291"/>
      <c r="O4157" s="291"/>
      <c r="P4157" s="291"/>
      <c r="S4157" s="364"/>
      <c r="Z4157" s="609" t="s">
        <v>4068</v>
      </c>
      <c r="AA4157" s="609" t="s">
        <v>5690</v>
      </c>
    </row>
    <row r="4158" spans="1:27" ht="18">
      <c r="A4158" s="2714"/>
      <c r="B4158" s="371">
        <v>105</v>
      </c>
      <c r="C4158" s="371" t="s">
        <v>2791</v>
      </c>
      <c r="D4158" s="2716">
        <f t="shared" si="469"/>
        <v>0</v>
      </c>
      <c r="E4158" s="2721">
        <v>1</v>
      </c>
      <c r="F4158" s="294"/>
      <c r="G4158" s="2406" t="s">
        <v>2792</v>
      </c>
      <c r="H4158" s="2275"/>
      <c r="I4158" s="2275"/>
      <c r="J4158" s="2275"/>
      <c r="K4158" s="1476">
        <f>H4158+I4158-J4158</f>
        <v>0</v>
      </c>
      <c r="L4158" s="2276"/>
      <c r="M4158" s="291"/>
      <c r="N4158" s="291"/>
      <c r="O4158" s="291"/>
      <c r="P4158" s="291"/>
      <c r="S4158" s="364"/>
      <c r="Z4158" s="609" t="s">
        <v>4068</v>
      </c>
      <c r="AA4158" s="609" t="s">
        <v>5690</v>
      </c>
    </row>
    <row r="4159" spans="1:27" ht="18.75" thickBot="1">
      <c r="A4159" s="2714"/>
      <c r="B4159" s="371"/>
      <c r="C4159" s="371"/>
      <c r="D4159" s="2716">
        <f t="shared" si="469"/>
        <v>1</v>
      </c>
      <c r="E4159" s="2721" t="s">
        <v>2751</v>
      </c>
      <c r="F4159" s="294"/>
      <c r="G4159" s="374" t="s">
        <v>2752</v>
      </c>
      <c r="H4159" s="1478">
        <f>SUMPRODUCT($E4153:$E4158,H4153:H4158)</f>
        <v>0</v>
      </c>
      <c r="I4159" s="1478">
        <f>SUMPRODUCT($E4153:$E4158,I4153:I4158)</f>
        <v>0</v>
      </c>
      <c r="J4159" s="1478">
        <f>SUMPRODUCT($E4153:$E4158,J4153:J4158)</f>
        <v>0</v>
      </c>
      <c r="K4159" s="1478">
        <f>SUMPRODUCT($E4153:$E4158,K4153:K4158)</f>
        <v>0</v>
      </c>
      <c r="L4159" s="2260"/>
      <c r="M4159" s="291"/>
      <c r="N4159" s="291"/>
      <c r="O4159" s="291"/>
      <c r="P4159" s="291"/>
      <c r="S4159" s="364"/>
      <c r="Z4159" s="609" t="s">
        <v>4068</v>
      </c>
      <c r="AA4159" s="609" t="s">
        <v>5690</v>
      </c>
    </row>
    <row r="4160" spans="1:27" ht="18">
      <c r="A4160" s="2714"/>
      <c r="B4160" s="371"/>
      <c r="C4160" s="371" t="s">
        <v>2755</v>
      </c>
      <c r="D4160" s="371"/>
      <c r="F4160" s="294"/>
      <c r="G4160" s="301"/>
      <c r="H4160" s="315"/>
      <c r="I4160" s="315"/>
      <c r="J4160" s="315"/>
      <c r="K4160" s="315"/>
      <c r="L4160" s="393"/>
      <c r="M4160" s="291"/>
      <c r="N4160" s="291"/>
      <c r="O4160" s="291"/>
      <c r="P4160" s="291"/>
      <c r="S4160" s="364"/>
      <c r="Z4160" s="609" t="s">
        <v>4068</v>
      </c>
      <c r="AA4160" s="609" t="s">
        <v>5690</v>
      </c>
    </row>
    <row r="4161" spans="1:27" ht="18">
      <c r="A4161" s="2714" t="s">
        <v>1702</v>
      </c>
      <c r="B4161" s="371">
        <v>2</v>
      </c>
      <c r="C4161" s="371"/>
      <c r="D4161" s="2716" t="str">
        <f>VLOOKUP($A4161,Sheet_NoteList,2,0)</f>
        <v>外币专项应付款</v>
      </c>
      <c r="E4161" s="2716" t="s">
        <v>6531</v>
      </c>
      <c r="F4161" s="294"/>
      <c r="G4161" s="307" t="str">
        <f>"("&amp;B4161&amp;")"&amp;D4161</f>
        <v>(2)外币专项应付款</v>
      </c>
      <c r="H4161" s="1517" t="str">
        <f>$A4161</f>
        <v>2711b</v>
      </c>
      <c r="I4161" s="343" t="s">
        <v>5584</v>
      </c>
      <c r="J4161" s="301" t="s">
        <v>5583</v>
      </c>
      <c r="K4161" s="2210">
        <f>J4169</f>
        <v>0</v>
      </c>
      <c r="L4161" s="345"/>
      <c r="M4161" s="301"/>
      <c r="N4161" s="391"/>
      <c r="O4161" s="345" t="str">
        <f>IF($I4161="适用",IF(ROUND(N$3446-N4161,2)&gt;=0,"","#Logical!"),"#N/A")</f>
        <v/>
      </c>
      <c r="P4161" s="301"/>
      <c r="Q4161" s="290" t="str">
        <f>IF($I4161="不适用","",IF(ROUND(SUM($H$4164:$J$4169),2)=0,"请输入",""))</f>
        <v>请输入</v>
      </c>
      <c r="S4161" s="364"/>
      <c r="Z4161" s="609" t="s">
        <v>4068</v>
      </c>
      <c r="AA4161" s="609" t="s">
        <v>5690</v>
      </c>
    </row>
    <row r="4162" spans="1:27" ht="0.75" customHeight="1" thickBot="1">
      <c r="A4162" s="2714"/>
      <c r="B4162" s="371"/>
      <c r="C4162" s="371"/>
      <c r="D4162" s="371"/>
      <c r="F4162" s="304"/>
      <c r="G4162" s="304" t="s">
        <v>4072</v>
      </c>
      <c r="H4162" s="304" t="s">
        <v>3073</v>
      </c>
      <c r="I4162" s="304" t="s">
        <v>3074</v>
      </c>
      <c r="J4162" s="304" t="s">
        <v>3075</v>
      </c>
      <c r="K4162" s="387"/>
      <c r="L4162" s="291"/>
      <c r="M4162" s="291"/>
      <c r="N4162" s="291"/>
      <c r="O4162" s="291"/>
      <c r="P4162" s="291"/>
      <c r="Q4162" s="367"/>
      <c r="R4162" s="367"/>
      <c r="S4162" s="364"/>
      <c r="Z4162" s="609" t="s">
        <v>4068</v>
      </c>
      <c r="AA4162" s="609" t="s">
        <v>5690</v>
      </c>
    </row>
    <row r="4163" spans="1:27" ht="24">
      <c r="A4163" s="2714"/>
      <c r="B4163" s="371"/>
      <c r="C4163" s="371"/>
      <c r="D4163" s="371"/>
      <c r="E4163" s="2716" t="s">
        <v>2749</v>
      </c>
      <c r="F4163" s="294"/>
      <c r="G4163" s="1629" t="s">
        <v>1371</v>
      </c>
      <c r="H4163" s="1627" t="s">
        <v>3076</v>
      </c>
      <c r="I4163" s="1627" t="s">
        <v>3077</v>
      </c>
      <c r="J4163" s="1628" t="s">
        <v>3078</v>
      </c>
      <c r="K4163" s="355" t="s">
        <v>5604</v>
      </c>
      <c r="L4163" s="291"/>
      <c r="M4163" s="291"/>
      <c r="N4163" s="291"/>
      <c r="O4163" s="291"/>
      <c r="P4163" s="291"/>
      <c r="Q4163" s="367"/>
      <c r="R4163" s="367"/>
      <c r="S4163" s="364"/>
      <c r="Z4163" s="609" t="s">
        <v>4068</v>
      </c>
      <c r="AA4163" s="609" t="s">
        <v>5690</v>
      </c>
    </row>
    <row r="4164" spans="1:27" ht="18">
      <c r="A4164" s="2714"/>
      <c r="B4164" s="371">
        <v>101</v>
      </c>
      <c r="C4164" s="371" t="s">
        <v>2791</v>
      </c>
      <c r="D4164" s="2716">
        <f t="shared" ref="D4164:D4169" si="470">IF(OR(G4164="*",G4164="",G4164=0),0,COUNTIF($G$4164:$G$4169,G4164))</f>
        <v>1</v>
      </c>
      <c r="E4164" s="2721">
        <v>1</v>
      </c>
      <c r="F4164" s="294"/>
      <c r="G4164" s="1626" t="s">
        <v>3079</v>
      </c>
      <c r="H4164" s="309"/>
      <c r="I4164" s="360"/>
      <c r="J4164" s="346"/>
      <c r="K4164" s="355" t="s">
        <v>5364</v>
      </c>
      <c r="L4164" s="1522" t="s">
        <v>5365</v>
      </c>
      <c r="M4164" s="291"/>
      <c r="N4164" s="291"/>
      <c r="O4164" s="291"/>
      <c r="P4164" s="291"/>
      <c r="Q4164" s="367"/>
      <c r="R4164" s="367"/>
      <c r="S4164" s="364"/>
      <c r="Z4164" s="609" t="s">
        <v>4068</v>
      </c>
      <c r="AA4164" s="609" t="s">
        <v>5690</v>
      </c>
    </row>
    <row r="4165" spans="1:27" ht="18">
      <c r="A4165" s="2714"/>
      <c r="B4165" s="371">
        <v>102</v>
      </c>
      <c r="C4165" s="371" t="s">
        <v>2791</v>
      </c>
      <c r="D4165" s="2716">
        <f t="shared" si="470"/>
        <v>1</v>
      </c>
      <c r="E4165" s="2721">
        <v>1</v>
      </c>
      <c r="F4165" s="294"/>
      <c r="G4165" s="1626" t="s">
        <v>3080</v>
      </c>
      <c r="H4165" s="309"/>
      <c r="I4165" s="360"/>
      <c r="J4165" s="346"/>
      <c r="K4165" s="291"/>
      <c r="L4165" s="291"/>
      <c r="M4165" s="291"/>
      <c r="N4165" s="291"/>
      <c r="O4165" s="291"/>
      <c r="P4165" s="291"/>
      <c r="Q4165" s="367"/>
      <c r="R4165" s="367"/>
      <c r="S4165" s="364"/>
      <c r="Z4165" s="609" t="s">
        <v>4068</v>
      </c>
      <c r="AA4165" s="609" t="s">
        <v>5690</v>
      </c>
    </row>
    <row r="4166" spans="1:27" ht="18">
      <c r="A4166" s="2714"/>
      <c r="B4166" s="371">
        <v>103</v>
      </c>
      <c r="C4166" s="371" t="s">
        <v>2791</v>
      </c>
      <c r="D4166" s="2716">
        <f t="shared" si="470"/>
        <v>1</v>
      </c>
      <c r="E4166" s="2721">
        <v>1</v>
      </c>
      <c r="F4166" s="294"/>
      <c r="G4166" s="1626" t="s">
        <v>3081</v>
      </c>
      <c r="H4166" s="309"/>
      <c r="I4166" s="360"/>
      <c r="J4166" s="346"/>
      <c r="K4166" s="291"/>
      <c r="L4166" s="291"/>
      <c r="M4166" s="291"/>
      <c r="N4166" s="291"/>
      <c r="O4166" s="291"/>
      <c r="P4166" s="291"/>
      <c r="Q4166" s="367"/>
      <c r="R4166" s="367"/>
      <c r="S4166" s="364"/>
      <c r="Z4166" s="609" t="s">
        <v>4068</v>
      </c>
      <c r="AA4166" s="609" t="s">
        <v>5690</v>
      </c>
    </row>
    <row r="4167" spans="1:27" ht="18">
      <c r="A4167" s="2714"/>
      <c r="B4167" s="371">
        <v>104</v>
      </c>
      <c r="C4167" s="371" t="s">
        <v>2791</v>
      </c>
      <c r="D4167" s="2716">
        <f t="shared" si="470"/>
        <v>0</v>
      </c>
      <c r="E4167" s="2721">
        <v>1</v>
      </c>
      <c r="F4167" s="294"/>
      <c r="G4167" s="1626" t="s">
        <v>2792</v>
      </c>
      <c r="H4167" s="309"/>
      <c r="I4167" s="360"/>
      <c r="J4167" s="346"/>
      <c r="K4167" s="291"/>
      <c r="L4167" s="291"/>
      <c r="M4167" s="291"/>
      <c r="N4167" s="291"/>
      <c r="O4167" s="291"/>
      <c r="P4167" s="291"/>
      <c r="Q4167" s="367"/>
      <c r="R4167" s="367"/>
      <c r="S4167" s="364"/>
      <c r="Z4167" s="609" t="s">
        <v>4068</v>
      </c>
      <c r="AA4167" s="609" t="s">
        <v>5690</v>
      </c>
    </row>
    <row r="4168" spans="1:27" ht="18">
      <c r="A4168" s="2714"/>
      <c r="B4168" s="371">
        <v>105</v>
      </c>
      <c r="C4168" s="371" t="s">
        <v>2791</v>
      </c>
      <c r="D4168" s="2716">
        <f t="shared" si="470"/>
        <v>0</v>
      </c>
      <c r="E4168" s="2721">
        <v>1</v>
      </c>
      <c r="F4168" s="294"/>
      <c r="G4168" s="1626" t="s">
        <v>2792</v>
      </c>
      <c r="H4168" s="309"/>
      <c r="I4168" s="360"/>
      <c r="J4168" s="346"/>
      <c r="K4168" s="291"/>
      <c r="L4168" s="291"/>
      <c r="M4168" s="291"/>
      <c r="N4168" s="291"/>
      <c r="O4168" s="291"/>
      <c r="P4168" s="291"/>
      <c r="Q4168" s="367"/>
      <c r="R4168" s="367"/>
      <c r="S4168" s="364"/>
      <c r="Z4168" s="609" t="s">
        <v>4068</v>
      </c>
      <c r="AA4168" s="609" t="s">
        <v>5690</v>
      </c>
    </row>
    <row r="4169" spans="1:27" ht="18.75" thickBot="1">
      <c r="A4169" s="2714"/>
      <c r="B4169" s="371"/>
      <c r="C4169" s="371"/>
      <c r="D4169" s="2716">
        <f t="shared" si="470"/>
        <v>1</v>
      </c>
      <c r="E4169" s="2721" t="s">
        <v>3032</v>
      </c>
      <c r="F4169" s="294"/>
      <c r="G4169" s="1529" t="s">
        <v>2752</v>
      </c>
      <c r="H4169" s="1525"/>
      <c r="I4169" s="1526"/>
      <c r="J4169" s="1528">
        <f>SUMPRODUCT($E4163:$E4168,J4163:J4168)</f>
        <v>0</v>
      </c>
      <c r="K4169" s="291"/>
      <c r="L4169" s="291"/>
      <c r="M4169" s="291"/>
      <c r="N4169" s="291"/>
      <c r="O4169" s="291"/>
      <c r="P4169" s="291"/>
      <c r="Q4169" s="367"/>
      <c r="R4169" s="367"/>
      <c r="S4169" s="364"/>
      <c r="Z4169" s="609" t="s">
        <v>4068</v>
      </c>
      <c r="AA4169" s="609" t="s">
        <v>5690</v>
      </c>
    </row>
    <row r="4170" spans="1:27" ht="18">
      <c r="A4170" s="2714"/>
      <c r="B4170" s="371"/>
      <c r="C4170" s="371" t="s">
        <v>2755</v>
      </c>
      <c r="D4170" s="371"/>
      <c r="F4170" s="294"/>
      <c r="G4170" s="301"/>
      <c r="H4170" s="315"/>
      <c r="I4170" s="393"/>
      <c r="J4170" s="315"/>
      <c r="K4170" s="291"/>
      <c r="L4170" s="291"/>
      <c r="M4170" s="291"/>
      <c r="N4170" s="291"/>
      <c r="O4170" s="291"/>
      <c r="P4170" s="291"/>
      <c r="Q4170" s="367"/>
      <c r="R4170" s="367"/>
      <c r="S4170" s="364"/>
      <c r="Z4170" s="609" t="s">
        <v>4068</v>
      </c>
      <c r="AA4170" s="609" t="s">
        <v>5690</v>
      </c>
    </row>
    <row r="4171" spans="1:27" ht="18">
      <c r="A4171" s="2714">
        <v>2715</v>
      </c>
      <c r="B4171" s="371">
        <v>49</v>
      </c>
      <c r="C4171" s="2716" t="str">
        <f>VLOOKUP($A4171,Sheet_Items,2,0)</f>
        <v>长期应付职工薪酬</v>
      </c>
      <c r="D4171" s="371"/>
      <c r="E4171" s="2716" t="s">
        <v>2739</v>
      </c>
      <c r="F4171" s="294"/>
      <c r="G4171" s="535" t="str">
        <f>B4171&amp;" "&amp;C4171</f>
        <v>49 长期应付职工薪酬</v>
      </c>
      <c r="H4171" s="306"/>
      <c r="I4171" s="306"/>
      <c r="J4171" s="306" t="s">
        <v>2740</v>
      </c>
      <c r="K4171" s="341">
        <f>VLOOKUP($A4171,Sheet_Trialbal,6,0)</f>
        <v>0</v>
      </c>
      <c r="L4171" s="342"/>
      <c r="M4171" s="306" t="s">
        <v>2741</v>
      </c>
      <c r="N4171" s="341">
        <f>VLOOKUP($A4171,Sheet_Trialbal,10,0)</f>
        <v>0</v>
      </c>
      <c r="O4171" s="306"/>
      <c r="P4171" s="301"/>
      <c r="S4171" s="364"/>
      <c r="Z4171" s="609" t="s">
        <v>4073</v>
      </c>
      <c r="AA4171" s="609" t="s">
        <v>5691</v>
      </c>
    </row>
    <row r="4172" spans="1:27" ht="18">
      <c r="A4172" s="2714" t="s">
        <v>1707</v>
      </c>
      <c r="B4172" s="371">
        <v>1</v>
      </c>
      <c r="C4172" s="371"/>
      <c r="D4172" s="2716" t="str">
        <f>VLOOKUP($A4172,Sheet_NoteList,2,0)</f>
        <v>长期应付职工薪酬明细</v>
      </c>
      <c r="E4172" s="2716" t="s">
        <v>2742</v>
      </c>
      <c r="F4172" s="294"/>
      <c r="G4172" s="307" t="str">
        <f>"("&amp;B4172&amp;")"&amp;D4172</f>
        <v>(1)长期应付职工薪酬明细</v>
      </c>
      <c r="H4172" s="1517" t="str">
        <f>$A4172</f>
        <v>2715a</v>
      </c>
      <c r="I4172" s="343" t="s">
        <v>2743</v>
      </c>
      <c r="J4172" s="301" t="s">
        <v>2744</v>
      </c>
      <c r="K4172" s="2210">
        <f>H4180</f>
        <v>0</v>
      </c>
      <c r="L4172" s="345" t="str">
        <f>IF($I4172="适用",IF(ROUND(K4171-K4172,2)=0,"F/S",ROUND(K4171-K4172,2)),"#N/A")</f>
        <v>F/S</v>
      </c>
      <c r="M4172" s="301" t="s">
        <v>2745</v>
      </c>
      <c r="N4172" s="2210">
        <f>I4180</f>
        <v>0</v>
      </c>
      <c r="O4172" s="345" t="str">
        <f>IF($I4172="适用",IF(ROUND(N4171-N4172,2)=0,"F/S",ROUND(N4171-N4172,2)),"#N/A")</f>
        <v>F/S</v>
      </c>
      <c r="P4172" s="301"/>
      <c r="Q4172" s="290" t="str">
        <f>IF($I4172="不适用","",IF(ROUND(SUM($H$4175:$I$4180),2)=0,"请输入",""))</f>
        <v>请输入</v>
      </c>
      <c r="S4172" s="364"/>
      <c r="Z4172" s="609" t="s">
        <v>4073</v>
      </c>
      <c r="AA4172" s="609" t="s">
        <v>5691</v>
      </c>
    </row>
    <row r="4173" spans="1:27" ht="0.75" customHeight="1" thickBot="1">
      <c r="A4173" s="2714"/>
      <c r="B4173" s="371"/>
      <c r="C4173" s="371"/>
      <c r="D4173" s="371"/>
      <c r="E4173" s="586"/>
      <c r="F4173" s="518"/>
      <c r="G4173" s="518" t="s">
        <v>4074</v>
      </c>
      <c r="H4173" s="304" t="s">
        <v>2747</v>
      </c>
      <c r="I4173" s="304" t="s">
        <v>2748</v>
      </c>
      <c r="N4173" s="291"/>
      <c r="O4173" s="291"/>
      <c r="P4173" s="291"/>
      <c r="Q4173" s="367"/>
      <c r="R4173" s="367"/>
      <c r="S4173" s="364"/>
      <c r="Z4173" s="609" t="s">
        <v>4073</v>
      </c>
      <c r="AA4173" s="609" t="s">
        <v>5691</v>
      </c>
    </row>
    <row r="4174" spans="1:27" ht="18">
      <c r="A4174" s="2714"/>
      <c r="B4174" s="371"/>
      <c r="C4174" s="371"/>
      <c r="D4174" s="371"/>
      <c r="E4174" s="586" t="s">
        <v>2749</v>
      </c>
      <c r="F4174" s="363"/>
      <c r="G4174" s="2411" t="s">
        <v>47</v>
      </c>
      <c r="H4174" s="2225" t="str">
        <f>$V$2</f>
        <v>2019年12月31日</v>
      </c>
      <c r="I4174" s="2226" t="str">
        <f>$V$3</f>
        <v>2018年12月31日</v>
      </c>
      <c r="J4174" s="355" t="s">
        <v>5314</v>
      </c>
      <c r="N4174" s="291"/>
      <c r="O4174" s="291"/>
      <c r="P4174" s="291"/>
      <c r="Q4174" s="367"/>
      <c r="R4174" s="367"/>
      <c r="S4174" s="364"/>
      <c r="Z4174" s="609" t="s">
        <v>4073</v>
      </c>
      <c r="AA4174" s="609" t="s">
        <v>5691</v>
      </c>
    </row>
    <row r="4175" spans="1:27" ht="24">
      <c r="A4175" s="2714"/>
      <c r="B4175" s="371">
        <v>101</v>
      </c>
      <c r="C4175" s="371"/>
      <c r="D4175" s="2716">
        <f t="shared" ref="D4175:D4180" si="471">IF(OR(G4175="*",G4175="",G4175=0),0,COUNTIF($G$4175:$G$4180,G4175))</f>
        <v>1</v>
      </c>
      <c r="E4175" s="2721">
        <v>1</v>
      </c>
      <c r="F4175" s="294"/>
      <c r="G4175" s="1474" t="s">
        <v>4075</v>
      </c>
      <c r="H4175" s="2275"/>
      <c r="I4175" s="2296"/>
      <c r="N4175" s="291"/>
      <c r="O4175" s="291"/>
      <c r="P4175" s="291"/>
      <c r="Q4175" s="367"/>
      <c r="R4175" s="367"/>
      <c r="S4175" s="364"/>
      <c r="Z4175" s="609" t="s">
        <v>4073</v>
      </c>
      <c r="AA4175" s="609" t="s">
        <v>5691</v>
      </c>
    </row>
    <row r="4176" spans="1:27" ht="18">
      <c r="A4176" s="2714"/>
      <c r="B4176" s="371">
        <v>102</v>
      </c>
      <c r="C4176" s="371"/>
      <c r="D4176" s="2716">
        <f t="shared" si="471"/>
        <v>1</v>
      </c>
      <c r="E4176" s="2721">
        <v>1</v>
      </c>
      <c r="F4176" s="294"/>
      <c r="G4176" s="1474" t="s">
        <v>4076</v>
      </c>
      <c r="H4176" s="2275"/>
      <c r="I4176" s="2296"/>
      <c r="N4176" s="291"/>
      <c r="O4176" s="291"/>
      <c r="P4176" s="291"/>
      <c r="Q4176" s="367"/>
      <c r="R4176" s="367"/>
      <c r="S4176" s="364"/>
      <c r="Z4176" s="609" t="s">
        <v>4073</v>
      </c>
      <c r="AA4176" s="609" t="s">
        <v>5691</v>
      </c>
    </row>
    <row r="4177" spans="1:27" ht="18">
      <c r="A4177" s="2714"/>
      <c r="B4177" s="371">
        <v>103</v>
      </c>
      <c r="C4177" s="371"/>
      <c r="D4177" s="2716">
        <f t="shared" si="471"/>
        <v>1</v>
      </c>
      <c r="E4177" s="2721">
        <v>1</v>
      </c>
      <c r="F4177" s="294"/>
      <c r="G4177" s="1474" t="s">
        <v>4077</v>
      </c>
      <c r="H4177" s="2275"/>
      <c r="I4177" s="2296"/>
      <c r="N4177" s="291"/>
      <c r="O4177" s="291"/>
      <c r="P4177" s="291"/>
      <c r="Q4177" s="367"/>
      <c r="R4177" s="367"/>
      <c r="S4177" s="364"/>
      <c r="Z4177" s="609" t="s">
        <v>4073</v>
      </c>
      <c r="AA4177" s="609" t="s">
        <v>5691</v>
      </c>
    </row>
    <row r="4178" spans="1:27" ht="18">
      <c r="A4178" s="2714"/>
      <c r="B4178" s="371">
        <v>104</v>
      </c>
      <c r="C4178" s="371" t="s">
        <v>2791</v>
      </c>
      <c r="D4178" s="2716">
        <f t="shared" si="471"/>
        <v>0</v>
      </c>
      <c r="E4178" s="2721">
        <v>1</v>
      </c>
      <c r="F4178" s="294"/>
      <c r="G4178" s="2418" t="s">
        <v>2792</v>
      </c>
      <c r="H4178" s="2275"/>
      <c r="I4178" s="2296"/>
      <c r="N4178" s="291"/>
      <c r="O4178" s="291"/>
      <c r="P4178" s="291"/>
      <c r="Q4178" s="367"/>
      <c r="R4178" s="367"/>
      <c r="S4178" s="364"/>
      <c r="Z4178" s="609" t="s">
        <v>4073</v>
      </c>
      <c r="AA4178" s="609" t="s">
        <v>5691</v>
      </c>
    </row>
    <row r="4179" spans="1:27" ht="18">
      <c r="A4179" s="2714"/>
      <c r="B4179" s="371">
        <v>105</v>
      </c>
      <c r="C4179" s="371" t="s">
        <v>2791</v>
      </c>
      <c r="D4179" s="2716">
        <f t="shared" si="471"/>
        <v>0</v>
      </c>
      <c r="E4179" s="2721">
        <v>1</v>
      </c>
      <c r="F4179" s="294"/>
      <c r="G4179" s="2418" t="s">
        <v>2792</v>
      </c>
      <c r="H4179" s="2275"/>
      <c r="I4179" s="2296"/>
      <c r="N4179" s="291"/>
      <c r="O4179" s="291"/>
      <c r="P4179" s="291"/>
      <c r="Q4179" s="367"/>
      <c r="R4179" s="367"/>
      <c r="S4179" s="364"/>
      <c r="Z4179" s="609" t="s">
        <v>4073</v>
      </c>
      <c r="AA4179" s="609" t="s">
        <v>5691</v>
      </c>
    </row>
    <row r="4180" spans="1:27" ht="18.75" thickBot="1">
      <c r="A4180" s="2714"/>
      <c r="B4180" s="371"/>
      <c r="C4180" s="371"/>
      <c r="D4180" s="2716">
        <f t="shared" si="471"/>
        <v>1</v>
      </c>
      <c r="E4180" s="2721" t="s">
        <v>2751</v>
      </c>
      <c r="F4180" s="294"/>
      <c r="G4180" s="374" t="s">
        <v>2752</v>
      </c>
      <c r="H4180" s="1478">
        <f>SUMPRODUCT($E4174:$E4179,H4174:H4179)</f>
        <v>0</v>
      </c>
      <c r="I4180" s="1479">
        <f>SUMPRODUCT($E4174:$E4179,I4174:I4179)</f>
        <v>0</v>
      </c>
      <c r="N4180" s="291"/>
      <c r="O4180" s="291"/>
      <c r="P4180" s="291"/>
      <c r="Q4180" s="367"/>
      <c r="R4180" s="367"/>
      <c r="S4180" s="364"/>
      <c r="Z4180" s="609" t="s">
        <v>4073</v>
      </c>
      <c r="AA4180" s="609" t="s">
        <v>5691</v>
      </c>
    </row>
    <row r="4181" spans="1:27" ht="18">
      <c r="A4181" s="2714"/>
      <c r="B4181" s="371"/>
      <c r="C4181" s="371" t="s">
        <v>2755</v>
      </c>
      <c r="D4181" s="371"/>
      <c r="F4181" s="294"/>
      <c r="G4181" s="301"/>
      <c r="H4181" s="315"/>
      <c r="I4181" s="315"/>
      <c r="J4181" s="349"/>
      <c r="K4181" s="349"/>
      <c r="L4181" s="315"/>
      <c r="M4181" s="393"/>
      <c r="N4181" s="291"/>
      <c r="O4181" s="291"/>
      <c r="P4181" s="291"/>
      <c r="Q4181" s="367"/>
      <c r="R4181" s="367"/>
      <c r="S4181" s="364"/>
      <c r="Z4181" s="609" t="s">
        <v>4073</v>
      </c>
      <c r="AA4181" s="609" t="s">
        <v>5691</v>
      </c>
    </row>
    <row r="4182" spans="1:27" ht="36">
      <c r="A4182" s="2714" t="s">
        <v>1712</v>
      </c>
      <c r="B4182" s="371">
        <v>2.1</v>
      </c>
      <c r="C4182" s="371"/>
      <c r="D4182" s="2716" t="str">
        <f>VLOOKUP($A4182,Sheet_NoteList,2,0)</f>
        <v>设定受益计划变动情况（设定受益计划义务现值）</v>
      </c>
      <c r="E4182" s="2716" t="s">
        <v>2742</v>
      </c>
      <c r="F4182" s="294"/>
      <c r="G4182" s="372" t="str">
        <f>"("&amp;B4182&amp;")"&amp;D4182</f>
        <v>(2.1)设定受益计划变动情况（设定受益计划义务现值）</v>
      </c>
      <c r="H4182" s="1517" t="str">
        <f>$A4182</f>
        <v>2715b</v>
      </c>
      <c r="I4182" s="343" t="s">
        <v>2743</v>
      </c>
      <c r="J4182" s="301"/>
      <c r="K4182" s="391"/>
      <c r="L4182" s="345"/>
      <c r="M4182" s="301"/>
      <c r="N4182" s="391"/>
      <c r="O4182" s="345"/>
      <c r="P4182" s="301"/>
      <c r="S4182" s="364"/>
      <c r="Z4182" s="609" t="s">
        <v>4073</v>
      </c>
      <c r="AA4182" s="609" t="s">
        <v>5691</v>
      </c>
    </row>
    <row r="4183" spans="1:27" ht="0.75" customHeight="1" thickBot="1">
      <c r="A4183" s="2714"/>
      <c r="B4183" s="371"/>
      <c r="C4183" s="371"/>
      <c r="D4183" s="371"/>
      <c r="E4183" s="586"/>
      <c r="F4183" s="518"/>
      <c r="G4183" s="518" t="s">
        <v>4078</v>
      </c>
      <c r="H4183" s="304" t="s">
        <v>3472</v>
      </c>
      <c r="I4183" s="304" t="s">
        <v>3473</v>
      </c>
      <c r="J4183" s="291"/>
      <c r="K4183" s="291"/>
      <c r="L4183" s="291"/>
      <c r="M4183" s="291"/>
      <c r="S4183" s="364"/>
      <c r="Z4183" s="609" t="s">
        <v>4073</v>
      </c>
      <c r="AA4183" s="609" t="s">
        <v>5691</v>
      </c>
    </row>
    <row r="4184" spans="1:27" ht="18">
      <c r="A4184" s="2714"/>
      <c r="B4184" s="371"/>
      <c r="C4184" s="371"/>
      <c r="D4184" s="371"/>
      <c r="E4184" s="586" t="s">
        <v>2749</v>
      </c>
      <c r="F4184" s="363"/>
      <c r="G4184" s="2410" t="s">
        <v>47</v>
      </c>
      <c r="H4184" s="2232" t="str">
        <f>$V$4</f>
        <v>2019年度</v>
      </c>
      <c r="I4184" s="2233" t="str">
        <f>$V$5</f>
        <v>2018年度</v>
      </c>
      <c r="J4184" s="355" t="s">
        <v>5314</v>
      </c>
      <c r="K4184" s="291"/>
      <c r="L4184" s="291"/>
      <c r="M4184" s="291"/>
      <c r="S4184" s="364"/>
      <c r="Z4184" s="609" t="s">
        <v>4073</v>
      </c>
      <c r="AA4184" s="609" t="s">
        <v>5691</v>
      </c>
    </row>
    <row r="4185" spans="1:27" ht="18">
      <c r="A4185" s="2714"/>
      <c r="B4185" s="371">
        <v>101</v>
      </c>
      <c r="C4185" s="371"/>
      <c r="D4185" s="2716">
        <f t="shared" ref="D4185:D4200" si="472">IF(OR(G4185="*",G4185="",G4185=0),0,COUNTIF($G$4185:$G$4200,G4185))</f>
        <v>1</v>
      </c>
      <c r="E4185" s="2721">
        <v>1</v>
      </c>
      <c r="F4185" s="294"/>
      <c r="G4185" s="1474" t="s">
        <v>3474</v>
      </c>
      <c r="H4185" s="2275"/>
      <c r="I4185" s="2296"/>
      <c r="J4185" s="291"/>
      <c r="K4185" s="291"/>
      <c r="L4185" s="291"/>
      <c r="M4185" s="291"/>
      <c r="S4185" s="364"/>
      <c r="Z4185" s="609" t="s">
        <v>4073</v>
      </c>
      <c r="AA4185" s="609" t="s">
        <v>5691</v>
      </c>
    </row>
    <row r="4186" spans="1:27" ht="24">
      <c r="A4186" s="2714"/>
      <c r="B4186" s="371">
        <v>102</v>
      </c>
      <c r="C4186" s="371"/>
      <c r="D4186" s="2716">
        <f t="shared" si="472"/>
        <v>1</v>
      </c>
      <c r="E4186" s="2721">
        <v>1</v>
      </c>
      <c r="F4186" s="294"/>
      <c r="G4186" s="1474" t="s">
        <v>3475</v>
      </c>
      <c r="H4186" s="2275"/>
      <c r="I4186" s="2296"/>
      <c r="J4186" s="355"/>
      <c r="K4186" s="291"/>
      <c r="L4186" s="291"/>
      <c r="M4186" s="291"/>
      <c r="S4186" s="364"/>
      <c r="Z4186" s="609" t="s">
        <v>4073</v>
      </c>
      <c r="AA4186" s="609" t="s">
        <v>5691</v>
      </c>
    </row>
    <row r="4187" spans="1:27" ht="18">
      <c r="A4187" s="2714"/>
      <c r="B4187" s="371">
        <v>103</v>
      </c>
      <c r="C4187" s="371"/>
      <c r="D4187" s="2716">
        <f t="shared" si="472"/>
        <v>1</v>
      </c>
      <c r="E4187" s="2721">
        <v>1</v>
      </c>
      <c r="F4187" s="294"/>
      <c r="G4187" s="1474" t="s">
        <v>4079</v>
      </c>
      <c r="H4187" s="2275"/>
      <c r="I4187" s="2296"/>
      <c r="J4187" s="291"/>
      <c r="K4187" s="291"/>
      <c r="L4187" s="291"/>
      <c r="M4187" s="291"/>
      <c r="S4187" s="364"/>
      <c r="Z4187" s="609" t="s">
        <v>4073</v>
      </c>
      <c r="AA4187" s="609" t="s">
        <v>5691</v>
      </c>
    </row>
    <row r="4188" spans="1:27" ht="18">
      <c r="A4188" s="2714"/>
      <c r="B4188" s="371">
        <v>104</v>
      </c>
      <c r="C4188" s="371"/>
      <c r="D4188" s="2716">
        <f t="shared" si="472"/>
        <v>1</v>
      </c>
      <c r="E4188" s="2721">
        <v>1</v>
      </c>
      <c r="F4188" s="294"/>
      <c r="G4188" s="1474" t="s">
        <v>4080</v>
      </c>
      <c r="H4188" s="2275"/>
      <c r="I4188" s="2296"/>
      <c r="J4188" s="291"/>
      <c r="K4188" s="291"/>
      <c r="L4188" s="291"/>
      <c r="M4188" s="291"/>
      <c r="S4188" s="364"/>
      <c r="Z4188" s="609" t="s">
        <v>4073</v>
      </c>
      <c r="AA4188" s="609" t="s">
        <v>5691</v>
      </c>
    </row>
    <row r="4189" spans="1:27" ht="24">
      <c r="A4189" s="2714"/>
      <c r="B4189" s="371">
        <v>105</v>
      </c>
      <c r="C4189" s="371"/>
      <c r="D4189" s="2716">
        <f t="shared" si="472"/>
        <v>1</v>
      </c>
      <c r="E4189" s="2721">
        <v>1</v>
      </c>
      <c r="F4189" s="294"/>
      <c r="G4189" s="1474" t="s">
        <v>4081</v>
      </c>
      <c r="H4189" s="2275"/>
      <c r="I4189" s="2296"/>
      <c r="J4189" s="291"/>
      <c r="K4189" s="291"/>
      <c r="L4189" s="291"/>
      <c r="M4189" s="291"/>
      <c r="S4189" s="364"/>
      <c r="Z4189" s="609" t="s">
        <v>4073</v>
      </c>
      <c r="AA4189" s="609" t="s">
        <v>5691</v>
      </c>
    </row>
    <row r="4190" spans="1:27" ht="18">
      <c r="A4190" s="2714"/>
      <c r="B4190" s="371">
        <v>106</v>
      </c>
      <c r="C4190" s="371"/>
      <c r="D4190" s="2716">
        <f t="shared" si="472"/>
        <v>1</v>
      </c>
      <c r="E4190" s="2721">
        <v>1</v>
      </c>
      <c r="F4190" s="294"/>
      <c r="G4190" s="1474" t="s">
        <v>4082</v>
      </c>
      <c r="H4190" s="2275"/>
      <c r="I4190" s="2296"/>
      <c r="J4190" s="291"/>
      <c r="K4190" s="291"/>
      <c r="L4190" s="291"/>
      <c r="M4190" s="291"/>
      <c r="S4190" s="364"/>
      <c r="Z4190" s="609" t="s">
        <v>4073</v>
      </c>
      <c r="AA4190" s="609" t="s">
        <v>5691</v>
      </c>
    </row>
    <row r="4191" spans="1:27" ht="18">
      <c r="A4191" s="2714"/>
      <c r="B4191" s="371">
        <v>107</v>
      </c>
      <c r="C4191" s="371" t="s">
        <v>2791</v>
      </c>
      <c r="D4191" s="2716">
        <f t="shared" si="472"/>
        <v>0</v>
      </c>
      <c r="E4191" s="2721">
        <v>1</v>
      </c>
      <c r="F4191" s="294"/>
      <c r="G4191" s="2418" t="s">
        <v>2792</v>
      </c>
      <c r="H4191" s="2275"/>
      <c r="I4191" s="2296"/>
      <c r="J4191" s="291"/>
      <c r="K4191" s="291"/>
      <c r="L4191" s="291"/>
      <c r="M4191" s="291"/>
      <c r="S4191" s="364"/>
      <c r="Z4191" s="609" t="s">
        <v>4073</v>
      </c>
      <c r="AA4191" s="609" t="s">
        <v>5691</v>
      </c>
    </row>
    <row r="4192" spans="1:27" ht="24">
      <c r="A4192" s="2714"/>
      <c r="B4192" s="371">
        <v>108</v>
      </c>
      <c r="C4192" s="371"/>
      <c r="D4192" s="2716">
        <f t="shared" si="472"/>
        <v>1</v>
      </c>
      <c r="E4192" s="2721">
        <v>1</v>
      </c>
      <c r="F4192" s="294"/>
      <c r="G4192" s="1474" t="s">
        <v>3476</v>
      </c>
      <c r="H4192" s="2275"/>
      <c r="I4192" s="2296"/>
      <c r="J4192" s="355"/>
      <c r="K4192" s="291"/>
      <c r="L4192" s="291"/>
      <c r="M4192" s="291"/>
      <c r="S4192" s="364"/>
      <c r="Z4192" s="609" t="s">
        <v>4073</v>
      </c>
      <c r="AA4192" s="609" t="s">
        <v>5691</v>
      </c>
    </row>
    <row r="4193" spans="1:27" ht="24">
      <c r="A4193" s="2714"/>
      <c r="B4193" s="371">
        <v>109</v>
      </c>
      <c r="C4193" s="371"/>
      <c r="D4193" s="2716">
        <f t="shared" si="472"/>
        <v>1</v>
      </c>
      <c r="E4193" s="2721">
        <v>1</v>
      </c>
      <c r="F4193" s="294"/>
      <c r="G4193" s="1474" t="s">
        <v>4083</v>
      </c>
      <c r="H4193" s="2275"/>
      <c r="I4193" s="2296"/>
      <c r="J4193" s="291"/>
      <c r="K4193" s="291"/>
      <c r="L4193" s="291"/>
      <c r="M4193" s="291"/>
      <c r="S4193" s="364"/>
      <c r="Z4193" s="609" t="s">
        <v>4073</v>
      </c>
      <c r="AA4193" s="609" t="s">
        <v>5691</v>
      </c>
    </row>
    <row r="4194" spans="1:27" ht="18">
      <c r="A4194" s="2714"/>
      <c r="B4194" s="371">
        <v>110</v>
      </c>
      <c r="C4194" s="371" t="s">
        <v>2791</v>
      </c>
      <c r="D4194" s="2716">
        <f t="shared" si="472"/>
        <v>0</v>
      </c>
      <c r="E4194" s="2721">
        <v>1</v>
      </c>
      <c r="F4194" s="294"/>
      <c r="G4194" s="2418" t="s">
        <v>2792</v>
      </c>
      <c r="H4194" s="2275"/>
      <c r="I4194" s="2296"/>
      <c r="J4194" s="291"/>
      <c r="K4194" s="291"/>
      <c r="L4194" s="291"/>
      <c r="M4194" s="291"/>
      <c r="S4194" s="364"/>
      <c r="Z4194" s="609" t="s">
        <v>4073</v>
      </c>
      <c r="AA4194" s="609" t="s">
        <v>5691</v>
      </c>
    </row>
    <row r="4195" spans="1:27" ht="18">
      <c r="A4195" s="2714"/>
      <c r="B4195" s="371">
        <v>111</v>
      </c>
      <c r="C4195" s="371"/>
      <c r="D4195" s="2716">
        <f t="shared" si="472"/>
        <v>1</v>
      </c>
      <c r="E4195" s="2721">
        <v>1</v>
      </c>
      <c r="F4195" s="294"/>
      <c r="G4195" s="1474" t="s">
        <v>3477</v>
      </c>
      <c r="H4195" s="2275"/>
      <c r="I4195" s="2296"/>
      <c r="J4195" s="355"/>
      <c r="K4195" s="291"/>
      <c r="L4195" s="291"/>
      <c r="M4195" s="291"/>
      <c r="S4195" s="364"/>
      <c r="Z4195" s="609" t="s">
        <v>4073</v>
      </c>
      <c r="AA4195" s="609" t="s">
        <v>5691</v>
      </c>
    </row>
    <row r="4196" spans="1:27" ht="18">
      <c r="A4196" s="2714"/>
      <c r="B4196" s="371">
        <v>112</v>
      </c>
      <c r="C4196" s="371"/>
      <c r="D4196" s="2716">
        <f t="shared" si="472"/>
        <v>1</v>
      </c>
      <c r="E4196" s="2721">
        <v>1</v>
      </c>
      <c r="F4196" s="294"/>
      <c r="G4196" s="1474" t="s">
        <v>4084</v>
      </c>
      <c r="H4196" s="2275"/>
      <c r="I4196" s="2296"/>
      <c r="J4196" s="291"/>
      <c r="K4196" s="291"/>
      <c r="L4196" s="291"/>
      <c r="M4196" s="291"/>
      <c r="S4196" s="364"/>
      <c r="Z4196" s="609" t="s">
        <v>4073</v>
      </c>
      <c r="AA4196" s="609" t="s">
        <v>5691</v>
      </c>
    </row>
    <row r="4197" spans="1:27" ht="18">
      <c r="A4197" s="2714"/>
      <c r="B4197" s="371">
        <v>113</v>
      </c>
      <c r="C4197" s="371"/>
      <c r="D4197" s="2716">
        <f t="shared" si="472"/>
        <v>1</v>
      </c>
      <c r="E4197" s="2721">
        <v>1</v>
      </c>
      <c r="F4197" s="294"/>
      <c r="G4197" s="1474" t="s">
        <v>4085</v>
      </c>
      <c r="H4197" s="2275"/>
      <c r="I4197" s="2296"/>
      <c r="J4197" s="291"/>
      <c r="K4197" s="291"/>
      <c r="L4197" s="291"/>
      <c r="M4197" s="291"/>
      <c r="S4197" s="364"/>
      <c r="Z4197" s="609" t="s">
        <v>4073</v>
      </c>
      <c r="AA4197" s="609" t="s">
        <v>5691</v>
      </c>
    </row>
    <row r="4198" spans="1:27" ht="18">
      <c r="A4198" s="2714"/>
      <c r="B4198" s="371">
        <v>114</v>
      </c>
      <c r="C4198" s="371" t="s">
        <v>2791</v>
      </c>
      <c r="D4198" s="2716">
        <f t="shared" si="472"/>
        <v>0</v>
      </c>
      <c r="E4198" s="2721">
        <v>1</v>
      </c>
      <c r="F4198" s="294"/>
      <c r="G4198" s="2418" t="s">
        <v>2792</v>
      </c>
      <c r="H4198" s="2275"/>
      <c r="I4198" s="2296"/>
      <c r="J4198" s="291"/>
      <c r="K4198" s="291"/>
      <c r="L4198" s="291"/>
      <c r="M4198" s="291"/>
      <c r="S4198" s="364"/>
      <c r="Z4198" s="609" t="s">
        <v>4073</v>
      </c>
      <c r="AA4198" s="609" t="s">
        <v>5691</v>
      </c>
    </row>
    <row r="4199" spans="1:27" ht="18">
      <c r="A4199" s="2714"/>
      <c r="B4199" s="371">
        <v>115</v>
      </c>
      <c r="C4199" s="371" t="s">
        <v>2791</v>
      </c>
      <c r="D4199" s="2716">
        <f t="shared" si="472"/>
        <v>0</v>
      </c>
      <c r="E4199" s="2721">
        <v>1</v>
      </c>
      <c r="F4199" s="294"/>
      <c r="G4199" s="2418" t="s">
        <v>2792</v>
      </c>
      <c r="H4199" s="2275"/>
      <c r="I4199" s="2296"/>
      <c r="J4199" s="291"/>
      <c r="K4199" s="291"/>
      <c r="L4199" s="291"/>
      <c r="M4199" s="291"/>
      <c r="S4199" s="364"/>
      <c r="Z4199" s="609" t="s">
        <v>4073</v>
      </c>
      <c r="AA4199" s="609" t="s">
        <v>5691</v>
      </c>
    </row>
    <row r="4200" spans="1:27" ht="18.75" thickBot="1">
      <c r="A4200" s="2714"/>
      <c r="B4200" s="371"/>
      <c r="C4200" s="371"/>
      <c r="D4200" s="2716">
        <f t="shared" si="472"/>
        <v>1</v>
      </c>
      <c r="E4200" s="2721" t="s">
        <v>2751</v>
      </c>
      <c r="F4200" s="294"/>
      <c r="G4200" s="2234" t="s">
        <v>3478</v>
      </c>
      <c r="H4200" s="2430"/>
      <c r="I4200" s="2431"/>
      <c r="J4200" s="355" t="s">
        <v>6074</v>
      </c>
      <c r="K4200" s="291"/>
      <c r="L4200" s="291"/>
      <c r="M4200" s="291"/>
      <c r="S4200" s="364"/>
      <c r="Z4200" s="609" t="s">
        <v>4073</v>
      </c>
      <c r="AA4200" s="609" t="s">
        <v>5691</v>
      </c>
    </row>
    <row r="4201" spans="1:27" ht="18">
      <c r="A4201" s="2714"/>
      <c r="B4201" s="371"/>
      <c r="C4201" s="371" t="s">
        <v>2755</v>
      </c>
      <c r="D4201" s="371"/>
      <c r="F4201" s="294"/>
      <c r="G4201" s="557"/>
      <c r="H4201" s="315"/>
      <c r="I4201" s="315"/>
      <c r="J4201" s="291"/>
      <c r="K4201" s="291"/>
      <c r="L4201" s="291"/>
      <c r="M4201" s="291"/>
      <c r="S4201" s="364"/>
      <c r="Z4201" s="609" t="s">
        <v>4073</v>
      </c>
      <c r="AA4201" s="609" t="s">
        <v>5691</v>
      </c>
    </row>
    <row r="4202" spans="1:27" ht="24">
      <c r="A4202" s="2714" t="s">
        <v>1717</v>
      </c>
      <c r="B4202" s="371">
        <v>2.2000000000000002</v>
      </c>
      <c r="C4202" s="371"/>
      <c r="D4202" s="2716" t="str">
        <f>VLOOKUP($A4202,Sheet_NoteList,2,0)</f>
        <v>设定受益计划变动情况（计划资产）</v>
      </c>
      <c r="E4202" s="2716" t="s">
        <v>2742</v>
      </c>
      <c r="F4202" s="294"/>
      <c r="G4202" s="372" t="str">
        <f>"("&amp;B4202&amp;")"&amp;D4202</f>
        <v>(2.2)设定受益计划变动情况（计划资产）</v>
      </c>
      <c r="H4202" s="1517" t="str">
        <f>$A4202</f>
        <v>2715c</v>
      </c>
      <c r="I4202" s="343" t="s">
        <v>2743</v>
      </c>
      <c r="J4202" s="301"/>
      <c r="K4202" s="391"/>
      <c r="L4202" s="345"/>
      <c r="M4202" s="301"/>
      <c r="N4202" s="391"/>
      <c r="O4202" s="345"/>
      <c r="P4202" s="301"/>
      <c r="S4202" s="364"/>
      <c r="Z4202" s="609" t="s">
        <v>4073</v>
      </c>
      <c r="AA4202" s="609" t="s">
        <v>5691</v>
      </c>
    </row>
    <row r="4203" spans="1:27" ht="0.75" customHeight="1" thickBot="1">
      <c r="A4203" s="2714"/>
      <c r="B4203" s="371"/>
      <c r="C4203" s="371"/>
      <c r="D4203" s="371"/>
      <c r="E4203" s="586"/>
      <c r="F4203" s="518"/>
      <c r="G4203" s="518" t="s">
        <v>4086</v>
      </c>
      <c r="H4203" s="304" t="s">
        <v>3472</v>
      </c>
      <c r="I4203" s="304" t="s">
        <v>3473</v>
      </c>
      <c r="J4203" s="291"/>
      <c r="K4203" s="291"/>
      <c r="L4203" s="291"/>
      <c r="M4203" s="291"/>
      <c r="S4203" s="364"/>
      <c r="Z4203" s="609" t="s">
        <v>4073</v>
      </c>
      <c r="AA4203" s="609" t="s">
        <v>5691</v>
      </c>
    </row>
    <row r="4204" spans="1:27" ht="18">
      <c r="A4204" s="2714"/>
      <c r="B4204" s="371"/>
      <c r="C4204" s="371"/>
      <c r="D4204" s="371"/>
      <c r="E4204" s="586" t="s">
        <v>2749</v>
      </c>
      <c r="F4204" s="363"/>
      <c r="G4204" s="2410" t="s">
        <v>47</v>
      </c>
      <c r="H4204" s="2432" t="str">
        <f>$V$4</f>
        <v>2019年度</v>
      </c>
      <c r="I4204" s="2433" t="str">
        <f>$V$5</f>
        <v>2018年度</v>
      </c>
      <c r="J4204" s="355" t="s">
        <v>5314</v>
      </c>
      <c r="K4204" s="291"/>
      <c r="L4204" s="291"/>
      <c r="M4204" s="291"/>
      <c r="S4204" s="364"/>
      <c r="Z4204" s="609" t="s">
        <v>4073</v>
      </c>
      <c r="AA4204" s="609" t="s">
        <v>5691</v>
      </c>
    </row>
    <row r="4205" spans="1:27" ht="18">
      <c r="A4205" s="2714"/>
      <c r="B4205" s="371">
        <v>101</v>
      </c>
      <c r="C4205" s="371"/>
      <c r="D4205" s="2716">
        <f t="shared" ref="D4205:D4215" si="473">IF(OR(G4205="*",G4205="",G4205=0),0,COUNTIF($G$4205:$G$4215,G4205))</f>
        <v>1</v>
      </c>
      <c r="E4205" s="2721">
        <v>1</v>
      </c>
      <c r="F4205" s="294"/>
      <c r="G4205" s="1474" t="s">
        <v>3474</v>
      </c>
      <c r="H4205" s="2275"/>
      <c r="I4205" s="2296"/>
      <c r="J4205" s="291"/>
      <c r="K4205" s="291"/>
      <c r="L4205" s="291"/>
      <c r="M4205" s="291"/>
      <c r="S4205" s="364"/>
      <c r="Z4205" s="609" t="s">
        <v>4073</v>
      </c>
      <c r="AA4205" s="609" t="s">
        <v>5691</v>
      </c>
    </row>
    <row r="4206" spans="1:27" ht="24">
      <c r="A4206" s="2714"/>
      <c r="B4206" s="371">
        <v>102</v>
      </c>
      <c r="C4206" s="371"/>
      <c r="D4206" s="2716">
        <f t="shared" si="473"/>
        <v>1</v>
      </c>
      <c r="E4206" s="2721">
        <v>1</v>
      </c>
      <c r="F4206" s="294"/>
      <c r="G4206" s="1474" t="s">
        <v>3475</v>
      </c>
      <c r="H4206" s="2275"/>
      <c r="I4206" s="2296"/>
      <c r="J4206" s="291"/>
      <c r="K4206" s="291"/>
      <c r="L4206" s="291"/>
      <c r="M4206" s="291"/>
      <c r="S4206" s="364"/>
      <c r="Z4206" s="609" t="s">
        <v>4073</v>
      </c>
      <c r="AA4206" s="609" t="s">
        <v>5691</v>
      </c>
    </row>
    <row r="4207" spans="1:27" ht="18">
      <c r="A4207" s="2714"/>
      <c r="B4207" s="371">
        <v>103</v>
      </c>
      <c r="C4207" s="371"/>
      <c r="D4207" s="2716">
        <f t="shared" si="473"/>
        <v>1</v>
      </c>
      <c r="E4207" s="2721">
        <v>1</v>
      </c>
      <c r="F4207" s="294"/>
      <c r="G4207" s="1474" t="s">
        <v>4087</v>
      </c>
      <c r="H4207" s="2275"/>
      <c r="I4207" s="2296"/>
      <c r="J4207" s="291"/>
      <c r="K4207" s="291"/>
      <c r="L4207" s="291"/>
      <c r="M4207" s="291"/>
      <c r="S4207" s="364"/>
      <c r="Z4207" s="609" t="s">
        <v>4073</v>
      </c>
      <c r="AA4207" s="609" t="s">
        <v>5691</v>
      </c>
    </row>
    <row r="4208" spans="1:27" ht="18">
      <c r="A4208" s="2714"/>
      <c r="B4208" s="371">
        <v>104</v>
      </c>
      <c r="C4208" s="371" t="s">
        <v>2791</v>
      </c>
      <c r="D4208" s="2716">
        <f t="shared" si="473"/>
        <v>0</v>
      </c>
      <c r="E4208" s="2721">
        <v>1</v>
      </c>
      <c r="F4208" s="294"/>
      <c r="G4208" s="2418" t="s">
        <v>2792</v>
      </c>
      <c r="H4208" s="2275"/>
      <c r="I4208" s="2296"/>
      <c r="J4208" s="291"/>
      <c r="K4208" s="291"/>
      <c r="L4208" s="291"/>
      <c r="M4208" s="291"/>
      <c r="S4208" s="364"/>
      <c r="Z4208" s="609" t="s">
        <v>4073</v>
      </c>
      <c r="AA4208" s="609" t="s">
        <v>5691</v>
      </c>
    </row>
    <row r="4209" spans="1:27" ht="24">
      <c r="A4209" s="2714"/>
      <c r="B4209" s="371">
        <v>105</v>
      </c>
      <c r="C4209" s="371"/>
      <c r="D4209" s="2716">
        <f t="shared" si="473"/>
        <v>1</v>
      </c>
      <c r="E4209" s="2721">
        <v>1</v>
      </c>
      <c r="F4209" s="294"/>
      <c r="G4209" s="1474" t="s">
        <v>3476</v>
      </c>
      <c r="H4209" s="2275"/>
      <c r="I4209" s="2296"/>
      <c r="J4209" s="291"/>
      <c r="K4209" s="291"/>
      <c r="L4209" s="291"/>
      <c r="M4209" s="291"/>
      <c r="S4209" s="364"/>
      <c r="Z4209" s="609" t="s">
        <v>4073</v>
      </c>
      <c r="AA4209" s="609" t="s">
        <v>5691</v>
      </c>
    </row>
    <row r="4210" spans="1:27" ht="24">
      <c r="A4210" s="2714"/>
      <c r="B4210" s="371">
        <v>106</v>
      </c>
      <c r="C4210" s="371"/>
      <c r="D4210" s="2716">
        <f t="shared" si="473"/>
        <v>1</v>
      </c>
      <c r="E4210" s="2721">
        <v>1</v>
      </c>
      <c r="F4210" s="294"/>
      <c r="G4210" s="1474" t="s">
        <v>4088</v>
      </c>
      <c r="H4210" s="2275"/>
      <c r="I4210" s="2296"/>
      <c r="J4210" s="291"/>
      <c r="K4210" s="291"/>
      <c r="L4210" s="291"/>
      <c r="M4210" s="291"/>
      <c r="S4210" s="364"/>
      <c r="Z4210" s="609" t="s">
        <v>4073</v>
      </c>
      <c r="AA4210" s="609" t="s">
        <v>5691</v>
      </c>
    </row>
    <row r="4211" spans="1:27" ht="24">
      <c r="A4211" s="2714"/>
      <c r="B4211" s="371">
        <v>107</v>
      </c>
      <c r="C4211" s="371"/>
      <c r="D4211" s="2716">
        <f t="shared" si="473"/>
        <v>1</v>
      </c>
      <c r="E4211" s="2721">
        <v>1</v>
      </c>
      <c r="F4211" s="294"/>
      <c r="G4211" s="1474" t="s">
        <v>4089</v>
      </c>
      <c r="H4211" s="2275"/>
      <c r="I4211" s="2296"/>
      <c r="J4211" s="291"/>
      <c r="K4211" s="291"/>
      <c r="L4211" s="291"/>
      <c r="M4211" s="291"/>
      <c r="S4211" s="364"/>
      <c r="Z4211" s="609" t="s">
        <v>4073</v>
      </c>
      <c r="AA4211" s="609" t="s">
        <v>5691</v>
      </c>
    </row>
    <row r="4212" spans="1:27" ht="18">
      <c r="A4212" s="2714"/>
      <c r="B4212" s="371">
        <v>108</v>
      </c>
      <c r="C4212" s="371" t="s">
        <v>2791</v>
      </c>
      <c r="D4212" s="2716">
        <f t="shared" si="473"/>
        <v>0</v>
      </c>
      <c r="E4212" s="2721">
        <v>1</v>
      </c>
      <c r="F4212" s="294"/>
      <c r="G4212" s="2418" t="s">
        <v>2792</v>
      </c>
      <c r="H4212" s="2275"/>
      <c r="I4212" s="2296"/>
      <c r="J4212" s="291"/>
      <c r="K4212" s="291"/>
      <c r="L4212" s="291"/>
      <c r="M4212" s="291"/>
      <c r="S4212" s="364"/>
      <c r="Z4212" s="609" t="s">
        <v>4073</v>
      </c>
      <c r="AA4212" s="609" t="s">
        <v>5691</v>
      </c>
    </row>
    <row r="4213" spans="1:27" ht="18">
      <c r="A4213" s="2714"/>
      <c r="B4213" s="371">
        <v>109</v>
      </c>
      <c r="C4213" s="371"/>
      <c r="D4213" s="2716">
        <f t="shared" si="473"/>
        <v>1</v>
      </c>
      <c r="E4213" s="2721">
        <v>1</v>
      </c>
      <c r="F4213" s="294"/>
      <c r="G4213" s="1474" t="s">
        <v>3477</v>
      </c>
      <c r="H4213" s="2275"/>
      <c r="I4213" s="2296"/>
      <c r="J4213" s="291"/>
      <c r="K4213" s="291"/>
      <c r="L4213" s="291"/>
      <c r="M4213" s="291"/>
      <c r="S4213" s="364"/>
      <c r="Z4213" s="609" t="s">
        <v>4073</v>
      </c>
      <c r="AA4213" s="609" t="s">
        <v>5691</v>
      </c>
    </row>
    <row r="4214" spans="1:27" ht="18">
      <c r="A4214" s="2714"/>
      <c r="B4214" s="371">
        <v>110</v>
      </c>
      <c r="C4214" s="371" t="s">
        <v>2791</v>
      </c>
      <c r="D4214" s="2716">
        <f t="shared" si="473"/>
        <v>0</v>
      </c>
      <c r="E4214" s="2721">
        <v>1</v>
      </c>
      <c r="F4214" s="294"/>
      <c r="G4214" s="2418" t="s">
        <v>2792</v>
      </c>
      <c r="H4214" s="2275"/>
      <c r="I4214" s="2296"/>
      <c r="J4214" s="291"/>
      <c r="K4214" s="291"/>
      <c r="L4214" s="291"/>
      <c r="M4214" s="291"/>
      <c r="S4214" s="364"/>
      <c r="Z4214" s="609" t="s">
        <v>4073</v>
      </c>
      <c r="AA4214" s="609" t="s">
        <v>5691</v>
      </c>
    </row>
    <row r="4215" spans="1:27" ht="18.75" thickBot="1">
      <c r="A4215" s="2714"/>
      <c r="B4215" s="371"/>
      <c r="C4215" s="371"/>
      <c r="D4215" s="2716">
        <f t="shared" si="473"/>
        <v>1</v>
      </c>
      <c r="E4215" s="2721" t="s">
        <v>2751</v>
      </c>
      <c r="F4215" s="294"/>
      <c r="G4215" s="2234" t="s">
        <v>3478</v>
      </c>
      <c r="H4215" s="2308"/>
      <c r="I4215" s="2309"/>
      <c r="J4215" s="355" t="s">
        <v>6074</v>
      </c>
      <c r="K4215" s="291"/>
      <c r="L4215" s="291"/>
      <c r="M4215" s="291"/>
      <c r="S4215" s="364"/>
      <c r="Z4215" s="609" t="s">
        <v>4073</v>
      </c>
      <c r="AA4215" s="609" t="s">
        <v>5691</v>
      </c>
    </row>
    <row r="4216" spans="1:27" ht="18">
      <c r="A4216" s="2714"/>
      <c r="B4216" s="371"/>
      <c r="C4216" s="371" t="s">
        <v>2755</v>
      </c>
      <c r="D4216" s="371"/>
      <c r="F4216" s="294"/>
      <c r="G4216" s="557"/>
      <c r="H4216" s="315"/>
      <c r="I4216" s="315"/>
      <c r="J4216" s="291"/>
      <c r="K4216" s="291"/>
      <c r="L4216" s="291"/>
      <c r="M4216" s="291"/>
      <c r="S4216" s="364"/>
      <c r="Z4216" s="609" t="s">
        <v>4073</v>
      </c>
      <c r="AA4216" s="609" t="s">
        <v>5691</v>
      </c>
    </row>
    <row r="4217" spans="1:27" ht="24">
      <c r="A4217" s="2714" t="s">
        <v>1722</v>
      </c>
      <c r="B4217" s="371">
        <v>2.2999999999999998</v>
      </c>
      <c r="C4217" s="371"/>
      <c r="D4217" s="2716" t="str">
        <f>VLOOKUP($A4217,Sheet_NoteList,2,0)</f>
        <v>设定受益计划净负债（净资产）</v>
      </c>
      <c r="E4217" s="2716" t="s">
        <v>2742</v>
      </c>
      <c r="F4217" s="294"/>
      <c r="G4217" s="372" t="str">
        <f>"("&amp;B4217&amp;")"&amp;D4217</f>
        <v>(2.3)设定受益计划净负债（净资产）</v>
      </c>
      <c r="H4217" s="1517" t="str">
        <f>$A4217</f>
        <v>2715d</v>
      </c>
      <c r="I4217" s="343" t="s">
        <v>2743</v>
      </c>
      <c r="J4217" s="301"/>
      <c r="K4217" s="391"/>
      <c r="L4217" s="345"/>
      <c r="M4217" s="301"/>
      <c r="N4217" s="391"/>
      <c r="O4217" s="345"/>
      <c r="P4217" s="301"/>
      <c r="S4217" s="364"/>
      <c r="Z4217" s="609" t="s">
        <v>4073</v>
      </c>
      <c r="AA4217" s="609" t="s">
        <v>5691</v>
      </c>
    </row>
    <row r="4218" spans="1:27" ht="0.75" customHeight="1" thickBot="1">
      <c r="A4218" s="2714"/>
      <c r="B4218" s="371"/>
      <c r="C4218" s="371"/>
      <c r="D4218" s="371"/>
      <c r="E4218" s="586"/>
      <c r="F4218" s="518"/>
      <c r="G4218" s="518" t="s">
        <v>4090</v>
      </c>
      <c r="H4218" s="304" t="s">
        <v>3472</v>
      </c>
      <c r="I4218" s="304" t="s">
        <v>3473</v>
      </c>
      <c r="J4218" s="291"/>
      <c r="K4218" s="291"/>
      <c r="L4218" s="291"/>
      <c r="M4218" s="291"/>
      <c r="S4218" s="364"/>
      <c r="Z4218" s="609" t="s">
        <v>4073</v>
      </c>
      <c r="AA4218" s="609" t="s">
        <v>5691</v>
      </c>
    </row>
    <row r="4219" spans="1:27" ht="18">
      <c r="A4219" s="2714"/>
      <c r="B4219" s="371"/>
      <c r="C4219" s="371"/>
      <c r="D4219" s="371"/>
      <c r="E4219" s="586" t="s">
        <v>2749</v>
      </c>
      <c r="F4219" s="363"/>
      <c r="G4219" s="2410" t="s">
        <v>47</v>
      </c>
      <c r="H4219" s="2432" t="str">
        <f>$V$4</f>
        <v>2019年度</v>
      </c>
      <c r="I4219" s="2433" t="str">
        <f>$V$5</f>
        <v>2018年度</v>
      </c>
      <c r="J4219" s="355" t="s">
        <v>5314</v>
      </c>
      <c r="K4219" s="291"/>
      <c r="L4219" s="291"/>
      <c r="M4219" s="291"/>
      <c r="S4219" s="364"/>
      <c r="Z4219" s="609" t="s">
        <v>4073</v>
      </c>
      <c r="AA4219" s="609" t="s">
        <v>5691</v>
      </c>
    </row>
    <row r="4220" spans="1:27" ht="18">
      <c r="A4220" s="2714"/>
      <c r="B4220" s="371">
        <v>101</v>
      </c>
      <c r="C4220" s="371"/>
      <c r="D4220" s="2716">
        <f>IF(OR(G4220="*",G4220="",G4220=0),0,COUNTIF($G$4220:$G$4224,G4220))</f>
        <v>1</v>
      </c>
      <c r="E4220" s="2721">
        <v>1</v>
      </c>
      <c r="F4220" s="294"/>
      <c r="G4220" s="1474" t="s">
        <v>3474</v>
      </c>
      <c r="H4220" s="2275"/>
      <c r="I4220" s="2296"/>
      <c r="J4220" s="291"/>
      <c r="K4220" s="291"/>
      <c r="L4220" s="291"/>
      <c r="M4220" s="291"/>
      <c r="S4220" s="364"/>
      <c r="Z4220" s="609" t="s">
        <v>4073</v>
      </c>
      <c r="AA4220" s="609" t="s">
        <v>5691</v>
      </c>
    </row>
    <row r="4221" spans="1:27" ht="24">
      <c r="A4221" s="2714"/>
      <c r="B4221" s="371">
        <v>102</v>
      </c>
      <c r="C4221" s="371"/>
      <c r="D4221" s="2716">
        <f>IF(OR(G4221="*",G4221="",G4221=0),0,COUNTIF($G$4220:$G$4224,G4221))</f>
        <v>1</v>
      </c>
      <c r="E4221" s="2721">
        <v>1</v>
      </c>
      <c r="F4221" s="294"/>
      <c r="G4221" s="1474" t="s">
        <v>3475</v>
      </c>
      <c r="H4221" s="2275"/>
      <c r="I4221" s="2296"/>
      <c r="J4221" s="291"/>
      <c r="K4221" s="291"/>
      <c r="L4221" s="291"/>
      <c r="M4221" s="291"/>
      <c r="S4221" s="364"/>
      <c r="Z4221" s="609" t="s">
        <v>4073</v>
      </c>
      <c r="AA4221" s="609" t="s">
        <v>5691</v>
      </c>
    </row>
    <row r="4222" spans="1:27" ht="24">
      <c r="A4222" s="2714"/>
      <c r="B4222" s="371">
        <v>103</v>
      </c>
      <c r="C4222" s="371"/>
      <c r="D4222" s="2716">
        <f>IF(OR(G4222="*",G4222="",G4222=0),0,COUNTIF($G$4220:$G$4224,G4222))</f>
        <v>1</v>
      </c>
      <c r="E4222" s="2721">
        <v>1</v>
      </c>
      <c r="F4222" s="294"/>
      <c r="G4222" s="1474" t="s">
        <v>3476</v>
      </c>
      <c r="H4222" s="2275"/>
      <c r="I4222" s="2296"/>
      <c r="J4222" s="291"/>
      <c r="K4222" s="291"/>
      <c r="L4222" s="291"/>
      <c r="M4222" s="291"/>
      <c r="S4222" s="364"/>
      <c r="Z4222" s="609" t="s">
        <v>4073</v>
      </c>
      <c r="AA4222" s="609" t="s">
        <v>5691</v>
      </c>
    </row>
    <row r="4223" spans="1:27" ht="18">
      <c r="A4223" s="2714"/>
      <c r="B4223" s="371">
        <v>104</v>
      </c>
      <c r="C4223" s="371"/>
      <c r="D4223" s="2716">
        <f>IF(OR(G4223="*",G4223="",G4223=0),0,COUNTIF($G$4220:$G$4224,G4223))</f>
        <v>1</v>
      </c>
      <c r="E4223" s="2721">
        <v>1</v>
      </c>
      <c r="F4223" s="294"/>
      <c r="G4223" s="1474" t="s">
        <v>3477</v>
      </c>
      <c r="H4223" s="2275"/>
      <c r="I4223" s="2296"/>
      <c r="J4223" s="291"/>
      <c r="K4223" s="291"/>
      <c r="L4223" s="291"/>
      <c r="M4223" s="291"/>
      <c r="S4223" s="364"/>
      <c r="Z4223" s="609" t="s">
        <v>4073</v>
      </c>
      <c r="AA4223" s="609" t="s">
        <v>5691</v>
      </c>
    </row>
    <row r="4224" spans="1:27" ht="18.75" thickBot="1">
      <c r="A4224" s="2714"/>
      <c r="B4224" s="371"/>
      <c r="C4224" s="371"/>
      <c r="D4224" s="2716">
        <f>IF(OR(G4224="*",G4224="",G4224=0),0,COUNTIF($G$4220:$G$4224,G4224))</f>
        <v>1</v>
      </c>
      <c r="E4224" s="2721" t="s">
        <v>2751</v>
      </c>
      <c r="F4224" s="294"/>
      <c r="G4224" s="2234" t="s">
        <v>3478</v>
      </c>
      <c r="H4224" s="2308"/>
      <c r="I4224" s="2309"/>
      <c r="J4224" s="355" t="s">
        <v>6074</v>
      </c>
      <c r="K4224" s="291"/>
      <c r="L4224" s="291"/>
      <c r="M4224" s="291"/>
      <c r="S4224" s="364"/>
      <c r="Z4224" s="609" t="s">
        <v>4073</v>
      </c>
      <c r="AA4224" s="609" t="s">
        <v>5691</v>
      </c>
    </row>
    <row r="4225" spans="1:27" ht="18">
      <c r="A4225" s="2714"/>
      <c r="B4225" s="371"/>
      <c r="C4225" s="371" t="s">
        <v>2755</v>
      </c>
      <c r="D4225" s="371"/>
      <c r="F4225" s="294"/>
      <c r="G4225" s="557"/>
      <c r="H4225" s="315"/>
      <c r="I4225" s="315"/>
      <c r="J4225" s="291"/>
      <c r="K4225" s="291"/>
      <c r="L4225" s="291"/>
      <c r="M4225" s="291"/>
      <c r="S4225" s="364"/>
      <c r="Z4225" s="609" t="s">
        <v>4073</v>
      </c>
      <c r="AA4225" s="609" t="s">
        <v>5691</v>
      </c>
    </row>
    <row r="4226" spans="1:27" ht="24">
      <c r="A4226" s="2714" t="s">
        <v>1736</v>
      </c>
      <c r="B4226" s="371">
        <v>2.4</v>
      </c>
      <c r="C4226" s="371"/>
      <c r="D4226" s="2716" t="str">
        <f>VLOOKUP($A4226,Sheet_NoteList,2,0)</f>
        <v>设定受益计划重大精算假设</v>
      </c>
      <c r="E4226" s="2716" t="s">
        <v>2742</v>
      </c>
      <c r="F4226" s="294"/>
      <c r="G4226" s="372" t="str">
        <f>"("&amp;B4226&amp;")"&amp;D4226</f>
        <v>(2.4)设定受益计划重大精算假设</v>
      </c>
      <c r="H4226" s="1517" t="str">
        <f>$A4226</f>
        <v>2715g</v>
      </c>
      <c r="I4226" s="343" t="s">
        <v>2743</v>
      </c>
      <c r="J4226" s="301"/>
      <c r="K4226" s="391"/>
      <c r="L4226" s="345"/>
      <c r="M4226" s="301"/>
      <c r="N4226" s="391"/>
      <c r="O4226" s="345"/>
      <c r="P4226" s="301"/>
      <c r="S4226" s="364"/>
      <c r="Z4226" s="609" t="s">
        <v>4073</v>
      </c>
      <c r="AA4226" s="609" t="s">
        <v>5691</v>
      </c>
    </row>
    <row r="4227" spans="1:27" ht="0.75" customHeight="1" thickBot="1">
      <c r="A4227" s="2714"/>
      <c r="B4227" s="371"/>
      <c r="C4227" s="371"/>
      <c r="D4227" s="371"/>
      <c r="E4227" s="586"/>
      <c r="F4227" s="518"/>
      <c r="G4227" s="518" t="s">
        <v>4091</v>
      </c>
      <c r="H4227" s="304" t="s">
        <v>3481</v>
      </c>
      <c r="I4227" s="304" t="s">
        <v>3482</v>
      </c>
      <c r="J4227" s="291"/>
      <c r="K4227" s="291"/>
      <c r="L4227" s="291"/>
      <c r="M4227" s="291"/>
      <c r="S4227" s="364"/>
      <c r="Z4227" s="609" t="s">
        <v>4073</v>
      </c>
      <c r="AA4227" s="609" t="s">
        <v>5691</v>
      </c>
    </row>
    <row r="4228" spans="1:27" ht="18">
      <c r="A4228" s="2714"/>
      <c r="B4228" s="371"/>
      <c r="C4228" s="371"/>
      <c r="D4228" s="371"/>
      <c r="E4228" s="586" t="s">
        <v>2749</v>
      </c>
      <c r="F4228" s="363"/>
      <c r="G4228" s="2410" t="s">
        <v>47</v>
      </c>
      <c r="H4228" s="2232" t="str">
        <f>$V$4</f>
        <v>2019年度</v>
      </c>
      <c r="I4228" s="2233" t="str">
        <f>$V$5</f>
        <v>2018年度</v>
      </c>
      <c r="J4228" s="355" t="s">
        <v>5314</v>
      </c>
      <c r="K4228" s="291"/>
      <c r="L4228" s="291"/>
      <c r="M4228" s="291"/>
      <c r="S4228" s="364"/>
      <c r="Z4228" s="609" t="s">
        <v>4073</v>
      </c>
      <c r="AA4228" s="609" t="s">
        <v>5691</v>
      </c>
    </row>
    <row r="4229" spans="1:27" ht="18">
      <c r="A4229" s="2714"/>
      <c r="B4229" s="371">
        <v>101</v>
      </c>
      <c r="C4229" s="371"/>
      <c r="D4229" s="2716">
        <f t="shared" ref="D4229:D4235" si="474">IF(OR(G4229="*",G4229="",G4229=0),0,COUNTIF($G$4229:$G$4235,G4229))</f>
        <v>1</v>
      </c>
      <c r="E4229" s="2721">
        <v>1</v>
      </c>
      <c r="F4229" s="294"/>
      <c r="G4229" s="1474" t="s">
        <v>3483</v>
      </c>
      <c r="H4229" s="2298"/>
      <c r="I4229" s="2276"/>
      <c r="J4229" s="291"/>
      <c r="K4229" s="291"/>
      <c r="L4229" s="291"/>
      <c r="M4229" s="291"/>
      <c r="S4229" s="364"/>
      <c r="Z4229" s="609" t="s">
        <v>4073</v>
      </c>
      <c r="AA4229" s="609" t="s">
        <v>5691</v>
      </c>
    </row>
    <row r="4230" spans="1:27" ht="18">
      <c r="A4230" s="2714"/>
      <c r="B4230" s="371">
        <v>102</v>
      </c>
      <c r="C4230" s="371"/>
      <c r="D4230" s="2716">
        <f t="shared" si="474"/>
        <v>1</v>
      </c>
      <c r="E4230" s="2721">
        <v>1</v>
      </c>
      <c r="F4230" s="294"/>
      <c r="G4230" s="1474" t="s">
        <v>3484</v>
      </c>
      <c r="H4230" s="2298"/>
      <c r="I4230" s="2276"/>
      <c r="J4230" s="291"/>
      <c r="K4230" s="291"/>
      <c r="L4230" s="291"/>
      <c r="M4230" s="291"/>
      <c r="S4230" s="364"/>
      <c r="Z4230" s="609" t="s">
        <v>4073</v>
      </c>
      <c r="AA4230" s="609" t="s">
        <v>5691</v>
      </c>
    </row>
    <row r="4231" spans="1:27" ht="18">
      <c r="A4231" s="2714"/>
      <c r="B4231" s="371">
        <v>103</v>
      </c>
      <c r="C4231" s="371"/>
      <c r="D4231" s="2716">
        <f t="shared" si="474"/>
        <v>1</v>
      </c>
      <c r="E4231" s="2721">
        <v>1</v>
      </c>
      <c r="F4231" s="294"/>
      <c r="G4231" s="1474" t="s">
        <v>3485</v>
      </c>
      <c r="H4231" s="2298"/>
      <c r="I4231" s="2276"/>
      <c r="J4231" s="291"/>
      <c r="K4231" s="291"/>
      <c r="L4231" s="291"/>
      <c r="M4231" s="291"/>
      <c r="S4231" s="364"/>
      <c r="Z4231" s="609" t="s">
        <v>4073</v>
      </c>
      <c r="AA4231" s="609" t="s">
        <v>5691</v>
      </c>
    </row>
    <row r="4232" spans="1:27" ht="18">
      <c r="A4232" s="2714"/>
      <c r="B4232" s="371">
        <v>104</v>
      </c>
      <c r="C4232" s="371"/>
      <c r="D4232" s="2716">
        <f t="shared" si="474"/>
        <v>1</v>
      </c>
      <c r="E4232" s="2721">
        <v>1</v>
      </c>
      <c r="F4232" s="294"/>
      <c r="G4232" s="1474" t="s">
        <v>3486</v>
      </c>
      <c r="H4232" s="2298"/>
      <c r="I4232" s="2276"/>
      <c r="J4232" s="291"/>
      <c r="K4232" s="291"/>
      <c r="L4232" s="291"/>
      <c r="M4232" s="291"/>
      <c r="S4232" s="364"/>
      <c r="Z4232" s="609" t="s">
        <v>4073</v>
      </c>
      <c r="AA4232" s="609" t="s">
        <v>5691</v>
      </c>
    </row>
    <row r="4233" spans="1:27" ht="18">
      <c r="A4233" s="2714"/>
      <c r="B4233" s="371">
        <v>105</v>
      </c>
      <c r="C4233" s="371"/>
      <c r="D4233" s="2716">
        <f t="shared" si="474"/>
        <v>1</v>
      </c>
      <c r="E4233" s="2721">
        <v>1</v>
      </c>
      <c r="F4233" s="294"/>
      <c r="G4233" s="1474" t="s">
        <v>3487</v>
      </c>
      <c r="H4233" s="2298"/>
      <c r="I4233" s="2276"/>
      <c r="J4233" s="291"/>
      <c r="K4233" s="291"/>
      <c r="L4233" s="291"/>
      <c r="M4233" s="291"/>
      <c r="S4233" s="364"/>
      <c r="Z4233" s="609" t="s">
        <v>4073</v>
      </c>
      <c r="AA4233" s="609" t="s">
        <v>5691</v>
      </c>
    </row>
    <row r="4234" spans="1:27" ht="18">
      <c r="A4234" s="2714"/>
      <c r="B4234" s="371">
        <v>106</v>
      </c>
      <c r="C4234" s="371" t="s">
        <v>2791</v>
      </c>
      <c r="D4234" s="2716">
        <f t="shared" si="474"/>
        <v>0</v>
      </c>
      <c r="E4234" s="2721">
        <v>1</v>
      </c>
      <c r="F4234" s="294"/>
      <c r="G4234" s="2418" t="s">
        <v>2792</v>
      </c>
      <c r="H4234" s="2298"/>
      <c r="I4234" s="2276"/>
      <c r="J4234" s="291"/>
      <c r="K4234" s="291"/>
      <c r="L4234" s="291"/>
      <c r="M4234" s="291"/>
      <c r="S4234" s="364"/>
      <c r="Z4234" s="609" t="s">
        <v>4073</v>
      </c>
      <c r="AA4234" s="609" t="s">
        <v>5691</v>
      </c>
    </row>
    <row r="4235" spans="1:27" ht="18.75" thickBot="1">
      <c r="A4235" s="2714"/>
      <c r="B4235" s="371"/>
      <c r="C4235" s="371"/>
      <c r="D4235" s="2716">
        <f t="shared" si="474"/>
        <v>0</v>
      </c>
      <c r="E4235" s="2721" t="s">
        <v>3290</v>
      </c>
      <c r="F4235" s="294"/>
      <c r="G4235" s="2429"/>
      <c r="H4235" s="2241"/>
      <c r="I4235" s="2244"/>
      <c r="J4235" s="291"/>
      <c r="K4235" s="291"/>
      <c r="L4235" s="291"/>
      <c r="M4235" s="291"/>
      <c r="S4235" s="364"/>
      <c r="Z4235" s="609" t="s">
        <v>4073</v>
      </c>
      <c r="AA4235" s="609" t="s">
        <v>5691</v>
      </c>
    </row>
    <row r="4236" spans="1:27" ht="18">
      <c r="A4236" s="2714"/>
      <c r="B4236" s="371"/>
      <c r="C4236" s="371" t="s">
        <v>2755</v>
      </c>
      <c r="D4236" s="371"/>
      <c r="F4236" s="294"/>
      <c r="G4236" s="557"/>
      <c r="H4236" s="393"/>
      <c r="I4236" s="393"/>
      <c r="J4236" s="291"/>
      <c r="K4236" s="291"/>
      <c r="L4236" s="291"/>
      <c r="M4236" s="291"/>
      <c r="S4236" s="364"/>
      <c r="Z4236" s="609" t="s">
        <v>4073</v>
      </c>
      <c r="AA4236" s="609" t="s">
        <v>5691</v>
      </c>
    </row>
    <row r="4237" spans="1:27" ht="24">
      <c r="A4237" s="2714" t="s">
        <v>1741</v>
      </c>
      <c r="B4237" s="371">
        <v>2.5</v>
      </c>
      <c r="C4237" s="371"/>
      <c r="D4237" s="2716" t="str">
        <f>VLOOKUP($A4237,Sheet_NoteList,2,0)</f>
        <v>设定受益计划重大精算假设敏感性分析</v>
      </c>
      <c r="E4237" s="2716" t="s">
        <v>2742</v>
      </c>
      <c r="F4237" s="294"/>
      <c r="G4237" s="372" t="str">
        <f>"("&amp;B4237&amp;")"&amp;D4237</f>
        <v>(2.5)设定受益计划重大精算假设敏感性分析</v>
      </c>
      <c r="H4237" s="1517" t="str">
        <f>$A4237</f>
        <v>2715h</v>
      </c>
      <c r="I4237" s="343" t="s">
        <v>2743</v>
      </c>
      <c r="J4237" s="301"/>
      <c r="K4237" s="391"/>
      <c r="L4237" s="345"/>
      <c r="M4237" s="301"/>
      <c r="N4237" s="391"/>
      <c r="O4237" s="345"/>
      <c r="P4237" s="301"/>
      <c r="S4237" s="364"/>
      <c r="Z4237" s="609" t="s">
        <v>4073</v>
      </c>
      <c r="AA4237" s="609" t="s">
        <v>5691</v>
      </c>
    </row>
    <row r="4238" spans="1:27" ht="0.75" customHeight="1">
      <c r="A4238" s="2714"/>
      <c r="B4238" s="371"/>
      <c r="C4238" s="371"/>
      <c r="D4238" s="371"/>
      <c r="E4238" s="586"/>
      <c r="F4238" s="518"/>
      <c r="G4238" s="518" t="s">
        <v>4092</v>
      </c>
      <c r="H4238" s="304" t="s">
        <v>3488</v>
      </c>
      <c r="I4238" s="304" t="s">
        <v>3489</v>
      </c>
      <c r="J4238" s="304" t="s">
        <v>3490</v>
      </c>
      <c r="K4238" s="291"/>
      <c r="L4238" s="291"/>
      <c r="M4238" s="291"/>
      <c r="S4238" s="364"/>
      <c r="Z4238" s="609" t="s">
        <v>4073</v>
      </c>
      <c r="AA4238" s="609" t="s">
        <v>5691</v>
      </c>
    </row>
    <row r="4239" spans="1:27" ht="0.75" customHeight="1" thickBot="1">
      <c r="A4239" s="2714"/>
      <c r="B4239" s="371"/>
      <c r="C4239" s="371"/>
      <c r="D4239" s="371"/>
      <c r="E4239" s="586"/>
      <c r="F4239" s="518"/>
      <c r="G4239" s="518"/>
      <c r="H4239" s="304" t="s">
        <v>3491</v>
      </c>
      <c r="I4239" s="304" t="s">
        <v>3492</v>
      </c>
      <c r="J4239" s="304" t="s">
        <v>3493</v>
      </c>
      <c r="K4239" s="291"/>
      <c r="L4239" s="291"/>
      <c r="M4239" s="291"/>
      <c r="S4239" s="364"/>
      <c r="Z4239" s="609" t="s">
        <v>4073</v>
      </c>
      <c r="AA4239" s="609" t="s">
        <v>5691</v>
      </c>
    </row>
    <row r="4240" spans="1:27" ht="24" customHeight="1">
      <c r="A4240" s="2714"/>
      <c r="B4240" s="371"/>
      <c r="C4240" s="371"/>
      <c r="D4240" s="371"/>
      <c r="E4240" s="586" t="s">
        <v>2749</v>
      </c>
      <c r="F4240" s="2343"/>
      <c r="G4240" s="3472" t="s">
        <v>47</v>
      </c>
      <c r="H4240" s="3415" t="s">
        <v>3494</v>
      </c>
      <c r="I4240" s="3415" t="s">
        <v>3495</v>
      </c>
      <c r="J4240" s="3431"/>
      <c r="K4240" s="355" t="s">
        <v>5314</v>
      </c>
      <c r="L4240" s="291"/>
      <c r="M4240" s="291"/>
      <c r="S4240" s="364"/>
      <c r="Z4240" s="609" t="s">
        <v>4073</v>
      </c>
      <c r="AA4240" s="609" t="s">
        <v>5691</v>
      </c>
    </row>
    <row r="4241" spans="1:27" ht="18">
      <c r="A4241" s="2714"/>
      <c r="B4241" s="371"/>
      <c r="C4241" s="371"/>
      <c r="D4241" s="371"/>
      <c r="E4241" s="586" t="s">
        <v>2749</v>
      </c>
      <c r="F4241" s="363"/>
      <c r="G4241" s="3473"/>
      <c r="H4241" s="3416"/>
      <c r="I4241" s="2415" t="s">
        <v>3496</v>
      </c>
      <c r="J4241" s="2417" t="s">
        <v>3497</v>
      </c>
      <c r="K4241" s="291"/>
      <c r="L4241" s="291"/>
      <c r="M4241" s="291"/>
      <c r="S4241" s="364"/>
      <c r="Z4241" s="609" t="s">
        <v>4073</v>
      </c>
      <c r="AA4241" s="609" t="s">
        <v>5691</v>
      </c>
    </row>
    <row r="4242" spans="1:27" ht="18">
      <c r="A4242" s="2714"/>
      <c r="B4242" s="371">
        <v>101</v>
      </c>
      <c r="C4242" s="371"/>
      <c r="D4242" s="2716">
        <f t="shared" ref="D4242:D4248" si="475">IF(OR(G4242="*",G4242="",G4242=0),0,COUNTIF($G$4242:$G$4248,G4242))</f>
        <v>1</v>
      </c>
      <c r="E4242" s="2721">
        <v>1</v>
      </c>
      <c r="F4242" s="294"/>
      <c r="G4242" s="1474" t="s">
        <v>3483</v>
      </c>
      <c r="H4242" s="2298"/>
      <c r="I4242" s="2298"/>
      <c r="J4242" s="2276"/>
      <c r="K4242" s="291"/>
      <c r="L4242" s="291"/>
      <c r="M4242" s="291"/>
      <c r="S4242" s="364"/>
      <c r="Z4242" s="609" t="s">
        <v>4073</v>
      </c>
      <c r="AA4242" s="609" t="s">
        <v>5691</v>
      </c>
    </row>
    <row r="4243" spans="1:27" ht="18">
      <c r="A4243" s="2714"/>
      <c r="B4243" s="371">
        <v>102</v>
      </c>
      <c r="C4243" s="371"/>
      <c r="D4243" s="2716">
        <f t="shared" si="475"/>
        <v>1</v>
      </c>
      <c r="E4243" s="2721">
        <v>1</v>
      </c>
      <c r="F4243" s="294"/>
      <c r="G4243" s="1474" t="s">
        <v>3484</v>
      </c>
      <c r="H4243" s="2298"/>
      <c r="I4243" s="2298"/>
      <c r="J4243" s="2276"/>
      <c r="K4243" s="291"/>
      <c r="L4243" s="291"/>
      <c r="M4243" s="291"/>
      <c r="S4243" s="364"/>
      <c r="Z4243" s="609" t="s">
        <v>4073</v>
      </c>
      <c r="AA4243" s="609" t="s">
        <v>5691</v>
      </c>
    </row>
    <row r="4244" spans="1:27" ht="18">
      <c r="A4244" s="2714"/>
      <c r="B4244" s="371">
        <v>103</v>
      </c>
      <c r="C4244" s="371"/>
      <c r="D4244" s="2716">
        <f t="shared" si="475"/>
        <v>1</v>
      </c>
      <c r="E4244" s="2721">
        <v>1</v>
      </c>
      <c r="F4244" s="294"/>
      <c r="G4244" s="1474" t="s">
        <v>3485</v>
      </c>
      <c r="H4244" s="2298"/>
      <c r="I4244" s="2298"/>
      <c r="J4244" s="2276"/>
      <c r="K4244" s="291"/>
      <c r="L4244" s="291"/>
      <c r="M4244" s="291"/>
      <c r="S4244" s="364"/>
      <c r="Z4244" s="609" t="s">
        <v>4073</v>
      </c>
      <c r="AA4244" s="609" t="s">
        <v>5691</v>
      </c>
    </row>
    <row r="4245" spans="1:27" ht="18">
      <c r="A4245" s="2714"/>
      <c r="B4245" s="371">
        <v>104</v>
      </c>
      <c r="C4245" s="371"/>
      <c r="D4245" s="2716">
        <f t="shared" si="475"/>
        <v>1</v>
      </c>
      <c r="E4245" s="2721">
        <v>1</v>
      </c>
      <c r="F4245" s="294"/>
      <c r="G4245" s="1474" t="s">
        <v>3486</v>
      </c>
      <c r="H4245" s="2298"/>
      <c r="I4245" s="2298"/>
      <c r="J4245" s="2276"/>
      <c r="K4245" s="291"/>
      <c r="L4245" s="291"/>
      <c r="M4245" s="291"/>
      <c r="S4245" s="364"/>
      <c r="Z4245" s="609" t="s">
        <v>4073</v>
      </c>
      <c r="AA4245" s="609" t="s">
        <v>5691</v>
      </c>
    </row>
    <row r="4246" spans="1:27" ht="18">
      <c r="A4246" s="2714"/>
      <c r="B4246" s="371">
        <v>105</v>
      </c>
      <c r="C4246" s="371"/>
      <c r="D4246" s="2716">
        <f t="shared" si="475"/>
        <v>1</v>
      </c>
      <c r="E4246" s="2721">
        <v>1</v>
      </c>
      <c r="F4246" s="294"/>
      <c r="G4246" s="1474" t="s">
        <v>3487</v>
      </c>
      <c r="H4246" s="2298"/>
      <c r="I4246" s="2298"/>
      <c r="J4246" s="2276"/>
      <c r="K4246" s="291"/>
      <c r="L4246" s="291"/>
      <c r="M4246" s="291"/>
      <c r="S4246" s="364"/>
      <c r="Z4246" s="609" t="s">
        <v>4073</v>
      </c>
      <c r="AA4246" s="609" t="s">
        <v>5691</v>
      </c>
    </row>
    <row r="4247" spans="1:27" ht="18">
      <c r="A4247" s="2714"/>
      <c r="B4247" s="371">
        <v>106</v>
      </c>
      <c r="C4247" s="371" t="s">
        <v>2791</v>
      </c>
      <c r="D4247" s="2716">
        <f t="shared" si="475"/>
        <v>0</v>
      </c>
      <c r="E4247" s="2721">
        <v>1</v>
      </c>
      <c r="F4247" s="294"/>
      <c r="G4247" s="2418" t="s">
        <v>2792</v>
      </c>
      <c r="H4247" s="2298"/>
      <c r="I4247" s="2298"/>
      <c r="J4247" s="2276"/>
      <c r="K4247" s="291"/>
      <c r="L4247" s="291"/>
      <c r="M4247" s="291"/>
      <c r="S4247" s="364"/>
      <c r="Z4247" s="609" t="s">
        <v>4073</v>
      </c>
      <c r="AA4247" s="609" t="s">
        <v>5691</v>
      </c>
    </row>
    <row r="4248" spans="1:27" ht="18.75" thickBot="1">
      <c r="A4248" s="2714"/>
      <c r="B4248" s="371"/>
      <c r="C4248" s="371"/>
      <c r="D4248" s="2716">
        <f t="shared" si="475"/>
        <v>0</v>
      </c>
      <c r="E4248" s="2721" t="s">
        <v>3290</v>
      </c>
      <c r="F4248" s="294"/>
      <c r="G4248" s="2429"/>
      <c r="H4248" s="2241"/>
      <c r="I4248" s="2241"/>
      <c r="J4248" s="2244"/>
      <c r="K4248" s="291"/>
      <c r="L4248" s="291"/>
      <c r="M4248" s="291"/>
      <c r="S4248" s="364"/>
      <c r="Z4248" s="609" t="s">
        <v>4073</v>
      </c>
      <c r="AA4248" s="609" t="s">
        <v>5691</v>
      </c>
    </row>
    <row r="4249" spans="1:27" ht="18">
      <c r="A4249" s="2714"/>
      <c r="B4249" s="371"/>
      <c r="C4249" s="371" t="s">
        <v>2755</v>
      </c>
      <c r="D4249" s="371"/>
      <c r="F4249" s="294"/>
      <c r="G4249" s="557"/>
      <c r="H4249" s="393"/>
      <c r="I4249" s="393"/>
      <c r="J4249" s="393"/>
      <c r="K4249" s="291"/>
      <c r="L4249" s="291"/>
      <c r="M4249" s="291"/>
      <c r="S4249" s="364"/>
      <c r="Z4249" s="609" t="s">
        <v>4073</v>
      </c>
      <c r="AA4249" s="609" t="s">
        <v>5691</v>
      </c>
    </row>
    <row r="4250" spans="1:27" ht="18">
      <c r="A4250" s="2714">
        <v>2801</v>
      </c>
      <c r="B4250" s="371">
        <v>50</v>
      </c>
      <c r="C4250" s="2716" t="str">
        <f>VLOOKUP($A4250,Sheet_Items,2,0)</f>
        <v>预计负债</v>
      </c>
      <c r="D4250" s="371"/>
      <c r="E4250" s="2716" t="s">
        <v>2739</v>
      </c>
      <c r="F4250" s="294"/>
      <c r="G4250" s="305" t="str">
        <f>B4250&amp;" "&amp;C4250</f>
        <v>50 预计负债</v>
      </c>
      <c r="H4250" s="306"/>
      <c r="I4250" s="306"/>
      <c r="J4250" s="306" t="s">
        <v>2740</v>
      </c>
      <c r="K4250" s="341">
        <f>VLOOKUP($A4250,Sheet_Trialbal,6,0)</f>
        <v>0</v>
      </c>
      <c r="L4250" s="342"/>
      <c r="M4250" s="306" t="s">
        <v>2741</v>
      </c>
      <c r="N4250" s="341">
        <f>VLOOKUP($A4250,Sheet_Trialbal,10,0)</f>
        <v>0</v>
      </c>
      <c r="O4250" s="306"/>
      <c r="P4250" s="301"/>
      <c r="S4250" s="364"/>
      <c r="Z4250" s="609" t="s">
        <v>4093</v>
      </c>
      <c r="AA4250" s="609" t="s">
        <v>5692</v>
      </c>
    </row>
    <row r="4251" spans="1:27" ht="18">
      <c r="A4251" s="2714" t="s">
        <v>1746</v>
      </c>
      <c r="B4251" s="371">
        <v>1</v>
      </c>
      <c r="C4251" s="371"/>
      <c r="D4251" s="2716" t="str">
        <f>VLOOKUP($A4251,Sheet_NoteList,2,0)</f>
        <v>预计负债明细项目</v>
      </c>
      <c r="E4251" s="2716" t="s">
        <v>2742</v>
      </c>
      <c r="F4251" s="294"/>
      <c r="G4251" s="307" t="str">
        <f>"("&amp;B4251&amp;")"&amp;D4251</f>
        <v>(1)预计负债明细项目</v>
      </c>
      <c r="H4251" s="1517" t="str">
        <f>$A4251</f>
        <v>2801a</v>
      </c>
      <c r="I4251" s="343" t="s">
        <v>2743</v>
      </c>
      <c r="J4251" s="301" t="s">
        <v>2744</v>
      </c>
      <c r="K4251" s="2210">
        <f>H4262</f>
        <v>0</v>
      </c>
      <c r="L4251" s="345" t="str">
        <f>IF($I4251="适用",IF(ROUND(K4250-K4251,2)=0,"F/S",ROUND(K4250-K4251,2)),"#N/A")</f>
        <v>F/S</v>
      </c>
      <c r="M4251" s="301" t="s">
        <v>2745</v>
      </c>
      <c r="N4251" s="2210">
        <f>I4262</f>
        <v>0</v>
      </c>
      <c r="O4251" s="345" t="str">
        <f>IF($I4251="适用",IF(ROUND(N4250-N4251,2)=0,"F/S",ROUND(N4250-N4251,2)),"#N/A")</f>
        <v>F/S</v>
      </c>
      <c r="P4251" s="301"/>
      <c r="Q4251" s="290" t="str">
        <f>IF($I4251="不适用","",IF(ROUND(SUM($H$4254:$J$4262),2)=0,"请输入",""))</f>
        <v>请输入</v>
      </c>
      <c r="S4251" s="364"/>
      <c r="Z4251" s="609" t="s">
        <v>4093</v>
      </c>
      <c r="AA4251" s="609" t="s">
        <v>5692</v>
      </c>
    </row>
    <row r="4252" spans="1:27" ht="0.75" customHeight="1" thickBot="1">
      <c r="A4252" s="2714"/>
      <c r="B4252" s="371"/>
      <c r="C4252" s="371"/>
      <c r="D4252" s="371"/>
      <c r="F4252" s="304"/>
      <c r="G4252" s="304" t="s">
        <v>4094</v>
      </c>
      <c r="H4252" s="304" t="s">
        <v>2747</v>
      </c>
      <c r="I4252" s="304" t="s">
        <v>2748</v>
      </c>
      <c r="J4252" s="304" t="s">
        <v>4095</v>
      </c>
      <c r="L4252" s="291"/>
      <c r="M4252" s="291"/>
      <c r="N4252" s="291"/>
      <c r="O4252" s="291"/>
      <c r="S4252" s="364"/>
      <c r="Z4252" s="609" t="s">
        <v>4093</v>
      </c>
      <c r="AA4252" s="609" t="s">
        <v>5692</v>
      </c>
    </row>
    <row r="4253" spans="1:27" ht="18">
      <c r="A4253" s="2714"/>
      <c r="B4253" s="371"/>
      <c r="C4253" s="371"/>
      <c r="D4253" s="371"/>
      <c r="E4253" s="2716" t="s">
        <v>2749</v>
      </c>
      <c r="F4253" s="294"/>
      <c r="G4253" s="410" t="s">
        <v>47</v>
      </c>
      <c r="H4253" s="1454" t="str">
        <f>$V$2</f>
        <v>2019年12月31日</v>
      </c>
      <c r="I4253" s="1454" t="str">
        <f>$V$3</f>
        <v>2018年12月31日</v>
      </c>
      <c r="J4253" s="411" t="s">
        <v>4071</v>
      </c>
      <c r="K4253" s="355" t="s">
        <v>5315</v>
      </c>
      <c r="L4253" s="291"/>
      <c r="M4253" s="291"/>
      <c r="N4253" s="291"/>
      <c r="O4253" s="291"/>
      <c r="S4253" s="364"/>
      <c r="Z4253" s="609" t="s">
        <v>4093</v>
      </c>
      <c r="AA4253" s="609" t="s">
        <v>5692</v>
      </c>
    </row>
    <row r="4254" spans="1:27" ht="18">
      <c r="A4254" s="2714"/>
      <c r="B4254" s="371">
        <v>101</v>
      </c>
      <c r="C4254" s="371"/>
      <c r="D4254" s="2716">
        <f t="shared" ref="D4254:D4262" si="476">IF(OR(G4254="*",G4254="",G4254=0),0,COUNTIF($G$4254:$G$4262,G4254))</f>
        <v>1</v>
      </c>
      <c r="E4254" s="2721">
        <v>1</v>
      </c>
      <c r="F4254" s="294"/>
      <c r="G4254" s="308" t="s">
        <v>4096</v>
      </c>
      <c r="H4254" s="320"/>
      <c r="I4254" s="309"/>
      <c r="J4254" s="2206"/>
      <c r="L4254" s="291"/>
      <c r="M4254" s="291"/>
      <c r="N4254" s="291"/>
      <c r="O4254" s="291"/>
      <c r="S4254" s="364"/>
      <c r="Z4254" s="609" t="s">
        <v>4093</v>
      </c>
      <c r="AA4254" s="609" t="s">
        <v>5692</v>
      </c>
    </row>
    <row r="4255" spans="1:27" ht="18">
      <c r="A4255" s="2714"/>
      <c r="B4255" s="371">
        <v>102</v>
      </c>
      <c r="C4255" s="371"/>
      <c r="D4255" s="2716">
        <f t="shared" si="476"/>
        <v>1</v>
      </c>
      <c r="E4255" s="2721">
        <v>1</v>
      </c>
      <c r="F4255" s="294"/>
      <c r="G4255" s="308" t="s">
        <v>4097</v>
      </c>
      <c r="H4255" s="320"/>
      <c r="I4255" s="309"/>
      <c r="J4255" s="388"/>
      <c r="L4255" s="291"/>
      <c r="M4255" s="291"/>
      <c r="N4255" s="291"/>
      <c r="O4255" s="291"/>
      <c r="S4255" s="364"/>
      <c r="Z4255" s="609" t="s">
        <v>4093</v>
      </c>
      <c r="AA4255" s="609" t="s">
        <v>5692</v>
      </c>
    </row>
    <row r="4256" spans="1:27" ht="18">
      <c r="A4256" s="2714"/>
      <c r="B4256" s="371">
        <v>103</v>
      </c>
      <c r="C4256" s="371"/>
      <c r="D4256" s="2716">
        <f t="shared" si="476"/>
        <v>1</v>
      </c>
      <c r="E4256" s="2721">
        <v>1</v>
      </c>
      <c r="F4256" s="294"/>
      <c r="G4256" s="308" t="s">
        <v>4098</v>
      </c>
      <c r="H4256" s="320"/>
      <c r="I4256" s="309"/>
      <c r="J4256" s="388"/>
      <c r="L4256" s="291"/>
      <c r="M4256" s="291"/>
      <c r="N4256" s="291"/>
      <c r="O4256" s="291"/>
      <c r="S4256" s="364"/>
      <c r="Z4256" s="609" t="s">
        <v>4093</v>
      </c>
      <c r="AA4256" s="609" t="s">
        <v>5692</v>
      </c>
    </row>
    <row r="4257" spans="1:29" ht="18">
      <c r="A4257" s="2714"/>
      <c r="B4257" s="371">
        <v>104</v>
      </c>
      <c r="C4257" s="371"/>
      <c r="D4257" s="2716">
        <f t="shared" si="476"/>
        <v>1</v>
      </c>
      <c r="E4257" s="2721">
        <v>1</v>
      </c>
      <c r="F4257" s="294"/>
      <c r="G4257" s="308" t="s">
        <v>4099</v>
      </c>
      <c r="H4257" s="320"/>
      <c r="I4257" s="309"/>
      <c r="J4257" s="388"/>
      <c r="L4257" s="291"/>
      <c r="M4257" s="291"/>
      <c r="N4257" s="291"/>
      <c r="O4257" s="291"/>
      <c r="S4257" s="364"/>
      <c r="Z4257" s="609" t="s">
        <v>4093</v>
      </c>
      <c r="AA4257" s="609" t="s">
        <v>5692</v>
      </c>
    </row>
    <row r="4258" spans="1:29" ht="18">
      <c r="A4258" s="2714"/>
      <c r="B4258" s="371">
        <v>105</v>
      </c>
      <c r="C4258" s="371"/>
      <c r="D4258" s="2716">
        <f t="shared" si="476"/>
        <v>1</v>
      </c>
      <c r="E4258" s="2721">
        <v>1</v>
      </c>
      <c r="F4258" s="294"/>
      <c r="G4258" s="308" t="s">
        <v>4100</v>
      </c>
      <c r="H4258" s="320"/>
      <c r="I4258" s="309"/>
      <c r="J4258" s="388"/>
      <c r="L4258" s="291"/>
      <c r="M4258" s="291"/>
      <c r="N4258" s="291"/>
      <c r="O4258" s="291"/>
      <c r="S4258" s="364"/>
      <c r="Z4258" s="609" t="s">
        <v>4093</v>
      </c>
      <c r="AA4258" s="609" t="s">
        <v>5692</v>
      </c>
    </row>
    <row r="4259" spans="1:29" ht="18">
      <c r="A4259" s="2714"/>
      <c r="B4259" s="371">
        <v>106</v>
      </c>
      <c r="C4259" s="371"/>
      <c r="D4259" s="2716">
        <f t="shared" si="476"/>
        <v>1</v>
      </c>
      <c r="E4259" s="2721">
        <v>1</v>
      </c>
      <c r="F4259" s="294"/>
      <c r="G4259" s="308" t="s">
        <v>932</v>
      </c>
      <c r="H4259" s="320"/>
      <c r="I4259" s="309"/>
      <c r="J4259" s="388"/>
      <c r="L4259" s="291"/>
      <c r="M4259" s="291"/>
      <c r="N4259" s="291"/>
      <c r="O4259" s="291"/>
      <c r="S4259" s="364"/>
      <c r="Z4259" s="609" t="s">
        <v>4093</v>
      </c>
      <c r="AA4259" s="609" t="s">
        <v>5692</v>
      </c>
    </row>
    <row r="4260" spans="1:29" ht="18">
      <c r="A4260" s="2714"/>
      <c r="B4260" s="371">
        <v>107</v>
      </c>
      <c r="C4260" s="371" t="s">
        <v>2791</v>
      </c>
      <c r="D4260" s="2716">
        <f t="shared" si="476"/>
        <v>0</v>
      </c>
      <c r="E4260" s="2721">
        <v>1</v>
      </c>
      <c r="F4260" s="294"/>
      <c r="G4260" s="319" t="s">
        <v>2792</v>
      </c>
      <c r="H4260" s="320"/>
      <c r="I4260" s="309"/>
      <c r="J4260" s="388"/>
      <c r="L4260" s="291"/>
      <c r="M4260" s="291"/>
      <c r="N4260" s="291"/>
      <c r="O4260" s="291"/>
      <c r="S4260" s="364"/>
      <c r="Z4260" s="609" t="s">
        <v>4093</v>
      </c>
      <c r="AA4260" s="609" t="s">
        <v>5692</v>
      </c>
    </row>
    <row r="4261" spans="1:29" ht="18">
      <c r="A4261" s="2714"/>
      <c r="B4261" s="371">
        <v>108</v>
      </c>
      <c r="C4261" s="371" t="s">
        <v>2791</v>
      </c>
      <c r="D4261" s="2716">
        <f t="shared" si="476"/>
        <v>0</v>
      </c>
      <c r="E4261" s="2721">
        <v>1</v>
      </c>
      <c r="F4261" s="294"/>
      <c r="G4261" s="319" t="s">
        <v>2792</v>
      </c>
      <c r="H4261" s="320"/>
      <c r="I4261" s="309"/>
      <c r="J4261" s="388"/>
      <c r="L4261" s="291"/>
      <c r="M4261" s="291"/>
      <c r="N4261" s="291"/>
      <c r="O4261" s="291"/>
      <c r="S4261" s="364"/>
      <c r="Z4261" s="609" t="s">
        <v>4093</v>
      </c>
      <c r="AA4261" s="609" t="s">
        <v>5692</v>
      </c>
    </row>
    <row r="4262" spans="1:29" ht="18.75" thickBot="1">
      <c r="A4262" s="2714"/>
      <c r="B4262" s="371"/>
      <c r="C4262" s="371"/>
      <c r="D4262" s="2716">
        <f t="shared" si="476"/>
        <v>1</v>
      </c>
      <c r="E4262" s="2721" t="s">
        <v>2751</v>
      </c>
      <c r="F4262" s="294"/>
      <c r="G4262" s="374" t="s">
        <v>2752</v>
      </c>
      <c r="H4262" s="596">
        <f>SUMPRODUCT($E4253:$E4261,H4253:H4261)</f>
        <v>0</v>
      </c>
      <c r="I4262" s="596">
        <f>SUMPRODUCT($E4253:$E4261,I4253:I4261)</f>
        <v>0</v>
      </c>
      <c r="J4262" s="546"/>
      <c r="L4262" s="291"/>
      <c r="M4262" s="291"/>
      <c r="N4262" s="291"/>
      <c r="O4262" s="291"/>
      <c r="S4262" s="364"/>
      <c r="Z4262" s="609" t="s">
        <v>4093</v>
      </c>
      <c r="AA4262" s="609" t="s">
        <v>5692</v>
      </c>
    </row>
    <row r="4263" spans="1:29" ht="18">
      <c r="A4263" s="2714"/>
      <c r="B4263" s="371"/>
      <c r="C4263" s="371" t="s">
        <v>2755</v>
      </c>
      <c r="D4263" s="371"/>
      <c r="F4263" s="294"/>
      <c r="G4263" s="301"/>
      <c r="H4263" s="315"/>
      <c r="I4263" s="315"/>
      <c r="J4263" s="393"/>
      <c r="K4263" s="349"/>
      <c r="L4263" s="291"/>
      <c r="M4263" s="291"/>
      <c r="N4263" s="291"/>
      <c r="O4263" s="291"/>
      <c r="S4263" s="364"/>
      <c r="Z4263" s="609" t="s">
        <v>4093</v>
      </c>
      <c r="AA4263" s="609" t="s">
        <v>5692</v>
      </c>
    </row>
    <row r="4264" spans="1:29" ht="18">
      <c r="A4264" s="2714">
        <v>2401</v>
      </c>
      <c r="B4264" s="371">
        <v>51</v>
      </c>
      <c r="C4264" s="2716" t="str">
        <f>VLOOKUP($A4264,Sheet_Items,2,0)</f>
        <v>递延收益</v>
      </c>
      <c r="D4264" s="371"/>
      <c r="E4264" s="2716" t="s">
        <v>2739</v>
      </c>
      <c r="F4264" s="294"/>
      <c r="G4264" s="305" t="str">
        <f>B4264&amp;" "&amp;C4264</f>
        <v>51 递延收益</v>
      </c>
      <c r="H4264" s="306"/>
      <c r="I4264" s="306"/>
      <c r="J4264" s="306" t="s">
        <v>2740</v>
      </c>
      <c r="K4264" s="341">
        <f>VLOOKUP($A4264,Sheet_Trialbal,6,0)</f>
        <v>0</v>
      </c>
      <c r="L4264" s="342"/>
      <c r="M4264" s="306" t="s">
        <v>2741</v>
      </c>
      <c r="N4264" s="341">
        <f>VLOOKUP($A4264,Sheet_Trialbal,10,0)</f>
        <v>0</v>
      </c>
      <c r="O4264" s="306"/>
      <c r="P4264" s="301"/>
      <c r="S4264" s="364"/>
      <c r="Z4264" s="609" t="s">
        <v>4101</v>
      </c>
      <c r="AA4264" s="609" t="s">
        <v>5693</v>
      </c>
    </row>
    <row r="4265" spans="1:29" ht="18">
      <c r="A4265" s="2714" t="s">
        <v>1751</v>
      </c>
      <c r="B4265" s="371">
        <v>1</v>
      </c>
      <c r="C4265" s="371"/>
      <c r="D4265" s="2716" t="str">
        <f>VLOOKUP($A4265,Sheet_NoteList,2,0)</f>
        <v>递延收益情况</v>
      </c>
      <c r="E4265" s="2716" t="s">
        <v>2742</v>
      </c>
      <c r="F4265" s="294"/>
      <c r="G4265" s="307" t="str">
        <f>"("&amp;B4265&amp;")"&amp;D4265</f>
        <v>(1)递延收益情况</v>
      </c>
      <c r="H4265" s="1517" t="str">
        <f>$A4265</f>
        <v>2401a</v>
      </c>
      <c r="I4265" s="343" t="s">
        <v>2743</v>
      </c>
      <c r="J4265" s="301" t="s">
        <v>2744</v>
      </c>
      <c r="K4265" s="2210">
        <f>K4271</f>
        <v>0</v>
      </c>
      <c r="L4265" s="345" t="str">
        <f>IF($I4265="适用",IF(ROUND(K4264-K4265,2)=0,"F/S",ROUND(K4264-K4265,2)),"#N/A")</f>
        <v>F/S</v>
      </c>
      <c r="M4265" s="301" t="s">
        <v>2745</v>
      </c>
      <c r="N4265" s="2210">
        <f>H4271</f>
        <v>0</v>
      </c>
      <c r="O4265" s="345" t="str">
        <f>IF($I4265="适用",IF(ROUND(N4264-N4265,2)=0,"F/S",ROUND(N4264-N4265,2)),"#N/A")</f>
        <v>F/S</v>
      </c>
      <c r="P4265" s="301"/>
      <c r="Q4265" s="290" t="str">
        <f>IF($I4265="不适用","",IF(ROUND(SUM($H$4268:$L$4271),2)=0,"请输入",""))</f>
        <v>请输入</v>
      </c>
      <c r="S4265" s="364"/>
      <c r="Z4265" s="609" t="s">
        <v>4101</v>
      </c>
      <c r="AA4265" s="609" t="s">
        <v>5693</v>
      </c>
    </row>
    <row r="4266" spans="1:29" ht="0.75" customHeight="1" thickBot="1">
      <c r="A4266" s="2714"/>
      <c r="B4266" s="371"/>
      <c r="C4266" s="371"/>
      <c r="D4266" s="371"/>
      <c r="E4266" s="586"/>
      <c r="F4266" s="586"/>
      <c r="G4266" s="586" t="s">
        <v>4102</v>
      </c>
      <c r="H4266" s="371" t="s">
        <v>2904</v>
      </c>
      <c r="I4266" s="371" t="s">
        <v>3255</v>
      </c>
      <c r="J4266" s="371" t="s">
        <v>3256</v>
      </c>
      <c r="K4266" s="371" t="s">
        <v>3241</v>
      </c>
      <c r="L4266" s="371" t="s">
        <v>4070</v>
      </c>
      <c r="M4266" s="291"/>
      <c r="N4266" s="291"/>
      <c r="O4266" s="291"/>
      <c r="S4266" s="364"/>
      <c r="Z4266" s="609" t="s">
        <v>4101</v>
      </c>
      <c r="AA4266" s="609" t="s">
        <v>5693</v>
      </c>
    </row>
    <row r="4267" spans="1:29" ht="18">
      <c r="A4267" s="2714"/>
      <c r="B4267" s="371"/>
      <c r="C4267" s="371"/>
      <c r="D4267" s="371"/>
      <c r="E4267" s="586" t="s">
        <v>2749</v>
      </c>
      <c r="F4267" s="363"/>
      <c r="G4267" s="2411" t="s">
        <v>47</v>
      </c>
      <c r="H4267" s="2475" t="str">
        <f>$V$3</f>
        <v>2018年12月31日</v>
      </c>
      <c r="I4267" s="2416" t="s">
        <v>3027</v>
      </c>
      <c r="J4267" s="2416" t="s">
        <v>3028</v>
      </c>
      <c r="K4267" s="2475" t="str">
        <f>$V$2</f>
        <v>2019年12月31日</v>
      </c>
      <c r="L4267" s="2419" t="s">
        <v>4071</v>
      </c>
      <c r="M4267" s="355" t="s">
        <v>5316</v>
      </c>
      <c r="N4267" s="291"/>
      <c r="O4267" s="291"/>
      <c r="S4267" s="364"/>
      <c r="Z4267" s="609" t="s">
        <v>4101</v>
      </c>
      <c r="AA4267" s="609" t="s">
        <v>5693</v>
      </c>
    </row>
    <row r="4268" spans="1:29" ht="18">
      <c r="A4268" s="2714"/>
      <c r="B4268" s="371">
        <v>101</v>
      </c>
      <c r="C4268" s="371"/>
      <c r="D4268" s="2716">
        <f>IF(OR(G4268="*",G4268="",G4268=0),0,COUNTIF($G$4268:$G$4271,G4268))</f>
        <v>1</v>
      </c>
      <c r="E4268" s="2721">
        <v>1</v>
      </c>
      <c r="F4268" s="294"/>
      <c r="G4268" s="1474" t="s">
        <v>905</v>
      </c>
      <c r="H4268" s="2275"/>
      <c r="I4268" s="2275"/>
      <c r="J4268" s="2275"/>
      <c r="K4268" s="1476">
        <f>H4268+I4268-J4268</f>
        <v>0</v>
      </c>
      <c r="L4268" s="2276"/>
      <c r="M4268" s="1533" t="str">
        <f ca="1">HYPERLINK("#'"&amp;$G$1&amp;"'!"&amp;ADDRESS(ROW(Notes!H4284),COLUMN(Notes!H4284),4),"* 请勿删除此行！点击往勾稽单元格，F5+Enter返回")</f>
        <v>* 请勿删除此行！点击往勾稽单元格，F5+Enter返回</v>
      </c>
      <c r="N4268" s="291"/>
      <c r="O4268" s="291"/>
      <c r="S4268" s="364"/>
      <c r="Z4268" s="609" t="s">
        <v>4101</v>
      </c>
      <c r="AA4268" s="609" t="s">
        <v>5693</v>
      </c>
      <c r="AC4268" s="369" t="s">
        <v>6573</v>
      </c>
    </row>
    <row r="4269" spans="1:29" ht="18">
      <c r="A4269" s="2714"/>
      <c r="B4269" s="371">
        <v>102</v>
      </c>
      <c r="C4269" s="371" t="s">
        <v>2791</v>
      </c>
      <c r="D4269" s="2716">
        <f>IF(OR(G4269="*",G4269="",G4269=0),0,COUNTIF($G$4268:$G$4271,G4269))</f>
        <v>0</v>
      </c>
      <c r="E4269" s="2721">
        <v>1</v>
      </c>
      <c r="F4269" s="294"/>
      <c r="G4269" s="2418" t="s">
        <v>2792</v>
      </c>
      <c r="H4269" s="2275"/>
      <c r="I4269" s="2275"/>
      <c r="J4269" s="2275"/>
      <c r="K4269" s="1476">
        <f>H4269+I4269-J4269</f>
        <v>0</v>
      </c>
      <c r="L4269" s="2276"/>
      <c r="M4269" s="291"/>
      <c r="N4269" s="291"/>
      <c r="O4269" s="291"/>
      <c r="S4269" s="364"/>
      <c r="Z4269" s="609" t="s">
        <v>4101</v>
      </c>
      <c r="AA4269" s="609" t="s">
        <v>5693</v>
      </c>
    </row>
    <row r="4270" spans="1:29" ht="18">
      <c r="A4270" s="2714"/>
      <c r="B4270" s="371">
        <v>103</v>
      </c>
      <c r="C4270" s="371" t="s">
        <v>2791</v>
      </c>
      <c r="D4270" s="2716">
        <f>IF(OR(G4270="*",G4270="",G4270=0),0,COUNTIF($G$4268:$G$4271,G4270))</f>
        <v>0</v>
      </c>
      <c r="E4270" s="2721">
        <v>1</v>
      </c>
      <c r="F4270" s="294"/>
      <c r="G4270" s="2418" t="s">
        <v>2792</v>
      </c>
      <c r="H4270" s="2275"/>
      <c r="I4270" s="2275"/>
      <c r="J4270" s="2275"/>
      <c r="K4270" s="1476">
        <f>H4270+I4270-J4270</f>
        <v>0</v>
      </c>
      <c r="L4270" s="2276"/>
      <c r="M4270" s="291"/>
      <c r="N4270" s="291"/>
      <c r="O4270" s="291"/>
      <c r="S4270" s="364"/>
      <c r="Z4270" s="609" t="s">
        <v>4101</v>
      </c>
      <c r="AA4270" s="609" t="s">
        <v>5693</v>
      </c>
    </row>
    <row r="4271" spans="1:29" ht="18.75" thickBot="1">
      <c r="A4271" s="2714"/>
      <c r="B4271" s="371"/>
      <c r="C4271" s="371"/>
      <c r="D4271" s="2716">
        <f>IF(OR(G4271="*",G4271="",G4271=0),0,COUNTIF($G$4268:$G$4271,G4271))</f>
        <v>1</v>
      </c>
      <c r="E4271" s="2721" t="s">
        <v>2751</v>
      </c>
      <c r="F4271" s="294"/>
      <c r="G4271" s="374" t="s">
        <v>2752</v>
      </c>
      <c r="H4271" s="1478">
        <f>SUMPRODUCT($E4267:$E4270,H4267:H4270)</f>
        <v>0</v>
      </c>
      <c r="I4271" s="1478">
        <f>SUMPRODUCT($E4267:$E4270,I4267:I4270)</f>
        <v>0</v>
      </c>
      <c r="J4271" s="1478">
        <f>SUMPRODUCT($E4267:$E4270,J4267:J4270)</f>
        <v>0</v>
      </c>
      <c r="K4271" s="1478">
        <f>SUMPRODUCT($E4267:$E4270,K4267:K4270)</f>
        <v>0</v>
      </c>
      <c r="L4271" s="2260"/>
      <c r="M4271" s="291"/>
      <c r="N4271" s="291"/>
      <c r="O4271" s="291"/>
      <c r="S4271" s="364"/>
      <c r="Z4271" s="609" t="s">
        <v>4101</v>
      </c>
      <c r="AA4271" s="609" t="s">
        <v>5693</v>
      </c>
    </row>
    <row r="4272" spans="1:29" ht="18">
      <c r="A4272" s="2714"/>
      <c r="B4272" s="371"/>
      <c r="C4272" s="371" t="s">
        <v>2755</v>
      </c>
      <c r="D4272" s="371"/>
      <c r="F4272" s="294"/>
      <c r="G4272" s="301"/>
      <c r="H4272" s="315"/>
      <c r="I4272" s="315"/>
      <c r="J4272" s="315"/>
      <c r="K4272" s="315"/>
      <c r="L4272" s="393"/>
      <c r="M4272" s="291"/>
      <c r="N4272" s="291"/>
      <c r="O4272" s="291"/>
      <c r="S4272" s="364"/>
      <c r="Z4272" s="609" t="s">
        <v>4101</v>
      </c>
      <c r="AA4272" s="609" t="s">
        <v>5693</v>
      </c>
    </row>
    <row r="4273" spans="1:32" ht="24">
      <c r="A4273" s="2714" t="s">
        <v>1756</v>
      </c>
      <c r="B4273" s="371">
        <v>2</v>
      </c>
      <c r="C4273" s="371"/>
      <c r="D4273" s="2716" t="str">
        <f>VLOOKUP($A4273,Sheet_NoteList,2,0)</f>
        <v>递延收益（涉及政府补助的项目）</v>
      </c>
      <c r="E4273" s="2716" t="s">
        <v>6531</v>
      </c>
      <c r="F4273" s="294"/>
      <c r="G4273" s="372" t="str">
        <f>"("&amp;B4273&amp;")"&amp;D4273</f>
        <v>(2)递延收益（涉及政府补助的项目）</v>
      </c>
      <c r="H4273" s="1517" t="str">
        <f>$A4273</f>
        <v>2401b</v>
      </c>
      <c r="I4273" s="343" t="s">
        <v>5253</v>
      </c>
      <c r="J4273" s="301"/>
      <c r="K4273" s="391"/>
      <c r="L4273" s="345"/>
      <c r="M4273" s="301"/>
      <c r="N4273" s="391"/>
      <c r="O4273" s="345"/>
      <c r="P4273" s="301"/>
      <c r="Q4273" s="290" t="str">
        <f>IF($I4273="不适用","",IF(ROUND(SUM($H$4276:$N$4281),2)=0,"请输入",""))</f>
        <v>请输入</v>
      </c>
      <c r="S4273" s="364"/>
      <c r="Z4273" s="609" t="s">
        <v>4101</v>
      </c>
      <c r="AA4273" s="609" t="s">
        <v>5693</v>
      </c>
    </row>
    <row r="4274" spans="1:32" ht="0.75" customHeight="1" thickBot="1">
      <c r="A4274" s="2714"/>
      <c r="B4274" s="371"/>
      <c r="C4274" s="371"/>
      <c r="D4274" s="371"/>
      <c r="E4274" s="586"/>
      <c r="F4274" s="586"/>
      <c r="G4274" s="586" t="s">
        <v>4103</v>
      </c>
      <c r="H4274" s="371" t="s">
        <v>6291</v>
      </c>
      <c r="I4274" s="371" t="s">
        <v>6292</v>
      </c>
      <c r="J4274" s="371" t="s">
        <v>6293</v>
      </c>
      <c r="K4274" s="371" t="s">
        <v>6294</v>
      </c>
      <c r="L4274" s="371" t="s">
        <v>6295</v>
      </c>
      <c r="M4274" s="371" t="s">
        <v>6296</v>
      </c>
      <c r="N4274" s="371" t="s">
        <v>6297</v>
      </c>
      <c r="O4274" s="1604"/>
      <c r="P4274" s="1604"/>
      <c r="Q4274" s="442"/>
      <c r="R4274" s="364"/>
      <c r="Z4274" s="609" t="s">
        <v>4101</v>
      </c>
      <c r="AA4274" s="609" t="s">
        <v>5693</v>
      </c>
    </row>
    <row r="4275" spans="1:32" ht="36">
      <c r="A4275" s="2714"/>
      <c r="B4275" s="371"/>
      <c r="C4275" s="371"/>
      <c r="D4275" s="371"/>
      <c r="E4275" s="586" t="s">
        <v>2749</v>
      </c>
      <c r="F4275" s="363"/>
      <c r="G4275" s="2529" t="s">
        <v>6075</v>
      </c>
      <c r="H4275" s="2532" t="str">
        <f>$V$3</f>
        <v>2018年12月31日</v>
      </c>
      <c r="I4275" s="2526" t="s">
        <v>4010</v>
      </c>
      <c r="J4275" s="2526" t="s">
        <v>4011</v>
      </c>
      <c r="K4275" s="2526" t="s">
        <v>4104</v>
      </c>
      <c r="L4275" s="2526" t="s">
        <v>4012</v>
      </c>
      <c r="M4275" s="2532" t="str">
        <f>$V$2</f>
        <v>2019年12月31日</v>
      </c>
      <c r="N4275" s="2525" t="s">
        <v>5237</v>
      </c>
      <c r="O4275" s="2672" t="s">
        <v>5316</v>
      </c>
      <c r="P4275" s="1604"/>
      <c r="Q4275" s="1604"/>
      <c r="S4275" s="364"/>
      <c r="Z4275" s="609" t="s">
        <v>4101</v>
      </c>
      <c r="AA4275" s="609" t="s">
        <v>5693</v>
      </c>
      <c r="AF4275" s="369" t="s">
        <v>2761</v>
      </c>
    </row>
    <row r="4276" spans="1:32" ht="18">
      <c r="A4276" s="2714"/>
      <c r="B4276" s="371">
        <v>101</v>
      </c>
      <c r="C4276" s="371" t="s">
        <v>2791</v>
      </c>
      <c r="D4276" s="2716">
        <f t="shared" ref="D4276:D4281" si="477">IF(OR(G4276="*",G4276="",G4276=0),0,COUNTIF($G$4276:$G$4281,G4276))</f>
        <v>0</v>
      </c>
      <c r="E4276" s="2721">
        <v>1</v>
      </c>
      <c r="F4276" s="294"/>
      <c r="G4276" s="2530" t="s">
        <v>2792</v>
      </c>
      <c r="H4276" s="2275"/>
      <c r="I4276" s="2275"/>
      <c r="J4276" s="2275"/>
      <c r="K4276" s="2275"/>
      <c r="L4276" s="2275"/>
      <c r="M4276" s="1476">
        <f>SUM(H4276:I4276,-J4276,-K4276,L4276)</f>
        <v>0</v>
      </c>
      <c r="N4276" s="2276"/>
      <c r="O4276" s="2672" t="s">
        <v>6361</v>
      </c>
      <c r="P4276" s="2673" t="s">
        <v>6362</v>
      </c>
      <c r="Q4276" s="1604"/>
      <c r="S4276" s="364"/>
      <c r="Z4276" s="609" t="s">
        <v>4101</v>
      </c>
      <c r="AA4276" s="609" t="s">
        <v>5693</v>
      </c>
      <c r="AF4276" s="369" t="s">
        <v>2761</v>
      </c>
    </row>
    <row r="4277" spans="1:32" ht="18">
      <c r="A4277" s="2714"/>
      <c r="B4277" s="371">
        <v>102</v>
      </c>
      <c r="C4277" s="371" t="s">
        <v>2791</v>
      </c>
      <c r="D4277" s="2716">
        <f t="shared" si="477"/>
        <v>0</v>
      </c>
      <c r="E4277" s="2721">
        <v>1</v>
      </c>
      <c r="F4277" s="294"/>
      <c r="G4277" s="2530" t="s">
        <v>2792</v>
      </c>
      <c r="H4277" s="2275"/>
      <c r="I4277" s="2275"/>
      <c r="J4277" s="2275"/>
      <c r="K4277" s="2275"/>
      <c r="L4277" s="2275"/>
      <c r="M4277" s="1476">
        <f t="shared" ref="M4277:M4280" si="478">SUM(H4277:I4277,-J4277,-K4277,L4277)</f>
        <v>0</v>
      </c>
      <c r="N4277" s="2276"/>
      <c r="O4277" s="1604"/>
      <c r="P4277" s="2673" t="s">
        <v>6363</v>
      </c>
      <c r="Q4277" s="1604"/>
      <c r="S4277" s="364"/>
      <c r="Z4277" s="609" t="s">
        <v>4101</v>
      </c>
      <c r="AA4277" s="609" t="s">
        <v>5693</v>
      </c>
      <c r="AF4277" s="369" t="s">
        <v>2761</v>
      </c>
    </row>
    <row r="4278" spans="1:32" ht="18">
      <c r="A4278" s="2714"/>
      <c r="B4278" s="371">
        <v>103</v>
      </c>
      <c r="C4278" s="371" t="s">
        <v>2791</v>
      </c>
      <c r="D4278" s="2716">
        <f t="shared" si="477"/>
        <v>0</v>
      </c>
      <c r="E4278" s="2721">
        <v>1</v>
      </c>
      <c r="F4278" s="294"/>
      <c r="G4278" s="2530" t="s">
        <v>2792</v>
      </c>
      <c r="H4278" s="2275"/>
      <c r="I4278" s="2275"/>
      <c r="J4278" s="2275"/>
      <c r="K4278" s="2275"/>
      <c r="L4278" s="2275"/>
      <c r="M4278" s="1476">
        <f t="shared" si="478"/>
        <v>0</v>
      </c>
      <c r="N4278" s="2276"/>
      <c r="O4278" s="1604"/>
      <c r="P4278" s="1604"/>
      <c r="Q4278" s="1604"/>
      <c r="S4278" s="364"/>
      <c r="Z4278" s="609" t="s">
        <v>4101</v>
      </c>
      <c r="AA4278" s="609" t="s">
        <v>5693</v>
      </c>
      <c r="AF4278" s="369" t="s">
        <v>2761</v>
      </c>
    </row>
    <row r="4279" spans="1:32" ht="18">
      <c r="A4279" s="2714"/>
      <c r="B4279" s="371">
        <v>104</v>
      </c>
      <c r="C4279" s="371" t="s">
        <v>2791</v>
      </c>
      <c r="D4279" s="2716">
        <f t="shared" si="477"/>
        <v>0</v>
      </c>
      <c r="E4279" s="2721">
        <v>1</v>
      </c>
      <c r="F4279" s="294"/>
      <c r="G4279" s="2530" t="s">
        <v>2792</v>
      </c>
      <c r="H4279" s="2275"/>
      <c r="I4279" s="2275"/>
      <c r="J4279" s="2275"/>
      <c r="K4279" s="2275"/>
      <c r="L4279" s="2275"/>
      <c r="M4279" s="1476">
        <f t="shared" si="478"/>
        <v>0</v>
      </c>
      <c r="N4279" s="2276"/>
      <c r="O4279" s="1604"/>
      <c r="P4279" s="1604"/>
      <c r="Q4279" s="1604"/>
      <c r="S4279" s="364"/>
      <c r="Z4279" s="609" t="s">
        <v>4101</v>
      </c>
      <c r="AA4279" s="609" t="s">
        <v>5693</v>
      </c>
      <c r="AF4279" s="369" t="s">
        <v>2761</v>
      </c>
    </row>
    <row r="4280" spans="1:32" ht="18">
      <c r="A4280" s="2714"/>
      <c r="B4280" s="371">
        <v>105</v>
      </c>
      <c r="C4280" s="371" t="s">
        <v>2791</v>
      </c>
      <c r="D4280" s="2716">
        <f t="shared" si="477"/>
        <v>0</v>
      </c>
      <c r="E4280" s="2721">
        <v>1</v>
      </c>
      <c r="F4280" s="294"/>
      <c r="G4280" s="2530" t="s">
        <v>2792</v>
      </c>
      <c r="H4280" s="2275"/>
      <c r="I4280" s="2275"/>
      <c r="J4280" s="2275"/>
      <c r="K4280" s="2275"/>
      <c r="L4280" s="2275"/>
      <c r="M4280" s="1476">
        <f t="shared" si="478"/>
        <v>0</v>
      </c>
      <c r="N4280" s="2276"/>
      <c r="O4280" s="1604"/>
      <c r="P4280" s="1604"/>
      <c r="Q4280" s="1604"/>
      <c r="S4280" s="364"/>
      <c r="Z4280" s="609" t="s">
        <v>4101</v>
      </c>
      <c r="AA4280" s="609" t="s">
        <v>5693</v>
      </c>
      <c r="AF4280" s="369" t="s">
        <v>2761</v>
      </c>
    </row>
    <row r="4281" spans="1:32" ht="18.75" thickBot="1">
      <c r="A4281" s="2714"/>
      <c r="B4281" s="371"/>
      <c r="C4281" s="371"/>
      <c r="D4281" s="2716">
        <f t="shared" si="477"/>
        <v>1</v>
      </c>
      <c r="E4281" s="2721" t="s">
        <v>4013</v>
      </c>
      <c r="F4281" s="294"/>
      <c r="G4281" s="374" t="s">
        <v>2752</v>
      </c>
      <c r="H4281" s="1478">
        <f t="shared" ref="H4281:M4281" si="479">SUMPRODUCT($E4275:$E4280,H4275:H4280)</f>
        <v>0</v>
      </c>
      <c r="I4281" s="1478">
        <f t="shared" si="479"/>
        <v>0</v>
      </c>
      <c r="J4281" s="1478">
        <f t="shared" si="479"/>
        <v>0</v>
      </c>
      <c r="K4281" s="1478">
        <f t="shared" si="479"/>
        <v>0</v>
      </c>
      <c r="L4281" s="1478">
        <f t="shared" si="479"/>
        <v>0</v>
      </c>
      <c r="M4281" s="1478">
        <f t="shared" si="479"/>
        <v>0</v>
      </c>
      <c r="N4281" s="2260"/>
      <c r="O4281" s="2676" t="str">
        <f ca="1">HYPERLINK("#'"&amp;$G$1&amp;"'!"&amp;ADDRESS(ROW(Notes!H4801),COLUMN(Notes!H4801),4),"* 请勿删除此行！点击往勾稽单元格，F5+Enter返回")</f>
        <v>* 请勿删除此行！点击往勾稽单元格，F5+Enter返回</v>
      </c>
      <c r="P4281" s="1604"/>
      <c r="Q4281" s="1604"/>
      <c r="S4281" s="364"/>
      <c r="Z4281" s="609" t="s">
        <v>4101</v>
      </c>
      <c r="AA4281" s="609" t="s">
        <v>5693</v>
      </c>
      <c r="AC4281" s="369" t="s">
        <v>2794</v>
      </c>
      <c r="AF4281" s="369" t="s">
        <v>2761</v>
      </c>
    </row>
    <row r="4282" spans="1:32" ht="18.75" thickBot="1">
      <c r="A4282" s="2714"/>
      <c r="B4282" s="371"/>
      <c r="C4282" s="371" t="s">
        <v>2755</v>
      </c>
      <c r="D4282" s="371"/>
      <c r="F4282" s="294"/>
      <c r="G4282" s="301"/>
      <c r="H4282" s="527" t="s">
        <v>3002</v>
      </c>
      <c r="I4282" s="315"/>
      <c r="J4282" s="315"/>
      <c r="K4282" s="315"/>
      <c r="L4282" s="315"/>
      <c r="M4282" s="527" t="s">
        <v>3002</v>
      </c>
      <c r="N4282" s="393"/>
      <c r="O4282" s="1604"/>
      <c r="P4282" s="1604"/>
      <c r="Q4282" s="442"/>
      <c r="R4282" s="442"/>
      <c r="S4282" s="364"/>
      <c r="Z4282" s="609" t="s">
        <v>4101</v>
      </c>
      <c r="AA4282" s="609" t="s">
        <v>5693</v>
      </c>
    </row>
    <row r="4283" spans="1:32" ht="18.75" thickTop="1">
      <c r="A4283" s="2714"/>
      <c r="B4283" s="371"/>
      <c r="C4283" s="371" t="s">
        <v>2565</v>
      </c>
      <c r="D4283" s="371"/>
      <c r="F4283" s="294"/>
      <c r="G4283" s="1561" t="s">
        <v>5367</v>
      </c>
      <c r="H4283" s="1550" t="str">
        <f>G4265</f>
        <v>(1)递延收益情况</v>
      </c>
      <c r="I4283" s="1551"/>
      <c r="J4283" s="1551"/>
      <c r="K4283" s="1551"/>
      <c r="L4283" s="1551"/>
      <c r="M4283" s="1552"/>
      <c r="N4283" s="1551"/>
      <c r="O4283" s="1553" t="s">
        <v>5368</v>
      </c>
      <c r="S4283" s="364"/>
      <c r="Z4283" s="609" t="s">
        <v>4101</v>
      </c>
      <c r="AA4283" s="609" t="s">
        <v>5693</v>
      </c>
    </row>
    <row r="4284" spans="1:32" ht="18">
      <c r="A4284" s="2714"/>
      <c r="B4284" s="371"/>
      <c r="C4284" s="371" t="s">
        <v>2565</v>
      </c>
      <c r="D4284" s="371"/>
      <c r="F4284" s="294"/>
      <c r="G4284" s="316" t="str">
        <f>"注释A:"&amp; G4268</f>
        <v>注释A:政府补助</v>
      </c>
      <c r="H4284" s="2252">
        <f ca="1">HYPERLINK("#'"&amp;$G$1&amp;"'!"&amp;ADDRESS(ROW(Notes!H4268),COLUMN(Notes!H4268),4),H4268)</f>
        <v>0</v>
      </c>
      <c r="I4284" s="351"/>
      <c r="J4284" s="351"/>
      <c r="K4284" s="351"/>
      <c r="L4284" s="351"/>
      <c r="M4284" s="2252">
        <f ca="1">HYPERLINK("#'"&amp;$G$1&amp;"'!"&amp;ADDRESS(ROW(Notes!K4268),COLUMN(Notes!K4268),4),K4268)</f>
        <v>0</v>
      </c>
      <c r="N4284" s="351"/>
      <c r="O4284" s="2632" t="str">
        <f>H4265</f>
        <v>2401a</v>
      </c>
      <c r="S4284" s="364"/>
      <c r="Z4284" s="609" t="s">
        <v>4101</v>
      </c>
      <c r="AA4284" s="609" t="s">
        <v>5693</v>
      </c>
    </row>
    <row r="4285" spans="1:32" ht="18">
      <c r="A4285" s="2714"/>
      <c r="B4285" s="371"/>
      <c r="C4285" s="371" t="s">
        <v>2565</v>
      </c>
      <c r="D4285" s="371"/>
      <c r="F4285" s="294"/>
      <c r="G4285" s="316" t="str">
        <f>"本注释B:"&amp; G4281</f>
        <v>本注释B:合       计</v>
      </c>
      <c r="H4285" s="456">
        <f>H4281</f>
        <v>0</v>
      </c>
      <c r="I4285" s="351"/>
      <c r="J4285" s="351"/>
      <c r="K4285" s="351"/>
      <c r="L4285" s="351"/>
      <c r="M4285" s="456">
        <f>M4281</f>
        <v>0</v>
      </c>
      <c r="N4285" s="351"/>
      <c r="O4285" s="2638" t="s">
        <v>1756</v>
      </c>
      <c r="S4285" s="364"/>
      <c r="Z4285" s="609" t="s">
        <v>4101</v>
      </c>
      <c r="AA4285" s="609" t="s">
        <v>5693</v>
      </c>
    </row>
    <row r="4286" spans="1:32" ht="18.75" thickBot="1">
      <c r="A4286" s="2714"/>
      <c r="B4286" s="371"/>
      <c r="C4286" s="371" t="s">
        <v>2565</v>
      </c>
      <c r="D4286" s="371"/>
      <c r="F4286" s="294"/>
      <c r="G4286" s="1562" t="s">
        <v>2757</v>
      </c>
      <c r="H4286" s="1531">
        <f ca="1">IF(AND(H4284="",H4285=""),"",ROUND(H4284-H4285,2))</f>
        <v>0</v>
      </c>
      <c r="I4286" s="1555"/>
      <c r="J4286" s="1555"/>
      <c r="K4286" s="1555"/>
      <c r="L4286" s="1555"/>
      <c r="M4286" s="1531">
        <f ca="1">IF(AND(M4284="",M4285=""),"",ROUND(M4284-M4285,2))</f>
        <v>0</v>
      </c>
      <c r="N4286" s="1555"/>
      <c r="O4286" s="1555"/>
      <c r="S4286" s="364"/>
      <c r="Z4286" s="609" t="s">
        <v>4101</v>
      </c>
      <c r="AA4286" s="609" t="s">
        <v>5693</v>
      </c>
    </row>
    <row r="4287" spans="1:32" ht="18.75" thickTop="1">
      <c r="A4287" s="2714"/>
      <c r="B4287" s="371"/>
      <c r="C4287" s="371" t="s">
        <v>2565</v>
      </c>
      <c r="D4287" s="371"/>
      <c r="F4287" s="294"/>
      <c r="G4287" s="354"/>
      <c r="H4287" s="459" t="str">
        <f ca="1">IF(OR(H4286=0,H4286=""),"√","？")</f>
        <v>√</v>
      </c>
      <c r="I4287" s="317"/>
      <c r="J4287" s="317"/>
      <c r="K4287" s="317"/>
      <c r="L4287" s="317"/>
      <c r="M4287" s="459" t="str">
        <f ca="1">IF(OR(M4286=0,M4286=""),"√","？")</f>
        <v>√</v>
      </c>
      <c r="N4287" s="317"/>
      <c r="O4287" s="354"/>
      <c r="S4287" s="364"/>
      <c r="Z4287" s="609" t="s">
        <v>4101</v>
      </c>
      <c r="AA4287" s="609" t="s">
        <v>5693</v>
      </c>
    </row>
    <row r="4288" spans="1:32" ht="18">
      <c r="A4288" s="2714"/>
      <c r="B4288" s="371"/>
      <c r="C4288" s="371" t="s">
        <v>2565</v>
      </c>
      <c r="D4288" s="371"/>
      <c r="F4288" s="294"/>
      <c r="G4288" s="460" t="s">
        <v>2759</v>
      </c>
      <c r="H4288" s="461"/>
      <c r="I4288" s="317"/>
      <c r="J4288" s="317"/>
      <c r="K4288" s="352">
        <f ca="1">SUMIF($H$4287:$O$4287,"&lt;&gt;√",$H$4286:$O$4286)</f>
        <v>0</v>
      </c>
      <c r="L4288" s="353" t="str">
        <f ca="1">IF(OR(K4288=0,K4288=""),"√","？")</f>
        <v>√</v>
      </c>
      <c r="M4288" s="461"/>
      <c r="N4288" s="317"/>
      <c r="O4288" s="354"/>
      <c r="S4288" s="364"/>
      <c r="Z4288" s="609" t="s">
        <v>4101</v>
      </c>
      <c r="AA4288" s="609" t="s">
        <v>5693</v>
      </c>
    </row>
    <row r="4289" spans="1:27" ht="18">
      <c r="A4289" s="2714"/>
      <c r="B4289" s="371"/>
      <c r="C4289" s="371" t="s">
        <v>2565</v>
      </c>
      <c r="D4289" s="371"/>
      <c r="F4289" s="294"/>
      <c r="G4289" s="354"/>
      <c r="H4289" s="461"/>
      <c r="I4289" s="317"/>
      <c r="J4289" s="317"/>
      <c r="K4289" s="317"/>
      <c r="L4289" s="317"/>
      <c r="M4289" s="461"/>
      <c r="N4289" s="317"/>
      <c r="O4289" s="354"/>
      <c r="S4289" s="364"/>
      <c r="Z4289" s="609" t="s">
        <v>4101</v>
      </c>
      <c r="AA4289" s="609" t="s">
        <v>5693</v>
      </c>
    </row>
    <row r="4290" spans="1:27" ht="18">
      <c r="A4290" s="2714">
        <v>2996</v>
      </c>
      <c r="B4290" s="371">
        <v>52</v>
      </c>
      <c r="C4290" s="2716" t="str">
        <f>VLOOKUP($A4290,Sheet_Items,2,0)</f>
        <v>其他非流动负债</v>
      </c>
      <c r="D4290" s="371"/>
      <c r="E4290" s="2716" t="s">
        <v>2739</v>
      </c>
      <c r="F4290" s="294"/>
      <c r="G4290" s="535" t="str">
        <f>B4290&amp;" "&amp;C4290</f>
        <v>52 其他非流动负债</v>
      </c>
      <c r="H4290" s="306"/>
      <c r="I4290" s="306"/>
      <c r="J4290" s="306" t="s">
        <v>2740</v>
      </c>
      <c r="K4290" s="341">
        <f>VLOOKUP($A4290,Sheet_Trialbal,6,0)</f>
        <v>0</v>
      </c>
      <c r="L4290" s="342"/>
      <c r="M4290" s="306" t="s">
        <v>2741</v>
      </c>
      <c r="N4290" s="341">
        <f>VLOOKUP($A4290,Sheet_Trialbal,10,0)</f>
        <v>0</v>
      </c>
      <c r="O4290" s="306"/>
      <c r="P4290" s="301"/>
      <c r="S4290" s="364"/>
      <c r="Z4290" s="609" t="s">
        <v>4105</v>
      </c>
      <c r="AA4290" s="609" t="s">
        <v>5695</v>
      </c>
    </row>
    <row r="4291" spans="1:27" ht="24">
      <c r="A4291" s="2714" t="s">
        <v>1761</v>
      </c>
      <c r="B4291" s="371">
        <v>1</v>
      </c>
      <c r="C4291" s="371"/>
      <c r="D4291" s="2716" t="str">
        <f>VLOOKUP($A4291,Sheet_NoteList,2,0)</f>
        <v>其他非流动负债明细项目</v>
      </c>
      <c r="E4291" s="2716" t="s">
        <v>2742</v>
      </c>
      <c r="F4291" s="294"/>
      <c r="G4291" s="372" t="str">
        <f>"("&amp;B4291&amp;")"&amp;D4291</f>
        <v>(1)其他非流动负债明细项目</v>
      </c>
      <c r="H4291" s="1517" t="str">
        <f>$A4291</f>
        <v>2996a</v>
      </c>
      <c r="I4291" s="343" t="s">
        <v>2743</v>
      </c>
      <c r="J4291" s="301" t="s">
        <v>2744</v>
      </c>
      <c r="K4291" s="2210">
        <f>H4299</f>
        <v>0</v>
      </c>
      <c r="L4291" s="345" t="str">
        <f>IF($I4291="适用",IF(ROUND(K4290-K4291,2)=0,"F/S",ROUND(K4290-K4291,2)),"#N/A")</f>
        <v>F/S</v>
      </c>
      <c r="M4291" s="301" t="s">
        <v>2745</v>
      </c>
      <c r="N4291" s="2210">
        <f>I4299</f>
        <v>0</v>
      </c>
      <c r="O4291" s="345" t="str">
        <f>IF($I4291="适用",IF(ROUND(N4290-N4291,2)=0,"F/S",ROUND(N4290-N4291,2)),"#N/A")</f>
        <v>F/S</v>
      </c>
      <c r="P4291" s="301"/>
      <c r="Q4291" s="290" t="str">
        <f>IF($I4291="不适用","",IF(ROUND(SUM($H$4294:$I$4299),2)=0,"请输入",""))</f>
        <v>请输入</v>
      </c>
      <c r="S4291" s="364"/>
      <c r="Z4291" s="609" t="s">
        <v>4105</v>
      </c>
      <c r="AA4291" s="609" t="s">
        <v>5695</v>
      </c>
    </row>
    <row r="4292" spans="1:27" ht="0.75" customHeight="1" thickBot="1">
      <c r="A4292" s="2714"/>
      <c r="B4292" s="371"/>
      <c r="C4292" s="371"/>
      <c r="D4292" s="371"/>
      <c r="E4292" s="586"/>
      <c r="F4292" s="518"/>
      <c r="G4292" s="518" t="s">
        <v>4106</v>
      </c>
      <c r="H4292" s="304" t="s">
        <v>2747</v>
      </c>
      <c r="I4292" s="304" t="s">
        <v>2748</v>
      </c>
      <c r="J4292" s="291"/>
      <c r="K4292" s="291"/>
      <c r="L4292" s="291"/>
      <c r="M4292" s="291"/>
      <c r="S4292" s="364"/>
      <c r="Z4292" s="609" t="s">
        <v>4105</v>
      </c>
      <c r="AA4292" s="609" t="s">
        <v>5695</v>
      </c>
    </row>
    <row r="4293" spans="1:27" ht="18">
      <c r="A4293" s="2714"/>
      <c r="B4293" s="371"/>
      <c r="C4293" s="371"/>
      <c r="D4293" s="371"/>
      <c r="E4293" s="586" t="s">
        <v>2749</v>
      </c>
      <c r="F4293" s="363"/>
      <c r="G4293" s="2411" t="s">
        <v>47</v>
      </c>
      <c r="H4293" s="2225" t="str">
        <f>$V$2</f>
        <v>2019年12月31日</v>
      </c>
      <c r="I4293" s="2226" t="str">
        <f>$V$3</f>
        <v>2018年12月31日</v>
      </c>
      <c r="J4293" s="355" t="s">
        <v>5317</v>
      </c>
      <c r="K4293" s="291"/>
      <c r="L4293" s="291"/>
      <c r="M4293" s="291"/>
      <c r="S4293" s="364"/>
      <c r="Z4293" s="609" t="s">
        <v>4105</v>
      </c>
      <c r="AA4293" s="609" t="s">
        <v>5695</v>
      </c>
    </row>
    <row r="4294" spans="1:27" ht="24">
      <c r="A4294" s="2714"/>
      <c r="B4294" s="371">
        <v>101</v>
      </c>
      <c r="C4294" s="371" t="s">
        <v>2791</v>
      </c>
      <c r="D4294" s="2716">
        <f t="shared" ref="D4294:D4299" si="480">IF(OR(G4294="*",G4294="",G4294=0),0,COUNTIF($G$4294:$G$4299,G4294))</f>
        <v>1</v>
      </c>
      <c r="E4294" s="2721">
        <v>1</v>
      </c>
      <c r="F4294" s="294"/>
      <c r="G4294" s="2568" t="s">
        <v>6076</v>
      </c>
      <c r="H4294" s="2275"/>
      <c r="I4294" s="2296"/>
      <c r="J4294" s="291"/>
      <c r="K4294" s="291"/>
      <c r="L4294" s="291"/>
      <c r="M4294" s="291"/>
      <c r="S4294" s="364"/>
      <c r="Z4294" s="609" t="s">
        <v>4105</v>
      </c>
      <c r="AA4294" s="609" t="s">
        <v>5695</v>
      </c>
    </row>
    <row r="4295" spans="1:27" ht="18">
      <c r="A4295" s="2714"/>
      <c r="B4295" s="371">
        <v>102</v>
      </c>
      <c r="C4295" s="371" t="s">
        <v>2791</v>
      </c>
      <c r="D4295" s="2716">
        <f t="shared" si="480"/>
        <v>0</v>
      </c>
      <c r="E4295" s="2721">
        <v>1</v>
      </c>
      <c r="F4295" s="294"/>
      <c r="G4295" s="2418" t="s">
        <v>2792</v>
      </c>
      <c r="H4295" s="2275"/>
      <c r="I4295" s="2296"/>
      <c r="J4295" s="291"/>
      <c r="K4295" s="291"/>
      <c r="L4295" s="291"/>
      <c r="M4295" s="291"/>
      <c r="S4295" s="364"/>
      <c r="Z4295" s="609" t="s">
        <v>4105</v>
      </c>
      <c r="AA4295" s="609" t="s">
        <v>5695</v>
      </c>
    </row>
    <row r="4296" spans="1:27" ht="18">
      <c r="A4296" s="2714"/>
      <c r="B4296" s="371">
        <v>103</v>
      </c>
      <c r="C4296" s="371" t="s">
        <v>2791</v>
      </c>
      <c r="D4296" s="2716">
        <f t="shared" si="480"/>
        <v>0</v>
      </c>
      <c r="E4296" s="2721">
        <v>1</v>
      </c>
      <c r="F4296" s="294"/>
      <c r="G4296" s="2418" t="s">
        <v>2792</v>
      </c>
      <c r="H4296" s="2275"/>
      <c r="I4296" s="2296"/>
      <c r="J4296" s="291"/>
      <c r="K4296" s="291"/>
      <c r="L4296" s="291"/>
      <c r="M4296" s="291"/>
      <c r="S4296" s="364"/>
      <c r="Z4296" s="609" t="s">
        <v>4105</v>
      </c>
      <c r="AA4296" s="609" t="s">
        <v>5695</v>
      </c>
    </row>
    <row r="4297" spans="1:27" ht="18">
      <c r="A4297" s="2714"/>
      <c r="B4297" s="371">
        <v>104</v>
      </c>
      <c r="C4297" s="371" t="s">
        <v>2791</v>
      </c>
      <c r="D4297" s="2716">
        <f t="shared" si="480"/>
        <v>0</v>
      </c>
      <c r="E4297" s="2721">
        <v>1</v>
      </c>
      <c r="F4297" s="294"/>
      <c r="G4297" s="2418" t="s">
        <v>2792</v>
      </c>
      <c r="H4297" s="2275"/>
      <c r="I4297" s="2296"/>
      <c r="J4297" s="291"/>
      <c r="K4297" s="291"/>
      <c r="L4297" s="291"/>
      <c r="M4297" s="291"/>
      <c r="S4297" s="364"/>
      <c r="Z4297" s="609" t="s">
        <v>4105</v>
      </c>
      <c r="AA4297" s="609" t="s">
        <v>5695</v>
      </c>
    </row>
    <row r="4298" spans="1:27" ht="18">
      <c r="A4298" s="2714"/>
      <c r="B4298" s="371">
        <v>105</v>
      </c>
      <c r="C4298" s="371" t="s">
        <v>2791</v>
      </c>
      <c r="D4298" s="2716">
        <f t="shared" si="480"/>
        <v>0</v>
      </c>
      <c r="E4298" s="2721">
        <v>1</v>
      </c>
      <c r="F4298" s="294"/>
      <c r="G4298" s="2418" t="s">
        <v>2792</v>
      </c>
      <c r="H4298" s="2275"/>
      <c r="I4298" s="2296"/>
      <c r="J4298" s="291"/>
      <c r="K4298" s="291"/>
      <c r="L4298" s="291"/>
      <c r="M4298" s="291"/>
      <c r="S4298" s="364"/>
      <c r="Z4298" s="609" t="s">
        <v>4105</v>
      </c>
      <c r="AA4298" s="609" t="s">
        <v>5695</v>
      </c>
    </row>
    <row r="4299" spans="1:27" ht="18.75" thickBot="1">
      <c r="A4299" s="2714"/>
      <c r="B4299" s="371"/>
      <c r="C4299" s="371"/>
      <c r="D4299" s="2716">
        <f t="shared" si="480"/>
        <v>1</v>
      </c>
      <c r="E4299" s="2721" t="s">
        <v>2751</v>
      </c>
      <c r="F4299" s="294"/>
      <c r="G4299" s="374" t="s">
        <v>2752</v>
      </c>
      <c r="H4299" s="1478">
        <f>SUMPRODUCT($E4293:$E4298,H4293:H4298)</f>
        <v>0</v>
      </c>
      <c r="I4299" s="1479">
        <f>SUMPRODUCT($E4293:$E4298,I4293:I4298)</f>
        <v>0</v>
      </c>
      <c r="J4299" s="291"/>
      <c r="K4299" s="291"/>
      <c r="L4299" s="291"/>
      <c r="M4299" s="291"/>
      <c r="S4299" s="364"/>
      <c r="Z4299" s="609" t="s">
        <v>4105</v>
      </c>
      <c r="AA4299" s="609" t="s">
        <v>5695</v>
      </c>
    </row>
    <row r="4300" spans="1:27" ht="18">
      <c r="A4300" s="2714"/>
      <c r="B4300" s="371"/>
      <c r="C4300" s="371" t="s">
        <v>2755</v>
      </c>
      <c r="D4300" s="371"/>
      <c r="F4300" s="294"/>
      <c r="G4300" s="301"/>
      <c r="H4300" s="315"/>
      <c r="I4300" s="315"/>
      <c r="J4300" s="291"/>
      <c r="K4300" s="291"/>
      <c r="L4300" s="291"/>
      <c r="M4300" s="291"/>
      <c r="S4300" s="364"/>
      <c r="Z4300" s="609" t="s">
        <v>4105</v>
      </c>
      <c r="AA4300" s="609" t="s">
        <v>5695</v>
      </c>
    </row>
    <row r="4301" spans="1:27" ht="24">
      <c r="A4301" s="2714" t="s">
        <v>1766</v>
      </c>
      <c r="B4301" s="371">
        <v>2</v>
      </c>
      <c r="C4301" s="371"/>
      <c r="D4301" s="2716" t="str">
        <f>VLOOKUP($A4301,Sheet_NoteList,2,0)</f>
        <v>其他非流动负债补充资料</v>
      </c>
      <c r="E4301" s="2716" t="s">
        <v>6531</v>
      </c>
      <c r="F4301" s="294"/>
      <c r="G4301" s="372" t="str">
        <f>"("&amp;B4301&amp;")"&amp;D4301</f>
        <v>(2)其他非流动负债补充资料</v>
      </c>
      <c r="H4301" s="1517" t="str">
        <f>$A4301</f>
        <v>2996x</v>
      </c>
      <c r="I4301" s="343" t="s">
        <v>5965</v>
      </c>
      <c r="J4301" s="301" t="s">
        <v>5968</v>
      </c>
      <c r="K4301" s="2210">
        <f>K4309</f>
        <v>0</v>
      </c>
      <c r="L4301" s="345"/>
      <c r="M4301" s="301" t="s">
        <v>5964</v>
      </c>
      <c r="N4301" s="2210">
        <f>H4309</f>
        <v>0</v>
      </c>
      <c r="O4301" s="345"/>
      <c r="P4301" s="301"/>
      <c r="S4301" s="364"/>
      <c r="Z4301" s="609" t="s">
        <v>4105</v>
      </c>
      <c r="AA4301" s="609" t="s">
        <v>5695</v>
      </c>
    </row>
    <row r="4302" spans="1:27" ht="0.75" customHeight="1" thickBot="1">
      <c r="A4302" s="2714"/>
      <c r="B4302" s="371"/>
      <c r="C4302" s="371"/>
      <c r="D4302" s="371"/>
      <c r="E4302" s="586"/>
      <c r="F4302" s="586"/>
      <c r="G4302" s="586" t="s">
        <v>4107</v>
      </c>
      <c r="H4302" s="371" t="s">
        <v>2904</v>
      </c>
      <c r="I4302" s="371" t="s">
        <v>3255</v>
      </c>
      <c r="J4302" s="371" t="s">
        <v>3256</v>
      </c>
      <c r="K4302" s="371" t="s">
        <v>3241</v>
      </c>
      <c r="L4302" s="371" t="s">
        <v>3267</v>
      </c>
      <c r="M4302" s="371" t="s">
        <v>3268</v>
      </c>
      <c r="N4302" s="371" t="s">
        <v>3269</v>
      </c>
      <c r="O4302" s="371" t="s">
        <v>3270</v>
      </c>
      <c r="P4302" s="371" t="s">
        <v>3271</v>
      </c>
      <c r="Q4302" s="543" t="s">
        <v>3272</v>
      </c>
      <c r="R4302" s="367"/>
      <c r="S4302" s="364"/>
      <c r="Z4302" s="609" t="s">
        <v>4105</v>
      </c>
      <c r="AA4302" s="609" t="s">
        <v>5695</v>
      </c>
    </row>
    <row r="4303" spans="1:27" ht="18" customHeight="1">
      <c r="A4303" s="2714"/>
      <c r="B4303" s="371"/>
      <c r="C4303" s="371"/>
      <c r="D4303" s="371"/>
      <c r="E4303" s="586" t="s">
        <v>2749</v>
      </c>
      <c r="F4303" s="363"/>
      <c r="G4303" s="2412" t="s">
        <v>47</v>
      </c>
      <c r="H4303" s="2413" t="s">
        <v>3273</v>
      </c>
      <c r="I4303" s="2413" t="s">
        <v>3274</v>
      </c>
      <c r="J4303" s="2413" t="s">
        <v>3275</v>
      </c>
      <c r="K4303" s="2413" t="s">
        <v>3276</v>
      </c>
      <c r="L4303" s="2413" t="s">
        <v>2544</v>
      </c>
      <c r="M4303" s="2413" t="s">
        <v>2549</v>
      </c>
      <c r="N4303" s="2413" t="s">
        <v>3277</v>
      </c>
      <c r="O4303" s="2413" t="s">
        <v>3278</v>
      </c>
      <c r="P4303" s="2413" t="s">
        <v>3279</v>
      </c>
      <c r="Q4303" s="2414" t="s">
        <v>3280</v>
      </c>
      <c r="R4303" s="355" t="s">
        <v>6141</v>
      </c>
      <c r="S4303" s="364"/>
      <c r="Z4303" s="609" t="s">
        <v>4105</v>
      </c>
      <c r="AA4303" s="609" t="s">
        <v>5695</v>
      </c>
    </row>
    <row r="4304" spans="1:27" ht="18" customHeight="1">
      <c r="A4304" s="2714"/>
      <c r="B4304" s="371">
        <v>101</v>
      </c>
      <c r="C4304" s="371" t="s">
        <v>2791</v>
      </c>
      <c r="D4304" s="371">
        <f t="shared" ref="D4304:D4309" si="481">IF(OR(G4304="*",G4304="",G4304=0),0,COUNTIF($G$4304:$G$4309,G4304))</f>
        <v>0</v>
      </c>
      <c r="E4304" s="2721">
        <v>1</v>
      </c>
      <c r="F4304" s="294"/>
      <c r="G4304" s="2418" t="s">
        <v>2792</v>
      </c>
      <c r="H4304" s="2275"/>
      <c r="I4304" s="2275"/>
      <c r="J4304" s="2275"/>
      <c r="K4304" s="1476">
        <f>H4304+I4304-J4304</f>
        <v>0</v>
      </c>
      <c r="L4304" s="2275"/>
      <c r="M4304" s="2275"/>
      <c r="N4304" s="2275"/>
      <c r="O4304" s="2298"/>
      <c r="P4304" s="2298"/>
      <c r="Q4304" s="2276"/>
      <c r="R4304" s="613"/>
      <c r="S4304" s="364"/>
      <c r="Z4304" s="609" t="s">
        <v>4105</v>
      </c>
      <c r="AA4304" s="609" t="s">
        <v>5695</v>
      </c>
    </row>
    <row r="4305" spans="1:27" ht="18" customHeight="1">
      <c r="A4305" s="2714"/>
      <c r="B4305" s="371">
        <v>102</v>
      </c>
      <c r="C4305" s="371" t="s">
        <v>2791</v>
      </c>
      <c r="D4305" s="371">
        <f t="shared" si="481"/>
        <v>0</v>
      </c>
      <c r="E4305" s="2721">
        <v>1</v>
      </c>
      <c r="F4305" s="294"/>
      <c r="G4305" s="2418" t="s">
        <v>2792</v>
      </c>
      <c r="H4305" s="2275"/>
      <c r="I4305" s="2275"/>
      <c r="J4305" s="2275"/>
      <c r="K4305" s="1476">
        <f>H4305+I4305-J4305</f>
        <v>0</v>
      </c>
      <c r="L4305" s="2275"/>
      <c r="M4305" s="2275"/>
      <c r="N4305" s="2275"/>
      <c r="O4305" s="2298"/>
      <c r="P4305" s="2298"/>
      <c r="Q4305" s="2276"/>
      <c r="R4305" s="367"/>
      <c r="S4305" s="364"/>
      <c r="Z4305" s="609" t="s">
        <v>4105</v>
      </c>
      <c r="AA4305" s="609" t="s">
        <v>5695</v>
      </c>
    </row>
    <row r="4306" spans="1:27" ht="18" customHeight="1">
      <c r="A4306" s="2714"/>
      <c r="B4306" s="371">
        <v>103</v>
      </c>
      <c r="C4306" s="371" t="s">
        <v>2791</v>
      </c>
      <c r="D4306" s="371">
        <f t="shared" si="481"/>
        <v>0</v>
      </c>
      <c r="E4306" s="2721">
        <v>1</v>
      </c>
      <c r="F4306" s="294"/>
      <c r="G4306" s="2418" t="s">
        <v>2792</v>
      </c>
      <c r="H4306" s="2275"/>
      <c r="I4306" s="2275"/>
      <c r="J4306" s="2275"/>
      <c r="K4306" s="1476">
        <f>H4306+I4306-J4306</f>
        <v>0</v>
      </c>
      <c r="L4306" s="2275"/>
      <c r="M4306" s="2275"/>
      <c r="N4306" s="2275"/>
      <c r="O4306" s="2298"/>
      <c r="P4306" s="2298"/>
      <c r="Q4306" s="2276"/>
      <c r="R4306" s="367"/>
      <c r="S4306" s="364"/>
      <c r="Z4306" s="609" t="s">
        <v>4105</v>
      </c>
      <c r="AA4306" s="609" t="s">
        <v>5695</v>
      </c>
    </row>
    <row r="4307" spans="1:27" ht="18" customHeight="1">
      <c r="A4307" s="2714"/>
      <c r="B4307" s="371">
        <v>104</v>
      </c>
      <c r="C4307" s="371" t="s">
        <v>2791</v>
      </c>
      <c r="D4307" s="371">
        <f t="shared" si="481"/>
        <v>0</v>
      </c>
      <c r="E4307" s="2721">
        <v>1</v>
      </c>
      <c r="F4307" s="294"/>
      <c r="G4307" s="2418" t="s">
        <v>2792</v>
      </c>
      <c r="H4307" s="2275"/>
      <c r="I4307" s="2275"/>
      <c r="J4307" s="2275"/>
      <c r="K4307" s="1476">
        <f>H4307+I4307-J4307</f>
        <v>0</v>
      </c>
      <c r="L4307" s="2275"/>
      <c r="M4307" s="2275"/>
      <c r="N4307" s="2275"/>
      <c r="O4307" s="2298"/>
      <c r="P4307" s="2298"/>
      <c r="Q4307" s="2276"/>
      <c r="R4307" s="367"/>
      <c r="S4307" s="364"/>
      <c r="Z4307" s="609" t="s">
        <v>4105</v>
      </c>
      <c r="AA4307" s="609" t="s">
        <v>5695</v>
      </c>
    </row>
    <row r="4308" spans="1:27" ht="18" customHeight="1">
      <c r="A4308" s="2714"/>
      <c r="B4308" s="371">
        <v>105</v>
      </c>
      <c r="C4308" s="371" t="s">
        <v>2791</v>
      </c>
      <c r="D4308" s="371">
        <f t="shared" si="481"/>
        <v>0</v>
      </c>
      <c r="E4308" s="2721">
        <v>1</v>
      </c>
      <c r="F4308" s="294"/>
      <c r="G4308" s="2418" t="s">
        <v>2792</v>
      </c>
      <c r="H4308" s="2275"/>
      <c r="I4308" s="2275"/>
      <c r="J4308" s="2275"/>
      <c r="K4308" s="1476">
        <f>H4308+I4308-J4308</f>
        <v>0</v>
      </c>
      <c r="L4308" s="2275"/>
      <c r="M4308" s="2275"/>
      <c r="N4308" s="2275"/>
      <c r="O4308" s="2298"/>
      <c r="P4308" s="2298"/>
      <c r="Q4308" s="2276"/>
      <c r="R4308" s="367"/>
      <c r="S4308" s="364"/>
      <c r="Z4308" s="609" t="s">
        <v>4105</v>
      </c>
      <c r="AA4308" s="609" t="s">
        <v>5695</v>
      </c>
    </row>
    <row r="4309" spans="1:27" ht="18.75" customHeight="1" thickBot="1">
      <c r="A4309" s="2714"/>
      <c r="B4309" s="371"/>
      <c r="C4309" s="371"/>
      <c r="D4309" s="371">
        <f t="shared" si="481"/>
        <v>1</v>
      </c>
      <c r="E4309" s="2721" t="s">
        <v>2751</v>
      </c>
      <c r="F4309" s="294"/>
      <c r="G4309" s="1529" t="s">
        <v>2752</v>
      </c>
      <c r="H4309" s="1527">
        <f t="shared" ref="H4309:N4309" si="482">SUMPRODUCT($E4303:$E4308,H4303:H4308)</f>
        <v>0</v>
      </c>
      <c r="I4309" s="1527">
        <f t="shared" si="482"/>
        <v>0</v>
      </c>
      <c r="J4309" s="1527">
        <f t="shared" si="482"/>
        <v>0</v>
      </c>
      <c r="K4309" s="1527">
        <f t="shared" si="482"/>
        <v>0</v>
      </c>
      <c r="L4309" s="1527">
        <f t="shared" si="482"/>
        <v>0</v>
      </c>
      <c r="M4309" s="1527">
        <f t="shared" si="482"/>
        <v>0</v>
      </c>
      <c r="N4309" s="1527">
        <f t="shared" si="482"/>
        <v>0</v>
      </c>
      <c r="O4309" s="2316"/>
      <c r="P4309" s="2316"/>
      <c r="Q4309" s="2266"/>
      <c r="R4309" s="367"/>
      <c r="S4309" s="364"/>
      <c r="Z4309" s="609" t="s">
        <v>4105</v>
      </c>
      <c r="AA4309" s="609" t="s">
        <v>5695</v>
      </c>
    </row>
    <row r="4310" spans="1:27" ht="18" customHeight="1">
      <c r="A4310" s="2714"/>
      <c r="B4310" s="371"/>
      <c r="C4310" s="371" t="s">
        <v>2755</v>
      </c>
      <c r="D4310" s="371"/>
      <c r="F4310" s="294"/>
      <c r="G4310" s="301"/>
      <c r="H4310" s="315"/>
      <c r="I4310" s="315"/>
      <c r="J4310" s="315"/>
      <c r="K4310" s="315"/>
      <c r="L4310" s="315"/>
      <c r="M4310" s="315"/>
      <c r="N4310" s="315"/>
      <c r="O4310" s="393"/>
      <c r="P4310" s="393"/>
      <c r="Q4310" s="545"/>
      <c r="R4310" s="367"/>
      <c r="S4310" s="364"/>
      <c r="Z4310" s="609" t="s">
        <v>4105</v>
      </c>
      <c r="AA4310" s="609" t="s">
        <v>5695</v>
      </c>
    </row>
    <row r="4311" spans="1:27" ht="18">
      <c r="A4311" s="2714">
        <v>4001</v>
      </c>
      <c r="B4311" s="371">
        <v>53</v>
      </c>
      <c r="C4311" s="2716" t="str">
        <f>VLOOKUP($A4311,Sheet_Items,2,0)</f>
        <v>实收资本</v>
      </c>
      <c r="D4311" s="371"/>
      <c r="E4311" s="2716" t="s">
        <v>2739</v>
      </c>
      <c r="F4311" s="294"/>
      <c r="G4311" s="535" t="str">
        <f>B4311&amp;" "&amp;C4311</f>
        <v>53 实收资本</v>
      </c>
      <c r="H4311" s="306"/>
      <c r="I4311" s="306"/>
      <c r="J4311" s="306" t="s">
        <v>2740</v>
      </c>
      <c r="K4311" s="341">
        <f>VLOOKUP($A4311,Sheet_Trialbal,6,0)</f>
        <v>30000000</v>
      </c>
      <c r="L4311" s="342"/>
      <c r="M4311" s="306" t="s">
        <v>2741</v>
      </c>
      <c r="N4311" s="341">
        <f>VLOOKUP($A4311,Sheet_Trialbal,10,0)</f>
        <v>30000000</v>
      </c>
      <c r="O4311" s="306"/>
      <c r="P4311" s="301"/>
      <c r="S4311" s="364"/>
      <c r="Z4311" s="609" t="s">
        <v>4108</v>
      </c>
      <c r="AA4311" s="609" t="s">
        <v>5696</v>
      </c>
    </row>
    <row r="4312" spans="1:27" ht="18">
      <c r="A4312" s="2714" t="s">
        <v>1774</v>
      </c>
      <c r="B4312" s="371">
        <v>1</v>
      </c>
      <c r="C4312" s="371"/>
      <c r="D4312" s="2716" t="str">
        <f>VLOOKUP($A4312,Sheet_NoteList,2,0)</f>
        <v>股本变动情况</v>
      </c>
      <c r="E4312" s="2716" t="s">
        <v>2742</v>
      </c>
      <c r="F4312" s="294"/>
      <c r="G4312" s="307" t="str">
        <f>"("&amp;B4312&amp;")"&amp;D4312</f>
        <v>(1)股本变动情况</v>
      </c>
      <c r="H4312" s="1517" t="str">
        <f>$A4312</f>
        <v>4001a</v>
      </c>
      <c r="I4312" s="343" t="s">
        <v>2743</v>
      </c>
      <c r="J4312" s="301"/>
      <c r="K4312" s="3083"/>
      <c r="L4312" s="315"/>
      <c r="M4312" s="301"/>
      <c r="N4312" s="3083"/>
      <c r="O4312" s="315"/>
      <c r="P4312" s="301"/>
      <c r="Q4312" s="290" t="str">
        <f>IF($I4312="不适用","",IF(ROUND(SUM($H$4317:$N$4319),2)=0,"请输入",""))</f>
        <v>请输入</v>
      </c>
      <c r="S4312" s="364"/>
      <c r="Z4312" s="609" t="s">
        <v>4108</v>
      </c>
      <c r="AA4312" s="609" t="s">
        <v>5696</v>
      </c>
    </row>
    <row r="4313" spans="1:27" ht="0.75" customHeight="1">
      <c r="A4313" s="2714"/>
      <c r="B4313" s="371"/>
      <c r="C4313" s="371"/>
      <c r="D4313" s="371"/>
      <c r="F4313" s="304"/>
      <c r="G4313" s="304" t="s">
        <v>4109</v>
      </c>
      <c r="H4313" s="304" t="s">
        <v>4110</v>
      </c>
      <c r="I4313" s="304" t="s">
        <v>4111</v>
      </c>
      <c r="J4313" s="304" t="s">
        <v>4112</v>
      </c>
      <c r="K4313" s="304" t="s">
        <v>4113</v>
      </c>
      <c r="L4313" s="304" t="s">
        <v>4114</v>
      </c>
      <c r="M4313" s="304" t="s">
        <v>4115</v>
      </c>
      <c r="N4313" s="304" t="s">
        <v>4116</v>
      </c>
      <c r="P4313" s="387"/>
      <c r="Q4313" s="367"/>
      <c r="R4313" s="367"/>
      <c r="S4313" s="364"/>
      <c r="T4313" s="291"/>
      <c r="Z4313" s="609" t="s">
        <v>4108</v>
      </c>
      <c r="AA4313" s="609" t="s">
        <v>5696</v>
      </c>
    </row>
    <row r="4314" spans="1:27" ht="0.75" customHeight="1" thickBot="1">
      <c r="A4314" s="2714"/>
      <c r="B4314" s="371"/>
      <c r="C4314" s="371"/>
      <c r="D4314" s="371"/>
      <c r="F4314" s="304"/>
      <c r="G4314" s="304"/>
      <c r="H4314" s="304" t="s">
        <v>4117</v>
      </c>
      <c r="I4314" s="304" t="s">
        <v>4118</v>
      </c>
      <c r="J4314" s="304" t="s">
        <v>4119</v>
      </c>
      <c r="K4314" s="304" t="s">
        <v>4120</v>
      </c>
      <c r="L4314" s="304" t="s">
        <v>4121</v>
      </c>
      <c r="M4314" s="304" t="s">
        <v>4122</v>
      </c>
      <c r="N4314" s="304" t="s">
        <v>4123</v>
      </c>
      <c r="O4314" s="367"/>
      <c r="P4314" s="367"/>
      <c r="S4314" s="364"/>
      <c r="T4314" s="291"/>
      <c r="Z4314" s="609" t="s">
        <v>4108</v>
      </c>
      <c r="AA4314" s="609" t="s">
        <v>5696</v>
      </c>
    </row>
    <row r="4315" spans="1:27" ht="24" customHeight="1">
      <c r="A4315" s="2714"/>
      <c r="B4315" s="371"/>
      <c r="C4315" s="371"/>
      <c r="D4315" s="371"/>
      <c r="E4315" s="2716" t="s">
        <v>2749</v>
      </c>
      <c r="F4315" s="294"/>
      <c r="G4315" s="3497" t="s">
        <v>1776</v>
      </c>
      <c r="H4315" s="3501" t="str">
        <f>$V$3</f>
        <v>2018年12月31日</v>
      </c>
      <c r="I4315" s="3449" t="s">
        <v>6077</v>
      </c>
      <c r="J4315" s="3449"/>
      <c r="K4315" s="3449"/>
      <c r="L4315" s="3449"/>
      <c r="M4315" s="3449"/>
      <c r="N4315" s="3441" t="str">
        <f>$V$2</f>
        <v>2019年12月31日</v>
      </c>
      <c r="O4315" s="355" t="s">
        <v>5318</v>
      </c>
      <c r="P4315" s="367"/>
      <c r="S4315" s="364"/>
      <c r="T4315" s="291"/>
      <c r="Z4315" s="609" t="s">
        <v>4108</v>
      </c>
      <c r="AA4315" s="609" t="s">
        <v>5696</v>
      </c>
    </row>
    <row r="4316" spans="1:27" ht="18">
      <c r="A4316" s="2714"/>
      <c r="B4316" s="371"/>
      <c r="C4316" s="371"/>
      <c r="D4316" s="371"/>
      <c r="E4316" s="2716" t="s">
        <v>2749</v>
      </c>
      <c r="F4316" s="294"/>
      <c r="G4316" s="3498"/>
      <c r="H4316" s="3485"/>
      <c r="I4316" s="2601" t="s">
        <v>4124</v>
      </c>
      <c r="J4316" s="2601" t="s">
        <v>4125</v>
      </c>
      <c r="K4316" s="2601" t="s">
        <v>4126</v>
      </c>
      <c r="L4316" s="2601" t="s">
        <v>932</v>
      </c>
      <c r="M4316" s="2601" t="s">
        <v>2939</v>
      </c>
      <c r="N4316" s="3442"/>
      <c r="O4316" s="367"/>
      <c r="P4316" s="367"/>
      <c r="S4316" s="364"/>
      <c r="T4316" s="291"/>
      <c r="Z4316" s="609" t="s">
        <v>4108</v>
      </c>
      <c r="AA4316" s="609" t="s">
        <v>5696</v>
      </c>
    </row>
    <row r="4317" spans="1:27" ht="18">
      <c r="A4317" s="2714"/>
      <c r="B4317" s="371">
        <v>101</v>
      </c>
      <c r="C4317" s="371" t="s">
        <v>2791</v>
      </c>
      <c r="D4317" s="2716">
        <f>IF(OR(G4317="*",G4317="",G4317=0),0,COUNTIF($G$4317:$G$4319,G4317))</f>
        <v>1</v>
      </c>
      <c r="E4317" s="2721">
        <v>1</v>
      </c>
      <c r="F4317" s="294"/>
      <c r="G4317" s="2568" t="s">
        <v>4127</v>
      </c>
      <c r="H4317" s="2597"/>
      <c r="I4317" s="2597"/>
      <c r="J4317" s="2597"/>
      <c r="K4317" s="2597"/>
      <c r="L4317" s="2597"/>
      <c r="M4317" s="2598">
        <f>SUM(I4317:L4317)</f>
        <v>0</v>
      </c>
      <c r="N4317" s="2599">
        <f>H4317+M4317</f>
        <v>0</v>
      </c>
      <c r="O4317" s="367"/>
      <c r="P4317" s="367"/>
      <c r="S4317" s="364"/>
      <c r="T4317" s="291"/>
      <c r="Z4317" s="609" t="s">
        <v>4108</v>
      </c>
      <c r="AA4317" s="609" t="s">
        <v>5696</v>
      </c>
    </row>
    <row r="4318" spans="1:27" ht="18">
      <c r="A4318" s="2714"/>
      <c r="B4318" s="371">
        <v>102</v>
      </c>
      <c r="C4318" s="371" t="s">
        <v>2791</v>
      </c>
      <c r="D4318" s="2716">
        <f>IF(OR(G4318="*",G4318="",G4318=0),0,COUNTIF($G$4317:$G$4319,G4318))</f>
        <v>0</v>
      </c>
      <c r="E4318" s="2721">
        <v>1</v>
      </c>
      <c r="F4318" s="294"/>
      <c r="G4318" s="1494" t="s">
        <v>2792</v>
      </c>
      <c r="H4318" s="2597"/>
      <c r="I4318" s="2597"/>
      <c r="J4318" s="2597"/>
      <c r="K4318" s="2597"/>
      <c r="L4318" s="2597"/>
      <c r="M4318" s="2597"/>
      <c r="N4318" s="2600"/>
      <c r="O4318" s="367"/>
      <c r="P4318" s="367"/>
      <c r="S4318" s="364"/>
      <c r="T4318" s="291"/>
      <c r="Z4318" s="609" t="s">
        <v>4108</v>
      </c>
      <c r="AA4318" s="609" t="s">
        <v>5696</v>
      </c>
    </row>
    <row r="4319" spans="1:27" ht="18.75" thickBot="1">
      <c r="A4319" s="2714"/>
      <c r="B4319" s="371"/>
      <c r="C4319" s="371"/>
      <c r="D4319" s="2716">
        <f>IF(OR(G4319="*",G4319="",G4319=0),0,COUNTIF($G$4317:$G$4319,G4319))</f>
        <v>0</v>
      </c>
      <c r="E4319" s="2721" t="s">
        <v>6567</v>
      </c>
      <c r="F4319" s="294"/>
      <c r="G4319" s="2429"/>
      <c r="H4319" s="2602"/>
      <c r="I4319" s="2602"/>
      <c r="J4319" s="2602"/>
      <c r="K4319" s="2602"/>
      <c r="L4319" s="2602"/>
      <c r="M4319" s="2602"/>
      <c r="N4319" s="2603"/>
      <c r="O4319" s="367"/>
      <c r="P4319" s="367"/>
      <c r="S4319" s="364"/>
      <c r="T4319" s="291"/>
      <c r="Z4319" s="609" t="s">
        <v>4108</v>
      </c>
      <c r="AA4319" s="609" t="s">
        <v>5696</v>
      </c>
    </row>
    <row r="4320" spans="1:27" ht="18">
      <c r="A4320" s="2714"/>
      <c r="B4320" s="371"/>
      <c r="C4320" s="371" t="s">
        <v>2755</v>
      </c>
      <c r="D4320" s="371"/>
      <c r="F4320" s="294"/>
      <c r="G4320" s="301"/>
      <c r="H4320" s="315"/>
      <c r="I4320" s="315"/>
      <c r="J4320" s="315"/>
      <c r="K4320" s="315"/>
      <c r="L4320" s="315"/>
      <c r="M4320" s="315"/>
      <c r="N4320" s="315"/>
      <c r="O4320" s="367"/>
      <c r="P4320" s="367"/>
      <c r="S4320" s="364"/>
      <c r="T4320" s="291"/>
      <c r="Z4320" s="609" t="s">
        <v>4108</v>
      </c>
      <c r="AA4320" s="609" t="s">
        <v>5696</v>
      </c>
    </row>
    <row r="4321" spans="1:27" ht="18">
      <c r="A4321" s="2714" t="s">
        <v>1780</v>
      </c>
      <c r="B4321" s="371">
        <v>2</v>
      </c>
      <c r="C4321" s="371"/>
      <c r="D4321" s="2716" t="str">
        <f>VLOOKUP($A4321,Sheet_NoteList,2,0)</f>
        <v>实收资本变动情况</v>
      </c>
      <c r="E4321" s="2716" t="s">
        <v>2742</v>
      </c>
      <c r="F4321" s="294"/>
      <c r="G4321" s="372" t="str">
        <f>"("&amp;B4321&amp;")"&amp;D4321</f>
        <v>(2)实收资本变动情况</v>
      </c>
      <c r="H4321" s="1517" t="str">
        <f>$A4321</f>
        <v>4001b</v>
      </c>
      <c r="I4321" s="343" t="s">
        <v>2743</v>
      </c>
      <c r="J4321" s="301" t="s">
        <v>2744</v>
      </c>
      <c r="K4321" s="2210">
        <f>I4331</f>
        <v>0</v>
      </c>
      <c r="L4321" s="345">
        <f>IF($I4321="适用",IF(ROUND(K4311-K4321,2)=0,"F/S",ROUND(K4311-K4321,2)),"#N/A")</f>
        <v>30000000</v>
      </c>
      <c r="M4321" s="301" t="s">
        <v>2745</v>
      </c>
      <c r="N4321" s="2210">
        <f>K4331</f>
        <v>0</v>
      </c>
      <c r="O4321" s="345">
        <f>IF($I4321="适用",IF(ROUND(N4311-N4321,2)=0,"F/S",ROUND(N4311-N4321,2)),"#N/A")</f>
        <v>30000000</v>
      </c>
      <c r="P4321" s="301"/>
      <c r="S4321" s="364"/>
      <c r="Z4321" s="609" t="s">
        <v>4108</v>
      </c>
      <c r="AA4321" s="609" t="s">
        <v>5696</v>
      </c>
    </row>
    <row r="4322" spans="1:27" ht="0.75" customHeight="1">
      <c r="A4322" s="2714"/>
      <c r="B4322" s="371"/>
      <c r="C4322" s="371"/>
      <c r="D4322" s="371"/>
      <c r="E4322" s="586"/>
      <c r="F4322" s="586"/>
      <c r="G4322" s="586" t="s">
        <v>4128</v>
      </c>
      <c r="H4322" s="371" t="s">
        <v>4131</v>
      </c>
      <c r="I4322" s="371" t="s">
        <v>4130</v>
      </c>
      <c r="J4322" s="371" t="s">
        <v>4129</v>
      </c>
      <c r="K4322" s="371" t="s">
        <v>2984</v>
      </c>
      <c r="L4322" s="371" t="s">
        <v>3250</v>
      </c>
      <c r="M4322" s="371" t="s">
        <v>3251</v>
      </c>
      <c r="S4322" s="364"/>
      <c r="Z4322" s="609" t="s">
        <v>4108</v>
      </c>
      <c r="AA4322" s="609" t="s">
        <v>5696</v>
      </c>
    </row>
    <row r="4323" spans="1:27" ht="0.75" customHeight="1" thickBot="1">
      <c r="A4323" s="2714"/>
      <c r="B4323" s="371"/>
      <c r="C4323" s="371"/>
      <c r="D4323" s="371"/>
      <c r="E4323" s="586"/>
      <c r="F4323" s="586"/>
      <c r="G4323" s="586"/>
      <c r="H4323" s="371" t="s">
        <v>4136</v>
      </c>
      <c r="I4323" s="371" t="s">
        <v>4135</v>
      </c>
      <c r="J4323" s="371" t="s">
        <v>4133</v>
      </c>
      <c r="K4323" s="371" t="s">
        <v>4132</v>
      </c>
      <c r="L4323" s="371" t="s">
        <v>4134</v>
      </c>
      <c r="M4323" s="371" t="s">
        <v>3606</v>
      </c>
      <c r="S4323" s="364"/>
      <c r="Z4323" s="609" t="s">
        <v>4108</v>
      </c>
      <c r="AA4323" s="609" t="s">
        <v>5696</v>
      </c>
    </row>
    <row r="4324" spans="1:27" ht="18">
      <c r="A4324" s="2714"/>
      <c r="B4324" s="371"/>
      <c r="C4324" s="371"/>
      <c r="D4324" s="371"/>
      <c r="E4324" s="586" t="s">
        <v>2749</v>
      </c>
      <c r="F4324" s="363"/>
      <c r="G4324" s="3474" t="s">
        <v>6078</v>
      </c>
      <c r="H4324" s="3458" t="s">
        <v>6081</v>
      </c>
      <c r="I4324" s="3458"/>
      <c r="J4324" s="3458" t="s">
        <v>6082</v>
      </c>
      <c r="K4324" s="3458"/>
      <c r="L4324" s="3488" t="s">
        <v>6083</v>
      </c>
      <c r="M4324" s="3491" t="s">
        <v>6084</v>
      </c>
      <c r="N4324" s="355" t="s">
        <v>6085</v>
      </c>
      <c r="S4324" s="364"/>
      <c r="Z4324" s="609" t="s">
        <v>4108</v>
      </c>
      <c r="AA4324" s="609" t="s">
        <v>5696</v>
      </c>
    </row>
    <row r="4325" spans="1:27" ht="18">
      <c r="A4325" s="2714"/>
      <c r="B4325" s="371"/>
      <c r="C4325" s="371"/>
      <c r="D4325" s="371"/>
      <c r="E4325" s="586" t="s">
        <v>2749</v>
      </c>
      <c r="F4325" s="363"/>
      <c r="G4325" s="3475"/>
      <c r="H4325" s="2426" t="s">
        <v>6080</v>
      </c>
      <c r="I4325" s="2438" t="s">
        <v>6079</v>
      </c>
      <c r="J4325" s="2426" t="s">
        <v>6080</v>
      </c>
      <c r="K4325" s="2438" t="s">
        <v>6079</v>
      </c>
      <c r="L4325" s="3489"/>
      <c r="M4325" s="3492"/>
      <c r="S4325" s="364"/>
      <c r="Z4325" s="609" t="s">
        <v>4108</v>
      </c>
      <c r="AA4325" s="609" t="s">
        <v>5696</v>
      </c>
    </row>
    <row r="4326" spans="1:27" ht="18">
      <c r="A4326" s="2714"/>
      <c r="B4326" s="371">
        <v>101</v>
      </c>
      <c r="C4326" s="371" t="s">
        <v>2791</v>
      </c>
      <c r="D4326" s="2716">
        <f t="shared" ref="D4326:D4331" si="483">IF(OR(G4326="*",G4326="",G4326=0),0,COUNTIF($G$4326:$G$4331,G4326))</f>
        <v>0</v>
      </c>
      <c r="E4326" s="2721">
        <v>1</v>
      </c>
      <c r="F4326" s="294"/>
      <c r="G4326" s="2427" t="s">
        <v>2792</v>
      </c>
      <c r="H4326" s="2298"/>
      <c r="I4326" s="2275"/>
      <c r="J4326" s="2298"/>
      <c r="K4326" s="2275"/>
      <c r="L4326" s="2275"/>
      <c r="M4326" s="2296"/>
      <c r="S4326" s="364"/>
      <c r="Z4326" s="609" t="s">
        <v>4108</v>
      </c>
      <c r="AA4326" s="609" t="s">
        <v>5696</v>
      </c>
    </row>
    <row r="4327" spans="1:27" ht="18">
      <c r="A4327" s="2714"/>
      <c r="B4327" s="371">
        <v>102</v>
      </c>
      <c r="C4327" s="371" t="s">
        <v>2791</v>
      </c>
      <c r="D4327" s="2716">
        <f t="shared" si="483"/>
        <v>0</v>
      </c>
      <c r="E4327" s="2721">
        <v>1</v>
      </c>
      <c r="F4327" s="294"/>
      <c r="G4327" s="2427" t="s">
        <v>2792</v>
      </c>
      <c r="H4327" s="2298"/>
      <c r="I4327" s="2275"/>
      <c r="J4327" s="2298"/>
      <c r="K4327" s="2275"/>
      <c r="L4327" s="2275"/>
      <c r="M4327" s="2296"/>
      <c r="S4327" s="364"/>
      <c r="Z4327" s="609" t="s">
        <v>4108</v>
      </c>
      <c r="AA4327" s="609" t="s">
        <v>5696</v>
      </c>
    </row>
    <row r="4328" spans="1:27" ht="18">
      <c r="A4328" s="2714"/>
      <c r="B4328" s="371">
        <v>103</v>
      </c>
      <c r="C4328" s="371" t="s">
        <v>2791</v>
      </c>
      <c r="D4328" s="2716">
        <f t="shared" si="483"/>
        <v>0</v>
      </c>
      <c r="E4328" s="2721">
        <v>1</v>
      </c>
      <c r="F4328" s="294"/>
      <c r="G4328" s="2427" t="s">
        <v>2792</v>
      </c>
      <c r="H4328" s="2298"/>
      <c r="I4328" s="2275"/>
      <c r="J4328" s="2298"/>
      <c r="K4328" s="2275"/>
      <c r="L4328" s="2275"/>
      <c r="M4328" s="2296"/>
      <c r="S4328" s="364"/>
      <c r="Z4328" s="609" t="s">
        <v>4108</v>
      </c>
      <c r="AA4328" s="609" t="s">
        <v>5696</v>
      </c>
    </row>
    <row r="4329" spans="1:27" ht="18">
      <c r="A4329" s="2714"/>
      <c r="B4329" s="371">
        <v>104</v>
      </c>
      <c r="C4329" s="371" t="s">
        <v>2791</v>
      </c>
      <c r="D4329" s="2716">
        <f t="shared" si="483"/>
        <v>0</v>
      </c>
      <c r="E4329" s="2721">
        <v>1</v>
      </c>
      <c r="F4329" s="294"/>
      <c r="G4329" s="2427" t="s">
        <v>2792</v>
      </c>
      <c r="H4329" s="2298"/>
      <c r="I4329" s="2275"/>
      <c r="J4329" s="2298"/>
      <c r="K4329" s="2275"/>
      <c r="L4329" s="2275"/>
      <c r="M4329" s="2296"/>
      <c r="S4329" s="364"/>
      <c r="Z4329" s="609" t="s">
        <v>4108</v>
      </c>
      <c r="AA4329" s="609" t="s">
        <v>5696</v>
      </c>
    </row>
    <row r="4330" spans="1:27" ht="18">
      <c r="A4330" s="2714"/>
      <c r="B4330" s="371">
        <v>105</v>
      </c>
      <c r="C4330" s="371" t="s">
        <v>2791</v>
      </c>
      <c r="D4330" s="2716">
        <f t="shared" si="483"/>
        <v>0</v>
      </c>
      <c r="E4330" s="2721">
        <v>1</v>
      </c>
      <c r="F4330" s="294"/>
      <c r="G4330" s="2427" t="s">
        <v>2792</v>
      </c>
      <c r="H4330" s="2298"/>
      <c r="I4330" s="2275"/>
      <c r="J4330" s="2298"/>
      <c r="K4330" s="2275"/>
      <c r="L4330" s="2275"/>
      <c r="M4330" s="2296"/>
      <c r="S4330" s="364"/>
      <c r="Z4330" s="609" t="s">
        <v>4108</v>
      </c>
      <c r="AA4330" s="609" t="s">
        <v>5696</v>
      </c>
    </row>
    <row r="4331" spans="1:27" ht="18.75" thickBot="1">
      <c r="A4331" s="2714"/>
      <c r="B4331" s="371"/>
      <c r="C4331" s="371"/>
      <c r="D4331" s="2716">
        <f t="shared" si="483"/>
        <v>1</v>
      </c>
      <c r="E4331" s="2721" t="s">
        <v>2751</v>
      </c>
      <c r="F4331" s="294"/>
      <c r="G4331" s="310" t="s">
        <v>2752</v>
      </c>
      <c r="H4331" s="2440">
        <f t="shared" ref="H4331:M4331" si="484">SUMPRODUCT($E4325:$E4330,H4325:H4330)</f>
        <v>0</v>
      </c>
      <c r="I4331" s="1481">
        <f t="shared" si="484"/>
        <v>0</v>
      </c>
      <c r="J4331" s="2440">
        <f t="shared" si="484"/>
        <v>0</v>
      </c>
      <c r="K4331" s="1481">
        <f t="shared" si="484"/>
        <v>0</v>
      </c>
      <c r="L4331" s="2441">
        <f t="shared" si="484"/>
        <v>0</v>
      </c>
      <c r="M4331" s="2442">
        <f t="shared" si="484"/>
        <v>0</v>
      </c>
      <c r="S4331" s="364"/>
      <c r="Z4331" s="609" t="s">
        <v>4108</v>
      </c>
      <c r="AA4331" s="609" t="s">
        <v>5696</v>
      </c>
    </row>
    <row r="4332" spans="1:27" ht="18">
      <c r="A4332" s="2714"/>
      <c r="B4332" s="371"/>
      <c r="C4332" s="371" t="s">
        <v>2755</v>
      </c>
      <c r="D4332" s="371"/>
      <c r="F4332" s="294"/>
      <c r="G4332" s="301"/>
      <c r="H4332" s="393"/>
      <c r="I4332" s="315"/>
      <c r="J4332" s="393"/>
      <c r="K4332" s="315"/>
      <c r="L4332" s="315"/>
      <c r="M4332" s="315"/>
      <c r="S4332" s="364"/>
      <c r="Z4332" s="609" t="s">
        <v>4108</v>
      </c>
      <c r="AA4332" s="609" t="s">
        <v>5696</v>
      </c>
    </row>
    <row r="4333" spans="1:27" ht="18">
      <c r="A4333" s="2714">
        <v>4015</v>
      </c>
      <c r="B4333" s="371">
        <v>54</v>
      </c>
      <c r="C4333" s="2716" t="str">
        <f>VLOOKUP($A4333,Sheet_Items,2,0)</f>
        <v>其他权益工具</v>
      </c>
      <c r="D4333" s="371"/>
      <c r="E4333" s="2716" t="s">
        <v>2739</v>
      </c>
      <c r="F4333" s="294"/>
      <c r="G4333" s="305" t="str">
        <f>B4333&amp;" "&amp;C4333</f>
        <v>54 其他权益工具</v>
      </c>
      <c r="H4333" s="306"/>
      <c r="I4333" s="306"/>
      <c r="J4333" s="306" t="s">
        <v>2740</v>
      </c>
      <c r="K4333" s="341">
        <f>VLOOKUP($A4333,Sheet_Trialbal,6,0)</f>
        <v>0</v>
      </c>
      <c r="L4333" s="342"/>
      <c r="M4333" s="306" t="s">
        <v>2741</v>
      </c>
      <c r="N4333" s="341">
        <f>VLOOKUP($A4333,Sheet_Trialbal,10,0)</f>
        <v>0</v>
      </c>
      <c r="O4333" s="306"/>
      <c r="P4333" s="301"/>
      <c r="S4333" s="364"/>
      <c r="Z4333" s="609" t="s">
        <v>4137</v>
      </c>
      <c r="AA4333" s="609" t="s">
        <v>5697</v>
      </c>
    </row>
    <row r="4334" spans="1:27" ht="36">
      <c r="A4334" s="2714" t="s">
        <v>1790</v>
      </c>
      <c r="B4334" s="371">
        <v>1</v>
      </c>
      <c r="C4334" s="371"/>
      <c r="D4334" s="2716" t="str">
        <f>VLOOKUP($A4334,Sheet_NoteList,2,0)</f>
        <v>期末发行在外的优先股、永续债等其他金融工具基本情况表</v>
      </c>
      <c r="E4334" s="2716" t="s">
        <v>2742</v>
      </c>
      <c r="F4334" s="294"/>
      <c r="G4334" s="372" t="str">
        <f>"("&amp;B4334&amp;")"&amp;D4334</f>
        <v>(1)期末发行在外的优先股、永续债等其他金融工具基本情况表</v>
      </c>
      <c r="H4334" s="1517" t="str">
        <f>$A4334</f>
        <v>4015b</v>
      </c>
      <c r="I4334" s="343" t="s">
        <v>2743</v>
      </c>
      <c r="J4334" s="301" t="s">
        <v>2744</v>
      </c>
      <c r="K4334" s="2210">
        <f>O4342</f>
        <v>0</v>
      </c>
      <c r="L4334" s="345"/>
      <c r="M4334" s="301"/>
      <c r="N4334" s="391"/>
      <c r="O4334" s="345"/>
      <c r="P4334" s="301"/>
      <c r="Q4334" s="290" t="str">
        <f>IF($I4334="不适用","",IF(ROUND(SUM($H$4337:$P$4342),2)=0,"请输入",""))</f>
        <v>请输入</v>
      </c>
      <c r="S4334" s="364"/>
      <c r="Z4334" s="609" t="s">
        <v>4137</v>
      </c>
      <c r="AA4334" s="609" t="s">
        <v>5697</v>
      </c>
    </row>
    <row r="4335" spans="1:27" ht="0.75" customHeight="1" thickBot="1">
      <c r="A4335" s="2714"/>
      <c r="B4335" s="371"/>
      <c r="C4335" s="371"/>
      <c r="D4335" s="371"/>
      <c r="E4335" s="586"/>
      <c r="F4335" s="586"/>
      <c r="G4335" s="586" t="s">
        <v>4138</v>
      </c>
      <c r="H4335" s="371" t="s">
        <v>4031</v>
      </c>
      <c r="I4335" s="371" t="s">
        <v>6298</v>
      </c>
      <c r="J4335" s="371" t="s">
        <v>6299</v>
      </c>
      <c r="K4335" s="371" t="s">
        <v>6300</v>
      </c>
      <c r="L4335" s="371" t="s">
        <v>6301</v>
      </c>
      <c r="M4335" s="371" t="s">
        <v>6302</v>
      </c>
      <c r="N4335" s="371" t="s">
        <v>6303</v>
      </c>
      <c r="O4335" s="371" t="s">
        <v>6304</v>
      </c>
      <c r="P4335" s="612"/>
      <c r="Q4335" s="442"/>
      <c r="R4335" s="443"/>
      <c r="S4335" s="364"/>
      <c r="Z4335" s="609" t="s">
        <v>4137</v>
      </c>
      <c r="AA4335" s="609" t="s">
        <v>5697</v>
      </c>
    </row>
    <row r="4336" spans="1:27" ht="24">
      <c r="A4336" s="2714"/>
      <c r="B4336" s="371"/>
      <c r="C4336" s="371"/>
      <c r="D4336" s="371"/>
      <c r="E4336" s="586" t="s">
        <v>2749</v>
      </c>
      <c r="F4336" s="363"/>
      <c r="G4336" s="2420" t="s">
        <v>1673</v>
      </c>
      <c r="H4336" s="2423" t="s">
        <v>4040</v>
      </c>
      <c r="I4336" s="2423" t="s">
        <v>4041</v>
      </c>
      <c r="J4336" s="2423" t="s">
        <v>4042</v>
      </c>
      <c r="K4336" s="2423" t="s">
        <v>4043</v>
      </c>
      <c r="L4336" s="2423" t="s">
        <v>2887</v>
      </c>
      <c r="M4336" s="2423" t="s">
        <v>4044</v>
      </c>
      <c r="N4336" s="2423" t="s">
        <v>4045</v>
      </c>
      <c r="O4336" s="2424" t="s">
        <v>4046</v>
      </c>
      <c r="P4336" s="355" t="s">
        <v>5319</v>
      </c>
      <c r="Q4336" s="442"/>
      <c r="R4336" s="443"/>
      <c r="S4336" s="364"/>
      <c r="Z4336" s="609" t="s">
        <v>4137</v>
      </c>
      <c r="AA4336" s="609" t="s">
        <v>5697</v>
      </c>
    </row>
    <row r="4337" spans="1:27" ht="18">
      <c r="A4337" s="2714"/>
      <c r="B4337" s="371">
        <v>101</v>
      </c>
      <c r="C4337" s="371" t="s">
        <v>2791</v>
      </c>
      <c r="D4337" s="2716">
        <f t="shared" ref="D4337:D4342" si="485">IF(OR(G4337="*",G4337="",G4337=0),0,COUNTIF($G$4337:$G$4342,G4337))</f>
        <v>0</v>
      </c>
      <c r="E4337" s="2721">
        <v>1</v>
      </c>
      <c r="F4337" s="294"/>
      <c r="G4337" s="2427" t="s">
        <v>2792</v>
      </c>
      <c r="H4337" s="2298"/>
      <c r="I4337" s="2298"/>
      <c r="J4337" s="2275"/>
      <c r="K4337" s="2298"/>
      <c r="L4337" s="1476">
        <f>J4337*K4337</f>
        <v>0</v>
      </c>
      <c r="M4337" s="2298"/>
      <c r="N4337" s="2298"/>
      <c r="O4337" s="2276"/>
      <c r="P4337" s="437"/>
      <c r="Q4337" s="442"/>
      <c r="R4337" s="443"/>
      <c r="S4337" s="364"/>
      <c r="Z4337" s="609" t="s">
        <v>4137</v>
      </c>
      <c r="AA4337" s="609" t="s">
        <v>5697</v>
      </c>
    </row>
    <row r="4338" spans="1:27" ht="18">
      <c r="A4338" s="2714"/>
      <c r="B4338" s="371">
        <v>102</v>
      </c>
      <c r="C4338" s="371" t="s">
        <v>2791</v>
      </c>
      <c r="D4338" s="2716">
        <f t="shared" si="485"/>
        <v>0</v>
      </c>
      <c r="E4338" s="2721">
        <v>1</v>
      </c>
      <c r="F4338" s="294"/>
      <c r="G4338" s="2427" t="s">
        <v>2792</v>
      </c>
      <c r="H4338" s="2298"/>
      <c r="I4338" s="2298"/>
      <c r="J4338" s="2275"/>
      <c r="K4338" s="2298"/>
      <c r="L4338" s="1476">
        <f t="shared" ref="L4338:L4341" si="486">J4338*K4338</f>
        <v>0</v>
      </c>
      <c r="M4338" s="2298"/>
      <c r="N4338" s="2298"/>
      <c r="O4338" s="2276"/>
      <c r="P4338" s="437"/>
      <c r="Q4338" s="442"/>
      <c r="R4338" s="443"/>
      <c r="S4338" s="364"/>
      <c r="Z4338" s="609" t="s">
        <v>4137</v>
      </c>
      <c r="AA4338" s="609" t="s">
        <v>5697</v>
      </c>
    </row>
    <row r="4339" spans="1:27" ht="18">
      <c r="A4339" s="2714"/>
      <c r="B4339" s="371">
        <v>103</v>
      </c>
      <c r="C4339" s="371" t="s">
        <v>2791</v>
      </c>
      <c r="D4339" s="2716">
        <f t="shared" si="485"/>
        <v>0</v>
      </c>
      <c r="E4339" s="2721">
        <v>1</v>
      </c>
      <c r="F4339" s="294"/>
      <c r="G4339" s="2427" t="s">
        <v>2792</v>
      </c>
      <c r="H4339" s="2298"/>
      <c r="I4339" s="2298"/>
      <c r="J4339" s="2275"/>
      <c r="K4339" s="2298"/>
      <c r="L4339" s="1476">
        <f t="shared" si="486"/>
        <v>0</v>
      </c>
      <c r="M4339" s="2298"/>
      <c r="N4339" s="2298"/>
      <c r="O4339" s="2276"/>
      <c r="P4339" s="437"/>
      <c r="Q4339" s="442"/>
      <c r="R4339" s="443"/>
      <c r="S4339" s="364"/>
      <c r="Z4339" s="609" t="s">
        <v>4137</v>
      </c>
      <c r="AA4339" s="609" t="s">
        <v>5697</v>
      </c>
    </row>
    <row r="4340" spans="1:27" ht="18">
      <c r="A4340" s="2714"/>
      <c r="B4340" s="371">
        <v>104</v>
      </c>
      <c r="C4340" s="371" t="s">
        <v>2791</v>
      </c>
      <c r="D4340" s="2716">
        <f t="shared" si="485"/>
        <v>0</v>
      </c>
      <c r="E4340" s="2721">
        <v>1</v>
      </c>
      <c r="F4340" s="294"/>
      <c r="G4340" s="2427" t="s">
        <v>2792</v>
      </c>
      <c r="H4340" s="2298"/>
      <c r="I4340" s="2298"/>
      <c r="J4340" s="2275"/>
      <c r="K4340" s="2298"/>
      <c r="L4340" s="1476">
        <f t="shared" si="486"/>
        <v>0</v>
      </c>
      <c r="M4340" s="2298"/>
      <c r="N4340" s="2298"/>
      <c r="O4340" s="2276"/>
      <c r="P4340" s="437"/>
      <c r="Q4340" s="442"/>
      <c r="R4340" s="443"/>
      <c r="S4340" s="364"/>
      <c r="Z4340" s="609" t="s">
        <v>4137</v>
      </c>
      <c r="AA4340" s="609" t="s">
        <v>5697</v>
      </c>
    </row>
    <row r="4341" spans="1:27" ht="18">
      <c r="A4341" s="2714"/>
      <c r="B4341" s="371">
        <v>105</v>
      </c>
      <c r="C4341" s="371" t="s">
        <v>2791</v>
      </c>
      <c r="D4341" s="2716">
        <f t="shared" si="485"/>
        <v>0</v>
      </c>
      <c r="E4341" s="2721">
        <v>1</v>
      </c>
      <c r="F4341" s="294"/>
      <c r="G4341" s="2427" t="s">
        <v>2792</v>
      </c>
      <c r="H4341" s="2298"/>
      <c r="I4341" s="2298"/>
      <c r="J4341" s="2275"/>
      <c r="K4341" s="2298"/>
      <c r="L4341" s="1476">
        <f t="shared" si="486"/>
        <v>0</v>
      </c>
      <c r="M4341" s="2298"/>
      <c r="N4341" s="2298"/>
      <c r="O4341" s="2276"/>
      <c r="P4341" s="437"/>
      <c r="Q4341" s="442"/>
      <c r="R4341" s="443"/>
      <c r="S4341" s="364"/>
      <c r="Z4341" s="609" t="s">
        <v>4137</v>
      </c>
      <c r="AA4341" s="609" t="s">
        <v>5697</v>
      </c>
    </row>
    <row r="4342" spans="1:27" ht="18.75" thickBot="1">
      <c r="A4342" s="2714"/>
      <c r="B4342" s="371"/>
      <c r="C4342" s="371"/>
      <c r="D4342" s="2716">
        <f t="shared" si="485"/>
        <v>1</v>
      </c>
      <c r="E4342" s="2721" t="s">
        <v>2751</v>
      </c>
      <c r="F4342" s="294"/>
      <c r="G4342" s="2234" t="s">
        <v>2752</v>
      </c>
      <c r="H4342" s="2241"/>
      <c r="I4342" s="2241"/>
      <c r="J4342" s="2308"/>
      <c r="K4342" s="2241"/>
      <c r="L4342" s="2235">
        <f>SUMPRODUCT($E4336:$E4341,L4336:L4341)</f>
        <v>0</v>
      </c>
      <c r="M4342" s="2242">
        <f>SUMPRODUCT($E4336:$E4341,M4336:M4341)</f>
        <v>0</v>
      </c>
      <c r="N4342" s="2241"/>
      <c r="O4342" s="2244"/>
      <c r="P4342" s="437"/>
      <c r="Q4342" s="442"/>
      <c r="R4342" s="443"/>
      <c r="S4342" s="364"/>
      <c r="Z4342" s="609" t="s">
        <v>4137</v>
      </c>
      <c r="AA4342" s="609" t="s">
        <v>5697</v>
      </c>
    </row>
    <row r="4343" spans="1:27" ht="18">
      <c r="A4343" s="2714"/>
      <c r="B4343" s="371"/>
      <c r="C4343" s="371" t="s">
        <v>2755</v>
      </c>
      <c r="D4343" s="371"/>
      <c r="F4343" s="294"/>
      <c r="G4343" s="301"/>
      <c r="H4343" s="393"/>
      <c r="I4343" s="393"/>
      <c r="J4343" s="315"/>
      <c r="K4343" s="393"/>
      <c r="L4343" s="315"/>
      <c r="M4343" s="393"/>
      <c r="N4343" s="393"/>
      <c r="O4343" s="393"/>
      <c r="P4343" s="427"/>
      <c r="Q4343" s="442"/>
      <c r="R4343" s="443"/>
      <c r="S4343" s="364"/>
      <c r="Z4343" s="609" t="s">
        <v>4137</v>
      </c>
      <c r="AA4343" s="609" t="s">
        <v>5697</v>
      </c>
    </row>
    <row r="4344" spans="1:27" ht="36">
      <c r="A4344" s="2714" t="s">
        <v>1795</v>
      </c>
      <c r="B4344" s="371">
        <v>2</v>
      </c>
      <c r="C4344" s="371"/>
      <c r="D4344" s="2716" t="str">
        <f>VLOOKUP($A4344,Sheet_NoteList,2,0)</f>
        <v>期末发行在外的优先股、永续债等金融工具变动情况表</v>
      </c>
      <c r="E4344" s="2716" t="s">
        <v>2742</v>
      </c>
      <c r="F4344" s="294"/>
      <c r="G4344" s="372" t="str">
        <f>"("&amp;B4344&amp;")"&amp;D4344</f>
        <v>(2)期末发行在外的优先股、永续债等金融工具变动情况表</v>
      </c>
      <c r="H4344" s="1517" t="str">
        <f>$A4344</f>
        <v>4015a</v>
      </c>
      <c r="I4344" s="343" t="s">
        <v>2743</v>
      </c>
      <c r="J4344" s="301" t="s">
        <v>2744</v>
      </c>
      <c r="K4344" s="2210">
        <f>O4352</f>
        <v>0</v>
      </c>
      <c r="L4344" s="345" t="str">
        <f>IF($I4344="适用",IF(ROUND(K4333-K4344,2)=0,"F/S",ROUND(K4333-K4344,2)),"#N/A")</f>
        <v>F/S</v>
      </c>
      <c r="M4344" s="301" t="s">
        <v>2745</v>
      </c>
      <c r="N4344" s="2210">
        <f>I4352</f>
        <v>0</v>
      </c>
      <c r="O4344" s="345" t="str">
        <f>IF($I4344="适用",IF(ROUND(N4333-N4344,2)=0,"F/S",ROUND(N4333-N4344,2)),"#N/A")</f>
        <v>F/S</v>
      </c>
      <c r="P4344" s="301"/>
      <c r="Q4344" s="290" t="str">
        <f>IF($I4344="不适用","",IF(ROUND(SUM($H$4349:$O$4352),2)=0,"请输入",""))</f>
        <v>请输入</v>
      </c>
      <c r="S4344" s="364"/>
      <c r="Z4344" s="609" t="s">
        <v>4137</v>
      </c>
      <c r="AA4344" s="609" t="s">
        <v>5697</v>
      </c>
    </row>
    <row r="4345" spans="1:27" ht="0.75" customHeight="1">
      <c r="A4345" s="2714"/>
      <c r="B4345" s="371"/>
      <c r="C4345" s="371"/>
      <c r="D4345" s="371"/>
      <c r="E4345" s="586"/>
      <c r="F4345" s="518"/>
      <c r="G4345" s="518" t="s">
        <v>4139</v>
      </c>
      <c r="H4345" s="304" t="s">
        <v>4048</v>
      </c>
      <c r="I4345" s="304" t="s">
        <v>4049</v>
      </c>
      <c r="J4345" s="304" t="s">
        <v>4050</v>
      </c>
      <c r="K4345" s="304" t="s">
        <v>4051</v>
      </c>
      <c r="L4345" s="304" t="s">
        <v>4052</v>
      </c>
      <c r="M4345" s="304" t="s">
        <v>4053</v>
      </c>
      <c r="N4345" s="304" t="s">
        <v>4054</v>
      </c>
      <c r="O4345" s="304" t="s">
        <v>4055</v>
      </c>
      <c r="S4345" s="364"/>
      <c r="Z4345" s="609" t="s">
        <v>4137</v>
      </c>
      <c r="AA4345" s="609" t="s">
        <v>5697</v>
      </c>
    </row>
    <row r="4346" spans="1:27" ht="0.75" customHeight="1" thickBot="1">
      <c r="A4346" s="2714"/>
      <c r="B4346" s="371"/>
      <c r="C4346" s="371"/>
      <c r="D4346" s="371"/>
      <c r="E4346" s="586"/>
      <c r="F4346" s="518"/>
      <c r="G4346" s="518"/>
      <c r="H4346" s="304" t="s">
        <v>4056</v>
      </c>
      <c r="I4346" s="304" t="s">
        <v>3215</v>
      </c>
      <c r="J4346" s="304" t="s">
        <v>4057</v>
      </c>
      <c r="K4346" s="304" t="s">
        <v>4058</v>
      </c>
      <c r="L4346" s="304" t="s">
        <v>4059</v>
      </c>
      <c r="M4346" s="304" t="s">
        <v>4060</v>
      </c>
      <c r="N4346" s="304" t="s">
        <v>4061</v>
      </c>
      <c r="O4346" s="304" t="s">
        <v>2857</v>
      </c>
      <c r="S4346" s="364"/>
      <c r="Z4346" s="609" t="s">
        <v>4137</v>
      </c>
      <c r="AA4346" s="609" t="s">
        <v>5697</v>
      </c>
    </row>
    <row r="4347" spans="1:27" ht="16.5" customHeight="1">
      <c r="A4347" s="2714"/>
      <c r="B4347" s="371"/>
      <c r="C4347" s="371"/>
      <c r="D4347" s="371"/>
      <c r="E4347" s="586" t="s">
        <v>2749</v>
      </c>
      <c r="F4347" s="363"/>
      <c r="G4347" s="3465" t="s">
        <v>1673</v>
      </c>
      <c r="H4347" s="3428" t="str">
        <f>$V$3</f>
        <v>2018年12月31日</v>
      </c>
      <c r="I4347" s="3430"/>
      <c r="J4347" s="3433" t="s">
        <v>3027</v>
      </c>
      <c r="K4347" s="3433"/>
      <c r="L4347" s="3433" t="s">
        <v>3028</v>
      </c>
      <c r="M4347" s="3433"/>
      <c r="N4347" s="3428" t="str">
        <f>$V$2</f>
        <v>2019年12月31日</v>
      </c>
      <c r="O4347" s="3429"/>
      <c r="P4347" s="355" t="s">
        <v>5319</v>
      </c>
      <c r="S4347" s="364"/>
      <c r="Z4347" s="609" t="s">
        <v>4137</v>
      </c>
      <c r="AA4347" s="609" t="s">
        <v>5697</v>
      </c>
    </row>
    <row r="4348" spans="1:27" ht="18">
      <c r="A4348" s="2714"/>
      <c r="B4348" s="371"/>
      <c r="C4348" s="371"/>
      <c r="D4348" s="371"/>
      <c r="E4348" s="586" t="s">
        <v>2749</v>
      </c>
      <c r="F4348" s="363"/>
      <c r="G4348" s="3466"/>
      <c r="H4348" s="2421" t="s">
        <v>4043</v>
      </c>
      <c r="I4348" s="2421" t="s">
        <v>2863</v>
      </c>
      <c r="J4348" s="2421" t="s">
        <v>4043</v>
      </c>
      <c r="K4348" s="2421" t="s">
        <v>2863</v>
      </c>
      <c r="L4348" s="2421" t="s">
        <v>4043</v>
      </c>
      <c r="M4348" s="2421" t="s">
        <v>2863</v>
      </c>
      <c r="N4348" s="2421" t="s">
        <v>4043</v>
      </c>
      <c r="O4348" s="2422" t="s">
        <v>2863</v>
      </c>
      <c r="S4348" s="364"/>
      <c r="Z4348" s="609" t="s">
        <v>4137</v>
      </c>
      <c r="AA4348" s="609" t="s">
        <v>5697</v>
      </c>
    </row>
    <row r="4349" spans="1:27" ht="18">
      <c r="A4349" s="2714"/>
      <c r="B4349" s="371">
        <v>101</v>
      </c>
      <c r="C4349" s="371" t="s">
        <v>2791</v>
      </c>
      <c r="D4349" s="2716">
        <f>IF(OR(G4349="*",G4349="",G4349=0),0,COUNTIF($G$4349:$G$4352,G4349))</f>
        <v>0</v>
      </c>
      <c r="E4349" s="2721">
        <v>1</v>
      </c>
      <c r="F4349" s="294"/>
      <c r="G4349" s="2427" t="s">
        <v>2792</v>
      </c>
      <c r="H4349" s="2605"/>
      <c r="I4349" s="2275"/>
      <c r="J4349" s="2605"/>
      <c r="K4349" s="2275"/>
      <c r="L4349" s="2605"/>
      <c r="M4349" s="2275"/>
      <c r="N4349" s="2598">
        <f t="shared" ref="N4349:O4351" si="487">SUM(H4349,J4349,-L4349)</f>
        <v>0</v>
      </c>
      <c r="O4349" s="1477">
        <f t="shared" si="487"/>
        <v>0</v>
      </c>
      <c r="S4349" s="364"/>
      <c r="Z4349" s="609" t="s">
        <v>4137</v>
      </c>
      <c r="AA4349" s="609" t="s">
        <v>5697</v>
      </c>
    </row>
    <row r="4350" spans="1:27" ht="18">
      <c r="A4350" s="2714"/>
      <c r="B4350" s="371">
        <v>102</v>
      </c>
      <c r="C4350" s="371" t="s">
        <v>2791</v>
      </c>
      <c r="D4350" s="2716">
        <f>IF(OR(G4350="*",G4350="",G4350=0),0,COUNTIF($G$4349:$G$4352,G4350))</f>
        <v>0</v>
      </c>
      <c r="E4350" s="2721">
        <v>1</v>
      </c>
      <c r="F4350" s="294"/>
      <c r="G4350" s="2427" t="s">
        <v>2792</v>
      </c>
      <c r="H4350" s="2605"/>
      <c r="I4350" s="2275"/>
      <c r="J4350" s="2605"/>
      <c r="K4350" s="2275"/>
      <c r="L4350" s="2605"/>
      <c r="M4350" s="2275"/>
      <c r="N4350" s="2598">
        <f t="shared" si="487"/>
        <v>0</v>
      </c>
      <c r="O4350" s="1477">
        <f t="shared" si="487"/>
        <v>0</v>
      </c>
      <c r="S4350" s="364"/>
      <c r="Z4350" s="609" t="s">
        <v>4137</v>
      </c>
      <c r="AA4350" s="609" t="s">
        <v>5697</v>
      </c>
    </row>
    <row r="4351" spans="1:27" ht="18">
      <c r="A4351" s="2714"/>
      <c r="B4351" s="371">
        <v>103</v>
      </c>
      <c r="C4351" s="371" t="s">
        <v>2791</v>
      </c>
      <c r="D4351" s="2716">
        <f>IF(OR(G4351="*",G4351="",G4351=0),0,COUNTIF($G$4349:$G$4352,G4351))</f>
        <v>0</v>
      </c>
      <c r="E4351" s="2721">
        <v>1</v>
      </c>
      <c r="F4351" s="294"/>
      <c r="G4351" s="2427" t="s">
        <v>2792</v>
      </c>
      <c r="H4351" s="2605"/>
      <c r="I4351" s="2275"/>
      <c r="J4351" s="2605"/>
      <c r="K4351" s="2275"/>
      <c r="L4351" s="2605"/>
      <c r="M4351" s="2275"/>
      <c r="N4351" s="2598">
        <f t="shared" si="487"/>
        <v>0</v>
      </c>
      <c r="O4351" s="1477">
        <f t="shared" si="487"/>
        <v>0</v>
      </c>
      <c r="S4351" s="364"/>
      <c r="Z4351" s="609" t="s">
        <v>4137</v>
      </c>
      <c r="AA4351" s="609" t="s">
        <v>5697</v>
      </c>
    </row>
    <row r="4352" spans="1:27" ht="18.75" thickBot="1">
      <c r="A4352" s="2714"/>
      <c r="B4352" s="371"/>
      <c r="C4352" s="371"/>
      <c r="D4352" s="2716">
        <f>IF(OR(G4352="*",G4352="",G4352=0),0,COUNTIF($G$4349:$G$4352,G4352))</f>
        <v>1</v>
      </c>
      <c r="E4352" s="2721" t="s">
        <v>2751</v>
      </c>
      <c r="F4352" s="294"/>
      <c r="G4352" s="374" t="s">
        <v>2752</v>
      </c>
      <c r="H4352" s="2604">
        <f t="shared" ref="H4352:O4352" si="488">SUMPRODUCT($E4348:$E4351,H4348:H4351)</f>
        <v>0</v>
      </c>
      <c r="I4352" s="1478">
        <f t="shared" si="488"/>
        <v>0</v>
      </c>
      <c r="J4352" s="2604">
        <f t="shared" si="488"/>
        <v>0</v>
      </c>
      <c r="K4352" s="1478">
        <f t="shared" si="488"/>
        <v>0</v>
      </c>
      <c r="L4352" s="2604">
        <f t="shared" si="488"/>
        <v>0</v>
      </c>
      <c r="M4352" s="1478">
        <f t="shared" si="488"/>
        <v>0</v>
      </c>
      <c r="N4352" s="2604">
        <f t="shared" si="488"/>
        <v>0</v>
      </c>
      <c r="O4352" s="1479">
        <f t="shared" si="488"/>
        <v>0</v>
      </c>
      <c r="S4352" s="364"/>
      <c r="Z4352" s="609" t="s">
        <v>4137</v>
      </c>
      <c r="AA4352" s="609" t="s">
        <v>5697</v>
      </c>
    </row>
    <row r="4353" spans="1:27" ht="18">
      <c r="A4353" s="2714"/>
      <c r="B4353" s="371"/>
      <c r="C4353" s="371" t="s">
        <v>2755</v>
      </c>
      <c r="D4353" s="371"/>
      <c r="F4353" s="294"/>
      <c r="G4353" s="301"/>
      <c r="H4353" s="315"/>
      <c r="I4353" s="315"/>
      <c r="J4353" s="315"/>
      <c r="K4353" s="315"/>
      <c r="L4353" s="315"/>
      <c r="M4353" s="315"/>
      <c r="N4353" s="315"/>
      <c r="O4353" s="315"/>
      <c r="S4353" s="364"/>
      <c r="Z4353" s="609" t="s">
        <v>4137</v>
      </c>
      <c r="AA4353" s="609" t="s">
        <v>5697</v>
      </c>
    </row>
    <row r="4354" spans="1:27" ht="18">
      <c r="A4354" s="2714">
        <v>4002</v>
      </c>
      <c r="B4354" s="371">
        <v>55</v>
      </c>
      <c r="C4354" s="2716" t="str">
        <f>VLOOKUP($A4354,Sheet_Items,2,0)</f>
        <v>资本公积</v>
      </c>
      <c r="D4354" s="371"/>
      <c r="E4354" s="2716" t="s">
        <v>2739</v>
      </c>
      <c r="F4354" s="294"/>
      <c r="G4354" s="305" t="str">
        <f>B4354&amp;" "&amp;C4354</f>
        <v>55 资本公积</v>
      </c>
      <c r="H4354" s="306"/>
      <c r="I4354" s="306"/>
      <c r="J4354" s="306" t="s">
        <v>2740</v>
      </c>
      <c r="K4354" s="341">
        <f>VLOOKUP($A4354,Sheet_Trialbal,6,0)</f>
        <v>10464100</v>
      </c>
      <c r="L4354" s="342"/>
      <c r="M4354" s="306" t="s">
        <v>2741</v>
      </c>
      <c r="N4354" s="341">
        <f>VLOOKUP($A4354,Sheet_Trialbal,10,0)</f>
        <v>0</v>
      </c>
      <c r="O4354" s="306"/>
      <c r="P4354" s="301"/>
      <c r="S4354" s="364"/>
      <c r="Z4354" s="609" t="s">
        <v>4140</v>
      </c>
      <c r="AA4354" s="609" t="s">
        <v>5698</v>
      </c>
    </row>
    <row r="4355" spans="1:27" ht="18">
      <c r="A4355" s="2714" t="s">
        <v>1785</v>
      </c>
      <c r="B4355" s="371">
        <v>1</v>
      </c>
      <c r="C4355" s="371"/>
      <c r="D4355" s="2716" t="str">
        <f>VLOOKUP($A4355,Sheet_NoteList,2,0)</f>
        <v>资本公积变动情况</v>
      </c>
      <c r="E4355" s="2716" t="s">
        <v>2742</v>
      </c>
      <c r="F4355" s="294"/>
      <c r="G4355" s="307" t="str">
        <f>"("&amp;B4355&amp;")"&amp;D4355</f>
        <v>(1)资本公积变动情况</v>
      </c>
      <c r="H4355" s="1517" t="str">
        <f>$A4355</f>
        <v>4002a</v>
      </c>
      <c r="I4355" s="343" t="s">
        <v>2743</v>
      </c>
      <c r="J4355" s="301" t="s">
        <v>2744</v>
      </c>
      <c r="K4355" s="2210">
        <f>K4361</f>
        <v>10464100</v>
      </c>
      <c r="L4355" s="345" t="str">
        <f>IF($I4355="适用",IF(ROUND(K4354-K4355,2)=0,"F/S",ROUND(K4354-K4355,2)),"#N/A")</f>
        <v>F/S</v>
      </c>
      <c r="M4355" s="301" t="s">
        <v>2745</v>
      </c>
      <c r="N4355" s="2210">
        <f>H4361</f>
        <v>0</v>
      </c>
      <c r="O4355" s="345" t="str">
        <f>IF($I4355="适用",IF(ROUND(N4354-N4355,2)=0,"F/S",ROUND(N4354-N4355,2)),"#N/A")</f>
        <v>F/S</v>
      </c>
      <c r="P4355" s="301"/>
      <c r="Q4355" s="290" t="str">
        <f>IF($I4355="不适用","",IF(ROUND(SUM($H$4358:$K$4361),2)=0,"请输入",""))</f>
        <v/>
      </c>
      <c r="S4355" s="364"/>
      <c r="Z4355" s="609" t="s">
        <v>4140</v>
      </c>
      <c r="AA4355" s="609" t="s">
        <v>5698</v>
      </c>
    </row>
    <row r="4356" spans="1:27" ht="0.75" customHeight="1" thickBot="1">
      <c r="A4356" s="2714"/>
      <c r="B4356" s="371"/>
      <c r="C4356" s="371"/>
      <c r="D4356" s="371"/>
      <c r="F4356" s="304"/>
      <c r="G4356" s="304" t="s">
        <v>4141</v>
      </c>
      <c r="H4356" s="304" t="s">
        <v>2904</v>
      </c>
      <c r="I4356" s="304" t="s">
        <v>3255</v>
      </c>
      <c r="J4356" s="304" t="s">
        <v>3256</v>
      </c>
      <c r="K4356" s="304" t="s">
        <v>3241</v>
      </c>
      <c r="L4356" s="291"/>
      <c r="M4356" s="291"/>
      <c r="N4356" s="291"/>
      <c r="O4356" s="291"/>
      <c r="S4356" s="364"/>
      <c r="Z4356" s="609" t="s">
        <v>4140</v>
      </c>
      <c r="AA4356" s="609" t="s">
        <v>5698</v>
      </c>
    </row>
    <row r="4357" spans="1:27" ht="18">
      <c r="A4357" s="2714"/>
      <c r="B4357" s="371"/>
      <c r="C4357" s="371"/>
      <c r="D4357" s="371"/>
      <c r="E4357" s="2716" t="s">
        <v>2749</v>
      </c>
      <c r="F4357" s="294"/>
      <c r="G4357" s="378" t="s">
        <v>47</v>
      </c>
      <c r="H4357" s="2473" t="str">
        <f>$V$3</f>
        <v>2018年12月31日</v>
      </c>
      <c r="I4357" s="398" t="s">
        <v>3027</v>
      </c>
      <c r="J4357" s="398" t="s">
        <v>3028</v>
      </c>
      <c r="K4357" s="1456" t="str">
        <f>$V$2</f>
        <v>2019年12月31日</v>
      </c>
      <c r="L4357" s="355" t="s">
        <v>5320</v>
      </c>
      <c r="M4357" s="291"/>
      <c r="N4357" s="291"/>
      <c r="O4357" s="291"/>
      <c r="S4357" s="364"/>
      <c r="Z4357" s="609" t="s">
        <v>4140</v>
      </c>
      <c r="AA4357" s="609" t="s">
        <v>5698</v>
      </c>
    </row>
    <row r="4358" spans="1:27" ht="18">
      <c r="A4358" s="2714"/>
      <c r="B4358" s="371">
        <v>101</v>
      </c>
      <c r="C4358" s="371"/>
      <c r="D4358" s="2716">
        <f>IF(OR(G4358="*",G4358="",G4358=0),0,COUNTIF($G$4358:$G$4361,G4358))</f>
        <v>1</v>
      </c>
      <c r="E4358" s="2721">
        <v>1</v>
      </c>
      <c r="F4358" s="294"/>
      <c r="G4358" s="380" t="s">
        <v>4142</v>
      </c>
      <c r="H4358" s="383"/>
      <c r="I4358" s="383"/>
      <c r="J4358" s="383"/>
      <c r="K4358" s="562">
        <f>H4358+I4358-J4358</f>
        <v>0</v>
      </c>
      <c r="L4358" s="291"/>
      <c r="M4358" s="291"/>
      <c r="N4358" s="291"/>
      <c r="O4358" s="291"/>
      <c r="S4358" s="364"/>
      <c r="Z4358" s="609" t="s">
        <v>4140</v>
      </c>
      <c r="AA4358" s="609" t="s">
        <v>5698</v>
      </c>
    </row>
    <row r="4359" spans="1:27" ht="18">
      <c r="A4359" s="2714"/>
      <c r="B4359" s="371">
        <v>102</v>
      </c>
      <c r="C4359" s="371"/>
      <c r="D4359" s="2716">
        <f>IF(OR(G4359="*",G4359="",G4359=0),0,COUNTIF($G$4358:$G$4361,G4359))</f>
        <v>1</v>
      </c>
      <c r="E4359" s="2721">
        <v>1</v>
      </c>
      <c r="F4359" s="294"/>
      <c r="G4359" s="380" t="s">
        <v>4143</v>
      </c>
      <c r="H4359" s="383"/>
      <c r="I4359" s="383"/>
      <c r="J4359" s="383"/>
      <c r="K4359" s="562">
        <f>H4359+I4359-J4359</f>
        <v>0</v>
      </c>
      <c r="L4359" s="291"/>
      <c r="M4359" s="291"/>
      <c r="N4359" s="291"/>
      <c r="O4359" s="291"/>
      <c r="S4359" s="364"/>
      <c r="Z4359" s="609" t="s">
        <v>4140</v>
      </c>
      <c r="AA4359" s="609" t="s">
        <v>5698</v>
      </c>
    </row>
    <row r="4360" spans="1:27" ht="18">
      <c r="A4360" s="2714"/>
      <c r="B4360" s="371">
        <v>103</v>
      </c>
      <c r="C4360" s="371" t="s">
        <v>2791</v>
      </c>
      <c r="D4360" s="2716">
        <f>IF(OR(G4360="*",G4360="",G4360=0),0,COUNTIF($G$4358:$G$4361,G4360))</f>
        <v>1</v>
      </c>
      <c r="E4360" s="2721">
        <v>1</v>
      </c>
      <c r="F4360" s="294"/>
      <c r="G4360" s="409" t="s">
        <v>7318</v>
      </c>
      <c r="H4360" s="383"/>
      <c r="I4360" s="383">
        <v>10464100</v>
      </c>
      <c r="J4360" s="383"/>
      <c r="K4360" s="562">
        <f>H4360+I4360-J4360</f>
        <v>10464100</v>
      </c>
      <c r="L4360" s="291"/>
      <c r="M4360" s="291"/>
      <c r="N4360" s="291"/>
      <c r="O4360" s="291"/>
      <c r="S4360" s="364"/>
      <c r="Z4360" s="609" t="s">
        <v>4140</v>
      </c>
      <c r="AA4360" s="609" t="s">
        <v>5698</v>
      </c>
    </row>
    <row r="4361" spans="1:27" ht="18.75" thickBot="1">
      <c r="A4361" s="2714"/>
      <c r="B4361" s="371"/>
      <c r="C4361" s="371"/>
      <c r="D4361" s="2716">
        <f>IF(OR(G4361="*",G4361="",G4361=0),0,COUNTIF($G$4358:$G$4361,G4361))</f>
        <v>1</v>
      </c>
      <c r="E4361" s="2721" t="s">
        <v>2751</v>
      </c>
      <c r="F4361" s="294"/>
      <c r="G4361" s="403" t="s">
        <v>2752</v>
      </c>
      <c r="H4361" s="503">
        <f>SUMPRODUCT($E4357:$E4360,H4357:H4360)</f>
        <v>0</v>
      </c>
      <c r="I4361" s="503">
        <f>SUMPRODUCT($E4357:$E4360,I4357:I4360)</f>
        <v>10464100</v>
      </c>
      <c r="J4361" s="503">
        <f>SUMPRODUCT($E4357:$E4360,J4357:J4360)</f>
        <v>0</v>
      </c>
      <c r="K4361" s="515">
        <f>SUMPRODUCT($E4357:$E4360,K4357:K4360)</f>
        <v>10464100</v>
      </c>
      <c r="L4361" s="291"/>
      <c r="M4361" s="291"/>
      <c r="N4361" s="291"/>
      <c r="O4361" s="291"/>
      <c r="S4361" s="364"/>
      <c r="Z4361" s="609" t="s">
        <v>4140</v>
      </c>
      <c r="AA4361" s="609" t="s">
        <v>5698</v>
      </c>
    </row>
    <row r="4362" spans="1:27" ht="18">
      <c r="A4362" s="2714"/>
      <c r="B4362" s="371"/>
      <c r="C4362" s="371" t="s">
        <v>2755</v>
      </c>
      <c r="D4362" s="371"/>
      <c r="F4362" s="294"/>
      <c r="G4362" s="301"/>
      <c r="H4362" s="349"/>
      <c r="I4362" s="349"/>
      <c r="J4362" s="349"/>
      <c r="K4362" s="349"/>
      <c r="L4362" s="291"/>
      <c r="M4362" s="291"/>
      <c r="N4362" s="291"/>
      <c r="O4362" s="291"/>
      <c r="S4362" s="364"/>
      <c r="Z4362" s="609" t="s">
        <v>4140</v>
      </c>
      <c r="AA4362" s="609" t="s">
        <v>5698</v>
      </c>
    </row>
    <row r="4363" spans="1:27" ht="18">
      <c r="A4363" s="2714">
        <v>4201</v>
      </c>
      <c r="B4363" s="371">
        <v>56</v>
      </c>
      <c r="C4363" s="2716" t="str">
        <f>VLOOKUP($A4363,Sheet_Items,2,0)</f>
        <v>库存股</v>
      </c>
      <c r="D4363" s="371"/>
      <c r="E4363" s="2716" t="s">
        <v>2739</v>
      </c>
      <c r="F4363" s="294"/>
      <c r="G4363" s="535" t="str">
        <f>B4363&amp;" "&amp;C4363</f>
        <v>56 库存股</v>
      </c>
      <c r="H4363" s="306"/>
      <c r="I4363" s="306"/>
      <c r="J4363" s="306" t="s">
        <v>2740</v>
      </c>
      <c r="K4363" s="341">
        <f>VLOOKUP($A4363,Sheet_Trialbal,6,0)</f>
        <v>0</v>
      </c>
      <c r="L4363" s="342"/>
      <c r="M4363" s="306" t="s">
        <v>2741</v>
      </c>
      <c r="N4363" s="341">
        <f>VLOOKUP($A4363,Sheet_Trialbal,10,0)</f>
        <v>0</v>
      </c>
      <c r="O4363" s="306"/>
      <c r="P4363" s="301"/>
      <c r="S4363" s="364"/>
      <c r="Z4363" s="609" t="s">
        <v>4144</v>
      </c>
      <c r="AA4363" s="609" t="s">
        <v>5699</v>
      </c>
    </row>
    <row r="4364" spans="1:27" ht="18">
      <c r="A4364" s="2714" t="s">
        <v>1828</v>
      </c>
      <c r="B4364" s="371">
        <v>1</v>
      </c>
      <c r="C4364" s="371"/>
      <c r="D4364" s="2716" t="str">
        <f>VLOOKUP($A4364,Sheet_NoteList,2,0)</f>
        <v>库存股变动情况</v>
      </c>
      <c r="E4364" s="2716" t="s">
        <v>2742</v>
      </c>
      <c r="F4364" s="294"/>
      <c r="G4364" s="307" t="str">
        <f>"("&amp;B4364&amp;")"&amp;D4364</f>
        <v>(1)库存股变动情况</v>
      </c>
      <c r="H4364" s="1517" t="str">
        <f>$A4364</f>
        <v>4201a</v>
      </c>
      <c r="I4364" s="343" t="s">
        <v>2743</v>
      </c>
      <c r="J4364" s="301" t="s">
        <v>2744</v>
      </c>
      <c r="K4364" s="2210">
        <f>K4368</f>
        <v>0</v>
      </c>
      <c r="L4364" s="345" t="str">
        <f>IF($I4364="适用",IF(ROUND(K4363-K4364,2)=0,"F/S",ROUND(K4363-K4364,2)),"#N/A")</f>
        <v>F/S</v>
      </c>
      <c r="M4364" s="301" t="s">
        <v>2745</v>
      </c>
      <c r="N4364" s="2210">
        <f>H4368</f>
        <v>0</v>
      </c>
      <c r="O4364" s="345" t="str">
        <f>IF($I4364="适用",IF(ROUND(N4363-N4364,2)=0,"F/S",ROUND(N4363-N4364,2)),"#N/A")</f>
        <v>F/S</v>
      </c>
      <c r="P4364" s="301"/>
      <c r="S4364" s="364"/>
      <c r="Z4364" s="609" t="s">
        <v>4144</v>
      </c>
      <c r="AA4364" s="609" t="s">
        <v>5699</v>
      </c>
    </row>
    <row r="4365" spans="1:27" ht="0.75" customHeight="1" thickBot="1">
      <c r="A4365" s="2714"/>
      <c r="B4365" s="371"/>
      <c r="C4365" s="371"/>
      <c r="D4365" s="371"/>
      <c r="E4365" s="586"/>
      <c r="F4365" s="363"/>
      <c r="G4365" s="363" t="s">
        <v>4145</v>
      </c>
      <c r="H4365" s="294" t="s">
        <v>2904</v>
      </c>
      <c r="I4365" s="294" t="s">
        <v>3255</v>
      </c>
      <c r="J4365" s="294" t="s">
        <v>3256</v>
      </c>
      <c r="K4365" s="294" t="s">
        <v>3241</v>
      </c>
      <c r="L4365" s="291"/>
      <c r="M4365" s="291"/>
      <c r="N4365" s="291"/>
      <c r="O4365" s="291"/>
      <c r="S4365" s="364"/>
      <c r="Z4365" s="609" t="s">
        <v>4144</v>
      </c>
      <c r="AA4365" s="609" t="s">
        <v>5699</v>
      </c>
    </row>
    <row r="4366" spans="1:27" ht="18">
      <c r="A4366" s="2714"/>
      <c r="B4366" s="371"/>
      <c r="C4366" s="371"/>
      <c r="D4366" s="371"/>
      <c r="E4366" s="586" t="s">
        <v>2749</v>
      </c>
      <c r="F4366" s="363"/>
      <c r="G4366" s="2428" t="s">
        <v>47</v>
      </c>
      <c r="H4366" s="2475" t="str">
        <f>$V$3</f>
        <v>2018年12月31日</v>
      </c>
      <c r="I4366" s="2425" t="s">
        <v>3027</v>
      </c>
      <c r="J4366" s="2425" t="s">
        <v>3028</v>
      </c>
      <c r="K4366" s="2480" t="str">
        <f>$V$2</f>
        <v>2019年12月31日</v>
      </c>
      <c r="L4366" s="355" t="s">
        <v>5321</v>
      </c>
      <c r="M4366" s="291"/>
      <c r="N4366" s="291"/>
      <c r="O4366" s="291"/>
      <c r="S4366" s="364"/>
      <c r="Z4366" s="609" t="s">
        <v>4144</v>
      </c>
      <c r="AA4366" s="609" t="s">
        <v>5699</v>
      </c>
    </row>
    <row r="4367" spans="1:27" ht="18">
      <c r="A4367" s="2714"/>
      <c r="B4367" s="371">
        <v>101</v>
      </c>
      <c r="C4367" s="371"/>
      <c r="D4367" s="2716">
        <f>IF(OR(G4367="*",G4367="",G4367=0),0,COUNTIF($G$4367:$G$4368,G4367))</f>
        <v>1</v>
      </c>
      <c r="E4367" s="2721">
        <v>1</v>
      </c>
      <c r="F4367" s="294"/>
      <c r="G4367" s="1474" t="s">
        <v>6086</v>
      </c>
      <c r="H4367" s="2275"/>
      <c r="I4367" s="2275"/>
      <c r="J4367" s="2275"/>
      <c r="K4367" s="1477">
        <f>H4367+I4367-J4367</f>
        <v>0</v>
      </c>
      <c r="L4367" s="291"/>
      <c r="M4367" s="291"/>
      <c r="N4367" s="291"/>
      <c r="O4367" s="291"/>
      <c r="S4367" s="364"/>
      <c r="Z4367" s="609" t="s">
        <v>4144</v>
      </c>
      <c r="AA4367" s="609" t="s">
        <v>5699</v>
      </c>
    </row>
    <row r="4368" spans="1:27" ht="18.75" thickBot="1">
      <c r="A4368" s="2714"/>
      <c r="B4368" s="371"/>
      <c r="C4368" s="371"/>
      <c r="D4368" s="2716">
        <f>IF(OR(G4368="*",G4368="",G4368=0),0,COUNTIF($G$4367:$G$4368,G4368))</f>
        <v>1</v>
      </c>
      <c r="E4368" s="2721" t="s">
        <v>2751</v>
      </c>
      <c r="F4368" s="294"/>
      <c r="G4368" s="374" t="s">
        <v>2752</v>
      </c>
      <c r="H4368" s="1478">
        <f>SUMPRODUCT($E4366:$E4367,H4366:H4367)</f>
        <v>0</v>
      </c>
      <c r="I4368" s="1478">
        <f>SUMPRODUCT($E4366:$E4367,I4366:I4367)</f>
        <v>0</v>
      </c>
      <c r="J4368" s="1478">
        <f>SUMPRODUCT($E4366:$E4367,J4366:J4367)</f>
        <v>0</v>
      </c>
      <c r="K4368" s="1479">
        <f>SUMPRODUCT($E4366:$E4367,K4366:K4367)</f>
        <v>0</v>
      </c>
      <c r="L4368" s="291"/>
      <c r="M4368" s="291"/>
      <c r="N4368" s="291"/>
      <c r="O4368" s="291"/>
      <c r="S4368" s="364"/>
      <c r="Z4368" s="609" t="s">
        <v>4144</v>
      </c>
      <c r="AA4368" s="609" t="s">
        <v>5699</v>
      </c>
    </row>
    <row r="4369" spans="1:27" ht="18">
      <c r="A4369" s="2714"/>
      <c r="B4369" s="371"/>
      <c r="C4369" s="371" t="s">
        <v>2755</v>
      </c>
      <c r="D4369" s="371"/>
      <c r="F4369" s="294"/>
      <c r="G4369" s="301"/>
      <c r="H4369" s="315"/>
      <c r="I4369" s="315"/>
      <c r="J4369" s="315"/>
      <c r="K4369" s="315"/>
      <c r="L4369" s="291"/>
      <c r="M4369" s="291"/>
      <c r="N4369" s="291"/>
      <c r="O4369" s="291"/>
      <c r="S4369" s="364"/>
      <c r="Z4369" s="609" t="s">
        <v>4144</v>
      </c>
      <c r="AA4369" s="609" t="s">
        <v>5699</v>
      </c>
    </row>
    <row r="4370" spans="1:27" ht="18">
      <c r="A4370" s="2714">
        <v>4215</v>
      </c>
      <c r="B4370" s="371">
        <v>57</v>
      </c>
      <c r="C4370" s="2716" t="str">
        <f>VLOOKUP($A4370,Sheet_Items,2,0)</f>
        <v>其他综合收益</v>
      </c>
      <c r="D4370" s="371"/>
      <c r="E4370" s="2716" t="s">
        <v>2739</v>
      </c>
      <c r="F4370" s="294"/>
      <c r="G4370" s="305" t="str">
        <f>B4370&amp;" "&amp;C4370</f>
        <v>57 其他综合收益</v>
      </c>
      <c r="H4370" s="306"/>
      <c r="I4370" s="306"/>
      <c r="J4370" s="306" t="s">
        <v>2740</v>
      </c>
      <c r="K4370" s="341">
        <f>VLOOKUP($A4370,Sheet_Trialbal,6,0)</f>
        <v>0</v>
      </c>
      <c r="L4370" s="342"/>
      <c r="M4370" s="306" t="s">
        <v>2741</v>
      </c>
      <c r="N4370" s="341">
        <f>VLOOKUP($A4370,Sheet_Trialbal,10,0)</f>
        <v>0</v>
      </c>
      <c r="O4370" s="306"/>
      <c r="P4370" s="368" t="s">
        <v>4146</v>
      </c>
      <c r="S4370" s="364"/>
      <c r="Z4370" s="609" t="s">
        <v>4147</v>
      </c>
      <c r="AA4370" s="609" t="s">
        <v>5700</v>
      </c>
    </row>
    <row r="4371" spans="1:27" ht="18">
      <c r="A4371" s="2714" t="s">
        <v>1831</v>
      </c>
      <c r="B4371" s="371">
        <v>1</v>
      </c>
      <c r="C4371" s="371"/>
      <c r="D4371" s="2716" t="str">
        <f>VLOOKUP($A4371,Sheet_NoteList,2,0)</f>
        <v>其他综合收益列示</v>
      </c>
      <c r="E4371" s="2716" t="s">
        <v>2742</v>
      </c>
      <c r="F4371" s="293"/>
      <c r="G4371" s="372" t="str">
        <f>"("&amp;B4371&amp;")"&amp;D4371</f>
        <v>(1)其他综合收益列示</v>
      </c>
      <c r="H4371" s="1517" t="str">
        <f>$A4371</f>
        <v>4215b</v>
      </c>
      <c r="I4371" s="343" t="s">
        <v>2743</v>
      </c>
      <c r="J4371" s="301" t="s">
        <v>2744</v>
      </c>
      <c r="K4371" s="2210">
        <f>P4394</f>
        <v>0</v>
      </c>
      <c r="L4371" s="349" t="str">
        <f>IF($I4371="适用",IF(ROUND(K$4370-K4371,2)=0,"F/S",ROUND(K$4370-K4371,2)),"#N/A")</f>
        <v>F/S</v>
      </c>
      <c r="M4371" s="301" t="s">
        <v>2745</v>
      </c>
      <c r="N4371" s="2210">
        <f>H4394</f>
        <v>0</v>
      </c>
      <c r="O4371" s="349" t="str">
        <f>IF($I4371="适用",IF(ROUND(N$4370-N4371,2)=0,"F/S",ROUND(N$4370-N4371,2)),"#N/A")</f>
        <v>F/S</v>
      </c>
      <c r="P4371" s="301"/>
      <c r="S4371" s="364"/>
      <c r="Z4371" s="609" t="s">
        <v>4147</v>
      </c>
      <c r="AA4371" s="609" t="s">
        <v>4149</v>
      </c>
    </row>
    <row r="4372" spans="1:27" ht="0.75" customHeight="1">
      <c r="A4372" s="2714"/>
      <c r="B4372" s="371"/>
      <c r="C4372" s="371"/>
      <c r="D4372" s="2716"/>
      <c r="F4372" s="371"/>
      <c r="G4372" s="405" t="s">
        <v>4150</v>
      </c>
      <c r="H4372" s="371" t="s">
        <v>5444</v>
      </c>
      <c r="I4372" s="371" t="s">
        <v>5445</v>
      </c>
      <c r="J4372" s="371" t="s">
        <v>5446</v>
      </c>
      <c r="K4372" s="547" t="s">
        <v>5447</v>
      </c>
      <c r="L4372" s="547" t="s">
        <v>5448</v>
      </c>
      <c r="M4372" s="371" t="s">
        <v>5449</v>
      </c>
      <c r="N4372" s="371" t="s">
        <v>5450</v>
      </c>
      <c r="O4372" s="371" t="s">
        <v>5451</v>
      </c>
      <c r="P4372" s="371" t="s">
        <v>5452</v>
      </c>
      <c r="S4372" s="364"/>
      <c r="Z4372" s="609" t="s">
        <v>4147</v>
      </c>
      <c r="AA4372" s="609" t="s">
        <v>4149</v>
      </c>
    </row>
    <row r="4373" spans="1:27" ht="0.75" customHeight="1" thickBot="1">
      <c r="A4373" s="2714"/>
      <c r="B4373" s="371"/>
      <c r="C4373" s="371"/>
      <c r="D4373" s="2716"/>
      <c r="F4373" s="371"/>
      <c r="G4373" s="405"/>
      <c r="H4373" s="371" t="s">
        <v>5453</v>
      </c>
      <c r="I4373" s="371" t="s">
        <v>5454</v>
      </c>
      <c r="J4373" s="371" t="s">
        <v>5455</v>
      </c>
      <c r="K4373" s="547" t="s">
        <v>5456</v>
      </c>
      <c r="L4373" s="547" t="s">
        <v>5457</v>
      </c>
      <c r="M4373" s="371" t="s">
        <v>5458</v>
      </c>
      <c r="N4373" s="547" t="s">
        <v>5459</v>
      </c>
      <c r="O4373" s="547" t="s">
        <v>5460</v>
      </c>
      <c r="P4373" s="371" t="s">
        <v>5461</v>
      </c>
      <c r="S4373" s="364"/>
      <c r="Z4373" s="609" t="s">
        <v>4147</v>
      </c>
      <c r="AA4373" s="609" t="s">
        <v>4149</v>
      </c>
    </row>
    <row r="4374" spans="1:27" ht="18" customHeight="1">
      <c r="A4374" s="2714"/>
      <c r="B4374" s="371"/>
      <c r="C4374" s="371"/>
      <c r="D4374" s="2716"/>
      <c r="E4374" s="2716" t="s">
        <v>2749</v>
      </c>
      <c r="F4374" s="293"/>
      <c r="G4374" s="3432" t="s">
        <v>47</v>
      </c>
      <c r="H4374" s="3502" t="str">
        <f>$V$3</f>
        <v>2018年12月31日</v>
      </c>
      <c r="I4374" s="3449" t="s">
        <v>2918</v>
      </c>
      <c r="J4374" s="3502" t="str">
        <f>$X$3</f>
        <v>2019年1月1日</v>
      </c>
      <c r="K4374" s="3449" t="s">
        <v>4156</v>
      </c>
      <c r="L4374" s="3449"/>
      <c r="M4374" s="3449"/>
      <c r="N4374" s="3449"/>
      <c r="O4374" s="3449"/>
      <c r="P4374" s="3447" t="str">
        <f>$V$2</f>
        <v>2019年12月31日</v>
      </c>
      <c r="Q4374" s="355" t="s">
        <v>5322</v>
      </c>
      <c r="S4374" s="364"/>
      <c r="Z4374" s="609" t="s">
        <v>4147</v>
      </c>
      <c r="AA4374" s="609" t="s">
        <v>4149</v>
      </c>
    </row>
    <row r="4375" spans="1:27" ht="36">
      <c r="A4375" s="2714"/>
      <c r="B4375" s="371"/>
      <c r="C4375" s="371"/>
      <c r="D4375" s="2716"/>
      <c r="E4375" s="2716" t="s">
        <v>2749</v>
      </c>
      <c r="F4375" s="293"/>
      <c r="G4375" s="3471"/>
      <c r="H4375" s="3503"/>
      <c r="I4375" s="3485"/>
      <c r="J4375" s="3503"/>
      <c r="K4375" s="2601" t="s">
        <v>4157</v>
      </c>
      <c r="L4375" s="2601" t="s">
        <v>4158</v>
      </c>
      <c r="M4375" s="2601" t="s">
        <v>867</v>
      </c>
      <c r="N4375" s="2601" t="s">
        <v>4159</v>
      </c>
      <c r="O4375" s="2601" t="s">
        <v>4160</v>
      </c>
      <c r="P4375" s="3448"/>
      <c r="S4375" s="364"/>
      <c r="Z4375" s="609" t="s">
        <v>4147</v>
      </c>
      <c r="AA4375" s="609" t="s">
        <v>4149</v>
      </c>
    </row>
    <row r="4376" spans="1:27" ht="24">
      <c r="A4376" s="2714"/>
      <c r="B4376" s="371">
        <v>101</v>
      </c>
      <c r="C4376" s="371" t="s">
        <v>2793</v>
      </c>
      <c r="D4376" s="2716">
        <f t="shared" ref="D4376:D4394" si="489">IF(OR(G4376="*",G4376="",G4376=0),0,COUNTIF($G$4376:$G$4394,G4376))</f>
        <v>1</v>
      </c>
      <c r="E4376" s="2721">
        <v>1</v>
      </c>
      <c r="F4376" s="293"/>
      <c r="G4376" s="308" t="s">
        <v>4161</v>
      </c>
      <c r="H4376" s="1476">
        <f t="shared" ref="H4376:P4376" si="490">SUMIF($E$4375:$E$4393,$G4376,H$4375:H$4393)</f>
        <v>0</v>
      </c>
      <c r="I4376" s="1476">
        <f t="shared" si="490"/>
        <v>0</v>
      </c>
      <c r="J4376" s="1476">
        <f t="shared" si="490"/>
        <v>0</v>
      </c>
      <c r="K4376" s="1476">
        <f t="shared" si="490"/>
        <v>0</v>
      </c>
      <c r="L4376" s="1476">
        <f t="shared" si="490"/>
        <v>0</v>
      </c>
      <c r="M4376" s="1476">
        <f t="shared" si="490"/>
        <v>0</v>
      </c>
      <c r="N4376" s="1476">
        <f t="shared" si="490"/>
        <v>0</v>
      </c>
      <c r="O4376" s="1476">
        <f t="shared" si="490"/>
        <v>0</v>
      </c>
      <c r="P4376" s="1477">
        <f t="shared" si="490"/>
        <v>0</v>
      </c>
      <c r="Q4376" s="544" t="str">
        <f t="shared" ref="Q4376:Q4393" si="491">IF(ROUND((K4376-L4376-M4376)-(N4376+O4376),2)&lt;&gt;0,"请检查本期发生额数据！","")</f>
        <v/>
      </c>
      <c r="S4376" s="364"/>
      <c r="Z4376" s="609" t="s">
        <v>4147</v>
      </c>
      <c r="AA4376" s="609" t="s">
        <v>4149</v>
      </c>
    </row>
    <row r="4377" spans="1:27" ht="24">
      <c r="A4377" s="2714"/>
      <c r="B4377" s="371">
        <v>101.001</v>
      </c>
      <c r="C4377" s="371"/>
      <c r="D4377" s="2716">
        <f t="shared" si="489"/>
        <v>1</v>
      </c>
      <c r="E4377" s="2721" t="s">
        <v>4161</v>
      </c>
      <c r="F4377" s="293"/>
      <c r="G4377" s="308" t="s">
        <v>4162</v>
      </c>
      <c r="H4377" s="309"/>
      <c r="I4377" s="422"/>
      <c r="J4377" s="309"/>
      <c r="K4377" s="320"/>
      <c r="L4377" s="309"/>
      <c r="M4377" s="309"/>
      <c r="N4377" s="320"/>
      <c r="O4377" s="309"/>
      <c r="P4377" s="346">
        <f>J4377+N4377</f>
        <v>0</v>
      </c>
      <c r="Q4377" s="544" t="str">
        <f t="shared" si="491"/>
        <v/>
      </c>
      <c r="S4377" s="364"/>
      <c r="Z4377" s="609" t="s">
        <v>4147</v>
      </c>
      <c r="AA4377" s="609" t="s">
        <v>4149</v>
      </c>
    </row>
    <row r="4378" spans="1:27" ht="24">
      <c r="A4378" s="2714"/>
      <c r="B4378" s="371">
        <v>101.002</v>
      </c>
      <c r="C4378" s="371"/>
      <c r="D4378" s="2716">
        <f t="shared" si="489"/>
        <v>1</v>
      </c>
      <c r="E4378" s="2721" t="s">
        <v>4161</v>
      </c>
      <c r="F4378" s="293"/>
      <c r="G4378" s="308" t="s">
        <v>852</v>
      </c>
      <c r="H4378" s="309"/>
      <c r="I4378" s="422"/>
      <c r="J4378" s="309"/>
      <c r="K4378" s="320"/>
      <c r="L4378" s="309"/>
      <c r="M4378" s="309"/>
      <c r="N4378" s="320"/>
      <c r="O4378" s="309"/>
      <c r="P4378" s="346">
        <f t="shared" ref="P4378:P4382" si="492">J4378+N4378</f>
        <v>0</v>
      </c>
      <c r="Q4378" s="544" t="str">
        <f t="shared" si="491"/>
        <v/>
      </c>
      <c r="S4378" s="364"/>
      <c r="Z4378" s="609" t="s">
        <v>4147</v>
      </c>
      <c r="AA4378" s="609" t="s">
        <v>4149</v>
      </c>
    </row>
    <row r="4379" spans="1:27" ht="24">
      <c r="A4379" s="2714"/>
      <c r="B4379" s="371">
        <v>101.003</v>
      </c>
      <c r="C4379" s="371"/>
      <c r="D4379" s="2716">
        <f t="shared" si="489"/>
        <v>1</v>
      </c>
      <c r="E4379" s="2721" t="s">
        <v>4161</v>
      </c>
      <c r="F4379" s="293"/>
      <c r="G4379" s="308" t="s">
        <v>864</v>
      </c>
      <c r="H4379" s="2277">
        <v>0</v>
      </c>
      <c r="I4379" s="422"/>
      <c r="J4379" s="309"/>
      <c r="K4379" s="320"/>
      <c r="L4379" s="309"/>
      <c r="M4379" s="309"/>
      <c r="N4379" s="320"/>
      <c r="O4379" s="309"/>
      <c r="P4379" s="346">
        <f t="shared" si="492"/>
        <v>0</v>
      </c>
      <c r="Q4379" s="544" t="str">
        <f t="shared" si="491"/>
        <v/>
      </c>
      <c r="S4379" s="364"/>
      <c r="Z4379" s="609" t="s">
        <v>4147</v>
      </c>
      <c r="AA4379" s="609" t="s">
        <v>4149</v>
      </c>
    </row>
    <row r="4380" spans="1:27" ht="24">
      <c r="A4380" s="2714"/>
      <c r="B4380" s="371">
        <v>101.004</v>
      </c>
      <c r="C4380" s="371"/>
      <c r="D4380" s="2716">
        <f t="shared" si="489"/>
        <v>1</v>
      </c>
      <c r="E4380" s="2721" t="s">
        <v>4161</v>
      </c>
      <c r="F4380" s="293"/>
      <c r="G4380" s="308" t="s">
        <v>868</v>
      </c>
      <c r="H4380" s="2277">
        <v>0</v>
      </c>
      <c r="I4380" s="422"/>
      <c r="J4380" s="309"/>
      <c r="K4380" s="320"/>
      <c r="L4380" s="309"/>
      <c r="M4380" s="309"/>
      <c r="N4380" s="320"/>
      <c r="O4380" s="309"/>
      <c r="P4380" s="346">
        <f t="shared" si="492"/>
        <v>0</v>
      </c>
      <c r="Q4380" s="544" t="str">
        <f t="shared" si="491"/>
        <v/>
      </c>
      <c r="S4380" s="364"/>
      <c r="Z4380" s="609" t="s">
        <v>4147</v>
      </c>
      <c r="AA4380" s="609" t="s">
        <v>4149</v>
      </c>
    </row>
    <row r="4381" spans="1:27" ht="18">
      <c r="A4381" s="2714"/>
      <c r="B4381" s="371">
        <v>101.005</v>
      </c>
      <c r="C4381" s="371" t="s">
        <v>2791</v>
      </c>
      <c r="D4381" s="2716">
        <f t="shared" si="489"/>
        <v>0</v>
      </c>
      <c r="E4381" s="2721" t="s">
        <v>4161</v>
      </c>
      <c r="F4381" s="293"/>
      <c r="G4381" s="1542" t="s">
        <v>2792</v>
      </c>
      <c r="H4381" s="309"/>
      <c r="I4381" s="422"/>
      <c r="J4381" s="309"/>
      <c r="K4381" s="320"/>
      <c r="L4381" s="309"/>
      <c r="M4381" s="309"/>
      <c r="N4381" s="320"/>
      <c r="O4381" s="309"/>
      <c r="P4381" s="346">
        <f t="shared" si="492"/>
        <v>0</v>
      </c>
      <c r="Q4381" s="544" t="str">
        <f t="shared" si="491"/>
        <v/>
      </c>
      <c r="S4381" s="364"/>
      <c r="Z4381" s="609" t="s">
        <v>4147</v>
      </c>
      <c r="AA4381" s="609" t="s">
        <v>4149</v>
      </c>
    </row>
    <row r="4382" spans="1:27" ht="18">
      <c r="A4382" s="2714"/>
      <c r="B4382" s="371">
        <v>101.006</v>
      </c>
      <c r="C4382" s="371" t="s">
        <v>2791</v>
      </c>
      <c r="D4382" s="2716">
        <f t="shared" si="489"/>
        <v>0</v>
      </c>
      <c r="E4382" s="2721" t="s">
        <v>4161</v>
      </c>
      <c r="F4382" s="293"/>
      <c r="G4382" s="1542" t="s">
        <v>2792</v>
      </c>
      <c r="H4382" s="309"/>
      <c r="I4382" s="422"/>
      <c r="J4382" s="309"/>
      <c r="K4382" s="320"/>
      <c r="L4382" s="309"/>
      <c r="M4382" s="309"/>
      <c r="N4382" s="320"/>
      <c r="O4382" s="309"/>
      <c r="P4382" s="346">
        <f t="shared" si="492"/>
        <v>0</v>
      </c>
      <c r="Q4382" s="544" t="str">
        <f t="shared" si="491"/>
        <v/>
      </c>
      <c r="S4382" s="364"/>
      <c r="Z4382" s="609" t="s">
        <v>4147</v>
      </c>
      <c r="AA4382" s="609" t="s">
        <v>4149</v>
      </c>
    </row>
    <row r="4383" spans="1:27" ht="24">
      <c r="A4383" s="2714"/>
      <c r="B4383" s="371">
        <v>102</v>
      </c>
      <c r="C4383" s="371" t="s">
        <v>2793</v>
      </c>
      <c r="D4383" s="2716">
        <f t="shared" si="489"/>
        <v>1</v>
      </c>
      <c r="E4383" s="2721">
        <v>1</v>
      </c>
      <c r="F4383" s="293"/>
      <c r="G4383" s="308" t="s">
        <v>4163</v>
      </c>
      <c r="H4383" s="1476">
        <f t="shared" ref="H4383:P4383" si="493">SUMIF($E$4375:$E$4393,$G4383,H$4375:H$4393)</f>
        <v>0</v>
      </c>
      <c r="I4383" s="1476">
        <f t="shared" si="493"/>
        <v>0</v>
      </c>
      <c r="J4383" s="1476">
        <f t="shared" si="493"/>
        <v>0</v>
      </c>
      <c r="K4383" s="1476">
        <f t="shared" si="493"/>
        <v>0</v>
      </c>
      <c r="L4383" s="1476">
        <f t="shared" si="493"/>
        <v>0</v>
      </c>
      <c r="M4383" s="1476">
        <f t="shared" si="493"/>
        <v>0</v>
      </c>
      <c r="N4383" s="1476">
        <f t="shared" si="493"/>
        <v>0</v>
      </c>
      <c r="O4383" s="1476">
        <f t="shared" si="493"/>
        <v>0</v>
      </c>
      <c r="P4383" s="1477">
        <f t="shared" si="493"/>
        <v>0</v>
      </c>
      <c r="Q4383" s="544" t="str">
        <f t="shared" si="491"/>
        <v/>
      </c>
      <c r="S4383" s="364"/>
      <c r="Z4383" s="609" t="s">
        <v>4147</v>
      </c>
      <c r="AA4383" s="609" t="s">
        <v>4149</v>
      </c>
    </row>
    <row r="4384" spans="1:27" ht="24">
      <c r="A4384" s="2714"/>
      <c r="B4384" s="371">
        <v>102.001</v>
      </c>
      <c r="C4384" s="371"/>
      <c r="D4384" s="2716">
        <f t="shared" si="489"/>
        <v>1</v>
      </c>
      <c r="E4384" s="2721" t="s">
        <v>4163</v>
      </c>
      <c r="F4384" s="293"/>
      <c r="G4384" s="308" t="s">
        <v>4164</v>
      </c>
      <c r="H4384" s="309"/>
      <c r="I4384" s="422"/>
      <c r="J4384" s="309"/>
      <c r="K4384" s="320"/>
      <c r="L4384" s="309"/>
      <c r="M4384" s="309"/>
      <c r="N4384" s="320"/>
      <c r="O4384" s="309"/>
      <c r="P4384" s="346">
        <f t="shared" ref="P4384:P4387" si="494">J4384+N4384</f>
        <v>0</v>
      </c>
      <c r="Q4384" s="544" t="str">
        <f t="shared" si="491"/>
        <v/>
      </c>
      <c r="S4384" s="364"/>
      <c r="Z4384" s="609" t="s">
        <v>4147</v>
      </c>
      <c r="AA4384" s="609" t="s">
        <v>4149</v>
      </c>
    </row>
    <row r="4385" spans="1:32" ht="18">
      <c r="A4385" s="2714"/>
      <c r="B4385" s="371">
        <v>102.002</v>
      </c>
      <c r="C4385" s="371"/>
      <c r="D4385" s="2716">
        <f t="shared" si="489"/>
        <v>1</v>
      </c>
      <c r="E4385" s="2721" t="s">
        <v>4163</v>
      </c>
      <c r="F4385" s="293"/>
      <c r="G4385" s="308" t="s">
        <v>915</v>
      </c>
      <c r="H4385" s="2277">
        <v>0</v>
      </c>
      <c r="I4385" s="422"/>
      <c r="J4385" s="309"/>
      <c r="K4385" s="320"/>
      <c r="L4385" s="309"/>
      <c r="M4385" s="309"/>
      <c r="N4385" s="320"/>
      <c r="O4385" s="309"/>
      <c r="P4385" s="346">
        <f t="shared" si="494"/>
        <v>0</v>
      </c>
      <c r="Q4385" s="544" t="str">
        <f t="shared" si="491"/>
        <v/>
      </c>
      <c r="S4385" s="364"/>
      <c r="Z4385" s="609" t="s">
        <v>4147</v>
      </c>
      <c r="AA4385" s="609" t="s">
        <v>4149</v>
      </c>
    </row>
    <row r="4386" spans="1:32" ht="24">
      <c r="A4386" s="2714"/>
      <c r="B4386" s="371">
        <v>102.003</v>
      </c>
      <c r="C4386" s="371"/>
      <c r="D4386" s="2716">
        <f t="shared" si="489"/>
        <v>1</v>
      </c>
      <c r="E4386" s="2721" t="s">
        <v>4163</v>
      </c>
      <c r="F4386" s="293"/>
      <c r="G4386" s="308" t="s">
        <v>921</v>
      </c>
      <c r="H4386" s="2277">
        <v>0</v>
      </c>
      <c r="I4386" s="422"/>
      <c r="J4386" s="309"/>
      <c r="K4386" s="320"/>
      <c r="L4386" s="309"/>
      <c r="M4386" s="309"/>
      <c r="N4386" s="320"/>
      <c r="O4386" s="309"/>
      <c r="P4386" s="346">
        <f t="shared" si="494"/>
        <v>0</v>
      </c>
      <c r="Q4386" s="544" t="str">
        <f t="shared" si="491"/>
        <v/>
      </c>
      <c r="S4386" s="364"/>
      <c r="Z4386" s="609" t="s">
        <v>4147</v>
      </c>
      <c r="AA4386" s="609" t="s">
        <v>4149</v>
      </c>
    </row>
    <row r="4387" spans="1:32" ht="18">
      <c r="A4387" s="2714"/>
      <c r="B4387" s="371">
        <v>102.004</v>
      </c>
      <c r="C4387" s="371"/>
      <c r="D4387" s="2716">
        <f t="shared" si="489"/>
        <v>1</v>
      </c>
      <c r="E4387" s="2721" t="s">
        <v>4163</v>
      </c>
      <c r="F4387" s="293"/>
      <c r="G4387" s="308" t="s">
        <v>926</v>
      </c>
      <c r="H4387" s="2277">
        <v>0</v>
      </c>
      <c r="I4387" s="422"/>
      <c r="J4387" s="309"/>
      <c r="K4387" s="320"/>
      <c r="L4387" s="309"/>
      <c r="M4387" s="309"/>
      <c r="N4387" s="320"/>
      <c r="O4387" s="309"/>
      <c r="P4387" s="346">
        <f t="shared" si="494"/>
        <v>0</v>
      </c>
      <c r="Q4387" s="544" t="str">
        <f t="shared" si="491"/>
        <v/>
      </c>
      <c r="S4387" s="364"/>
      <c r="Z4387" s="609" t="s">
        <v>4147</v>
      </c>
      <c r="AA4387" s="609" t="s">
        <v>4149</v>
      </c>
    </row>
    <row r="4388" spans="1:32" ht="24">
      <c r="A4388" s="2714"/>
      <c r="B4388" s="371">
        <v>102.005</v>
      </c>
      <c r="C4388" s="371"/>
      <c r="D4388" s="2716">
        <f t="shared" si="489"/>
        <v>1</v>
      </c>
      <c r="E4388" s="2721" t="s">
        <v>4163</v>
      </c>
      <c r="F4388" s="293"/>
      <c r="G4388" s="308" t="s">
        <v>878</v>
      </c>
      <c r="H4388" s="309"/>
      <c r="I4388" s="422"/>
      <c r="J4388" s="309"/>
      <c r="K4388" s="2347">
        <v>0</v>
      </c>
      <c r="L4388" s="2277">
        <v>0</v>
      </c>
      <c r="M4388" s="2277">
        <v>0</v>
      </c>
      <c r="N4388" s="2347">
        <v>0</v>
      </c>
      <c r="O4388" s="2277">
        <v>0</v>
      </c>
      <c r="P4388" s="2348">
        <v>0</v>
      </c>
      <c r="Q4388" s="544" t="str">
        <f t="shared" si="491"/>
        <v/>
      </c>
      <c r="S4388" s="364"/>
      <c r="Z4388" s="609" t="s">
        <v>4147</v>
      </c>
      <c r="AA4388" s="609" t="s">
        <v>4149</v>
      </c>
    </row>
    <row r="4389" spans="1:32" ht="24">
      <c r="A4389" s="2714"/>
      <c r="B4389" s="371">
        <v>102.006</v>
      </c>
      <c r="C4389" s="371"/>
      <c r="D4389" s="2716">
        <f t="shared" si="489"/>
        <v>1</v>
      </c>
      <c r="E4389" s="2721" t="s">
        <v>4163</v>
      </c>
      <c r="F4389" s="293"/>
      <c r="G4389" s="308" t="s">
        <v>884</v>
      </c>
      <c r="H4389" s="309"/>
      <c r="I4389" s="422"/>
      <c r="J4389" s="309"/>
      <c r="K4389" s="2347">
        <v>0</v>
      </c>
      <c r="L4389" s="2277">
        <v>0</v>
      </c>
      <c r="M4389" s="2277">
        <v>0</v>
      </c>
      <c r="N4389" s="2347">
        <v>0</v>
      </c>
      <c r="O4389" s="2277">
        <v>0</v>
      </c>
      <c r="P4389" s="2348">
        <v>0</v>
      </c>
      <c r="Q4389" s="544" t="str">
        <f t="shared" si="491"/>
        <v/>
      </c>
      <c r="S4389" s="364"/>
      <c r="Z4389" s="609" t="s">
        <v>4147</v>
      </c>
      <c r="AA4389" s="609" t="s">
        <v>4149</v>
      </c>
    </row>
    <row r="4390" spans="1:32" ht="24">
      <c r="A4390" s="2714"/>
      <c r="B4390" s="371">
        <v>102.00700000000001</v>
      </c>
      <c r="C4390" s="371"/>
      <c r="D4390" s="2716">
        <f t="shared" si="489"/>
        <v>1</v>
      </c>
      <c r="E4390" s="2721" t="s">
        <v>4163</v>
      </c>
      <c r="F4390" s="293"/>
      <c r="G4390" s="308" t="s">
        <v>4165</v>
      </c>
      <c r="H4390" s="309"/>
      <c r="I4390" s="422"/>
      <c r="J4390" s="309"/>
      <c r="K4390" s="320"/>
      <c r="L4390" s="309"/>
      <c r="M4390" s="309"/>
      <c r="N4390" s="320"/>
      <c r="O4390" s="309"/>
      <c r="P4390" s="346">
        <f t="shared" ref="P4390:P4393" si="495">J4390+N4390</f>
        <v>0</v>
      </c>
      <c r="Q4390" s="544" t="str">
        <f t="shared" si="491"/>
        <v/>
      </c>
      <c r="S4390" s="364"/>
      <c r="Z4390" s="609" t="s">
        <v>4147</v>
      </c>
      <c r="AA4390" s="609" t="s">
        <v>4149</v>
      </c>
    </row>
    <row r="4391" spans="1:32" ht="18">
      <c r="A4391" s="2714"/>
      <c r="B4391" s="371">
        <v>102.008</v>
      </c>
      <c r="C4391" s="371"/>
      <c r="D4391" s="2716">
        <f t="shared" si="489"/>
        <v>1</v>
      </c>
      <c r="E4391" s="2721" t="s">
        <v>4163</v>
      </c>
      <c r="F4391" s="293"/>
      <c r="G4391" s="308" t="s">
        <v>893</v>
      </c>
      <c r="H4391" s="309"/>
      <c r="I4391" s="422"/>
      <c r="J4391" s="309"/>
      <c r="K4391" s="320"/>
      <c r="L4391" s="309"/>
      <c r="M4391" s="309"/>
      <c r="N4391" s="320"/>
      <c r="O4391" s="309"/>
      <c r="P4391" s="346">
        <f t="shared" si="495"/>
        <v>0</v>
      </c>
      <c r="Q4391" s="544" t="str">
        <f t="shared" si="491"/>
        <v/>
      </c>
      <c r="S4391" s="364"/>
      <c r="Z4391" s="609" t="s">
        <v>4147</v>
      </c>
      <c r="AA4391" s="609" t="s">
        <v>4149</v>
      </c>
    </row>
    <row r="4392" spans="1:32" ht="18">
      <c r="A4392" s="2714"/>
      <c r="B4392" s="371">
        <v>102.009</v>
      </c>
      <c r="C4392" s="371" t="s">
        <v>2791</v>
      </c>
      <c r="D4392" s="2716">
        <f t="shared" si="489"/>
        <v>0</v>
      </c>
      <c r="E4392" s="2721" t="s">
        <v>4163</v>
      </c>
      <c r="F4392" s="293"/>
      <c r="G4392" s="1542" t="s">
        <v>2792</v>
      </c>
      <c r="H4392" s="309"/>
      <c r="I4392" s="422"/>
      <c r="J4392" s="309"/>
      <c r="K4392" s="320"/>
      <c r="L4392" s="309"/>
      <c r="M4392" s="309"/>
      <c r="N4392" s="320"/>
      <c r="O4392" s="309"/>
      <c r="P4392" s="346">
        <f t="shared" si="495"/>
        <v>0</v>
      </c>
      <c r="Q4392" s="544" t="str">
        <f t="shared" si="491"/>
        <v/>
      </c>
      <c r="S4392" s="364"/>
      <c r="Z4392" s="609" t="s">
        <v>4147</v>
      </c>
      <c r="AA4392" s="609" t="s">
        <v>4149</v>
      </c>
    </row>
    <row r="4393" spans="1:32" ht="18">
      <c r="A4393" s="2714"/>
      <c r="B4393" s="371">
        <v>102.01</v>
      </c>
      <c r="C4393" s="371" t="s">
        <v>2791</v>
      </c>
      <c r="D4393" s="2716">
        <f t="shared" si="489"/>
        <v>0</v>
      </c>
      <c r="E4393" s="2721" t="s">
        <v>4163</v>
      </c>
      <c r="F4393" s="293"/>
      <c r="G4393" s="1542" t="s">
        <v>2792</v>
      </c>
      <c r="H4393" s="309"/>
      <c r="I4393" s="422"/>
      <c r="J4393" s="309"/>
      <c r="K4393" s="320"/>
      <c r="L4393" s="309"/>
      <c r="M4393" s="309"/>
      <c r="N4393" s="320"/>
      <c r="O4393" s="309"/>
      <c r="P4393" s="346">
        <f t="shared" si="495"/>
        <v>0</v>
      </c>
      <c r="Q4393" s="544" t="str">
        <f t="shared" si="491"/>
        <v/>
      </c>
      <c r="S4393" s="364"/>
      <c r="Z4393" s="609" t="s">
        <v>4147</v>
      </c>
      <c r="AA4393" s="609" t="s">
        <v>4149</v>
      </c>
    </row>
    <row r="4394" spans="1:32" ht="18.75" thickBot="1">
      <c r="A4394" s="2714"/>
      <c r="B4394" s="371"/>
      <c r="C4394" s="371"/>
      <c r="D4394" s="2716">
        <f t="shared" si="489"/>
        <v>1</v>
      </c>
      <c r="E4394" s="2721" t="s">
        <v>2751</v>
      </c>
      <c r="F4394" s="293"/>
      <c r="G4394" s="2234" t="s">
        <v>2752</v>
      </c>
      <c r="H4394" s="2235">
        <f t="shared" ref="H4394:P4394" si="496">SUMPRODUCT($E4375:$E4393,H4375:H4393)</f>
        <v>0</v>
      </c>
      <c r="I4394" s="2235">
        <f t="shared" si="496"/>
        <v>0</v>
      </c>
      <c r="J4394" s="2235">
        <f t="shared" si="496"/>
        <v>0</v>
      </c>
      <c r="K4394" s="2235">
        <f t="shared" si="496"/>
        <v>0</v>
      </c>
      <c r="L4394" s="2235">
        <f t="shared" si="496"/>
        <v>0</v>
      </c>
      <c r="M4394" s="2235">
        <f t="shared" si="496"/>
        <v>0</v>
      </c>
      <c r="N4394" s="2235">
        <f t="shared" si="496"/>
        <v>0</v>
      </c>
      <c r="O4394" s="2430">
        <f t="shared" si="496"/>
        <v>0</v>
      </c>
      <c r="P4394" s="2236">
        <f t="shared" si="496"/>
        <v>0</v>
      </c>
      <c r="S4394" s="364"/>
      <c r="Z4394" s="609" t="s">
        <v>4147</v>
      </c>
      <c r="AA4394" s="609" t="s">
        <v>4149</v>
      </c>
    </row>
    <row r="4395" spans="1:32" ht="18">
      <c r="A4395" s="2714"/>
      <c r="B4395" s="371"/>
      <c r="C4395" s="371" t="s">
        <v>2755</v>
      </c>
      <c r="D4395" s="2716"/>
      <c r="F4395" s="293"/>
      <c r="G4395" s="376"/>
      <c r="H4395" s="315"/>
      <c r="I4395" s="396"/>
      <c r="J4395" s="315"/>
      <c r="K4395" s="423"/>
      <c r="L4395" s="315"/>
      <c r="M4395" s="315"/>
      <c r="N4395" s="423"/>
      <c r="O4395" s="315"/>
      <c r="P4395" s="315"/>
      <c r="S4395" s="364"/>
      <c r="Z4395" s="609" t="s">
        <v>4147</v>
      </c>
      <c r="AA4395" s="609" t="s">
        <v>4149</v>
      </c>
    </row>
    <row r="4396" spans="1:32" ht="18" hidden="1">
      <c r="A4396" s="2714" t="s">
        <v>1834</v>
      </c>
      <c r="B4396" s="371">
        <v>2</v>
      </c>
      <c r="C4396" s="371"/>
      <c r="D4396" s="2716" t="str">
        <f>VLOOKUP($A4396,Sheet_NoteList,2,0)</f>
        <v>其他综合收益变动情况</v>
      </c>
      <c r="E4396" s="2716" t="s">
        <v>6627</v>
      </c>
      <c r="F4396" s="294"/>
      <c r="G4396" s="307" t="str">
        <f>"("&amp;B4396&amp;")"&amp;D4396</f>
        <v>(2)其他综合收益变动情况</v>
      </c>
      <c r="H4396" s="1517" t="str">
        <f>$A4396</f>
        <v>4215a</v>
      </c>
      <c r="I4396" s="343" t="s">
        <v>6630</v>
      </c>
      <c r="J4396" s="301" t="s">
        <v>6628</v>
      </c>
      <c r="K4396" s="344">
        <f>N4414</f>
        <v>0</v>
      </c>
      <c r="L4396" s="345" t="str">
        <f>IF($I4396="适用",IF(ROUND(K4370-K4396,2)=0,"F/S",ROUND(K4370-K4396,2)),"#N/A")</f>
        <v>#N/A</v>
      </c>
      <c r="M4396" s="301" t="s">
        <v>6629</v>
      </c>
      <c r="N4396" s="344">
        <f>H4414</f>
        <v>0</v>
      </c>
      <c r="O4396" s="345" t="str">
        <f>IF($I4396="适用",IF(ROUND(N4370-N4396,2)=0,"F/S",ROUND(N4370-N4396,2)),"#N/A")</f>
        <v>#N/A</v>
      </c>
      <c r="S4396" s="364"/>
      <c r="Z4396" s="609" t="s">
        <v>4147</v>
      </c>
      <c r="AA4396" s="609" t="s">
        <v>5700</v>
      </c>
      <c r="AE4396" s="369" t="s">
        <v>2761</v>
      </c>
    </row>
    <row r="4397" spans="1:32" ht="0.75" hidden="1" customHeight="1">
      <c r="A4397" s="2714"/>
      <c r="B4397" s="371"/>
      <c r="C4397" s="371"/>
      <c r="D4397" s="371"/>
      <c r="E4397" s="586"/>
      <c r="F4397" s="586"/>
      <c r="G4397" s="586" t="s">
        <v>4167</v>
      </c>
      <c r="H4397" s="371" t="s">
        <v>6307</v>
      </c>
      <c r="I4397" s="371" t="s">
        <v>6308</v>
      </c>
      <c r="J4397" s="371" t="s">
        <v>6309</v>
      </c>
      <c r="K4397" s="371" t="s">
        <v>6310</v>
      </c>
      <c r="L4397" s="371" t="s">
        <v>6311</v>
      </c>
      <c r="M4397" s="371" t="s">
        <v>6312</v>
      </c>
      <c r="N4397" s="371" t="s">
        <v>6313</v>
      </c>
      <c r="P4397" s="291"/>
      <c r="Q4397" s="472"/>
      <c r="R4397" s="472"/>
      <c r="S4397" s="364"/>
      <c r="Z4397" s="609" t="s">
        <v>4147</v>
      </c>
      <c r="AA4397" s="609" t="s">
        <v>5700</v>
      </c>
      <c r="AE4397" s="369" t="s">
        <v>2761</v>
      </c>
    </row>
    <row r="4398" spans="1:32" ht="0.75" hidden="1" customHeight="1" thickBot="1">
      <c r="A4398" s="2714"/>
      <c r="B4398" s="371"/>
      <c r="C4398" s="371"/>
      <c r="D4398" s="371"/>
      <c r="E4398" s="586"/>
      <c r="F4398" s="586"/>
      <c r="G4398" s="586"/>
      <c r="H4398" s="371" t="s">
        <v>3020</v>
      </c>
      <c r="I4398" s="371" t="s">
        <v>4151</v>
      </c>
      <c r="J4398" s="371" t="s">
        <v>4152</v>
      </c>
      <c r="K4398" s="371" t="s">
        <v>4153</v>
      </c>
      <c r="L4398" s="371" t="s">
        <v>4154</v>
      </c>
      <c r="M4398" s="371" t="s">
        <v>4155</v>
      </c>
      <c r="N4398" s="371" t="s">
        <v>3026</v>
      </c>
      <c r="P4398" s="315" t="s">
        <v>4166</v>
      </c>
      <c r="Q4398" s="472"/>
      <c r="R4398" s="472"/>
      <c r="S4398" s="364"/>
      <c r="Z4398" s="609" t="s">
        <v>4147</v>
      </c>
      <c r="AA4398" s="609" t="s">
        <v>5700</v>
      </c>
      <c r="AE4398" s="369" t="s">
        <v>2761</v>
      </c>
    </row>
    <row r="4399" spans="1:32" ht="18" hidden="1">
      <c r="A4399" s="2714"/>
      <c r="B4399" s="371"/>
      <c r="C4399" s="371"/>
      <c r="D4399" s="371"/>
      <c r="E4399" s="586" t="s">
        <v>2749</v>
      </c>
      <c r="F4399" s="363"/>
      <c r="G4399" s="3474" t="s">
        <v>47</v>
      </c>
      <c r="H4399" s="3458" t="s">
        <v>6082</v>
      </c>
      <c r="I4399" s="3458" t="s">
        <v>4156</v>
      </c>
      <c r="J4399" s="3458"/>
      <c r="K4399" s="3458"/>
      <c r="L4399" s="3458"/>
      <c r="M4399" s="3458"/>
      <c r="N4399" s="3443" t="s">
        <v>6081</v>
      </c>
      <c r="O4399" s="3446" t="s">
        <v>5990</v>
      </c>
      <c r="P4399" s="614" t="s">
        <v>914</v>
      </c>
      <c r="Q4399" s="615">
        <f>VLOOKUP(6829.2,Sheet_Trialbal,6,0)</f>
        <v>0</v>
      </c>
      <c r="R4399" s="345" t="str">
        <f>IF($I$4396="适用",IF(ROUND(Q4399-L4414,2)=0,"F/S",ROUND(Q4399-L4414,2)),"#N/A")</f>
        <v>#N/A</v>
      </c>
      <c r="S4399" s="364"/>
      <c r="Z4399" s="609" t="s">
        <v>4147</v>
      </c>
      <c r="AA4399" s="609" t="s">
        <v>5700</v>
      </c>
      <c r="AE4399" s="369" t="s">
        <v>2761</v>
      </c>
      <c r="AF4399" s="369"/>
    </row>
    <row r="4400" spans="1:32" ht="36" hidden="1">
      <c r="A4400" s="2714"/>
      <c r="B4400" s="371"/>
      <c r="C4400" s="371"/>
      <c r="D4400" s="371"/>
      <c r="E4400" s="586" t="s">
        <v>2749</v>
      </c>
      <c r="F4400" s="363"/>
      <c r="G4400" s="3475"/>
      <c r="H4400" s="3487"/>
      <c r="I4400" s="2426" t="s">
        <v>4157</v>
      </c>
      <c r="J4400" s="2426" t="s">
        <v>4158</v>
      </c>
      <c r="K4400" s="2426" t="s">
        <v>867</v>
      </c>
      <c r="L4400" s="2426" t="s">
        <v>4159</v>
      </c>
      <c r="M4400" s="2426" t="s">
        <v>4160</v>
      </c>
      <c r="N4400" s="3444"/>
      <c r="O4400" s="3446"/>
      <c r="P4400" s="616" t="s">
        <v>957</v>
      </c>
      <c r="Q4400" s="615">
        <f>VLOOKUP(6829.5,Sheet_Trialbal,6,0)</f>
        <v>0</v>
      </c>
      <c r="R4400" s="345" t="str">
        <f>IF($I$4396="适用",IF(ROUND(Q4400-M4414,2)=0,"F/S",ROUND(Q4400-M4414,2)),"#N/A")</f>
        <v>#N/A</v>
      </c>
      <c r="S4400" s="364"/>
      <c r="Z4400" s="609" t="s">
        <v>4147</v>
      </c>
      <c r="AA4400" s="609" t="s">
        <v>5700</v>
      </c>
      <c r="AE4400" s="369" t="s">
        <v>2761</v>
      </c>
      <c r="AF4400" s="369"/>
    </row>
    <row r="4401" spans="1:32" ht="24" hidden="1">
      <c r="A4401" s="2714"/>
      <c r="B4401" s="371">
        <v>101</v>
      </c>
      <c r="C4401" s="371" t="s">
        <v>2793</v>
      </c>
      <c r="D4401" s="2716">
        <f t="shared" ref="D4401:D4413" si="497">IF(OR(G4401="*",G4401="",G4401=0),0,COUNTIF($G$4406:$G$4414,G4401))</f>
        <v>0</v>
      </c>
      <c r="E4401" s="2721">
        <v>1</v>
      </c>
      <c r="F4401" s="294"/>
      <c r="G4401" s="1474" t="s">
        <v>4161</v>
      </c>
      <c r="H4401" s="1476">
        <f t="shared" ref="H4401:M4401" si="498">SUMIF($E$4400:$E$4413,$G4401,H$4400:H$4413)</f>
        <v>0</v>
      </c>
      <c r="I4401" s="1476">
        <f t="shared" si="498"/>
        <v>0</v>
      </c>
      <c r="J4401" s="1476">
        <f t="shared" si="498"/>
        <v>0</v>
      </c>
      <c r="K4401" s="1476">
        <f t="shared" si="498"/>
        <v>0</v>
      </c>
      <c r="L4401" s="1476">
        <f t="shared" si="498"/>
        <v>0</v>
      </c>
      <c r="M4401" s="1476">
        <f t="shared" si="498"/>
        <v>0</v>
      </c>
      <c r="N4401" s="1477">
        <f>SUMIF($E$4400:$E$4413,$G4401,N$4400:N$4413)</f>
        <v>0</v>
      </c>
      <c r="O4401" s="424" t="str">
        <f t="shared" ref="O4401:O4414" si="499">IF(ROUND((I4401-J4401-K4401)-(L4401+M4401),2)&lt;&gt;0,"请检查本期发生额数据！","")</f>
        <v/>
      </c>
      <c r="Q4401" s="291"/>
      <c r="R4401" s="367"/>
      <c r="S4401" s="364"/>
      <c r="Z4401" s="609" t="s">
        <v>4147</v>
      </c>
      <c r="AA4401" s="609" t="s">
        <v>5700</v>
      </c>
      <c r="AE4401" s="369" t="s">
        <v>2761</v>
      </c>
      <c r="AF4401" s="369"/>
    </row>
    <row r="4402" spans="1:32" ht="24" hidden="1">
      <c r="A4402" s="2714"/>
      <c r="B4402" s="371">
        <v>101.001</v>
      </c>
      <c r="C4402" s="371"/>
      <c r="D4402" s="2716">
        <f t="shared" si="497"/>
        <v>0</v>
      </c>
      <c r="E4402" s="2721" t="s">
        <v>4161</v>
      </c>
      <c r="F4402" s="294"/>
      <c r="G4402" s="1474" t="s">
        <v>4168</v>
      </c>
      <c r="H4402" s="2275"/>
      <c r="I4402" s="2275"/>
      <c r="J4402" s="2275"/>
      <c r="K4402" s="2275"/>
      <c r="L4402" s="2275"/>
      <c r="M4402" s="2275"/>
      <c r="N4402" s="1477">
        <f>SUM(H4402,L4402)</f>
        <v>0</v>
      </c>
      <c r="O4402" s="424" t="str">
        <f t="shared" si="499"/>
        <v/>
      </c>
      <c r="Q4402" s="291"/>
      <c r="R4402" s="367"/>
      <c r="S4402" s="364"/>
      <c r="Z4402" s="609" t="s">
        <v>4147</v>
      </c>
      <c r="AA4402" s="609" t="s">
        <v>5700</v>
      </c>
      <c r="AE4402" s="369" t="s">
        <v>2761</v>
      </c>
      <c r="AF4402" s="369"/>
    </row>
    <row r="4403" spans="1:32" ht="24" hidden="1">
      <c r="A4403" s="2714"/>
      <c r="B4403" s="371">
        <v>101.002</v>
      </c>
      <c r="C4403" s="371"/>
      <c r="D4403" s="2716">
        <f t="shared" si="497"/>
        <v>0</v>
      </c>
      <c r="E4403" s="2721" t="s">
        <v>4161</v>
      </c>
      <c r="F4403" s="294"/>
      <c r="G4403" s="1474" t="s">
        <v>4169</v>
      </c>
      <c r="H4403" s="2275"/>
      <c r="I4403" s="2275"/>
      <c r="J4403" s="2275"/>
      <c r="K4403" s="2275"/>
      <c r="L4403" s="2275"/>
      <c r="M4403" s="2275"/>
      <c r="N4403" s="1477">
        <f>SUM(H4403,L4403)</f>
        <v>0</v>
      </c>
      <c r="O4403" s="424" t="str">
        <f t="shared" si="499"/>
        <v/>
      </c>
      <c r="Q4403" s="291"/>
      <c r="R4403" s="367"/>
      <c r="S4403" s="364"/>
      <c r="Z4403" s="609" t="s">
        <v>4147</v>
      </c>
      <c r="AA4403" s="609" t="s">
        <v>5700</v>
      </c>
      <c r="AE4403" s="369" t="s">
        <v>2761</v>
      </c>
      <c r="AF4403" s="369"/>
    </row>
    <row r="4404" spans="1:32" ht="18" hidden="1">
      <c r="A4404" s="2714"/>
      <c r="B4404" s="371">
        <v>101.003</v>
      </c>
      <c r="C4404" s="371" t="s">
        <v>2791</v>
      </c>
      <c r="D4404" s="2716">
        <f t="shared" si="497"/>
        <v>0</v>
      </c>
      <c r="E4404" s="2721" t="s">
        <v>4161</v>
      </c>
      <c r="F4404" s="294"/>
      <c r="G4404" s="2427" t="s">
        <v>2792</v>
      </c>
      <c r="H4404" s="2275"/>
      <c r="I4404" s="2275"/>
      <c r="J4404" s="2275"/>
      <c r="K4404" s="2275"/>
      <c r="L4404" s="2275"/>
      <c r="M4404" s="2275"/>
      <c r="N4404" s="1477">
        <f>SUM(H4404,L4404)</f>
        <v>0</v>
      </c>
      <c r="O4404" s="424" t="str">
        <f t="shared" si="499"/>
        <v/>
      </c>
      <c r="Q4404" s="291"/>
      <c r="R4404" s="367"/>
      <c r="S4404" s="364"/>
      <c r="Z4404" s="609" t="s">
        <v>4147</v>
      </c>
      <c r="AA4404" s="609" t="s">
        <v>5700</v>
      </c>
      <c r="AE4404" s="369" t="s">
        <v>2761</v>
      </c>
      <c r="AF4404" s="369"/>
    </row>
    <row r="4405" spans="1:32" ht="18" hidden="1">
      <c r="A4405" s="2714"/>
      <c r="B4405" s="371">
        <v>101.004</v>
      </c>
      <c r="C4405" s="371" t="s">
        <v>2791</v>
      </c>
      <c r="D4405" s="2716">
        <f t="shared" si="497"/>
        <v>0</v>
      </c>
      <c r="E4405" s="2721" t="s">
        <v>4161</v>
      </c>
      <c r="F4405" s="294"/>
      <c r="G4405" s="2427" t="s">
        <v>2792</v>
      </c>
      <c r="H4405" s="2275"/>
      <c r="I4405" s="2275"/>
      <c r="J4405" s="2275"/>
      <c r="K4405" s="2275"/>
      <c r="L4405" s="2275"/>
      <c r="M4405" s="2275"/>
      <c r="N4405" s="1477">
        <f>SUM(H4405,L4405)</f>
        <v>0</v>
      </c>
      <c r="O4405" s="424" t="str">
        <f t="shared" si="499"/>
        <v/>
      </c>
      <c r="Q4405" s="291"/>
      <c r="R4405" s="367"/>
      <c r="S4405" s="364"/>
      <c r="Z4405" s="609" t="s">
        <v>4147</v>
      </c>
      <c r="AA4405" s="609" t="s">
        <v>5700</v>
      </c>
      <c r="AE4405" s="369" t="s">
        <v>2761</v>
      </c>
      <c r="AF4405" s="369"/>
    </row>
    <row r="4406" spans="1:32" ht="24" hidden="1">
      <c r="A4406" s="2714"/>
      <c r="B4406" s="371">
        <v>102</v>
      </c>
      <c r="C4406" s="371" t="s">
        <v>2793</v>
      </c>
      <c r="D4406" s="2716">
        <f t="shared" si="497"/>
        <v>1</v>
      </c>
      <c r="E4406" s="2721">
        <v>1</v>
      </c>
      <c r="F4406" s="294"/>
      <c r="G4406" s="1474" t="s">
        <v>4163</v>
      </c>
      <c r="H4406" s="1476">
        <f t="shared" ref="H4406:M4406" si="500">SUMIF($E$4400:$E$4413,$G4406,H$4400:H$4413)</f>
        <v>0</v>
      </c>
      <c r="I4406" s="1476">
        <f t="shared" si="500"/>
        <v>0</v>
      </c>
      <c r="J4406" s="1476">
        <f t="shared" si="500"/>
        <v>0</v>
      </c>
      <c r="K4406" s="1476">
        <f t="shared" si="500"/>
        <v>0</v>
      </c>
      <c r="L4406" s="1476">
        <f t="shared" si="500"/>
        <v>0</v>
      </c>
      <c r="M4406" s="1476">
        <f t="shared" si="500"/>
        <v>0</v>
      </c>
      <c r="N4406" s="1477">
        <f>SUMIF($E$4400:$E$4413,$G4406,N$4400:N$4413)</f>
        <v>0</v>
      </c>
      <c r="O4406" s="424" t="str">
        <f t="shared" si="499"/>
        <v/>
      </c>
      <c r="Q4406" s="291"/>
      <c r="R4406" s="367"/>
      <c r="S4406" s="364"/>
      <c r="Z4406" s="609" t="s">
        <v>4147</v>
      </c>
      <c r="AA4406" s="609" t="s">
        <v>5700</v>
      </c>
      <c r="AE4406" s="369" t="s">
        <v>2761</v>
      </c>
      <c r="AF4406" s="369"/>
    </row>
    <row r="4407" spans="1:32" ht="24" hidden="1">
      <c r="A4407" s="2714"/>
      <c r="B4407" s="371">
        <v>102.001</v>
      </c>
      <c r="C4407" s="371"/>
      <c r="D4407" s="2716">
        <f t="shared" si="497"/>
        <v>1</v>
      </c>
      <c r="E4407" s="2721" t="s">
        <v>4163</v>
      </c>
      <c r="F4407" s="294"/>
      <c r="G4407" s="1474" t="s">
        <v>4170</v>
      </c>
      <c r="H4407" s="2275"/>
      <c r="I4407" s="2275"/>
      <c r="J4407" s="2275"/>
      <c r="K4407" s="2275"/>
      <c r="L4407" s="2275"/>
      <c r="M4407" s="2275"/>
      <c r="N4407" s="1477">
        <f t="shared" ref="N4407:N4413" si="501">SUM(H4407,L4407)</f>
        <v>0</v>
      </c>
      <c r="O4407" s="424" t="str">
        <f t="shared" si="499"/>
        <v/>
      </c>
      <c r="Q4407" s="291"/>
      <c r="R4407" s="367"/>
      <c r="S4407" s="364"/>
      <c r="Z4407" s="609" t="s">
        <v>4147</v>
      </c>
      <c r="AA4407" s="609" t="s">
        <v>5700</v>
      </c>
      <c r="AE4407" s="369" t="s">
        <v>2761</v>
      </c>
      <c r="AF4407" s="369"/>
    </row>
    <row r="4408" spans="1:32" ht="24" hidden="1">
      <c r="A4408" s="2714"/>
      <c r="B4408" s="371">
        <v>102.002</v>
      </c>
      <c r="C4408" s="371"/>
      <c r="D4408" s="2716">
        <f t="shared" si="497"/>
        <v>1</v>
      </c>
      <c r="E4408" s="2721" t="s">
        <v>4163</v>
      </c>
      <c r="F4408" s="294"/>
      <c r="G4408" s="1474" t="s">
        <v>4171</v>
      </c>
      <c r="H4408" s="2275"/>
      <c r="I4408" s="2275"/>
      <c r="J4408" s="2275"/>
      <c r="K4408" s="2275"/>
      <c r="L4408" s="2275"/>
      <c r="M4408" s="2275"/>
      <c r="N4408" s="1477">
        <f t="shared" si="501"/>
        <v>0</v>
      </c>
      <c r="O4408" s="424" t="str">
        <f t="shared" si="499"/>
        <v/>
      </c>
      <c r="Q4408" s="291"/>
      <c r="R4408" s="367"/>
      <c r="S4408" s="364"/>
      <c r="Z4408" s="609" t="s">
        <v>4147</v>
      </c>
      <c r="AA4408" s="609" t="s">
        <v>5700</v>
      </c>
      <c r="AE4408" s="369" t="s">
        <v>2761</v>
      </c>
      <c r="AF4408" s="369"/>
    </row>
    <row r="4409" spans="1:32" ht="24" hidden="1">
      <c r="A4409" s="2714"/>
      <c r="B4409" s="371">
        <v>102.003</v>
      </c>
      <c r="C4409" s="371"/>
      <c r="D4409" s="2716">
        <f t="shared" si="497"/>
        <v>1</v>
      </c>
      <c r="E4409" s="2721" t="s">
        <v>4163</v>
      </c>
      <c r="F4409" s="294"/>
      <c r="G4409" s="1474" t="s">
        <v>4172</v>
      </c>
      <c r="H4409" s="2275"/>
      <c r="I4409" s="2275"/>
      <c r="J4409" s="2275"/>
      <c r="K4409" s="2275"/>
      <c r="L4409" s="2275"/>
      <c r="M4409" s="2275"/>
      <c r="N4409" s="1477">
        <f t="shared" si="501"/>
        <v>0</v>
      </c>
      <c r="O4409" s="424" t="str">
        <f t="shared" si="499"/>
        <v/>
      </c>
      <c r="Q4409" s="291"/>
      <c r="R4409" s="367"/>
      <c r="S4409" s="364"/>
      <c r="Z4409" s="609" t="s">
        <v>4147</v>
      </c>
      <c r="AA4409" s="609" t="s">
        <v>5700</v>
      </c>
      <c r="AE4409" s="369" t="s">
        <v>2761</v>
      </c>
      <c r="AF4409" s="369"/>
    </row>
    <row r="4410" spans="1:32" ht="24" hidden="1">
      <c r="A4410" s="2714"/>
      <c r="B4410" s="371">
        <v>102.004</v>
      </c>
      <c r="C4410" s="371"/>
      <c r="D4410" s="2716">
        <f t="shared" si="497"/>
        <v>1</v>
      </c>
      <c r="E4410" s="2721" t="s">
        <v>4163</v>
      </c>
      <c r="F4410" s="294"/>
      <c r="G4410" s="1474" t="s">
        <v>4173</v>
      </c>
      <c r="H4410" s="2275"/>
      <c r="I4410" s="2275"/>
      <c r="J4410" s="2275"/>
      <c r="K4410" s="2275"/>
      <c r="L4410" s="2275"/>
      <c r="M4410" s="2275"/>
      <c r="N4410" s="1477">
        <f t="shared" si="501"/>
        <v>0</v>
      </c>
      <c r="O4410" s="424" t="str">
        <f t="shared" si="499"/>
        <v/>
      </c>
      <c r="Q4410" s="291"/>
      <c r="R4410" s="367"/>
      <c r="S4410" s="364"/>
      <c r="Z4410" s="609" t="s">
        <v>4147</v>
      </c>
      <c r="AA4410" s="609" t="s">
        <v>5700</v>
      </c>
      <c r="AE4410" s="369" t="s">
        <v>2761</v>
      </c>
      <c r="AF4410" s="369"/>
    </row>
    <row r="4411" spans="1:32" ht="18" hidden="1">
      <c r="A4411" s="2714"/>
      <c r="B4411" s="371">
        <v>102.005</v>
      </c>
      <c r="C4411" s="371"/>
      <c r="D4411" s="2716">
        <f t="shared" si="497"/>
        <v>1</v>
      </c>
      <c r="E4411" s="2721" t="s">
        <v>4163</v>
      </c>
      <c r="F4411" s="294"/>
      <c r="G4411" s="1474" t="s">
        <v>4174</v>
      </c>
      <c r="H4411" s="2275"/>
      <c r="I4411" s="2275"/>
      <c r="J4411" s="2275"/>
      <c r="K4411" s="2275"/>
      <c r="L4411" s="2275"/>
      <c r="M4411" s="2275"/>
      <c r="N4411" s="1477">
        <f t="shared" si="501"/>
        <v>0</v>
      </c>
      <c r="O4411" s="424" t="str">
        <f t="shared" si="499"/>
        <v/>
      </c>
      <c r="Q4411" s="291"/>
      <c r="R4411" s="367"/>
      <c r="S4411" s="364"/>
      <c r="Z4411" s="609" t="s">
        <v>4147</v>
      </c>
      <c r="AA4411" s="609" t="s">
        <v>5700</v>
      </c>
      <c r="AE4411" s="369" t="s">
        <v>2761</v>
      </c>
      <c r="AF4411" s="369"/>
    </row>
    <row r="4412" spans="1:32" ht="18" hidden="1">
      <c r="A4412" s="2714"/>
      <c r="B4412" s="371">
        <v>102.006</v>
      </c>
      <c r="C4412" s="371" t="s">
        <v>2791</v>
      </c>
      <c r="D4412" s="2716">
        <f t="shared" si="497"/>
        <v>0</v>
      </c>
      <c r="E4412" s="2721" t="s">
        <v>4163</v>
      </c>
      <c r="F4412" s="294"/>
      <c r="G4412" s="2427" t="s">
        <v>2792</v>
      </c>
      <c r="H4412" s="2275"/>
      <c r="I4412" s="2275"/>
      <c r="J4412" s="2275"/>
      <c r="K4412" s="2275"/>
      <c r="L4412" s="2275"/>
      <c r="M4412" s="2275"/>
      <c r="N4412" s="1477">
        <f t="shared" si="501"/>
        <v>0</v>
      </c>
      <c r="O4412" s="424" t="str">
        <f t="shared" si="499"/>
        <v/>
      </c>
      <c r="Q4412" s="291"/>
      <c r="R4412" s="367"/>
      <c r="S4412" s="364"/>
      <c r="Z4412" s="609" t="s">
        <v>4147</v>
      </c>
      <c r="AA4412" s="609" t="s">
        <v>5700</v>
      </c>
      <c r="AE4412" s="369" t="s">
        <v>2761</v>
      </c>
      <c r="AF4412" s="369"/>
    </row>
    <row r="4413" spans="1:32" ht="18" hidden="1">
      <c r="A4413" s="2714"/>
      <c r="B4413" s="371">
        <v>102.00700000000001</v>
      </c>
      <c r="C4413" s="371" t="s">
        <v>2791</v>
      </c>
      <c r="D4413" s="2716">
        <f t="shared" si="497"/>
        <v>0</v>
      </c>
      <c r="E4413" s="2721" t="s">
        <v>4163</v>
      </c>
      <c r="F4413" s="294"/>
      <c r="G4413" s="2427" t="s">
        <v>2792</v>
      </c>
      <c r="H4413" s="2275"/>
      <c r="I4413" s="2275"/>
      <c r="J4413" s="2275"/>
      <c r="K4413" s="2275"/>
      <c r="L4413" s="2275"/>
      <c r="M4413" s="2275"/>
      <c r="N4413" s="1477">
        <f t="shared" si="501"/>
        <v>0</v>
      </c>
      <c r="O4413" s="424" t="str">
        <f t="shared" si="499"/>
        <v/>
      </c>
      <c r="Q4413" s="291"/>
      <c r="R4413" s="367"/>
      <c r="S4413" s="364"/>
      <c r="Z4413" s="609" t="s">
        <v>4147</v>
      </c>
      <c r="AA4413" s="609" t="s">
        <v>5700</v>
      </c>
      <c r="AE4413" s="369" t="s">
        <v>2761</v>
      </c>
      <c r="AF4413" s="369"/>
    </row>
    <row r="4414" spans="1:32" ht="18.75" hidden="1" thickBot="1">
      <c r="A4414" s="2714"/>
      <c r="B4414" s="371"/>
      <c r="C4414" s="371"/>
      <c r="D4414" s="2716">
        <f>IF(OR(G4414="*",G4414="",G4414=0),0,COUNTIF($G$4401:$G$4414,G4414))</f>
        <v>1</v>
      </c>
      <c r="E4414" s="2721" t="s">
        <v>2751</v>
      </c>
      <c r="F4414" s="294"/>
      <c r="G4414" s="310" t="s">
        <v>2752</v>
      </c>
      <c r="H4414" s="1481">
        <f t="shared" ref="H4414:M4414" si="502">SUMPRODUCT($E4400:$E4413,H4400:H4413)</f>
        <v>0</v>
      </c>
      <c r="I4414" s="1481">
        <f t="shared" si="502"/>
        <v>0</v>
      </c>
      <c r="J4414" s="1481">
        <f t="shared" si="502"/>
        <v>0</v>
      </c>
      <c r="K4414" s="1481">
        <f t="shared" si="502"/>
        <v>0</v>
      </c>
      <c r="L4414" s="1481">
        <f t="shared" si="502"/>
        <v>0</v>
      </c>
      <c r="M4414" s="1481">
        <f t="shared" si="502"/>
        <v>0</v>
      </c>
      <c r="N4414" s="1482">
        <f>SUMPRODUCT($E4400:$E4413,N4400:N4413)</f>
        <v>0</v>
      </c>
      <c r="O4414" s="424" t="str">
        <f t="shared" si="499"/>
        <v/>
      </c>
      <c r="P4414" s="355"/>
      <c r="Q4414" s="472"/>
      <c r="R4414" s="367"/>
      <c r="S4414" s="364"/>
      <c r="Z4414" s="609" t="s">
        <v>4147</v>
      </c>
      <c r="AA4414" s="609" t="s">
        <v>5700</v>
      </c>
      <c r="AE4414" s="369" t="s">
        <v>2761</v>
      </c>
      <c r="AF4414" s="369"/>
    </row>
    <row r="4415" spans="1:32" ht="18" hidden="1">
      <c r="A4415" s="2714"/>
      <c r="B4415" s="371"/>
      <c r="C4415" s="371" t="s">
        <v>2755</v>
      </c>
      <c r="D4415" s="371"/>
      <c r="F4415" s="294"/>
      <c r="G4415" s="301"/>
      <c r="H4415" s="315"/>
      <c r="I4415" s="315"/>
      <c r="J4415" s="315"/>
      <c r="K4415" s="315"/>
      <c r="L4415" s="315"/>
      <c r="M4415" s="315"/>
      <c r="N4415" s="315"/>
      <c r="P4415" s="315"/>
      <c r="Q4415" s="472"/>
      <c r="R4415" s="472"/>
      <c r="S4415" s="364"/>
      <c r="Z4415" s="609" t="s">
        <v>4147</v>
      </c>
      <c r="AA4415" s="609" t="s">
        <v>5700</v>
      </c>
      <c r="AE4415" s="369" t="s">
        <v>2761</v>
      </c>
    </row>
    <row r="4416" spans="1:32" ht="18">
      <c r="A4416" s="2714">
        <v>4301</v>
      </c>
      <c r="B4416" s="371">
        <v>58</v>
      </c>
      <c r="C4416" s="2716" t="str">
        <f>VLOOKUP($A4416,Sheet_Items,2,0)</f>
        <v>专项储备</v>
      </c>
      <c r="D4416" s="371"/>
      <c r="E4416" s="2716" t="s">
        <v>2739</v>
      </c>
      <c r="F4416" s="294"/>
      <c r="G4416" s="305" t="str">
        <f>B4416&amp;" "&amp;C4416</f>
        <v>58 专项储备</v>
      </c>
      <c r="H4416" s="306"/>
      <c r="I4416" s="306"/>
      <c r="J4416" s="306" t="s">
        <v>2740</v>
      </c>
      <c r="K4416" s="341">
        <f>VLOOKUP($A4416,Sheet_Trialbal,6,0)</f>
        <v>0</v>
      </c>
      <c r="L4416" s="342"/>
      <c r="M4416" s="306" t="s">
        <v>2741</v>
      </c>
      <c r="N4416" s="341">
        <f>VLOOKUP($A4416,Sheet_Trialbal,10,0)</f>
        <v>0</v>
      </c>
      <c r="O4416" s="306"/>
      <c r="P4416" s="301"/>
      <c r="S4416" s="364"/>
      <c r="Z4416" s="609" t="s">
        <v>4175</v>
      </c>
      <c r="AA4416" s="609" t="s">
        <v>5701</v>
      </c>
    </row>
    <row r="4417" spans="1:27" ht="18">
      <c r="A4417" s="2714" t="s">
        <v>1837</v>
      </c>
      <c r="B4417" s="371">
        <v>1</v>
      </c>
      <c r="C4417" s="371"/>
      <c r="D4417" s="2716" t="str">
        <f>VLOOKUP($A4417,Sheet_NoteList,2,0)</f>
        <v>专项储备变动情况</v>
      </c>
      <c r="E4417" s="2716" t="s">
        <v>2742</v>
      </c>
      <c r="F4417" s="294"/>
      <c r="G4417" s="307" t="str">
        <f>"("&amp;B4417&amp;")"&amp;D4417</f>
        <v>(1)专项储备变动情况</v>
      </c>
      <c r="H4417" s="1517" t="str">
        <f>$A4417</f>
        <v>4301a</v>
      </c>
      <c r="I4417" s="343" t="s">
        <v>2743</v>
      </c>
      <c r="J4417" s="301" t="s">
        <v>2744</v>
      </c>
      <c r="K4417" s="2210">
        <f>K4425</f>
        <v>0</v>
      </c>
      <c r="L4417" s="345" t="str">
        <f>IF($I4417="适用",IF(ROUND(K4416-K4417,2)=0,"F/S",ROUND(K4416-K4417,2)),"#N/A")</f>
        <v>F/S</v>
      </c>
      <c r="M4417" s="301" t="s">
        <v>2745</v>
      </c>
      <c r="N4417" s="2210">
        <f>H4425</f>
        <v>0</v>
      </c>
      <c r="O4417" s="345" t="str">
        <f>IF($I4417="适用",IF(ROUND(N4416-N4417,2)=0,"F/S",ROUND(N4416-N4417,2)),"#N/A")</f>
        <v>F/S</v>
      </c>
      <c r="P4417" s="301"/>
      <c r="S4417" s="364"/>
      <c r="Z4417" s="609" t="s">
        <v>4175</v>
      </c>
      <c r="AA4417" s="609" t="s">
        <v>5701</v>
      </c>
    </row>
    <row r="4418" spans="1:27" ht="0.75" customHeight="1" thickBot="1">
      <c r="A4418" s="2714"/>
      <c r="B4418" s="371"/>
      <c r="C4418" s="371"/>
      <c r="D4418" s="371"/>
      <c r="E4418" s="586"/>
      <c r="F4418" s="363"/>
      <c r="G4418" s="363" t="s">
        <v>4176</v>
      </c>
      <c r="H4418" s="294" t="s">
        <v>2904</v>
      </c>
      <c r="I4418" s="294" t="s">
        <v>3255</v>
      </c>
      <c r="J4418" s="294" t="s">
        <v>3256</v>
      </c>
      <c r="K4418" s="294" t="s">
        <v>3241</v>
      </c>
      <c r="L4418" s="291"/>
      <c r="M4418" s="291"/>
      <c r="N4418" s="291"/>
      <c r="O4418" s="291"/>
      <c r="S4418" s="364"/>
      <c r="Z4418" s="609" t="s">
        <v>4175</v>
      </c>
      <c r="AA4418" s="609" t="s">
        <v>5701</v>
      </c>
    </row>
    <row r="4419" spans="1:27" ht="18">
      <c r="A4419" s="2714"/>
      <c r="B4419" s="371"/>
      <c r="C4419" s="371"/>
      <c r="D4419" s="371"/>
      <c r="E4419" s="586" t="s">
        <v>2749</v>
      </c>
      <c r="F4419" s="363"/>
      <c r="G4419" s="2428" t="s">
        <v>47</v>
      </c>
      <c r="H4419" s="2475" t="str">
        <f>$V$3</f>
        <v>2018年12月31日</v>
      </c>
      <c r="I4419" s="2425" t="s">
        <v>3027</v>
      </c>
      <c r="J4419" s="2425" t="s">
        <v>3028</v>
      </c>
      <c r="K4419" s="2480" t="str">
        <f>$V$2</f>
        <v>2019年12月31日</v>
      </c>
      <c r="L4419" s="355" t="s">
        <v>5323</v>
      </c>
      <c r="M4419" s="291"/>
      <c r="N4419" s="291"/>
      <c r="O4419" s="291"/>
      <c r="S4419" s="364"/>
      <c r="Z4419" s="609" t="s">
        <v>4175</v>
      </c>
      <c r="AA4419" s="609" t="s">
        <v>5701</v>
      </c>
    </row>
    <row r="4420" spans="1:27" ht="18">
      <c r="A4420" s="2714"/>
      <c r="B4420" s="371">
        <v>101</v>
      </c>
      <c r="C4420" s="371"/>
      <c r="D4420" s="2716">
        <f t="shared" ref="D4420:D4425" si="503">IF(OR(G4420="*",G4420="",G4420=0),0,COUNTIF($G$4420:$G$4425,G4420))</f>
        <v>1</v>
      </c>
      <c r="E4420" s="2721">
        <v>1</v>
      </c>
      <c r="F4420" s="294"/>
      <c r="G4420" s="1474" t="s">
        <v>4177</v>
      </c>
      <c r="H4420" s="2275"/>
      <c r="I4420" s="2275"/>
      <c r="J4420" s="2275"/>
      <c r="K4420" s="1477">
        <f>H4420+I4420-J4420</f>
        <v>0</v>
      </c>
      <c r="L4420" s="291"/>
      <c r="M4420" s="291"/>
      <c r="N4420" s="291"/>
      <c r="O4420" s="291"/>
      <c r="S4420" s="364"/>
      <c r="Z4420" s="609" t="s">
        <v>4175</v>
      </c>
      <c r="AA4420" s="609" t="s">
        <v>5701</v>
      </c>
    </row>
    <row r="4421" spans="1:27" ht="18">
      <c r="A4421" s="2714"/>
      <c r="B4421" s="371">
        <v>102</v>
      </c>
      <c r="C4421" s="371" t="s">
        <v>2791</v>
      </c>
      <c r="D4421" s="2716">
        <f t="shared" si="503"/>
        <v>1</v>
      </c>
      <c r="E4421" s="2721">
        <v>1</v>
      </c>
      <c r="F4421" s="294"/>
      <c r="G4421" s="2427" t="s">
        <v>6087</v>
      </c>
      <c r="H4421" s="2275"/>
      <c r="I4421" s="2275"/>
      <c r="J4421" s="2275"/>
      <c r="K4421" s="1477">
        <f>H4421+I4421-J4421</f>
        <v>0</v>
      </c>
      <c r="L4421" s="291"/>
      <c r="M4421" s="291"/>
      <c r="N4421" s="291"/>
      <c r="O4421" s="291"/>
      <c r="S4421" s="364"/>
      <c r="Z4421" s="609" t="s">
        <v>4175</v>
      </c>
      <c r="AA4421" s="609" t="s">
        <v>5701</v>
      </c>
    </row>
    <row r="4422" spans="1:27" ht="18">
      <c r="A4422" s="2714"/>
      <c r="B4422" s="371">
        <v>103</v>
      </c>
      <c r="C4422" s="371" t="s">
        <v>2791</v>
      </c>
      <c r="D4422" s="2716">
        <f t="shared" si="503"/>
        <v>0</v>
      </c>
      <c r="E4422" s="2721">
        <v>1</v>
      </c>
      <c r="F4422" s="294"/>
      <c r="G4422" s="2427" t="s">
        <v>2792</v>
      </c>
      <c r="H4422" s="2275"/>
      <c r="I4422" s="2275"/>
      <c r="J4422" s="2275"/>
      <c r="K4422" s="1477">
        <f>H4422+I4422-J4422</f>
        <v>0</v>
      </c>
      <c r="L4422" s="291"/>
      <c r="M4422" s="291"/>
      <c r="N4422" s="291"/>
      <c r="O4422" s="291"/>
      <c r="S4422" s="364"/>
      <c r="Z4422" s="609" t="s">
        <v>4175</v>
      </c>
      <c r="AA4422" s="609" t="s">
        <v>5701</v>
      </c>
    </row>
    <row r="4423" spans="1:27" ht="18">
      <c r="A4423" s="2714"/>
      <c r="B4423" s="371">
        <v>104</v>
      </c>
      <c r="C4423" s="371" t="s">
        <v>2791</v>
      </c>
      <c r="D4423" s="2716">
        <f t="shared" si="503"/>
        <v>0</v>
      </c>
      <c r="E4423" s="2721">
        <v>1</v>
      </c>
      <c r="F4423" s="294"/>
      <c r="G4423" s="2427" t="s">
        <v>2792</v>
      </c>
      <c r="H4423" s="2275"/>
      <c r="I4423" s="2275"/>
      <c r="J4423" s="2275"/>
      <c r="K4423" s="1477">
        <f>H4423+I4423-J4423</f>
        <v>0</v>
      </c>
      <c r="L4423" s="291"/>
      <c r="M4423" s="291"/>
      <c r="N4423" s="291"/>
      <c r="O4423" s="291"/>
      <c r="S4423" s="364"/>
      <c r="Z4423" s="609" t="s">
        <v>4175</v>
      </c>
      <c r="AA4423" s="609" t="s">
        <v>5701</v>
      </c>
    </row>
    <row r="4424" spans="1:27" ht="18">
      <c r="A4424" s="2714"/>
      <c r="B4424" s="371">
        <v>105</v>
      </c>
      <c r="C4424" s="371" t="s">
        <v>2791</v>
      </c>
      <c r="D4424" s="2716">
        <f t="shared" si="503"/>
        <v>0</v>
      </c>
      <c r="E4424" s="2721">
        <v>1</v>
      </c>
      <c r="F4424" s="294"/>
      <c r="G4424" s="2427" t="s">
        <v>2792</v>
      </c>
      <c r="H4424" s="2275"/>
      <c r="I4424" s="2275"/>
      <c r="J4424" s="2275"/>
      <c r="K4424" s="1477">
        <f>H4424+I4424-J4424</f>
        <v>0</v>
      </c>
      <c r="L4424" s="291"/>
      <c r="M4424" s="291"/>
      <c r="N4424" s="291"/>
      <c r="O4424" s="291"/>
      <c r="S4424" s="364"/>
      <c r="Z4424" s="609" t="s">
        <v>4175</v>
      </c>
      <c r="AA4424" s="609" t="s">
        <v>5701</v>
      </c>
    </row>
    <row r="4425" spans="1:27" ht="18.75" thickBot="1">
      <c r="A4425" s="2714"/>
      <c r="B4425" s="371"/>
      <c r="C4425" s="371"/>
      <c r="D4425" s="2716">
        <f t="shared" si="503"/>
        <v>1</v>
      </c>
      <c r="E4425" s="2721" t="s">
        <v>2751</v>
      </c>
      <c r="F4425" s="294"/>
      <c r="G4425" s="374" t="s">
        <v>2752</v>
      </c>
      <c r="H4425" s="1478">
        <f>SUMPRODUCT($E4419:$E4424,H4419:H4424)</f>
        <v>0</v>
      </c>
      <c r="I4425" s="1478">
        <f>SUMPRODUCT($E4419:$E4424,I4419:I4424)</f>
        <v>0</v>
      </c>
      <c r="J4425" s="1478">
        <f>SUMPRODUCT($E4419:$E4424,J4419:J4424)</f>
        <v>0</v>
      </c>
      <c r="K4425" s="1479">
        <f>SUMPRODUCT($E4419:$E4424,K4419:K4424)</f>
        <v>0</v>
      </c>
      <c r="L4425" s="291"/>
      <c r="M4425" s="291"/>
      <c r="N4425" s="291"/>
      <c r="O4425" s="291"/>
      <c r="S4425" s="364"/>
      <c r="Z4425" s="609" t="s">
        <v>4175</v>
      </c>
      <c r="AA4425" s="609" t="s">
        <v>5701</v>
      </c>
    </row>
    <row r="4426" spans="1:27" ht="18">
      <c r="A4426" s="2714"/>
      <c r="B4426" s="371"/>
      <c r="C4426" s="371" t="s">
        <v>2755</v>
      </c>
      <c r="D4426" s="371"/>
      <c r="F4426" s="294"/>
      <c r="G4426" s="301"/>
      <c r="H4426" s="315"/>
      <c r="I4426" s="315"/>
      <c r="J4426" s="315"/>
      <c r="K4426" s="315"/>
      <c r="L4426" s="291"/>
      <c r="M4426" s="291"/>
      <c r="N4426" s="291"/>
      <c r="O4426" s="291"/>
      <c r="S4426" s="364"/>
      <c r="Z4426" s="609" t="s">
        <v>4175</v>
      </c>
      <c r="AA4426" s="609" t="s">
        <v>5701</v>
      </c>
    </row>
    <row r="4427" spans="1:27" ht="18">
      <c r="A4427" s="2714">
        <v>4101</v>
      </c>
      <c r="B4427" s="371">
        <v>59</v>
      </c>
      <c r="C4427" s="2716" t="str">
        <f>VLOOKUP($A4427,Sheet_Items,2,0)</f>
        <v>盈余公积</v>
      </c>
      <c r="D4427" s="371"/>
      <c r="E4427" s="2716" t="s">
        <v>2739</v>
      </c>
      <c r="F4427" s="294"/>
      <c r="G4427" s="305" t="str">
        <f>B4427&amp;" "&amp;C4427</f>
        <v>59 盈余公积</v>
      </c>
      <c r="H4427" s="306"/>
      <c r="I4427" s="306"/>
      <c r="J4427" s="306" t="s">
        <v>2740</v>
      </c>
      <c r="K4427" s="341">
        <f>VLOOKUP($A4427,Sheet_Trialbal,6,0)</f>
        <v>1484894.62</v>
      </c>
      <c r="L4427" s="342"/>
      <c r="M4427" s="306" t="s">
        <v>2741</v>
      </c>
      <c r="N4427" s="341">
        <f>VLOOKUP($A4427,Sheet_Trialbal,10,0)</f>
        <v>1476848.22</v>
      </c>
      <c r="O4427" s="306"/>
      <c r="P4427" s="301"/>
      <c r="S4427" s="364"/>
      <c r="Z4427" s="609" t="s">
        <v>4178</v>
      </c>
      <c r="AA4427" s="609" t="s">
        <v>4179</v>
      </c>
    </row>
    <row r="4428" spans="1:27" ht="18">
      <c r="A4428" s="2714" t="s">
        <v>1805</v>
      </c>
      <c r="B4428" s="371">
        <v>1</v>
      </c>
      <c r="C4428" s="371"/>
      <c r="D4428" s="2716" t="str">
        <f>VLOOKUP($A4428,Sheet_NoteList,2,0)</f>
        <v>盈余公积列示</v>
      </c>
      <c r="E4428" s="2716" t="s">
        <v>2742</v>
      </c>
      <c r="F4428" s="293"/>
      <c r="G4428" s="372" t="str">
        <f>"("&amp;B4428&amp;")"&amp;D4428</f>
        <v>(1)盈余公积列示</v>
      </c>
      <c r="H4428" s="1517" t="str">
        <f>$A4428</f>
        <v>4101b</v>
      </c>
      <c r="I4428" s="343" t="s">
        <v>2743</v>
      </c>
      <c r="J4428" s="301" t="s">
        <v>2744</v>
      </c>
      <c r="K4428" s="2210">
        <f>M4439</f>
        <v>1484894.62</v>
      </c>
      <c r="L4428" s="349" t="str">
        <f>IF($I4428="适用",IF(ROUND(K$4427-K4428,2)=0,"F/S",ROUND(K$4427-K4428,2)),"#N/A")</f>
        <v>F/S</v>
      </c>
      <c r="M4428" s="301" t="s">
        <v>2745</v>
      </c>
      <c r="N4428" s="2210">
        <f>H4439</f>
        <v>1476848.22</v>
      </c>
      <c r="O4428" s="349" t="str">
        <f>IF($I4428="适用",IF(ROUND(N$4427-N4428,2)=0,"F/S",ROUND(N$4427-N4428,2)),"#N/A")</f>
        <v>F/S</v>
      </c>
      <c r="P4428" s="301"/>
      <c r="S4428" s="364"/>
      <c r="Z4428" s="609" t="s">
        <v>4178</v>
      </c>
      <c r="AA4428" s="609" t="s">
        <v>4179</v>
      </c>
    </row>
    <row r="4429" spans="1:27" ht="0.75" customHeight="1" thickBot="1">
      <c r="A4429" s="2714"/>
      <c r="B4429" s="371"/>
      <c r="C4429" s="371"/>
      <c r="D4429" s="2716"/>
      <c r="F4429" s="371"/>
      <c r="G4429" s="405" t="s">
        <v>4180</v>
      </c>
      <c r="H4429" s="371" t="s">
        <v>2747</v>
      </c>
      <c r="I4429" s="371" t="s">
        <v>2748</v>
      </c>
      <c r="J4429" s="371" t="s">
        <v>2948</v>
      </c>
      <c r="K4429" s="547" t="s">
        <v>3647</v>
      </c>
      <c r="L4429" s="547" t="s">
        <v>3035</v>
      </c>
      <c r="M4429" s="371" t="s">
        <v>3167</v>
      </c>
      <c r="N4429" s="428"/>
      <c r="O4429" s="428"/>
      <c r="P4429" s="433"/>
      <c r="Q4429" s="442"/>
      <c r="R4429" s="443"/>
      <c r="S4429" s="364"/>
      <c r="Z4429" s="609" t="s">
        <v>4178</v>
      </c>
      <c r="AA4429" s="609" t="s">
        <v>4179</v>
      </c>
    </row>
    <row r="4430" spans="1:27" ht="24">
      <c r="A4430" s="2714"/>
      <c r="B4430" s="371"/>
      <c r="C4430" s="371"/>
      <c r="D4430" s="2716"/>
      <c r="E4430" s="2716" t="s">
        <v>2749</v>
      </c>
      <c r="F4430" s="293"/>
      <c r="G4430" s="2563" t="s">
        <v>47</v>
      </c>
      <c r="H4430" s="2571" t="str">
        <f>$V$3</f>
        <v>2018年12月31日</v>
      </c>
      <c r="I4430" s="2558" t="s">
        <v>5209</v>
      </c>
      <c r="J4430" s="2571" t="str">
        <f>$X$3</f>
        <v>2019年1月1日</v>
      </c>
      <c r="K4430" s="2311" t="s">
        <v>3027</v>
      </c>
      <c r="L4430" s="2311" t="s">
        <v>3028</v>
      </c>
      <c r="M4430" s="2561" t="str">
        <f>$V$2</f>
        <v>2019年12月31日</v>
      </c>
      <c r="N4430" s="355" t="s">
        <v>5324</v>
      </c>
      <c r="O4430" s="434"/>
      <c r="P4430" s="435"/>
      <c r="Q4430" s="442"/>
      <c r="R4430" s="443"/>
      <c r="S4430" s="364"/>
      <c r="Z4430" s="609" t="s">
        <v>4178</v>
      </c>
      <c r="AA4430" s="609" t="s">
        <v>4179</v>
      </c>
    </row>
    <row r="4431" spans="1:27" ht="18">
      <c r="A4431" s="2714"/>
      <c r="B4431" s="371">
        <v>101</v>
      </c>
      <c r="C4431" s="371"/>
      <c r="D4431" s="2716">
        <f t="shared" ref="D4431:D4439" si="504">IF(OR(G4431="*",G4431="",G4431=0),0,COUNTIF($G$4431:$G$4439,G4431))</f>
        <v>1</v>
      </c>
      <c r="E4431" s="2721">
        <v>1</v>
      </c>
      <c r="F4431" s="293"/>
      <c r="G4431" s="308" t="s">
        <v>4181</v>
      </c>
      <c r="H4431" s="309">
        <v>1476848.22</v>
      </c>
      <c r="I4431" s="422"/>
      <c r="J4431" s="309">
        <f>H4431+I4431</f>
        <v>1476848.22</v>
      </c>
      <c r="K4431" s="320">
        <v>8046.4</v>
      </c>
      <c r="L4431" s="309"/>
      <c r="M4431" s="346">
        <f>J4431+K4431-L4431</f>
        <v>1484894.62</v>
      </c>
      <c r="N4431" s="439"/>
      <c r="O4431" s="437"/>
      <c r="P4431" s="438"/>
      <c r="Q4431" s="442"/>
      <c r="R4431" s="443"/>
      <c r="S4431" s="364"/>
      <c r="Z4431" s="609" t="s">
        <v>4178</v>
      </c>
      <c r="AA4431" s="609" t="s">
        <v>4179</v>
      </c>
    </row>
    <row r="4432" spans="1:27" ht="18">
      <c r="A4432" s="2714"/>
      <c r="B4432" s="371">
        <v>102</v>
      </c>
      <c r="C4432" s="371"/>
      <c r="D4432" s="2716">
        <f t="shared" si="504"/>
        <v>1</v>
      </c>
      <c r="E4432" s="2721">
        <v>1</v>
      </c>
      <c r="F4432" s="293"/>
      <c r="G4432" s="308" t="s">
        <v>4182</v>
      </c>
      <c r="H4432" s="309"/>
      <c r="I4432" s="422"/>
      <c r="J4432" s="309">
        <f t="shared" ref="J4432:J4435" si="505">H4432+I4432</f>
        <v>0</v>
      </c>
      <c r="K4432" s="320"/>
      <c r="L4432" s="309"/>
      <c r="M4432" s="346">
        <f t="shared" ref="M4432:M4435" si="506">J4432+K4432-L4432</f>
        <v>0</v>
      </c>
      <c r="N4432" s="439"/>
      <c r="O4432" s="437"/>
      <c r="P4432" s="438"/>
      <c r="Q4432" s="442"/>
      <c r="R4432" s="443"/>
      <c r="S4432" s="364"/>
      <c r="Z4432" s="609" t="s">
        <v>4178</v>
      </c>
      <c r="AA4432" s="609" t="s">
        <v>4179</v>
      </c>
    </row>
    <row r="4433" spans="1:32" ht="18">
      <c r="A4433" s="2714"/>
      <c r="B4433" s="371">
        <v>103</v>
      </c>
      <c r="C4433" s="371"/>
      <c r="D4433" s="2716">
        <f t="shared" si="504"/>
        <v>1</v>
      </c>
      <c r="E4433" s="2721">
        <v>1</v>
      </c>
      <c r="F4433" s="293"/>
      <c r="G4433" s="308" t="s">
        <v>4183</v>
      </c>
      <c r="H4433" s="309"/>
      <c r="I4433" s="422"/>
      <c r="J4433" s="309">
        <f t="shared" si="505"/>
        <v>0</v>
      </c>
      <c r="K4433" s="320"/>
      <c r="L4433" s="309"/>
      <c r="M4433" s="346">
        <f t="shared" si="506"/>
        <v>0</v>
      </c>
      <c r="N4433" s="439"/>
      <c r="O4433" s="437"/>
      <c r="P4433" s="438"/>
      <c r="Q4433" s="442"/>
      <c r="R4433" s="443"/>
      <c r="S4433" s="364"/>
      <c r="Z4433" s="609" t="s">
        <v>4178</v>
      </c>
      <c r="AA4433" s="609" t="s">
        <v>4179</v>
      </c>
    </row>
    <row r="4434" spans="1:32" ht="18">
      <c r="A4434" s="2714"/>
      <c r="B4434" s="371">
        <v>104</v>
      </c>
      <c r="C4434" s="371"/>
      <c r="D4434" s="2716">
        <f t="shared" si="504"/>
        <v>1</v>
      </c>
      <c r="E4434" s="2721">
        <v>1</v>
      </c>
      <c r="F4434" s="293"/>
      <c r="G4434" s="308" t="s">
        <v>4184</v>
      </c>
      <c r="H4434" s="309"/>
      <c r="I4434" s="422"/>
      <c r="J4434" s="309">
        <f t="shared" si="505"/>
        <v>0</v>
      </c>
      <c r="K4434" s="320"/>
      <c r="L4434" s="309"/>
      <c r="M4434" s="346">
        <f t="shared" si="506"/>
        <v>0</v>
      </c>
      <c r="N4434" s="439"/>
      <c r="O4434" s="437"/>
      <c r="P4434" s="438"/>
      <c r="Q4434" s="442"/>
      <c r="R4434" s="443"/>
      <c r="S4434" s="364"/>
      <c r="Z4434" s="609" t="s">
        <v>4178</v>
      </c>
      <c r="AA4434" s="609" t="s">
        <v>4179</v>
      </c>
    </row>
    <row r="4435" spans="1:32" ht="18">
      <c r="A4435" s="2714"/>
      <c r="B4435" s="371">
        <v>105</v>
      </c>
      <c r="C4435" s="371"/>
      <c r="D4435" s="2716">
        <f t="shared" si="504"/>
        <v>1</v>
      </c>
      <c r="E4435" s="2721">
        <v>1</v>
      </c>
      <c r="F4435" s="293"/>
      <c r="G4435" s="308" t="s">
        <v>932</v>
      </c>
      <c r="H4435" s="309"/>
      <c r="I4435" s="422"/>
      <c r="J4435" s="309">
        <f t="shared" si="505"/>
        <v>0</v>
      </c>
      <c r="K4435" s="320"/>
      <c r="L4435" s="309"/>
      <c r="M4435" s="346">
        <f t="shared" si="506"/>
        <v>0</v>
      </c>
      <c r="N4435" s="439"/>
      <c r="O4435" s="437"/>
      <c r="P4435" s="438"/>
      <c r="Q4435" s="442"/>
      <c r="R4435" s="443"/>
      <c r="S4435" s="364"/>
      <c r="Z4435" s="609" t="s">
        <v>4178</v>
      </c>
      <c r="AA4435" s="609" t="s">
        <v>4179</v>
      </c>
    </row>
    <row r="4436" spans="1:32" ht="18">
      <c r="A4436" s="2714"/>
      <c r="B4436" s="371">
        <v>106</v>
      </c>
      <c r="C4436" s="371" t="s">
        <v>2791</v>
      </c>
      <c r="D4436" s="2716">
        <f t="shared" si="504"/>
        <v>0</v>
      </c>
      <c r="E4436" s="2721">
        <v>1</v>
      </c>
      <c r="F4436" s="293"/>
      <c r="G4436" s="319" t="s">
        <v>2792</v>
      </c>
      <c r="H4436" s="309"/>
      <c r="I4436" s="422"/>
      <c r="J4436" s="309"/>
      <c r="K4436" s="320"/>
      <c r="L4436" s="309"/>
      <c r="M4436" s="346"/>
      <c r="N4436" s="439"/>
      <c r="O4436" s="437"/>
      <c r="P4436" s="438"/>
      <c r="Q4436" s="442"/>
      <c r="R4436" s="443"/>
      <c r="S4436" s="364"/>
      <c r="Z4436" s="609" t="s">
        <v>4178</v>
      </c>
      <c r="AA4436" s="609" t="s">
        <v>4179</v>
      </c>
    </row>
    <row r="4437" spans="1:32" ht="18">
      <c r="A4437" s="2714"/>
      <c r="B4437" s="371">
        <v>107</v>
      </c>
      <c r="C4437" s="371" t="s">
        <v>2791</v>
      </c>
      <c r="D4437" s="2716">
        <f t="shared" si="504"/>
        <v>0</v>
      </c>
      <c r="E4437" s="2721">
        <v>1</v>
      </c>
      <c r="F4437" s="293"/>
      <c r="G4437" s="319" t="s">
        <v>2792</v>
      </c>
      <c r="H4437" s="309"/>
      <c r="I4437" s="422"/>
      <c r="J4437" s="309"/>
      <c r="K4437" s="320"/>
      <c r="L4437" s="309"/>
      <c r="M4437" s="346"/>
      <c r="N4437" s="439"/>
      <c r="O4437" s="437"/>
      <c r="P4437" s="438"/>
      <c r="Q4437" s="442"/>
      <c r="R4437" s="443"/>
      <c r="S4437" s="364"/>
      <c r="Z4437" s="609" t="s">
        <v>4178</v>
      </c>
      <c r="AA4437" s="609" t="s">
        <v>4179</v>
      </c>
    </row>
    <row r="4438" spans="1:32" ht="18">
      <c r="A4438" s="2714"/>
      <c r="B4438" s="371">
        <v>108</v>
      </c>
      <c r="C4438" s="371" t="s">
        <v>2791</v>
      </c>
      <c r="D4438" s="2716">
        <f t="shared" si="504"/>
        <v>0</v>
      </c>
      <c r="E4438" s="2721">
        <v>1</v>
      </c>
      <c r="F4438" s="293"/>
      <c r="G4438" s="319" t="s">
        <v>2792</v>
      </c>
      <c r="H4438" s="309"/>
      <c r="I4438" s="422"/>
      <c r="J4438" s="309"/>
      <c r="K4438" s="320"/>
      <c r="L4438" s="309"/>
      <c r="M4438" s="346"/>
      <c r="N4438" s="439"/>
      <c r="O4438" s="437"/>
      <c r="P4438" s="438"/>
      <c r="Q4438" s="442"/>
      <c r="R4438" s="443"/>
      <c r="S4438" s="364"/>
      <c r="Z4438" s="609" t="s">
        <v>4178</v>
      </c>
      <c r="AA4438" s="609" t="s">
        <v>4179</v>
      </c>
    </row>
    <row r="4439" spans="1:32" ht="18.75" thickBot="1">
      <c r="A4439" s="2714"/>
      <c r="B4439" s="371"/>
      <c r="C4439" s="371"/>
      <c r="D4439" s="2716">
        <f t="shared" si="504"/>
        <v>1</v>
      </c>
      <c r="E4439" s="2721" t="s">
        <v>2751</v>
      </c>
      <c r="F4439" s="293"/>
      <c r="G4439" s="2234" t="s">
        <v>2752</v>
      </c>
      <c r="H4439" s="2325">
        <f t="shared" ref="H4439:M4439" si="507">SUMPRODUCT($E4430:$E4438,H4430:H4438)</f>
        <v>1476848.22</v>
      </c>
      <c r="I4439" s="2325">
        <f t="shared" si="507"/>
        <v>0</v>
      </c>
      <c r="J4439" s="2325">
        <f t="shared" si="507"/>
        <v>1476848.22</v>
      </c>
      <c r="K4439" s="2325">
        <f t="shared" si="507"/>
        <v>8046.4</v>
      </c>
      <c r="L4439" s="2325">
        <f t="shared" si="507"/>
        <v>0</v>
      </c>
      <c r="M4439" s="2342">
        <f t="shared" si="507"/>
        <v>1484894.62</v>
      </c>
      <c r="N4439" s="439"/>
      <c r="O4439" s="437"/>
      <c r="P4439" s="440"/>
      <c r="Q4439" s="442"/>
      <c r="R4439" s="443"/>
      <c r="S4439" s="364"/>
      <c r="Z4439" s="609" t="s">
        <v>4178</v>
      </c>
      <c r="AA4439" s="609" t="s">
        <v>4179</v>
      </c>
    </row>
    <row r="4440" spans="1:32" ht="18">
      <c r="A4440" s="2714"/>
      <c r="B4440" s="371"/>
      <c r="C4440" s="371" t="s">
        <v>2755</v>
      </c>
      <c r="D4440" s="2716"/>
      <c r="F4440" s="293"/>
      <c r="G4440" s="376"/>
      <c r="H4440" s="315"/>
      <c r="I4440" s="396"/>
      <c r="J4440" s="315"/>
      <c r="K4440" s="423"/>
      <c r="L4440" s="315"/>
      <c r="M4440" s="315"/>
      <c r="N4440" s="426"/>
      <c r="O4440" s="427"/>
      <c r="P4440" s="425"/>
      <c r="Q4440" s="442"/>
      <c r="R4440" s="443"/>
      <c r="S4440" s="364"/>
      <c r="Z4440" s="609" t="s">
        <v>4178</v>
      </c>
      <c r="AA4440" s="609" t="s">
        <v>4179</v>
      </c>
    </row>
    <row r="4441" spans="1:32" ht="18" hidden="1">
      <c r="A4441" s="2714" t="s">
        <v>1810</v>
      </c>
      <c r="B4441" s="371">
        <v>2</v>
      </c>
      <c r="C4441" s="371"/>
      <c r="D4441" s="2716" t="str">
        <f>VLOOKUP($A4441,Sheet_NoteList,2,0)</f>
        <v>盈余公积变动情况</v>
      </c>
      <c r="E4441" s="2716" t="s">
        <v>6613</v>
      </c>
      <c r="F4441" s="294"/>
      <c r="G4441" s="307" t="str">
        <f>"("&amp;B4441&amp;")"&amp;D4441</f>
        <v>(2)盈余公积变动情况</v>
      </c>
      <c r="H4441" s="1517" t="str">
        <f>$A4441</f>
        <v>4101a</v>
      </c>
      <c r="I4441" s="343" t="s">
        <v>6616</v>
      </c>
      <c r="J4441" s="301" t="s">
        <v>6614</v>
      </c>
      <c r="K4441" s="344">
        <f>K4450</f>
        <v>0</v>
      </c>
      <c r="L4441" s="345" t="str">
        <f>IF($I4441="适用",IF(ROUND(K4427-K4441,2)=0,"F/S",ROUND(K4427-K4441,2)),"#N/A")</f>
        <v>#N/A</v>
      </c>
      <c r="M4441" s="301" t="s">
        <v>6618</v>
      </c>
      <c r="N4441" s="344">
        <f>H4450</f>
        <v>0</v>
      </c>
      <c r="O4441" s="345" t="str">
        <f>IF($I4441="适用",IF(ROUND(N4427-N4441,2)=0,"F/S",ROUND(N4427-N4441,2)),"#N/A")</f>
        <v>#N/A</v>
      </c>
      <c r="P4441" s="301"/>
      <c r="Q4441" s="290" t="str">
        <f>IF($I4441="不适用","",IF(ROUND(SUM($H$4444:$K$4450),2)=0,"请输入",""))</f>
        <v/>
      </c>
      <c r="S4441" s="364"/>
      <c r="Z4441" s="609" t="s">
        <v>4178</v>
      </c>
      <c r="AA4441" s="609" t="s">
        <v>4179</v>
      </c>
      <c r="AE4441" s="369" t="s">
        <v>2761</v>
      </c>
    </row>
    <row r="4442" spans="1:32" ht="0.75" hidden="1" customHeight="1" thickBot="1">
      <c r="A4442" s="2714"/>
      <c r="B4442" s="371"/>
      <c r="C4442" s="371"/>
      <c r="D4442" s="371"/>
      <c r="E4442" s="586"/>
      <c r="F4442" s="586"/>
      <c r="G4442" s="586" t="s">
        <v>4185</v>
      </c>
      <c r="H4442" s="371" t="s">
        <v>2904</v>
      </c>
      <c r="I4442" s="371" t="s">
        <v>6305</v>
      </c>
      <c r="J4442" s="371" t="s">
        <v>6306</v>
      </c>
      <c r="K4442" s="371" t="s">
        <v>3241</v>
      </c>
      <c r="L4442" s="1604"/>
      <c r="M4442" s="1604"/>
      <c r="N4442" s="1604"/>
      <c r="O4442" s="1604"/>
      <c r="P4442" s="1604"/>
      <c r="Q4442" s="1604"/>
      <c r="R4442" s="1604"/>
      <c r="S4442" s="364"/>
      <c r="Z4442" s="609" t="s">
        <v>4178</v>
      </c>
      <c r="AA4442" s="609" t="s">
        <v>4179</v>
      </c>
      <c r="AE4442" s="369" t="s">
        <v>2761</v>
      </c>
    </row>
    <row r="4443" spans="1:32" ht="18" hidden="1" customHeight="1">
      <c r="A4443" s="2714"/>
      <c r="B4443" s="371"/>
      <c r="C4443" s="371"/>
      <c r="D4443" s="371"/>
      <c r="E4443" s="586" t="s">
        <v>2749</v>
      </c>
      <c r="F4443" s="363"/>
      <c r="G4443" s="2439" t="s">
        <v>47</v>
      </c>
      <c r="H4443" s="2557" t="s">
        <v>6144</v>
      </c>
      <c r="I4443" s="2434" t="s">
        <v>3027</v>
      </c>
      <c r="J4443" s="2434" t="s">
        <v>3028</v>
      </c>
      <c r="K4443" s="2572" t="s">
        <v>6145</v>
      </c>
      <c r="L4443" s="2452" t="s">
        <v>5990</v>
      </c>
      <c r="M4443" s="1604"/>
      <c r="N4443" s="1604"/>
      <c r="O4443" s="1604"/>
      <c r="P4443" s="1604"/>
      <c r="Q4443" s="1604"/>
      <c r="R4443" s="1604"/>
      <c r="S4443" s="364"/>
      <c r="Z4443" s="609" t="s">
        <v>4178</v>
      </c>
      <c r="AA4443" s="609" t="s">
        <v>4179</v>
      </c>
      <c r="AE4443" s="369" t="s">
        <v>2761</v>
      </c>
      <c r="AF4443" s="369"/>
    </row>
    <row r="4444" spans="1:32" ht="18" hidden="1">
      <c r="A4444" s="2714"/>
      <c r="B4444" s="371">
        <v>101</v>
      </c>
      <c r="C4444" s="371"/>
      <c r="D4444" s="2716">
        <f t="shared" ref="D4444:D4450" si="508">IF(OR(G4444="*",G4444="",G4444=0),0,COUNTIF($G$4444:$G$4450,G4444))</f>
        <v>1</v>
      </c>
      <c r="E4444" s="2721">
        <v>1</v>
      </c>
      <c r="F4444" s="294"/>
      <c r="G4444" s="1474" t="s">
        <v>4181</v>
      </c>
      <c r="H4444" s="2275"/>
      <c r="I4444" s="2275"/>
      <c r="J4444" s="2275"/>
      <c r="K4444" s="1477">
        <f t="shared" ref="K4444:K4449" si="509">H4444+I4444-J4444</f>
        <v>0</v>
      </c>
      <c r="L4444" s="1604"/>
      <c r="M4444" s="1604"/>
      <c r="N4444" s="1604"/>
      <c r="O4444" s="1604"/>
      <c r="P4444" s="1604"/>
      <c r="Q4444" s="1604"/>
      <c r="R4444" s="1604"/>
      <c r="S4444" s="364"/>
      <c r="Z4444" s="609" t="s">
        <v>4178</v>
      </c>
      <c r="AA4444" s="609" t="s">
        <v>4179</v>
      </c>
      <c r="AE4444" s="369" t="s">
        <v>2761</v>
      </c>
      <c r="AF4444" s="369"/>
    </row>
    <row r="4445" spans="1:32" ht="18" hidden="1">
      <c r="A4445" s="2714"/>
      <c r="B4445" s="371">
        <v>102</v>
      </c>
      <c r="C4445" s="371"/>
      <c r="D4445" s="2716">
        <f t="shared" si="508"/>
        <v>1</v>
      </c>
      <c r="E4445" s="2721">
        <v>1</v>
      </c>
      <c r="F4445" s="294"/>
      <c r="G4445" s="1474" t="s">
        <v>4182</v>
      </c>
      <c r="H4445" s="2275"/>
      <c r="I4445" s="2275"/>
      <c r="J4445" s="2275"/>
      <c r="K4445" s="1477">
        <f t="shared" si="509"/>
        <v>0</v>
      </c>
      <c r="L4445" s="1604"/>
      <c r="M4445" s="1604"/>
      <c r="N4445" s="1604"/>
      <c r="O4445" s="1604"/>
      <c r="P4445" s="1604"/>
      <c r="Q4445" s="1604"/>
      <c r="R4445" s="1604"/>
      <c r="S4445" s="364"/>
      <c r="Z4445" s="609" t="s">
        <v>4178</v>
      </c>
      <c r="AA4445" s="609" t="s">
        <v>4179</v>
      </c>
      <c r="AE4445" s="369" t="s">
        <v>2761</v>
      </c>
      <c r="AF4445" s="369"/>
    </row>
    <row r="4446" spans="1:32" ht="18" hidden="1">
      <c r="A4446" s="2714"/>
      <c r="B4446" s="371">
        <v>103</v>
      </c>
      <c r="C4446" s="371"/>
      <c r="D4446" s="2716">
        <f t="shared" si="508"/>
        <v>1</v>
      </c>
      <c r="E4446" s="2721">
        <v>1</v>
      </c>
      <c r="F4446" s="294"/>
      <c r="G4446" s="1474" t="s">
        <v>4183</v>
      </c>
      <c r="H4446" s="2275"/>
      <c r="I4446" s="2275"/>
      <c r="J4446" s="2275"/>
      <c r="K4446" s="1477">
        <f t="shared" si="509"/>
        <v>0</v>
      </c>
      <c r="L4446" s="1604"/>
      <c r="M4446" s="1604"/>
      <c r="N4446" s="1604"/>
      <c r="O4446" s="1604"/>
      <c r="P4446" s="1604"/>
      <c r="Q4446" s="1604"/>
      <c r="R4446" s="1604"/>
      <c r="S4446" s="364"/>
      <c r="Z4446" s="609" t="s">
        <v>4178</v>
      </c>
      <c r="AA4446" s="609" t="s">
        <v>4179</v>
      </c>
      <c r="AE4446" s="369" t="s">
        <v>2761</v>
      </c>
      <c r="AF4446" s="369"/>
    </row>
    <row r="4447" spans="1:32" ht="18" hidden="1">
      <c r="A4447" s="2714"/>
      <c r="B4447" s="371">
        <v>104</v>
      </c>
      <c r="C4447" s="371"/>
      <c r="D4447" s="2716">
        <f t="shared" si="508"/>
        <v>1</v>
      </c>
      <c r="E4447" s="2721">
        <v>1</v>
      </c>
      <c r="F4447" s="294"/>
      <c r="G4447" s="1474" t="s">
        <v>4184</v>
      </c>
      <c r="H4447" s="2275"/>
      <c r="I4447" s="2275"/>
      <c r="J4447" s="2275"/>
      <c r="K4447" s="1477">
        <f t="shared" si="509"/>
        <v>0</v>
      </c>
      <c r="L4447" s="1604"/>
      <c r="M4447" s="1604"/>
      <c r="N4447" s="1604"/>
      <c r="O4447" s="1604"/>
      <c r="P4447" s="1604"/>
      <c r="Q4447" s="1604"/>
      <c r="R4447" s="1604"/>
      <c r="S4447" s="364"/>
      <c r="Z4447" s="609" t="s">
        <v>4178</v>
      </c>
      <c r="AA4447" s="609" t="s">
        <v>4179</v>
      </c>
      <c r="AE4447" s="369" t="s">
        <v>2761</v>
      </c>
      <c r="AF4447" s="369"/>
    </row>
    <row r="4448" spans="1:32" ht="18" hidden="1">
      <c r="A4448" s="2714"/>
      <c r="B4448" s="371">
        <v>105</v>
      </c>
      <c r="C4448" s="371" t="s">
        <v>2791</v>
      </c>
      <c r="D4448" s="2716">
        <f t="shared" si="508"/>
        <v>1</v>
      </c>
      <c r="E4448" s="2721">
        <v>1</v>
      </c>
      <c r="F4448" s="294"/>
      <c r="G4448" s="2437" t="s">
        <v>932</v>
      </c>
      <c r="H4448" s="2275"/>
      <c r="I4448" s="2275"/>
      <c r="J4448" s="2275"/>
      <c r="K4448" s="1477">
        <f t="shared" si="509"/>
        <v>0</v>
      </c>
      <c r="L4448" s="1604"/>
      <c r="M4448" s="1604"/>
      <c r="N4448" s="1604"/>
      <c r="O4448" s="1604"/>
      <c r="P4448" s="1604"/>
      <c r="Q4448" s="1604"/>
      <c r="R4448" s="1604"/>
      <c r="S4448" s="364"/>
      <c r="Z4448" s="609" t="s">
        <v>4178</v>
      </c>
      <c r="AA4448" s="609" t="s">
        <v>4179</v>
      </c>
      <c r="AE4448" s="369" t="s">
        <v>2761</v>
      </c>
      <c r="AF4448" s="369"/>
    </row>
    <row r="4449" spans="1:32" ht="18" hidden="1">
      <c r="A4449" s="2714"/>
      <c r="B4449" s="371">
        <v>106</v>
      </c>
      <c r="C4449" s="371" t="s">
        <v>2791</v>
      </c>
      <c r="D4449" s="2716">
        <f t="shared" si="508"/>
        <v>0</v>
      </c>
      <c r="E4449" s="2721">
        <v>1</v>
      </c>
      <c r="F4449" s="294"/>
      <c r="G4449" s="2437" t="s">
        <v>2792</v>
      </c>
      <c r="H4449" s="2275"/>
      <c r="I4449" s="2275"/>
      <c r="J4449" s="2275"/>
      <c r="K4449" s="1477">
        <f t="shared" si="509"/>
        <v>0</v>
      </c>
      <c r="L4449" s="1604"/>
      <c r="M4449" s="1604"/>
      <c r="N4449" s="1604"/>
      <c r="O4449" s="1604"/>
      <c r="P4449" s="1604"/>
      <c r="Q4449" s="1604"/>
      <c r="R4449" s="1604"/>
      <c r="S4449" s="364"/>
      <c r="Z4449" s="609" t="s">
        <v>4178</v>
      </c>
      <c r="AA4449" s="609" t="s">
        <v>4179</v>
      </c>
      <c r="AE4449" s="369" t="s">
        <v>2761</v>
      </c>
      <c r="AF4449" s="369"/>
    </row>
    <row r="4450" spans="1:32" ht="18.75" hidden="1" thickBot="1">
      <c r="A4450" s="2714"/>
      <c r="B4450" s="371"/>
      <c r="C4450" s="371"/>
      <c r="D4450" s="2716">
        <f t="shared" si="508"/>
        <v>1</v>
      </c>
      <c r="E4450" s="2721" t="s">
        <v>2751</v>
      </c>
      <c r="F4450" s="294"/>
      <c r="G4450" s="310" t="s">
        <v>2752</v>
      </c>
      <c r="H4450" s="1481">
        <f>SUMPRODUCT($E4443:$E4449,H4443:H4449)</f>
        <v>0</v>
      </c>
      <c r="I4450" s="1481">
        <f>SUMPRODUCT($E4443:$E4449,I4443:I4449)</f>
        <v>0</v>
      </c>
      <c r="J4450" s="1481">
        <f>SUMPRODUCT($E4443:$E4449,J4443:J4449)</f>
        <v>0</v>
      </c>
      <c r="K4450" s="1482">
        <f>SUMPRODUCT($E4443:$E4449,K4443:K4449)</f>
        <v>0</v>
      </c>
      <c r="L4450" s="1604"/>
      <c r="M4450" s="1604"/>
      <c r="N4450" s="1604"/>
      <c r="O4450" s="1604"/>
      <c r="P4450" s="1604"/>
      <c r="Q4450" s="1604"/>
      <c r="R4450" s="1604"/>
      <c r="S4450" s="364"/>
      <c r="Z4450" s="609" t="s">
        <v>4178</v>
      </c>
      <c r="AA4450" s="609" t="s">
        <v>4179</v>
      </c>
      <c r="AE4450" s="369" t="s">
        <v>2761</v>
      </c>
      <c r="AF4450" s="369"/>
    </row>
    <row r="4451" spans="1:32" ht="18" hidden="1">
      <c r="A4451" s="2714"/>
      <c r="B4451" s="371"/>
      <c r="C4451" s="371" t="s">
        <v>2755</v>
      </c>
      <c r="D4451" s="371"/>
      <c r="F4451" s="294"/>
      <c r="G4451" s="301"/>
      <c r="H4451" s="315"/>
      <c r="I4451" s="315"/>
      <c r="J4451" s="315"/>
      <c r="K4451" s="315"/>
      <c r="L4451" s="1604"/>
      <c r="M4451" s="1604"/>
      <c r="N4451" s="1604"/>
      <c r="O4451" s="1604"/>
      <c r="P4451" s="1604"/>
      <c r="Q4451" s="1604"/>
      <c r="R4451" s="1604"/>
      <c r="S4451" s="364"/>
      <c r="Z4451" s="609" t="s">
        <v>4178</v>
      </c>
      <c r="AA4451" s="609" t="s">
        <v>4179</v>
      </c>
      <c r="AE4451" s="369" t="s">
        <v>2761</v>
      </c>
    </row>
    <row r="4452" spans="1:32" ht="18">
      <c r="A4452" s="2714">
        <v>4102</v>
      </c>
      <c r="B4452" s="371">
        <v>59.5</v>
      </c>
      <c r="C4452" s="2716" t="str">
        <f>VLOOKUP($A4452,Sheet_Items,2,0)</f>
        <v>一般风险准备</v>
      </c>
      <c r="D4452" s="371"/>
      <c r="E4452" s="2716" t="s">
        <v>2739</v>
      </c>
      <c r="F4452" s="294"/>
      <c r="G4452" s="305" t="str">
        <f>B4452&amp;" "&amp;C4452</f>
        <v>59.5 一般风险准备</v>
      </c>
      <c r="H4452" s="306"/>
      <c r="I4452" s="306"/>
      <c r="J4452" s="306" t="s">
        <v>2740</v>
      </c>
      <c r="K4452" s="341">
        <f>VLOOKUP($A4452,Sheet_Trialbal,6,0)</f>
        <v>0</v>
      </c>
      <c r="L4452" s="342"/>
      <c r="M4452" s="306" t="s">
        <v>2741</v>
      </c>
      <c r="N4452" s="341">
        <f>VLOOKUP($A4452,Sheet_Trialbal,10,0)</f>
        <v>0</v>
      </c>
      <c r="O4452" s="306"/>
      <c r="P4452" s="301"/>
      <c r="S4452" s="364"/>
      <c r="Z4452" s="609" t="s">
        <v>4186</v>
      </c>
      <c r="AA4452" s="609"/>
    </row>
    <row r="4453" spans="1:32" ht="18">
      <c r="A4453" s="2714" t="s">
        <v>1815</v>
      </c>
      <c r="B4453" s="371">
        <v>1</v>
      </c>
      <c r="C4453" s="371"/>
      <c r="D4453" s="2716" t="str">
        <f>VLOOKUP($A4453,Sheet_NoteList,2,0)</f>
        <v>一般风险准备变动情况</v>
      </c>
      <c r="E4453" s="2716" t="s">
        <v>2742</v>
      </c>
      <c r="F4453" s="294"/>
      <c r="G4453" s="307" t="str">
        <f>"("&amp;B4453&amp;")"&amp;D4453</f>
        <v>(1)一般风险准备变动情况</v>
      </c>
      <c r="H4453" s="1517" t="str">
        <f>$A4453</f>
        <v>4102a</v>
      </c>
      <c r="I4453" s="343" t="s">
        <v>2743</v>
      </c>
      <c r="J4453" s="301" t="s">
        <v>2744</v>
      </c>
      <c r="K4453" s="2210">
        <f>K4458</f>
        <v>0</v>
      </c>
      <c r="L4453" s="345" t="str">
        <f>IF($I4453="适用",IF(ROUND(K4452-K4453,2)=0,"F/S",ROUND(K4452-K4453,2)),"#N/A")</f>
        <v>F/S</v>
      </c>
      <c r="M4453" s="301" t="s">
        <v>2745</v>
      </c>
      <c r="N4453" s="2210">
        <f>H4458</f>
        <v>0</v>
      </c>
      <c r="O4453" s="345" t="str">
        <f>IF($I4453="适用",IF(ROUND(N4452-N4453,2)=0,"F/S",ROUND(N4452-N4453,2)),"#N/A")</f>
        <v>F/S</v>
      </c>
      <c r="P4453" s="301"/>
      <c r="S4453" s="364"/>
      <c r="Z4453" s="609" t="s">
        <v>4186</v>
      </c>
      <c r="AA4453" s="609"/>
    </row>
    <row r="4454" spans="1:32" ht="0.75" customHeight="1" thickBot="1">
      <c r="A4454" s="2714"/>
      <c r="B4454" s="371"/>
      <c r="C4454" s="371"/>
      <c r="D4454" s="371"/>
      <c r="E4454" s="586"/>
      <c r="F4454" s="586"/>
      <c r="G4454" s="586" t="s">
        <v>4187</v>
      </c>
      <c r="H4454" s="371" t="s">
        <v>2904</v>
      </c>
      <c r="I4454" s="371" t="s">
        <v>3255</v>
      </c>
      <c r="J4454" s="371" t="s">
        <v>3256</v>
      </c>
      <c r="K4454" s="371" t="s">
        <v>3241</v>
      </c>
      <c r="L4454" s="291"/>
      <c r="M4454" s="291"/>
      <c r="N4454" s="291"/>
      <c r="O4454" s="291"/>
      <c r="S4454" s="364"/>
      <c r="Z4454" s="609" t="s">
        <v>4186</v>
      </c>
      <c r="AA4454" s="609"/>
    </row>
    <row r="4455" spans="1:32" ht="18">
      <c r="A4455" s="2714"/>
      <c r="B4455" s="371"/>
      <c r="C4455" s="371"/>
      <c r="D4455" s="371"/>
      <c r="E4455" s="586" t="s">
        <v>2749</v>
      </c>
      <c r="F4455" s="363"/>
      <c r="G4455" s="2458" t="s">
        <v>47</v>
      </c>
      <c r="H4455" s="2459" t="s">
        <v>2776</v>
      </c>
      <c r="I4455" s="2459" t="s">
        <v>3027</v>
      </c>
      <c r="J4455" s="2459" t="s">
        <v>3028</v>
      </c>
      <c r="K4455" s="2460" t="s">
        <v>2775</v>
      </c>
      <c r="L4455" s="291"/>
      <c r="M4455" s="291"/>
      <c r="N4455" s="291"/>
      <c r="O4455" s="291"/>
      <c r="S4455" s="364"/>
      <c r="Z4455" s="609" t="s">
        <v>4186</v>
      </c>
      <c r="AA4455" s="609"/>
    </row>
    <row r="4456" spans="1:32" ht="18">
      <c r="A4456" s="2714"/>
      <c r="B4456" s="371">
        <v>101</v>
      </c>
      <c r="C4456" s="371" t="s">
        <v>2791</v>
      </c>
      <c r="D4456" s="2716">
        <f>IF(OR(G4456="*",G4456="",G4456=0),0,COUNTIF($G$4456:$G$4458,G4456))</f>
        <v>0</v>
      </c>
      <c r="E4456" s="2721">
        <v>1</v>
      </c>
      <c r="F4456" s="294"/>
      <c r="G4456" s="2467" t="s">
        <v>2792</v>
      </c>
      <c r="H4456" s="2275"/>
      <c r="I4456" s="2275"/>
      <c r="J4456" s="2275"/>
      <c r="K4456" s="1477">
        <f>H4456+I4456-J4456</f>
        <v>0</v>
      </c>
      <c r="L4456" s="291"/>
      <c r="M4456" s="291"/>
      <c r="N4456" s="291"/>
      <c r="O4456" s="291"/>
      <c r="S4456" s="364"/>
      <c r="Z4456" s="609" t="s">
        <v>4186</v>
      </c>
      <c r="AA4456" s="609"/>
    </row>
    <row r="4457" spans="1:32" ht="18">
      <c r="A4457" s="2714"/>
      <c r="B4457" s="371">
        <v>102</v>
      </c>
      <c r="C4457" s="371" t="s">
        <v>2791</v>
      </c>
      <c r="D4457" s="2716">
        <f>IF(OR(G4457="*",G4457="",G4457=0),0,COUNTIF($G$4456:$G$4458,G4457))</f>
        <v>0</v>
      </c>
      <c r="E4457" s="2721">
        <v>1</v>
      </c>
      <c r="F4457" s="294"/>
      <c r="G4457" s="2467" t="s">
        <v>2792</v>
      </c>
      <c r="H4457" s="2275"/>
      <c r="I4457" s="2275"/>
      <c r="J4457" s="2275"/>
      <c r="K4457" s="1477">
        <f>H4457+I4457-J4457</f>
        <v>0</v>
      </c>
      <c r="L4457" s="291"/>
      <c r="M4457" s="291"/>
      <c r="N4457" s="291"/>
      <c r="O4457" s="291"/>
      <c r="S4457" s="364"/>
      <c r="Z4457" s="609" t="s">
        <v>4186</v>
      </c>
      <c r="AA4457" s="609"/>
    </row>
    <row r="4458" spans="1:32" ht="18.75" thickBot="1">
      <c r="A4458" s="2714"/>
      <c r="B4458" s="371"/>
      <c r="C4458" s="371"/>
      <c r="D4458" s="2716">
        <f>IF(OR(G4458="*",G4458="",G4458=0),0,COUNTIF($G$4456:$G$4458,G4458))</f>
        <v>1</v>
      </c>
      <c r="E4458" s="2721" t="s">
        <v>2751</v>
      </c>
      <c r="F4458" s="294"/>
      <c r="G4458" s="1529" t="s">
        <v>2752</v>
      </c>
      <c r="H4458" s="1527">
        <f>SUMPRODUCT($E4455:$E4457,H4455:H4457)</f>
        <v>0</v>
      </c>
      <c r="I4458" s="1527">
        <f>SUMPRODUCT($E4455:$E4457,I4455:I4457)</f>
        <v>0</v>
      </c>
      <c r="J4458" s="1527">
        <f>SUMPRODUCT($E4455:$E4457,J4455:J4457)</f>
        <v>0</v>
      </c>
      <c r="K4458" s="1528">
        <f>SUMPRODUCT($E4455:$E4457,K4455:K4457)</f>
        <v>0</v>
      </c>
      <c r="L4458" s="291"/>
      <c r="M4458" s="291"/>
      <c r="N4458" s="291"/>
      <c r="O4458" s="291"/>
      <c r="S4458" s="364"/>
      <c r="Z4458" s="609" t="s">
        <v>4186</v>
      </c>
      <c r="AA4458" s="609"/>
    </row>
    <row r="4459" spans="1:32" ht="18">
      <c r="A4459" s="2714"/>
      <c r="B4459" s="371"/>
      <c r="C4459" s="371" t="s">
        <v>2755</v>
      </c>
      <c r="D4459" s="371"/>
      <c r="F4459" s="294"/>
      <c r="G4459" s="301"/>
      <c r="H4459" s="315"/>
      <c r="I4459" s="315"/>
      <c r="J4459" s="315"/>
      <c r="K4459" s="315"/>
      <c r="L4459" s="291"/>
      <c r="M4459" s="291"/>
      <c r="N4459" s="291"/>
      <c r="O4459" s="291"/>
      <c r="S4459" s="364"/>
      <c r="Z4459" s="609" t="s">
        <v>4186</v>
      </c>
      <c r="AA4459" s="609"/>
    </row>
    <row r="4460" spans="1:32" ht="18">
      <c r="A4460" s="2714">
        <v>4200</v>
      </c>
      <c r="B4460" s="371">
        <v>60</v>
      </c>
      <c r="C4460" s="2716" t="str">
        <f>VLOOKUP($A4460,Sheet_Items,2,0)</f>
        <v>未分配利润</v>
      </c>
      <c r="D4460" s="371"/>
      <c r="E4460" s="2716" t="s">
        <v>2739</v>
      </c>
      <c r="F4460" s="294"/>
      <c r="G4460" s="305" t="str">
        <f>B4460&amp;" "&amp;C4460</f>
        <v>60 未分配利润</v>
      </c>
      <c r="H4460" s="306"/>
      <c r="I4460" s="306"/>
      <c r="J4460" s="306" t="s">
        <v>2740</v>
      </c>
      <c r="K4460" s="341">
        <f>VLOOKUP($A4460,Sheet_Trialbal,6,0)</f>
        <v>-787982.98</v>
      </c>
      <c r="L4460" s="342"/>
      <c r="M4460" s="306" t="s">
        <v>2741</v>
      </c>
      <c r="N4460" s="341">
        <f>VLOOKUP($A4460,Sheet_Trialbal,10,0)</f>
        <v>13291633.890000001</v>
      </c>
      <c r="O4460" s="306"/>
      <c r="P4460" s="301"/>
      <c r="S4460" s="364"/>
      <c r="Z4460" s="609" t="s">
        <v>4188</v>
      </c>
      <c r="AA4460" s="609" t="s">
        <v>5702</v>
      </c>
    </row>
    <row r="4461" spans="1:32" ht="24">
      <c r="A4461" s="2714" t="s">
        <v>1820</v>
      </c>
      <c r="B4461" s="371">
        <v>1</v>
      </c>
      <c r="C4461" s="371"/>
      <c r="D4461" s="2716" t="str">
        <f>VLOOKUP($A4461,Sheet_NoteList,2,0)</f>
        <v>未分配利润增减变动情况</v>
      </c>
      <c r="E4461" s="2716" t="s">
        <v>2742</v>
      </c>
      <c r="F4461" s="294"/>
      <c r="G4461" s="372" t="str">
        <f>"("&amp;B4461&amp;")"&amp;D4461</f>
        <v>(1)未分配利润增减变动情况</v>
      </c>
      <c r="H4461" s="1517" t="str">
        <f>$A4461</f>
        <v>4200a</v>
      </c>
      <c r="I4461" s="343" t="s">
        <v>2743</v>
      </c>
      <c r="J4461" s="301" t="s">
        <v>2744</v>
      </c>
      <c r="K4461" s="2210">
        <f>H4476</f>
        <v>-787982.98</v>
      </c>
      <c r="L4461" s="345" t="str">
        <f>IF($I4461="适用",IF(ROUND(K4460-K4461,2)=0,"F/S",ROUND(K4460-K4461,2)),"#N/A")</f>
        <v>F/S</v>
      </c>
      <c r="M4461" s="301" t="s">
        <v>2745</v>
      </c>
      <c r="N4461" s="2210">
        <f>I4476</f>
        <v>13291633.890000001</v>
      </c>
      <c r="O4461" s="345" t="str">
        <f>IF($I4461="适用",IF(ROUND(N4460-N4461,2)=0,"F/S",ROUND(N4460-N4461,2)),"#N/A")</f>
        <v>F/S</v>
      </c>
      <c r="P4461" s="301"/>
      <c r="Q4461" s="290" t="str">
        <f>IF($I4461="不适用","",IF(ROUND(SUM($H$4464:$J$4476),2)=0,"请输入",""))</f>
        <v/>
      </c>
      <c r="S4461" s="364"/>
      <c r="Z4461" s="609" t="s">
        <v>4188</v>
      </c>
      <c r="AA4461" s="609" t="s">
        <v>5702</v>
      </c>
    </row>
    <row r="4462" spans="1:32" ht="0.75" customHeight="1" thickBot="1">
      <c r="A4462" s="2714"/>
      <c r="B4462" s="371"/>
      <c r="C4462" s="371"/>
      <c r="D4462" s="371"/>
      <c r="F4462" s="371"/>
      <c r="G4462" s="371" t="s">
        <v>4189</v>
      </c>
      <c r="H4462" s="371" t="s">
        <v>3472</v>
      </c>
      <c r="I4462" s="371" t="s">
        <v>3473</v>
      </c>
      <c r="J4462" s="476"/>
      <c r="K4462" s="472"/>
      <c r="L4462" s="472"/>
      <c r="M4462" s="472"/>
      <c r="N4462" s="442"/>
      <c r="O4462" s="442"/>
      <c r="P4462" s="442"/>
      <c r="Q4462" s="442"/>
      <c r="R4462" s="443"/>
      <c r="S4462" s="364"/>
      <c r="Z4462" s="609" t="s">
        <v>4188</v>
      </c>
      <c r="AA4462" s="609" t="s">
        <v>5702</v>
      </c>
    </row>
    <row r="4463" spans="1:32" ht="18">
      <c r="A4463" s="2714"/>
      <c r="B4463" s="371"/>
      <c r="C4463" s="371"/>
      <c r="D4463" s="371"/>
      <c r="E4463" s="2716" t="s">
        <v>2749</v>
      </c>
      <c r="F4463" s="294"/>
      <c r="G4463" s="410" t="s">
        <v>47</v>
      </c>
      <c r="H4463" s="1514" t="str">
        <f>$V$4</f>
        <v>2019年度</v>
      </c>
      <c r="I4463" s="1515" t="str">
        <f>$V$5</f>
        <v>2018年度</v>
      </c>
      <c r="J4463" s="355" t="s">
        <v>5325</v>
      </c>
      <c r="K4463" s="472"/>
      <c r="L4463" s="472"/>
      <c r="M4463" s="472"/>
      <c r="N4463" s="442"/>
      <c r="O4463" s="442"/>
      <c r="P4463" s="442"/>
      <c r="Q4463" s="442"/>
      <c r="R4463" s="443"/>
      <c r="S4463" s="364"/>
      <c r="Z4463" s="609" t="s">
        <v>4188</v>
      </c>
      <c r="AA4463" s="609" t="s">
        <v>5702</v>
      </c>
    </row>
    <row r="4464" spans="1:32" ht="18">
      <c r="A4464" s="2714"/>
      <c r="B4464" s="371">
        <v>101</v>
      </c>
      <c r="C4464" s="371"/>
      <c r="D4464" s="2716">
        <f t="shared" ref="D4464:D4476" si="510">IF(OR(G4464="*",G4464="",G4464=0),0,COUNTIF($G$4464:$G$4476,G4464))</f>
        <v>1</v>
      </c>
      <c r="E4464" s="2721">
        <v>1</v>
      </c>
      <c r="F4464" s="294"/>
      <c r="G4464" s="308" t="s">
        <v>4190</v>
      </c>
      <c r="H4464" s="309">
        <f>I4476</f>
        <v>13291633.890000001</v>
      </c>
      <c r="I4464" s="346">
        <v>12823427.869999999</v>
      </c>
      <c r="J4464" s="617"/>
      <c r="K4464" s="472"/>
      <c r="L4464" s="472"/>
      <c r="M4464" s="472"/>
      <c r="N4464" s="442"/>
      <c r="O4464" s="442"/>
      <c r="P4464" s="442"/>
      <c r="Q4464" s="442"/>
      <c r="R4464" s="443"/>
      <c r="S4464" s="364"/>
      <c r="Z4464" s="609" t="s">
        <v>4188</v>
      </c>
      <c r="AA4464" s="609" t="s">
        <v>5702</v>
      </c>
    </row>
    <row r="4465" spans="1:27" ht="24">
      <c r="A4465" s="2714"/>
      <c r="B4465" s="371">
        <v>102</v>
      </c>
      <c r="C4465" s="371"/>
      <c r="D4465" s="2716">
        <f t="shared" si="510"/>
        <v>1</v>
      </c>
      <c r="E4465" s="2721">
        <v>1</v>
      </c>
      <c r="F4465" s="294"/>
      <c r="G4465" s="308" t="s">
        <v>4191</v>
      </c>
      <c r="H4465" s="309">
        <f>H4487</f>
        <v>-257562.14</v>
      </c>
      <c r="I4465" s="346"/>
      <c r="J4465" s="617"/>
      <c r="K4465" s="618"/>
      <c r="L4465" s="472"/>
      <c r="M4465" s="472"/>
      <c r="N4465" s="442"/>
      <c r="O4465" s="442"/>
      <c r="P4465" s="442"/>
      <c r="Q4465" s="442"/>
      <c r="R4465" s="443"/>
      <c r="S4465" s="364"/>
      <c r="Z4465" s="609" t="s">
        <v>4188</v>
      </c>
      <c r="AA4465" s="609" t="s">
        <v>5702</v>
      </c>
    </row>
    <row r="4466" spans="1:27" ht="18">
      <c r="A4466" s="2714"/>
      <c r="B4466" s="371">
        <v>103</v>
      </c>
      <c r="C4466" s="371"/>
      <c r="D4466" s="2716">
        <f t="shared" si="510"/>
        <v>1</v>
      </c>
      <c r="E4466" s="2721">
        <v>0</v>
      </c>
      <c r="F4466" s="294"/>
      <c r="G4466" s="308" t="s">
        <v>4192</v>
      </c>
      <c r="H4466" s="320">
        <f>H4464+H4465</f>
        <v>13034071.75</v>
      </c>
      <c r="I4466" s="361">
        <f>I4464+I4465</f>
        <v>12823427.869999999</v>
      </c>
      <c r="J4466" s="617"/>
      <c r="K4466" s="472"/>
      <c r="L4466" s="472"/>
      <c r="M4466" s="472"/>
      <c r="N4466" s="442"/>
      <c r="O4466" s="442"/>
      <c r="P4466" s="442"/>
      <c r="Q4466" s="442"/>
      <c r="R4466" s="443"/>
      <c r="S4466" s="364"/>
      <c r="Z4466" s="609" t="s">
        <v>4188</v>
      </c>
      <c r="AA4466" s="609" t="s">
        <v>5702</v>
      </c>
    </row>
    <row r="4467" spans="1:27" ht="24">
      <c r="A4467" s="2714"/>
      <c r="B4467" s="371">
        <v>104</v>
      </c>
      <c r="C4467" s="371"/>
      <c r="D4467" s="2716">
        <f t="shared" si="510"/>
        <v>1</v>
      </c>
      <c r="E4467" s="2721">
        <v>1</v>
      </c>
      <c r="F4467" s="294"/>
      <c r="G4467" s="308" t="s">
        <v>4193</v>
      </c>
      <c r="H4467" s="309">
        <f>VLOOKUP(6811,Sheet_Trialbal,6,0)</f>
        <v>-3349908.33</v>
      </c>
      <c r="I4467" s="346">
        <f>VLOOKUP(6811,Sheet_Trialbal,10,0)</f>
        <v>520228.91</v>
      </c>
      <c r="J4467" s="437"/>
      <c r="K4467" s="472"/>
      <c r="L4467" s="472"/>
      <c r="M4467" s="472"/>
      <c r="N4467" s="442"/>
      <c r="O4467" s="442"/>
      <c r="P4467" s="442"/>
      <c r="Q4467" s="442"/>
      <c r="R4467" s="443"/>
      <c r="S4467" s="364"/>
      <c r="Z4467" s="609" t="s">
        <v>4188</v>
      </c>
      <c r="AA4467" s="609" t="s">
        <v>5702</v>
      </c>
    </row>
    <row r="4468" spans="1:27" ht="18">
      <c r="A4468" s="2714"/>
      <c r="B4468" s="371">
        <v>105</v>
      </c>
      <c r="C4468" s="371" t="s">
        <v>2791</v>
      </c>
      <c r="D4468" s="2716">
        <f t="shared" si="510"/>
        <v>0</v>
      </c>
      <c r="E4468" s="2721">
        <v>1</v>
      </c>
      <c r="F4468" s="294"/>
      <c r="G4468" s="319" t="s">
        <v>2792</v>
      </c>
      <c r="H4468" s="309"/>
      <c r="I4468" s="346"/>
      <c r="J4468" s="437"/>
      <c r="K4468" s="472"/>
      <c r="L4468" s="472"/>
      <c r="M4468" s="472"/>
      <c r="N4468" s="442"/>
      <c r="O4468" s="442"/>
      <c r="P4468" s="442"/>
      <c r="Q4468" s="442"/>
      <c r="R4468" s="443"/>
      <c r="S4468" s="364"/>
      <c r="Z4468" s="609" t="s">
        <v>4188</v>
      </c>
      <c r="AA4468" s="609" t="s">
        <v>5702</v>
      </c>
    </row>
    <row r="4469" spans="1:27" ht="18">
      <c r="A4469" s="2714"/>
      <c r="B4469" s="371">
        <v>106</v>
      </c>
      <c r="C4469" s="371"/>
      <c r="D4469" s="2716">
        <f t="shared" si="510"/>
        <v>1</v>
      </c>
      <c r="E4469" s="2721">
        <v>-1</v>
      </c>
      <c r="F4469" s="294"/>
      <c r="G4469" s="308" t="s">
        <v>4194</v>
      </c>
      <c r="H4469" s="309">
        <f>K4431</f>
        <v>8046.4</v>
      </c>
      <c r="I4469" s="346">
        <v>52022.89</v>
      </c>
      <c r="J4469" s="437"/>
      <c r="K4469" s="472"/>
      <c r="L4469" s="472"/>
      <c r="M4469" s="472"/>
      <c r="N4469" s="442"/>
      <c r="O4469" s="442"/>
      <c r="P4469" s="442"/>
      <c r="Q4469" s="442"/>
      <c r="R4469" s="443"/>
      <c r="S4469" s="364"/>
      <c r="Z4469" s="609" t="s">
        <v>4188</v>
      </c>
      <c r="AA4469" s="609" t="s">
        <v>5702</v>
      </c>
    </row>
    <row r="4470" spans="1:27" ht="18">
      <c r="A4470" s="2714"/>
      <c r="B4470" s="371">
        <v>107</v>
      </c>
      <c r="C4470" s="371"/>
      <c r="D4470" s="2716">
        <f t="shared" si="510"/>
        <v>1</v>
      </c>
      <c r="E4470" s="2721">
        <v>-1</v>
      </c>
      <c r="F4470" s="294"/>
      <c r="G4470" s="603" t="s">
        <v>4195</v>
      </c>
      <c r="H4470" s="309"/>
      <c r="I4470" s="346"/>
      <c r="J4470" s="437"/>
      <c r="K4470" s="472"/>
      <c r="L4470" s="472"/>
      <c r="M4470" s="472"/>
      <c r="N4470" s="442"/>
      <c r="O4470" s="442"/>
      <c r="P4470" s="442"/>
      <c r="Q4470" s="442"/>
      <c r="R4470" s="443"/>
      <c r="S4470" s="364"/>
      <c r="Z4470" s="609" t="s">
        <v>4188</v>
      </c>
      <c r="AA4470" s="609" t="s">
        <v>5702</v>
      </c>
    </row>
    <row r="4471" spans="1:27" ht="18">
      <c r="A4471" s="2714"/>
      <c r="B4471" s="371">
        <v>108</v>
      </c>
      <c r="C4471" s="371"/>
      <c r="D4471" s="2716">
        <f t="shared" si="510"/>
        <v>1</v>
      </c>
      <c r="E4471" s="2721">
        <v>-1</v>
      </c>
      <c r="F4471" s="294"/>
      <c r="G4471" s="603" t="s">
        <v>1076</v>
      </c>
      <c r="H4471" s="309"/>
      <c r="I4471" s="346"/>
      <c r="J4471" s="437"/>
      <c r="K4471" s="472"/>
      <c r="L4471" s="472"/>
      <c r="M4471" s="472"/>
      <c r="N4471" s="442"/>
      <c r="O4471" s="442"/>
      <c r="P4471" s="442"/>
      <c r="Q4471" s="442"/>
      <c r="R4471" s="443"/>
      <c r="S4471" s="364"/>
      <c r="Z4471" s="609" t="s">
        <v>4188</v>
      </c>
      <c r="AA4471" s="609" t="s">
        <v>5702</v>
      </c>
    </row>
    <row r="4472" spans="1:27" ht="18">
      <c r="A4472" s="2714"/>
      <c r="B4472" s="371">
        <v>109</v>
      </c>
      <c r="C4472" s="371"/>
      <c r="D4472" s="2716">
        <f t="shared" si="510"/>
        <v>1</v>
      </c>
      <c r="E4472" s="2721">
        <v>-1</v>
      </c>
      <c r="F4472" s="294"/>
      <c r="G4472" s="603" t="s">
        <v>4196</v>
      </c>
      <c r="H4472" s="309">
        <v>10464100</v>
      </c>
      <c r="I4472" s="346"/>
      <c r="J4472" s="437"/>
      <c r="K4472" s="472"/>
      <c r="L4472" s="472"/>
      <c r="M4472" s="472"/>
      <c r="N4472" s="442"/>
      <c r="O4472" s="442"/>
      <c r="P4472" s="442"/>
      <c r="Q4472" s="442"/>
      <c r="R4472" s="443"/>
      <c r="S4472" s="364"/>
      <c r="Z4472" s="609" t="s">
        <v>4188</v>
      </c>
      <c r="AA4472" s="609" t="s">
        <v>5702</v>
      </c>
    </row>
    <row r="4473" spans="1:27" ht="18">
      <c r="A4473" s="2714"/>
      <c r="B4473" s="371">
        <v>110</v>
      </c>
      <c r="C4473" s="371"/>
      <c r="D4473" s="2716">
        <f t="shared" si="510"/>
        <v>1</v>
      </c>
      <c r="E4473" s="2721">
        <v>-1</v>
      </c>
      <c r="F4473" s="294"/>
      <c r="G4473" s="603" t="s">
        <v>4197</v>
      </c>
      <c r="H4473" s="309"/>
      <c r="I4473" s="346"/>
      <c r="J4473" s="437"/>
      <c r="K4473" s="472"/>
      <c r="L4473" s="472"/>
      <c r="M4473" s="472"/>
      <c r="N4473" s="442"/>
      <c r="O4473" s="442"/>
      <c r="P4473" s="442"/>
      <c r="Q4473" s="442"/>
      <c r="R4473" s="443"/>
      <c r="S4473" s="364"/>
      <c r="Z4473" s="609" t="s">
        <v>4188</v>
      </c>
      <c r="AA4473" s="609" t="s">
        <v>5702</v>
      </c>
    </row>
    <row r="4474" spans="1:27" ht="18">
      <c r="A4474" s="2714"/>
      <c r="B4474" s="371">
        <v>111</v>
      </c>
      <c r="C4474" s="371" t="s">
        <v>2791</v>
      </c>
      <c r="D4474" s="2716">
        <f t="shared" si="510"/>
        <v>0</v>
      </c>
      <c r="E4474" s="2721">
        <v>-1</v>
      </c>
      <c r="F4474" s="294"/>
      <c r="G4474" s="578" t="s">
        <v>2792</v>
      </c>
      <c r="H4474" s="309"/>
      <c r="I4474" s="346"/>
      <c r="J4474" s="437"/>
      <c r="K4474" s="472"/>
      <c r="L4474" s="472"/>
      <c r="M4474" s="472"/>
      <c r="N4474" s="442"/>
      <c r="O4474" s="442"/>
      <c r="P4474" s="442"/>
      <c r="Q4474" s="442"/>
      <c r="R4474" s="443"/>
      <c r="S4474" s="364"/>
      <c r="Z4474" s="609" t="s">
        <v>4188</v>
      </c>
      <c r="AA4474" s="609" t="s">
        <v>5702</v>
      </c>
    </row>
    <row r="4475" spans="1:27" ht="18">
      <c r="A4475" s="2714"/>
      <c r="B4475" s="371">
        <v>112</v>
      </c>
      <c r="C4475" s="371" t="s">
        <v>2791</v>
      </c>
      <c r="D4475" s="2716">
        <f t="shared" si="510"/>
        <v>0</v>
      </c>
      <c r="E4475" s="2721">
        <v>-1</v>
      </c>
      <c r="F4475" s="294"/>
      <c r="G4475" s="578" t="s">
        <v>2792</v>
      </c>
      <c r="H4475" s="309"/>
      <c r="I4475" s="346"/>
      <c r="J4475" s="437"/>
      <c r="K4475" s="472"/>
      <c r="L4475" s="472"/>
      <c r="M4475" s="472"/>
      <c r="N4475" s="442"/>
      <c r="O4475" s="442"/>
      <c r="P4475" s="442"/>
      <c r="Q4475" s="442"/>
      <c r="R4475" s="443"/>
      <c r="S4475" s="364"/>
      <c r="Z4475" s="609" t="s">
        <v>4188</v>
      </c>
      <c r="AA4475" s="609" t="s">
        <v>5702</v>
      </c>
    </row>
    <row r="4476" spans="1:27" ht="18.75" thickBot="1">
      <c r="A4476" s="2714"/>
      <c r="B4476" s="371"/>
      <c r="C4476" s="371"/>
      <c r="D4476" s="2716">
        <f t="shared" si="510"/>
        <v>1</v>
      </c>
      <c r="E4476" s="2721" t="s">
        <v>2751</v>
      </c>
      <c r="F4476" s="294"/>
      <c r="G4476" s="374" t="s">
        <v>4198</v>
      </c>
      <c r="H4476" s="375">
        <f>SUMPRODUCT($E4463:$E4475,H4463:H4475)</f>
        <v>-787982.98</v>
      </c>
      <c r="I4476" s="395">
        <f>SUMPRODUCT($E4463:$E4475,I4463:I4475)</f>
        <v>13291633.890000001</v>
      </c>
      <c r="J4476" s="437"/>
      <c r="K4476" s="472"/>
      <c r="L4476" s="472"/>
      <c r="M4476" s="472"/>
      <c r="N4476" s="442"/>
      <c r="O4476" s="442"/>
      <c r="P4476" s="442"/>
      <c r="Q4476" s="442"/>
      <c r="R4476" s="443"/>
      <c r="S4476" s="364"/>
      <c r="Z4476" s="609" t="s">
        <v>4188</v>
      </c>
      <c r="AA4476" s="609" t="s">
        <v>5702</v>
      </c>
    </row>
    <row r="4477" spans="1:27" ht="18">
      <c r="A4477" s="2714"/>
      <c r="B4477" s="371">
        <v>901</v>
      </c>
      <c r="C4477" s="371" t="s">
        <v>2755</v>
      </c>
      <c r="D4477" s="371"/>
      <c r="F4477" s="294"/>
      <c r="G4477" s="557"/>
      <c r="H4477" s="315"/>
      <c r="I4477" s="315"/>
      <c r="J4477" s="437"/>
      <c r="K4477" s="472"/>
      <c r="L4477" s="472"/>
      <c r="M4477" s="472"/>
      <c r="N4477" s="442"/>
      <c r="O4477" s="442"/>
      <c r="P4477" s="442"/>
      <c r="Q4477" s="442"/>
      <c r="R4477" s="443"/>
      <c r="S4477" s="364"/>
      <c r="Z4477" s="609" t="s">
        <v>4188</v>
      </c>
      <c r="AA4477" s="609" t="s">
        <v>5702</v>
      </c>
    </row>
    <row r="4478" spans="1:27" ht="24">
      <c r="A4478" s="2714" t="s">
        <v>1824</v>
      </c>
      <c r="B4478" s="371">
        <v>2</v>
      </c>
      <c r="C4478" s="371"/>
      <c r="D4478" s="2716" t="str">
        <f>VLOOKUP($A4478,Sheet_NoteList,2,0)</f>
        <v>调整本期期初未分配利润明细情况</v>
      </c>
      <c r="E4478" s="2716" t="s">
        <v>6531</v>
      </c>
      <c r="F4478" s="294"/>
      <c r="G4478" s="372" t="str">
        <f>"("&amp;B4478&amp;")"&amp;D4478</f>
        <v>(2)调整本期期初未分配利润明细情况</v>
      </c>
      <c r="H4478" s="1517" t="str">
        <f>$A4478</f>
        <v>4200b</v>
      </c>
      <c r="I4478" s="343" t="s">
        <v>5980</v>
      </c>
      <c r="J4478" s="301" t="s">
        <v>5979</v>
      </c>
      <c r="K4478" s="2210">
        <f>H4487</f>
        <v>-257562.14</v>
      </c>
      <c r="L4478" s="345"/>
      <c r="M4478" s="301"/>
      <c r="N4478" s="3083"/>
      <c r="O4478" s="315"/>
      <c r="P4478" s="301"/>
      <c r="S4478" s="364"/>
      <c r="Z4478" s="609" t="s">
        <v>4188</v>
      </c>
      <c r="AA4478" s="609" t="s">
        <v>5702</v>
      </c>
    </row>
    <row r="4479" spans="1:27" ht="0.75" customHeight="1" thickBot="1">
      <c r="A4479" s="2714"/>
      <c r="B4479" s="371"/>
      <c r="C4479" s="371"/>
      <c r="D4479" s="371"/>
      <c r="E4479" s="586"/>
      <c r="F4479" s="363"/>
      <c r="G4479" s="363" t="s">
        <v>4199</v>
      </c>
      <c r="H4479" s="294" t="s">
        <v>4200</v>
      </c>
      <c r="I4479" s="291"/>
      <c r="J4479" s="291"/>
      <c r="K4479" s="291"/>
      <c r="L4479" s="291"/>
      <c r="S4479" s="364"/>
      <c r="Z4479" s="609" t="s">
        <v>4188</v>
      </c>
      <c r="AA4479" s="609" t="s">
        <v>5702</v>
      </c>
    </row>
    <row r="4480" spans="1:27" ht="24">
      <c r="A4480" s="2714"/>
      <c r="B4480" s="371"/>
      <c r="C4480" s="371"/>
      <c r="D4480" s="371"/>
      <c r="E4480" s="586" t="s">
        <v>2749</v>
      </c>
      <c r="F4480" s="363"/>
      <c r="G4480" s="2435" t="s">
        <v>1826</v>
      </c>
      <c r="H4480" s="2436" t="s">
        <v>4201</v>
      </c>
      <c r="I4480" s="355" t="s">
        <v>6141</v>
      </c>
      <c r="J4480" s="291"/>
      <c r="K4480" s="291"/>
      <c r="L4480" s="291"/>
      <c r="S4480" s="364"/>
      <c r="Z4480" s="609" t="s">
        <v>4188</v>
      </c>
      <c r="AA4480" s="609" t="s">
        <v>5702</v>
      </c>
    </row>
    <row r="4481" spans="1:27" ht="24">
      <c r="A4481" s="2714"/>
      <c r="B4481" s="371">
        <v>101</v>
      </c>
      <c r="C4481" s="371"/>
      <c r="D4481" s="2716">
        <f t="shared" ref="D4481:D4487" si="511">IF(OR(G4481="*",G4481="",G4481=0),0,COUNTIF($G$4481:$G$4487,G4481))</f>
        <v>1</v>
      </c>
      <c r="E4481" s="2721">
        <v>1</v>
      </c>
      <c r="F4481" s="294"/>
      <c r="G4481" s="1474" t="s">
        <v>4202</v>
      </c>
      <c r="H4481" s="2296"/>
      <c r="I4481" s="291"/>
      <c r="J4481" s="291"/>
      <c r="K4481" s="291"/>
      <c r="L4481" s="291"/>
      <c r="S4481" s="364"/>
      <c r="Z4481" s="609" t="s">
        <v>4188</v>
      </c>
      <c r="AA4481" s="609" t="s">
        <v>5702</v>
      </c>
    </row>
    <row r="4482" spans="1:27" ht="18">
      <c r="A4482" s="2714"/>
      <c r="B4482" s="371">
        <v>102</v>
      </c>
      <c r="C4482" s="371"/>
      <c r="D4482" s="2716">
        <f t="shared" si="511"/>
        <v>1</v>
      </c>
      <c r="E4482" s="2721">
        <v>1</v>
      </c>
      <c r="F4482" s="294"/>
      <c r="G4482" s="1474" t="s">
        <v>2918</v>
      </c>
      <c r="H4482" s="2296">
        <f>(AJE!O19)*-1</f>
        <v>-257562.14</v>
      </c>
      <c r="I4482" s="291"/>
      <c r="J4482" s="291"/>
      <c r="K4482" s="291"/>
      <c r="L4482" s="291"/>
      <c r="S4482" s="364"/>
      <c r="Z4482" s="609" t="s">
        <v>4188</v>
      </c>
      <c r="AA4482" s="609" t="s">
        <v>5702</v>
      </c>
    </row>
    <row r="4483" spans="1:27" ht="18">
      <c r="A4483" s="2714"/>
      <c r="B4483" s="371">
        <v>103</v>
      </c>
      <c r="C4483" s="371"/>
      <c r="D4483" s="2716">
        <f t="shared" si="511"/>
        <v>1</v>
      </c>
      <c r="E4483" s="2721">
        <v>1</v>
      </c>
      <c r="F4483" s="294"/>
      <c r="G4483" s="1474" t="s">
        <v>4203</v>
      </c>
      <c r="H4483" s="2296"/>
      <c r="I4483" s="291"/>
      <c r="J4483" s="291"/>
      <c r="K4483" s="291"/>
      <c r="L4483" s="291"/>
      <c r="S4483" s="364"/>
      <c r="Z4483" s="609" t="s">
        <v>4188</v>
      </c>
      <c r="AA4483" s="609" t="s">
        <v>5702</v>
      </c>
    </row>
    <row r="4484" spans="1:27" ht="18">
      <c r="A4484" s="2714"/>
      <c r="B4484" s="371">
        <v>104</v>
      </c>
      <c r="C4484" s="371"/>
      <c r="D4484" s="2716">
        <f t="shared" si="511"/>
        <v>1</v>
      </c>
      <c r="E4484" s="2721">
        <v>1</v>
      </c>
      <c r="F4484" s="294"/>
      <c r="G4484" s="1474" t="s">
        <v>4204</v>
      </c>
      <c r="H4484" s="2296"/>
      <c r="I4484" s="291"/>
      <c r="J4484" s="291"/>
      <c r="K4484" s="291"/>
      <c r="L4484" s="291"/>
      <c r="S4484" s="364"/>
      <c r="Z4484" s="609" t="s">
        <v>4188</v>
      </c>
      <c r="AA4484" s="609" t="s">
        <v>5702</v>
      </c>
    </row>
    <row r="4485" spans="1:27" ht="18">
      <c r="A4485" s="2714"/>
      <c r="B4485" s="371">
        <v>105</v>
      </c>
      <c r="C4485" s="371"/>
      <c r="D4485" s="2716">
        <f t="shared" si="511"/>
        <v>1</v>
      </c>
      <c r="E4485" s="2721">
        <v>1</v>
      </c>
      <c r="F4485" s="294"/>
      <c r="G4485" s="1474" t="s">
        <v>6088</v>
      </c>
      <c r="H4485" s="2296"/>
      <c r="I4485" s="291"/>
      <c r="J4485" s="291"/>
      <c r="K4485" s="291"/>
      <c r="L4485" s="291"/>
      <c r="S4485" s="364"/>
      <c r="Z4485" s="609" t="s">
        <v>4188</v>
      </c>
      <c r="AA4485" s="609" t="s">
        <v>5702</v>
      </c>
    </row>
    <row r="4486" spans="1:27" ht="18">
      <c r="A4486" s="2714"/>
      <c r="B4486" s="371">
        <v>106</v>
      </c>
      <c r="C4486" s="371" t="s">
        <v>2791</v>
      </c>
      <c r="D4486" s="2716">
        <f t="shared" si="511"/>
        <v>0</v>
      </c>
      <c r="E4486" s="2721">
        <v>1</v>
      </c>
      <c r="F4486" s="294"/>
      <c r="G4486" s="2437" t="s">
        <v>2792</v>
      </c>
      <c r="H4486" s="2296"/>
      <c r="I4486" s="291"/>
      <c r="J4486" s="291"/>
      <c r="K4486" s="291"/>
      <c r="L4486" s="291"/>
      <c r="S4486" s="364"/>
      <c r="Z4486" s="609" t="s">
        <v>4188</v>
      </c>
      <c r="AA4486" s="609" t="s">
        <v>5702</v>
      </c>
    </row>
    <row r="4487" spans="1:27" ht="18.75" thickBot="1">
      <c r="A4487" s="2714"/>
      <c r="B4487" s="371"/>
      <c r="C4487" s="371"/>
      <c r="D4487" s="2716">
        <f t="shared" si="511"/>
        <v>1</v>
      </c>
      <c r="E4487" s="2721" t="s">
        <v>2751</v>
      </c>
      <c r="F4487" s="294"/>
      <c r="G4487" s="1529" t="s">
        <v>2752</v>
      </c>
      <c r="H4487" s="1528">
        <f>SUMPRODUCT($E4480:$E4486,H4480:H4486)</f>
        <v>-257562.14</v>
      </c>
      <c r="I4487" s="291"/>
      <c r="J4487" s="291"/>
      <c r="K4487" s="291"/>
      <c r="L4487" s="291"/>
      <c r="S4487" s="364"/>
      <c r="Z4487" s="609" t="s">
        <v>4188</v>
      </c>
      <c r="AA4487" s="609" t="s">
        <v>5702</v>
      </c>
    </row>
    <row r="4488" spans="1:27" ht="18">
      <c r="A4488" s="2714"/>
      <c r="B4488" s="371"/>
      <c r="C4488" s="371" t="s">
        <v>2755</v>
      </c>
      <c r="D4488" s="371"/>
      <c r="F4488" s="294"/>
      <c r="G4488" s="301"/>
      <c r="H4488" s="315"/>
      <c r="I4488" s="291"/>
      <c r="J4488" s="291"/>
      <c r="K4488" s="291"/>
      <c r="L4488" s="291"/>
      <c r="S4488" s="364"/>
      <c r="Z4488" s="609" t="s">
        <v>4188</v>
      </c>
      <c r="AA4488" s="609" t="s">
        <v>5702</v>
      </c>
    </row>
    <row r="4489" spans="1:27" ht="18">
      <c r="A4489" s="2714">
        <v>6064</v>
      </c>
      <c r="B4489" s="371">
        <v>61</v>
      </c>
      <c r="C4489" s="2716" t="str">
        <f>VLOOKUP($A4489,Sheet_Items,2,0)</f>
        <v>营业收入、营业成本</v>
      </c>
      <c r="D4489" s="371"/>
      <c r="E4489" s="2716" t="s">
        <v>2739</v>
      </c>
      <c r="F4489" s="294"/>
      <c r="G4489" s="305" t="str">
        <f>B4489&amp;" "&amp;C4489</f>
        <v>61 营业收入、营业成本</v>
      </c>
      <c r="H4489" s="306"/>
      <c r="I4489" s="306"/>
      <c r="J4489" s="306"/>
      <c r="K4489" s="539"/>
      <c r="L4489" s="342"/>
      <c r="M4489" s="306"/>
      <c r="N4489" s="539"/>
      <c r="O4489" s="306"/>
      <c r="P4489" s="301"/>
      <c r="S4489" s="364"/>
      <c r="Z4489" s="609" t="s">
        <v>4205</v>
      </c>
      <c r="AA4489" s="609"/>
    </row>
    <row r="4490" spans="1:27" ht="18">
      <c r="A4490" s="2714">
        <v>6001</v>
      </c>
      <c r="B4490" s="371">
        <v>61.1</v>
      </c>
      <c r="C4490" s="2716" t="str">
        <f>VLOOKUP($A4490,Sheet_Items,2,0)</f>
        <v>营业收入</v>
      </c>
      <c r="D4490" s="371"/>
      <c r="F4490" s="294"/>
      <c r="G4490" s="589" t="str">
        <f>B4490&amp;" "&amp;C4490</f>
        <v>61.1 营业收入</v>
      </c>
      <c r="H4490" s="290"/>
      <c r="I4490" s="290"/>
      <c r="J4490" s="540" t="s">
        <v>4206</v>
      </c>
      <c r="K4490" s="341">
        <f>VLOOKUP($A4490,Sheet_Trialbal,6,0)</f>
        <v>34251580.890000001</v>
      </c>
      <c r="L4490" s="541"/>
      <c r="M4490" s="540" t="s">
        <v>4207</v>
      </c>
      <c r="N4490" s="341">
        <f>VLOOKUP($A4490,Sheet_Trialbal,10,0)</f>
        <v>37369847.649999999</v>
      </c>
      <c r="O4490" s="542"/>
      <c r="S4490" s="364"/>
      <c r="Z4490" s="609" t="s">
        <v>4208</v>
      </c>
      <c r="AA4490" s="609" t="s">
        <v>4212</v>
      </c>
    </row>
    <row r="4491" spans="1:27" ht="18">
      <c r="A4491" s="2714">
        <v>6401</v>
      </c>
      <c r="B4491" s="371">
        <v>61.2</v>
      </c>
      <c r="C4491" s="2716" t="str">
        <f>VLOOKUP($A4491,Sheet_Items,2,0)</f>
        <v>营业成本</v>
      </c>
      <c r="D4491" s="371"/>
      <c r="F4491" s="294"/>
      <c r="G4491" s="589" t="str">
        <f>B4491&amp;" "&amp;C4491</f>
        <v>61.2 营业成本</v>
      </c>
      <c r="H4491" s="290"/>
      <c r="I4491" s="290"/>
      <c r="J4491" s="540" t="s">
        <v>4206</v>
      </c>
      <c r="K4491" s="341">
        <f>VLOOKUP($A4491,Sheet_Trialbal,6,0)</f>
        <v>21384532.949999999</v>
      </c>
      <c r="L4491" s="541"/>
      <c r="M4491" s="540" t="s">
        <v>4207</v>
      </c>
      <c r="N4491" s="341">
        <f>VLOOKUP($A4491,Sheet_Trialbal,10,0)</f>
        <v>23934591.690000001</v>
      </c>
      <c r="O4491" s="540"/>
      <c r="S4491" s="364"/>
      <c r="Z4491" s="609" t="s">
        <v>4209</v>
      </c>
      <c r="AA4491" s="609" t="s">
        <v>5703</v>
      </c>
    </row>
    <row r="4492" spans="1:27" ht="24">
      <c r="A4492" s="2714" t="s">
        <v>1844</v>
      </c>
      <c r="B4492" s="371">
        <v>1</v>
      </c>
      <c r="C4492" s="371"/>
      <c r="D4492" s="2716" t="str">
        <f>VLOOKUP($A4492,Sheet_NoteList,2,0)</f>
        <v>营业收入及营业成本明细列示</v>
      </c>
      <c r="E4492" s="2716" t="s">
        <v>2742</v>
      </c>
      <c r="F4492" s="293"/>
      <c r="G4492" s="372" t="str">
        <f>"("&amp;B4492&amp;")"&amp;D4492</f>
        <v>(1)营业收入及营业成本明细列示</v>
      </c>
      <c r="H4492" s="1517" t="str">
        <f>$A4492</f>
        <v>6064h</v>
      </c>
      <c r="I4492" s="343" t="s">
        <v>2743</v>
      </c>
      <c r="J4492" s="301" t="s">
        <v>4210</v>
      </c>
      <c r="K4492" s="2210">
        <f>H4500</f>
        <v>34251580.890000001</v>
      </c>
      <c r="L4492" s="349">
        <f>IF($I4492="适用",IF(ROUND(K$4489-K4492,2)=0,"F/S",ROUND(K$4489-K4492,2)),"#N/A")</f>
        <v>-34251580.890000001</v>
      </c>
      <c r="M4492" s="301" t="s">
        <v>4211</v>
      </c>
      <c r="N4492" s="2210">
        <f>I4500</f>
        <v>21384532.949999999</v>
      </c>
      <c r="O4492" s="349">
        <f>IF($I4492="适用",IF(ROUND(N$4489-N4492,2)=0,"F/S",ROUND(N$4489-N4492,2)),"#N/A")</f>
        <v>-21384532.949999999</v>
      </c>
      <c r="P4492" s="301"/>
      <c r="S4492" s="364"/>
      <c r="Z4492" s="609" t="s">
        <v>4205</v>
      </c>
      <c r="AA4492" s="609" t="s">
        <v>4212</v>
      </c>
    </row>
    <row r="4493" spans="1:27" ht="0.75" customHeight="1">
      <c r="A4493" s="2714"/>
      <c r="B4493" s="371"/>
      <c r="C4493" s="371"/>
      <c r="D4493" s="2716"/>
      <c r="E4493" s="586"/>
      <c r="F4493" s="586"/>
      <c r="G4493" s="2224" t="s">
        <v>4213</v>
      </c>
      <c r="H4493" s="371" t="s">
        <v>2747</v>
      </c>
      <c r="I4493" s="371" t="s">
        <v>2748</v>
      </c>
      <c r="J4493" s="371" t="s">
        <v>2948</v>
      </c>
      <c r="K4493" s="547" t="s">
        <v>3034</v>
      </c>
      <c r="L4493" s="428"/>
      <c r="M4493" s="433"/>
      <c r="N4493" s="428"/>
      <c r="O4493" s="428"/>
      <c r="P4493" s="433"/>
      <c r="Q4493" s="442"/>
      <c r="R4493" s="443"/>
      <c r="S4493" s="364"/>
      <c r="Z4493" s="609" t="s">
        <v>4205</v>
      </c>
      <c r="AA4493" s="609" t="s">
        <v>4212</v>
      </c>
    </row>
    <row r="4494" spans="1:27" ht="0.75" customHeight="1" thickBot="1">
      <c r="A4494" s="2714"/>
      <c r="B4494" s="371"/>
      <c r="C4494" s="371"/>
      <c r="D4494" s="2716"/>
      <c r="E4494" s="586"/>
      <c r="F4494" s="586"/>
      <c r="G4494" s="2224"/>
      <c r="H4494" s="371" t="s">
        <v>4214</v>
      </c>
      <c r="I4494" s="371" t="s">
        <v>4215</v>
      </c>
      <c r="J4494" s="371" t="s">
        <v>4216</v>
      </c>
      <c r="K4494" s="547" t="s">
        <v>4217</v>
      </c>
      <c r="L4494" s="428"/>
      <c r="M4494" s="433"/>
      <c r="N4494" s="428"/>
      <c r="O4494" s="428"/>
      <c r="P4494" s="433"/>
      <c r="Q4494" s="442"/>
      <c r="R4494" s="443"/>
      <c r="S4494" s="364"/>
      <c r="Z4494" s="609" t="s">
        <v>4205</v>
      </c>
      <c r="AA4494" s="609" t="s">
        <v>4212</v>
      </c>
    </row>
    <row r="4495" spans="1:27" ht="18" customHeight="1">
      <c r="A4495" s="2714"/>
      <c r="B4495" s="371"/>
      <c r="C4495" s="371"/>
      <c r="D4495" s="2716"/>
      <c r="E4495" s="586" t="s">
        <v>2749</v>
      </c>
      <c r="F4495" s="414"/>
      <c r="G4495" s="3465" t="s">
        <v>2870</v>
      </c>
      <c r="H4495" s="3433" t="str">
        <f>$V$4</f>
        <v>2019年度</v>
      </c>
      <c r="I4495" s="3508"/>
      <c r="J4495" s="3433" t="str">
        <f>$V$5</f>
        <v>2018年度</v>
      </c>
      <c r="K4495" s="3509"/>
      <c r="L4495" s="355" t="s">
        <v>5326</v>
      </c>
      <c r="M4495" s="433"/>
      <c r="N4495" s="428"/>
      <c r="O4495" s="428"/>
      <c r="P4495" s="433"/>
      <c r="Q4495" s="442"/>
      <c r="R4495" s="443"/>
      <c r="S4495" s="364"/>
      <c r="Z4495" s="609" t="s">
        <v>4205</v>
      </c>
      <c r="AA4495" s="609" t="s">
        <v>4212</v>
      </c>
    </row>
    <row r="4496" spans="1:27" ht="18">
      <c r="A4496" s="2714"/>
      <c r="B4496" s="371"/>
      <c r="C4496" s="371"/>
      <c r="D4496" s="2716"/>
      <c r="E4496" s="586" t="s">
        <v>2749</v>
      </c>
      <c r="F4496" s="414"/>
      <c r="G4496" s="3466"/>
      <c r="H4496" s="2471" t="s">
        <v>4218</v>
      </c>
      <c r="I4496" s="2471" t="s">
        <v>3411</v>
      </c>
      <c r="J4496" s="2471" t="s">
        <v>4218</v>
      </c>
      <c r="K4496" s="2472" t="s">
        <v>3411</v>
      </c>
      <c r="L4496" s="434"/>
      <c r="M4496" s="435"/>
      <c r="N4496" s="434"/>
      <c r="O4496" s="434"/>
      <c r="P4496" s="435"/>
      <c r="Q4496" s="442"/>
      <c r="R4496" s="443"/>
      <c r="S4496" s="364"/>
      <c r="Z4496" s="609" t="s">
        <v>4205</v>
      </c>
      <c r="AA4496" s="609" t="s">
        <v>4212</v>
      </c>
    </row>
    <row r="4497" spans="1:29" ht="18">
      <c r="A4497" s="2714"/>
      <c r="B4497" s="371">
        <v>101</v>
      </c>
      <c r="C4497" s="371"/>
      <c r="D4497" s="2716">
        <f>IF(OR(G4497="*",G4497="",G4497=0),0,COUNTIF($G$4497:$G$4500,G4497))</f>
        <v>1</v>
      </c>
      <c r="E4497" s="2721">
        <v>1</v>
      </c>
      <c r="F4497" s="293"/>
      <c r="G4497" s="1474" t="s">
        <v>4219</v>
      </c>
      <c r="H4497" s="1476">
        <f>H4506</f>
        <v>34251580.890000001</v>
      </c>
      <c r="I4497" s="1476">
        <f>H4515</f>
        <v>21267007.399999999</v>
      </c>
      <c r="J4497" s="1476">
        <f>I4506</f>
        <v>37369847.649999999</v>
      </c>
      <c r="K4497" s="1477">
        <f>I4515</f>
        <v>23909500.670000002</v>
      </c>
      <c r="L4497" s="355" t="s">
        <v>5359</v>
      </c>
      <c r="M4497" s="438"/>
      <c r="N4497" s="439"/>
      <c r="O4497" s="437"/>
      <c r="P4497" s="438"/>
      <c r="Q4497" s="442"/>
      <c r="R4497" s="443"/>
      <c r="S4497" s="364"/>
      <c r="Z4497" s="609" t="s">
        <v>4205</v>
      </c>
      <c r="AA4497" s="609" t="s">
        <v>4212</v>
      </c>
    </row>
    <row r="4498" spans="1:29" ht="18">
      <c r="A4498" s="2714"/>
      <c r="B4498" s="371">
        <v>102</v>
      </c>
      <c r="C4498" s="371"/>
      <c r="D4498" s="2716">
        <f>IF(OR(G4498="*",G4498="",G4498=0),0,COUNTIF($G$4497:$G$4500,G4498))</f>
        <v>1</v>
      </c>
      <c r="E4498" s="2721">
        <v>1</v>
      </c>
      <c r="F4498" s="293"/>
      <c r="G4498" s="1474" t="s">
        <v>4220</v>
      </c>
      <c r="H4498" s="1476">
        <f>H4507</f>
        <v>0</v>
      </c>
      <c r="I4498" s="1476">
        <f>H4516</f>
        <v>117525.55</v>
      </c>
      <c r="J4498" s="1476">
        <f>I4507</f>
        <v>0</v>
      </c>
      <c r="K4498" s="1477">
        <f>I4516</f>
        <v>25091.02</v>
      </c>
      <c r="L4498" s="355" t="s">
        <v>5359</v>
      </c>
      <c r="M4498" s="438"/>
      <c r="N4498" s="439"/>
      <c r="O4498" s="437"/>
      <c r="P4498" s="438"/>
      <c r="Q4498" s="442"/>
      <c r="R4498" s="443"/>
      <c r="S4498" s="364"/>
      <c r="Z4498" s="609" t="s">
        <v>4205</v>
      </c>
      <c r="AA4498" s="609" t="s">
        <v>4212</v>
      </c>
    </row>
    <row r="4499" spans="1:29" ht="18">
      <c r="A4499" s="2714"/>
      <c r="B4499" s="371">
        <v>103</v>
      </c>
      <c r="C4499" s="371" t="s">
        <v>2791</v>
      </c>
      <c r="D4499" s="2716">
        <f>IF(OR(G4499="*",G4499="",G4499=0),0,COUNTIF($G$4497:$G$4500,G4499))</f>
        <v>0</v>
      </c>
      <c r="E4499" s="2721">
        <v>1</v>
      </c>
      <c r="F4499" s="293"/>
      <c r="G4499" s="2448" t="s">
        <v>2792</v>
      </c>
      <c r="H4499" s="2275"/>
      <c r="I4499" s="2275"/>
      <c r="J4499" s="2275"/>
      <c r="K4499" s="2296"/>
      <c r="L4499" s="437"/>
      <c r="M4499" s="438"/>
      <c r="N4499" s="439"/>
      <c r="O4499" s="437"/>
      <c r="P4499" s="438"/>
      <c r="Q4499" s="442"/>
      <c r="R4499" s="443"/>
      <c r="S4499" s="364"/>
      <c r="Z4499" s="609" t="s">
        <v>4205</v>
      </c>
      <c r="AA4499" s="609" t="s">
        <v>4212</v>
      </c>
    </row>
    <row r="4500" spans="1:29" ht="18.75" thickBot="1">
      <c r="A4500" s="2714"/>
      <c r="B4500" s="371"/>
      <c r="C4500" s="371"/>
      <c r="D4500" s="2716">
        <f>IF(OR(G4500="*",G4500="",G4500=0),0,COUNTIF($G$4497:$G$4500,G4500))</f>
        <v>1</v>
      </c>
      <c r="E4500" s="2721" t="s">
        <v>2751</v>
      </c>
      <c r="F4500" s="293"/>
      <c r="G4500" s="374" t="s">
        <v>2752</v>
      </c>
      <c r="H4500" s="1478">
        <f>SUMPRODUCT($E4496:$E4499,H4496:H4499)</f>
        <v>34251580.890000001</v>
      </c>
      <c r="I4500" s="1478">
        <f>SUMPRODUCT($E4496:$E4499,I4496:I4499)</f>
        <v>21384532.949999999</v>
      </c>
      <c r="J4500" s="1478">
        <f>SUMPRODUCT($E4496:$E4499,J4496:J4499)</f>
        <v>37369847.649999999</v>
      </c>
      <c r="K4500" s="1479">
        <f>SUMPRODUCT($E4496:$E4499,K4496:K4499)</f>
        <v>23934591.690000001</v>
      </c>
      <c r="L4500" s="437"/>
      <c r="M4500" s="440"/>
      <c r="N4500" s="439"/>
      <c r="O4500" s="437"/>
      <c r="P4500" s="440"/>
      <c r="Q4500" s="442"/>
      <c r="R4500" s="443"/>
      <c r="S4500" s="364"/>
      <c r="Z4500" s="609" t="s">
        <v>4205</v>
      </c>
      <c r="AA4500" s="609" t="s">
        <v>4212</v>
      </c>
    </row>
    <row r="4501" spans="1:29" ht="18">
      <c r="A4501" s="2714"/>
      <c r="B4501" s="371"/>
      <c r="C4501" s="371" t="s">
        <v>2755</v>
      </c>
      <c r="D4501" s="2716"/>
      <c r="F4501" s="293"/>
      <c r="G4501" s="376"/>
      <c r="H4501" s="315"/>
      <c r="I4501" s="396"/>
      <c r="J4501" s="315"/>
      <c r="K4501" s="423"/>
      <c r="L4501" s="427"/>
      <c r="M4501" s="425"/>
      <c r="N4501" s="426"/>
      <c r="O4501" s="427"/>
      <c r="P4501" s="425"/>
      <c r="Q4501" s="442"/>
      <c r="R4501" s="443"/>
      <c r="S4501" s="364"/>
      <c r="Z4501" s="609" t="s">
        <v>4205</v>
      </c>
      <c r="AA4501" s="609" t="s">
        <v>4212</v>
      </c>
    </row>
    <row r="4502" spans="1:29" ht="18">
      <c r="A4502" s="2714" t="s">
        <v>1848</v>
      </c>
      <c r="B4502" s="371">
        <v>2</v>
      </c>
      <c r="C4502" s="371"/>
      <c r="D4502" s="2716" t="str">
        <f>VLOOKUP($A4502,Sheet_NoteList,2,0)</f>
        <v>营业收入明细项目</v>
      </c>
      <c r="E4502" s="2716" t="s">
        <v>2742</v>
      </c>
      <c r="F4502" s="294"/>
      <c r="G4502" s="307" t="str">
        <f>"("&amp;B4502&amp;")"&amp;D4502</f>
        <v>(2)营业收入明细项目</v>
      </c>
      <c r="H4502" s="1517" t="str">
        <f>$A4502</f>
        <v>6064a</v>
      </c>
      <c r="I4502" s="343" t="s">
        <v>2743</v>
      </c>
      <c r="J4502" s="301" t="s">
        <v>4210</v>
      </c>
      <c r="K4502" s="2210">
        <f>H4509</f>
        <v>34251580.890000001</v>
      </c>
      <c r="L4502" s="345" t="str">
        <f>IF($I4502="适用",IF(ROUND(K$4490-K4502,2)=0,"F/S",ROUND(K$4490-K4502,2)),"#N/A")</f>
        <v>F/S</v>
      </c>
      <c r="M4502" s="301" t="s">
        <v>4211</v>
      </c>
      <c r="N4502" s="2210">
        <f>I4509</f>
        <v>37369847.649999999</v>
      </c>
      <c r="O4502" s="345" t="str">
        <f>IF($I4502="适用",IF(ROUND(N$4490-N4502,2)=0,"F/S",ROUND(N$4490-N4502,2)),"#N/A")</f>
        <v>F/S</v>
      </c>
      <c r="P4502" s="301"/>
      <c r="Q4502" s="290" t="str">
        <f>IF($I4502="不适用","",IF(ROUND(SUM($H$4505:$I$4509),2)=0,"请输入",""))</f>
        <v/>
      </c>
      <c r="S4502" s="364"/>
      <c r="Z4502" s="609" t="s">
        <v>4221</v>
      </c>
      <c r="AA4502" s="609" t="s">
        <v>4212</v>
      </c>
    </row>
    <row r="4503" spans="1:29" ht="0.75" customHeight="1" thickBot="1">
      <c r="A4503" s="2714"/>
      <c r="B4503" s="371"/>
      <c r="C4503" s="371"/>
      <c r="D4503" s="371"/>
      <c r="E4503" s="586"/>
      <c r="F4503" s="586"/>
      <c r="G4503" s="586" t="s">
        <v>4222</v>
      </c>
      <c r="H4503" s="371" t="s">
        <v>4223</v>
      </c>
      <c r="I4503" s="371" t="s">
        <v>4224</v>
      </c>
      <c r="J4503" s="291"/>
      <c r="K4503" s="291"/>
      <c r="L4503" s="291"/>
      <c r="M4503" s="291"/>
      <c r="S4503" s="364"/>
      <c r="Z4503" s="609" t="s">
        <v>4221</v>
      </c>
      <c r="AA4503" s="609" t="s">
        <v>4212</v>
      </c>
    </row>
    <row r="4504" spans="1:29" ht="18">
      <c r="A4504" s="2714"/>
      <c r="B4504" s="371"/>
      <c r="C4504" s="371"/>
      <c r="D4504" s="371"/>
      <c r="E4504" s="586" t="s">
        <v>2749</v>
      </c>
      <c r="F4504" s="363"/>
      <c r="G4504" s="2449" t="s">
        <v>47</v>
      </c>
      <c r="H4504" s="2445" t="str">
        <f>$V$4</f>
        <v>2019年度</v>
      </c>
      <c r="I4504" s="2444" t="str">
        <f>$V$5</f>
        <v>2018年度</v>
      </c>
      <c r="J4504" s="594"/>
      <c r="K4504" s="291"/>
      <c r="L4504" s="291"/>
      <c r="M4504" s="291"/>
      <c r="S4504" s="364"/>
      <c r="Z4504" s="609" t="s">
        <v>4221</v>
      </c>
      <c r="AA4504" s="609" t="s">
        <v>4212</v>
      </c>
    </row>
    <row r="4505" spans="1:29" ht="18">
      <c r="A4505" s="2714"/>
      <c r="B4505" s="371">
        <v>101</v>
      </c>
      <c r="C4505" s="371"/>
      <c r="D4505" s="2716">
        <f>IF(OR(G4505="*",G4505="",G4505=0),0,COUNTIF($G$4505:$G$4509,G4505))</f>
        <v>1</v>
      </c>
      <c r="E4505" s="2721">
        <v>0</v>
      </c>
      <c r="F4505" s="294"/>
      <c r="G4505" s="1474" t="s">
        <v>631</v>
      </c>
      <c r="H4505" s="1476">
        <f>SUM(H4506:H4508)</f>
        <v>34251580.890000001</v>
      </c>
      <c r="I4505" s="1477">
        <f>SUM(I4506:I4508)</f>
        <v>37369847.649999999</v>
      </c>
      <c r="J4505" s="291"/>
      <c r="K4505" s="291"/>
      <c r="L4505" s="291"/>
      <c r="M4505" s="291"/>
      <c r="S4505" s="364"/>
      <c r="Z4505" s="609" t="s">
        <v>4221</v>
      </c>
      <c r="AA4505" s="609" t="s">
        <v>4212</v>
      </c>
    </row>
    <row r="4506" spans="1:29" ht="18">
      <c r="A4506" s="2714"/>
      <c r="B4506" s="371">
        <v>102</v>
      </c>
      <c r="C4506" s="371"/>
      <c r="D4506" s="2716">
        <f>IF(OR(G4506="*",G4506="",G4506=0),0,COUNTIF($G$4505:$G$4509,G4506))</f>
        <v>1</v>
      </c>
      <c r="E4506" s="2721">
        <v>1</v>
      </c>
      <c r="F4506" s="294"/>
      <c r="G4506" s="1474" t="s">
        <v>4225</v>
      </c>
      <c r="H4506" s="2275">
        <v>34251580.890000001</v>
      </c>
      <c r="I4506" s="2296">
        <v>37369847.649999999</v>
      </c>
      <c r="J4506" s="1533" t="str">
        <f ca="1">HYPERLINK("#'"&amp;$G$1&amp;"'!"&amp;ADDRESS(ROW(Notes!H4538),COLUMN(Notes!H4538),4),"* 请勿删除此行！点击往勾稽单元格，F5+Enter返回")</f>
        <v>* 请勿删除此行！点击往勾稽单元格，F5+Enter返回</v>
      </c>
      <c r="K4506" s="291"/>
      <c r="L4506" s="291"/>
      <c r="M4506" s="291"/>
      <c r="S4506" s="364"/>
      <c r="Z4506" s="609" t="s">
        <v>4221</v>
      </c>
      <c r="AA4506" s="609" t="s">
        <v>4212</v>
      </c>
      <c r="AC4506" s="369" t="s">
        <v>6573</v>
      </c>
    </row>
    <row r="4507" spans="1:29" ht="18">
      <c r="A4507" s="2714"/>
      <c r="B4507" s="371">
        <v>103</v>
      </c>
      <c r="C4507" s="371"/>
      <c r="D4507" s="2716">
        <f>IF(OR(G4507="*",G4507="",G4507=0),0,COUNTIF($G$4505:$G$4509,G4507))</f>
        <v>1</v>
      </c>
      <c r="E4507" s="2721">
        <v>1</v>
      </c>
      <c r="F4507" s="294"/>
      <c r="G4507" s="1474" t="s">
        <v>4226</v>
      </c>
      <c r="H4507" s="2275"/>
      <c r="I4507" s="2296"/>
      <c r="J4507" s="291"/>
      <c r="K4507" s="291"/>
      <c r="L4507" s="291"/>
      <c r="M4507" s="291"/>
      <c r="S4507" s="364"/>
      <c r="Z4507" s="609" t="s">
        <v>4221</v>
      </c>
      <c r="AA4507" s="609" t="s">
        <v>4212</v>
      </c>
    </row>
    <row r="4508" spans="1:29" ht="18">
      <c r="A4508" s="2714"/>
      <c r="B4508" s="371">
        <v>104</v>
      </c>
      <c r="C4508" s="371" t="s">
        <v>2791</v>
      </c>
      <c r="D4508" s="2716">
        <f>IF(OR(G4508="*",G4508="",G4508=0),0,COUNTIF($G$4505:$G$4509,G4508))</f>
        <v>0</v>
      </c>
      <c r="E4508" s="2721">
        <v>1</v>
      </c>
      <c r="F4508" s="294"/>
      <c r="G4508" s="2448" t="s">
        <v>2792</v>
      </c>
      <c r="H4508" s="2275"/>
      <c r="I4508" s="2296"/>
      <c r="J4508" s="291"/>
      <c r="K4508" s="291"/>
      <c r="L4508" s="291"/>
      <c r="M4508" s="291"/>
      <c r="S4508" s="364"/>
      <c r="Z4508" s="609" t="s">
        <v>4221</v>
      </c>
      <c r="AA4508" s="609" t="s">
        <v>4212</v>
      </c>
    </row>
    <row r="4509" spans="1:29" ht="18.75" thickBot="1">
      <c r="A4509" s="2714"/>
      <c r="B4509" s="371"/>
      <c r="C4509" s="371"/>
      <c r="D4509" s="2716">
        <f>IF(OR(G4509="*",G4509="",G4509=0),0,COUNTIF($G$4505:$G$4509,G4509))</f>
        <v>1</v>
      </c>
      <c r="E4509" s="2721" t="s">
        <v>2751</v>
      </c>
      <c r="F4509" s="294"/>
      <c r="G4509" s="374" t="s">
        <v>2752</v>
      </c>
      <c r="H4509" s="1478">
        <f>SUMPRODUCT($E4504:$E4508,H4504:H4508)</f>
        <v>34251580.890000001</v>
      </c>
      <c r="I4509" s="1479">
        <f>SUMPRODUCT($E4504:$E4508,I4504:I4508)</f>
        <v>37369847.649999999</v>
      </c>
      <c r="J4509" s="291"/>
      <c r="K4509" s="291"/>
      <c r="L4509" s="291"/>
      <c r="M4509" s="291"/>
      <c r="S4509" s="364"/>
      <c r="Z4509" s="609" t="s">
        <v>4221</v>
      </c>
      <c r="AA4509" s="609" t="s">
        <v>4212</v>
      </c>
    </row>
    <row r="4510" spans="1:29" ht="18">
      <c r="A4510" s="2714"/>
      <c r="B4510" s="371"/>
      <c r="C4510" s="371" t="s">
        <v>2755</v>
      </c>
      <c r="D4510" s="371"/>
      <c r="F4510" s="294"/>
      <c r="G4510" s="301"/>
      <c r="H4510" s="315"/>
      <c r="I4510" s="315"/>
      <c r="J4510" s="291"/>
      <c r="K4510" s="291"/>
      <c r="L4510" s="291"/>
      <c r="M4510" s="291"/>
      <c r="S4510" s="364"/>
      <c r="Z4510" s="609" t="s">
        <v>4221</v>
      </c>
      <c r="AA4510" s="609" t="s">
        <v>4212</v>
      </c>
    </row>
    <row r="4511" spans="1:29" ht="18">
      <c r="A4511" s="2714" t="s">
        <v>1851</v>
      </c>
      <c r="B4511" s="371">
        <v>3</v>
      </c>
      <c r="C4511" s="371"/>
      <c r="D4511" s="2716" t="str">
        <f>VLOOKUP($A4511,Sheet_NoteList,2,0)</f>
        <v>营业成本明细项目</v>
      </c>
      <c r="E4511" s="2716" t="s">
        <v>2742</v>
      </c>
      <c r="F4511" s="294"/>
      <c r="G4511" s="307" t="str">
        <f>"("&amp;B4511&amp;")"&amp;D4511</f>
        <v>(3)营业成本明细项目</v>
      </c>
      <c r="H4511" s="1517" t="str">
        <f>$A4511</f>
        <v>6064b</v>
      </c>
      <c r="I4511" s="343" t="s">
        <v>2743</v>
      </c>
      <c r="J4511" s="301" t="s">
        <v>4210</v>
      </c>
      <c r="K4511" s="2210">
        <f>H4518</f>
        <v>21384532.949999999</v>
      </c>
      <c r="L4511" s="345" t="str">
        <f>IF($I4511="适用",IF(ROUND(K$4491-K4511,2)=0,"F/S",ROUND(K$4491-K4511,2)),"#N/A")</f>
        <v>F/S</v>
      </c>
      <c r="M4511" s="301" t="s">
        <v>4211</v>
      </c>
      <c r="N4511" s="2210">
        <f>I4518</f>
        <v>23934591.690000001</v>
      </c>
      <c r="O4511" s="345" t="str">
        <f>IF($I4511="适用",IF(ROUND(N$4491-N4511,2)=0,"F/S",ROUND(N$4491-N4511,2)),"#N/A")</f>
        <v>F/S</v>
      </c>
      <c r="P4511" s="301"/>
      <c r="Q4511" s="290" t="str">
        <f>IF($I4511="不适用","",IF(ROUND(SUM($H$4514:$I$4518),2)=0,"请输入",""))</f>
        <v/>
      </c>
      <c r="S4511" s="364"/>
      <c r="Z4511" s="609" t="s">
        <v>4221</v>
      </c>
      <c r="AA4511" s="609" t="s">
        <v>5703</v>
      </c>
    </row>
    <row r="4512" spans="1:29" ht="0.75" customHeight="1" thickBot="1">
      <c r="A4512" s="2714"/>
      <c r="B4512" s="371"/>
      <c r="C4512" s="371"/>
      <c r="D4512" s="371"/>
      <c r="E4512" s="586"/>
      <c r="F4512" s="586"/>
      <c r="G4512" s="586" t="s">
        <v>4227</v>
      </c>
      <c r="H4512" s="371" t="s">
        <v>4223</v>
      </c>
      <c r="I4512" s="371" t="s">
        <v>4224</v>
      </c>
      <c r="J4512" s="291"/>
      <c r="K4512" s="291"/>
      <c r="L4512" s="291"/>
      <c r="M4512" s="291"/>
      <c r="S4512" s="364"/>
      <c r="Z4512" s="609" t="s">
        <v>4221</v>
      </c>
      <c r="AA4512" s="609" t="s">
        <v>5703</v>
      </c>
    </row>
    <row r="4513" spans="1:29" ht="18">
      <c r="A4513" s="2714"/>
      <c r="B4513" s="371"/>
      <c r="C4513" s="371"/>
      <c r="D4513" s="371"/>
      <c r="E4513" s="586" t="s">
        <v>2749</v>
      </c>
      <c r="F4513" s="363"/>
      <c r="G4513" s="2449" t="s">
        <v>47</v>
      </c>
      <c r="H4513" s="2445" t="str">
        <f>$V$4</f>
        <v>2019年度</v>
      </c>
      <c r="I4513" s="2444" t="str">
        <f>$V$5</f>
        <v>2018年度</v>
      </c>
      <c r="J4513" s="594"/>
      <c r="K4513" s="291"/>
      <c r="L4513" s="291"/>
      <c r="M4513" s="291"/>
      <c r="S4513" s="364"/>
      <c r="Z4513" s="609" t="s">
        <v>4221</v>
      </c>
      <c r="AA4513" s="609" t="s">
        <v>5703</v>
      </c>
    </row>
    <row r="4514" spans="1:29" ht="18">
      <c r="A4514" s="2714"/>
      <c r="B4514" s="371">
        <v>101</v>
      </c>
      <c r="C4514" s="371"/>
      <c r="D4514" s="2716">
        <f>IF(OR(G4514="*",G4514="",G4514=0),0,COUNTIF($G$4514:$G$4518,G4514))</f>
        <v>1</v>
      </c>
      <c r="E4514" s="2721">
        <v>0</v>
      </c>
      <c r="F4514" s="294"/>
      <c r="G4514" s="1474" t="s">
        <v>671</v>
      </c>
      <c r="H4514" s="1476">
        <f>SUM(H4515:H4517)</f>
        <v>21384532.949999999</v>
      </c>
      <c r="I4514" s="1477">
        <f>SUM(I4515:I4517)</f>
        <v>23934591.690000001</v>
      </c>
      <c r="J4514" s="291"/>
      <c r="K4514" s="291"/>
      <c r="L4514" s="291"/>
      <c r="M4514" s="291"/>
      <c r="S4514" s="364"/>
      <c r="Z4514" s="609" t="s">
        <v>4221</v>
      </c>
      <c r="AA4514" s="609" t="s">
        <v>5703</v>
      </c>
    </row>
    <row r="4515" spans="1:29" ht="18">
      <c r="A4515" s="2714"/>
      <c r="B4515" s="371">
        <v>102</v>
      </c>
      <c r="C4515" s="371"/>
      <c r="D4515" s="2716">
        <f>IF(OR(G4515="*",G4515="",G4515=0),0,COUNTIF($G$4514:$G$4518,G4515))</f>
        <v>1</v>
      </c>
      <c r="E4515" s="2721">
        <v>1</v>
      </c>
      <c r="F4515" s="294"/>
      <c r="G4515" s="1474" t="s">
        <v>4228</v>
      </c>
      <c r="H4515" s="2275">
        <v>21267007.399999999</v>
      </c>
      <c r="I4515" s="2296">
        <v>23909500.670000002</v>
      </c>
      <c r="J4515" s="1533" t="str">
        <f ca="1">HYPERLINK("#'"&amp;$G$1&amp;"'!"&amp;ADDRESS(ROW(Notes!I4538),COLUMN(Notes!I4538),4),"* 请勿删除此行！点击往勾稽单元格，F5+Enter返回")</f>
        <v>* 请勿删除此行！点击往勾稽单元格，F5+Enter返回</v>
      </c>
      <c r="K4515" s="291"/>
      <c r="L4515" s="291"/>
      <c r="M4515" s="291"/>
      <c r="S4515" s="364"/>
      <c r="Z4515" s="609" t="s">
        <v>4221</v>
      </c>
      <c r="AA4515" s="609" t="s">
        <v>5703</v>
      </c>
      <c r="AC4515" s="369" t="s">
        <v>6573</v>
      </c>
    </row>
    <row r="4516" spans="1:29" ht="18">
      <c r="A4516" s="2714"/>
      <c r="B4516" s="371">
        <v>103</v>
      </c>
      <c r="C4516" s="371"/>
      <c r="D4516" s="2716">
        <f>IF(OR(G4516="*",G4516="",G4516=0),0,COUNTIF($G$4514:$G$4518,G4516))</f>
        <v>1</v>
      </c>
      <c r="E4516" s="2721">
        <v>1</v>
      </c>
      <c r="F4516" s="294"/>
      <c r="G4516" s="1474" t="s">
        <v>4229</v>
      </c>
      <c r="H4516" s="2275">
        <v>117525.55</v>
      </c>
      <c r="I4516" s="2296">
        <v>25091.02</v>
      </c>
      <c r="J4516" s="291"/>
      <c r="K4516" s="291"/>
      <c r="L4516" s="291"/>
      <c r="M4516" s="291"/>
      <c r="S4516" s="364"/>
      <c r="Z4516" s="609" t="s">
        <v>4221</v>
      </c>
      <c r="AA4516" s="609" t="s">
        <v>5703</v>
      </c>
    </row>
    <row r="4517" spans="1:29" ht="18">
      <c r="A4517" s="2714"/>
      <c r="B4517" s="371">
        <v>104</v>
      </c>
      <c r="C4517" s="371" t="s">
        <v>2791</v>
      </c>
      <c r="D4517" s="2716">
        <f>IF(OR(G4517="*",G4517="",G4517=0),0,COUNTIF($G$4514:$G$4518,G4517))</f>
        <v>0</v>
      </c>
      <c r="E4517" s="2721">
        <v>1</v>
      </c>
      <c r="F4517" s="294"/>
      <c r="G4517" s="2448" t="s">
        <v>2792</v>
      </c>
      <c r="H4517" s="2275"/>
      <c r="I4517" s="2296"/>
      <c r="J4517" s="291"/>
      <c r="K4517" s="291"/>
      <c r="L4517" s="291"/>
      <c r="M4517" s="291"/>
      <c r="S4517" s="364"/>
      <c r="Z4517" s="609" t="s">
        <v>4221</v>
      </c>
      <c r="AA4517" s="609" t="s">
        <v>5703</v>
      </c>
    </row>
    <row r="4518" spans="1:29" ht="18.75" thickBot="1">
      <c r="A4518" s="2714"/>
      <c r="B4518" s="371"/>
      <c r="C4518" s="371"/>
      <c r="D4518" s="2716">
        <f>IF(OR(G4518="*",G4518="",G4518=0),0,COUNTIF($G$4514:$G$4518,G4518))</f>
        <v>1</v>
      </c>
      <c r="E4518" s="2721" t="s">
        <v>2751</v>
      </c>
      <c r="F4518" s="294"/>
      <c r="G4518" s="374" t="s">
        <v>2752</v>
      </c>
      <c r="H4518" s="1478">
        <f>SUMPRODUCT($E4513:$E4517,H4513:H4517)</f>
        <v>21384532.949999999</v>
      </c>
      <c r="I4518" s="1479">
        <f>SUMPRODUCT($E4513:$E4517,I4513:I4517)</f>
        <v>23934591.690000001</v>
      </c>
      <c r="J4518" s="291"/>
      <c r="K4518" s="291"/>
      <c r="L4518" s="291"/>
      <c r="M4518" s="291"/>
      <c r="S4518" s="364"/>
      <c r="Z4518" s="609" t="s">
        <v>4221</v>
      </c>
      <c r="AA4518" s="609" t="s">
        <v>5703</v>
      </c>
    </row>
    <row r="4519" spans="1:29" ht="18">
      <c r="A4519" s="2714"/>
      <c r="B4519" s="371"/>
      <c r="C4519" s="371" t="s">
        <v>2755</v>
      </c>
      <c r="D4519" s="371"/>
      <c r="F4519" s="294"/>
      <c r="G4519" s="301"/>
      <c r="H4519" s="315"/>
      <c r="I4519" s="315"/>
      <c r="J4519" s="291"/>
      <c r="K4519" s="291"/>
      <c r="L4519" s="291"/>
      <c r="M4519" s="291"/>
      <c r="S4519" s="364"/>
      <c r="Z4519" s="609" t="s">
        <v>4221</v>
      </c>
      <c r="AA4519" s="609" t="s">
        <v>5703</v>
      </c>
    </row>
    <row r="4520" spans="1:29" ht="24">
      <c r="A4520" s="2714" t="s">
        <v>1854</v>
      </c>
      <c r="B4520" s="371">
        <v>4</v>
      </c>
      <c r="C4520" s="371"/>
      <c r="D4520" s="2716" t="str">
        <f>VLOOKUP($A4520,Sheet_NoteList,2,0)</f>
        <v>主营业务（分行业或业务）</v>
      </c>
      <c r="E4520" s="2716" t="s">
        <v>2742</v>
      </c>
      <c r="F4520" s="294"/>
      <c r="G4520" s="372" t="str">
        <f>"("&amp;B4520&amp;")"&amp;D4520</f>
        <v>(4)主营业务（分行业或业务）</v>
      </c>
      <c r="H4520" s="1517" t="str">
        <f>$A4520</f>
        <v>6064c</v>
      </c>
      <c r="I4520" s="343" t="s">
        <v>2743</v>
      </c>
      <c r="J4520" s="301" t="s">
        <v>4210</v>
      </c>
      <c r="K4520" s="2210">
        <f>H4535-I4535</f>
        <v>12984573.49</v>
      </c>
      <c r="L4520" s="345" t="str">
        <f>IF($I4520="适用",IF(ROUND(H$4506-H$4515-K4520,2)=0,"F/S",ROUND(H$4506-H$4515-K4520,2)),"#N/A")</f>
        <v>F/S</v>
      </c>
      <c r="M4520" s="301" t="s">
        <v>4211</v>
      </c>
      <c r="N4520" s="2210">
        <f>J4535-K4535</f>
        <v>13460346.98</v>
      </c>
      <c r="O4520" s="345" t="str">
        <f>IF($I4520="适用",IF(ROUND(I$4506-I$4515-N4520,2)=0,"F/S",ROUND(I$4506-I$4515-N4520,2)),"#N/A")</f>
        <v>F/S</v>
      </c>
      <c r="P4520" s="301"/>
      <c r="Q4520" s="290" t="str">
        <f>IF($I4520="不适用","",IF(ROUND(SUM($H$4525:$K$4535),2)=0,"请输入",""))</f>
        <v/>
      </c>
      <c r="S4520" s="364"/>
      <c r="Z4520" s="609" t="s">
        <v>4221</v>
      </c>
      <c r="AA4520" s="609" t="s">
        <v>6577</v>
      </c>
    </row>
    <row r="4521" spans="1:29" ht="0.75" customHeight="1">
      <c r="A4521" s="2714"/>
      <c r="B4521" s="371"/>
      <c r="C4521" s="371"/>
      <c r="D4521" s="371"/>
      <c r="E4521" s="586"/>
      <c r="F4521" s="363"/>
      <c r="G4521" s="363" t="s">
        <v>4230</v>
      </c>
      <c r="H4521" s="294" t="s">
        <v>4231</v>
      </c>
      <c r="I4521" s="294" t="s">
        <v>4232</v>
      </c>
      <c r="J4521" s="294" t="s">
        <v>4233</v>
      </c>
      <c r="K4521" s="294" t="s">
        <v>4234</v>
      </c>
      <c r="L4521" s="291"/>
      <c r="M4521" s="291"/>
      <c r="N4521" s="291"/>
      <c r="O4521" s="291"/>
      <c r="S4521" s="364"/>
      <c r="Z4521" s="609" t="s">
        <v>4221</v>
      </c>
      <c r="AA4521" s="609" t="s">
        <v>6577</v>
      </c>
    </row>
    <row r="4522" spans="1:29" ht="0.75" customHeight="1" thickBot="1">
      <c r="A4522" s="2714"/>
      <c r="B4522" s="371"/>
      <c r="C4522" s="371"/>
      <c r="D4522" s="371"/>
      <c r="E4522" s="586"/>
      <c r="F4522" s="363"/>
      <c r="G4522" s="363"/>
      <c r="H4522" s="294" t="s">
        <v>4235</v>
      </c>
      <c r="I4522" s="294" t="s">
        <v>4236</v>
      </c>
      <c r="J4522" s="294" t="s">
        <v>4237</v>
      </c>
      <c r="K4522" s="294" t="s">
        <v>4238</v>
      </c>
      <c r="L4522" s="291"/>
      <c r="M4522" s="291"/>
      <c r="N4522" s="291"/>
      <c r="O4522" s="291"/>
      <c r="S4522" s="364"/>
      <c r="Z4522" s="609" t="s">
        <v>4221</v>
      </c>
      <c r="AA4522" s="609" t="s">
        <v>6577</v>
      </c>
    </row>
    <row r="4523" spans="1:29" ht="18">
      <c r="A4523" s="2714"/>
      <c r="B4523" s="371"/>
      <c r="C4523" s="371"/>
      <c r="D4523" s="371"/>
      <c r="E4523" s="586" t="s">
        <v>2749</v>
      </c>
      <c r="F4523" s="363"/>
      <c r="G4523" s="3472" t="s">
        <v>6089</v>
      </c>
      <c r="H4523" s="3415" t="str">
        <f>$V$4</f>
        <v>2019年度</v>
      </c>
      <c r="I4523" s="3452"/>
      <c r="J4523" s="3415" t="str">
        <f>$V$5</f>
        <v>2018年度</v>
      </c>
      <c r="K4523" s="3490"/>
      <c r="L4523" s="355" t="s">
        <v>5326</v>
      </c>
      <c r="M4523" s="291"/>
      <c r="N4523" s="291"/>
      <c r="O4523" s="291"/>
      <c r="S4523" s="364"/>
      <c r="Z4523" s="609" t="s">
        <v>4221</v>
      </c>
      <c r="AA4523" s="609" t="s">
        <v>6577</v>
      </c>
    </row>
    <row r="4524" spans="1:29" ht="18">
      <c r="A4524" s="2714"/>
      <c r="B4524" s="371"/>
      <c r="C4524" s="371"/>
      <c r="D4524" s="371"/>
      <c r="E4524" s="586" t="s">
        <v>2749</v>
      </c>
      <c r="F4524" s="363"/>
      <c r="G4524" s="3473"/>
      <c r="H4524" s="2443" t="s">
        <v>4218</v>
      </c>
      <c r="I4524" s="2443" t="s">
        <v>3411</v>
      </c>
      <c r="J4524" s="2443" t="s">
        <v>4218</v>
      </c>
      <c r="K4524" s="2450" t="s">
        <v>3411</v>
      </c>
      <c r="L4524" s="291"/>
      <c r="M4524" s="291"/>
      <c r="N4524" s="291"/>
      <c r="O4524" s="291"/>
      <c r="S4524" s="364"/>
      <c r="Z4524" s="609" t="s">
        <v>4221</v>
      </c>
      <c r="AA4524" s="609" t="s">
        <v>6577</v>
      </c>
    </row>
    <row r="4525" spans="1:29" ht="18">
      <c r="A4525" s="2714"/>
      <c r="B4525" s="371">
        <v>101</v>
      </c>
      <c r="C4525" s="371" t="s">
        <v>2791</v>
      </c>
      <c r="D4525" s="2716">
        <f t="shared" ref="D4525:D4535" si="512">IF(OR(G4525="*",G4525="",G4525=0),0,COUNTIF($G$4525:$G$4535,G4525))</f>
        <v>1</v>
      </c>
      <c r="E4525" s="2721">
        <v>1</v>
      </c>
      <c r="F4525" s="294"/>
      <c r="G4525" s="2448" t="s">
        <v>7319</v>
      </c>
      <c r="H4525" s="2275">
        <v>34251580.890000001</v>
      </c>
      <c r="I4525" s="2275">
        <v>21267007.399999999</v>
      </c>
      <c r="J4525" s="2275">
        <v>37369847.649999999</v>
      </c>
      <c r="K4525" s="2296">
        <v>23909500.670000002</v>
      </c>
      <c r="L4525" s="291"/>
      <c r="M4525" s="291"/>
      <c r="N4525" s="291"/>
      <c r="O4525" s="291"/>
      <c r="S4525" s="364"/>
      <c r="Z4525" s="609" t="s">
        <v>4221</v>
      </c>
      <c r="AA4525" s="609" t="s">
        <v>6577</v>
      </c>
    </row>
    <row r="4526" spans="1:29" ht="18">
      <c r="A4526" s="2714"/>
      <c r="B4526" s="371">
        <v>102</v>
      </c>
      <c r="C4526" s="371" t="s">
        <v>2791</v>
      </c>
      <c r="D4526" s="2716">
        <f t="shared" si="512"/>
        <v>0</v>
      </c>
      <c r="E4526" s="2721">
        <v>1</v>
      </c>
      <c r="F4526" s="294"/>
      <c r="G4526" s="2448" t="s">
        <v>2792</v>
      </c>
      <c r="H4526" s="2275"/>
      <c r="I4526" s="2275"/>
      <c r="J4526" s="2275"/>
      <c r="K4526" s="2296"/>
      <c r="L4526" s="291"/>
      <c r="M4526" s="291"/>
      <c r="N4526" s="291"/>
      <c r="O4526" s="291"/>
      <c r="S4526" s="364"/>
      <c r="Z4526" s="609" t="s">
        <v>4221</v>
      </c>
      <c r="AA4526" s="609" t="s">
        <v>6577</v>
      </c>
    </row>
    <row r="4527" spans="1:29" ht="18">
      <c r="A4527" s="2714"/>
      <c r="B4527" s="371">
        <v>103</v>
      </c>
      <c r="C4527" s="371" t="s">
        <v>2791</v>
      </c>
      <c r="D4527" s="2716">
        <f t="shared" si="512"/>
        <v>0</v>
      </c>
      <c r="E4527" s="2721">
        <v>1</v>
      </c>
      <c r="F4527" s="294"/>
      <c r="G4527" s="2448" t="s">
        <v>2792</v>
      </c>
      <c r="H4527" s="2275"/>
      <c r="I4527" s="2275"/>
      <c r="J4527" s="2275"/>
      <c r="K4527" s="2296"/>
      <c r="L4527" s="291"/>
      <c r="M4527" s="291"/>
      <c r="N4527" s="291"/>
      <c r="O4527" s="291"/>
      <c r="S4527" s="364"/>
      <c r="Z4527" s="609" t="s">
        <v>4221</v>
      </c>
      <c r="AA4527" s="609" t="s">
        <v>6577</v>
      </c>
    </row>
    <row r="4528" spans="1:29" ht="18">
      <c r="A4528" s="2714"/>
      <c r="B4528" s="371">
        <v>104</v>
      </c>
      <c r="C4528" s="371" t="s">
        <v>2791</v>
      </c>
      <c r="D4528" s="2716">
        <f t="shared" si="512"/>
        <v>0</v>
      </c>
      <c r="E4528" s="2721">
        <v>1</v>
      </c>
      <c r="F4528" s="294"/>
      <c r="G4528" s="2448" t="s">
        <v>2792</v>
      </c>
      <c r="H4528" s="2275"/>
      <c r="I4528" s="2275"/>
      <c r="J4528" s="2275"/>
      <c r="K4528" s="2296"/>
      <c r="L4528" s="291"/>
      <c r="M4528" s="291"/>
      <c r="N4528" s="291"/>
      <c r="O4528" s="291"/>
      <c r="S4528" s="364"/>
      <c r="Z4528" s="609" t="s">
        <v>4221</v>
      </c>
      <c r="AA4528" s="609" t="s">
        <v>6577</v>
      </c>
    </row>
    <row r="4529" spans="1:27" ht="18">
      <c r="A4529" s="2714"/>
      <c r="B4529" s="371">
        <v>105</v>
      </c>
      <c r="C4529" s="371" t="s">
        <v>2791</v>
      </c>
      <c r="D4529" s="2716">
        <f t="shared" si="512"/>
        <v>0</v>
      </c>
      <c r="E4529" s="2721">
        <v>1</v>
      </c>
      <c r="F4529" s="294"/>
      <c r="G4529" s="2448" t="s">
        <v>2792</v>
      </c>
      <c r="H4529" s="2275"/>
      <c r="I4529" s="2275"/>
      <c r="J4529" s="2275"/>
      <c r="K4529" s="2296"/>
      <c r="L4529" s="291"/>
      <c r="M4529" s="291"/>
      <c r="N4529" s="291"/>
      <c r="O4529" s="291"/>
      <c r="S4529" s="364"/>
      <c r="Z4529" s="609" t="s">
        <v>4221</v>
      </c>
      <c r="AA4529" s="609" t="s">
        <v>6577</v>
      </c>
    </row>
    <row r="4530" spans="1:27" ht="18">
      <c r="A4530" s="2714"/>
      <c r="B4530" s="371">
        <v>106</v>
      </c>
      <c r="C4530" s="371" t="s">
        <v>2791</v>
      </c>
      <c r="D4530" s="2716">
        <f t="shared" si="512"/>
        <v>0</v>
      </c>
      <c r="E4530" s="2721">
        <v>1</v>
      </c>
      <c r="F4530" s="294"/>
      <c r="G4530" s="2448" t="s">
        <v>2792</v>
      </c>
      <c r="H4530" s="2275"/>
      <c r="I4530" s="2275"/>
      <c r="J4530" s="2275"/>
      <c r="K4530" s="2296"/>
      <c r="L4530" s="291"/>
      <c r="M4530" s="291"/>
      <c r="N4530" s="291"/>
      <c r="O4530" s="291"/>
      <c r="S4530" s="364"/>
      <c r="Z4530" s="609" t="s">
        <v>4221</v>
      </c>
      <c r="AA4530" s="609" t="s">
        <v>6577</v>
      </c>
    </row>
    <row r="4531" spans="1:27" ht="18">
      <c r="A4531" s="2714"/>
      <c r="B4531" s="371">
        <v>107</v>
      </c>
      <c r="C4531" s="371" t="s">
        <v>2791</v>
      </c>
      <c r="D4531" s="2716">
        <f t="shared" si="512"/>
        <v>0</v>
      </c>
      <c r="E4531" s="2721">
        <v>1</v>
      </c>
      <c r="F4531" s="294"/>
      <c r="G4531" s="2448" t="s">
        <v>2792</v>
      </c>
      <c r="H4531" s="2275"/>
      <c r="I4531" s="2275"/>
      <c r="J4531" s="2275"/>
      <c r="K4531" s="2296"/>
      <c r="L4531" s="291"/>
      <c r="M4531" s="291"/>
      <c r="N4531" s="291"/>
      <c r="O4531" s="291"/>
      <c r="S4531" s="364"/>
      <c r="Z4531" s="609" t="s">
        <v>4221</v>
      </c>
      <c r="AA4531" s="609" t="s">
        <v>6577</v>
      </c>
    </row>
    <row r="4532" spans="1:27" ht="18">
      <c r="A4532" s="2714"/>
      <c r="B4532" s="371">
        <v>108</v>
      </c>
      <c r="C4532" s="371" t="s">
        <v>2791</v>
      </c>
      <c r="D4532" s="2716">
        <f t="shared" si="512"/>
        <v>0</v>
      </c>
      <c r="E4532" s="2721">
        <v>1</v>
      </c>
      <c r="F4532" s="294"/>
      <c r="G4532" s="2448" t="s">
        <v>2792</v>
      </c>
      <c r="H4532" s="2275"/>
      <c r="I4532" s="2275"/>
      <c r="J4532" s="2275"/>
      <c r="K4532" s="2296"/>
      <c r="L4532" s="291"/>
      <c r="M4532" s="291"/>
      <c r="N4532" s="291"/>
      <c r="O4532" s="291"/>
      <c r="S4532" s="364"/>
      <c r="Z4532" s="609" t="s">
        <v>4221</v>
      </c>
      <c r="AA4532" s="609" t="s">
        <v>6577</v>
      </c>
    </row>
    <row r="4533" spans="1:27" ht="18">
      <c r="A4533" s="2714"/>
      <c r="B4533" s="371">
        <v>109</v>
      </c>
      <c r="C4533" s="371" t="s">
        <v>2791</v>
      </c>
      <c r="D4533" s="2716">
        <f t="shared" si="512"/>
        <v>0</v>
      </c>
      <c r="E4533" s="2721">
        <v>1</v>
      </c>
      <c r="F4533" s="294"/>
      <c r="G4533" s="2448" t="s">
        <v>2792</v>
      </c>
      <c r="H4533" s="2275"/>
      <c r="I4533" s="2275"/>
      <c r="J4533" s="2275"/>
      <c r="K4533" s="2296"/>
      <c r="L4533" s="291"/>
      <c r="M4533" s="291"/>
      <c r="N4533" s="291"/>
      <c r="O4533" s="291"/>
      <c r="S4533" s="364"/>
      <c r="Z4533" s="609" t="s">
        <v>4221</v>
      </c>
      <c r="AA4533" s="609" t="s">
        <v>6577</v>
      </c>
    </row>
    <row r="4534" spans="1:27" ht="18">
      <c r="A4534" s="2714"/>
      <c r="B4534" s="371">
        <v>110</v>
      </c>
      <c r="C4534" s="371" t="s">
        <v>2791</v>
      </c>
      <c r="D4534" s="2716">
        <f t="shared" si="512"/>
        <v>0</v>
      </c>
      <c r="E4534" s="2721">
        <v>1</v>
      </c>
      <c r="F4534" s="294"/>
      <c r="G4534" s="2448" t="s">
        <v>2792</v>
      </c>
      <c r="H4534" s="2275"/>
      <c r="I4534" s="2275"/>
      <c r="J4534" s="2275"/>
      <c r="K4534" s="2296"/>
      <c r="L4534" s="291"/>
      <c r="M4534" s="291"/>
      <c r="N4534" s="291"/>
      <c r="O4534" s="291"/>
      <c r="S4534" s="364"/>
      <c r="Z4534" s="609" t="s">
        <v>4221</v>
      </c>
      <c r="AA4534" s="609" t="s">
        <v>6577</v>
      </c>
    </row>
    <row r="4535" spans="1:27" ht="18.75" thickBot="1">
      <c r="A4535" s="2714"/>
      <c r="B4535" s="371"/>
      <c r="C4535" s="371"/>
      <c r="D4535" s="2716">
        <f t="shared" si="512"/>
        <v>1</v>
      </c>
      <c r="E4535" s="2721" t="s">
        <v>2751</v>
      </c>
      <c r="F4535" s="294"/>
      <c r="G4535" s="2234" t="s">
        <v>2752</v>
      </c>
      <c r="H4535" s="2235">
        <f>SUMPRODUCT($E4524:$E4534,H4524:H4534)</f>
        <v>34251580.890000001</v>
      </c>
      <c r="I4535" s="2235">
        <f>SUMPRODUCT($E4524:$E4534,I4524:I4534)</f>
        <v>21267007.399999999</v>
      </c>
      <c r="J4535" s="2235">
        <f>SUMPRODUCT($E4524:$E4534,J4524:J4534)</f>
        <v>37369847.649999999</v>
      </c>
      <c r="K4535" s="2236">
        <f>SUMPRODUCT($E4524:$E4534,K4524:K4534)</f>
        <v>23909500.670000002</v>
      </c>
      <c r="L4535" s="291"/>
      <c r="M4535" s="291"/>
      <c r="N4535" s="291"/>
      <c r="O4535" s="291"/>
      <c r="S4535" s="364"/>
      <c r="Z4535" s="609" t="s">
        <v>4221</v>
      </c>
      <c r="AA4535" s="609" t="s">
        <v>6577</v>
      </c>
    </row>
    <row r="4536" spans="1:27" ht="18.75" thickBot="1">
      <c r="A4536" s="2714"/>
      <c r="B4536" s="371"/>
      <c r="C4536" s="371" t="s">
        <v>2755</v>
      </c>
      <c r="D4536" s="371"/>
      <c r="F4536" s="294"/>
      <c r="G4536" s="301"/>
      <c r="H4536" s="315" t="s">
        <v>3002</v>
      </c>
      <c r="I4536" s="315" t="s">
        <v>3002</v>
      </c>
      <c r="J4536" s="315" t="s">
        <v>3002</v>
      </c>
      <c r="K4536" s="315" t="s">
        <v>3002</v>
      </c>
      <c r="L4536" s="291"/>
      <c r="M4536" s="291"/>
      <c r="N4536" s="291"/>
      <c r="O4536" s="291"/>
      <c r="S4536" s="364"/>
      <c r="Z4536" s="609" t="s">
        <v>4221</v>
      </c>
      <c r="AA4536" s="609" t="s">
        <v>6577</v>
      </c>
    </row>
    <row r="4537" spans="1:27" ht="18.75" thickTop="1">
      <c r="A4537" s="2714"/>
      <c r="B4537" s="371"/>
      <c r="C4537" s="371" t="s">
        <v>2565</v>
      </c>
      <c r="D4537" s="371"/>
      <c r="F4537" s="294"/>
      <c r="G4537" s="454" t="s">
        <v>2756</v>
      </c>
      <c r="H4537" s="455" t="str">
        <f>$G$4502</f>
        <v>(2)营业收入明细项目</v>
      </c>
      <c r="I4537" s="455"/>
      <c r="J4537" s="455" t="str">
        <f>$G$4511</f>
        <v>(3)营业成本明细项目</v>
      </c>
      <c r="K4537" s="487"/>
      <c r="L4537" s="291"/>
      <c r="M4537" s="291"/>
      <c r="N4537" s="291"/>
      <c r="O4537" s="291"/>
      <c r="S4537" s="364"/>
      <c r="Z4537" s="609" t="s">
        <v>4221</v>
      </c>
      <c r="AA4537" s="609" t="s">
        <v>6577</v>
      </c>
    </row>
    <row r="4538" spans="1:27" ht="18">
      <c r="A4538" s="2714"/>
      <c r="B4538" s="371"/>
      <c r="C4538" s="371" t="s">
        <v>2565</v>
      </c>
      <c r="D4538" s="371"/>
      <c r="F4538" s="294"/>
      <c r="G4538" s="316" t="str">
        <f>$G$4506</f>
        <v>其中：主营业务收入</v>
      </c>
      <c r="H4538" s="2252">
        <f ca="1">HYPERLINK("#'"&amp;$G$1&amp;"'!"&amp;ADDRESS(ROW(Notes!H4506),COLUMN(Notes!H4506),4),$H$4506)</f>
        <v>34251580.890000001</v>
      </c>
      <c r="I4538" s="2252">
        <f ca="1">HYPERLINK("#'"&amp;$G$1&amp;"'!"&amp;ADDRESS(ROW(Notes!H4515),COLUMN(Notes!H4515),4),$H$4515)</f>
        <v>21267007.399999999</v>
      </c>
      <c r="J4538" s="2252">
        <f ca="1">HYPERLINK("#'"&amp;$G$1&amp;"'!"&amp;ADDRESS(ROW(Notes!I4506),COLUMN(Notes!I4506),4),$I$4506)</f>
        <v>37369847.649999999</v>
      </c>
      <c r="K4538" s="2252">
        <f ca="1">HYPERLINK("#'"&amp;$G$1&amp;"'!"&amp;ADDRESS(ROW(Notes!I4515),COLUMN(Notes!I4515),4),$I$4515)</f>
        <v>23909500.670000002</v>
      </c>
      <c r="L4538" s="291"/>
      <c r="M4538" s="291"/>
      <c r="N4538" s="291"/>
      <c r="O4538" s="291"/>
      <c r="S4538" s="364"/>
      <c r="Z4538" s="609" t="s">
        <v>4221</v>
      </c>
      <c r="AA4538" s="609" t="s">
        <v>6577</v>
      </c>
    </row>
    <row r="4539" spans="1:27" ht="18">
      <c r="A4539" s="2714"/>
      <c r="B4539" s="371"/>
      <c r="C4539" s="371" t="s">
        <v>2565</v>
      </c>
      <c r="D4539" s="371"/>
      <c r="F4539" s="294"/>
      <c r="G4539" s="316" t="s">
        <v>3003</v>
      </c>
      <c r="H4539" s="2252">
        <f ca="1">HYPERLINK("#'"&amp;$G$1&amp;"'!"&amp;ADDRESS(ROW(Notes!H4535),COLUMN(Notes!H4535),4),H4535)</f>
        <v>34251580.890000001</v>
      </c>
      <c r="I4539" s="2252">
        <f ca="1">HYPERLINK("#'"&amp;$G$1&amp;"'!"&amp;ADDRESS(ROW(Notes!I4535),COLUMN(Notes!I4535),4),I4535)</f>
        <v>21267007.399999999</v>
      </c>
      <c r="J4539" s="2252">
        <f ca="1">HYPERLINK("#'"&amp;$G$1&amp;"'!"&amp;ADDRESS(ROW(Notes!J4535),COLUMN(Notes!J4535),4),J4535)</f>
        <v>37369847.649999999</v>
      </c>
      <c r="K4539" s="2252">
        <f ca="1">HYPERLINK("#'"&amp;$G$1&amp;"'!"&amp;ADDRESS(ROW(Notes!K4535),COLUMN(Notes!K4535),4),K4535)</f>
        <v>23909500.670000002</v>
      </c>
      <c r="L4539" s="291"/>
      <c r="M4539" s="291"/>
      <c r="N4539" s="291"/>
      <c r="O4539" s="291"/>
      <c r="S4539" s="364"/>
      <c r="Z4539" s="609" t="s">
        <v>4221</v>
      </c>
      <c r="AA4539" s="609" t="s">
        <v>6577</v>
      </c>
    </row>
    <row r="4540" spans="1:27" ht="18.75" thickBot="1">
      <c r="A4540" s="2714"/>
      <c r="B4540" s="371"/>
      <c r="C4540" s="371" t="s">
        <v>2565</v>
      </c>
      <c r="D4540" s="371"/>
      <c r="F4540" s="294"/>
      <c r="G4540" s="457" t="s">
        <v>2757</v>
      </c>
      <c r="H4540" s="458">
        <f ca="1">IF(AND(H4538="",H4539=""),"",ROUND(H4538-H4539,2))</f>
        <v>0</v>
      </c>
      <c r="I4540" s="458">
        <f ca="1">IF(AND(I4538="",I4539=""),"",ROUND(I4538-I4539,2))</f>
        <v>0</v>
      </c>
      <c r="J4540" s="458">
        <f ca="1">IF(AND(J4538="",J4539=""),"",ROUND(J4538-J4539,2))</f>
        <v>0</v>
      </c>
      <c r="K4540" s="458">
        <f ca="1">IF(AND(K4538="",K4539=""),"",ROUND(K4538-K4539,2))</f>
        <v>0</v>
      </c>
      <c r="L4540" s="291"/>
      <c r="M4540" s="291"/>
      <c r="N4540" s="291"/>
      <c r="O4540" s="291"/>
      <c r="S4540" s="364"/>
      <c r="Z4540" s="609" t="s">
        <v>4221</v>
      </c>
      <c r="AA4540" s="609" t="s">
        <v>6577</v>
      </c>
    </row>
    <row r="4541" spans="1:27" ht="18.75" thickTop="1">
      <c r="A4541" s="2714"/>
      <c r="B4541" s="371"/>
      <c r="C4541" s="371" t="s">
        <v>2565</v>
      </c>
      <c r="D4541" s="371"/>
      <c r="F4541" s="294"/>
      <c r="G4541" s="354"/>
      <c r="H4541" s="459" t="str">
        <f ca="1">IF(OR(H4540=0,H4540=""),"√","？")</f>
        <v>√</v>
      </c>
      <c r="I4541" s="459" t="str">
        <f ca="1">IF(OR(I4540=0,I4540=""),"√","？")</f>
        <v>√</v>
      </c>
      <c r="J4541" s="459" t="str">
        <f ca="1">IF(OR(J4540=0,J4540=""),"√","？")</f>
        <v>√</v>
      </c>
      <c r="K4541" s="459" t="str">
        <f ca="1">IF(OR(K4540=0,K4540=""),"√","？")</f>
        <v>√</v>
      </c>
      <c r="L4541" s="291"/>
      <c r="M4541" s="291"/>
      <c r="N4541" s="291"/>
      <c r="O4541" s="291"/>
      <c r="S4541" s="364"/>
      <c r="Z4541" s="609" t="s">
        <v>4221</v>
      </c>
      <c r="AA4541" s="609" t="s">
        <v>6577</v>
      </c>
    </row>
    <row r="4542" spans="1:27" ht="18">
      <c r="A4542" s="2714"/>
      <c r="B4542" s="371"/>
      <c r="C4542" s="371" t="s">
        <v>2565</v>
      </c>
      <c r="D4542" s="371"/>
      <c r="F4542" s="294"/>
      <c r="G4542" s="460" t="s">
        <v>2759</v>
      </c>
      <c r="H4542" s="461"/>
      <c r="I4542" s="461"/>
      <c r="J4542" s="461"/>
      <c r="K4542" s="605">
        <f ca="1">SUMIF($H$4541:$K$4541,"&lt;&gt;√",$H$4540:$K$4540)</f>
        <v>0</v>
      </c>
      <c r="L4542" s="475" t="str">
        <f ca="1">IF(OR(K4542=0,K4542=""),"√","？")</f>
        <v>√</v>
      </c>
      <c r="M4542" s="291"/>
      <c r="N4542" s="291"/>
      <c r="O4542" s="291"/>
      <c r="S4542" s="364"/>
      <c r="Z4542" s="609" t="s">
        <v>4221</v>
      </c>
      <c r="AA4542" s="609" t="s">
        <v>6577</v>
      </c>
    </row>
    <row r="4543" spans="1:27" ht="18">
      <c r="A4543" s="2714"/>
      <c r="B4543" s="371"/>
      <c r="C4543" s="371" t="s">
        <v>2565</v>
      </c>
      <c r="D4543" s="371"/>
      <c r="F4543" s="294"/>
      <c r="G4543" s="354"/>
      <c r="H4543" s="461"/>
      <c r="I4543" s="461"/>
      <c r="J4543" s="461"/>
      <c r="K4543" s="461"/>
      <c r="L4543" s="291"/>
      <c r="M4543" s="291"/>
      <c r="N4543" s="291"/>
      <c r="O4543" s="291"/>
      <c r="S4543" s="364"/>
      <c r="Z4543" s="609" t="s">
        <v>4221</v>
      </c>
      <c r="AA4543" s="609" t="s">
        <v>6577</v>
      </c>
    </row>
    <row r="4544" spans="1:27" ht="18">
      <c r="A4544" s="2714" t="s">
        <v>1859</v>
      </c>
      <c r="B4544" s="371">
        <v>5</v>
      </c>
      <c r="C4544" s="371"/>
      <c r="D4544" s="2716" t="str">
        <f>VLOOKUP($A4544,Sheet_NoteList,2,0)</f>
        <v>主营业务（分产品）</v>
      </c>
      <c r="E4544" s="2716" t="s">
        <v>2742</v>
      </c>
      <c r="F4544" s="294"/>
      <c r="G4544" s="307" t="str">
        <f>"("&amp;B4544&amp;")"&amp;D4544</f>
        <v>(5)主营业务（分产品）</v>
      </c>
      <c r="H4544" s="1517" t="str">
        <f>$A4544</f>
        <v>6064d</v>
      </c>
      <c r="I4544" s="343" t="s">
        <v>2743</v>
      </c>
      <c r="J4544" s="301" t="s">
        <v>4210</v>
      </c>
      <c r="K4544" s="2210">
        <f>H4558-I4558</f>
        <v>0</v>
      </c>
      <c r="L4544" s="345">
        <f>IF($I4544="适用",IF(ROUND(H$4506-H$4515-K4544,2)=0,"F/S",ROUND(H$4506-H$4515-K4544,2)),"#N/A")</f>
        <v>12984573.49</v>
      </c>
      <c r="M4544" s="301" t="s">
        <v>4211</v>
      </c>
      <c r="N4544" s="2210">
        <f>J4558-K4558</f>
        <v>0</v>
      </c>
      <c r="O4544" s="345">
        <f>IF($I4544="适用",IF(ROUND(I$4506-I$4515-N4544,2)=0,"F/S",ROUND(I$4506-I$4515-N4544,2)),"#N/A")</f>
        <v>13460346.98</v>
      </c>
      <c r="P4544" s="301"/>
      <c r="Q4544" s="290" t="str">
        <f>IF($I4544="不适用","",IF(ROUND(SUM($H$4549:$K$4558),2)=0,"请输入",""))</f>
        <v>请输入</v>
      </c>
      <c r="S4544" s="364"/>
      <c r="Z4544" s="609" t="s">
        <v>4221</v>
      </c>
      <c r="AA4544" s="609" t="s">
        <v>6577</v>
      </c>
    </row>
    <row r="4545" spans="1:27" ht="0.75" customHeight="1">
      <c r="A4545" s="2714"/>
      <c r="B4545" s="371"/>
      <c r="C4545" s="371"/>
      <c r="D4545" s="371"/>
      <c r="E4545" s="586"/>
      <c r="F4545" s="363"/>
      <c r="G4545" s="363" t="s">
        <v>4239</v>
      </c>
      <c r="H4545" s="294" t="s">
        <v>4231</v>
      </c>
      <c r="I4545" s="294" t="s">
        <v>4232</v>
      </c>
      <c r="J4545" s="294" t="s">
        <v>4233</v>
      </c>
      <c r="K4545" s="294" t="s">
        <v>4234</v>
      </c>
      <c r="L4545" s="291"/>
      <c r="M4545" s="291"/>
      <c r="N4545" s="291"/>
      <c r="O4545" s="291"/>
      <c r="S4545" s="364"/>
      <c r="Z4545" s="609" t="s">
        <v>4221</v>
      </c>
      <c r="AA4545" s="609" t="s">
        <v>6577</v>
      </c>
    </row>
    <row r="4546" spans="1:27" ht="0.75" customHeight="1" thickBot="1">
      <c r="A4546" s="2714"/>
      <c r="B4546" s="371"/>
      <c r="C4546" s="371"/>
      <c r="D4546" s="371"/>
      <c r="E4546" s="586"/>
      <c r="F4546" s="363"/>
      <c r="G4546" s="363"/>
      <c r="H4546" s="294" t="s">
        <v>4235</v>
      </c>
      <c r="I4546" s="294" t="s">
        <v>4236</v>
      </c>
      <c r="J4546" s="294" t="s">
        <v>4237</v>
      </c>
      <c r="K4546" s="294" t="s">
        <v>4238</v>
      </c>
      <c r="L4546" s="291"/>
      <c r="M4546" s="291"/>
      <c r="N4546" s="291"/>
      <c r="O4546" s="291"/>
      <c r="S4546" s="364"/>
      <c r="Z4546" s="609" t="s">
        <v>4221</v>
      </c>
      <c r="AA4546" s="609" t="s">
        <v>6577</v>
      </c>
    </row>
    <row r="4547" spans="1:27" ht="18">
      <c r="A4547" s="2714"/>
      <c r="B4547" s="371"/>
      <c r="C4547" s="371"/>
      <c r="D4547" s="371"/>
      <c r="E4547" s="586" t="s">
        <v>2749</v>
      </c>
      <c r="F4547" s="363"/>
      <c r="G4547" s="3472" t="s">
        <v>1861</v>
      </c>
      <c r="H4547" s="3415" t="str">
        <f>$V$4</f>
        <v>2019年度</v>
      </c>
      <c r="I4547" s="3452"/>
      <c r="J4547" s="3415" t="str">
        <f>$V$5</f>
        <v>2018年度</v>
      </c>
      <c r="K4547" s="3490"/>
      <c r="L4547" s="355" t="s">
        <v>5326</v>
      </c>
      <c r="M4547" s="291"/>
      <c r="N4547" s="291"/>
      <c r="O4547" s="291"/>
      <c r="S4547" s="364"/>
      <c r="Z4547" s="609" t="s">
        <v>4221</v>
      </c>
      <c r="AA4547" s="609" t="s">
        <v>6577</v>
      </c>
    </row>
    <row r="4548" spans="1:27" ht="18">
      <c r="A4548" s="2714"/>
      <c r="B4548" s="371"/>
      <c r="C4548" s="371"/>
      <c r="D4548" s="371"/>
      <c r="E4548" s="586" t="s">
        <v>2749</v>
      </c>
      <c r="F4548" s="363"/>
      <c r="G4548" s="3473"/>
      <c r="H4548" s="2443" t="s">
        <v>4218</v>
      </c>
      <c r="I4548" s="2443" t="s">
        <v>3411</v>
      </c>
      <c r="J4548" s="2443" t="s">
        <v>4218</v>
      </c>
      <c r="K4548" s="2450" t="s">
        <v>3411</v>
      </c>
      <c r="L4548" s="291"/>
      <c r="M4548" s="291"/>
      <c r="N4548" s="291"/>
      <c r="O4548" s="291"/>
      <c r="S4548" s="364"/>
      <c r="Z4548" s="609" t="s">
        <v>4221</v>
      </c>
      <c r="AA4548" s="609" t="s">
        <v>6577</v>
      </c>
    </row>
    <row r="4549" spans="1:27" ht="18">
      <c r="A4549" s="2714"/>
      <c r="B4549" s="371">
        <v>101</v>
      </c>
      <c r="C4549" s="371" t="s">
        <v>2791</v>
      </c>
      <c r="D4549" s="2716">
        <f t="shared" ref="D4549:D4558" si="513">IF(OR(G4549="*",G4549="",G4549=0),0,COUNTIF($G$4549:$G$4558,G4549))</f>
        <v>0</v>
      </c>
      <c r="E4549" s="2721">
        <v>1</v>
      </c>
      <c r="F4549" s="294"/>
      <c r="G4549" s="2448" t="s">
        <v>2792</v>
      </c>
      <c r="H4549" s="2275"/>
      <c r="I4549" s="2275"/>
      <c r="J4549" s="2275"/>
      <c r="K4549" s="2296"/>
      <c r="L4549" s="291"/>
      <c r="M4549" s="291"/>
      <c r="N4549" s="291"/>
      <c r="O4549" s="291"/>
      <c r="S4549" s="364"/>
      <c r="Z4549" s="609" t="s">
        <v>4221</v>
      </c>
      <c r="AA4549" s="609" t="s">
        <v>6577</v>
      </c>
    </row>
    <row r="4550" spans="1:27" ht="18">
      <c r="A4550" s="2714"/>
      <c r="B4550" s="371">
        <v>102</v>
      </c>
      <c r="C4550" s="371" t="s">
        <v>2791</v>
      </c>
      <c r="D4550" s="2716">
        <f t="shared" si="513"/>
        <v>0</v>
      </c>
      <c r="E4550" s="2721">
        <v>1</v>
      </c>
      <c r="F4550" s="294"/>
      <c r="G4550" s="2448" t="s">
        <v>2792</v>
      </c>
      <c r="H4550" s="2275"/>
      <c r="I4550" s="2275"/>
      <c r="J4550" s="2275"/>
      <c r="K4550" s="2296"/>
      <c r="L4550" s="291"/>
      <c r="M4550" s="291"/>
      <c r="N4550" s="291"/>
      <c r="O4550" s="291"/>
      <c r="S4550" s="364"/>
      <c r="Z4550" s="609" t="s">
        <v>4221</v>
      </c>
      <c r="AA4550" s="609" t="s">
        <v>6577</v>
      </c>
    </row>
    <row r="4551" spans="1:27" ht="18">
      <c r="A4551" s="2714"/>
      <c r="B4551" s="371">
        <v>103</v>
      </c>
      <c r="C4551" s="371" t="s">
        <v>2791</v>
      </c>
      <c r="D4551" s="2716">
        <f t="shared" si="513"/>
        <v>0</v>
      </c>
      <c r="E4551" s="2721">
        <v>1</v>
      </c>
      <c r="F4551" s="294"/>
      <c r="G4551" s="2448" t="s">
        <v>2792</v>
      </c>
      <c r="H4551" s="2275"/>
      <c r="I4551" s="2275"/>
      <c r="J4551" s="2275"/>
      <c r="K4551" s="2296"/>
      <c r="L4551" s="291"/>
      <c r="M4551" s="291"/>
      <c r="N4551" s="291"/>
      <c r="O4551" s="291"/>
      <c r="S4551" s="364"/>
      <c r="Z4551" s="609" t="s">
        <v>4221</v>
      </c>
      <c r="AA4551" s="609" t="s">
        <v>6577</v>
      </c>
    </row>
    <row r="4552" spans="1:27" ht="18">
      <c r="A4552" s="2714"/>
      <c r="B4552" s="371">
        <v>104</v>
      </c>
      <c r="C4552" s="371" t="s">
        <v>2791</v>
      </c>
      <c r="D4552" s="2716">
        <f t="shared" si="513"/>
        <v>0</v>
      </c>
      <c r="E4552" s="2721">
        <v>1</v>
      </c>
      <c r="F4552" s="294"/>
      <c r="G4552" s="2448" t="s">
        <v>2792</v>
      </c>
      <c r="H4552" s="2275"/>
      <c r="I4552" s="2275"/>
      <c r="J4552" s="2275"/>
      <c r="K4552" s="2296"/>
      <c r="L4552" s="291"/>
      <c r="M4552" s="291"/>
      <c r="N4552" s="291"/>
      <c r="O4552" s="291"/>
      <c r="S4552" s="364"/>
      <c r="Z4552" s="609" t="s">
        <v>4221</v>
      </c>
      <c r="AA4552" s="609" t="s">
        <v>6577</v>
      </c>
    </row>
    <row r="4553" spans="1:27" ht="18">
      <c r="A4553" s="2714"/>
      <c r="B4553" s="371">
        <v>105</v>
      </c>
      <c r="C4553" s="371" t="s">
        <v>2791</v>
      </c>
      <c r="D4553" s="2716">
        <f t="shared" si="513"/>
        <v>0</v>
      </c>
      <c r="E4553" s="2721">
        <v>1</v>
      </c>
      <c r="F4553" s="294"/>
      <c r="G4553" s="2448" t="s">
        <v>2792</v>
      </c>
      <c r="H4553" s="2275"/>
      <c r="I4553" s="2275"/>
      <c r="J4553" s="2275"/>
      <c r="K4553" s="2296"/>
      <c r="L4553" s="291"/>
      <c r="M4553" s="291"/>
      <c r="N4553" s="291"/>
      <c r="O4553" s="291"/>
      <c r="S4553" s="364"/>
      <c r="Z4553" s="609" t="s">
        <v>4221</v>
      </c>
      <c r="AA4553" s="609" t="s">
        <v>6577</v>
      </c>
    </row>
    <row r="4554" spans="1:27" ht="18">
      <c r="A4554" s="2714"/>
      <c r="B4554" s="371">
        <v>106</v>
      </c>
      <c r="C4554" s="371" t="s">
        <v>2791</v>
      </c>
      <c r="D4554" s="2716">
        <f t="shared" si="513"/>
        <v>0</v>
      </c>
      <c r="E4554" s="2721">
        <v>1</v>
      </c>
      <c r="F4554" s="294"/>
      <c r="G4554" s="2448" t="s">
        <v>2792</v>
      </c>
      <c r="H4554" s="2275"/>
      <c r="I4554" s="2275"/>
      <c r="J4554" s="2275"/>
      <c r="K4554" s="2296"/>
      <c r="L4554" s="291"/>
      <c r="M4554" s="291"/>
      <c r="N4554" s="291"/>
      <c r="O4554" s="291"/>
      <c r="S4554" s="364"/>
      <c r="Z4554" s="609" t="s">
        <v>4221</v>
      </c>
      <c r="AA4554" s="609" t="s">
        <v>6577</v>
      </c>
    </row>
    <row r="4555" spans="1:27" ht="18">
      <c r="A4555" s="2714"/>
      <c r="B4555" s="371">
        <v>107</v>
      </c>
      <c r="C4555" s="371" t="s">
        <v>2791</v>
      </c>
      <c r="D4555" s="2716">
        <f t="shared" si="513"/>
        <v>0</v>
      </c>
      <c r="E4555" s="2721">
        <v>1</v>
      </c>
      <c r="F4555" s="294"/>
      <c r="G4555" s="2448" t="s">
        <v>2792</v>
      </c>
      <c r="H4555" s="2275"/>
      <c r="I4555" s="2275"/>
      <c r="J4555" s="2275"/>
      <c r="K4555" s="2296"/>
      <c r="L4555" s="291"/>
      <c r="M4555" s="291"/>
      <c r="N4555" s="291"/>
      <c r="O4555" s="291"/>
      <c r="S4555" s="364"/>
      <c r="Z4555" s="609" t="s">
        <v>4221</v>
      </c>
      <c r="AA4555" s="609" t="s">
        <v>6577</v>
      </c>
    </row>
    <row r="4556" spans="1:27" ht="18">
      <c r="A4556" s="2714"/>
      <c r="B4556" s="371">
        <v>108</v>
      </c>
      <c r="C4556" s="371" t="s">
        <v>2791</v>
      </c>
      <c r="D4556" s="2716">
        <f t="shared" si="513"/>
        <v>0</v>
      </c>
      <c r="E4556" s="2721">
        <v>1</v>
      </c>
      <c r="F4556" s="294"/>
      <c r="G4556" s="2448" t="s">
        <v>2792</v>
      </c>
      <c r="H4556" s="2275"/>
      <c r="I4556" s="2275"/>
      <c r="J4556" s="2275"/>
      <c r="K4556" s="2296"/>
      <c r="L4556" s="291"/>
      <c r="M4556" s="291"/>
      <c r="N4556" s="291"/>
      <c r="O4556" s="291"/>
      <c r="S4556" s="364"/>
      <c r="Z4556" s="609" t="s">
        <v>4221</v>
      </c>
      <c r="AA4556" s="609" t="s">
        <v>6577</v>
      </c>
    </row>
    <row r="4557" spans="1:27" ht="18">
      <c r="A4557" s="2714"/>
      <c r="B4557" s="371">
        <v>109</v>
      </c>
      <c r="C4557" s="371" t="s">
        <v>2791</v>
      </c>
      <c r="D4557" s="2716">
        <f t="shared" si="513"/>
        <v>0</v>
      </c>
      <c r="E4557" s="2721">
        <v>1</v>
      </c>
      <c r="F4557" s="294"/>
      <c r="G4557" s="2448" t="s">
        <v>2792</v>
      </c>
      <c r="H4557" s="2275"/>
      <c r="I4557" s="2275"/>
      <c r="J4557" s="2275"/>
      <c r="K4557" s="2296"/>
      <c r="L4557" s="291"/>
      <c r="M4557" s="291"/>
      <c r="N4557" s="291"/>
      <c r="O4557" s="291"/>
      <c r="S4557" s="364"/>
      <c r="Z4557" s="609" t="s">
        <v>4221</v>
      </c>
      <c r="AA4557" s="609" t="s">
        <v>6577</v>
      </c>
    </row>
    <row r="4558" spans="1:27" ht="18.75" thickBot="1">
      <c r="A4558" s="2714"/>
      <c r="B4558" s="371"/>
      <c r="C4558" s="371"/>
      <c r="D4558" s="2716">
        <f t="shared" si="513"/>
        <v>1</v>
      </c>
      <c r="E4558" s="2721" t="s">
        <v>2751</v>
      </c>
      <c r="F4558" s="294"/>
      <c r="G4558" s="2234" t="s">
        <v>2752</v>
      </c>
      <c r="H4558" s="2235">
        <f>SUMPRODUCT($E4548:$E4557,H4548:H4557)</f>
        <v>0</v>
      </c>
      <c r="I4558" s="2235">
        <f>SUMPRODUCT($E4548:$E4557,I4548:I4557)</f>
        <v>0</v>
      </c>
      <c r="J4558" s="2235">
        <f>SUMPRODUCT($E4548:$E4557,J4548:J4557)</f>
        <v>0</v>
      </c>
      <c r="K4558" s="2236">
        <f>SUMPRODUCT($E4548:$E4557,K4548:K4557)</f>
        <v>0</v>
      </c>
      <c r="L4558" s="291"/>
      <c r="M4558" s="291"/>
      <c r="N4558" s="291"/>
      <c r="O4558" s="291"/>
      <c r="S4558" s="364"/>
      <c r="Z4558" s="609" t="s">
        <v>4221</v>
      </c>
      <c r="AA4558" s="609" t="s">
        <v>6577</v>
      </c>
    </row>
    <row r="4559" spans="1:27" ht="18.75" thickBot="1">
      <c r="A4559" s="2714"/>
      <c r="B4559" s="371"/>
      <c r="C4559" s="371" t="s">
        <v>2755</v>
      </c>
      <c r="D4559" s="371"/>
      <c r="F4559" s="294"/>
      <c r="G4559" s="301"/>
      <c r="H4559" s="315" t="s">
        <v>3002</v>
      </c>
      <c r="I4559" s="315" t="s">
        <v>3002</v>
      </c>
      <c r="J4559" s="315" t="s">
        <v>3002</v>
      </c>
      <c r="K4559" s="315" t="s">
        <v>3002</v>
      </c>
      <c r="L4559" s="291"/>
      <c r="M4559" s="291"/>
      <c r="N4559" s="291"/>
      <c r="O4559" s="291"/>
      <c r="S4559" s="364"/>
      <c r="Z4559" s="609" t="s">
        <v>4221</v>
      </c>
      <c r="AA4559" s="609" t="s">
        <v>6577</v>
      </c>
    </row>
    <row r="4560" spans="1:27" ht="18.75" thickTop="1">
      <c r="A4560" s="2714"/>
      <c r="B4560" s="371"/>
      <c r="C4560" s="371" t="s">
        <v>2565</v>
      </c>
      <c r="D4560" s="371"/>
      <c r="F4560" s="294"/>
      <c r="G4560" s="454" t="s">
        <v>2756</v>
      </c>
      <c r="H4560" s="455" t="str">
        <f>$G$4502</f>
        <v>(2)营业收入明细项目</v>
      </c>
      <c r="I4560" s="455"/>
      <c r="J4560" s="455" t="str">
        <f>$G$4511</f>
        <v>(3)营业成本明细项目</v>
      </c>
      <c r="K4560" s="487"/>
      <c r="L4560" s="291"/>
      <c r="M4560" s="291"/>
      <c r="N4560" s="291"/>
      <c r="O4560" s="291"/>
      <c r="S4560" s="364"/>
      <c r="Z4560" s="609" t="s">
        <v>4221</v>
      </c>
      <c r="AA4560" s="609" t="s">
        <v>6577</v>
      </c>
    </row>
    <row r="4561" spans="1:27" ht="18">
      <c r="A4561" s="2714"/>
      <c r="B4561" s="371"/>
      <c r="C4561" s="371" t="s">
        <v>2565</v>
      </c>
      <c r="D4561" s="371"/>
      <c r="F4561" s="294"/>
      <c r="G4561" s="316" t="str">
        <f>$G$4506</f>
        <v>其中：主营业务收入</v>
      </c>
      <c r="H4561" s="2252">
        <f ca="1">HYPERLINK("#'"&amp;$G$1&amp;"'!"&amp;ADDRESS(ROW(Notes!H4506),COLUMN(Notes!H4506),4),$H$4506)</f>
        <v>34251580.890000001</v>
      </c>
      <c r="I4561" s="2252">
        <f ca="1">HYPERLINK("#'"&amp;$G$1&amp;"'!"&amp;ADDRESS(ROW(Notes!H4515),COLUMN(Notes!H4515),4),$H$4515)</f>
        <v>21267007.399999999</v>
      </c>
      <c r="J4561" s="2252">
        <f ca="1">HYPERLINK("#'"&amp;$G$1&amp;"'!"&amp;ADDRESS(ROW(Notes!I4506),COLUMN(Notes!I4506),4),$I$4506)</f>
        <v>37369847.649999999</v>
      </c>
      <c r="K4561" s="2252">
        <f ca="1">HYPERLINK("#'"&amp;$G$1&amp;"'!"&amp;ADDRESS(ROW(Notes!I4515),COLUMN(Notes!I4515),4),$I$4515)</f>
        <v>23909500.670000002</v>
      </c>
      <c r="L4561" s="291"/>
      <c r="M4561" s="291"/>
      <c r="N4561" s="291"/>
      <c r="O4561" s="291"/>
      <c r="S4561" s="364"/>
      <c r="Z4561" s="609" t="s">
        <v>4221</v>
      </c>
      <c r="AA4561" s="609" t="s">
        <v>6577</v>
      </c>
    </row>
    <row r="4562" spans="1:27" ht="18">
      <c r="A4562" s="2714"/>
      <c r="B4562" s="371"/>
      <c r="C4562" s="371" t="s">
        <v>2565</v>
      </c>
      <c r="D4562" s="371"/>
      <c r="F4562" s="294"/>
      <c r="G4562" s="316" t="s">
        <v>3003</v>
      </c>
      <c r="H4562" s="456">
        <f>H4558</f>
        <v>0</v>
      </c>
      <c r="I4562" s="456">
        <f>I4558</f>
        <v>0</v>
      </c>
      <c r="J4562" s="456">
        <f>J4558</f>
        <v>0</v>
      </c>
      <c r="K4562" s="456">
        <f>K4558</f>
        <v>0</v>
      </c>
      <c r="L4562" s="291"/>
      <c r="M4562" s="291"/>
      <c r="N4562" s="291"/>
      <c r="O4562" s="291"/>
      <c r="S4562" s="364"/>
      <c r="Z4562" s="609" t="s">
        <v>4221</v>
      </c>
      <c r="AA4562" s="609" t="s">
        <v>6577</v>
      </c>
    </row>
    <row r="4563" spans="1:27" ht="18.75" thickBot="1">
      <c r="A4563" s="2714"/>
      <c r="B4563" s="371"/>
      <c r="C4563" s="371" t="s">
        <v>2565</v>
      </c>
      <c r="D4563" s="371"/>
      <c r="F4563" s="294"/>
      <c r="G4563" s="457" t="s">
        <v>2757</v>
      </c>
      <c r="H4563" s="458">
        <f ca="1">IF(AND(H4561="",H4562=""),"",ROUND(H4561-H4562,2))</f>
        <v>34251580.890000001</v>
      </c>
      <c r="I4563" s="458">
        <f ca="1">IF(AND(I4561="",I4562=""),"",ROUND(I4561-I4562,2))</f>
        <v>21267007.399999999</v>
      </c>
      <c r="J4563" s="458">
        <f ca="1">IF(AND(J4561="",J4562=""),"",ROUND(J4561-J4562,2))</f>
        <v>37369847.649999999</v>
      </c>
      <c r="K4563" s="458">
        <f ca="1">IF(AND(K4561="",K4562=""),"",ROUND(K4561-K4562,2))</f>
        <v>23909500.670000002</v>
      </c>
      <c r="L4563" s="291"/>
      <c r="M4563" s="291"/>
      <c r="N4563" s="291"/>
      <c r="O4563" s="291"/>
      <c r="S4563" s="364"/>
      <c r="Z4563" s="609" t="s">
        <v>4221</v>
      </c>
      <c r="AA4563" s="609" t="s">
        <v>6577</v>
      </c>
    </row>
    <row r="4564" spans="1:27" ht="18.75" thickTop="1">
      <c r="A4564" s="2714"/>
      <c r="B4564" s="371"/>
      <c r="C4564" s="371" t="s">
        <v>2565</v>
      </c>
      <c r="D4564" s="371"/>
      <c r="F4564" s="294"/>
      <c r="G4564" s="354"/>
      <c r="H4564" s="459" t="str">
        <f ca="1">IF(OR(H4563=0,H4563=""),"√","？")</f>
        <v>？</v>
      </c>
      <c r="I4564" s="459" t="str">
        <f ca="1">IF(OR(I4563=0,I4563=""),"√","？")</f>
        <v>？</v>
      </c>
      <c r="J4564" s="459" t="str">
        <f ca="1">IF(OR(J4563=0,J4563=""),"√","？")</f>
        <v>？</v>
      </c>
      <c r="K4564" s="459" t="str">
        <f ca="1">IF(OR(K4563=0,K4563=""),"√","？")</f>
        <v>？</v>
      </c>
      <c r="L4564" s="291"/>
      <c r="M4564" s="291"/>
      <c r="N4564" s="291"/>
      <c r="O4564" s="291"/>
      <c r="S4564" s="364"/>
      <c r="Z4564" s="609" t="s">
        <v>4221</v>
      </c>
      <c r="AA4564" s="609" t="s">
        <v>6577</v>
      </c>
    </row>
    <row r="4565" spans="1:27" ht="18">
      <c r="A4565" s="2714"/>
      <c r="B4565" s="371"/>
      <c r="C4565" s="371" t="s">
        <v>2565</v>
      </c>
      <c r="D4565" s="371"/>
      <c r="F4565" s="294"/>
      <c r="G4565" s="460" t="s">
        <v>2759</v>
      </c>
      <c r="H4565" s="461"/>
      <c r="I4565" s="461"/>
      <c r="J4565" s="461"/>
      <c r="K4565" s="605">
        <f ca="1">SUMIF($H$4564:$K$4564,"&lt;&gt;√",$H$4563:$K$4563)</f>
        <v>116797936.61</v>
      </c>
      <c r="L4565" s="475" t="str">
        <f ca="1">IF(OR(K4565=0,K4565=""),"√","？")</f>
        <v>？</v>
      </c>
      <c r="M4565" s="291"/>
      <c r="N4565" s="291"/>
      <c r="O4565" s="291"/>
      <c r="S4565" s="364"/>
      <c r="Z4565" s="609" t="s">
        <v>4221</v>
      </c>
      <c r="AA4565" s="609" t="s">
        <v>6577</v>
      </c>
    </row>
    <row r="4566" spans="1:27" ht="18">
      <c r="A4566" s="2714"/>
      <c r="B4566" s="371"/>
      <c r="C4566" s="371" t="s">
        <v>2565</v>
      </c>
      <c r="D4566" s="371"/>
      <c r="F4566" s="294"/>
      <c r="G4566" s="354"/>
      <c r="H4566" s="461"/>
      <c r="I4566" s="461"/>
      <c r="J4566" s="461"/>
      <c r="K4566" s="461"/>
      <c r="L4566" s="291"/>
      <c r="M4566" s="291"/>
      <c r="N4566" s="291"/>
      <c r="O4566" s="291"/>
      <c r="S4566" s="364"/>
      <c r="Z4566" s="609" t="s">
        <v>4221</v>
      </c>
      <c r="AA4566" s="609" t="s">
        <v>6577</v>
      </c>
    </row>
    <row r="4567" spans="1:27" ht="18">
      <c r="A4567" s="2714" t="s">
        <v>1863</v>
      </c>
      <c r="B4567" s="371">
        <v>6</v>
      </c>
      <c r="C4567" s="371"/>
      <c r="D4567" s="2716" t="str">
        <f>VLOOKUP($A4567,Sheet_NoteList,2,0)</f>
        <v>主营业务（分地区）</v>
      </c>
      <c r="E4567" s="2716" t="s">
        <v>2742</v>
      </c>
      <c r="F4567" s="294"/>
      <c r="G4567" s="307" t="str">
        <f>"("&amp;B4567&amp;")"&amp;D4567</f>
        <v>(6)主营业务（分地区）</v>
      </c>
      <c r="H4567" s="1517" t="str">
        <f>$A4567</f>
        <v>6064e</v>
      </c>
      <c r="I4567" s="343" t="s">
        <v>2743</v>
      </c>
      <c r="J4567" s="301" t="s">
        <v>4210</v>
      </c>
      <c r="K4567" s="2210">
        <f>H4577-I4577</f>
        <v>0</v>
      </c>
      <c r="L4567" s="345">
        <f>IF($I4567="适用",IF(ROUND(H$4506-H$4515-K4567,2)=0,"F/S",ROUND(H$4506-H$4515-K4567,2)),"#N/A")</f>
        <v>12984573.49</v>
      </c>
      <c r="M4567" s="301" t="s">
        <v>4211</v>
      </c>
      <c r="N4567" s="2210">
        <f>J4577-K4577</f>
        <v>0</v>
      </c>
      <c r="O4567" s="345">
        <f>IF($I4567="适用",IF(ROUND(I$4506-I$4515-N4567,2)=0,"F/S",ROUND(I$4506-I$4515-N4567,2)),"#N/A")</f>
        <v>13460346.98</v>
      </c>
      <c r="P4567" s="301"/>
      <c r="Q4567" s="290" t="str">
        <f>IF($I4567="不适用","",IF(ROUND(SUM($H$4572:$K$4577),2)=0,"请输入",""))</f>
        <v>请输入</v>
      </c>
      <c r="S4567" s="364"/>
      <c r="Z4567" s="609" t="s">
        <v>4221</v>
      </c>
      <c r="AA4567" s="609" t="s">
        <v>6577</v>
      </c>
    </row>
    <row r="4568" spans="1:27" ht="0.75" customHeight="1">
      <c r="A4568" s="2714"/>
      <c r="B4568" s="371"/>
      <c r="C4568" s="371"/>
      <c r="D4568" s="371"/>
      <c r="E4568" s="586"/>
      <c r="F4568" s="363"/>
      <c r="G4568" s="363" t="s">
        <v>4240</v>
      </c>
      <c r="H4568" s="294" t="s">
        <v>4231</v>
      </c>
      <c r="I4568" s="294" t="s">
        <v>4232</v>
      </c>
      <c r="J4568" s="294" t="s">
        <v>4233</v>
      </c>
      <c r="K4568" s="294" t="s">
        <v>4234</v>
      </c>
      <c r="L4568" s="291"/>
      <c r="M4568" s="291"/>
      <c r="N4568" s="291"/>
      <c r="O4568" s="291"/>
      <c r="S4568" s="364"/>
      <c r="Z4568" s="609" t="s">
        <v>4221</v>
      </c>
      <c r="AA4568" s="609" t="s">
        <v>6577</v>
      </c>
    </row>
    <row r="4569" spans="1:27" ht="0.75" customHeight="1" thickBot="1">
      <c r="A4569" s="2714"/>
      <c r="B4569" s="371"/>
      <c r="C4569" s="371"/>
      <c r="D4569" s="371"/>
      <c r="E4569" s="586"/>
      <c r="F4569" s="363"/>
      <c r="G4569" s="363"/>
      <c r="H4569" s="294" t="s">
        <v>4235</v>
      </c>
      <c r="I4569" s="294" t="s">
        <v>4236</v>
      </c>
      <c r="J4569" s="294" t="s">
        <v>4237</v>
      </c>
      <c r="K4569" s="294" t="s">
        <v>4238</v>
      </c>
      <c r="L4569" s="291"/>
      <c r="M4569" s="291"/>
      <c r="N4569" s="291"/>
      <c r="O4569" s="291"/>
      <c r="S4569" s="364"/>
      <c r="Z4569" s="609" t="s">
        <v>4221</v>
      </c>
      <c r="AA4569" s="609" t="s">
        <v>6577</v>
      </c>
    </row>
    <row r="4570" spans="1:27" ht="18">
      <c r="A4570" s="2714"/>
      <c r="B4570" s="371"/>
      <c r="C4570" s="371"/>
      <c r="D4570" s="371"/>
      <c r="E4570" s="586" t="s">
        <v>2749</v>
      </c>
      <c r="F4570" s="363"/>
      <c r="G4570" s="3472" t="s">
        <v>1865</v>
      </c>
      <c r="H4570" s="3415" t="str">
        <f>$V$4</f>
        <v>2019年度</v>
      </c>
      <c r="I4570" s="3452"/>
      <c r="J4570" s="3415" t="str">
        <f>$V$5</f>
        <v>2018年度</v>
      </c>
      <c r="K4570" s="3490"/>
      <c r="L4570" s="355" t="s">
        <v>5326</v>
      </c>
      <c r="M4570" s="291"/>
      <c r="N4570" s="291"/>
      <c r="O4570" s="291"/>
      <c r="S4570" s="364"/>
      <c r="Z4570" s="609" t="s">
        <v>4221</v>
      </c>
      <c r="AA4570" s="609" t="s">
        <v>6577</v>
      </c>
    </row>
    <row r="4571" spans="1:27" ht="18">
      <c r="A4571" s="2714"/>
      <c r="B4571" s="371"/>
      <c r="C4571" s="371"/>
      <c r="D4571" s="371"/>
      <c r="E4571" s="586" t="s">
        <v>2749</v>
      </c>
      <c r="F4571" s="363"/>
      <c r="G4571" s="3473"/>
      <c r="H4571" s="2443" t="s">
        <v>4218</v>
      </c>
      <c r="I4571" s="2443" t="s">
        <v>3411</v>
      </c>
      <c r="J4571" s="2443" t="s">
        <v>4218</v>
      </c>
      <c r="K4571" s="2450" t="s">
        <v>3411</v>
      </c>
      <c r="L4571" s="291"/>
      <c r="M4571" s="291"/>
      <c r="N4571" s="291"/>
      <c r="O4571" s="291"/>
      <c r="S4571" s="364"/>
      <c r="Z4571" s="609" t="s">
        <v>4221</v>
      </c>
      <c r="AA4571" s="609" t="s">
        <v>6577</v>
      </c>
    </row>
    <row r="4572" spans="1:27" ht="18">
      <c r="A4572" s="2714"/>
      <c r="B4572" s="371">
        <v>101</v>
      </c>
      <c r="C4572" s="371" t="s">
        <v>2791</v>
      </c>
      <c r="D4572" s="2716">
        <f t="shared" ref="D4572:D4577" si="514">IF(OR(G4572="*",G4572="",G4572=0),0,COUNTIF($G$4572:$G$4577,G4572))</f>
        <v>0</v>
      </c>
      <c r="E4572" s="2721">
        <v>1</v>
      </c>
      <c r="F4572" s="294"/>
      <c r="G4572" s="2448" t="s">
        <v>2792</v>
      </c>
      <c r="H4572" s="2275"/>
      <c r="I4572" s="2275"/>
      <c r="J4572" s="2275"/>
      <c r="K4572" s="2296"/>
      <c r="L4572" s="291"/>
      <c r="M4572" s="291"/>
      <c r="N4572" s="291"/>
      <c r="O4572" s="291"/>
      <c r="S4572" s="364"/>
      <c r="Z4572" s="609" t="s">
        <v>4221</v>
      </c>
      <c r="AA4572" s="609" t="s">
        <v>6577</v>
      </c>
    </row>
    <row r="4573" spans="1:27" ht="18">
      <c r="A4573" s="2714"/>
      <c r="B4573" s="371">
        <v>102</v>
      </c>
      <c r="C4573" s="371" t="s">
        <v>2791</v>
      </c>
      <c r="D4573" s="2716">
        <f t="shared" si="514"/>
        <v>0</v>
      </c>
      <c r="E4573" s="2721">
        <v>1</v>
      </c>
      <c r="F4573" s="294"/>
      <c r="G4573" s="2448" t="s">
        <v>2792</v>
      </c>
      <c r="H4573" s="2275"/>
      <c r="I4573" s="2275"/>
      <c r="J4573" s="2275"/>
      <c r="K4573" s="2296"/>
      <c r="L4573" s="291"/>
      <c r="M4573" s="291"/>
      <c r="N4573" s="291"/>
      <c r="O4573" s="291"/>
      <c r="S4573" s="364"/>
      <c r="Z4573" s="609" t="s">
        <v>4221</v>
      </c>
      <c r="AA4573" s="609" t="s">
        <v>6577</v>
      </c>
    </row>
    <row r="4574" spans="1:27" ht="18">
      <c r="A4574" s="2714"/>
      <c r="B4574" s="371">
        <v>103</v>
      </c>
      <c r="C4574" s="371" t="s">
        <v>2791</v>
      </c>
      <c r="D4574" s="2716">
        <f t="shared" si="514"/>
        <v>0</v>
      </c>
      <c r="E4574" s="2721">
        <v>1</v>
      </c>
      <c r="F4574" s="294"/>
      <c r="G4574" s="2448" t="s">
        <v>2792</v>
      </c>
      <c r="H4574" s="2275"/>
      <c r="I4574" s="2275"/>
      <c r="J4574" s="2275"/>
      <c r="K4574" s="2296"/>
      <c r="L4574" s="291"/>
      <c r="M4574" s="291"/>
      <c r="N4574" s="291"/>
      <c r="O4574" s="291"/>
      <c r="S4574" s="364"/>
      <c r="Z4574" s="609" t="s">
        <v>4221</v>
      </c>
      <c r="AA4574" s="609" t="s">
        <v>6577</v>
      </c>
    </row>
    <row r="4575" spans="1:27" ht="18">
      <c r="A4575" s="2714"/>
      <c r="B4575" s="371">
        <v>104</v>
      </c>
      <c r="C4575" s="371" t="s">
        <v>2791</v>
      </c>
      <c r="D4575" s="2716">
        <f t="shared" si="514"/>
        <v>0</v>
      </c>
      <c r="E4575" s="2721">
        <v>1</v>
      </c>
      <c r="F4575" s="294"/>
      <c r="G4575" s="2448" t="s">
        <v>2792</v>
      </c>
      <c r="H4575" s="2275"/>
      <c r="I4575" s="2275"/>
      <c r="J4575" s="2275"/>
      <c r="K4575" s="2296"/>
      <c r="L4575" s="291"/>
      <c r="M4575" s="291"/>
      <c r="N4575" s="291"/>
      <c r="O4575" s="291"/>
      <c r="S4575" s="364"/>
      <c r="Z4575" s="609" t="s">
        <v>4221</v>
      </c>
      <c r="AA4575" s="609" t="s">
        <v>6577</v>
      </c>
    </row>
    <row r="4576" spans="1:27" ht="18">
      <c r="A4576" s="2714"/>
      <c r="B4576" s="371">
        <v>105</v>
      </c>
      <c r="C4576" s="371" t="s">
        <v>2791</v>
      </c>
      <c r="D4576" s="2716">
        <f t="shared" si="514"/>
        <v>0</v>
      </c>
      <c r="E4576" s="2721">
        <v>1</v>
      </c>
      <c r="F4576" s="294"/>
      <c r="G4576" s="2448" t="s">
        <v>2792</v>
      </c>
      <c r="H4576" s="2275"/>
      <c r="I4576" s="2275"/>
      <c r="J4576" s="2275"/>
      <c r="K4576" s="2296"/>
      <c r="L4576" s="291"/>
      <c r="M4576" s="291"/>
      <c r="N4576" s="291"/>
      <c r="O4576" s="291"/>
      <c r="S4576" s="364"/>
      <c r="Z4576" s="609" t="s">
        <v>4221</v>
      </c>
      <c r="AA4576" s="609" t="s">
        <v>6577</v>
      </c>
    </row>
    <row r="4577" spans="1:27" ht="18.75" thickBot="1">
      <c r="A4577" s="2714"/>
      <c r="B4577" s="371"/>
      <c r="C4577" s="371"/>
      <c r="D4577" s="2716">
        <f t="shared" si="514"/>
        <v>1</v>
      </c>
      <c r="E4577" s="2721" t="s">
        <v>2751</v>
      </c>
      <c r="F4577" s="294"/>
      <c r="G4577" s="2234" t="s">
        <v>2752</v>
      </c>
      <c r="H4577" s="2235">
        <f>SUMPRODUCT($E4571:$E4576,H4571:H4576)</f>
        <v>0</v>
      </c>
      <c r="I4577" s="2235">
        <f>SUMPRODUCT($E4571:$E4576,I4571:I4576)</f>
        <v>0</v>
      </c>
      <c r="J4577" s="2235">
        <f>SUMPRODUCT($E4571:$E4576,J4571:J4576)</f>
        <v>0</v>
      </c>
      <c r="K4577" s="2236">
        <f>SUMPRODUCT($E4571:$E4576,K4571:K4576)</f>
        <v>0</v>
      </c>
      <c r="L4577" s="291"/>
      <c r="M4577" s="291"/>
      <c r="N4577" s="291"/>
      <c r="O4577" s="291"/>
      <c r="S4577" s="364"/>
      <c r="Z4577" s="609" t="s">
        <v>4221</v>
      </c>
      <c r="AA4577" s="609" t="s">
        <v>6577</v>
      </c>
    </row>
    <row r="4578" spans="1:27" ht="18.75" thickBot="1">
      <c r="A4578" s="2714"/>
      <c r="B4578" s="371"/>
      <c r="C4578" s="371" t="s">
        <v>2755</v>
      </c>
      <c r="D4578" s="371"/>
      <c r="F4578" s="294"/>
      <c r="G4578" s="301"/>
      <c r="H4578" s="315" t="s">
        <v>3002</v>
      </c>
      <c r="I4578" s="315" t="s">
        <v>3002</v>
      </c>
      <c r="J4578" s="315" t="s">
        <v>3002</v>
      </c>
      <c r="K4578" s="315" t="s">
        <v>3002</v>
      </c>
      <c r="L4578" s="291"/>
      <c r="M4578" s="291"/>
      <c r="N4578" s="291"/>
      <c r="O4578" s="291"/>
      <c r="S4578" s="364"/>
      <c r="Z4578" s="609" t="s">
        <v>4221</v>
      </c>
      <c r="AA4578" s="609" t="s">
        <v>6577</v>
      </c>
    </row>
    <row r="4579" spans="1:27" ht="18.75" thickTop="1">
      <c r="A4579" s="2714"/>
      <c r="B4579" s="371"/>
      <c r="C4579" s="371" t="s">
        <v>2565</v>
      </c>
      <c r="D4579" s="371"/>
      <c r="F4579" s="294"/>
      <c r="G4579" s="454" t="s">
        <v>2756</v>
      </c>
      <c r="H4579" s="455" t="str">
        <f>$G$4502</f>
        <v>(2)营业收入明细项目</v>
      </c>
      <c r="I4579" s="455"/>
      <c r="J4579" s="455" t="str">
        <f>$G$4511</f>
        <v>(3)营业成本明细项目</v>
      </c>
      <c r="K4579" s="487"/>
      <c r="L4579" s="291"/>
      <c r="M4579" s="291"/>
      <c r="N4579" s="291"/>
      <c r="O4579" s="291"/>
      <c r="S4579" s="364"/>
      <c r="Z4579" s="609" t="s">
        <v>4221</v>
      </c>
      <c r="AA4579" s="609" t="s">
        <v>6577</v>
      </c>
    </row>
    <row r="4580" spans="1:27" ht="18">
      <c r="A4580" s="2714"/>
      <c r="B4580" s="371"/>
      <c r="C4580" s="371" t="s">
        <v>2565</v>
      </c>
      <c r="D4580" s="371"/>
      <c r="F4580" s="294"/>
      <c r="G4580" s="316" t="str">
        <f>$G$4506</f>
        <v>其中：主营业务收入</v>
      </c>
      <c r="H4580" s="2252">
        <f ca="1">HYPERLINK("#'"&amp;$G$1&amp;"'!"&amp;ADDRESS(ROW(Notes!H4506),COLUMN(Notes!H4506),4),$H$4506)</f>
        <v>34251580.890000001</v>
      </c>
      <c r="I4580" s="2252">
        <f ca="1">HYPERLINK("#'"&amp;$G$1&amp;"'!"&amp;ADDRESS(ROW(Notes!H4515),COLUMN(Notes!H4515),4),$H$4515)</f>
        <v>21267007.399999999</v>
      </c>
      <c r="J4580" s="2252">
        <f ca="1">HYPERLINK("#'"&amp;$G$1&amp;"'!"&amp;ADDRESS(ROW(Notes!I4506),COLUMN(Notes!I4506),4),$I$4506)</f>
        <v>37369847.649999999</v>
      </c>
      <c r="K4580" s="2252">
        <f ca="1">HYPERLINK("#'"&amp;$G$1&amp;"'!"&amp;ADDRESS(ROW(Notes!I4515),COLUMN(Notes!I4515),4),$I$4515)</f>
        <v>23909500.670000002</v>
      </c>
      <c r="L4580" s="291"/>
      <c r="M4580" s="291"/>
      <c r="N4580" s="291"/>
      <c r="O4580" s="291"/>
      <c r="S4580" s="364"/>
      <c r="Z4580" s="609" t="s">
        <v>4221</v>
      </c>
      <c r="AA4580" s="609" t="s">
        <v>6577</v>
      </c>
    </row>
    <row r="4581" spans="1:27" ht="18">
      <c r="A4581" s="2714"/>
      <c r="B4581" s="371"/>
      <c r="C4581" s="371" t="s">
        <v>2565</v>
      </c>
      <c r="D4581" s="371"/>
      <c r="F4581" s="294"/>
      <c r="G4581" s="316" t="s">
        <v>3003</v>
      </c>
      <c r="H4581" s="456">
        <f>H4577</f>
        <v>0</v>
      </c>
      <c r="I4581" s="456">
        <f>I4577</f>
        <v>0</v>
      </c>
      <c r="J4581" s="456">
        <f>J4577</f>
        <v>0</v>
      </c>
      <c r="K4581" s="456">
        <f>K4577</f>
        <v>0</v>
      </c>
      <c r="L4581" s="291"/>
      <c r="M4581" s="291"/>
      <c r="N4581" s="291"/>
      <c r="O4581" s="291"/>
      <c r="S4581" s="364"/>
      <c r="Z4581" s="609" t="s">
        <v>4221</v>
      </c>
      <c r="AA4581" s="609" t="s">
        <v>6577</v>
      </c>
    </row>
    <row r="4582" spans="1:27" ht="18.75" thickBot="1">
      <c r="A4582" s="2714"/>
      <c r="B4582" s="371"/>
      <c r="C4582" s="371" t="s">
        <v>2565</v>
      </c>
      <c r="D4582" s="371"/>
      <c r="F4582" s="294"/>
      <c r="G4582" s="457" t="s">
        <v>2757</v>
      </c>
      <c r="H4582" s="458">
        <f ca="1">IF(AND(H4580="",H4581=""),"",ROUND(H4580-H4581,2))</f>
        <v>34251580.890000001</v>
      </c>
      <c r="I4582" s="458">
        <f ca="1">IF(AND(I4580="",I4581=""),"",ROUND(I4580-I4581,2))</f>
        <v>21267007.399999999</v>
      </c>
      <c r="J4582" s="458">
        <f ca="1">IF(AND(J4580="",J4581=""),"",ROUND(J4580-J4581,2))</f>
        <v>37369847.649999999</v>
      </c>
      <c r="K4582" s="458">
        <f ca="1">IF(AND(K4580="",K4581=""),"",ROUND(K4580-K4581,2))</f>
        <v>23909500.670000002</v>
      </c>
      <c r="L4582" s="291"/>
      <c r="M4582" s="291"/>
      <c r="N4582" s="291"/>
      <c r="O4582" s="291"/>
      <c r="S4582" s="364"/>
      <c r="Z4582" s="609" t="s">
        <v>4221</v>
      </c>
      <c r="AA4582" s="609" t="s">
        <v>6577</v>
      </c>
    </row>
    <row r="4583" spans="1:27" ht="18.75" thickTop="1">
      <c r="A4583" s="2714"/>
      <c r="B4583" s="371"/>
      <c r="C4583" s="371" t="s">
        <v>2565</v>
      </c>
      <c r="D4583" s="371"/>
      <c r="F4583" s="294"/>
      <c r="G4583" s="354"/>
      <c r="H4583" s="459" t="str">
        <f ca="1">IF(OR(H4582=0,H4582=""),"√","？")</f>
        <v>？</v>
      </c>
      <c r="I4583" s="459" t="str">
        <f ca="1">IF(OR(I4582=0,I4582=""),"√","？")</f>
        <v>？</v>
      </c>
      <c r="J4583" s="459" t="str">
        <f ca="1">IF(OR(J4582=0,J4582=""),"√","？")</f>
        <v>？</v>
      </c>
      <c r="K4583" s="459" t="str">
        <f ca="1">IF(OR(K4582=0,K4582=""),"√","？")</f>
        <v>？</v>
      </c>
      <c r="L4583" s="291"/>
      <c r="M4583" s="291"/>
      <c r="N4583" s="291"/>
      <c r="O4583" s="291"/>
      <c r="S4583" s="364"/>
      <c r="Z4583" s="609" t="s">
        <v>4221</v>
      </c>
      <c r="AA4583" s="609" t="s">
        <v>6577</v>
      </c>
    </row>
    <row r="4584" spans="1:27" ht="18">
      <c r="A4584" s="2714"/>
      <c r="B4584" s="371"/>
      <c r="C4584" s="371" t="s">
        <v>2565</v>
      </c>
      <c r="D4584" s="371"/>
      <c r="F4584" s="294"/>
      <c r="G4584" s="460" t="s">
        <v>2759</v>
      </c>
      <c r="H4584" s="461"/>
      <c r="I4584" s="461"/>
      <c r="J4584" s="461"/>
      <c r="K4584" s="605">
        <f ca="1">SUMIF($H$4583:$K$4583,"&lt;&gt;√",$H$4582:$K$4582)</f>
        <v>116797936.61</v>
      </c>
      <c r="L4584" s="475" t="str">
        <f ca="1">IF(OR(K4584=0,K4584=""),"√","？")</f>
        <v>？</v>
      </c>
      <c r="M4584" s="291"/>
      <c r="N4584" s="291"/>
      <c r="O4584" s="291"/>
      <c r="S4584" s="364"/>
      <c r="Z4584" s="609" t="s">
        <v>4221</v>
      </c>
      <c r="AA4584" s="609" t="s">
        <v>6577</v>
      </c>
    </row>
    <row r="4585" spans="1:27" ht="18">
      <c r="A4585" s="2714"/>
      <c r="B4585" s="371"/>
      <c r="C4585" s="371" t="s">
        <v>2565</v>
      </c>
      <c r="D4585" s="371"/>
      <c r="F4585" s="294"/>
      <c r="G4585" s="354"/>
      <c r="H4585" s="461"/>
      <c r="I4585" s="461"/>
      <c r="J4585" s="461"/>
      <c r="K4585" s="461"/>
      <c r="L4585" s="291"/>
      <c r="M4585" s="291"/>
      <c r="N4585" s="291"/>
      <c r="O4585" s="291"/>
      <c r="S4585" s="364"/>
      <c r="Z4585" s="609" t="s">
        <v>4221</v>
      </c>
      <c r="AA4585" s="609" t="s">
        <v>6577</v>
      </c>
    </row>
    <row r="4586" spans="1:27" ht="18">
      <c r="A4586" s="2714" t="s">
        <v>1868</v>
      </c>
      <c r="B4586" s="371">
        <v>6</v>
      </c>
      <c r="C4586" s="371"/>
      <c r="D4586" s="2716" t="str">
        <f>VLOOKUP($A4586,Sheet_NoteList,2,0)</f>
        <v>本期销售前十名情况</v>
      </c>
      <c r="E4586" s="2716" t="s">
        <v>6533</v>
      </c>
      <c r="F4586" s="294"/>
      <c r="G4586" s="597" t="str">
        <f>"("&amp;B4586&amp;")"&amp;D4586</f>
        <v>(6)本期销售前十名情况</v>
      </c>
      <c r="H4586" s="1517" t="str">
        <f>$A4586</f>
        <v>6064f</v>
      </c>
      <c r="I4586" s="343" t="s">
        <v>5974</v>
      </c>
      <c r="J4586" s="301"/>
      <c r="K4586" s="391"/>
      <c r="L4586" s="345"/>
      <c r="M4586" s="301"/>
      <c r="N4586" s="391"/>
      <c r="O4586" s="345"/>
      <c r="P4586" s="301"/>
      <c r="S4586" s="364"/>
      <c r="Z4586" s="609" t="s">
        <v>4221</v>
      </c>
      <c r="AA4586" s="609" t="s">
        <v>4212</v>
      </c>
    </row>
    <row r="4587" spans="1:27" ht="0.75" customHeight="1" thickBot="1">
      <c r="A4587" s="2714"/>
      <c r="B4587" s="371"/>
      <c r="C4587" s="371"/>
      <c r="D4587" s="371"/>
      <c r="E4587" s="586"/>
      <c r="F4587" s="586"/>
      <c r="G4587" s="586" t="s">
        <v>4241</v>
      </c>
      <c r="H4587" s="371" t="s">
        <v>4223</v>
      </c>
      <c r="I4587" s="291"/>
      <c r="J4587" s="291"/>
      <c r="K4587" s="291"/>
      <c r="L4587" s="291"/>
      <c r="M4587" s="291"/>
      <c r="S4587" s="364"/>
      <c r="Z4587" s="609" t="s">
        <v>4221</v>
      </c>
      <c r="AA4587" s="609" t="s">
        <v>4212</v>
      </c>
    </row>
    <row r="4588" spans="1:27" ht="18">
      <c r="A4588" s="2714"/>
      <c r="B4588" s="371"/>
      <c r="C4588" s="371"/>
      <c r="D4588" s="371"/>
      <c r="E4588" s="586" t="s">
        <v>2749</v>
      </c>
      <c r="F4588" s="363"/>
      <c r="G4588" s="2451" t="s">
        <v>1870</v>
      </c>
      <c r="H4588" s="2446" t="s">
        <v>4242</v>
      </c>
      <c r="I4588" s="355" t="s">
        <v>6141</v>
      </c>
      <c r="J4588" s="291"/>
      <c r="K4588" s="291"/>
      <c r="L4588" s="291"/>
      <c r="M4588" s="291"/>
      <c r="S4588" s="364"/>
      <c r="Z4588" s="609" t="s">
        <v>4221</v>
      </c>
      <c r="AA4588" s="609" t="s">
        <v>4212</v>
      </c>
    </row>
    <row r="4589" spans="1:27" ht="18">
      <c r="A4589" s="2714"/>
      <c r="B4589" s="371">
        <v>101</v>
      </c>
      <c r="C4589" s="371" t="s">
        <v>2791</v>
      </c>
      <c r="D4589" s="2716">
        <f t="shared" ref="D4589:D4599" si="515">IF(OR(G4589="*",G4589="",G4589=0),0,COUNTIF($G$4589:$G$4599,G4589))</f>
        <v>0</v>
      </c>
      <c r="E4589" s="2721">
        <v>1</v>
      </c>
      <c r="F4589" s="294"/>
      <c r="G4589" s="2448" t="s">
        <v>2792</v>
      </c>
      <c r="H4589" s="2296"/>
      <c r="I4589" s="579"/>
      <c r="J4589" s="291"/>
      <c r="K4589" s="291"/>
      <c r="L4589" s="291"/>
      <c r="M4589" s="291"/>
      <c r="S4589" s="364"/>
      <c r="Z4589" s="609" t="s">
        <v>4221</v>
      </c>
      <c r="AA4589" s="609" t="s">
        <v>4212</v>
      </c>
    </row>
    <row r="4590" spans="1:27" ht="18">
      <c r="A4590" s="2714"/>
      <c r="B4590" s="371">
        <v>102</v>
      </c>
      <c r="C4590" s="371" t="s">
        <v>2791</v>
      </c>
      <c r="D4590" s="2716">
        <f t="shared" si="515"/>
        <v>0</v>
      </c>
      <c r="E4590" s="2721">
        <v>1</v>
      </c>
      <c r="F4590" s="294"/>
      <c r="G4590" s="2448" t="s">
        <v>2792</v>
      </c>
      <c r="H4590" s="2296"/>
      <c r="I4590" s="291"/>
      <c r="J4590" s="291"/>
      <c r="K4590" s="291"/>
      <c r="L4590" s="291"/>
      <c r="M4590" s="291"/>
      <c r="S4590" s="364"/>
      <c r="Z4590" s="609" t="s">
        <v>4221</v>
      </c>
      <c r="AA4590" s="609" t="s">
        <v>4212</v>
      </c>
    </row>
    <row r="4591" spans="1:27" ht="18">
      <c r="A4591" s="2714"/>
      <c r="B4591" s="371">
        <v>103</v>
      </c>
      <c r="C4591" s="371" t="s">
        <v>2791</v>
      </c>
      <c r="D4591" s="2716">
        <f t="shared" si="515"/>
        <v>0</v>
      </c>
      <c r="E4591" s="2721">
        <v>1</v>
      </c>
      <c r="F4591" s="294"/>
      <c r="G4591" s="2448" t="s">
        <v>2792</v>
      </c>
      <c r="H4591" s="2296"/>
      <c r="I4591" s="291"/>
      <c r="J4591" s="291"/>
      <c r="K4591" s="291"/>
      <c r="L4591" s="291"/>
      <c r="M4591" s="291"/>
      <c r="S4591" s="364"/>
      <c r="Z4591" s="609" t="s">
        <v>4221</v>
      </c>
      <c r="AA4591" s="609" t="s">
        <v>4212</v>
      </c>
    </row>
    <row r="4592" spans="1:27" ht="18">
      <c r="A4592" s="2714"/>
      <c r="B4592" s="371">
        <v>104</v>
      </c>
      <c r="C4592" s="371" t="s">
        <v>2791</v>
      </c>
      <c r="D4592" s="2716">
        <f t="shared" si="515"/>
        <v>0</v>
      </c>
      <c r="E4592" s="2721">
        <v>1</v>
      </c>
      <c r="F4592" s="294"/>
      <c r="G4592" s="2448" t="s">
        <v>2792</v>
      </c>
      <c r="H4592" s="2296"/>
      <c r="I4592" s="291"/>
      <c r="J4592" s="291"/>
      <c r="K4592" s="291"/>
      <c r="L4592" s="291"/>
      <c r="M4592" s="291"/>
      <c r="S4592" s="364"/>
      <c r="Z4592" s="609" t="s">
        <v>4221</v>
      </c>
      <c r="AA4592" s="609" t="s">
        <v>4212</v>
      </c>
    </row>
    <row r="4593" spans="1:27" ht="18">
      <c r="A4593" s="2714"/>
      <c r="B4593" s="371">
        <v>105</v>
      </c>
      <c r="C4593" s="371" t="s">
        <v>2791</v>
      </c>
      <c r="D4593" s="2716">
        <f t="shared" si="515"/>
        <v>0</v>
      </c>
      <c r="E4593" s="2721">
        <v>1</v>
      </c>
      <c r="F4593" s="294"/>
      <c r="G4593" s="2448" t="s">
        <v>2792</v>
      </c>
      <c r="H4593" s="2296"/>
      <c r="I4593" s="291"/>
      <c r="J4593" s="291"/>
      <c r="K4593" s="291"/>
      <c r="L4593" s="291"/>
      <c r="M4593" s="291"/>
      <c r="S4593" s="364"/>
      <c r="Z4593" s="609" t="s">
        <v>4221</v>
      </c>
      <c r="AA4593" s="609" t="s">
        <v>4212</v>
      </c>
    </row>
    <row r="4594" spans="1:27" ht="18">
      <c r="A4594" s="2714"/>
      <c r="B4594" s="371">
        <v>106</v>
      </c>
      <c r="C4594" s="371" t="s">
        <v>2791</v>
      </c>
      <c r="D4594" s="2716">
        <f t="shared" si="515"/>
        <v>0</v>
      </c>
      <c r="E4594" s="2721">
        <v>1</v>
      </c>
      <c r="F4594" s="294"/>
      <c r="G4594" s="2448" t="s">
        <v>2792</v>
      </c>
      <c r="H4594" s="2296"/>
      <c r="I4594" s="291"/>
      <c r="J4594" s="291"/>
      <c r="K4594" s="291"/>
      <c r="L4594" s="291"/>
      <c r="M4594" s="291"/>
      <c r="S4594" s="364"/>
      <c r="Z4594" s="609" t="s">
        <v>4221</v>
      </c>
      <c r="AA4594" s="609" t="s">
        <v>4212</v>
      </c>
    </row>
    <row r="4595" spans="1:27" ht="18">
      <c r="A4595" s="2714"/>
      <c r="B4595" s="371">
        <v>107</v>
      </c>
      <c r="C4595" s="371" t="s">
        <v>2791</v>
      </c>
      <c r="D4595" s="2716">
        <f t="shared" si="515"/>
        <v>0</v>
      </c>
      <c r="E4595" s="2721">
        <v>1</v>
      </c>
      <c r="F4595" s="294"/>
      <c r="G4595" s="2448" t="s">
        <v>2792</v>
      </c>
      <c r="H4595" s="2296"/>
      <c r="I4595" s="291"/>
      <c r="J4595" s="291"/>
      <c r="K4595" s="291"/>
      <c r="L4595" s="291"/>
      <c r="M4595" s="291"/>
      <c r="S4595" s="364"/>
      <c r="Z4595" s="609" t="s">
        <v>4221</v>
      </c>
      <c r="AA4595" s="609" t="s">
        <v>4212</v>
      </c>
    </row>
    <row r="4596" spans="1:27" ht="18">
      <c r="A4596" s="2714"/>
      <c r="B4596" s="371">
        <v>108</v>
      </c>
      <c r="C4596" s="371" t="s">
        <v>2791</v>
      </c>
      <c r="D4596" s="2716">
        <f t="shared" si="515"/>
        <v>0</v>
      </c>
      <c r="E4596" s="2721">
        <v>1</v>
      </c>
      <c r="F4596" s="294"/>
      <c r="G4596" s="2448" t="s">
        <v>2792</v>
      </c>
      <c r="H4596" s="2296"/>
      <c r="I4596" s="291"/>
      <c r="J4596" s="291"/>
      <c r="K4596" s="291"/>
      <c r="L4596" s="291"/>
      <c r="M4596" s="291"/>
      <c r="S4596" s="364"/>
      <c r="Z4596" s="609" t="s">
        <v>4221</v>
      </c>
      <c r="AA4596" s="609" t="s">
        <v>4212</v>
      </c>
    </row>
    <row r="4597" spans="1:27" ht="18">
      <c r="A4597" s="2714"/>
      <c r="B4597" s="371">
        <v>109</v>
      </c>
      <c r="C4597" s="371" t="s">
        <v>2791</v>
      </c>
      <c r="D4597" s="2716">
        <f t="shared" si="515"/>
        <v>0</v>
      </c>
      <c r="E4597" s="2721">
        <v>1</v>
      </c>
      <c r="F4597" s="294"/>
      <c r="G4597" s="2448" t="s">
        <v>2792</v>
      </c>
      <c r="H4597" s="2296"/>
      <c r="I4597" s="291"/>
      <c r="J4597" s="291"/>
      <c r="K4597" s="291"/>
      <c r="L4597" s="291"/>
      <c r="M4597" s="291"/>
      <c r="S4597" s="364"/>
      <c r="Z4597" s="609" t="s">
        <v>4221</v>
      </c>
      <c r="AA4597" s="609" t="s">
        <v>4212</v>
      </c>
    </row>
    <row r="4598" spans="1:27" ht="18">
      <c r="A4598" s="2714"/>
      <c r="B4598" s="371">
        <v>110</v>
      </c>
      <c r="C4598" s="371" t="s">
        <v>2791</v>
      </c>
      <c r="D4598" s="2716">
        <f t="shared" si="515"/>
        <v>0</v>
      </c>
      <c r="E4598" s="2721">
        <v>1</v>
      </c>
      <c r="F4598" s="294"/>
      <c r="G4598" s="2448" t="s">
        <v>2792</v>
      </c>
      <c r="H4598" s="2296"/>
      <c r="I4598" s="291"/>
      <c r="J4598" s="291"/>
      <c r="K4598" s="291"/>
      <c r="L4598" s="291"/>
      <c r="M4598" s="291"/>
      <c r="S4598" s="364"/>
      <c r="Z4598" s="609" t="s">
        <v>4221</v>
      </c>
      <c r="AA4598" s="609" t="s">
        <v>4212</v>
      </c>
    </row>
    <row r="4599" spans="1:27" ht="18.75" thickBot="1">
      <c r="A4599" s="2714"/>
      <c r="B4599" s="371"/>
      <c r="C4599" s="371"/>
      <c r="D4599" s="2716">
        <f t="shared" si="515"/>
        <v>1</v>
      </c>
      <c r="E4599" s="2721" t="s">
        <v>2751</v>
      </c>
      <c r="F4599" s="294"/>
      <c r="G4599" s="1529" t="s">
        <v>2752</v>
      </c>
      <c r="H4599" s="1528">
        <f>SUMPRODUCT($E4588:$E4598,H4588:H4598)</f>
        <v>0</v>
      </c>
      <c r="I4599" s="357"/>
      <c r="J4599" s="357"/>
      <c r="K4599" s="291"/>
      <c r="L4599" s="291"/>
      <c r="M4599" s="291"/>
      <c r="S4599" s="364"/>
      <c r="Z4599" s="609" t="s">
        <v>4221</v>
      </c>
      <c r="AA4599" s="609" t="s">
        <v>4212</v>
      </c>
    </row>
    <row r="4600" spans="1:27" ht="18">
      <c r="A4600" s="2714"/>
      <c r="B4600" s="371"/>
      <c r="C4600" s="371" t="s">
        <v>2755</v>
      </c>
      <c r="D4600" s="371"/>
      <c r="F4600" s="294"/>
      <c r="G4600" s="301"/>
      <c r="H4600" s="315"/>
      <c r="I4600" s="291"/>
      <c r="J4600" s="291"/>
      <c r="K4600" s="291"/>
      <c r="L4600" s="291"/>
      <c r="M4600" s="291"/>
      <c r="S4600" s="364"/>
      <c r="Z4600" s="609" t="s">
        <v>4221</v>
      </c>
      <c r="AA4600" s="609" t="s">
        <v>4212</v>
      </c>
    </row>
    <row r="4601" spans="1:27" ht="18">
      <c r="A4601" s="2714" t="s">
        <v>1872</v>
      </c>
      <c r="B4601" s="371">
        <v>7</v>
      </c>
      <c r="C4601" s="371"/>
      <c r="D4601" s="2716" t="str">
        <f>VLOOKUP($A4601,Sheet_NoteList,2,0)</f>
        <v>本期采购前十名情况</v>
      </c>
      <c r="E4601" s="2716" t="s">
        <v>6531</v>
      </c>
      <c r="F4601" s="294"/>
      <c r="G4601" s="597" t="str">
        <f>"("&amp;B4601&amp;")"&amp;D4601</f>
        <v>(7)本期采购前十名情况</v>
      </c>
      <c r="H4601" s="1517" t="str">
        <f>$A4601</f>
        <v>6064g</v>
      </c>
      <c r="I4601" s="343" t="s">
        <v>5965</v>
      </c>
      <c r="J4601" s="301"/>
      <c r="K4601" s="391"/>
      <c r="L4601" s="345"/>
      <c r="M4601" s="301"/>
      <c r="N4601" s="391"/>
      <c r="O4601" s="345"/>
      <c r="P4601" s="301"/>
      <c r="S4601" s="364"/>
      <c r="Z4601" s="609" t="s">
        <v>4221</v>
      </c>
      <c r="AA4601" s="609" t="s">
        <v>5703</v>
      </c>
    </row>
    <row r="4602" spans="1:27" ht="0.75" customHeight="1" thickBot="1">
      <c r="A4602" s="2714"/>
      <c r="B4602" s="371"/>
      <c r="C4602" s="371"/>
      <c r="D4602" s="371"/>
      <c r="E4602" s="586"/>
      <c r="F4602" s="586"/>
      <c r="G4602" s="586" t="s">
        <v>4243</v>
      </c>
      <c r="H4602" s="371" t="s">
        <v>4223</v>
      </c>
      <c r="I4602" s="291"/>
      <c r="J4602" s="291"/>
      <c r="K4602" s="291"/>
      <c r="L4602" s="291"/>
      <c r="M4602" s="291"/>
      <c r="S4602" s="364"/>
      <c r="Z4602" s="609" t="s">
        <v>4221</v>
      </c>
      <c r="AA4602" s="609" t="s">
        <v>5703</v>
      </c>
    </row>
    <row r="4603" spans="1:27" ht="18">
      <c r="A4603" s="2714"/>
      <c r="B4603" s="371"/>
      <c r="C4603" s="371"/>
      <c r="D4603" s="371"/>
      <c r="E4603" s="586" t="s">
        <v>2749</v>
      </c>
      <c r="F4603" s="363"/>
      <c r="G4603" s="2451" t="s">
        <v>1874</v>
      </c>
      <c r="H4603" s="2446" t="s">
        <v>4242</v>
      </c>
      <c r="I4603" s="355" t="s">
        <v>6141</v>
      </c>
      <c r="J4603" s="291"/>
      <c r="K4603" s="291"/>
      <c r="L4603" s="291"/>
      <c r="M4603" s="291"/>
      <c r="S4603" s="364"/>
      <c r="Z4603" s="609" t="s">
        <v>4221</v>
      </c>
      <c r="AA4603" s="609" t="s">
        <v>5703</v>
      </c>
    </row>
    <row r="4604" spans="1:27" ht="18">
      <c r="A4604" s="2714"/>
      <c r="B4604" s="371">
        <v>101</v>
      </c>
      <c r="C4604" s="371" t="s">
        <v>2791</v>
      </c>
      <c r="D4604" s="2716">
        <f t="shared" ref="D4604:D4614" si="516">IF(OR(G4604="*",G4604="",G4604=0),0,COUNTIF($G$4604:$G$4614,G4604))</f>
        <v>0</v>
      </c>
      <c r="E4604" s="2721">
        <v>1</v>
      </c>
      <c r="F4604" s="294"/>
      <c r="G4604" s="2448" t="s">
        <v>2792</v>
      </c>
      <c r="H4604" s="2296"/>
      <c r="I4604" s="579"/>
      <c r="J4604" s="291"/>
      <c r="K4604" s="291"/>
      <c r="L4604" s="291"/>
      <c r="M4604" s="291"/>
      <c r="S4604" s="364"/>
      <c r="Z4604" s="609" t="s">
        <v>4221</v>
      </c>
      <c r="AA4604" s="609" t="s">
        <v>5703</v>
      </c>
    </row>
    <row r="4605" spans="1:27" ht="18">
      <c r="A4605" s="2714"/>
      <c r="B4605" s="371">
        <v>102</v>
      </c>
      <c r="C4605" s="371" t="s">
        <v>2791</v>
      </c>
      <c r="D4605" s="2716">
        <f t="shared" si="516"/>
        <v>0</v>
      </c>
      <c r="E4605" s="2721">
        <v>1</v>
      </c>
      <c r="F4605" s="294"/>
      <c r="G4605" s="2448" t="s">
        <v>2792</v>
      </c>
      <c r="H4605" s="2296"/>
      <c r="I4605" s="291"/>
      <c r="J4605" s="291"/>
      <c r="K4605" s="291"/>
      <c r="L4605" s="291"/>
      <c r="M4605" s="291"/>
      <c r="S4605" s="364"/>
      <c r="Z4605" s="609" t="s">
        <v>4221</v>
      </c>
      <c r="AA4605" s="609" t="s">
        <v>5703</v>
      </c>
    </row>
    <row r="4606" spans="1:27" ht="18">
      <c r="A4606" s="2714"/>
      <c r="B4606" s="371">
        <v>103</v>
      </c>
      <c r="C4606" s="371" t="s">
        <v>2791</v>
      </c>
      <c r="D4606" s="2716">
        <f t="shared" si="516"/>
        <v>0</v>
      </c>
      <c r="E4606" s="2721">
        <v>1</v>
      </c>
      <c r="F4606" s="294"/>
      <c r="G4606" s="2448" t="s">
        <v>2792</v>
      </c>
      <c r="H4606" s="2296"/>
      <c r="I4606" s="291"/>
      <c r="J4606" s="291"/>
      <c r="K4606" s="291"/>
      <c r="L4606" s="291"/>
      <c r="M4606" s="291"/>
      <c r="S4606" s="364"/>
      <c r="Z4606" s="609" t="s">
        <v>4221</v>
      </c>
      <c r="AA4606" s="609" t="s">
        <v>5703</v>
      </c>
    </row>
    <row r="4607" spans="1:27" ht="18">
      <c r="A4607" s="2714"/>
      <c r="B4607" s="371">
        <v>104</v>
      </c>
      <c r="C4607" s="371" t="s">
        <v>2791</v>
      </c>
      <c r="D4607" s="2716">
        <f t="shared" si="516"/>
        <v>0</v>
      </c>
      <c r="E4607" s="2721">
        <v>1</v>
      </c>
      <c r="F4607" s="294"/>
      <c r="G4607" s="2448" t="s">
        <v>2792</v>
      </c>
      <c r="H4607" s="2296"/>
      <c r="I4607" s="291"/>
      <c r="J4607" s="291"/>
      <c r="K4607" s="291"/>
      <c r="L4607" s="291"/>
      <c r="M4607" s="291"/>
      <c r="S4607" s="364"/>
      <c r="Z4607" s="609" t="s">
        <v>4221</v>
      </c>
      <c r="AA4607" s="609" t="s">
        <v>5703</v>
      </c>
    </row>
    <row r="4608" spans="1:27" ht="18">
      <c r="A4608" s="2714"/>
      <c r="B4608" s="371">
        <v>105</v>
      </c>
      <c r="C4608" s="371" t="s">
        <v>2791</v>
      </c>
      <c r="D4608" s="2716">
        <f t="shared" si="516"/>
        <v>0</v>
      </c>
      <c r="E4608" s="2721">
        <v>1</v>
      </c>
      <c r="F4608" s="294"/>
      <c r="G4608" s="2448" t="s">
        <v>2792</v>
      </c>
      <c r="H4608" s="2296"/>
      <c r="I4608" s="291"/>
      <c r="J4608" s="291"/>
      <c r="K4608" s="291"/>
      <c r="L4608" s="291"/>
      <c r="M4608" s="291"/>
      <c r="S4608" s="364"/>
      <c r="Z4608" s="609" t="s">
        <v>4221</v>
      </c>
      <c r="AA4608" s="609" t="s">
        <v>5703</v>
      </c>
    </row>
    <row r="4609" spans="1:27" ht="18">
      <c r="A4609" s="2714"/>
      <c r="B4609" s="371">
        <v>106</v>
      </c>
      <c r="C4609" s="371" t="s">
        <v>2791</v>
      </c>
      <c r="D4609" s="2716">
        <f t="shared" si="516"/>
        <v>0</v>
      </c>
      <c r="E4609" s="2721">
        <v>1</v>
      </c>
      <c r="F4609" s="294"/>
      <c r="G4609" s="2448" t="s">
        <v>2792</v>
      </c>
      <c r="H4609" s="2296"/>
      <c r="I4609" s="291"/>
      <c r="J4609" s="291"/>
      <c r="K4609" s="291"/>
      <c r="L4609" s="291"/>
      <c r="M4609" s="291"/>
      <c r="S4609" s="364"/>
      <c r="Z4609" s="609" t="s">
        <v>4221</v>
      </c>
      <c r="AA4609" s="609" t="s">
        <v>5703</v>
      </c>
    </row>
    <row r="4610" spans="1:27" ht="18">
      <c r="A4610" s="2714"/>
      <c r="B4610" s="371">
        <v>107</v>
      </c>
      <c r="C4610" s="371" t="s">
        <v>2791</v>
      </c>
      <c r="D4610" s="2716">
        <f t="shared" si="516"/>
        <v>0</v>
      </c>
      <c r="E4610" s="2721">
        <v>1</v>
      </c>
      <c r="F4610" s="294"/>
      <c r="G4610" s="2448" t="s">
        <v>2792</v>
      </c>
      <c r="H4610" s="2296"/>
      <c r="I4610" s="291"/>
      <c r="J4610" s="291"/>
      <c r="K4610" s="291"/>
      <c r="L4610" s="291"/>
      <c r="M4610" s="291"/>
      <c r="S4610" s="364"/>
      <c r="Z4610" s="609" t="s">
        <v>4221</v>
      </c>
      <c r="AA4610" s="609" t="s">
        <v>5703</v>
      </c>
    </row>
    <row r="4611" spans="1:27" ht="18">
      <c r="A4611" s="2714"/>
      <c r="B4611" s="371">
        <v>108</v>
      </c>
      <c r="C4611" s="371" t="s">
        <v>2791</v>
      </c>
      <c r="D4611" s="2716">
        <f t="shared" si="516"/>
        <v>0</v>
      </c>
      <c r="E4611" s="2721">
        <v>1</v>
      </c>
      <c r="F4611" s="294"/>
      <c r="G4611" s="2448" t="s">
        <v>2792</v>
      </c>
      <c r="H4611" s="2296"/>
      <c r="I4611" s="291"/>
      <c r="J4611" s="291"/>
      <c r="K4611" s="291"/>
      <c r="L4611" s="291"/>
      <c r="M4611" s="291"/>
      <c r="S4611" s="364"/>
      <c r="Z4611" s="609" t="s">
        <v>4221</v>
      </c>
      <c r="AA4611" s="609" t="s">
        <v>5703</v>
      </c>
    </row>
    <row r="4612" spans="1:27" ht="18">
      <c r="A4612" s="2714"/>
      <c r="B4612" s="371">
        <v>109</v>
      </c>
      <c r="C4612" s="371" t="s">
        <v>2791</v>
      </c>
      <c r="D4612" s="2716">
        <f t="shared" si="516"/>
        <v>0</v>
      </c>
      <c r="E4612" s="2721">
        <v>1</v>
      </c>
      <c r="F4612" s="294"/>
      <c r="G4612" s="2448" t="s">
        <v>2792</v>
      </c>
      <c r="H4612" s="2296"/>
      <c r="I4612" s="291"/>
      <c r="J4612" s="291"/>
      <c r="K4612" s="291"/>
      <c r="L4612" s="291"/>
      <c r="M4612" s="291"/>
      <c r="S4612" s="364"/>
      <c r="Z4612" s="609" t="s">
        <v>4221</v>
      </c>
      <c r="AA4612" s="609" t="s">
        <v>5703</v>
      </c>
    </row>
    <row r="4613" spans="1:27" ht="18">
      <c r="A4613" s="2714"/>
      <c r="B4613" s="371">
        <v>110</v>
      </c>
      <c r="C4613" s="371" t="s">
        <v>2791</v>
      </c>
      <c r="D4613" s="2716">
        <f t="shared" si="516"/>
        <v>0</v>
      </c>
      <c r="E4613" s="2721">
        <v>1</v>
      </c>
      <c r="F4613" s="294"/>
      <c r="G4613" s="2448" t="s">
        <v>2792</v>
      </c>
      <c r="H4613" s="2296"/>
      <c r="I4613" s="291"/>
      <c r="J4613" s="291"/>
      <c r="K4613" s="291"/>
      <c r="L4613" s="291"/>
      <c r="M4613" s="291"/>
      <c r="S4613" s="364"/>
      <c r="Z4613" s="609" t="s">
        <v>4221</v>
      </c>
      <c r="AA4613" s="609" t="s">
        <v>5703</v>
      </c>
    </row>
    <row r="4614" spans="1:27" ht="18.75" thickBot="1">
      <c r="A4614" s="2714"/>
      <c r="B4614" s="371"/>
      <c r="C4614" s="371"/>
      <c r="D4614" s="2716">
        <f t="shared" si="516"/>
        <v>1</v>
      </c>
      <c r="E4614" s="2721" t="s">
        <v>2751</v>
      </c>
      <c r="F4614" s="294"/>
      <c r="G4614" s="1529" t="s">
        <v>2752</v>
      </c>
      <c r="H4614" s="1528">
        <f>SUMPRODUCT($E4603:$E4613,H4603:H4613)</f>
        <v>0</v>
      </c>
      <c r="I4614" s="357"/>
      <c r="J4614" s="357"/>
      <c r="K4614" s="291"/>
      <c r="L4614" s="291"/>
      <c r="M4614" s="291"/>
      <c r="S4614" s="364"/>
      <c r="Z4614" s="609" t="s">
        <v>4221</v>
      </c>
      <c r="AA4614" s="609" t="s">
        <v>5703</v>
      </c>
    </row>
    <row r="4615" spans="1:27" ht="18">
      <c r="A4615" s="2714"/>
      <c r="B4615" s="371"/>
      <c r="C4615" s="371" t="s">
        <v>2755</v>
      </c>
      <c r="D4615" s="371"/>
      <c r="F4615" s="294"/>
      <c r="G4615" s="301"/>
      <c r="H4615" s="315"/>
      <c r="I4615" s="291"/>
      <c r="J4615" s="291"/>
      <c r="K4615" s="291"/>
      <c r="L4615" s="291"/>
      <c r="M4615" s="291"/>
      <c r="S4615" s="364"/>
      <c r="Z4615" s="609" t="s">
        <v>4221</v>
      </c>
      <c r="AA4615" s="609" t="s">
        <v>5703</v>
      </c>
    </row>
    <row r="4616" spans="1:27" ht="18">
      <c r="A4616" s="2714" t="s">
        <v>1840</v>
      </c>
      <c r="B4616" s="371">
        <v>8</v>
      </c>
      <c r="C4616" s="371"/>
      <c r="D4616" s="2716" t="str">
        <f>VLOOKUP($A4616,Sheet_NoteList,2,0)</f>
        <v>营业收入补充资料</v>
      </c>
      <c r="E4616" s="2716" t="s">
        <v>6531</v>
      </c>
      <c r="F4616" s="294"/>
      <c r="G4616" s="307" t="str">
        <f>"("&amp;B4616&amp;")"&amp;D4616</f>
        <v>(8)营业收入补充资料</v>
      </c>
      <c r="H4616" s="1517" t="str">
        <f>$A4616</f>
        <v>6001x</v>
      </c>
      <c r="I4616" s="343" t="s">
        <v>5965</v>
      </c>
      <c r="J4616" s="301" t="s">
        <v>5981</v>
      </c>
      <c r="K4616" s="2210">
        <f>H4624</f>
        <v>0</v>
      </c>
      <c r="L4616" s="345"/>
      <c r="M4616" s="301" t="s">
        <v>5982</v>
      </c>
      <c r="N4616" s="2210">
        <f>I4624</f>
        <v>0</v>
      </c>
      <c r="O4616" s="345"/>
      <c r="P4616" s="301"/>
      <c r="S4616" s="364"/>
      <c r="Z4616" s="609" t="s">
        <v>4221</v>
      </c>
      <c r="AA4616" s="609" t="s">
        <v>4212</v>
      </c>
    </row>
    <row r="4617" spans="1:27" ht="0.75" customHeight="1" thickBot="1">
      <c r="A4617" s="2714"/>
      <c r="B4617" s="371"/>
      <c r="C4617" s="371"/>
      <c r="D4617" s="371"/>
      <c r="E4617" s="586"/>
      <c r="F4617" s="586"/>
      <c r="G4617" s="586" t="s">
        <v>4244</v>
      </c>
      <c r="H4617" s="371" t="s">
        <v>4223</v>
      </c>
      <c r="I4617" s="371" t="s">
        <v>4224</v>
      </c>
      <c r="J4617" s="291"/>
      <c r="K4617" s="291"/>
      <c r="L4617" s="291"/>
      <c r="M4617" s="291"/>
      <c r="S4617" s="364"/>
      <c r="Z4617" s="609" t="s">
        <v>4221</v>
      </c>
      <c r="AA4617" s="609" t="s">
        <v>4212</v>
      </c>
    </row>
    <row r="4618" spans="1:27" ht="18">
      <c r="A4618" s="2714"/>
      <c r="B4618" s="371"/>
      <c r="C4618" s="371"/>
      <c r="D4618" s="371"/>
      <c r="E4618" s="586" t="s">
        <v>2749</v>
      </c>
      <c r="F4618" s="363"/>
      <c r="G4618" s="2451" t="s">
        <v>47</v>
      </c>
      <c r="H4618" s="2447" t="s">
        <v>4242</v>
      </c>
      <c r="I4618" s="2446" t="s">
        <v>4245</v>
      </c>
      <c r="J4618" s="355" t="s">
        <v>6141</v>
      </c>
      <c r="K4618" s="291"/>
      <c r="L4618" s="291"/>
      <c r="M4618" s="291"/>
      <c r="S4618" s="364"/>
      <c r="Z4618" s="609" t="s">
        <v>4221</v>
      </c>
      <c r="AA4618" s="609" t="s">
        <v>4212</v>
      </c>
    </row>
    <row r="4619" spans="1:27" ht="18">
      <c r="A4619" s="2714"/>
      <c r="B4619" s="371">
        <v>101</v>
      </c>
      <c r="C4619" s="371" t="s">
        <v>2791</v>
      </c>
      <c r="D4619" s="2716">
        <f t="shared" ref="D4619:D4624" si="517">IF(OR(G4619="*",G4619="",G4619=0),0,COUNTIF($G$4619:$G$4624,G4619))</f>
        <v>0</v>
      </c>
      <c r="E4619" s="2721">
        <v>1</v>
      </c>
      <c r="F4619" s="294"/>
      <c r="G4619" s="2448" t="s">
        <v>2792</v>
      </c>
      <c r="H4619" s="2275"/>
      <c r="I4619" s="2296"/>
      <c r="J4619" s="579"/>
      <c r="K4619" s="291"/>
      <c r="L4619" s="291"/>
      <c r="M4619" s="291"/>
      <c r="S4619" s="364"/>
      <c r="Z4619" s="609" t="s">
        <v>4221</v>
      </c>
      <c r="AA4619" s="609" t="s">
        <v>4212</v>
      </c>
    </row>
    <row r="4620" spans="1:27" ht="18">
      <c r="A4620" s="2714"/>
      <c r="B4620" s="371">
        <v>102</v>
      </c>
      <c r="C4620" s="371" t="s">
        <v>2791</v>
      </c>
      <c r="D4620" s="2716">
        <f t="shared" si="517"/>
        <v>0</v>
      </c>
      <c r="E4620" s="2721">
        <v>1</v>
      </c>
      <c r="F4620" s="294"/>
      <c r="G4620" s="2448" t="s">
        <v>2792</v>
      </c>
      <c r="H4620" s="2275"/>
      <c r="I4620" s="2296"/>
      <c r="J4620" s="291"/>
      <c r="K4620" s="291"/>
      <c r="L4620" s="291"/>
      <c r="M4620" s="291"/>
      <c r="S4620" s="364"/>
      <c r="Z4620" s="609" t="s">
        <v>4221</v>
      </c>
      <c r="AA4620" s="609" t="s">
        <v>4212</v>
      </c>
    </row>
    <row r="4621" spans="1:27" ht="18">
      <c r="A4621" s="2714"/>
      <c r="B4621" s="371">
        <v>103</v>
      </c>
      <c r="C4621" s="371" t="s">
        <v>2791</v>
      </c>
      <c r="D4621" s="2716">
        <f t="shared" si="517"/>
        <v>0</v>
      </c>
      <c r="E4621" s="2721">
        <v>1</v>
      </c>
      <c r="F4621" s="294"/>
      <c r="G4621" s="2448" t="s">
        <v>2792</v>
      </c>
      <c r="H4621" s="2275"/>
      <c r="I4621" s="2296"/>
      <c r="J4621" s="291"/>
      <c r="K4621" s="291"/>
      <c r="L4621" s="291"/>
      <c r="M4621" s="291"/>
      <c r="S4621" s="364"/>
      <c r="Z4621" s="609" t="s">
        <v>4221</v>
      </c>
      <c r="AA4621" s="609" t="s">
        <v>4212</v>
      </c>
    </row>
    <row r="4622" spans="1:27" ht="18">
      <c r="A4622" s="2714"/>
      <c r="B4622" s="371">
        <v>104</v>
      </c>
      <c r="C4622" s="371" t="s">
        <v>2791</v>
      </c>
      <c r="D4622" s="2716">
        <f t="shared" si="517"/>
        <v>0</v>
      </c>
      <c r="E4622" s="2721">
        <v>1</v>
      </c>
      <c r="F4622" s="294"/>
      <c r="G4622" s="2448" t="s">
        <v>2792</v>
      </c>
      <c r="H4622" s="2275"/>
      <c r="I4622" s="2296"/>
      <c r="J4622" s="291"/>
      <c r="K4622" s="291"/>
      <c r="L4622" s="291"/>
      <c r="M4622" s="291"/>
      <c r="S4622" s="364"/>
      <c r="Z4622" s="609" t="s">
        <v>4221</v>
      </c>
      <c r="AA4622" s="609" t="s">
        <v>4212</v>
      </c>
    </row>
    <row r="4623" spans="1:27" ht="18">
      <c r="A4623" s="2714"/>
      <c r="B4623" s="371">
        <v>105</v>
      </c>
      <c r="C4623" s="371" t="s">
        <v>2791</v>
      </c>
      <c r="D4623" s="2716">
        <f t="shared" si="517"/>
        <v>0</v>
      </c>
      <c r="E4623" s="2721">
        <v>1</v>
      </c>
      <c r="F4623" s="294"/>
      <c r="G4623" s="2448" t="s">
        <v>2792</v>
      </c>
      <c r="H4623" s="2275"/>
      <c r="I4623" s="2296"/>
      <c r="J4623" s="291"/>
      <c r="K4623" s="291"/>
      <c r="L4623" s="291"/>
      <c r="M4623" s="291"/>
      <c r="S4623" s="364"/>
      <c r="Z4623" s="609" t="s">
        <v>4221</v>
      </c>
      <c r="AA4623" s="609" t="s">
        <v>4212</v>
      </c>
    </row>
    <row r="4624" spans="1:27" ht="18.75" thickBot="1">
      <c r="A4624" s="2714"/>
      <c r="B4624" s="371"/>
      <c r="C4624" s="371"/>
      <c r="D4624" s="2716">
        <f t="shared" si="517"/>
        <v>1</v>
      </c>
      <c r="E4624" s="2721" t="s">
        <v>2751</v>
      </c>
      <c r="F4624" s="294"/>
      <c r="G4624" s="1529" t="s">
        <v>2752</v>
      </c>
      <c r="H4624" s="1527">
        <f>SUMPRODUCT($E4618:$E4623,H4618:H4623)</f>
        <v>0</v>
      </c>
      <c r="I4624" s="1528">
        <f>SUMPRODUCT($E4618:$E4623,I4618:I4623)</f>
        <v>0</v>
      </c>
      <c r="J4624" s="291"/>
      <c r="K4624" s="291"/>
      <c r="L4624" s="291"/>
      <c r="M4624" s="291"/>
      <c r="S4624" s="364"/>
      <c r="Z4624" s="609" t="s">
        <v>4221</v>
      </c>
      <c r="AA4624" s="609" t="s">
        <v>4212</v>
      </c>
    </row>
    <row r="4625" spans="1:27" ht="18">
      <c r="A4625" s="2714"/>
      <c r="B4625" s="371"/>
      <c r="C4625" s="371" t="s">
        <v>2755</v>
      </c>
      <c r="D4625" s="371"/>
      <c r="F4625" s="294"/>
      <c r="G4625" s="301"/>
      <c r="H4625" s="315"/>
      <c r="I4625" s="315"/>
      <c r="J4625" s="291"/>
      <c r="K4625" s="291"/>
      <c r="L4625" s="291"/>
      <c r="M4625" s="291"/>
      <c r="S4625" s="364"/>
      <c r="Z4625" s="609" t="s">
        <v>4221</v>
      </c>
      <c r="AA4625" s="609" t="s">
        <v>4212</v>
      </c>
    </row>
    <row r="4626" spans="1:27" ht="18">
      <c r="A4626" s="2714" t="s">
        <v>1894</v>
      </c>
      <c r="B4626" s="371">
        <v>9</v>
      </c>
      <c r="C4626" s="371"/>
      <c r="D4626" s="2716" t="str">
        <f>VLOOKUP($A4626,Sheet_NoteList,2,0)</f>
        <v>营业成本补充资料</v>
      </c>
      <c r="E4626" s="2716" t="s">
        <v>6531</v>
      </c>
      <c r="F4626" s="294"/>
      <c r="G4626" s="307" t="str">
        <f>"("&amp;B4626&amp;")"&amp;D4626</f>
        <v>(9)营业成本补充资料</v>
      </c>
      <c r="H4626" s="1517" t="str">
        <f>$A4626</f>
        <v>6401x</v>
      </c>
      <c r="I4626" s="343" t="s">
        <v>5969</v>
      </c>
      <c r="J4626" s="301" t="s">
        <v>5983</v>
      </c>
      <c r="K4626" s="2210">
        <f>H4634</f>
        <v>0</v>
      </c>
      <c r="L4626" s="345"/>
      <c r="M4626" s="301" t="s">
        <v>5982</v>
      </c>
      <c r="N4626" s="2210">
        <f>I4634</f>
        <v>0</v>
      </c>
      <c r="O4626" s="345"/>
      <c r="P4626" s="301"/>
      <c r="S4626" s="364"/>
      <c r="Z4626" s="609" t="s">
        <v>4221</v>
      </c>
      <c r="AA4626" s="609" t="s">
        <v>5703</v>
      </c>
    </row>
    <row r="4627" spans="1:27" ht="0.75" customHeight="1" thickBot="1">
      <c r="A4627" s="2714"/>
      <c r="B4627" s="371"/>
      <c r="C4627" s="371"/>
      <c r="D4627" s="371"/>
      <c r="E4627" s="586"/>
      <c r="F4627" s="586"/>
      <c r="G4627" s="586" t="s">
        <v>4246</v>
      </c>
      <c r="H4627" s="371" t="s">
        <v>4223</v>
      </c>
      <c r="I4627" s="371" t="s">
        <v>4224</v>
      </c>
      <c r="J4627" s="291"/>
      <c r="K4627" s="291"/>
      <c r="L4627" s="291"/>
      <c r="M4627" s="291"/>
      <c r="S4627" s="364"/>
      <c r="Z4627" s="609" t="s">
        <v>4221</v>
      </c>
      <c r="AA4627" s="609" t="s">
        <v>5703</v>
      </c>
    </row>
    <row r="4628" spans="1:27" ht="18">
      <c r="A4628" s="2714"/>
      <c r="B4628" s="371"/>
      <c r="C4628" s="371"/>
      <c r="D4628" s="371"/>
      <c r="E4628" s="586" t="s">
        <v>2749</v>
      </c>
      <c r="F4628" s="363"/>
      <c r="G4628" s="2451" t="s">
        <v>47</v>
      </c>
      <c r="H4628" s="2447" t="s">
        <v>4242</v>
      </c>
      <c r="I4628" s="2446" t="s">
        <v>4245</v>
      </c>
      <c r="J4628" s="355" t="s">
        <v>6141</v>
      </c>
      <c r="K4628" s="291"/>
      <c r="L4628" s="291"/>
      <c r="M4628" s="291"/>
      <c r="S4628" s="364"/>
      <c r="Z4628" s="609" t="s">
        <v>4221</v>
      </c>
      <c r="AA4628" s="609" t="s">
        <v>5703</v>
      </c>
    </row>
    <row r="4629" spans="1:27" ht="18">
      <c r="A4629" s="2714"/>
      <c r="B4629" s="371">
        <v>101</v>
      </c>
      <c r="C4629" s="371" t="s">
        <v>2791</v>
      </c>
      <c r="D4629" s="2716">
        <f t="shared" ref="D4629:D4634" si="518">IF(OR(G4629="*",G4629="",G4629=0),0,COUNTIF($G$4629:$G$4634,G4629))</f>
        <v>0</v>
      </c>
      <c r="E4629" s="2721">
        <v>1</v>
      </c>
      <c r="F4629" s="294"/>
      <c r="G4629" s="2448" t="s">
        <v>2792</v>
      </c>
      <c r="H4629" s="2275"/>
      <c r="I4629" s="2296"/>
      <c r="J4629" s="579"/>
      <c r="K4629" s="291"/>
      <c r="L4629" s="291"/>
      <c r="M4629" s="291"/>
      <c r="S4629" s="364"/>
      <c r="Z4629" s="609" t="s">
        <v>4221</v>
      </c>
      <c r="AA4629" s="609" t="s">
        <v>5703</v>
      </c>
    </row>
    <row r="4630" spans="1:27" ht="18">
      <c r="A4630" s="2714"/>
      <c r="B4630" s="371">
        <v>102</v>
      </c>
      <c r="C4630" s="371" t="s">
        <v>2791</v>
      </c>
      <c r="D4630" s="2716">
        <f t="shared" si="518"/>
        <v>0</v>
      </c>
      <c r="E4630" s="2721">
        <v>1</v>
      </c>
      <c r="F4630" s="294"/>
      <c r="G4630" s="2448" t="s">
        <v>2792</v>
      </c>
      <c r="H4630" s="2275"/>
      <c r="I4630" s="2296"/>
      <c r="J4630" s="291"/>
      <c r="K4630" s="291"/>
      <c r="L4630" s="291"/>
      <c r="M4630" s="291"/>
      <c r="S4630" s="364"/>
      <c r="Z4630" s="609" t="s">
        <v>4221</v>
      </c>
      <c r="AA4630" s="609" t="s">
        <v>5703</v>
      </c>
    </row>
    <row r="4631" spans="1:27" ht="18">
      <c r="A4631" s="2714"/>
      <c r="B4631" s="371">
        <v>103</v>
      </c>
      <c r="C4631" s="371" t="s">
        <v>2791</v>
      </c>
      <c r="D4631" s="2716">
        <f t="shared" si="518"/>
        <v>0</v>
      </c>
      <c r="E4631" s="2721">
        <v>1</v>
      </c>
      <c r="F4631" s="294"/>
      <c r="G4631" s="2448" t="s">
        <v>2792</v>
      </c>
      <c r="H4631" s="2275"/>
      <c r="I4631" s="2296"/>
      <c r="J4631" s="291"/>
      <c r="K4631" s="291"/>
      <c r="L4631" s="291"/>
      <c r="M4631" s="291"/>
      <c r="S4631" s="364"/>
      <c r="Z4631" s="609" t="s">
        <v>4221</v>
      </c>
      <c r="AA4631" s="609" t="s">
        <v>5703</v>
      </c>
    </row>
    <row r="4632" spans="1:27" ht="18">
      <c r="A4632" s="2714"/>
      <c r="B4632" s="371">
        <v>104</v>
      </c>
      <c r="C4632" s="371" t="s">
        <v>2791</v>
      </c>
      <c r="D4632" s="2716">
        <f t="shared" si="518"/>
        <v>0</v>
      </c>
      <c r="E4632" s="2721">
        <v>1</v>
      </c>
      <c r="F4632" s="294"/>
      <c r="G4632" s="2448" t="s">
        <v>2792</v>
      </c>
      <c r="H4632" s="2275"/>
      <c r="I4632" s="2296"/>
      <c r="J4632" s="291"/>
      <c r="K4632" s="291"/>
      <c r="L4632" s="291"/>
      <c r="M4632" s="291"/>
      <c r="S4632" s="364"/>
      <c r="Z4632" s="609" t="s">
        <v>4221</v>
      </c>
      <c r="AA4632" s="609" t="s">
        <v>5703</v>
      </c>
    </row>
    <row r="4633" spans="1:27" ht="18">
      <c r="A4633" s="2714"/>
      <c r="B4633" s="371">
        <v>105</v>
      </c>
      <c r="C4633" s="371" t="s">
        <v>2791</v>
      </c>
      <c r="D4633" s="2716">
        <f t="shared" si="518"/>
        <v>0</v>
      </c>
      <c r="E4633" s="2721">
        <v>1</v>
      </c>
      <c r="F4633" s="294"/>
      <c r="G4633" s="2448" t="s">
        <v>2792</v>
      </c>
      <c r="H4633" s="2275"/>
      <c r="I4633" s="2296"/>
      <c r="J4633" s="291"/>
      <c r="K4633" s="291"/>
      <c r="L4633" s="291"/>
      <c r="M4633" s="291"/>
      <c r="S4633" s="364"/>
      <c r="Z4633" s="609" t="s">
        <v>4221</v>
      </c>
      <c r="AA4633" s="609" t="s">
        <v>5703</v>
      </c>
    </row>
    <row r="4634" spans="1:27" ht="18.75" thickBot="1">
      <c r="A4634" s="2714"/>
      <c r="B4634" s="371"/>
      <c r="C4634" s="371"/>
      <c r="D4634" s="2716">
        <f t="shared" si="518"/>
        <v>1</v>
      </c>
      <c r="E4634" s="2721" t="s">
        <v>2751</v>
      </c>
      <c r="F4634" s="294"/>
      <c r="G4634" s="1529" t="s">
        <v>2752</v>
      </c>
      <c r="H4634" s="1527">
        <f>SUMPRODUCT($E4628:$E4633,H4628:H4633)</f>
        <v>0</v>
      </c>
      <c r="I4634" s="1528">
        <f>SUMPRODUCT($E4628:$E4633,I4628:I4633)</f>
        <v>0</v>
      </c>
      <c r="J4634" s="291"/>
      <c r="K4634" s="291"/>
      <c r="L4634" s="291"/>
      <c r="M4634" s="291"/>
      <c r="S4634" s="364"/>
      <c r="Z4634" s="609" t="s">
        <v>4221</v>
      </c>
      <c r="AA4634" s="609" t="s">
        <v>5703</v>
      </c>
    </row>
    <row r="4635" spans="1:27" ht="18">
      <c r="A4635" s="2714"/>
      <c r="B4635" s="371"/>
      <c r="C4635" s="371" t="s">
        <v>2755</v>
      </c>
      <c r="D4635" s="371"/>
      <c r="F4635" s="294"/>
      <c r="G4635" s="301"/>
      <c r="H4635" s="315"/>
      <c r="I4635" s="315"/>
      <c r="J4635" s="291"/>
      <c r="K4635" s="291"/>
      <c r="L4635" s="291"/>
      <c r="M4635" s="291"/>
      <c r="S4635" s="364"/>
      <c r="Z4635" s="609" t="s">
        <v>4221</v>
      </c>
      <c r="AA4635" s="609" t="s">
        <v>5703</v>
      </c>
    </row>
    <row r="4636" spans="1:27" ht="18">
      <c r="A4636" s="2714">
        <v>6600</v>
      </c>
      <c r="B4636" s="371">
        <v>62</v>
      </c>
      <c r="C4636" s="2716" t="str">
        <f>VLOOKUP($A4636,Sheet_Items,2,0)</f>
        <v>税金及附加</v>
      </c>
      <c r="D4636" s="371"/>
      <c r="E4636" s="2716" t="s">
        <v>2739</v>
      </c>
      <c r="F4636" s="294"/>
      <c r="G4636" s="305" t="str">
        <f>B4636&amp;" "&amp;C4636</f>
        <v>62 税金及附加</v>
      </c>
      <c r="H4636" s="306"/>
      <c r="I4636" s="306"/>
      <c r="J4636" s="306" t="s">
        <v>4206</v>
      </c>
      <c r="K4636" s="341">
        <f>VLOOKUP($A4636,Sheet_Trialbal,6,0)</f>
        <v>740280.52</v>
      </c>
      <c r="L4636" s="342"/>
      <c r="M4636" s="306" t="s">
        <v>4207</v>
      </c>
      <c r="N4636" s="341">
        <f>VLOOKUP($A4636,Sheet_Trialbal,10,0)</f>
        <v>816515.77</v>
      </c>
      <c r="O4636" s="306"/>
      <c r="P4636" s="301"/>
      <c r="S4636" s="364"/>
      <c r="Z4636" s="609" t="s">
        <v>4247</v>
      </c>
      <c r="AA4636" s="609" t="s">
        <v>5705</v>
      </c>
    </row>
    <row r="4637" spans="1:27" ht="18">
      <c r="A4637" s="2714" t="s">
        <v>1897</v>
      </c>
      <c r="B4637" s="371">
        <v>1</v>
      </c>
      <c r="C4637" s="371"/>
      <c r="D4637" s="2716" t="str">
        <f>VLOOKUP($A4637,Sheet_NoteList,2,0)</f>
        <v>税金及附加明细项目</v>
      </c>
      <c r="E4637" s="2716" t="s">
        <v>2742</v>
      </c>
      <c r="F4637" s="294"/>
      <c r="G4637" s="307" t="s">
        <v>4248</v>
      </c>
      <c r="H4637" s="1517" t="str">
        <f>$A4637</f>
        <v>6600a</v>
      </c>
      <c r="I4637" s="343" t="s">
        <v>2743</v>
      </c>
      <c r="J4637" s="301" t="s">
        <v>4210</v>
      </c>
      <c r="K4637" s="2210">
        <f>H4654</f>
        <v>740280.52</v>
      </c>
      <c r="L4637" s="345" t="str">
        <f>IF($I4637="适用",IF(ROUND(K4636-K4637,2)=0,"F/S",ROUND(K4636-K4637,2)),"#N/A")</f>
        <v>F/S</v>
      </c>
      <c r="M4637" s="301" t="s">
        <v>4211</v>
      </c>
      <c r="N4637" s="2210">
        <f>I4654</f>
        <v>816515.77</v>
      </c>
      <c r="O4637" s="345" t="str">
        <f>IF($I4637="适用",IF(ROUND(N4636-N4637,2)=0,"F/S",ROUND(N4636-N4637,2)),"#N/A")</f>
        <v>F/S</v>
      </c>
      <c r="P4637" s="301"/>
      <c r="Q4637" s="290" t="str">
        <f>IF($I4637="不适用","",IF(ROUND(SUM($H$4640:$I$4654),2)=0,"请输入",""))</f>
        <v/>
      </c>
      <c r="S4637" s="364"/>
      <c r="Z4637" s="609" t="s">
        <v>4247</v>
      </c>
      <c r="AA4637" s="609" t="s">
        <v>5705</v>
      </c>
    </row>
    <row r="4638" spans="1:27" ht="0.75" customHeight="1" thickBot="1">
      <c r="A4638" s="2714"/>
      <c r="B4638" s="371"/>
      <c r="C4638" s="371"/>
      <c r="D4638" s="371"/>
      <c r="E4638" s="586"/>
      <c r="F4638" s="586"/>
      <c r="G4638" s="586" t="s">
        <v>4249</v>
      </c>
      <c r="H4638" s="371" t="s">
        <v>4223</v>
      </c>
      <c r="I4638" s="371" t="s">
        <v>4224</v>
      </c>
      <c r="J4638" s="291"/>
      <c r="K4638" s="291"/>
      <c r="L4638" s="291"/>
      <c r="M4638" s="291"/>
      <c r="N4638" s="291"/>
      <c r="S4638" s="364"/>
      <c r="Z4638" s="609" t="s">
        <v>4247</v>
      </c>
      <c r="AA4638" s="609" t="s">
        <v>5705</v>
      </c>
    </row>
    <row r="4639" spans="1:27" ht="24.75" thickTop="1">
      <c r="A4639" s="2714"/>
      <c r="B4639" s="371"/>
      <c r="C4639" s="371"/>
      <c r="D4639" s="371"/>
      <c r="E4639" s="586" t="s">
        <v>2749</v>
      </c>
      <c r="F4639" s="363"/>
      <c r="G4639" s="2449" t="s">
        <v>47</v>
      </c>
      <c r="H4639" s="2445" t="str">
        <f>$V$4</f>
        <v>2019年度</v>
      </c>
      <c r="I4639" s="2444" t="str">
        <f>$V$5</f>
        <v>2018年度</v>
      </c>
      <c r="J4639" s="355" t="s">
        <v>5327</v>
      </c>
      <c r="K4639" s="1584" t="str">
        <f>""&amp;"&gt;应交税费本期增加:"&amp;""</f>
        <v>&gt;应交税费本期增加:</v>
      </c>
      <c r="L4639" s="1584"/>
      <c r="M4639" s="2659"/>
      <c r="N4639" s="2658" t="str">
        <f>""&amp;"NoteID"&amp;""</f>
        <v>NoteID</v>
      </c>
      <c r="S4639" s="364"/>
      <c r="Z4639" s="609" t="s">
        <v>4247</v>
      </c>
      <c r="AA4639" s="609" t="s">
        <v>5705</v>
      </c>
    </row>
    <row r="4640" spans="1:27" ht="18">
      <c r="A4640" s="2714"/>
      <c r="B4640" s="371">
        <v>101</v>
      </c>
      <c r="C4640" s="371"/>
      <c r="D4640" s="2716">
        <f>IF(OR(G4640="*",G4640="",G4640=0),0,COUNTIF($G$4640:$G$4654,G4640))</f>
        <v>1</v>
      </c>
      <c r="E4640" s="2721">
        <v>1</v>
      </c>
      <c r="F4640" s="294"/>
      <c r="G4640" s="1474" t="s">
        <v>3945</v>
      </c>
      <c r="H4640" s="2275"/>
      <c r="I4640" s="2296"/>
      <c r="J4640" s="291"/>
      <c r="K4640" s="2252">
        <f ca="1">HYPERLINK("#'"&amp;$G$1&amp;"'!"&amp;ADDRESS(ROW(Notes!J3735),COLUMN(Notes!J3735),4),J3735)</f>
        <v>0</v>
      </c>
      <c r="L4640" s="456"/>
      <c r="M4640" s="456"/>
      <c r="N4640" s="2665" t="s">
        <v>6366</v>
      </c>
      <c r="S4640" s="364"/>
      <c r="Z4640" s="609" t="s">
        <v>4247</v>
      </c>
      <c r="AA4640" s="609" t="s">
        <v>5705</v>
      </c>
    </row>
    <row r="4641" spans="1:27" ht="18">
      <c r="A4641" s="2714"/>
      <c r="B4641" s="371">
        <v>102</v>
      </c>
      <c r="C4641" s="371"/>
      <c r="D4641" s="2716">
        <f>IF(OR(G4641="*",G4641="",G4641=0),0,COUNTIF($G$4640:$G$4654,G4641))</f>
        <v>1</v>
      </c>
      <c r="E4641" s="2721">
        <v>1</v>
      </c>
      <c r="F4641" s="294"/>
      <c r="G4641" s="1474" t="s">
        <v>3948</v>
      </c>
      <c r="H4641" s="2275">
        <v>162434.39000000001</v>
      </c>
      <c r="I4641" s="2296">
        <v>182933.52</v>
      </c>
      <c r="J4641" s="291"/>
      <c r="K4641" s="2252">
        <f ca="1">HYPERLINK("#'"&amp;$G$1&amp;"'!"&amp;ADDRESS(ROW(Notes!J3738),COLUMN(Notes!J3738),4),J3738)</f>
        <v>0</v>
      </c>
      <c r="L4641" s="456"/>
      <c r="M4641" s="456"/>
      <c r="N4641" s="2666"/>
      <c r="S4641" s="364"/>
      <c r="Z4641" s="609" t="s">
        <v>4247</v>
      </c>
      <c r="AA4641" s="609" t="s">
        <v>5705</v>
      </c>
    </row>
    <row r="4642" spans="1:27" ht="18">
      <c r="A4642" s="2714"/>
      <c r="B4642" s="371">
        <v>103</v>
      </c>
      <c r="C4642" s="371"/>
      <c r="D4642" s="2716">
        <f>IF(OR(G4642="*",G4642="",G4642=0),0,COUNTIF($G$4640:$G$4654,G4642))</f>
        <v>1</v>
      </c>
      <c r="E4642" s="2721">
        <v>1</v>
      </c>
      <c r="F4642" s="294"/>
      <c r="G4642" s="1474" t="s">
        <v>3949</v>
      </c>
      <c r="H4642" s="2275">
        <v>69614.75</v>
      </c>
      <c r="I4642" s="2296">
        <v>78401.350000000006</v>
      </c>
      <c r="J4642" s="291"/>
      <c r="K4642" s="2252">
        <f ca="1">HYPERLINK("#'"&amp;$G$1&amp;"'!"&amp;ADDRESS(ROW(Notes!J3739),COLUMN(Notes!J3739),4),J3739)</f>
        <v>0</v>
      </c>
      <c r="L4642" s="456"/>
      <c r="M4642" s="456"/>
      <c r="N4642" s="2666"/>
      <c r="S4642" s="364"/>
      <c r="Z4642" s="609" t="s">
        <v>4247</v>
      </c>
      <c r="AA4642" s="609" t="s">
        <v>5705</v>
      </c>
    </row>
    <row r="4643" spans="1:27" ht="18">
      <c r="A4643" s="2714"/>
      <c r="B4643" s="371">
        <v>104</v>
      </c>
      <c r="C4643" s="371"/>
      <c r="D4643" s="2716">
        <f>IF(OR(G4643="*",G4643="",G4643=0),0,COUNTIF($G$4640:$G$4654,G4643))</f>
        <v>1</v>
      </c>
      <c r="E4643" s="2721">
        <v>1</v>
      </c>
      <c r="F4643" s="294"/>
      <c r="G4643" s="1474" t="s">
        <v>5644</v>
      </c>
      <c r="H4643" s="2275">
        <v>46409.83</v>
      </c>
      <c r="I4643" s="2296">
        <v>52267.59</v>
      </c>
      <c r="J4643" s="291"/>
      <c r="K4643" s="2252">
        <f ca="1">HYPERLINK("#'"&amp;$G$1&amp;"'!"&amp;ADDRESS(ROW(Notes!J3740),COLUMN(Notes!J3740),4),J3740)</f>
        <v>0</v>
      </c>
      <c r="L4643" s="456"/>
      <c r="M4643" s="456"/>
      <c r="N4643" s="2666"/>
      <c r="S4643" s="364"/>
      <c r="Z4643" s="609" t="s">
        <v>4247</v>
      </c>
      <c r="AA4643" s="609" t="s">
        <v>5705</v>
      </c>
    </row>
    <row r="4644" spans="1:27" ht="18">
      <c r="A4644" s="2714"/>
      <c r="B4644" s="371">
        <v>105</v>
      </c>
      <c r="C4644" s="371"/>
      <c r="D4644" s="2716">
        <f>IF(OR(G4645="*",G4645="",G4645=0),0,COUNTIF($G$4640:$G$4654,G4645))</f>
        <v>1</v>
      </c>
      <c r="E4644" s="2721">
        <v>1</v>
      </c>
      <c r="F4644" s="294"/>
      <c r="G4644" s="1474" t="s">
        <v>4251</v>
      </c>
      <c r="H4644" s="2275">
        <v>156792.68</v>
      </c>
      <c r="I4644" s="2296">
        <v>168040.11</v>
      </c>
      <c r="J4644" s="291"/>
      <c r="K4644" s="2252">
        <f ca="1">HYPERLINK("#'"&amp;$G$1&amp;"'!"&amp;ADDRESS(ROW(Notes!J3741),COLUMN(Notes!J3741),4),J3741)</f>
        <v>0</v>
      </c>
      <c r="L4644" s="456"/>
      <c r="M4644" s="456"/>
      <c r="N4644" s="2666"/>
      <c r="S4644" s="364"/>
      <c r="Z4644" s="609" t="s">
        <v>4247</v>
      </c>
      <c r="AA4644" s="609" t="s">
        <v>5705</v>
      </c>
    </row>
    <row r="4645" spans="1:27" ht="18">
      <c r="A4645" s="2714"/>
      <c r="B4645" s="371">
        <v>106</v>
      </c>
      <c r="C4645" s="371"/>
      <c r="D4645" s="2716">
        <f>IF(OR(G4644="*",G4644="",G4644=0),0,COUNTIF($G$4640:$G$4654,G4644))</f>
        <v>1</v>
      </c>
      <c r="E4645" s="2721">
        <v>1</v>
      </c>
      <c r="F4645" s="294"/>
      <c r="G4645" s="1474" t="s">
        <v>4250</v>
      </c>
      <c r="H4645" s="2275"/>
      <c r="I4645" s="2296"/>
      <c r="J4645" s="291"/>
      <c r="K4645" s="2252">
        <f ca="1">HYPERLINK("#'"&amp;$G$1&amp;"'!"&amp;ADDRESS(ROW(Notes!J3742),COLUMN(Notes!J3742),4),J3742)</f>
        <v>0</v>
      </c>
      <c r="L4645" s="456"/>
      <c r="M4645" s="456"/>
      <c r="N4645" s="2666"/>
      <c r="S4645" s="364"/>
      <c r="Z4645" s="609" t="s">
        <v>4247</v>
      </c>
      <c r="AA4645" s="609" t="s">
        <v>5705</v>
      </c>
    </row>
    <row r="4646" spans="1:27" ht="18">
      <c r="A4646" s="2714"/>
      <c r="B4646" s="371">
        <v>107</v>
      </c>
      <c r="C4646" s="371"/>
      <c r="D4646" s="2716">
        <f t="shared" ref="D4646:D4654" si="519">IF(OR(G4646="*",G4646="",G4646=0),0,COUNTIF($G$4640:$G$4654,G4646))</f>
        <v>1</v>
      </c>
      <c r="E4646" s="2721">
        <v>1</v>
      </c>
      <c r="F4646" s="294"/>
      <c r="G4646" s="1474" t="s">
        <v>5646</v>
      </c>
      <c r="H4646" s="2275">
        <v>243575.28</v>
      </c>
      <c r="I4646" s="2296">
        <v>304469.12</v>
      </c>
      <c r="J4646" s="291"/>
      <c r="K4646" s="2252">
        <f ca="1">HYPERLINK("#'"&amp;$G$1&amp;"'!"&amp;ADDRESS(ROW(Notes!J3743),COLUMN(Notes!J3743),4),J3743)</f>
        <v>0</v>
      </c>
      <c r="L4646" s="456"/>
      <c r="M4646" s="456"/>
      <c r="N4646" s="2666"/>
      <c r="S4646" s="364"/>
      <c r="Z4646" s="609" t="s">
        <v>4247</v>
      </c>
      <c r="AA4646" s="609" t="s">
        <v>5705</v>
      </c>
    </row>
    <row r="4647" spans="1:27" ht="18">
      <c r="A4647" s="2714"/>
      <c r="B4647" s="371">
        <v>108</v>
      </c>
      <c r="C4647" s="371"/>
      <c r="D4647" s="2716">
        <f t="shared" si="519"/>
        <v>1</v>
      </c>
      <c r="E4647" s="2721">
        <v>1</v>
      </c>
      <c r="F4647" s="294"/>
      <c r="G4647" s="1474" t="s">
        <v>4252</v>
      </c>
      <c r="H4647" s="2275">
        <v>6019.92</v>
      </c>
      <c r="I4647" s="2296">
        <v>16863.07</v>
      </c>
      <c r="J4647" s="291"/>
      <c r="K4647" s="456"/>
      <c r="L4647" s="456"/>
      <c r="M4647" s="456"/>
      <c r="N4647" s="2666"/>
      <c r="S4647" s="364"/>
      <c r="Z4647" s="609" t="s">
        <v>4247</v>
      </c>
      <c r="AA4647" s="609" t="s">
        <v>5705</v>
      </c>
    </row>
    <row r="4648" spans="1:27" ht="18">
      <c r="A4648" s="2714"/>
      <c r="B4648" s="371">
        <v>110</v>
      </c>
      <c r="C4648" s="371"/>
      <c r="D4648" s="2716">
        <f t="shared" si="519"/>
        <v>1</v>
      </c>
      <c r="E4648" s="2721">
        <v>1</v>
      </c>
      <c r="F4648" s="294"/>
      <c r="G4648" s="1474" t="s">
        <v>4253</v>
      </c>
      <c r="H4648" s="2275">
        <v>13207.1</v>
      </c>
      <c r="I4648" s="2296">
        <v>13541.01</v>
      </c>
      <c r="J4648" s="291"/>
      <c r="K4648" s="456"/>
      <c r="L4648" s="456"/>
      <c r="M4648" s="456"/>
      <c r="N4648" s="2666"/>
      <c r="S4648" s="364"/>
      <c r="Z4648" s="609" t="s">
        <v>4247</v>
      </c>
      <c r="AA4648" s="609" t="s">
        <v>5705</v>
      </c>
    </row>
    <row r="4649" spans="1:27" ht="18">
      <c r="A4649" s="2714"/>
      <c r="B4649" s="371">
        <v>111</v>
      </c>
      <c r="C4649" s="371" t="s">
        <v>2791</v>
      </c>
      <c r="D4649" s="2716">
        <f t="shared" si="519"/>
        <v>1</v>
      </c>
      <c r="E4649" s="2721">
        <v>1</v>
      </c>
      <c r="F4649" s="294"/>
      <c r="G4649" s="2448" t="s">
        <v>6876</v>
      </c>
      <c r="H4649" s="2275">
        <v>42226.57</v>
      </c>
      <c r="I4649" s="2296"/>
      <c r="J4649" s="291"/>
      <c r="K4649" s="456"/>
      <c r="L4649" s="456"/>
      <c r="M4649" s="456"/>
      <c r="N4649" s="2666"/>
      <c r="S4649" s="364"/>
      <c r="Z4649" s="609" t="s">
        <v>4247</v>
      </c>
      <c r="AA4649" s="609" t="s">
        <v>5705</v>
      </c>
    </row>
    <row r="4650" spans="1:27" ht="18">
      <c r="A4650" s="2714"/>
      <c r="B4650" s="371">
        <v>112</v>
      </c>
      <c r="C4650" s="371" t="s">
        <v>2791</v>
      </c>
      <c r="D4650" s="2716">
        <f t="shared" si="519"/>
        <v>0</v>
      </c>
      <c r="E4650" s="2721">
        <v>1</v>
      </c>
      <c r="F4650" s="294"/>
      <c r="G4650" s="2448" t="s">
        <v>2792</v>
      </c>
      <c r="H4650" s="2275"/>
      <c r="I4650" s="2296"/>
      <c r="J4650" s="291"/>
      <c r="K4650" s="456"/>
      <c r="L4650" s="456"/>
      <c r="M4650" s="456"/>
      <c r="N4650" s="2666"/>
      <c r="S4650" s="364"/>
      <c r="Z4650" s="609" t="s">
        <v>4247</v>
      </c>
      <c r="AA4650" s="609" t="s">
        <v>5705</v>
      </c>
    </row>
    <row r="4651" spans="1:27" ht="18">
      <c r="A4651" s="2714"/>
      <c r="B4651" s="371">
        <v>113</v>
      </c>
      <c r="C4651" s="371" t="s">
        <v>2791</v>
      </c>
      <c r="D4651" s="2716">
        <f t="shared" si="519"/>
        <v>0</v>
      </c>
      <c r="E4651" s="2721">
        <v>1</v>
      </c>
      <c r="F4651" s="294"/>
      <c r="G4651" s="2448" t="s">
        <v>2792</v>
      </c>
      <c r="H4651" s="2275"/>
      <c r="I4651" s="2296"/>
      <c r="J4651" s="291"/>
      <c r="K4651" s="456"/>
      <c r="L4651" s="456"/>
      <c r="M4651" s="456"/>
      <c r="N4651" s="2666"/>
      <c r="S4651" s="364"/>
      <c r="Z4651" s="609" t="s">
        <v>4247</v>
      </c>
      <c r="AA4651" s="609" t="s">
        <v>5705</v>
      </c>
    </row>
    <row r="4652" spans="1:27" ht="18">
      <c r="A4652" s="2714"/>
      <c r="B4652" s="371">
        <v>114</v>
      </c>
      <c r="C4652" s="371" t="s">
        <v>2791</v>
      </c>
      <c r="D4652" s="2716">
        <f t="shared" si="519"/>
        <v>0</v>
      </c>
      <c r="E4652" s="2721">
        <v>1</v>
      </c>
      <c r="F4652" s="294"/>
      <c r="G4652" s="2448" t="s">
        <v>2792</v>
      </c>
      <c r="H4652" s="2275"/>
      <c r="I4652" s="2296"/>
      <c r="J4652" s="291"/>
      <c r="K4652" s="456"/>
      <c r="L4652" s="456"/>
      <c r="M4652" s="456"/>
      <c r="N4652" s="2666"/>
      <c r="S4652" s="364"/>
      <c r="Z4652" s="609" t="s">
        <v>4247</v>
      </c>
      <c r="AA4652" s="609" t="s">
        <v>5705</v>
      </c>
    </row>
    <row r="4653" spans="1:27" ht="18">
      <c r="A4653" s="2714"/>
      <c r="B4653" s="371">
        <v>115</v>
      </c>
      <c r="C4653" s="371" t="s">
        <v>2791</v>
      </c>
      <c r="D4653" s="2716">
        <f t="shared" si="519"/>
        <v>0</v>
      </c>
      <c r="E4653" s="2721">
        <v>1</v>
      </c>
      <c r="F4653" s="294"/>
      <c r="G4653" s="2448" t="s">
        <v>2792</v>
      </c>
      <c r="H4653" s="2275"/>
      <c r="I4653" s="2296"/>
      <c r="J4653" s="291"/>
      <c r="K4653" s="456"/>
      <c r="L4653" s="456"/>
      <c r="M4653" s="456"/>
      <c r="N4653" s="2666"/>
      <c r="S4653" s="364"/>
      <c r="Z4653" s="609" t="s">
        <v>4247</v>
      </c>
      <c r="AA4653" s="609" t="s">
        <v>5705</v>
      </c>
    </row>
    <row r="4654" spans="1:27" ht="18.75" thickBot="1">
      <c r="A4654" s="2714"/>
      <c r="B4654" s="371"/>
      <c r="C4654" s="371"/>
      <c r="D4654" s="2716">
        <f t="shared" si="519"/>
        <v>1</v>
      </c>
      <c r="E4654" s="2721" t="s">
        <v>2751</v>
      </c>
      <c r="F4654" s="294"/>
      <c r="G4654" s="374" t="s">
        <v>2752</v>
      </c>
      <c r="H4654" s="1478">
        <f>SUMPRODUCT($E4639:$E4653,H4639:H4653)</f>
        <v>740280.52</v>
      </c>
      <c r="I4654" s="1479">
        <f>SUMPRODUCT($E4639:$E4653,I4639:I4653)</f>
        <v>816515.77</v>
      </c>
      <c r="J4654" s="291"/>
      <c r="K4654" s="1531">
        <f t="shared" ref="K4654:M4654" ca="1" si="520">SUM(K4640:K4653)</f>
        <v>0</v>
      </c>
      <c r="L4654" s="1531">
        <f t="shared" si="520"/>
        <v>0</v>
      </c>
      <c r="M4654" s="1531">
        <f t="shared" si="520"/>
        <v>0</v>
      </c>
      <c r="N4654" s="2667"/>
      <c r="S4654" s="364"/>
      <c r="Z4654" s="609" t="s">
        <v>4247</v>
      </c>
      <c r="AA4654" s="609" t="s">
        <v>5705</v>
      </c>
    </row>
    <row r="4655" spans="1:27" ht="18">
      <c r="A4655" s="2714"/>
      <c r="B4655" s="371"/>
      <c r="C4655" s="371" t="s">
        <v>2755</v>
      </c>
      <c r="D4655" s="371"/>
      <c r="F4655" s="294"/>
      <c r="G4655" s="301"/>
      <c r="H4655" s="315"/>
      <c r="I4655" s="315"/>
      <c r="J4655" s="350"/>
      <c r="K4655" s="1539" t="s">
        <v>5505</v>
      </c>
      <c r="L4655" s="354"/>
      <c r="M4655" s="354"/>
      <c r="N4655" s="354"/>
      <c r="S4655" s="364"/>
      <c r="Z4655" s="609" t="s">
        <v>4247</v>
      </c>
      <c r="AA4655" s="609" t="s">
        <v>5705</v>
      </c>
    </row>
    <row r="4656" spans="1:27" ht="18">
      <c r="A4656" s="2714" t="s">
        <v>1901</v>
      </c>
      <c r="B4656" s="371">
        <v>2</v>
      </c>
      <c r="C4656" s="371"/>
      <c r="D4656" s="2716" t="str">
        <f>VLOOKUP($A4656,Sheet_NoteList,2,0)</f>
        <v>税金及附加补充资料</v>
      </c>
      <c r="E4656" s="2716" t="s">
        <v>6531</v>
      </c>
      <c r="F4656" s="294"/>
      <c r="G4656" s="307" t="str">
        <f>"("&amp;B4656&amp;")"&amp;D4656</f>
        <v>(2)税金及附加补充资料</v>
      </c>
      <c r="H4656" s="1517" t="str">
        <f>$A4656</f>
        <v>6600x</v>
      </c>
      <c r="I4656" s="343" t="s">
        <v>5965</v>
      </c>
      <c r="J4656" s="301" t="s">
        <v>5981</v>
      </c>
      <c r="K4656" s="2210">
        <f>H4664</f>
        <v>0</v>
      </c>
      <c r="L4656" s="345"/>
      <c r="M4656" s="301" t="s">
        <v>5982</v>
      </c>
      <c r="N4656" s="2210">
        <f>I4664</f>
        <v>0</v>
      </c>
      <c r="O4656" s="345"/>
      <c r="P4656" s="301"/>
      <c r="S4656" s="364"/>
      <c r="Z4656" s="609" t="s">
        <v>4247</v>
      </c>
      <c r="AA4656" s="609" t="s">
        <v>5705</v>
      </c>
    </row>
    <row r="4657" spans="1:27" ht="0.75" customHeight="1" thickBot="1">
      <c r="A4657" s="2714"/>
      <c r="B4657" s="371"/>
      <c r="C4657" s="371"/>
      <c r="D4657" s="371"/>
      <c r="E4657" s="586"/>
      <c r="F4657" s="586"/>
      <c r="G4657" s="586" t="s">
        <v>4254</v>
      </c>
      <c r="H4657" s="371" t="s">
        <v>4223</v>
      </c>
      <c r="I4657" s="371" t="s">
        <v>4224</v>
      </c>
      <c r="J4657" s="291"/>
      <c r="K4657" s="291"/>
      <c r="L4657" s="291"/>
      <c r="M4657" s="291"/>
      <c r="N4657" s="291"/>
      <c r="S4657" s="364"/>
      <c r="Z4657" s="609" t="s">
        <v>4247</v>
      </c>
      <c r="AA4657" s="609" t="s">
        <v>5705</v>
      </c>
    </row>
    <row r="4658" spans="1:27" ht="18">
      <c r="A4658" s="2714"/>
      <c r="B4658" s="371"/>
      <c r="C4658" s="371"/>
      <c r="D4658" s="371"/>
      <c r="E4658" s="586" t="s">
        <v>2749</v>
      </c>
      <c r="F4658" s="363"/>
      <c r="G4658" s="2451" t="s">
        <v>47</v>
      </c>
      <c r="H4658" s="2447" t="s">
        <v>4242</v>
      </c>
      <c r="I4658" s="2446" t="s">
        <v>4245</v>
      </c>
      <c r="J4658" s="355" t="s">
        <v>6141</v>
      </c>
      <c r="K4658" s="291"/>
      <c r="L4658" s="291"/>
      <c r="M4658" s="291"/>
      <c r="N4658" s="291"/>
      <c r="S4658" s="364"/>
      <c r="Z4658" s="609" t="s">
        <v>4247</v>
      </c>
      <c r="AA4658" s="609" t="s">
        <v>5705</v>
      </c>
    </row>
    <row r="4659" spans="1:27" ht="18">
      <c r="A4659" s="2714"/>
      <c r="B4659" s="371">
        <v>101</v>
      </c>
      <c r="C4659" s="371" t="s">
        <v>2791</v>
      </c>
      <c r="D4659" s="2716">
        <f t="shared" ref="D4659:D4664" si="521">IF(OR(G4659="*",G4659="",G4659=0),0,COUNTIF($G$4659:$G$4664,G4659))</f>
        <v>0</v>
      </c>
      <c r="E4659" s="2721">
        <v>1</v>
      </c>
      <c r="F4659" s="294"/>
      <c r="G4659" s="2448" t="s">
        <v>2792</v>
      </c>
      <c r="H4659" s="2275"/>
      <c r="I4659" s="2296"/>
      <c r="J4659" s="579"/>
      <c r="K4659" s="291"/>
      <c r="L4659" s="291"/>
      <c r="M4659" s="291"/>
      <c r="N4659" s="291"/>
      <c r="S4659" s="364"/>
      <c r="Z4659" s="609" t="s">
        <v>4247</v>
      </c>
      <c r="AA4659" s="609" t="s">
        <v>5705</v>
      </c>
    </row>
    <row r="4660" spans="1:27" ht="18">
      <c r="A4660" s="2714"/>
      <c r="B4660" s="371">
        <v>102</v>
      </c>
      <c r="C4660" s="371" t="s">
        <v>2791</v>
      </c>
      <c r="D4660" s="2716">
        <f t="shared" si="521"/>
        <v>0</v>
      </c>
      <c r="E4660" s="2721">
        <v>1</v>
      </c>
      <c r="F4660" s="294"/>
      <c r="G4660" s="2448" t="s">
        <v>2792</v>
      </c>
      <c r="H4660" s="2275"/>
      <c r="I4660" s="2296"/>
      <c r="J4660" s="291"/>
      <c r="K4660" s="291"/>
      <c r="L4660" s="291"/>
      <c r="M4660" s="291"/>
      <c r="N4660" s="291"/>
      <c r="S4660" s="364"/>
      <c r="Z4660" s="609" t="s">
        <v>4247</v>
      </c>
      <c r="AA4660" s="609" t="s">
        <v>5705</v>
      </c>
    </row>
    <row r="4661" spans="1:27" ht="18">
      <c r="A4661" s="2714"/>
      <c r="B4661" s="371">
        <v>103</v>
      </c>
      <c r="C4661" s="371" t="s">
        <v>2791</v>
      </c>
      <c r="D4661" s="2716">
        <f t="shared" si="521"/>
        <v>0</v>
      </c>
      <c r="E4661" s="2721">
        <v>1</v>
      </c>
      <c r="F4661" s="294"/>
      <c r="G4661" s="2448" t="s">
        <v>2792</v>
      </c>
      <c r="H4661" s="2275"/>
      <c r="I4661" s="2296"/>
      <c r="J4661" s="291"/>
      <c r="K4661" s="291"/>
      <c r="L4661" s="291"/>
      <c r="M4661" s="291"/>
      <c r="N4661" s="291"/>
      <c r="S4661" s="364"/>
      <c r="Z4661" s="609" t="s">
        <v>4247</v>
      </c>
      <c r="AA4661" s="609" t="s">
        <v>5705</v>
      </c>
    </row>
    <row r="4662" spans="1:27" ht="18">
      <c r="A4662" s="2714"/>
      <c r="B4662" s="371">
        <v>104</v>
      </c>
      <c r="C4662" s="371" t="s">
        <v>2791</v>
      </c>
      <c r="D4662" s="2716">
        <f t="shared" si="521"/>
        <v>0</v>
      </c>
      <c r="E4662" s="2721">
        <v>1</v>
      </c>
      <c r="F4662" s="294"/>
      <c r="G4662" s="2448" t="s">
        <v>2792</v>
      </c>
      <c r="H4662" s="2275"/>
      <c r="I4662" s="2296"/>
      <c r="J4662" s="291"/>
      <c r="K4662" s="291"/>
      <c r="L4662" s="291"/>
      <c r="M4662" s="291"/>
      <c r="N4662" s="291"/>
      <c r="S4662" s="364"/>
      <c r="Z4662" s="609" t="s">
        <v>4247</v>
      </c>
      <c r="AA4662" s="609" t="s">
        <v>5705</v>
      </c>
    </row>
    <row r="4663" spans="1:27" ht="18">
      <c r="A4663" s="2714"/>
      <c r="B4663" s="371">
        <v>105</v>
      </c>
      <c r="C4663" s="371" t="s">
        <v>2791</v>
      </c>
      <c r="D4663" s="2716">
        <f t="shared" si="521"/>
        <v>0</v>
      </c>
      <c r="E4663" s="2721">
        <v>1</v>
      </c>
      <c r="F4663" s="294"/>
      <c r="G4663" s="2448" t="s">
        <v>2792</v>
      </c>
      <c r="H4663" s="2275"/>
      <c r="I4663" s="2296"/>
      <c r="J4663" s="291"/>
      <c r="K4663" s="291"/>
      <c r="L4663" s="291"/>
      <c r="M4663" s="291"/>
      <c r="N4663" s="291"/>
      <c r="S4663" s="364"/>
      <c r="Z4663" s="609" t="s">
        <v>4247</v>
      </c>
      <c r="AA4663" s="609" t="s">
        <v>5705</v>
      </c>
    </row>
    <row r="4664" spans="1:27" ht="18.75" thickBot="1">
      <c r="A4664" s="2714"/>
      <c r="B4664" s="371"/>
      <c r="C4664" s="371"/>
      <c r="D4664" s="2716">
        <f t="shared" si="521"/>
        <v>1</v>
      </c>
      <c r="E4664" s="2721" t="s">
        <v>2751</v>
      </c>
      <c r="F4664" s="294"/>
      <c r="G4664" s="1529" t="s">
        <v>2752</v>
      </c>
      <c r="H4664" s="1527">
        <f>SUMPRODUCT($E4658:$E4663,H4658:H4663)</f>
        <v>0</v>
      </c>
      <c r="I4664" s="1528">
        <f>SUMPRODUCT($E4658:$E4663,I4658:I4663)</f>
        <v>0</v>
      </c>
      <c r="J4664" s="291"/>
      <c r="K4664" s="291"/>
      <c r="L4664" s="291"/>
      <c r="M4664" s="291"/>
      <c r="N4664" s="291"/>
      <c r="S4664" s="364"/>
      <c r="Z4664" s="609" t="s">
        <v>4247</v>
      </c>
      <c r="AA4664" s="609" t="s">
        <v>5705</v>
      </c>
    </row>
    <row r="4665" spans="1:27" ht="18">
      <c r="A4665" s="2714"/>
      <c r="B4665" s="371"/>
      <c r="C4665" s="371" t="s">
        <v>2755</v>
      </c>
      <c r="D4665" s="371"/>
      <c r="F4665" s="294"/>
      <c r="G4665" s="301"/>
      <c r="H4665" s="315"/>
      <c r="I4665" s="315"/>
      <c r="J4665" s="350"/>
      <c r="K4665" s="291"/>
      <c r="L4665" s="291"/>
      <c r="M4665" s="291"/>
      <c r="N4665" s="291"/>
      <c r="S4665" s="364"/>
      <c r="Z4665" s="609" t="s">
        <v>4247</v>
      </c>
      <c r="AA4665" s="609" t="s">
        <v>5705</v>
      </c>
    </row>
    <row r="4666" spans="1:27" ht="18">
      <c r="A4666" s="2714">
        <v>6601</v>
      </c>
      <c r="B4666" s="371">
        <v>63</v>
      </c>
      <c r="C4666" s="2716" t="str">
        <f>VLOOKUP($A4666,Sheet_Items,2,0)</f>
        <v>销售费用</v>
      </c>
      <c r="D4666" s="371"/>
      <c r="E4666" s="2716" t="s">
        <v>2739</v>
      </c>
      <c r="F4666" s="294"/>
      <c r="G4666" s="305" t="str">
        <f>B4666&amp;" "&amp;C4666</f>
        <v>63 销售费用</v>
      </c>
      <c r="H4666" s="306"/>
      <c r="I4666" s="306"/>
      <c r="J4666" s="306" t="s">
        <v>4206</v>
      </c>
      <c r="K4666" s="341">
        <f>VLOOKUP($A4666,Sheet_Trialbal,6,0)</f>
        <v>5573302.79</v>
      </c>
      <c r="L4666" s="342"/>
      <c r="M4666" s="306" t="s">
        <v>4207</v>
      </c>
      <c r="N4666" s="341">
        <f>VLOOKUP($A4666,Sheet_Trialbal,10,0)</f>
        <v>5670698.4400000004</v>
      </c>
      <c r="O4666" s="306"/>
      <c r="P4666" s="301"/>
      <c r="S4666" s="364"/>
      <c r="Z4666" s="609" t="s">
        <v>4255</v>
      </c>
      <c r="AA4666" s="609" t="s">
        <v>5706</v>
      </c>
    </row>
    <row r="4667" spans="1:27" ht="18">
      <c r="A4667" s="2714" t="s">
        <v>1905</v>
      </c>
      <c r="B4667" s="371">
        <v>1</v>
      </c>
      <c r="C4667" s="371"/>
      <c r="D4667" s="2716" t="str">
        <f>VLOOKUP($A4667,Sheet_NoteList,2,0)</f>
        <v>销售费用明细项目</v>
      </c>
      <c r="E4667" s="2716" t="s">
        <v>2742</v>
      </c>
      <c r="F4667" s="294"/>
      <c r="G4667" s="307" t="str">
        <f>"("&amp;B4667&amp;")"&amp;D4667</f>
        <v>(1)销售费用明细项目</v>
      </c>
      <c r="H4667" s="1517" t="str">
        <f>$A4667</f>
        <v>6601a</v>
      </c>
      <c r="I4667" s="343" t="s">
        <v>2743</v>
      </c>
      <c r="J4667" s="301" t="s">
        <v>4256</v>
      </c>
      <c r="K4667" s="2210">
        <f>H4685</f>
        <v>5573302.79</v>
      </c>
      <c r="L4667" s="1535">
        <f>IF($I4667="适用",IF(ROUND(K4666-K4667,2)&gt;=0,IF(K4666&lt;&gt;0,K4667/K4666,""),"#Logical!"),"#N/A")</f>
        <v>1</v>
      </c>
      <c r="M4667" s="301" t="s">
        <v>4257</v>
      </c>
      <c r="N4667" s="2210">
        <f>I4685</f>
        <v>5670698.4400000004</v>
      </c>
      <c r="O4667" s="1535">
        <f>IF($I4667="适用",IF(ROUND(N4666-N4667,2)&gt;=0,IF(N4666&lt;&gt;0,N4667/N4666,""),"#Logical!"),"#N/A")</f>
        <v>1</v>
      </c>
      <c r="P4667" s="301"/>
      <c r="Q4667" s="290" t="str">
        <f>IF($I4667="不适用","",IF(ROUND(SUM($H$4670:$I$4685),2)=0,"请输入",""))</f>
        <v/>
      </c>
      <c r="S4667" s="364"/>
      <c r="Z4667" s="609" t="s">
        <v>4255</v>
      </c>
      <c r="AA4667" s="609" t="s">
        <v>5706</v>
      </c>
    </row>
    <row r="4668" spans="1:27" ht="0.75" customHeight="1" thickBot="1">
      <c r="A4668" s="2714"/>
      <c r="B4668" s="371"/>
      <c r="C4668" s="371"/>
      <c r="D4668" s="371"/>
      <c r="F4668" s="371"/>
      <c r="G4668" s="371" t="s">
        <v>4258</v>
      </c>
      <c r="H4668" s="371" t="s">
        <v>4223</v>
      </c>
      <c r="I4668" s="371" t="s">
        <v>4224</v>
      </c>
      <c r="J4668" s="291"/>
      <c r="K4668" s="291"/>
      <c r="L4668" s="291"/>
      <c r="M4668" s="291"/>
      <c r="S4668" s="364"/>
      <c r="Z4668" s="609" t="s">
        <v>4255</v>
      </c>
      <c r="AA4668" s="609" t="s">
        <v>5706</v>
      </c>
    </row>
    <row r="4669" spans="1:27" ht="18">
      <c r="A4669" s="2714"/>
      <c r="B4669" s="371"/>
      <c r="C4669" s="371"/>
      <c r="D4669" s="371"/>
      <c r="E4669" s="2716" t="s">
        <v>2749</v>
      </c>
      <c r="F4669" s="294"/>
      <c r="G4669" s="378" t="s">
        <v>47</v>
      </c>
      <c r="H4669" s="398" t="str">
        <f>$V$4</f>
        <v>2019年度</v>
      </c>
      <c r="I4669" s="511" t="str">
        <f>$V$5</f>
        <v>2018年度</v>
      </c>
      <c r="J4669" s="355" t="s">
        <v>5328</v>
      </c>
      <c r="K4669" s="291"/>
      <c r="L4669" s="291"/>
      <c r="M4669" s="291"/>
      <c r="S4669" s="364"/>
      <c r="Z4669" s="609" t="s">
        <v>4255</v>
      </c>
      <c r="AA4669" s="609" t="s">
        <v>5706</v>
      </c>
    </row>
    <row r="4670" spans="1:27" ht="18">
      <c r="A4670" s="2714"/>
      <c r="B4670" s="371">
        <v>101</v>
      </c>
      <c r="C4670" s="371" t="s">
        <v>2791</v>
      </c>
      <c r="D4670" s="2716">
        <f t="shared" ref="D4670:D4685" si="522">IF(OR(G4670="*",G4670="",G4670=0),0,COUNTIF($G$4670:$G$4685,G4670))</f>
        <v>1</v>
      </c>
      <c r="E4670" s="2721">
        <v>1</v>
      </c>
      <c r="F4670" s="294"/>
      <c r="G4670" s="409" t="s">
        <v>6845</v>
      </c>
      <c r="H4670" s="383">
        <v>2022996.44</v>
      </c>
      <c r="I4670" s="401">
        <v>2038784.45</v>
      </c>
      <c r="J4670" s="291"/>
      <c r="K4670" s="291"/>
      <c r="L4670" s="291"/>
      <c r="M4670" s="291"/>
      <c r="S4670" s="364"/>
      <c r="Z4670" s="609" t="s">
        <v>4255</v>
      </c>
      <c r="AA4670" s="609" t="s">
        <v>5706</v>
      </c>
    </row>
    <row r="4671" spans="1:27" ht="18">
      <c r="A4671" s="2714"/>
      <c r="B4671" s="371">
        <v>102</v>
      </c>
      <c r="C4671" s="371" t="s">
        <v>2791</v>
      </c>
      <c r="D4671" s="2716">
        <f t="shared" si="522"/>
        <v>1</v>
      </c>
      <c r="E4671" s="2721">
        <v>1</v>
      </c>
      <c r="F4671" s="294"/>
      <c r="G4671" s="409" t="s">
        <v>6846</v>
      </c>
      <c r="H4671" s="383">
        <v>1504686.98</v>
      </c>
      <c r="I4671" s="401">
        <v>1463142.67</v>
      </c>
      <c r="J4671" s="291"/>
      <c r="K4671" s="291"/>
      <c r="L4671" s="291"/>
      <c r="M4671" s="291"/>
      <c r="S4671" s="364"/>
      <c r="Z4671" s="609" t="s">
        <v>4255</v>
      </c>
      <c r="AA4671" s="609" t="s">
        <v>5706</v>
      </c>
    </row>
    <row r="4672" spans="1:27" ht="18">
      <c r="A4672" s="2714"/>
      <c r="B4672" s="371">
        <v>103</v>
      </c>
      <c r="C4672" s="371" t="s">
        <v>2791</v>
      </c>
      <c r="D4672" s="2716">
        <f t="shared" si="522"/>
        <v>1</v>
      </c>
      <c r="E4672" s="2721">
        <v>1</v>
      </c>
      <c r="F4672" s="294"/>
      <c r="G4672" s="409" t="s">
        <v>6847</v>
      </c>
      <c r="H4672" s="383">
        <v>1093009.1000000001</v>
      </c>
      <c r="I4672" s="401">
        <v>1033293.86</v>
      </c>
      <c r="J4672" s="291"/>
      <c r="K4672" s="291"/>
      <c r="L4672" s="291"/>
      <c r="M4672" s="291"/>
      <c r="S4672" s="364"/>
      <c r="Z4672" s="609" t="s">
        <v>4255</v>
      </c>
      <c r="AA4672" s="609" t="s">
        <v>5706</v>
      </c>
    </row>
    <row r="4673" spans="1:27" ht="18">
      <c r="A4673" s="2714"/>
      <c r="B4673" s="371">
        <v>104</v>
      </c>
      <c r="C4673" s="371" t="s">
        <v>2791</v>
      </c>
      <c r="D4673" s="2716">
        <f t="shared" si="522"/>
        <v>1</v>
      </c>
      <c r="E4673" s="2721">
        <v>1</v>
      </c>
      <c r="F4673" s="294"/>
      <c r="G4673" s="409" t="s">
        <v>6848</v>
      </c>
      <c r="H4673" s="383">
        <v>516572.1</v>
      </c>
      <c r="I4673" s="401">
        <v>859966.94</v>
      </c>
      <c r="J4673" s="291"/>
      <c r="K4673" s="291"/>
      <c r="L4673" s="291"/>
      <c r="M4673" s="291"/>
      <c r="S4673" s="364"/>
      <c r="Z4673" s="609" t="s">
        <v>4255</v>
      </c>
      <c r="AA4673" s="609" t="s">
        <v>5706</v>
      </c>
    </row>
    <row r="4674" spans="1:27" ht="18">
      <c r="A4674" s="2714"/>
      <c r="B4674" s="371">
        <v>105</v>
      </c>
      <c r="C4674" s="371" t="s">
        <v>2791</v>
      </c>
      <c r="D4674" s="2716">
        <f t="shared" si="522"/>
        <v>1</v>
      </c>
      <c r="E4674" s="2721">
        <v>1</v>
      </c>
      <c r="F4674" s="294"/>
      <c r="G4674" s="409" t="s">
        <v>6849</v>
      </c>
      <c r="H4674" s="383">
        <v>113704.74</v>
      </c>
      <c r="I4674" s="401">
        <v>121238.07</v>
      </c>
      <c r="J4674" s="291"/>
      <c r="K4674" s="291"/>
      <c r="L4674" s="291"/>
      <c r="M4674" s="291"/>
      <c r="S4674" s="364"/>
      <c r="Z4674" s="609" t="s">
        <v>4255</v>
      </c>
      <c r="AA4674" s="609" t="s">
        <v>5706</v>
      </c>
    </row>
    <row r="4675" spans="1:27" ht="18">
      <c r="A4675" s="2714"/>
      <c r="B4675" s="371">
        <v>106</v>
      </c>
      <c r="C4675" s="371" t="s">
        <v>2791</v>
      </c>
      <c r="D4675" s="2716">
        <f t="shared" si="522"/>
        <v>1</v>
      </c>
      <c r="E4675" s="2721">
        <v>1</v>
      </c>
      <c r="F4675" s="294"/>
      <c r="G4675" s="409" t="s">
        <v>6850</v>
      </c>
      <c r="H4675" s="383">
        <v>284761.71999999997</v>
      </c>
      <c r="I4675" s="401">
        <v>110538.9</v>
      </c>
      <c r="J4675" s="291"/>
      <c r="K4675" s="291"/>
      <c r="L4675" s="291"/>
      <c r="M4675" s="291"/>
      <c r="S4675" s="364"/>
      <c r="Z4675" s="609" t="s">
        <v>4255</v>
      </c>
      <c r="AA4675" s="609" t="s">
        <v>5706</v>
      </c>
    </row>
    <row r="4676" spans="1:27" ht="18">
      <c r="A4676" s="2714"/>
      <c r="B4676" s="371">
        <v>107</v>
      </c>
      <c r="C4676" s="371" t="s">
        <v>2791</v>
      </c>
      <c r="D4676" s="2716">
        <f t="shared" si="522"/>
        <v>1</v>
      </c>
      <c r="E4676" s="2721">
        <v>1</v>
      </c>
      <c r="F4676" s="294"/>
      <c r="G4676" s="409" t="s">
        <v>4267</v>
      </c>
      <c r="H4676" s="383">
        <v>31302.6</v>
      </c>
      <c r="I4676" s="401">
        <v>31302.48</v>
      </c>
      <c r="J4676" s="291"/>
      <c r="K4676" s="291"/>
      <c r="L4676" s="291"/>
      <c r="M4676" s="291"/>
      <c r="S4676" s="364"/>
      <c r="Z4676" s="609" t="s">
        <v>4255</v>
      </c>
      <c r="AA4676" s="609" t="s">
        <v>5706</v>
      </c>
    </row>
    <row r="4677" spans="1:27" ht="18">
      <c r="A4677" s="2714"/>
      <c r="B4677" s="371">
        <v>108</v>
      </c>
      <c r="C4677" s="371" t="s">
        <v>2791</v>
      </c>
      <c r="D4677" s="2716">
        <f t="shared" si="522"/>
        <v>1</v>
      </c>
      <c r="E4677" s="2721">
        <v>1</v>
      </c>
      <c r="F4677" s="294"/>
      <c r="G4677" s="409" t="s">
        <v>932</v>
      </c>
      <c r="H4677" s="383">
        <v>6269.11</v>
      </c>
      <c r="I4677" s="401">
        <v>12431.07</v>
      </c>
      <c r="J4677" s="291"/>
      <c r="K4677" s="291"/>
      <c r="L4677" s="291"/>
      <c r="M4677" s="291"/>
      <c r="S4677" s="364"/>
      <c r="Z4677" s="609" t="s">
        <v>4255</v>
      </c>
      <c r="AA4677" s="609" t="s">
        <v>5706</v>
      </c>
    </row>
    <row r="4678" spans="1:27" ht="18">
      <c r="A4678" s="2714"/>
      <c r="B4678" s="371">
        <v>109</v>
      </c>
      <c r="C4678" s="371" t="s">
        <v>2791</v>
      </c>
      <c r="D4678" s="2716">
        <f t="shared" si="522"/>
        <v>0</v>
      </c>
      <c r="E4678" s="2721">
        <v>1</v>
      </c>
      <c r="F4678" s="294"/>
      <c r="G4678" s="409" t="s">
        <v>2792</v>
      </c>
      <c r="H4678" s="383"/>
      <c r="I4678" s="401"/>
      <c r="J4678" s="291"/>
      <c r="K4678" s="291"/>
      <c r="L4678" s="291"/>
      <c r="M4678" s="291"/>
      <c r="S4678" s="364"/>
      <c r="Z4678" s="609" t="s">
        <v>4255</v>
      </c>
      <c r="AA4678" s="609" t="s">
        <v>5706</v>
      </c>
    </row>
    <row r="4679" spans="1:27" ht="18">
      <c r="A4679" s="2714"/>
      <c r="B4679" s="371">
        <v>110</v>
      </c>
      <c r="C4679" s="371" t="s">
        <v>2791</v>
      </c>
      <c r="D4679" s="2716">
        <f t="shared" si="522"/>
        <v>0</v>
      </c>
      <c r="E4679" s="2721">
        <v>1</v>
      </c>
      <c r="F4679" s="294"/>
      <c r="G4679" s="409" t="s">
        <v>2792</v>
      </c>
      <c r="H4679" s="383"/>
      <c r="I4679" s="401"/>
      <c r="J4679" s="291"/>
      <c r="K4679" s="291"/>
      <c r="L4679" s="291"/>
      <c r="M4679" s="291"/>
      <c r="S4679" s="364"/>
      <c r="Z4679" s="609" t="s">
        <v>4255</v>
      </c>
      <c r="AA4679" s="609" t="s">
        <v>5706</v>
      </c>
    </row>
    <row r="4680" spans="1:27" ht="18">
      <c r="A4680" s="2714"/>
      <c r="B4680" s="371">
        <v>111</v>
      </c>
      <c r="C4680" s="371" t="s">
        <v>2791</v>
      </c>
      <c r="D4680" s="2716">
        <f t="shared" si="522"/>
        <v>0</v>
      </c>
      <c r="E4680" s="2721">
        <v>1</v>
      </c>
      <c r="F4680" s="294"/>
      <c r="G4680" s="409" t="s">
        <v>2792</v>
      </c>
      <c r="H4680" s="383"/>
      <c r="I4680" s="401"/>
      <c r="J4680" s="291"/>
      <c r="K4680" s="291"/>
      <c r="L4680" s="291"/>
      <c r="M4680" s="291"/>
      <c r="S4680" s="364"/>
      <c r="Z4680" s="609" t="s">
        <v>4255</v>
      </c>
      <c r="AA4680" s="609" t="s">
        <v>5706</v>
      </c>
    </row>
    <row r="4681" spans="1:27" ht="18">
      <c r="A4681" s="2714"/>
      <c r="B4681" s="371">
        <v>112</v>
      </c>
      <c r="C4681" s="371" t="s">
        <v>2791</v>
      </c>
      <c r="D4681" s="2716">
        <f t="shared" si="522"/>
        <v>0</v>
      </c>
      <c r="E4681" s="2721">
        <v>1</v>
      </c>
      <c r="F4681" s="294"/>
      <c r="G4681" s="409" t="s">
        <v>2792</v>
      </c>
      <c r="H4681" s="383"/>
      <c r="I4681" s="401"/>
      <c r="J4681" s="291"/>
      <c r="K4681" s="291"/>
      <c r="L4681" s="291"/>
      <c r="M4681" s="291"/>
      <c r="S4681" s="364"/>
      <c r="Z4681" s="609" t="s">
        <v>4255</v>
      </c>
      <c r="AA4681" s="609" t="s">
        <v>5706</v>
      </c>
    </row>
    <row r="4682" spans="1:27" ht="18">
      <c r="A4682" s="2714"/>
      <c r="B4682" s="371">
        <v>113</v>
      </c>
      <c r="C4682" s="371" t="s">
        <v>2791</v>
      </c>
      <c r="D4682" s="2716">
        <f t="shared" si="522"/>
        <v>0</v>
      </c>
      <c r="E4682" s="2721">
        <v>1</v>
      </c>
      <c r="F4682" s="294"/>
      <c r="G4682" s="409" t="s">
        <v>2792</v>
      </c>
      <c r="H4682" s="383"/>
      <c r="I4682" s="401"/>
      <c r="J4682" s="291"/>
      <c r="K4682" s="291"/>
      <c r="L4682" s="291"/>
      <c r="M4682" s="291"/>
      <c r="S4682" s="364"/>
      <c r="Z4682" s="609" t="s">
        <v>4255</v>
      </c>
      <c r="AA4682" s="609" t="s">
        <v>5706</v>
      </c>
    </row>
    <row r="4683" spans="1:27" ht="18">
      <c r="A4683" s="2714"/>
      <c r="B4683" s="371">
        <v>114</v>
      </c>
      <c r="C4683" s="371" t="s">
        <v>2791</v>
      </c>
      <c r="D4683" s="2716">
        <f t="shared" si="522"/>
        <v>0</v>
      </c>
      <c r="E4683" s="2721">
        <v>1</v>
      </c>
      <c r="F4683" s="294"/>
      <c r="G4683" s="409" t="s">
        <v>2792</v>
      </c>
      <c r="H4683" s="383"/>
      <c r="I4683" s="401"/>
      <c r="J4683" s="291"/>
      <c r="K4683" s="291"/>
      <c r="L4683" s="291"/>
      <c r="M4683" s="291"/>
      <c r="S4683" s="364"/>
      <c r="Z4683" s="609" t="s">
        <v>4255</v>
      </c>
      <c r="AA4683" s="609" t="s">
        <v>5706</v>
      </c>
    </row>
    <row r="4684" spans="1:27" ht="18">
      <c r="A4684" s="2714"/>
      <c r="B4684" s="371">
        <v>115</v>
      </c>
      <c r="C4684" s="371" t="s">
        <v>2791</v>
      </c>
      <c r="D4684" s="2716">
        <f t="shared" si="522"/>
        <v>0</v>
      </c>
      <c r="E4684" s="2721">
        <v>1</v>
      </c>
      <c r="F4684" s="294"/>
      <c r="G4684" s="409" t="s">
        <v>2792</v>
      </c>
      <c r="H4684" s="383"/>
      <c r="I4684" s="401"/>
      <c r="J4684" s="291"/>
      <c r="K4684" s="291"/>
      <c r="L4684" s="291"/>
      <c r="M4684" s="291"/>
      <c r="S4684" s="364"/>
      <c r="Z4684" s="609" t="s">
        <v>4255</v>
      </c>
      <c r="AA4684" s="609" t="s">
        <v>5706</v>
      </c>
    </row>
    <row r="4685" spans="1:27" ht="18.75" thickBot="1">
      <c r="A4685" s="2714"/>
      <c r="B4685" s="371"/>
      <c r="C4685" s="371"/>
      <c r="D4685" s="2716">
        <f t="shared" si="522"/>
        <v>1</v>
      </c>
      <c r="E4685" s="2721" t="s">
        <v>2751</v>
      </c>
      <c r="F4685" s="294"/>
      <c r="G4685" s="403" t="s">
        <v>2752</v>
      </c>
      <c r="H4685" s="503">
        <f>SUMPRODUCT($E4669:$E4684,H4669:H4684)</f>
        <v>5573302.79</v>
      </c>
      <c r="I4685" s="515">
        <f>SUMPRODUCT($E4669:$E4684,I4669:I4684)</f>
        <v>5670698.4400000004</v>
      </c>
      <c r="J4685" s="291"/>
      <c r="K4685" s="291"/>
      <c r="L4685" s="291"/>
      <c r="M4685" s="291"/>
      <c r="S4685" s="364"/>
      <c r="Z4685" s="609" t="s">
        <v>4255</v>
      </c>
      <c r="AA4685" s="609" t="s">
        <v>5706</v>
      </c>
    </row>
    <row r="4686" spans="1:27" ht="18">
      <c r="A4686" s="2714"/>
      <c r="B4686" s="371"/>
      <c r="C4686" s="371" t="s">
        <v>2755</v>
      </c>
      <c r="D4686" s="371"/>
      <c r="F4686" s="294"/>
      <c r="G4686" s="301"/>
      <c r="H4686" s="349"/>
      <c r="I4686" s="349"/>
      <c r="J4686" s="291"/>
      <c r="K4686" s="291"/>
      <c r="L4686" s="291"/>
      <c r="M4686" s="291"/>
      <c r="S4686" s="364"/>
      <c r="Z4686" s="609" t="s">
        <v>4255</v>
      </c>
      <c r="AA4686" s="609" t="s">
        <v>5706</v>
      </c>
    </row>
    <row r="4687" spans="1:27" ht="18">
      <c r="A4687" s="2714" t="s">
        <v>1910</v>
      </c>
      <c r="B4687" s="371">
        <v>2</v>
      </c>
      <c r="C4687" s="371"/>
      <c r="D4687" s="2716" t="str">
        <f>VLOOKUP($A4687,Sheet_NoteList,2,0)</f>
        <v>销售费用补充资料</v>
      </c>
      <c r="E4687" s="2716" t="s">
        <v>6531</v>
      </c>
      <c r="F4687" s="294"/>
      <c r="G4687" s="307" t="str">
        <f>"("&amp;B4687&amp;")"&amp;D4687</f>
        <v>(2)销售费用补充资料</v>
      </c>
      <c r="H4687" s="1517" t="str">
        <f>$A4687</f>
        <v>6601x</v>
      </c>
      <c r="I4687" s="343" t="s">
        <v>5965</v>
      </c>
      <c r="J4687" s="301" t="s">
        <v>5984</v>
      </c>
      <c r="K4687" s="2210">
        <f>H4702</f>
        <v>333933.34000000003</v>
      </c>
      <c r="L4687" s="1535" t="str">
        <f>IF($I4687="适用",IF(ROUND(K4686-K4687,2)&gt;=0,IF(K4686&lt;&gt;0,K4687/K4686,""),"#Logical!"),"#N/A")</f>
        <v>#Logical!</v>
      </c>
      <c r="M4687" s="301" t="s">
        <v>5985</v>
      </c>
      <c r="N4687" s="2210">
        <f>I4702</f>
        <v>437408.25</v>
      </c>
      <c r="O4687" s="1535" t="str">
        <f>IF($I4687="适用",IF(ROUND(N4686-N4687,2)&gt;=0,IF(N4686&lt;&gt;0,N4687/N4686,""),"#Logical!"),"#N/A")</f>
        <v>#Logical!</v>
      </c>
      <c r="P4687" s="301"/>
      <c r="S4687" s="364"/>
      <c r="Z4687" s="609" t="s">
        <v>4255</v>
      </c>
      <c r="AA4687" s="609" t="s">
        <v>5706</v>
      </c>
    </row>
    <row r="4688" spans="1:27" ht="0.75" customHeight="1" thickBot="1">
      <c r="A4688" s="2714"/>
      <c r="B4688" s="371"/>
      <c r="C4688" s="371"/>
      <c r="D4688" s="371"/>
      <c r="E4688" s="586"/>
      <c r="F4688" s="586"/>
      <c r="G4688" s="586" t="s">
        <v>4259</v>
      </c>
      <c r="H4688" s="371" t="s">
        <v>4223</v>
      </c>
      <c r="I4688" s="371" t="s">
        <v>4224</v>
      </c>
      <c r="J4688" s="291"/>
      <c r="K4688" s="291"/>
      <c r="L4688" s="291"/>
      <c r="M4688" s="291"/>
      <c r="S4688" s="364"/>
      <c r="Z4688" s="609" t="s">
        <v>4255</v>
      </c>
      <c r="AA4688" s="609" t="s">
        <v>5706</v>
      </c>
    </row>
    <row r="4689" spans="1:27" ht="18">
      <c r="A4689" s="2714"/>
      <c r="B4689" s="371"/>
      <c r="C4689" s="371"/>
      <c r="D4689" s="371"/>
      <c r="E4689" s="586" t="s">
        <v>2749</v>
      </c>
      <c r="F4689" s="363"/>
      <c r="G4689" s="2451" t="s">
        <v>47</v>
      </c>
      <c r="H4689" s="2447" t="s">
        <v>4242</v>
      </c>
      <c r="I4689" s="2446" t="s">
        <v>4245</v>
      </c>
      <c r="J4689" s="355" t="s">
        <v>6141</v>
      </c>
      <c r="K4689" s="291"/>
      <c r="L4689" s="291"/>
      <c r="M4689" s="291"/>
      <c r="S4689" s="364"/>
      <c r="Z4689" s="609" t="s">
        <v>4255</v>
      </c>
      <c r="AA4689" s="609" t="s">
        <v>5706</v>
      </c>
    </row>
    <row r="4690" spans="1:27" ht="18">
      <c r="A4690" s="2714"/>
      <c r="B4690" s="371">
        <v>101</v>
      </c>
      <c r="C4690" s="371" t="s">
        <v>2791</v>
      </c>
      <c r="D4690" s="2716">
        <f t="shared" ref="D4690:D4695" si="523">IF(OR(G4690="*",G4690="",G4690=0),0,COUNTIF($G$4690:$G$4695,G4690))</f>
        <v>0</v>
      </c>
      <c r="E4690" s="2721">
        <v>1</v>
      </c>
      <c r="F4690" s="294"/>
      <c r="G4690" s="2448" t="s">
        <v>2792</v>
      </c>
      <c r="H4690" s="2275"/>
      <c r="I4690" s="2296"/>
      <c r="J4690" s="579"/>
      <c r="K4690" s="291"/>
      <c r="L4690" s="291"/>
      <c r="M4690" s="291"/>
      <c r="S4690" s="364"/>
      <c r="Z4690" s="609" t="s">
        <v>4255</v>
      </c>
      <c r="AA4690" s="609" t="s">
        <v>5706</v>
      </c>
    </row>
    <row r="4691" spans="1:27" ht="18">
      <c r="A4691" s="2714"/>
      <c r="B4691" s="371">
        <v>102</v>
      </c>
      <c r="C4691" s="371" t="s">
        <v>2791</v>
      </c>
      <c r="D4691" s="2716">
        <f t="shared" si="523"/>
        <v>0</v>
      </c>
      <c r="E4691" s="2721">
        <v>1</v>
      </c>
      <c r="F4691" s="294"/>
      <c r="G4691" s="2448" t="s">
        <v>2792</v>
      </c>
      <c r="H4691" s="2275"/>
      <c r="I4691" s="2296"/>
      <c r="J4691" s="291"/>
      <c r="K4691" s="291"/>
      <c r="L4691" s="291"/>
      <c r="M4691" s="291"/>
      <c r="S4691" s="364"/>
      <c r="Z4691" s="609" t="s">
        <v>4255</v>
      </c>
      <c r="AA4691" s="609" t="s">
        <v>5706</v>
      </c>
    </row>
    <row r="4692" spans="1:27" ht="18">
      <c r="A4692" s="2714"/>
      <c r="B4692" s="371">
        <v>103</v>
      </c>
      <c r="C4692" s="371" t="s">
        <v>2791</v>
      </c>
      <c r="D4692" s="2716">
        <f t="shared" si="523"/>
        <v>0</v>
      </c>
      <c r="E4692" s="2721">
        <v>1</v>
      </c>
      <c r="F4692" s="294"/>
      <c r="G4692" s="2448" t="s">
        <v>2792</v>
      </c>
      <c r="H4692" s="2275"/>
      <c r="I4692" s="2296"/>
      <c r="J4692" s="291"/>
      <c r="K4692" s="291"/>
      <c r="L4692" s="291"/>
      <c r="M4692" s="291"/>
      <c r="S4692" s="364"/>
      <c r="Z4692" s="609" t="s">
        <v>4255</v>
      </c>
      <c r="AA4692" s="609" t="s">
        <v>5706</v>
      </c>
    </row>
    <row r="4693" spans="1:27" ht="18">
      <c r="A4693" s="2714"/>
      <c r="B4693" s="371">
        <v>104</v>
      </c>
      <c r="C4693" s="371" t="s">
        <v>2791</v>
      </c>
      <c r="D4693" s="2716">
        <f t="shared" si="523"/>
        <v>0</v>
      </c>
      <c r="E4693" s="2721">
        <v>1</v>
      </c>
      <c r="F4693" s="294"/>
      <c r="G4693" s="2448" t="s">
        <v>2792</v>
      </c>
      <c r="H4693" s="2275"/>
      <c r="I4693" s="2296"/>
      <c r="J4693" s="291"/>
      <c r="K4693" s="291"/>
      <c r="L4693" s="291"/>
      <c r="M4693" s="291"/>
      <c r="S4693" s="364"/>
      <c r="Z4693" s="609" t="s">
        <v>4255</v>
      </c>
      <c r="AA4693" s="609" t="s">
        <v>5706</v>
      </c>
    </row>
    <row r="4694" spans="1:27" ht="18">
      <c r="A4694" s="2714"/>
      <c r="B4694" s="371">
        <v>105</v>
      </c>
      <c r="C4694" s="371" t="s">
        <v>2791</v>
      </c>
      <c r="D4694" s="2716">
        <f t="shared" si="523"/>
        <v>0</v>
      </c>
      <c r="E4694" s="2721">
        <v>1</v>
      </c>
      <c r="F4694" s="294"/>
      <c r="G4694" s="2448" t="s">
        <v>2792</v>
      </c>
      <c r="H4694" s="2275"/>
      <c r="I4694" s="2296"/>
      <c r="J4694" s="291"/>
      <c r="K4694" s="291"/>
      <c r="L4694" s="291"/>
      <c r="M4694" s="291"/>
      <c r="S4694" s="364"/>
      <c r="Z4694" s="609" t="s">
        <v>4255</v>
      </c>
      <c r="AA4694" s="609" t="s">
        <v>5706</v>
      </c>
    </row>
    <row r="4695" spans="1:27" ht="18.75" thickBot="1">
      <c r="A4695" s="2714"/>
      <c r="B4695" s="371"/>
      <c r="C4695" s="371"/>
      <c r="D4695" s="2716">
        <f t="shared" si="523"/>
        <v>1</v>
      </c>
      <c r="E4695" s="2721" t="s">
        <v>2751</v>
      </c>
      <c r="F4695" s="294"/>
      <c r="G4695" s="1529" t="s">
        <v>2752</v>
      </c>
      <c r="H4695" s="1527">
        <f>SUMPRODUCT($E4689:$E4694,H4689:H4694)</f>
        <v>0</v>
      </c>
      <c r="I4695" s="1528">
        <f>SUMPRODUCT($E4689:$E4694,I4689:I4694)</f>
        <v>0</v>
      </c>
      <c r="J4695" s="291"/>
      <c r="K4695" s="291"/>
      <c r="L4695" s="291"/>
      <c r="M4695" s="291"/>
      <c r="S4695" s="364"/>
      <c r="Z4695" s="609" t="s">
        <v>4255</v>
      </c>
      <c r="AA4695" s="609" t="s">
        <v>5706</v>
      </c>
    </row>
    <row r="4696" spans="1:27" ht="18">
      <c r="A4696" s="2714"/>
      <c r="B4696" s="371"/>
      <c r="C4696" s="371" t="s">
        <v>2755</v>
      </c>
      <c r="D4696" s="371"/>
      <c r="F4696" s="294"/>
      <c r="G4696" s="301"/>
      <c r="H4696" s="315"/>
      <c r="I4696" s="315"/>
      <c r="J4696" s="291"/>
      <c r="K4696" s="291"/>
      <c r="L4696" s="291"/>
      <c r="M4696" s="291"/>
      <c r="S4696" s="364"/>
      <c r="Z4696" s="609" t="s">
        <v>4255</v>
      </c>
      <c r="AA4696" s="609" t="s">
        <v>5706</v>
      </c>
    </row>
    <row r="4697" spans="1:27" ht="18">
      <c r="A4697" s="2714">
        <v>6602</v>
      </c>
      <c r="B4697" s="371">
        <v>64</v>
      </c>
      <c r="C4697" s="2716" t="str">
        <f>VLOOKUP($A4697,Sheet_Items,2,0)</f>
        <v>管理费用</v>
      </c>
      <c r="D4697" s="371"/>
      <c r="E4697" s="2716" t="s">
        <v>2739</v>
      </c>
      <c r="F4697" s="294"/>
      <c r="G4697" s="305" t="str">
        <f>B4697&amp;" "&amp;C4697</f>
        <v>64 管理费用</v>
      </c>
      <c r="H4697" s="306"/>
      <c r="I4697" s="306"/>
      <c r="J4697" s="306" t="s">
        <v>4206</v>
      </c>
      <c r="K4697" s="341">
        <f>VLOOKUP($A4697,Sheet_Trialbal,6,0)</f>
        <v>3943436.51</v>
      </c>
      <c r="L4697" s="342"/>
      <c r="M4697" s="306" t="s">
        <v>4207</v>
      </c>
      <c r="N4697" s="341">
        <f>VLOOKUP($A4697,Sheet_Trialbal,10,0)</f>
        <v>2881011.76</v>
      </c>
      <c r="O4697" s="306"/>
      <c r="P4697" s="301"/>
      <c r="S4697" s="364"/>
      <c r="Z4697" s="609" t="s">
        <v>4260</v>
      </c>
      <c r="AA4697" s="609" t="s">
        <v>5707</v>
      </c>
    </row>
    <row r="4698" spans="1:27" ht="18">
      <c r="A4698" s="2714" t="s">
        <v>1913</v>
      </c>
      <c r="B4698" s="371">
        <v>1</v>
      </c>
      <c r="C4698" s="371"/>
      <c r="D4698" s="2716" t="str">
        <f>VLOOKUP($A4698,Sheet_NoteList,2,0)</f>
        <v>管理费用明细项目</v>
      </c>
      <c r="E4698" s="2716" t="s">
        <v>2742</v>
      </c>
      <c r="F4698" s="294"/>
      <c r="G4698" s="307" t="str">
        <f>"("&amp;B4698&amp;")"&amp;D4698</f>
        <v>(1)管理费用明细项目</v>
      </c>
      <c r="H4698" s="1517" t="str">
        <f>$A4698</f>
        <v>6602a</v>
      </c>
      <c r="I4698" s="343" t="s">
        <v>2743</v>
      </c>
      <c r="J4698" s="301" t="s">
        <v>4256</v>
      </c>
      <c r="K4698" s="2210">
        <f>H4716</f>
        <v>3943436.51</v>
      </c>
      <c r="L4698" s="1535">
        <f>IF($I4698="适用",IF(ROUND(K4697-K4698,2)&gt;=0,IF(K4697&lt;&gt;0,K4698/K4697,""),"#Logical!"),"#N/A")</f>
        <v>1</v>
      </c>
      <c r="M4698" s="301" t="s">
        <v>4257</v>
      </c>
      <c r="N4698" s="2210">
        <f>I4716</f>
        <v>2881011.76</v>
      </c>
      <c r="O4698" s="1535">
        <f>IF($I4698="适用",IF(ROUND(N4697-N4698,2)&gt;=0,IF(N4697&lt;&gt;0,N4698/N4697,""),"#Logical!"),"#N/A")</f>
        <v>1</v>
      </c>
      <c r="P4698" s="301"/>
      <c r="Q4698" s="290" t="str">
        <f>IF($I4698="不适用","",IF(ROUND(SUM($H$4701:$I$4716),2)=0,"请输入",""))</f>
        <v/>
      </c>
      <c r="S4698" s="364"/>
      <c r="Z4698" s="609" t="s">
        <v>4260</v>
      </c>
      <c r="AA4698" s="609" t="s">
        <v>5707</v>
      </c>
    </row>
    <row r="4699" spans="1:27" ht="0.75" customHeight="1" thickBot="1">
      <c r="A4699" s="2714"/>
      <c r="B4699" s="371"/>
      <c r="C4699" s="371"/>
      <c r="D4699" s="371"/>
      <c r="E4699" s="586"/>
      <c r="F4699" s="586"/>
      <c r="G4699" s="586" t="s">
        <v>4261</v>
      </c>
      <c r="H4699" s="371" t="s">
        <v>4223</v>
      </c>
      <c r="I4699" s="371" t="s">
        <v>4224</v>
      </c>
      <c r="J4699" s="291"/>
      <c r="K4699" s="291"/>
      <c r="L4699" s="291"/>
      <c r="M4699" s="291"/>
      <c r="S4699" s="364"/>
      <c r="Z4699" s="609" t="s">
        <v>4260</v>
      </c>
      <c r="AA4699" s="609" t="s">
        <v>5707</v>
      </c>
    </row>
    <row r="4700" spans="1:27" ht="18">
      <c r="A4700" s="2714"/>
      <c r="B4700" s="371"/>
      <c r="C4700" s="371"/>
      <c r="D4700" s="371"/>
      <c r="E4700" s="586" t="s">
        <v>2749</v>
      </c>
      <c r="F4700" s="363"/>
      <c r="G4700" s="2449" t="s">
        <v>47</v>
      </c>
      <c r="H4700" s="2445" t="str">
        <f>$V$4</f>
        <v>2019年度</v>
      </c>
      <c r="I4700" s="2444" t="str">
        <f>$V$5</f>
        <v>2018年度</v>
      </c>
      <c r="J4700" s="355" t="s">
        <v>5329</v>
      </c>
      <c r="K4700" s="291"/>
      <c r="L4700" s="291"/>
      <c r="M4700" s="291"/>
      <c r="S4700" s="364"/>
      <c r="Z4700" s="609" t="s">
        <v>4260</v>
      </c>
      <c r="AA4700" s="609" t="s">
        <v>5707</v>
      </c>
    </row>
    <row r="4701" spans="1:27" ht="18">
      <c r="A4701" s="2714"/>
      <c r="B4701" s="371">
        <v>101</v>
      </c>
      <c r="C4701" s="371" t="s">
        <v>2791</v>
      </c>
      <c r="D4701" s="2716">
        <f t="shared" ref="D4701:D4716" si="524">IF(OR(G4701="*",G4701="",G4701=0),0,COUNTIF($G$4701:$G$4716,G4701))</f>
        <v>1</v>
      </c>
      <c r="E4701" s="2721">
        <v>1</v>
      </c>
      <c r="F4701" s="294"/>
      <c r="G4701" s="2448" t="s">
        <v>6845</v>
      </c>
      <c r="H4701" s="2275">
        <v>1665456</v>
      </c>
      <c r="I4701" s="2296">
        <v>1453331.54</v>
      </c>
      <c r="J4701" s="291"/>
      <c r="K4701" s="291"/>
      <c r="L4701" s="291"/>
      <c r="M4701" s="291"/>
      <c r="S4701" s="364"/>
      <c r="Z4701" s="609" t="s">
        <v>4260</v>
      </c>
      <c r="AA4701" s="609" t="s">
        <v>5707</v>
      </c>
    </row>
    <row r="4702" spans="1:27" ht="18">
      <c r="A4702" s="2714"/>
      <c r="B4702" s="371">
        <v>102</v>
      </c>
      <c r="C4702" s="371" t="s">
        <v>2791</v>
      </c>
      <c r="D4702" s="2716">
        <f t="shared" si="524"/>
        <v>1</v>
      </c>
      <c r="E4702" s="2721">
        <v>1</v>
      </c>
      <c r="F4702" s="294"/>
      <c r="G4702" s="2448" t="s">
        <v>6850</v>
      </c>
      <c r="H4702" s="2275">
        <v>333933.34000000003</v>
      </c>
      <c r="I4702" s="2296">
        <v>437408.25</v>
      </c>
      <c r="J4702" s="291"/>
      <c r="K4702" s="291"/>
      <c r="L4702" s="291"/>
      <c r="M4702" s="291"/>
      <c r="S4702" s="364"/>
      <c r="Z4702" s="609" t="s">
        <v>4260</v>
      </c>
      <c r="AA4702" s="609" t="s">
        <v>5707</v>
      </c>
    </row>
    <row r="4703" spans="1:27" ht="18">
      <c r="A4703" s="2714"/>
      <c r="B4703" s="371">
        <v>103</v>
      </c>
      <c r="C4703" s="371" t="s">
        <v>2791</v>
      </c>
      <c r="D4703" s="2716">
        <f t="shared" si="524"/>
        <v>1</v>
      </c>
      <c r="E4703" s="2721">
        <v>1</v>
      </c>
      <c r="F4703" s="294"/>
      <c r="G4703" s="2448" t="s">
        <v>6848</v>
      </c>
      <c r="H4703" s="2275">
        <v>76253.759999999995</v>
      </c>
      <c r="I4703" s="2296">
        <v>55537.05</v>
      </c>
      <c r="J4703" s="291"/>
      <c r="K4703" s="291"/>
      <c r="L4703" s="291"/>
      <c r="M4703" s="291"/>
      <c r="S4703" s="364"/>
      <c r="Z4703" s="609" t="s">
        <v>4260</v>
      </c>
      <c r="AA4703" s="609" t="s">
        <v>5707</v>
      </c>
    </row>
    <row r="4704" spans="1:27" ht="18">
      <c r="A4704" s="2714"/>
      <c r="B4704" s="371">
        <v>104</v>
      </c>
      <c r="C4704" s="371" t="s">
        <v>2791</v>
      </c>
      <c r="D4704" s="2716">
        <f t="shared" si="524"/>
        <v>1</v>
      </c>
      <c r="E4704" s="2721">
        <v>1</v>
      </c>
      <c r="F4704" s="294"/>
      <c r="G4704" s="2448" t="s">
        <v>6849</v>
      </c>
      <c r="H4704" s="2275">
        <v>47623.37</v>
      </c>
      <c r="I4704" s="2296">
        <v>102884.51</v>
      </c>
      <c r="J4704" s="291"/>
      <c r="K4704" s="291"/>
      <c r="L4704" s="291"/>
      <c r="M4704" s="291"/>
      <c r="S4704" s="364"/>
      <c r="Z4704" s="609" t="s">
        <v>4260</v>
      </c>
      <c r="AA4704" s="609" t="s">
        <v>5707</v>
      </c>
    </row>
    <row r="4705" spans="1:27" ht="18">
      <c r="A4705" s="2714"/>
      <c r="B4705" s="371">
        <v>105</v>
      </c>
      <c r="C4705" s="371" t="s">
        <v>2791</v>
      </c>
      <c r="D4705" s="2716">
        <f t="shared" si="524"/>
        <v>1</v>
      </c>
      <c r="E4705" s="2721">
        <v>1</v>
      </c>
      <c r="F4705" s="294"/>
      <c r="G4705" s="2448" t="s">
        <v>6846</v>
      </c>
      <c r="H4705" s="2275">
        <v>49906.21</v>
      </c>
      <c r="I4705" s="2296">
        <v>49684.41</v>
      </c>
      <c r="J4705" s="291"/>
      <c r="K4705" s="291"/>
      <c r="L4705" s="291"/>
      <c r="M4705" s="291"/>
      <c r="S4705" s="364"/>
      <c r="Z4705" s="609" t="s">
        <v>4260</v>
      </c>
      <c r="AA4705" s="609" t="s">
        <v>5707</v>
      </c>
    </row>
    <row r="4706" spans="1:27" ht="18">
      <c r="A4706" s="2714"/>
      <c r="B4706" s="371">
        <v>106</v>
      </c>
      <c r="C4706" s="371" t="s">
        <v>2791</v>
      </c>
      <c r="D4706" s="2716">
        <f t="shared" si="524"/>
        <v>1</v>
      </c>
      <c r="E4706" s="2721">
        <v>1</v>
      </c>
      <c r="F4706" s="294"/>
      <c r="G4706" s="2448" t="s">
        <v>6851</v>
      </c>
      <c r="H4706" s="2275">
        <v>729333.91</v>
      </c>
      <c r="I4706" s="2296">
        <v>128338.71</v>
      </c>
      <c r="J4706" s="291"/>
      <c r="K4706" s="291"/>
      <c r="L4706" s="291"/>
      <c r="M4706" s="291"/>
      <c r="S4706" s="364"/>
      <c r="Z4706" s="609" t="s">
        <v>4260</v>
      </c>
      <c r="AA4706" s="609" t="s">
        <v>5707</v>
      </c>
    </row>
    <row r="4707" spans="1:27" ht="18">
      <c r="A4707" s="2714"/>
      <c r="B4707" s="371">
        <v>107</v>
      </c>
      <c r="C4707" s="371" t="s">
        <v>2791</v>
      </c>
      <c r="D4707" s="2716">
        <f t="shared" si="524"/>
        <v>1</v>
      </c>
      <c r="E4707" s="2721">
        <v>1</v>
      </c>
      <c r="F4707" s="294"/>
      <c r="G4707" s="2448" t="s">
        <v>6852</v>
      </c>
      <c r="H4707" s="2275">
        <v>582437.54</v>
      </c>
      <c r="I4707" s="2296">
        <v>267593.37</v>
      </c>
      <c r="J4707" s="291"/>
      <c r="K4707" s="291"/>
      <c r="L4707" s="291"/>
      <c r="M4707" s="291"/>
      <c r="S4707" s="364"/>
      <c r="Z4707" s="609" t="s">
        <v>4260</v>
      </c>
      <c r="AA4707" s="609" t="s">
        <v>5707</v>
      </c>
    </row>
    <row r="4708" spans="1:27" ht="18">
      <c r="A4708" s="2714"/>
      <c r="B4708" s="371">
        <v>108</v>
      </c>
      <c r="C4708" s="371" t="s">
        <v>2791</v>
      </c>
      <c r="D4708" s="2716">
        <f t="shared" si="524"/>
        <v>1</v>
      </c>
      <c r="E4708" s="2721">
        <v>1</v>
      </c>
      <c r="F4708" s="294"/>
      <c r="G4708" s="2448" t="s">
        <v>815</v>
      </c>
      <c r="H4708" s="2275">
        <v>87250.85</v>
      </c>
      <c r="I4708" s="2296">
        <v>75584.009999999995</v>
      </c>
      <c r="J4708" s="291"/>
      <c r="K4708" s="291"/>
      <c r="L4708" s="291"/>
      <c r="M4708" s="291"/>
      <c r="S4708" s="364"/>
      <c r="Z4708" s="609" t="s">
        <v>4260</v>
      </c>
      <c r="AA4708" s="609" t="s">
        <v>5707</v>
      </c>
    </row>
    <row r="4709" spans="1:27" ht="18">
      <c r="A4709" s="2714"/>
      <c r="B4709" s="371">
        <v>109</v>
      </c>
      <c r="C4709" s="371" t="s">
        <v>2791</v>
      </c>
      <c r="D4709" s="2716">
        <f t="shared" si="524"/>
        <v>1</v>
      </c>
      <c r="E4709" s="2721">
        <v>1</v>
      </c>
      <c r="F4709" s="294"/>
      <c r="G4709" s="2448" t="s">
        <v>4267</v>
      </c>
      <c r="H4709" s="2275">
        <v>371241.53</v>
      </c>
      <c r="I4709" s="2296">
        <v>310649.90999999997</v>
      </c>
      <c r="J4709" s="291"/>
      <c r="K4709" s="291"/>
      <c r="L4709" s="291"/>
      <c r="M4709" s="291"/>
      <c r="S4709" s="364"/>
      <c r="Z4709" s="609" t="s">
        <v>4260</v>
      </c>
      <c r="AA4709" s="609" t="s">
        <v>5707</v>
      </c>
    </row>
    <row r="4710" spans="1:27" ht="18">
      <c r="A4710" s="2714"/>
      <c r="B4710" s="371">
        <v>110</v>
      </c>
      <c r="C4710" s="371" t="s">
        <v>2791</v>
      </c>
      <c r="D4710" s="2716">
        <f t="shared" si="524"/>
        <v>0</v>
      </c>
      <c r="E4710" s="2721">
        <v>1</v>
      </c>
      <c r="F4710" s="294"/>
      <c r="G4710" s="2448" t="s">
        <v>2792</v>
      </c>
      <c r="H4710" s="2275"/>
      <c r="I4710" s="2296"/>
      <c r="J4710" s="291"/>
      <c r="K4710" s="291"/>
      <c r="L4710" s="291"/>
      <c r="M4710" s="291"/>
      <c r="S4710" s="364"/>
      <c r="Z4710" s="609" t="s">
        <v>4260</v>
      </c>
      <c r="AA4710" s="609" t="s">
        <v>5707</v>
      </c>
    </row>
    <row r="4711" spans="1:27" ht="18">
      <c r="A4711" s="2714"/>
      <c r="B4711" s="371">
        <v>111</v>
      </c>
      <c r="C4711" s="371" t="s">
        <v>2791</v>
      </c>
      <c r="D4711" s="2716">
        <f t="shared" si="524"/>
        <v>0</v>
      </c>
      <c r="E4711" s="2721">
        <v>1</v>
      </c>
      <c r="F4711" s="294"/>
      <c r="G4711" s="2448" t="s">
        <v>2792</v>
      </c>
      <c r="H4711" s="2275"/>
      <c r="I4711" s="2296"/>
      <c r="J4711" s="291"/>
      <c r="K4711" s="291"/>
      <c r="L4711" s="291"/>
      <c r="M4711" s="291"/>
      <c r="S4711" s="364"/>
      <c r="Z4711" s="609" t="s">
        <v>4260</v>
      </c>
      <c r="AA4711" s="609" t="s">
        <v>5707</v>
      </c>
    </row>
    <row r="4712" spans="1:27" ht="18">
      <c r="A4712" s="2714"/>
      <c r="B4712" s="371">
        <v>112</v>
      </c>
      <c r="C4712" s="371" t="s">
        <v>2791</v>
      </c>
      <c r="D4712" s="2716">
        <f t="shared" si="524"/>
        <v>0</v>
      </c>
      <c r="E4712" s="2721">
        <v>1</v>
      </c>
      <c r="F4712" s="294"/>
      <c r="G4712" s="2448" t="s">
        <v>2792</v>
      </c>
      <c r="H4712" s="2275"/>
      <c r="I4712" s="2296"/>
      <c r="J4712" s="291"/>
      <c r="K4712" s="291"/>
      <c r="L4712" s="291"/>
      <c r="M4712" s="291"/>
      <c r="S4712" s="364"/>
      <c r="Z4712" s="609" t="s">
        <v>4260</v>
      </c>
      <c r="AA4712" s="609" t="s">
        <v>5707</v>
      </c>
    </row>
    <row r="4713" spans="1:27" ht="18">
      <c r="A4713" s="2714"/>
      <c r="B4713" s="371">
        <v>113</v>
      </c>
      <c r="C4713" s="371" t="s">
        <v>2791</v>
      </c>
      <c r="D4713" s="2716">
        <f t="shared" si="524"/>
        <v>0</v>
      </c>
      <c r="E4713" s="2721">
        <v>1</v>
      </c>
      <c r="F4713" s="294"/>
      <c r="G4713" s="2448" t="s">
        <v>2792</v>
      </c>
      <c r="H4713" s="2275"/>
      <c r="I4713" s="2296"/>
      <c r="J4713" s="291"/>
      <c r="K4713" s="291"/>
      <c r="L4713" s="291"/>
      <c r="M4713" s="291"/>
      <c r="S4713" s="364"/>
      <c r="Z4713" s="609" t="s">
        <v>4260</v>
      </c>
      <c r="AA4713" s="609" t="s">
        <v>5707</v>
      </c>
    </row>
    <row r="4714" spans="1:27" ht="18">
      <c r="A4714" s="2714"/>
      <c r="B4714" s="371">
        <v>114</v>
      </c>
      <c r="C4714" s="371" t="s">
        <v>2791</v>
      </c>
      <c r="D4714" s="2716">
        <f t="shared" si="524"/>
        <v>0</v>
      </c>
      <c r="E4714" s="2721">
        <v>1</v>
      </c>
      <c r="F4714" s="294"/>
      <c r="G4714" s="2448" t="s">
        <v>2792</v>
      </c>
      <c r="H4714" s="2275"/>
      <c r="I4714" s="2296"/>
      <c r="J4714" s="291"/>
      <c r="K4714" s="291"/>
      <c r="L4714" s="291"/>
      <c r="M4714" s="291"/>
      <c r="S4714" s="364"/>
      <c r="Z4714" s="609" t="s">
        <v>4260</v>
      </c>
      <c r="AA4714" s="609" t="s">
        <v>5707</v>
      </c>
    </row>
    <row r="4715" spans="1:27" ht="18">
      <c r="A4715" s="2714"/>
      <c r="B4715" s="371">
        <v>115</v>
      </c>
      <c r="C4715" s="371" t="s">
        <v>2791</v>
      </c>
      <c r="D4715" s="2716">
        <f t="shared" si="524"/>
        <v>0</v>
      </c>
      <c r="E4715" s="2721">
        <v>1</v>
      </c>
      <c r="F4715" s="294"/>
      <c r="G4715" s="2448" t="s">
        <v>2792</v>
      </c>
      <c r="H4715" s="2275"/>
      <c r="I4715" s="2296"/>
      <c r="J4715" s="291"/>
      <c r="K4715" s="291"/>
      <c r="L4715" s="291"/>
      <c r="M4715" s="291"/>
      <c r="S4715" s="364"/>
      <c r="Z4715" s="609" t="s">
        <v>4260</v>
      </c>
      <c r="AA4715" s="609" t="s">
        <v>5707</v>
      </c>
    </row>
    <row r="4716" spans="1:27" ht="18.75" thickBot="1">
      <c r="A4716" s="2714"/>
      <c r="B4716" s="371"/>
      <c r="C4716" s="371"/>
      <c r="D4716" s="2716">
        <f t="shared" si="524"/>
        <v>1</v>
      </c>
      <c r="E4716" s="2721" t="s">
        <v>2751</v>
      </c>
      <c r="F4716" s="294"/>
      <c r="G4716" s="374" t="s">
        <v>2752</v>
      </c>
      <c r="H4716" s="1478">
        <f>SUMPRODUCT($E4700:$E4715,H4700:H4715)</f>
        <v>3943436.51</v>
      </c>
      <c r="I4716" s="1479">
        <f>SUMPRODUCT($E4700:$E4715,I4700:I4715)</f>
        <v>2881011.76</v>
      </c>
      <c r="J4716" s="291"/>
      <c r="K4716" s="291"/>
      <c r="L4716" s="291"/>
      <c r="M4716" s="291"/>
      <c r="S4716" s="364"/>
      <c r="Z4716" s="609" t="s">
        <v>4260</v>
      </c>
      <c r="AA4716" s="609" t="s">
        <v>5707</v>
      </c>
    </row>
    <row r="4717" spans="1:27" ht="18">
      <c r="A4717" s="2714"/>
      <c r="B4717" s="371"/>
      <c r="C4717" s="371" t="s">
        <v>2755</v>
      </c>
      <c r="D4717" s="371"/>
      <c r="F4717" s="294"/>
      <c r="G4717" s="301"/>
      <c r="H4717" s="315"/>
      <c r="I4717" s="315"/>
      <c r="J4717" s="291"/>
      <c r="K4717" s="291"/>
      <c r="L4717" s="291"/>
      <c r="M4717" s="291"/>
      <c r="S4717" s="364"/>
      <c r="Z4717" s="609" t="s">
        <v>4260</v>
      </c>
      <c r="AA4717" s="609" t="s">
        <v>5707</v>
      </c>
    </row>
    <row r="4718" spans="1:27" ht="18">
      <c r="A4718" s="2714" t="s">
        <v>1916</v>
      </c>
      <c r="B4718" s="371">
        <v>2</v>
      </c>
      <c r="C4718" s="371"/>
      <c r="D4718" s="2716" t="str">
        <f>VLOOKUP($A4718,Sheet_NoteList,2,0)</f>
        <v>管理费用补充资料</v>
      </c>
      <c r="E4718" s="2716" t="s">
        <v>6531</v>
      </c>
      <c r="F4718" s="294"/>
      <c r="G4718" s="307" t="str">
        <f>"("&amp;B4718&amp;")"&amp;D4718</f>
        <v>(2)管理费用补充资料</v>
      </c>
      <c r="H4718" s="1517" t="str">
        <f>$A4718</f>
        <v>6602x</v>
      </c>
      <c r="I4718" s="343" t="s">
        <v>5966</v>
      </c>
      <c r="J4718" s="301" t="s">
        <v>5986</v>
      </c>
      <c r="K4718" s="2210">
        <f>H4726</f>
        <v>0</v>
      </c>
      <c r="L4718" s="1535"/>
      <c r="M4718" s="301" t="s">
        <v>5987</v>
      </c>
      <c r="N4718" s="2210">
        <f>I4726</f>
        <v>0</v>
      </c>
      <c r="O4718" s="1535"/>
      <c r="P4718" s="301"/>
      <c r="S4718" s="364"/>
      <c r="Z4718" s="609" t="s">
        <v>4260</v>
      </c>
      <c r="AA4718" s="609" t="s">
        <v>5707</v>
      </c>
    </row>
    <row r="4719" spans="1:27" ht="0.75" customHeight="1" thickBot="1">
      <c r="A4719" s="2714"/>
      <c r="B4719" s="371"/>
      <c r="C4719" s="371"/>
      <c r="D4719" s="371"/>
      <c r="E4719" s="586"/>
      <c r="F4719" s="586"/>
      <c r="G4719" s="586" t="s">
        <v>4262</v>
      </c>
      <c r="H4719" s="371" t="s">
        <v>4223</v>
      </c>
      <c r="I4719" s="371" t="s">
        <v>4224</v>
      </c>
      <c r="J4719" s="291"/>
      <c r="K4719" s="291"/>
      <c r="L4719" s="291"/>
      <c r="M4719" s="291"/>
      <c r="S4719" s="364"/>
      <c r="Z4719" s="609" t="s">
        <v>4260</v>
      </c>
      <c r="AA4719" s="609" t="s">
        <v>5707</v>
      </c>
    </row>
    <row r="4720" spans="1:27" ht="18">
      <c r="A4720" s="2714"/>
      <c r="B4720" s="371"/>
      <c r="C4720" s="371"/>
      <c r="D4720" s="371"/>
      <c r="E4720" s="586" t="s">
        <v>2749</v>
      </c>
      <c r="F4720" s="363"/>
      <c r="G4720" s="2451" t="s">
        <v>47</v>
      </c>
      <c r="H4720" s="2447" t="s">
        <v>4242</v>
      </c>
      <c r="I4720" s="2446" t="s">
        <v>4245</v>
      </c>
      <c r="J4720" s="355" t="s">
        <v>6141</v>
      </c>
      <c r="K4720" s="291"/>
      <c r="L4720" s="291"/>
      <c r="M4720" s="291"/>
      <c r="S4720" s="364"/>
      <c r="Z4720" s="609" t="s">
        <v>4260</v>
      </c>
      <c r="AA4720" s="609" t="s">
        <v>5707</v>
      </c>
    </row>
    <row r="4721" spans="1:27" ht="18">
      <c r="A4721" s="2714"/>
      <c r="B4721" s="371">
        <v>101</v>
      </c>
      <c r="C4721" s="371" t="s">
        <v>2791</v>
      </c>
      <c r="D4721" s="2716">
        <f t="shared" ref="D4721:D4726" si="525">IF(OR(G4721="*",G4721="",G4721=0),0,COUNTIF($G$4721:$G$4726,G4721))</f>
        <v>0</v>
      </c>
      <c r="E4721" s="2721">
        <v>1</v>
      </c>
      <c r="F4721" s="294"/>
      <c r="G4721" s="2448" t="s">
        <v>2792</v>
      </c>
      <c r="H4721" s="2275"/>
      <c r="I4721" s="2296"/>
      <c r="J4721" s="579"/>
      <c r="K4721" s="291"/>
      <c r="L4721" s="291"/>
      <c r="M4721" s="291"/>
      <c r="S4721" s="364"/>
      <c r="Z4721" s="609" t="s">
        <v>4260</v>
      </c>
      <c r="AA4721" s="609" t="s">
        <v>5707</v>
      </c>
    </row>
    <row r="4722" spans="1:27" ht="18">
      <c r="A4722" s="2714"/>
      <c r="B4722" s="371">
        <v>102</v>
      </c>
      <c r="C4722" s="371" t="s">
        <v>2791</v>
      </c>
      <c r="D4722" s="2716">
        <f t="shared" si="525"/>
        <v>0</v>
      </c>
      <c r="E4722" s="2721">
        <v>1</v>
      </c>
      <c r="F4722" s="294"/>
      <c r="G4722" s="2448" t="s">
        <v>2792</v>
      </c>
      <c r="H4722" s="2275"/>
      <c r="I4722" s="2296"/>
      <c r="J4722" s="291"/>
      <c r="K4722" s="291"/>
      <c r="L4722" s="291"/>
      <c r="M4722" s="291"/>
      <c r="S4722" s="364"/>
      <c r="Z4722" s="609" t="s">
        <v>4260</v>
      </c>
      <c r="AA4722" s="609" t="s">
        <v>5707</v>
      </c>
    </row>
    <row r="4723" spans="1:27" ht="18">
      <c r="A4723" s="2714"/>
      <c r="B4723" s="371">
        <v>103</v>
      </c>
      <c r="C4723" s="371" t="s">
        <v>2791</v>
      </c>
      <c r="D4723" s="2716">
        <f t="shared" si="525"/>
        <v>0</v>
      </c>
      <c r="E4723" s="2721">
        <v>1</v>
      </c>
      <c r="F4723" s="294"/>
      <c r="G4723" s="2448" t="s">
        <v>2792</v>
      </c>
      <c r="H4723" s="2275"/>
      <c r="I4723" s="2296"/>
      <c r="J4723" s="291"/>
      <c r="K4723" s="291"/>
      <c r="L4723" s="291"/>
      <c r="M4723" s="291"/>
      <c r="S4723" s="364"/>
      <c r="Z4723" s="609" t="s">
        <v>4260</v>
      </c>
      <c r="AA4723" s="609" t="s">
        <v>5707</v>
      </c>
    </row>
    <row r="4724" spans="1:27" ht="18">
      <c r="A4724" s="2714"/>
      <c r="B4724" s="371">
        <v>104</v>
      </c>
      <c r="C4724" s="371" t="s">
        <v>2791</v>
      </c>
      <c r="D4724" s="2716">
        <f t="shared" si="525"/>
        <v>0</v>
      </c>
      <c r="E4724" s="2721">
        <v>1</v>
      </c>
      <c r="F4724" s="294"/>
      <c r="G4724" s="2448" t="s">
        <v>2792</v>
      </c>
      <c r="H4724" s="2275"/>
      <c r="I4724" s="2296"/>
      <c r="J4724" s="291"/>
      <c r="K4724" s="291"/>
      <c r="L4724" s="291"/>
      <c r="M4724" s="291"/>
      <c r="S4724" s="364"/>
      <c r="Z4724" s="609" t="s">
        <v>4260</v>
      </c>
      <c r="AA4724" s="609" t="s">
        <v>5707</v>
      </c>
    </row>
    <row r="4725" spans="1:27" ht="18">
      <c r="A4725" s="2714"/>
      <c r="B4725" s="371">
        <v>105</v>
      </c>
      <c r="C4725" s="371" t="s">
        <v>2791</v>
      </c>
      <c r="D4725" s="2716">
        <f t="shared" si="525"/>
        <v>0</v>
      </c>
      <c r="E4725" s="2721">
        <v>1</v>
      </c>
      <c r="F4725" s="294"/>
      <c r="G4725" s="2448" t="s">
        <v>2792</v>
      </c>
      <c r="H4725" s="2275"/>
      <c r="I4725" s="2296"/>
      <c r="J4725" s="291"/>
      <c r="K4725" s="291"/>
      <c r="L4725" s="291"/>
      <c r="M4725" s="291"/>
      <c r="S4725" s="364"/>
      <c r="Z4725" s="609" t="s">
        <v>4260</v>
      </c>
      <c r="AA4725" s="609" t="s">
        <v>5707</v>
      </c>
    </row>
    <row r="4726" spans="1:27" ht="18.75" thickBot="1">
      <c r="A4726" s="2714"/>
      <c r="B4726" s="371"/>
      <c r="C4726" s="371"/>
      <c r="D4726" s="2716">
        <f t="shared" si="525"/>
        <v>1</v>
      </c>
      <c r="E4726" s="2721" t="s">
        <v>2751</v>
      </c>
      <c r="F4726" s="294"/>
      <c r="G4726" s="1529" t="s">
        <v>2752</v>
      </c>
      <c r="H4726" s="1527">
        <f>SUMPRODUCT($E4720:$E4725,H4720:H4725)</f>
        <v>0</v>
      </c>
      <c r="I4726" s="1528">
        <f>SUMPRODUCT($E4720:$E4725,I4720:I4725)</f>
        <v>0</v>
      </c>
      <c r="J4726" s="291"/>
      <c r="K4726" s="291"/>
      <c r="L4726" s="291"/>
      <c r="M4726" s="291"/>
      <c r="S4726" s="364"/>
      <c r="Z4726" s="609" t="s">
        <v>4260</v>
      </c>
      <c r="AA4726" s="609" t="s">
        <v>5707</v>
      </c>
    </row>
    <row r="4727" spans="1:27" ht="18">
      <c r="A4727" s="2714"/>
      <c r="B4727" s="371"/>
      <c r="C4727" s="371" t="s">
        <v>2755</v>
      </c>
      <c r="D4727" s="371"/>
      <c r="F4727" s="294"/>
      <c r="G4727" s="301"/>
      <c r="H4727" s="315"/>
      <c r="I4727" s="315"/>
      <c r="J4727" s="291"/>
      <c r="K4727" s="291"/>
      <c r="L4727" s="291"/>
      <c r="M4727" s="291"/>
      <c r="S4727" s="364"/>
      <c r="Z4727" s="609" t="s">
        <v>4260</v>
      </c>
      <c r="AA4727" s="609" t="s">
        <v>5707</v>
      </c>
    </row>
    <row r="4728" spans="1:27" ht="17.25">
      <c r="A4728" s="2715">
        <v>6606</v>
      </c>
      <c r="B4728" s="371">
        <v>65</v>
      </c>
      <c r="C4728" s="2716" t="str">
        <f>VLOOKUP($A4728,Sheet_Items,2,0)</f>
        <v>研发费用</v>
      </c>
      <c r="D4728" s="371"/>
      <c r="E4728" s="2716" t="s">
        <v>2739</v>
      </c>
      <c r="F4728" s="371"/>
      <c r="G4728" s="305" t="str">
        <f>B4728&amp;" "&amp;C4728</f>
        <v>65 研发费用</v>
      </c>
      <c r="H4728" s="306"/>
      <c r="I4728" s="306"/>
      <c r="J4728" s="306" t="s">
        <v>4206</v>
      </c>
      <c r="K4728" s="341">
        <f>VLOOKUP($A4728,Sheet_Trialbal,6,0)</f>
        <v>4398818.97</v>
      </c>
      <c r="L4728" s="342"/>
      <c r="M4728" s="306" t="s">
        <v>4207</v>
      </c>
      <c r="N4728" s="341">
        <f>VLOOKUP($A4728,Sheet_Trialbal,10,0)</f>
        <v>3908463.7</v>
      </c>
      <c r="O4728" s="342"/>
      <c r="P4728" s="301"/>
      <c r="S4728" s="364"/>
      <c r="Z4728" s="609" t="s">
        <v>4263</v>
      </c>
      <c r="AA4728" s="609" t="s">
        <v>5708</v>
      </c>
    </row>
    <row r="4729" spans="1:27" ht="18">
      <c r="A4729" s="2714" t="s">
        <v>1924</v>
      </c>
      <c r="B4729" s="371">
        <v>1</v>
      </c>
      <c r="C4729" s="371"/>
      <c r="D4729" s="2716" t="str">
        <f>VLOOKUP($A4729,Sheet_NoteList,2,0)</f>
        <v>研发费用明细项目</v>
      </c>
      <c r="E4729" s="2716" t="s">
        <v>2742</v>
      </c>
      <c r="F4729" s="371"/>
      <c r="G4729" s="372" t="str">
        <f>"("&amp;B4729&amp;")"&amp;D4729</f>
        <v>(1)研发费用明细项目</v>
      </c>
      <c r="H4729" s="1517" t="str">
        <f>$A4729</f>
        <v>6606a</v>
      </c>
      <c r="I4729" s="343" t="s">
        <v>2743</v>
      </c>
      <c r="J4729" s="301" t="s">
        <v>4210</v>
      </c>
      <c r="K4729" s="2210">
        <f>H4738</f>
        <v>4398818.97</v>
      </c>
      <c r="L4729" s="349" t="str">
        <f>IF($I4729="适用",IF(ROUND(K$4728-K4729,2)=0,"F/S",ROUND(K$4728-K4729,2)),"#N/A")</f>
        <v>F/S</v>
      </c>
      <c r="M4729" s="301" t="s">
        <v>4211</v>
      </c>
      <c r="N4729" s="2210">
        <f>I4738</f>
        <v>3908463.7</v>
      </c>
      <c r="O4729" s="349" t="str">
        <f>IF($I4729="适用",IF(ROUND(N$4728-N4729,2)=0,"F/S",ROUND(N$4728-N4729,2)),"#N/A")</f>
        <v>F/S</v>
      </c>
      <c r="P4729" s="301"/>
      <c r="S4729" s="364"/>
      <c r="Z4729" s="609" t="s">
        <v>4263</v>
      </c>
      <c r="AA4729" s="609" t="s">
        <v>5708</v>
      </c>
    </row>
    <row r="4730" spans="1:27" ht="0.75" customHeight="1" thickBot="1">
      <c r="A4730" s="2714"/>
      <c r="B4730" s="371"/>
      <c r="C4730" s="371"/>
      <c r="D4730" s="2716"/>
      <c r="E4730" s="586"/>
      <c r="F4730" s="586"/>
      <c r="G4730" s="2224" t="s">
        <v>4264</v>
      </c>
      <c r="H4730" s="371" t="s">
        <v>4223</v>
      </c>
      <c r="I4730" s="371" t="s">
        <v>4224</v>
      </c>
      <c r="J4730" s="301"/>
      <c r="K4730" s="391"/>
      <c r="L4730" s="349"/>
      <c r="M4730" s="301"/>
      <c r="N4730" s="391"/>
      <c r="O4730" s="349"/>
      <c r="P4730" s="301"/>
      <c r="S4730" s="364"/>
      <c r="Z4730" s="609" t="s">
        <v>4263</v>
      </c>
      <c r="AA4730" s="609" t="s">
        <v>5708</v>
      </c>
    </row>
    <row r="4731" spans="1:27" ht="18">
      <c r="A4731" s="2714"/>
      <c r="B4731" s="371"/>
      <c r="C4731" s="371"/>
      <c r="D4731" s="2716"/>
      <c r="E4731" s="586" t="s">
        <v>2749</v>
      </c>
      <c r="F4731" s="586"/>
      <c r="G4731" s="2567" t="s">
        <v>47</v>
      </c>
      <c r="H4731" s="2606" t="str">
        <f>$V$4</f>
        <v>2019年度</v>
      </c>
      <c r="I4731" s="2607" t="str">
        <f>$V$5</f>
        <v>2018年度</v>
      </c>
      <c r="J4731" s="355" t="s">
        <v>5330</v>
      </c>
      <c r="K4731" s="391"/>
      <c r="L4731" s="349"/>
      <c r="M4731" s="301"/>
      <c r="N4731" s="391"/>
      <c r="O4731" s="349"/>
      <c r="P4731" s="301"/>
      <c r="S4731" s="364"/>
      <c r="Z4731" s="609" t="s">
        <v>4263</v>
      </c>
      <c r="AA4731" s="609" t="s">
        <v>5708</v>
      </c>
    </row>
    <row r="4732" spans="1:27" ht="18">
      <c r="A4732" s="2714"/>
      <c r="B4732" s="371">
        <v>101</v>
      </c>
      <c r="C4732" s="371" t="s">
        <v>2791</v>
      </c>
      <c r="D4732" s="2716">
        <f t="shared" ref="D4732:D4738" si="526">IF(OR(G4732="*",G4732="",G4732=0),0,COUNTIF($G$4732:$G$4738,G4732))</f>
        <v>1</v>
      </c>
      <c r="E4732" s="2721">
        <v>1</v>
      </c>
      <c r="F4732" s="371"/>
      <c r="G4732" s="2568" t="s">
        <v>4265</v>
      </c>
      <c r="H4732" s="2275">
        <v>1967225.39</v>
      </c>
      <c r="I4732" s="2296">
        <v>1380911.38</v>
      </c>
      <c r="J4732" s="301"/>
      <c r="K4732" s="391"/>
      <c r="L4732" s="349"/>
      <c r="M4732" s="301"/>
      <c r="N4732" s="391"/>
      <c r="O4732" s="349"/>
      <c r="P4732" s="301"/>
      <c r="S4732" s="364"/>
      <c r="Z4732" s="609" t="s">
        <v>4263</v>
      </c>
      <c r="AA4732" s="609" t="s">
        <v>5708</v>
      </c>
    </row>
    <row r="4733" spans="1:27" ht="18">
      <c r="A4733" s="2714"/>
      <c r="B4733" s="371">
        <v>102</v>
      </c>
      <c r="C4733" s="371" t="s">
        <v>2791</v>
      </c>
      <c r="D4733" s="2716">
        <f t="shared" si="526"/>
        <v>1</v>
      </c>
      <c r="E4733" s="2721">
        <v>1</v>
      </c>
      <c r="F4733" s="371"/>
      <c r="G4733" s="2568" t="s">
        <v>4266</v>
      </c>
      <c r="H4733" s="2275">
        <v>2028701.87</v>
      </c>
      <c r="I4733" s="2296">
        <v>2288913.87</v>
      </c>
      <c r="J4733" s="301"/>
      <c r="K4733" s="391"/>
      <c r="L4733" s="349"/>
      <c r="M4733" s="301"/>
      <c r="N4733" s="391"/>
      <c r="O4733" s="349"/>
      <c r="P4733" s="301"/>
      <c r="S4733" s="364"/>
      <c r="Z4733" s="609" t="s">
        <v>4263</v>
      </c>
      <c r="AA4733" s="609" t="s">
        <v>5708</v>
      </c>
    </row>
    <row r="4734" spans="1:27" ht="18">
      <c r="A4734" s="2714"/>
      <c r="B4734" s="371">
        <v>103</v>
      </c>
      <c r="C4734" s="371" t="s">
        <v>2791</v>
      </c>
      <c r="D4734" s="2716">
        <f t="shared" si="526"/>
        <v>1</v>
      </c>
      <c r="E4734" s="2721">
        <v>1</v>
      </c>
      <c r="F4734" s="371"/>
      <c r="G4734" s="2568" t="s">
        <v>4267</v>
      </c>
      <c r="H4734" s="2275">
        <v>352472.3</v>
      </c>
      <c r="I4734" s="2296">
        <v>211972.99</v>
      </c>
      <c r="J4734" s="301"/>
      <c r="K4734" s="391"/>
      <c r="L4734" s="349"/>
      <c r="M4734" s="301"/>
      <c r="N4734" s="391"/>
      <c r="O4734" s="349"/>
      <c r="P4734" s="301"/>
      <c r="S4734" s="364"/>
      <c r="Z4734" s="609" t="s">
        <v>4263</v>
      </c>
      <c r="AA4734" s="609" t="s">
        <v>5708</v>
      </c>
    </row>
    <row r="4735" spans="1:27" ht="18">
      <c r="A4735" s="2714"/>
      <c r="B4735" s="371">
        <v>104</v>
      </c>
      <c r="C4735" s="371" t="s">
        <v>2791</v>
      </c>
      <c r="D4735" s="2716">
        <f t="shared" si="526"/>
        <v>1</v>
      </c>
      <c r="E4735" s="2721">
        <v>1</v>
      </c>
      <c r="F4735" s="371"/>
      <c r="G4735" s="2568" t="s">
        <v>4268</v>
      </c>
      <c r="H4735" s="2275"/>
      <c r="I4735" s="2296"/>
      <c r="J4735" s="301"/>
      <c r="K4735" s="391"/>
      <c r="L4735" s="349"/>
      <c r="M4735" s="301"/>
      <c r="N4735" s="391"/>
      <c r="O4735" s="349"/>
      <c r="P4735" s="301"/>
      <c r="S4735" s="364"/>
      <c r="Z4735" s="609" t="s">
        <v>4263</v>
      </c>
      <c r="AA4735" s="609" t="s">
        <v>5708</v>
      </c>
    </row>
    <row r="4736" spans="1:27" ht="18">
      <c r="A4736" s="2714"/>
      <c r="B4736" s="371">
        <v>105</v>
      </c>
      <c r="C4736" s="371" t="s">
        <v>2791</v>
      </c>
      <c r="D4736" s="2716">
        <f t="shared" si="526"/>
        <v>1</v>
      </c>
      <c r="E4736" s="2721">
        <v>1</v>
      </c>
      <c r="F4736" s="371"/>
      <c r="G4736" s="2568" t="s">
        <v>932</v>
      </c>
      <c r="H4736" s="2275">
        <v>50419.41</v>
      </c>
      <c r="I4736" s="2296">
        <v>26665.46</v>
      </c>
      <c r="J4736" s="301"/>
      <c r="K4736" s="391"/>
      <c r="L4736" s="349"/>
      <c r="M4736" s="301"/>
      <c r="N4736" s="391"/>
      <c r="O4736" s="349"/>
      <c r="P4736" s="301"/>
      <c r="S4736" s="364"/>
      <c r="Z4736" s="609" t="s">
        <v>4263</v>
      </c>
      <c r="AA4736" s="609" t="s">
        <v>5708</v>
      </c>
    </row>
    <row r="4737" spans="1:27" ht="18">
      <c r="A4737" s="2714"/>
      <c r="B4737" s="371">
        <v>106</v>
      </c>
      <c r="C4737" s="371" t="s">
        <v>2791</v>
      </c>
      <c r="D4737" s="2716">
        <f t="shared" si="526"/>
        <v>0</v>
      </c>
      <c r="E4737" s="2721">
        <v>1</v>
      </c>
      <c r="F4737" s="371"/>
      <c r="G4737" s="2568" t="s">
        <v>2792</v>
      </c>
      <c r="H4737" s="2275"/>
      <c r="I4737" s="2296"/>
      <c r="J4737" s="301"/>
      <c r="K4737" s="391"/>
      <c r="L4737" s="349"/>
      <c r="M4737" s="301"/>
      <c r="N4737" s="391"/>
      <c r="O4737" s="349"/>
      <c r="P4737" s="301"/>
      <c r="S4737" s="364"/>
      <c r="Z4737" s="609" t="s">
        <v>4263</v>
      </c>
      <c r="AA4737" s="609" t="s">
        <v>5708</v>
      </c>
    </row>
    <row r="4738" spans="1:27" ht="18.75" thickBot="1">
      <c r="A4738" s="2714"/>
      <c r="B4738" s="371"/>
      <c r="C4738" s="371"/>
      <c r="D4738" s="2716">
        <f t="shared" si="526"/>
        <v>1</v>
      </c>
      <c r="E4738" s="2721" t="s">
        <v>2751</v>
      </c>
      <c r="F4738" s="371"/>
      <c r="G4738" s="374" t="s">
        <v>2752</v>
      </c>
      <c r="H4738" s="1478">
        <f>SUMPRODUCT($E4731:$E4737,H4731:H4737)</f>
        <v>4398818.97</v>
      </c>
      <c r="I4738" s="1479">
        <f>SUMPRODUCT($E4731:$E4737,I4731:I4737)</f>
        <v>3908463.7</v>
      </c>
      <c r="J4738" s="301"/>
      <c r="K4738" s="391"/>
      <c r="L4738" s="349"/>
      <c r="M4738" s="301"/>
      <c r="N4738" s="391"/>
      <c r="O4738" s="349"/>
      <c r="P4738" s="301"/>
      <c r="S4738" s="364"/>
      <c r="Z4738" s="609" t="s">
        <v>4263</v>
      </c>
      <c r="AA4738" s="609" t="s">
        <v>5708</v>
      </c>
    </row>
    <row r="4739" spans="1:27" ht="18">
      <c r="A4739" s="2714"/>
      <c r="B4739" s="371"/>
      <c r="C4739" s="371" t="s">
        <v>2755</v>
      </c>
      <c r="D4739" s="2716"/>
      <c r="F4739" s="371"/>
      <c r="G4739" s="376"/>
      <c r="H4739" s="315"/>
      <c r="I4739" s="396"/>
      <c r="J4739" s="301"/>
      <c r="K4739" s="391"/>
      <c r="L4739" s="349"/>
      <c r="M4739" s="301"/>
      <c r="N4739" s="391"/>
      <c r="O4739" s="349"/>
      <c r="P4739" s="301"/>
      <c r="S4739" s="364"/>
      <c r="Z4739" s="609" t="s">
        <v>4263</v>
      </c>
      <c r="AA4739" s="609" t="s">
        <v>5708</v>
      </c>
    </row>
    <row r="4740" spans="1:27" ht="18">
      <c r="A4740" s="2714" t="s">
        <v>6169</v>
      </c>
      <c r="B4740" s="371">
        <v>2</v>
      </c>
      <c r="C4740" s="371"/>
      <c r="D4740" s="2716" t="str">
        <f>VLOOKUP($A4740,Sheet_NoteList,2,0)</f>
        <v>研发费用补充资料</v>
      </c>
      <c r="E4740" s="2716" t="s">
        <v>6531</v>
      </c>
      <c r="F4740" s="293"/>
      <c r="G4740" s="372" t="str">
        <f>"("&amp;B4740&amp;")"&amp;D4740</f>
        <v>(2)研发费用补充资料</v>
      </c>
      <c r="H4740" s="1517" t="str">
        <f>$A4740</f>
        <v>6606x</v>
      </c>
      <c r="I4740" s="343" t="s">
        <v>6171</v>
      </c>
      <c r="J4740" s="301" t="s">
        <v>6172</v>
      </c>
      <c r="K4740" s="2210">
        <f>H4751</f>
        <v>0</v>
      </c>
      <c r="L4740" s="349">
        <f>IF($I4740="适用",IF(ROUND(K$4728-K4740,2)=0,"F/S",ROUND(K$4728-K4740,2)),"#N/A")</f>
        <v>4398818.97</v>
      </c>
      <c r="M4740" s="301" t="s">
        <v>6173</v>
      </c>
      <c r="N4740" s="2210">
        <f>I4751</f>
        <v>0</v>
      </c>
      <c r="O4740" s="349">
        <f>IF($I4740="适用",IF(ROUND(N$4728-N4740,2)=0,"F/S",ROUND(N$4728-N4740,2)),"#N/A")</f>
        <v>3908463.7</v>
      </c>
      <c r="P4740" s="301"/>
      <c r="S4740" s="364"/>
      <c r="Z4740" s="609" t="s">
        <v>4263</v>
      </c>
      <c r="AA4740" s="609" t="s">
        <v>5708</v>
      </c>
    </row>
    <row r="4741" spans="1:27" ht="0.75" customHeight="1" thickBot="1">
      <c r="A4741" s="2714"/>
      <c r="B4741" s="371"/>
      <c r="C4741" s="371"/>
      <c r="D4741" s="2716"/>
      <c r="E4741" s="586"/>
      <c r="F4741" s="586"/>
      <c r="G4741" s="2224" t="s">
        <v>6174</v>
      </c>
      <c r="H4741" s="371" t="s">
        <v>4223</v>
      </c>
      <c r="I4741" s="371" t="s">
        <v>4224</v>
      </c>
      <c r="J4741" s="371" t="s">
        <v>6216</v>
      </c>
      <c r="K4741" s="391"/>
      <c r="L4741" s="349"/>
      <c r="M4741" s="301"/>
      <c r="N4741" s="391"/>
      <c r="O4741" s="349"/>
      <c r="P4741" s="301"/>
      <c r="S4741" s="364"/>
      <c r="Z4741" s="609" t="s">
        <v>4263</v>
      </c>
      <c r="AA4741" s="609" t="s">
        <v>5708</v>
      </c>
    </row>
    <row r="4742" spans="1:27" ht="18">
      <c r="A4742" s="2714"/>
      <c r="B4742" s="371"/>
      <c r="C4742" s="371"/>
      <c r="D4742" s="2716"/>
      <c r="E4742" s="586" t="s">
        <v>2749</v>
      </c>
      <c r="F4742" s="414"/>
      <c r="G4742" s="2583" t="s">
        <v>47</v>
      </c>
      <c r="H4742" s="2586" t="str">
        <f>$V$4</f>
        <v>2019年度</v>
      </c>
      <c r="I4742" s="2586" t="str">
        <f>$V$5</f>
        <v>2018年度</v>
      </c>
      <c r="J4742" s="2585" t="s">
        <v>6175</v>
      </c>
      <c r="K4742" s="355" t="s">
        <v>6141</v>
      </c>
      <c r="L4742" s="349"/>
      <c r="M4742" s="301"/>
      <c r="N4742" s="391"/>
      <c r="O4742" s="349"/>
      <c r="P4742" s="301"/>
      <c r="S4742" s="364"/>
      <c r="Z4742" s="609" t="s">
        <v>4263</v>
      </c>
      <c r="AA4742" s="609" t="s">
        <v>5708</v>
      </c>
    </row>
    <row r="4743" spans="1:27" ht="18">
      <c r="A4743" s="2714"/>
      <c r="B4743" s="371">
        <v>101</v>
      </c>
      <c r="C4743" s="371" t="s">
        <v>2791</v>
      </c>
      <c r="D4743" s="2716">
        <f t="shared" ref="D4743:D4751" si="527">IF(OR(G4743="*",G4743="",G4743=0),0,COUNTIF($G$4743:$G$4751,G4743))</f>
        <v>0</v>
      </c>
      <c r="E4743" s="2721">
        <v>1</v>
      </c>
      <c r="F4743" s="293"/>
      <c r="G4743" s="2589" t="s">
        <v>2792</v>
      </c>
      <c r="H4743" s="2275"/>
      <c r="I4743" s="2275"/>
      <c r="J4743" s="2276"/>
      <c r="K4743" s="391"/>
      <c r="L4743" s="349"/>
      <c r="M4743" s="301"/>
      <c r="N4743" s="391"/>
      <c r="O4743" s="349"/>
      <c r="P4743" s="301"/>
      <c r="S4743" s="364"/>
      <c r="Z4743" s="609" t="s">
        <v>4263</v>
      </c>
      <c r="AA4743" s="609" t="s">
        <v>5708</v>
      </c>
    </row>
    <row r="4744" spans="1:27" ht="18">
      <c r="A4744" s="2714"/>
      <c r="B4744" s="371">
        <v>102</v>
      </c>
      <c r="C4744" s="371" t="s">
        <v>2791</v>
      </c>
      <c r="D4744" s="2716">
        <f t="shared" si="527"/>
        <v>0</v>
      </c>
      <c r="E4744" s="2721">
        <v>1</v>
      </c>
      <c r="F4744" s="293"/>
      <c r="G4744" s="2589" t="s">
        <v>2792</v>
      </c>
      <c r="H4744" s="2275"/>
      <c r="I4744" s="2275"/>
      <c r="J4744" s="2276"/>
      <c r="K4744" s="391"/>
      <c r="L4744" s="349"/>
      <c r="M4744" s="301"/>
      <c r="N4744" s="391"/>
      <c r="O4744" s="349"/>
      <c r="P4744" s="301"/>
      <c r="S4744" s="364"/>
      <c r="Z4744" s="609" t="s">
        <v>4263</v>
      </c>
      <c r="AA4744" s="609" t="s">
        <v>5708</v>
      </c>
    </row>
    <row r="4745" spans="1:27" ht="18">
      <c r="A4745" s="2714"/>
      <c r="B4745" s="371">
        <v>103</v>
      </c>
      <c r="C4745" s="371" t="s">
        <v>2791</v>
      </c>
      <c r="D4745" s="2716">
        <f t="shared" si="527"/>
        <v>0</v>
      </c>
      <c r="E4745" s="2721">
        <v>1</v>
      </c>
      <c r="F4745" s="293"/>
      <c r="G4745" s="2589" t="s">
        <v>2792</v>
      </c>
      <c r="H4745" s="2275"/>
      <c r="I4745" s="2275"/>
      <c r="J4745" s="2276"/>
      <c r="K4745" s="391"/>
      <c r="L4745" s="349"/>
      <c r="M4745" s="301"/>
      <c r="N4745" s="391"/>
      <c r="O4745" s="349"/>
      <c r="P4745" s="301"/>
      <c r="S4745" s="364"/>
      <c r="Z4745" s="609" t="s">
        <v>4263</v>
      </c>
      <c r="AA4745" s="609" t="s">
        <v>5708</v>
      </c>
    </row>
    <row r="4746" spans="1:27" ht="18">
      <c r="A4746" s="2714"/>
      <c r="B4746" s="371">
        <v>104</v>
      </c>
      <c r="C4746" s="371" t="s">
        <v>2791</v>
      </c>
      <c r="D4746" s="2716">
        <f t="shared" si="527"/>
        <v>0</v>
      </c>
      <c r="E4746" s="2721">
        <v>1</v>
      </c>
      <c r="F4746" s="293"/>
      <c r="G4746" s="2589" t="s">
        <v>2792</v>
      </c>
      <c r="H4746" s="2275"/>
      <c r="I4746" s="2275"/>
      <c r="J4746" s="2276"/>
      <c r="K4746" s="391"/>
      <c r="L4746" s="349"/>
      <c r="M4746" s="301"/>
      <c r="N4746" s="391"/>
      <c r="O4746" s="349"/>
      <c r="P4746" s="301"/>
      <c r="S4746" s="364"/>
      <c r="Z4746" s="609" t="s">
        <v>4263</v>
      </c>
      <c r="AA4746" s="609" t="s">
        <v>5708</v>
      </c>
    </row>
    <row r="4747" spans="1:27" ht="18">
      <c r="A4747" s="2714"/>
      <c r="B4747" s="371">
        <v>105</v>
      </c>
      <c r="C4747" s="371" t="s">
        <v>2791</v>
      </c>
      <c r="D4747" s="2716">
        <f t="shared" si="527"/>
        <v>0</v>
      </c>
      <c r="E4747" s="2721">
        <v>1</v>
      </c>
      <c r="F4747" s="293"/>
      <c r="G4747" s="2589" t="s">
        <v>2792</v>
      </c>
      <c r="H4747" s="2275"/>
      <c r="I4747" s="2275"/>
      <c r="J4747" s="2276"/>
      <c r="K4747" s="391"/>
      <c r="L4747" s="349"/>
      <c r="M4747" s="301"/>
      <c r="N4747" s="391"/>
      <c r="O4747" s="349"/>
      <c r="P4747" s="301"/>
      <c r="S4747" s="364"/>
      <c r="Z4747" s="609" t="s">
        <v>4263</v>
      </c>
      <c r="AA4747" s="609" t="s">
        <v>5708</v>
      </c>
    </row>
    <row r="4748" spans="1:27" ht="18">
      <c r="A4748" s="2714"/>
      <c r="B4748" s="371">
        <v>106</v>
      </c>
      <c r="C4748" s="371" t="s">
        <v>2791</v>
      </c>
      <c r="D4748" s="2716">
        <f t="shared" si="527"/>
        <v>0</v>
      </c>
      <c r="E4748" s="2721">
        <v>1</v>
      </c>
      <c r="F4748" s="293"/>
      <c r="G4748" s="2589" t="s">
        <v>2792</v>
      </c>
      <c r="H4748" s="2275"/>
      <c r="I4748" s="2275"/>
      <c r="J4748" s="2276"/>
      <c r="K4748" s="391"/>
      <c r="L4748" s="349"/>
      <c r="M4748" s="301"/>
      <c r="N4748" s="391"/>
      <c r="O4748" s="349"/>
      <c r="P4748" s="301"/>
      <c r="S4748" s="364"/>
      <c r="Z4748" s="609" t="s">
        <v>4263</v>
      </c>
      <c r="AA4748" s="609" t="s">
        <v>5708</v>
      </c>
    </row>
    <row r="4749" spans="1:27" ht="18">
      <c r="A4749" s="2714"/>
      <c r="B4749" s="371">
        <v>107</v>
      </c>
      <c r="C4749" s="371" t="s">
        <v>2791</v>
      </c>
      <c r="D4749" s="2716">
        <f t="shared" si="527"/>
        <v>0</v>
      </c>
      <c r="E4749" s="2721">
        <v>1</v>
      </c>
      <c r="F4749" s="293"/>
      <c r="G4749" s="2589" t="s">
        <v>2792</v>
      </c>
      <c r="H4749" s="2275"/>
      <c r="I4749" s="2275"/>
      <c r="J4749" s="2276"/>
      <c r="K4749" s="391"/>
      <c r="L4749" s="349"/>
      <c r="M4749" s="301"/>
      <c r="N4749" s="391"/>
      <c r="O4749" s="349"/>
      <c r="P4749" s="301"/>
      <c r="S4749" s="364"/>
      <c r="Z4749" s="609" t="s">
        <v>4263</v>
      </c>
      <c r="AA4749" s="609" t="s">
        <v>5708</v>
      </c>
    </row>
    <row r="4750" spans="1:27" ht="18">
      <c r="A4750" s="2714"/>
      <c r="B4750" s="371">
        <v>108</v>
      </c>
      <c r="C4750" s="371" t="s">
        <v>2791</v>
      </c>
      <c r="D4750" s="2716">
        <f t="shared" si="527"/>
        <v>0</v>
      </c>
      <c r="E4750" s="2721">
        <v>1</v>
      </c>
      <c r="F4750" s="293"/>
      <c r="G4750" s="2589" t="s">
        <v>2792</v>
      </c>
      <c r="H4750" s="2275"/>
      <c r="I4750" s="2275"/>
      <c r="J4750" s="2276"/>
      <c r="K4750" s="391"/>
      <c r="L4750" s="349"/>
      <c r="M4750" s="301"/>
      <c r="N4750" s="391"/>
      <c r="O4750" s="349"/>
      <c r="P4750" s="301"/>
      <c r="S4750" s="364"/>
      <c r="Z4750" s="609" t="s">
        <v>4263</v>
      </c>
      <c r="AA4750" s="609" t="s">
        <v>5708</v>
      </c>
    </row>
    <row r="4751" spans="1:27" ht="18.75" thickBot="1">
      <c r="A4751" s="2714"/>
      <c r="B4751" s="371"/>
      <c r="C4751" s="371"/>
      <c r="D4751" s="2716">
        <f t="shared" si="527"/>
        <v>1</v>
      </c>
      <c r="E4751" s="2721" t="s">
        <v>2751</v>
      </c>
      <c r="F4751" s="293"/>
      <c r="G4751" s="1529" t="s">
        <v>2752</v>
      </c>
      <c r="H4751" s="1527">
        <f>SUMPRODUCT($E4742:$E4750,H4742:H4750)</f>
        <v>0</v>
      </c>
      <c r="I4751" s="1527">
        <f>SUMPRODUCT($E4742:$E4750,I4742:I4750)</f>
        <v>0</v>
      </c>
      <c r="J4751" s="2266"/>
      <c r="K4751" s="391"/>
      <c r="L4751" s="349"/>
      <c r="M4751" s="301"/>
      <c r="N4751" s="391"/>
      <c r="O4751" s="349"/>
      <c r="P4751" s="301"/>
      <c r="S4751" s="364"/>
      <c r="Z4751" s="609" t="s">
        <v>4263</v>
      </c>
      <c r="AA4751" s="609" t="s">
        <v>5708</v>
      </c>
    </row>
    <row r="4752" spans="1:27" ht="18">
      <c r="A4752" s="2714"/>
      <c r="B4752" s="371"/>
      <c r="C4752" s="371" t="s">
        <v>2755</v>
      </c>
      <c r="D4752" s="2716"/>
      <c r="F4752" s="293"/>
      <c r="G4752" s="376"/>
      <c r="H4752" s="1576"/>
      <c r="I4752" s="396"/>
      <c r="J4752" s="393"/>
      <c r="K4752" s="391"/>
      <c r="L4752" s="349"/>
      <c r="M4752" s="301"/>
      <c r="N4752" s="391"/>
      <c r="O4752" s="349"/>
      <c r="P4752" s="301"/>
      <c r="S4752" s="364"/>
      <c r="Z4752" s="609" t="s">
        <v>4263</v>
      </c>
      <c r="AA4752" s="609" t="s">
        <v>5708</v>
      </c>
    </row>
    <row r="4753" spans="1:27" ht="18">
      <c r="A4753" s="2714">
        <v>6603</v>
      </c>
      <c r="B4753" s="371">
        <v>66</v>
      </c>
      <c r="C4753" s="2716" t="str">
        <f>VLOOKUP($A4753,Sheet_Items,2,0)</f>
        <v>财务费用</v>
      </c>
      <c r="D4753" s="371"/>
      <c r="E4753" s="2716" t="s">
        <v>2739</v>
      </c>
      <c r="F4753" s="294"/>
      <c r="G4753" s="305" t="str">
        <f>B4753&amp;" "&amp;C4753</f>
        <v>66 财务费用</v>
      </c>
      <c r="H4753" s="306"/>
      <c r="I4753" s="306"/>
      <c r="J4753" s="306" t="s">
        <v>4206</v>
      </c>
      <c r="K4753" s="341">
        <f>VLOOKUP($A4753,Sheet_Trialbal,6,0)</f>
        <v>47156.11</v>
      </c>
      <c r="L4753" s="342"/>
      <c r="M4753" s="306" t="s">
        <v>4207</v>
      </c>
      <c r="N4753" s="341">
        <f>VLOOKUP($A4753,Sheet_Trialbal,10,0)</f>
        <v>353161.16</v>
      </c>
      <c r="O4753" s="306"/>
      <c r="P4753" s="301"/>
      <c r="S4753" s="364"/>
      <c r="Z4753" s="609" t="s">
        <v>4269</v>
      </c>
      <c r="AA4753" s="609" t="s">
        <v>5709</v>
      </c>
    </row>
    <row r="4754" spans="1:27" ht="18">
      <c r="A4754" s="2714" t="s">
        <v>1919</v>
      </c>
      <c r="B4754" s="371">
        <v>1</v>
      </c>
      <c r="C4754" s="371"/>
      <c r="D4754" s="2716" t="str">
        <f>VLOOKUP($A4754,Sheet_NoteList,2,0)</f>
        <v>财务费用明细项目</v>
      </c>
      <c r="E4754" s="2716" t="s">
        <v>2742</v>
      </c>
      <c r="F4754" s="294"/>
      <c r="G4754" s="307" t="str">
        <f>"("&amp;B4754&amp;")"&amp;D4754</f>
        <v>(1)财务费用明细项目</v>
      </c>
      <c r="H4754" s="1517" t="str">
        <f>$A4754</f>
        <v>6603a</v>
      </c>
      <c r="I4754" s="343" t="s">
        <v>2743</v>
      </c>
      <c r="J4754" s="301" t="s">
        <v>4256</v>
      </c>
      <c r="K4754" s="2210">
        <f>H4767</f>
        <v>47156.11</v>
      </c>
      <c r="L4754" s="1535">
        <f>IF($I4754="适用",IF(ROUND(K4753-K4754,2)&gt;=0,IF(K4753&lt;&gt;0,K4754/K4753,""),"#Logical!"),"#N/A")</f>
        <v>1</v>
      </c>
      <c r="M4754" s="301" t="s">
        <v>4257</v>
      </c>
      <c r="N4754" s="2210">
        <f>I4767</f>
        <v>353161.16</v>
      </c>
      <c r="O4754" s="1535">
        <f>IF($I4754="适用",IF(ROUND(N4753-N4754,2)&gt;=0,IF(N4753&lt;&gt;0,N4754/N4753,""),"#Logical!"),"#N/A")</f>
        <v>1</v>
      </c>
      <c r="P4754" s="301"/>
      <c r="Q4754" s="290" t="str">
        <f>IF($I4754="不适用","",IF(ROUND(SUM($H$4757:$I$4767),2)=0,"请输入",""))</f>
        <v/>
      </c>
      <c r="S4754" s="364"/>
      <c r="Z4754" s="609" t="s">
        <v>4269</v>
      </c>
      <c r="AA4754" s="609" t="s">
        <v>5709</v>
      </c>
    </row>
    <row r="4755" spans="1:27" ht="0.75" customHeight="1" thickBot="1">
      <c r="A4755" s="2714"/>
      <c r="B4755" s="371"/>
      <c r="C4755" s="371"/>
      <c r="D4755" s="371"/>
      <c r="F4755" s="371"/>
      <c r="G4755" s="371" t="s">
        <v>4270</v>
      </c>
      <c r="H4755" s="371" t="s">
        <v>4223</v>
      </c>
      <c r="I4755" s="371" t="s">
        <v>4224</v>
      </c>
      <c r="J4755" s="291"/>
      <c r="K4755" s="291"/>
      <c r="L4755" s="291"/>
      <c r="M4755" s="291"/>
      <c r="S4755" s="364"/>
      <c r="Z4755" s="609" t="s">
        <v>4269</v>
      </c>
      <c r="AA4755" s="609" t="s">
        <v>5709</v>
      </c>
    </row>
    <row r="4756" spans="1:27" ht="18">
      <c r="A4756" s="2714"/>
      <c r="B4756" s="371"/>
      <c r="C4756" s="371"/>
      <c r="D4756" s="371"/>
      <c r="E4756" s="2716" t="s">
        <v>2749</v>
      </c>
      <c r="F4756" s="294"/>
      <c r="G4756" s="378" t="s">
        <v>47</v>
      </c>
      <c r="H4756" s="398" t="str">
        <f>$V$4</f>
        <v>2019年度</v>
      </c>
      <c r="I4756" s="511" t="str">
        <f>$V$5</f>
        <v>2018年度</v>
      </c>
      <c r="J4756" s="355" t="s">
        <v>5331</v>
      </c>
      <c r="K4756" s="291"/>
      <c r="L4756" s="291"/>
      <c r="M4756" s="291"/>
      <c r="S4756" s="364"/>
      <c r="Z4756" s="609" t="s">
        <v>4269</v>
      </c>
      <c r="AA4756" s="609" t="s">
        <v>5709</v>
      </c>
    </row>
    <row r="4757" spans="1:27" ht="18">
      <c r="A4757" s="2714"/>
      <c r="B4757" s="371">
        <v>101</v>
      </c>
      <c r="C4757" s="371" t="s">
        <v>2791</v>
      </c>
      <c r="D4757" s="2716">
        <f t="shared" ref="D4757:D4767" si="528">IF(OR(G4757="*",G4757="",G4757=0),0,COUNTIF($G$4757:$G$4767,G4757))</f>
        <v>1</v>
      </c>
      <c r="E4757" s="2721">
        <v>0</v>
      </c>
      <c r="F4757" s="294"/>
      <c r="G4757" s="2612" t="s">
        <v>771</v>
      </c>
      <c r="H4757" s="383">
        <v>41179.21</v>
      </c>
      <c r="I4757" s="401">
        <v>342900.23</v>
      </c>
      <c r="J4757" s="291"/>
      <c r="K4757" s="291"/>
      <c r="L4757" s="291"/>
      <c r="M4757" s="291"/>
      <c r="S4757" s="364"/>
      <c r="Z4757" s="609" t="s">
        <v>4269</v>
      </c>
      <c r="AA4757" s="609" t="s">
        <v>5709</v>
      </c>
    </row>
    <row r="4758" spans="1:27" ht="18">
      <c r="A4758" s="2714"/>
      <c r="B4758" s="371">
        <v>102</v>
      </c>
      <c r="C4758" s="371" t="s">
        <v>2791</v>
      </c>
      <c r="D4758" s="2716">
        <f t="shared" si="528"/>
        <v>1</v>
      </c>
      <c r="E4758" s="2721">
        <v>0</v>
      </c>
      <c r="F4758" s="294"/>
      <c r="G4758" s="384" t="s">
        <v>4271</v>
      </c>
      <c r="H4758" s="383">
        <v>745.38</v>
      </c>
      <c r="I4758" s="401">
        <v>881.95</v>
      </c>
      <c r="J4758" s="291"/>
      <c r="K4758" s="291"/>
      <c r="L4758" s="291"/>
      <c r="M4758" s="291"/>
      <c r="S4758" s="364"/>
      <c r="Z4758" s="609" t="s">
        <v>4269</v>
      </c>
      <c r="AA4758" s="609" t="s">
        <v>5709</v>
      </c>
    </row>
    <row r="4759" spans="1:27" ht="18">
      <c r="A4759" s="2714"/>
      <c r="B4759" s="371">
        <v>103</v>
      </c>
      <c r="C4759" s="371" t="s">
        <v>2791</v>
      </c>
      <c r="D4759" s="2716">
        <f t="shared" si="528"/>
        <v>1</v>
      </c>
      <c r="E4759" s="2721">
        <v>1</v>
      </c>
      <c r="F4759" s="294"/>
      <c r="G4759" s="2612" t="s">
        <v>4272</v>
      </c>
      <c r="H4759" s="383">
        <f>H4757-H4758</f>
        <v>40433.83</v>
      </c>
      <c r="I4759" s="401">
        <f>I4757-I4758</f>
        <v>342018.28</v>
      </c>
      <c r="J4759" s="291"/>
      <c r="K4759" s="291"/>
      <c r="L4759" s="291"/>
      <c r="M4759" s="291"/>
      <c r="S4759" s="364"/>
      <c r="Z4759" s="609" t="s">
        <v>4269</v>
      </c>
      <c r="AA4759" s="609" t="s">
        <v>5709</v>
      </c>
    </row>
    <row r="4760" spans="1:27" ht="18">
      <c r="A4760" s="2714"/>
      <c r="B4760" s="371">
        <v>104</v>
      </c>
      <c r="C4760" s="371" t="s">
        <v>2791</v>
      </c>
      <c r="D4760" s="2716">
        <f t="shared" si="528"/>
        <v>1</v>
      </c>
      <c r="E4760" s="2721">
        <v>0</v>
      </c>
      <c r="F4760" s="294"/>
      <c r="G4760" s="2612" t="s">
        <v>4273</v>
      </c>
      <c r="H4760" s="383"/>
      <c r="I4760" s="401"/>
      <c r="J4760" s="291"/>
      <c r="K4760" s="291"/>
      <c r="L4760" s="291"/>
      <c r="M4760" s="291"/>
      <c r="S4760" s="364"/>
      <c r="Z4760" s="609" t="s">
        <v>4269</v>
      </c>
      <c r="AA4760" s="609" t="s">
        <v>5709</v>
      </c>
    </row>
    <row r="4761" spans="1:27" ht="18">
      <c r="A4761" s="2714"/>
      <c r="B4761" s="371">
        <v>105</v>
      </c>
      <c r="C4761" s="371" t="s">
        <v>2791</v>
      </c>
      <c r="D4761" s="2716">
        <f t="shared" si="528"/>
        <v>1</v>
      </c>
      <c r="E4761" s="2721">
        <v>0</v>
      </c>
      <c r="F4761" s="294"/>
      <c r="G4761" s="384" t="s">
        <v>4274</v>
      </c>
      <c r="H4761" s="383"/>
      <c r="I4761" s="401"/>
      <c r="J4761" s="291"/>
      <c r="K4761" s="291"/>
      <c r="L4761" s="291"/>
      <c r="M4761" s="291"/>
      <c r="S4761" s="364"/>
      <c r="Z4761" s="609" t="s">
        <v>4269</v>
      </c>
      <c r="AA4761" s="609" t="s">
        <v>5709</v>
      </c>
    </row>
    <row r="4762" spans="1:27" ht="18">
      <c r="A4762" s="2714"/>
      <c r="B4762" s="371">
        <v>106</v>
      </c>
      <c r="C4762" s="371" t="s">
        <v>2791</v>
      </c>
      <c r="D4762" s="2716">
        <f t="shared" si="528"/>
        <v>1</v>
      </c>
      <c r="E4762" s="2721">
        <v>1</v>
      </c>
      <c r="F4762" s="294"/>
      <c r="G4762" s="2612" t="s">
        <v>4275</v>
      </c>
      <c r="H4762" s="383">
        <f>H4760-H4761</f>
        <v>0</v>
      </c>
      <c r="I4762" s="401">
        <f>I4760-I4761</f>
        <v>0</v>
      </c>
      <c r="J4762" s="291"/>
      <c r="K4762" s="291"/>
      <c r="L4762" s="291"/>
      <c r="M4762" s="291"/>
      <c r="S4762" s="364"/>
      <c r="Z4762" s="609" t="s">
        <v>4269</v>
      </c>
      <c r="AA4762" s="609" t="s">
        <v>5709</v>
      </c>
    </row>
    <row r="4763" spans="1:27" ht="18">
      <c r="A4763" s="2714"/>
      <c r="B4763" s="371">
        <v>107</v>
      </c>
      <c r="C4763" s="371" t="s">
        <v>2791</v>
      </c>
      <c r="D4763" s="2716">
        <f t="shared" si="528"/>
        <v>1</v>
      </c>
      <c r="E4763" s="2721">
        <v>1</v>
      </c>
      <c r="F4763" s="294"/>
      <c r="G4763" s="409" t="s">
        <v>4276</v>
      </c>
      <c r="H4763" s="383">
        <v>6722.28</v>
      </c>
      <c r="I4763" s="401">
        <v>11142.88</v>
      </c>
      <c r="J4763" s="291"/>
      <c r="K4763" s="291"/>
      <c r="L4763" s="291"/>
      <c r="M4763" s="291"/>
      <c r="S4763" s="364"/>
      <c r="Z4763" s="609" t="s">
        <v>4269</v>
      </c>
      <c r="AA4763" s="609" t="s">
        <v>5709</v>
      </c>
    </row>
    <row r="4764" spans="1:27" ht="18">
      <c r="A4764" s="2714"/>
      <c r="B4764" s="371">
        <v>108</v>
      </c>
      <c r="C4764" s="371" t="s">
        <v>2791</v>
      </c>
      <c r="D4764" s="2716">
        <f t="shared" si="528"/>
        <v>0</v>
      </c>
      <c r="E4764" s="2721">
        <v>1</v>
      </c>
      <c r="F4764" s="294"/>
      <c r="G4764" s="409" t="s">
        <v>2792</v>
      </c>
      <c r="H4764" s="383"/>
      <c r="I4764" s="401"/>
      <c r="J4764" s="291"/>
      <c r="K4764" s="291"/>
      <c r="L4764" s="291"/>
      <c r="M4764" s="291"/>
      <c r="S4764" s="364"/>
      <c r="Z4764" s="609" t="s">
        <v>4269</v>
      </c>
      <c r="AA4764" s="609" t="s">
        <v>5709</v>
      </c>
    </row>
    <row r="4765" spans="1:27" ht="18">
      <c r="A4765" s="2714"/>
      <c r="B4765" s="371">
        <v>109</v>
      </c>
      <c r="C4765" s="371" t="s">
        <v>6532</v>
      </c>
      <c r="D4765" s="2716">
        <f t="shared" si="528"/>
        <v>0</v>
      </c>
      <c r="E4765" s="2721">
        <v>1</v>
      </c>
      <c r="F4765" s="294"/>
      <c r="G4765" s="409" t="s">
        <v>2792</v>
      </c>
      <c r="H4765" s="383"/>
      <c r="I4765" s="401"/>
      <c r="J4765" s="291"/>
      <c r="K4765" s="291"/>
      <c r="L4765" s="291"/>
      <c r="M4765" s="291"/>
      <c r="S4765" s="364"/>
      <c r="Z4765" s="609" t="s">
        <v>4269</v>
      </c>
      <c r="AA4765" s="609" t="s">
        <v>5709</v>
      </c>
    </row>
    <row r="4766" spans="1:27" ht="18">
      <c r="A4766" s="2714"/>
      <c r="B4766" s="371">
        <v>110</v>
      </c>
      <c r="C4766" s="371" t="s">
        <v>2791</v>
      </c>
      <c r="D4766" s="2716">
        <f t="shared" si="528"/>
        <v>1</v>
      </c>
      <c r="E4766" s="2721">
        <v>1</v>
      </c>
      <c r="F4766" s="294"/>
      <c r="G4766" s="409" t="s">
        <v>932</v>
      </c>
      <c r="H4766" s="383"/>
      <c r="I4766" s="401"/>
      <c r="J4766" s="291"/>
      <c r="K4766" s="291"/>
      <c r="L4766" s="291"/>
      <c r="M4766" s="291"/>
      <c r="S4766" s="364"/>
      <c r="Z4766" s="609" t="s">
        <v>4269</v>
      </c>
      <c r="AA4766" s="609" t="s">
        <v>5709</v>
      </c>
    </row>
    <row r="4767" spans="1:27" ht="18.75" thickBot="1">
      <c r="A4767" s="2714"/>
      <c r="B4767" s="371"/>
      <c r="C4767" s="371"/>
      <c r="D4767" s="2716">
        <f t="shared" si="528"/>
        <v>1</v>
      </c>
      <c r="E4767" s="2721" t="s">
        <v>2751</v>
      </c>
      <c r="F4767" s="294"/>
      <c r="G4767" s="403" t="s">
        <v>2752</v>
      </c>
      <c r="H4767" s="1498">
        <f>SUMPRODUCT($E4756:$E4766,H4756:H4766)</f>
        <v>47156.11</v>
      </c>
      <c r="I4767" s="1499">
        <f>SUMPRODUCT($E4756:$E4766,I4756:I4766)</f>
        <v>353161.16</v>
      </c>
      <c r="J4767" s="291"/>
      <c r="K4767" s="291"/>
      <c r="L4767" s="291"/>
      <c r="M4767" s="291"/>
      <c r="S4767" s="364"/>
      <c r="Z4767" s="609" t="s">
        <v>4269</v>
      </c>
      <c r="AA4767" s="609" t="s">
        <v>5709</v>
      </c>
    </row>
    <row r="4768" spans="1:27" ht="18">
      <c r="A4768" s="2714"/>
      <c r="B4768" s="371"/>
      <c r="C4768" s="371" t="s">
        <v>2755</v>
      </c>
      <c r="D4768" s="371"/>
      <c r="F4768" s="294"/>
      <c r="G4768" s="301"/>
      <c r="H4768" s="349"/>
      <c r="I4768" s="349"/>
      <c r="J4768" s="291"/>
      <c r="K4768" s="291"/>
      <c r="L4768" s="291"/>
      <c r="M4768" s="291"/>
      <c r="S4768" s="364"/>
      <c r="Z4768" s="609" t="s">
        <v>4269</v>
      </c>
      <c r="AA4768" s="609" t="s">
        <v>5709</v>
      </c>
    </row>
    <row r="4769" spans="1:29" ht="18">
      <c r="A4769" s="2714" t="s">
        <v>1922</v>
      </c>
      <c r="B4769" s="371">
        <v>2</v>
      </c>
      <c r="C4769" s="371"/>
      <c r="D4769" s="2716" t="str">
        <f>VLOOKUP($A4769,Sheet_NoteList,2,0)</f>
        <v>财务费用补充资料</v>
      </c>
      <c r="E4769" s="2716" t="s">
        <v>6531</v>
      </c>
      <c r="F4769" s="294"/>
      <c r="G4769" s="307" t="str">
        <f>"("&amp;B4769&amp;")"&amp;D4769</f>
        <v>(2)财务费用补充资料</v>
      </c>
      <c r="H4769" s="1517" t="str">
        <f>$A4769</f>
        <v>6603x</v>
      </c>
      <c r="I4769" s="343" t="s">
        <v>5974</v>
      </c>
      <c r="J4769" s="301" t="s">
        <v>5988</v>
      </c>
      <c r="K4769" s="2210">
        <f>H4777</f>
        <v>0</v>
      </c>
      <c r="L4769" s="1535"/>
      <c r="M4769" s="301" t="s">
        <v>5989</v>
      </c>
      <c r="N4769" s="2210">
        <f>I4777</f>
        <v>0</v>
      </c>
      <c r="O4769" s="1535"/>
      <c r="P4769" s="301"/>
      <c r="S4769" s="364"/>
      <c r="Z4769" s="609" t="s">
        <v>4269</v>
      </c>
      <c r="AA4769" s="609" t="s">
        <v>5709</v>
      </c>
    </row>
    <row r="4770" spans="1:29" ht="0.75" customHeight="1" thickBot="1">
      <c r="A4770" s="2714"/>
      <c r="B4770" s="371"/>
      <c r="C4770" s="371"/>
      <c r="D4770" s="371"/>
      <c r="E4770" s="586"/>
      <c r="F4770" s="586"/>
      <c r="G4770" s="586" t="s">
        <v>4277</v>
      </c>
      <c r="H4770" s="371" t="s">
        <v>4223</v>
      </c>
      <c r="I4770" s="371" t="s">
        <v>4224</v>
      </c>
      <c r="J4770" s="291"/>
      <c r="K4770" s="291"/>
      <c r="L4770" s="291"/>
      <c r="M4770" s="291"/>
      <c r="S4770" s="364"/>
      <c r="Z4770" s="609" t="s">
        <v>4269</v>
      </c>
      <c r="AA4770" s="609" t="s">
        <v>5709</v>
      </c>
    </row>
    <row r="4771" spans="1:29" ht="18">
      <c r="A4771" s="2714"/>
      <c r="B4771" s="371"/>
      <c r="C4771" s="371"/>
      <c r="D4771" s="371"/>
      <c r="E4771" s="586" t="s">
        <v>2749</v>
      </c>
      <c r="F4771" s="363"/>
      <c r="G4771" s="2451" t="s">
        <v>47</v>
      </c>
      <c r="H4771" s="2447" t="str">
        <f>$V$4</f>
        <v>2019年度</v>
      </c>
      <c r="I4771" s="2446" t="str">
        <f>$V$5</f>
        <v>2018年度</v>
      </c>
      <c r="J4771" s="355" t="s">
        <v>6141</v>
      </c>
      <c r="K4771" s="291"/>
      <c r="L4771" s="291"/>
      <c r="M4771" s="291"/>
      <c r="S4771" s="364"/>
      <c r="Z4771" s="609" t="s">
        <v>4269</v>
      </c>
      <c r="AA4771" s="609" t="s">
        <v>5709</v>
      </c>
    </row>
    <row r="4772" spans="1:29" ht="18">
      <c r="A4772" s="2714"/>
      <c r="B4772" s="371">
        <v>101</v>
      </c>
      <c r="C4772" s="371" t="s">
        <v>2791</v>
      </c>
      <c r="D4772" s="2716">
        <f t="shared" ref="D4772:D4777" si="529">IF(OR(G4772="*",G4772="",G4772=0),0,COUNTIF($G$4772:$G$4777,G4772))</f>
        <v>0</v>
      </c>
      <c r="E4772" s="2721">
        <v>1</v>
      </c>
      <c r="F4772" s="294"/>
      <c r="G4772" s="2448" t="s">
        <v>2792</v>
      </c>
      <c r="H4772" s="2275"/>
      <c r="I4772" s="2296"/>
      <c r="J4772" s="579"/>
      <c r="K4772" s="291"/>
      <c r="L4772" s="291"/>
      <c r="M4772" s="291"/>
      <c r="S4772" s="364"/>
      <c r="Z4772" s="609" t="s">
        <v>4269</v>
      </c>
      <c r="AA4772" s="609" t="s">
        <v>5709</v>
      </c>
    </row>
    <row r="4773" spans="1:29" ht="18">
      <c r="A4773" s="2714"/>
      <c r="B4773" s="371">
        <v>102</v>
      </c>
      <c r="C4773" s="371" t="s">
        <v>2791</v>
      </c>
      <c r="D4773" s="2716">
        <f t="shared" si="529"/>
        <v>0</v>
      </c>
      <c r="E4773" s="2721">
        <v>1</v>
      </c>
      <c r="F4773" s="294"/>
      <c r="G4773" s="2448" t="s">
        <v>2792</v>
      </c>
      <c r="H4773" s="2275"/>
      <c r="I4773" s="2296"/>
      <c r="J4773" s="291"/>
      <c r="K4773" s="291"/>
      <c r="L4773" s="291"/>
      <c r="M4773" s="291"/>
      <c r="S4773" s="364"/>
      <c r="Z4773" s="609" t="s">
        <v>4269</v>
      </c>
      <c r="AA4773" s="609" t="s">
        <v>5709</v>
      </c>
    </row>
    <row r="4774" spans="1:29" ht="18">
      <c r="A4774" s="2714"/>
      <c r="B4774" s="371">
        <v>103</v>
      </c>
      <c r="C4774" s="371" t="s">
        <v>2791</v>
      </c>
      <c r="D4774" s="2716">
        <f t="shared" si="529"/>
        <v>0</v>
      </c>
      <c r="E4774" s="2721">
        <v>1</v>
      </c>
      <c r="F4774" s="294"/>
      <c r="G4774" s="2448" t="s">
        <v>2792</v>
      </c>
      <c r="H4774" s="2275"/>
      <c r="I4774" s="2296"/>
      <c r="J4774" s="291"/>
      <c r="K4774" s="291"/>
      <c r="L4774" s="291"/>
      <c r="M4774" s="291"/>
      <c r="S4774" s="364"/>
      <c r="Z4774" s="609" t="s">
        <v>4269</v>
      </c>
      <c r="AA4774" s="609" t="s">
        <v>5709</v>
      </c>
    </row>
    <row r="4775" spans="1:29" ht="18">
      <c r="A4775" s="2714"/>
      <c r="B4775" s="371">
        <v>104</v>
      </c>
      <c r="C4775" s="371" t="s">
        <v>2791</v>
      </c>
      <c r="D4775" s="2716">
        <f t="shared" si="529"/>
        <v>0</v>
      </c>
      <c r="E4775" s="2721">
        <v>1</v>
      </c>
      <c r="F4775" s="294"/>
      <c r="G4775" s="2448" t="s">
        <v>2792</v>
      </c>
      <c r="H4775" s="2275"/>
      <c r="I4775" s="2296"/>
      <c r="J4775" s="291"/>
      <c r="K4775" s="291"/>
      <c r="L4775" s="291"/>
      <c r="M4775" s="291"/>
      <c r="S4775" s="364"/>
      <c r="Z4775" s="609" t="s">
        <v>4269</v>
      </c>
      <c r="AA4775" s="609" t="s">
        <v>5709</v>
      </c>
    </row>
    <row r="4776" spans="1:29" ht="18">
      <c r="A4776" s="2714"/>
      <c r="B4776" s="371">
        <v>105</v>
      </c>
      <c r="C4776" s="371" t="s">
        <v>2791</v>
      </c>
      <c r="D4776" s="2716">
        <f t="shared" si="529"/>
        <v>0</v>
      </c>
      <c r="E4776" s="2721">
        <v>1</v>
      </c>
      <c r="F4776" s="294"/>
      <c r="G4776" s="2448" t="s">
        <v>2792</v>
      </c>
      <c r="H4776" s="2275"/>
      <c r="I4776" s="2296"/>
      <c r="J4776" s="291"/>
      <c r="K4776" s="291"/>
      <c r="L4776" s="291"/>
      <c r="M4776" s="291"/>
      <c r="S4776" s="364"/>
      <c r="Z4776" s="609" t="s">
        <v>4269</v>
      </c>
      <c r="AA4776" s="609" t="s">
        <v>5709</v>
      </c>
    </row>
    <row r="4777" spans="1:29" ht="18.75" thickBot="1">
      <c r="A4777" s="2714"/>
      <c r="B4777" s="371"/>
      <c r="C4777" s="371"/>
      <c r="D4777" s="2716">
        <f t="shared" si="529"/>
        <v>1</v>
      </c>
      <c r="E4777" s="2721" t="s">
        <v>2751</v>
      </c>
      <c r="F4777" s="294"/>
      <c r="G4777" s="1529" t="s">
        <v>2752</v>
      </c>
      <c r="H4777" s="1527">
        <f>SUMPRODUCT($E4771:$E4776,H4771:H4776)</f>
        <v>0</v>
      </c>
      <c r="I4777" s="1528">
        <f>SUMPRODUCT($E4771:$E4776,I4771:I4776)</f>
        <v>0</v>
      </c>
      <c r="J4777" s="291"/>
      <c r="K4777" s="291"/>
      <c r="L4777" s="291"/>
      <c r="M4777" s="291"/>
      <c r="S4777" s="364"/>
      <c r="Z4777" s="609" t="s">
        <v>4269</v>
      </c>
      <c r="AA4777" s="609" t="s">
        <v>5709</v>
      </c>
    </row>
    <row r="4778" spans="1:29" ht="18">
      <c r="A4778" s="2714"/>
      <c r="B4778" s="371"/>
      <c r="C4778" s="371" t="s">
        <v>2755</v>
      </c>
      <c r="D4778" s="371"/>
      <c r="F4778" s="294"/>
      <c r="G4778" s="301"/>
      <c r="H4778" s="315"/>
      <c r="I4778" s="315"/>
      <c r="J4778" s="291"/>
      <c r="K4778" s="291"/>
      <c r="L4778" s="291"/>
      <c r="M4778" s="291"/>
      <c r="S4778" s="364"/>
      <c r="Z4778" s="609" t="s">
        <v>4269</v>
      </c>
      <c r="AA4778" s="609" t="s">
        <v>5709</v>
      </c>
    </row>
    <row r="4779" spans="1:29" ht="17.25">
      <c r="A4779" s="2715">
        <v>6181</v>
      </c>
      <c r="B4779" s="371">
        <v>67</v>
      </c>
      <c r="C4779" s="2716" t="str">
        <f>VLOOKUP($A4779,Sheet_Items,2,0)</f>
        <v>其他收益</v>
      </c>
      <c r="D4779" s="371"/>
      <c r="E4779" s="2716" t="s">
        <v>2739</v>
      </c>
      <c r="F4779" s="371"/>
      <c r="G4779" s="305" t="str">
        <f>B4779&amp;" "&amp;C4779</f>
        <v>67 其他收益</v>
      </c>
      <c r="H4779" s="306"/>
      <c r="I4779" s="306"/>
      <c r="J4779" s="306" t="s">
        <v>4206</v>
      </c>
      <c r="K4779" s="341">
        <f>VLOOKUP($A4779,Sheet_Trialbal,6,0)</f>
        <v>715900</v>
      </c>
      <c r="L4779" s="342"/>
      <c r="M4779" s="306" t="s">
        <v>4207</v>
      </c>
      <c r="N4779" s="341">
        <f>VLOOKUP($A4779,Sheet_Trialbal,10,0)</f>
        <v>80500</v>
      </c>
      <c r="O4779" s="342"/>
      <c r="P4779" s="301"/>
      <c r="S4779" s="364"/>
      <c r="Z4779" s="609" t="s">
        <v>4278</v>
      </c>
      <c r="AA4779" s="609" t="s">
        <v>5710</v>
      </c>
    </row>
    <row r="4780" spans="1:29" ht="18">
      <c r="A4780" s="2714" t="s">
        <v>1891</v>
      </c>
      <c r="B4780" s="371">
        <v>1</v>
      </c>
      <c r="C4780" s="371"/>
      <c r="D4780" s="2716" t="str">
        <f>VLOOKUP($A4780,Sheet_NoteList,2,0)</f>
        <v>其他收益明细项目</v>
      </c>
      <c r="E4780" s="2716" t="s">
        <v>2742</v>
      </c>
      <c r="F4780" s="371"/>
      <c r="G4780" s="372" t="str">
        <f>"("&amp;B4780&amp;")"&amp;D4780</f>
        <v>(1)其他收益明细项目</v>
      </c>
      <c r="H4780" s="1517" t="str">
        <f>$A4780</f>
        <v>6181a</v>
      </c>
      <c r="I4780" s="343" t="s">
        <v>2743</v>
      </c>
      <c r="J4780" s="301" t="s">
        <v>4210</v>
      </c>
      <c r="K4780" s="2210">
        <f>H4798</f>
        <v>715900</v>
      </c>
      <c r="L4780" s="349" t="str">
        <f>IF($I4780="适用",IF(ROUND(K$4779-K4780,2)=0,"F/S",ROUND(K$4779-K4780,2)),"#N/A")</f>
        <v>F/S</v>
      </c>
      <c r="M4780" s="301" t="s">
        <v>4211</v>
      </c>
      <c r="N4780" s="2210">
        <f>I4798</f>
        <v>80500</v>
      </c>
      <c r="O4780" s="349" t="str">
        <f>IF($I4780="适用",IF(ROUND(N$4779-N4780,2)=0,"F/S",ROUND(N$4779-N4780,2)),"#N/A")</f>
        <v>F/S</v>
      </c>
      <c r="P4780" s="301"/>
      <c r="S4780" s="364"/>
      <c r="Z4780" s="609" t="s">
        <v>4278</v>
      </c>
      <c r="AA4780" s="609" t="s">
        <v>5710</v>
      </c>
    </row>
    <row r="4781" spans="1:29" ht="0.75" customHeight="1" thickBot="1">
      <c r="A4781" s="2714"/>
      <c r="B4781" s="371"/>
      <c r="C4781" s="371"/>
      <c r="D4781" s="2716"/>
      <c r="E4781" s="586"/>
      <c r="F4781" s="586"/>
      <c r="G4781" s="2224" t="s">
        <v>4279</v>
      </c>
      <c r="H4781" s="371" t="s">
        <v>4223</v>
      </c>
      <c r="I4781" s="371" t="s">
        <v>4224</v>
      </c>
      <c r="J4781" s="371" t="s">
        <v>3671</v>
      </c>
      <c r="K4781" s="391"/>
      <c r="L4781" s="349"/>
      <c r="M4781" s="301"/>
      <c r="N4781" s="391"/>
      <c r="O4781" s="349"/>
      <c r="P4781" s="301"/>
      <c r="S4781" s="364"/>
      <c r="Z4781" s="609" t="s">
        <v>4278</v>
      </c>
      <c r="AA4781" s="609" t="s">
        <v>5710</v>
      </c>
    </row>
    <row r="4782" spans="1:29" ht="24">
      <c r="A4782" s="2714"/>
      <c r="B4782" s="371"/>
      <c r="C4782" s="371"/>
      <c r="D4782" s="2716"/>
      <c r="E4782" s="586" t="s">
        <v>2749</v>
      </c>
      <c r="F4782" s="586"/>
      <c r="G4782" s="2449" t="s">
        <v>4280</v>
      </c>
      <c r="H4782" s="2445" t="str">
        <f>$V$4</f>
        <v>2019年度</v>
      </c>
      <c r="I4782" s="2445" t="str">
        <f>$V$5</f>
        <v>2018年度</v>
      </c>
      <c r="J4782" s="2444" t="s">
        <v>6090</v>
      </c>
      <c r="K4782" s="355" t="s">
        <v>5332</v>
      </c>
      <c r="L4782" s="349"/>
      <c r="M4782" s="301"/>
      <c r="N4782" s="391"/>
      <c r="O4782" s="349"/>
      <c r="P4782" s="301"/>
      <c r="S4782" s="364"/>
      <c r="Z4782" s="609" t="s">
        <v>4278</v>
      </c>
      <c r="AA4782" s="609" t="s">
        <v>5710</v>
      </c>
    </row>
    <row r="4783" spans="1:29" ht="18">
      <c r="A4783" s="2714"/>
      <c r="B4783" s="371">
        <v>101</v>
      </c>
      <c r="C4783" s="371"/>
      <c r="D4783" s="2716">
        <f t="shared" ref="D4783:D4798" si="530">IF(OR(G4783="*",G4783="",G4783=0),0,COUNTIF($G$4783:$G$4798,G4783))</f>
        <v>1</v>
      </c>
      <c r="E4783" s="2721">
        <v>1</v>
      </c>
      <c r="F4783" s="371"/>
      <c r="G4783" s="1474" t="s">
        <v>4281</v>
      </c>
      <c r="H4783" s="1476">
        <f>SUM(H4784:H4793)</f>
        <v>715900</v>
      </c>
      <c r="I4783" s="1476">
        <f>SUM(I4784:I4793)</f>
        <v>80500</v>
      </c>
      <c r="J4783" s="2276"/>
      <c r="L4783" s="2675"/>
      <c r="M4783" s="2672" t="s">
        <v>6361</v>
      </c>
      <c r="N4783" s="2673" t="s">
        <v>6362</v>
      </c>
      <c r="O4783" s="349"/>
      <c r="P4783" s="301"/>
      <c r="S4783" s="364"/>
      <c r="Z4783" s="609" t="s">
        <v>4278</v>
      </c>
      <c r="AA4783" s="609" t="s">
        <v>5710</v>
      </c>
    </row>
    <row r="4784" spans="1:29" ht="24">
      <c r="A4784" s="2714"/>
      <c r="B4784" s="371">
        <v>102</v>
      </c>
      <c r="C4784" s="371"/>
      <c r="D4784" s="2716">
        <f t="shared" si="530"/>
        <v>1</v>
      </c>
      <c r="E4784" s="2721">
        <v>0</v>
      </c>
      <c r="F4784" s="371"/>
      <c r="G4784" s="1474" t="s">
        <v>4282</v>
      </c>
      <c r="H4784" s="2275"/>
      <c r="I4784" s="2275"/>
      <c r="J4784" s="2276" t="s">
        <v>4283</v>
      </c>
      <c r="K4784" s="1533" t="str">
        <f ca="1">HYPERLINK("#'"&amp;$G$1&amp;"'!"&amp;ADDRESS(ROW(Notes!H4802),COLUMN(Notes!H4802),4),"* 请勿删除此行！点击往勾稽单元格，F5+Enter返回")</f>
        <v>* 请勿删除此行！点击往勾稽单元格，F5+Enter返回</v>
      </c>
      <c r="L4784" s="2675"/>
      <c r="M4784" s="1604"/>
      <c r="N4784" s="2673" t="s">
        <v>6363</v>
      </c>
      <c r="O4784" s="349"/>
      <c r="P4784" s="301"/>
      <c r="S4784" s="364"/>
      <c r="Z4784" s="609" t="s">
        <v>4278</v>
      </c>
      <c r="AA4784" s="609" t="s">
        <v>5710</v>
      </c>
      <c r="AC4784" s="369" t="s">
        <v>2794</v>
      </c>
    </row>
    <row r="4785" spans="1:29" ht="24">
      <c r="A4785" s="2714"/>
      <c r="B4785" s="371">
        <v>103</v>
      </c>
      <c r="C4785" s="371"/>
      <c r="D4785" s="2716">
        <f t="shared" si="530"/>
        <v>1</v>
      </c>
      <c r="E4785" s="2721">
        <v>0</v>
      </c>
      <c r="F4785" s="371"/>
      <c r="G4785" s="603" t="s">
        <v>4284</v>
      </c>
      <c r="H4785" s="2275"/>
      <c r="I4785" s="2275"/>
      <c r="J4785" s="2276" t="s">
        <v>4285</v>
      </c>
      <c r="K4785" s="1533" t="str">
        <f ca="1">HYPERLINK("#'"&amp;$G$1&amp;"'!"&amp;ADDRESS(ROW(Notes!H4803),COLUMN(Notes!H4803),4),"* 请勿删除此行！点击往勾稽单元格，F5+Enter返回")</f>
        <v>* 请勿删除此行！点击往勾稽单元格，F5+Enter返回</v>
      </c>
      <c r="L4785" s="349"/>
      <c r="M4785" s="301"/>
      <c r="N4785" s="391"/>
      <c r="O4785" s="349"/>
      <c r="P4785" s="301"/>
      <c r="S4785" s="364"/>
      <c r="Z4785" s="609" t="s">
        <v>4278</v>
      </c>
      <c r="AA4785" s="609" t="s">
        <v>5710</v>
      </c>
      <c r="AC4785" s="369" t="s">
        <v>2794</v>
      </c>
    </row>
    <row r="4786" spans="1:29" ht="24">
      <c r="A4786" s="2714"/>
      <c r="B4786" s="371">
        <v>104</v>
      </c>
      <c r="C4786" s="371"/>
      <c r="D4786" s="2716">
        <f t="shared" si="530"/>
        <v>1</v>
      </c>
      <c r="E4786" s="2721">
        <v>0</v>
      </c>
      <c r="F4786" s="371"/>
      <c r="G4786" s="603" t="s">
        <v>4286</v>
      </c>
      <c r="H4786" s="2275"/>
      <c r="I4786" s="2275"/>
      <c r="J4786" s="2276"/>
      <c r="K4786" s="391"/>
      <c r="L4786" s="349"/>
      <c r="M4786" s="301"/>
      <c r="N4786" s="391"/>
      <c r="O4786" s="349"/>
      <c r="P4786" s="301"/>
      <c r="S4786" s="364"/>
      <c r="Z4786" s="609" t="s">
        <v>4278</v>
      </c>
      <c r="AA4786" s="609" t="s">
        <v>5710</v>
      </c>
    </row>
    <row r="4787" spans="1:29" ht="18">
      <c r="A4787" s="2714"/>
      <c r="B4787" s="371">
        <v>105</v>
      </c>
      <c r="C4787" s="371" t="s">
        <v>2791</v>
      </c>
      <c r="D4787" s="2716">
        <f t="shared" si="530"/>
        <v>1</v>
      </c>
      <c r="E4787" s="2721">
        <v>0</v>
      </c>
      <c r="F4787" s="371"/>
      <c r="G4787" s="2448" t="s">
        <v>6874</v>
      </c>
      <c r="H4787" s="2275">
        <f>110000+140000</f>
        <v>250000</v>
      </c>
      <c r="I4787" s="2275"/>
      <c r="J4787" s="2276" t="s">
        <v>4285</v>
      </c>
      <c r="K4787" s="391"/>
      <c r="L4787" s="349"/>
      <c r="M4787" s="301"/>
      <c r="N4787" s="391"/>
      <c r="O4787" s="349"/>
      <c r="P4787" s="301"/>
      <c r="S4787" s="364"/>
      <c r="Z4787" s="609" t="s">
        <v>4278</v>
      </c>
      <c r="AA4787" s="609" t="s">
        <v>5710</v>
      </c>
    </row>
    <row r="4788" spans="1:29" ht="18">
      <c r="A4788" s="2714"/>
      <c r="B4788" s="371">
        <v>106</v>
      </c>
      <c r="C4788" s="371" t="s">
        <v>6877</v>
      </c>
      <c r="D4788" s="2716">
        <f t="shared" si="530"/>
        <v>1</v>
      </c>
      <c r="E4788" s="2721">
        <v>0</v>
      </c>
      <c r="F4788" s="371"/>
      <c r="G4788" s="3111" t="s">
        <v>6881</v>
      </c>
      <c r="H4788" s="2275">
        <v>88140</v>
      </c>
      <c r="I4788" s="2275">
        <v>30000</v>
      </c>
      <c r="J4788" s="2276" t="s">
        <v>4285</v>
      </c>
      <c r="K4788" s="391"/>
      <c r="L4788" s="349"/>
      <c r="M4788" s="301"/>
      <c r="N4788" s="391"/>
      <c r="O4788" s="349"/>
      <c r="P4788" s="301"/>
      <c r="S4788" s="364"/>
      <c r="Z4788" s="609" t="s">
        <v>4278</v>
      </c>
      <c r="AA4788" s="609" t="s">
        <v>5710</v>
      </c>
    </row>
    <row r="4789" spans="1:29" ht="24">
      <c r="A4789" s="2714"/>
      <c r="B4789" s="371">
        <v>107</v>
      </c>
      <c r="C4789" s="371" t="s">
        <v>6878</v>
      </c>
      <c r="D4789" s="2716">
        <f t="shared" si="530"/>
        <v>1</v>
      </c>
      <c r="E4789" s="2721">
        <v>0</v>
      </c>
      <c r="F4789" s="371"/>
      <c r="G4789" s="3111" t="s">
        <v>6879</v>
      </c>
      <c r="H4789" s="2275">
        <v>20000</v>
      </c>
      <c r="I4789" s="2275">
        <v>10000</v>
      </c>
      <c r="J4789" s="2276" t="s">
        <v>4285</v>
      </c>
      <c r="K4789" s="391"/>
      <c r="L4789" s="349"/>
      <c r="M4789" s="301"/>
      <c r="N4789" s="391"/>
      <c r="O4789" s="349"/>
      <c r="P4789" s="301"/>
      <c r="S4789" s="364"/>
      <c r="Z4789" s="609" t="s">
        <v>4278</v>
      </c>
      <c r="AA4789" s="609" t="s">
        <v>5710</v>
      </c>
    </row>
    <row r="4790" spans="1:29" ht="24">
      <c r="A4790" s="2714"/>
      <c r="B4790" s="371">
        <v>108</v>
      </c>
      <c r="C4790" s="371" t="s">
        <v>6862</v>
      </c>
      <c r="D4790" s="2716">
        <f t="shared" si="530"/>
        <v>1</v>
      </c>
      <c r="E4790" s="2721">
        <v>0</v>
      </c>
      <c r="F4790" s="371"/>
      <c r="G4790" s="3111" t="s">
        <v>6880</v>
      </c>
      <c r="H4790" s="2275"/>
      <c r="I4790" s="2275">
        <v>40500</v>
      </c>
      <c r="J4790" s="2276" t="s">
        <v>4285</v>
      </c>
      <c r="K4790" s="391"/>
      <c r="L4790" s="349"/>
      <c r="M4790" s="301"/>
      <c r="N4790" s="391"/>
      <c r="O4790" s="349"/>
      <c r="P4790" s="301"/>
      <c r="S4790" s="364"/>
      <c r="Z4790" s="609" t="s">
        <v>4278</v>
      </c>
      <c r="AA4790" s="609" t="s">
        <v>5710</v>
      </c>
    </row>
    <row r="4791" spans="1:29" ht="24">
      <c r="A4791" s="2714"/>
      <c r="B4791" s="371">
        <v>109</v>
      </c>
      <c r="C4791" s="371" t="s">
        <v>6877</v>
      </c>
      <c r="D4791" s="2716">
        <f t="shared" si="530"/>
        <v>1</v>
      </c>
      <c r="E4791" s="2721">
        <v>0</v>
      </c>
      <c r="F4791" s="371"/>
      <c r="G4791" s="3111" t="s">
        <v>6883</v>
      </c>
      <c r="H4791" s="2275">
        <v>187760</v>
      </c>
      <c r="I4791" s="2275"/>
      <c r="J4791" s="2276" t="s">
        <v>4285</v>
      </c>
      <c r="K4791" s="391"/>
      <c r="L4791" s="349"/>
      <c r="M4791" s="301"/>
      <c r="N4791" s="391"/>
      <c r="O4791" s="349"/>
      <c r="P4791" s="301"/>
      <c r="S4791" s="364"/>
      <c r="Z4791" s="609" t="s">
        <v>4278</v>
      </c>
      <c r="AA4791" s="609" t="s">
        <v>5710</v>
      </c>
    </row>
    <row r="4792" spans="1:29" ht="24">
      <c r="A4792" s="2714"/>
      <c r="B4792" s="371">
        <v>110</v>
      </c>
      <c r="C4792" s="371" t="s">
        <v>6884</v>
      </c>
      <c r="D4792" s="2716">
        <f t="shared" si="530"/>
        <v>1</v>
      </c>
      <c r="E4792" s="2721">
        <v>0</v>
      </c>
      <c r="F4792" s="371"/>
      <c r="G4792" s="3112" t="s">
        <v>6885</v>
      </c>
      <c r="H4792" s="2275">
        <v>140000</v>
      </c>
      <c r="I4792" s="2275"/>
      <c r="J4792" s="2276" t="s">
        <v>4285</v>
      </c>
      <c r="K4792" s="391"/>
      <c r="L4792" s="349"/>
      <c r="M4792" s="301"/>
      <c r="N4792" s="391"/>
      <c r="O4792" s="349"/>
      <c r="P4792" s="301"/>
      <c r="S4792" s="364"/>
      <c r="Z4792" s="609" t="s">
        <v>4278</v>
      </c>
      <c r="AA4792" s="609" t="s">
        <v>5710</v>
      </c>
    </row>
    <row r="4793" spans="1:29" ht="24">
      <c r="A4793" s="2714"/>
      <c r="B4793" s="371">
        <v>111</v>
      </c>
      <c r="C4793" s="371" t="s">
        <v>2791</v>
      </c>
      <c r="D4793" s="2716">
        <f t="shared" si="530"/>
        <v>1</v>
      </c>
      <c r="E4793" s="2721">
        <v>0</v>
      </c>
      <c r="F4793" s="371"/>
      <c r="G4793" s="3111" t="s">
        <v>6882</v>
      </c>
      <c r="H4793" s="2275">
        <v>30000</v>
      </c>
      <c r="I4793" s="2275"/>
      <c r="J4793" s="2276" t="s">
        <v>4285</v>
      </c>
      <c r="K4793" s="391"/>
      <c r="L4793" s="349"/>
      <c r="M4793" s="301"/>
      <c r="N4793" s="391"/>
      <c r="O4793" s="349"/>
      <c r="P4793" s="301"/>
      <c r="S4793" s="364"/>
      <c r="Z4793" s="609" t="s">
        <v>4278</v>
      </c>
      <c r="AA4793" s="609" t="s">
        <v>5710</v>
      </c>
    </row>
    <row r="4794" spans="1:29" ht="24">
      <c r="A4794" s="2714"/>
      <c r="B4794" s="371">
        <v>112</v>
      </c>
      <c r="C4794" s="371"/>
      <c r="D4794" s="2716">
        <f t="shared" si="530"/>
        <v>1</v>
      </c>
      <c r="E4794" s="2721">
        <v>1</v>
      </c>
      <c r="F4794" s="371"/>
      <c r="G4794" s="1474" t="s">
        <v>6146</v>
      </c>
      <c r="H4794" s="1476">
        <f>SUM(H4795:H4797)</f>
        <v>0</v>
      </c>
      <c r="I4794" s="1476">
        <f>SUM(I4795:I4797)</f>
        <v>0</v>
      </c>
      <c r="J4794" s="2276"/>
      <c r="K4794" s="391"/>
      <c r="L4794" s="349"/>
      <c r="M4794" s="301"/>
      <c r="N4794" s="391"/>
      <c r="O4794" s="349"/>
      <c r="P4794" s="301"/>
      <c r="S4794" s="364"/>
      <c r="Z4794" s="609" t="s">
        <v>4278</v>
      </c>
      <c r="AA4794" s="609" t="s">
        <v>5710</v>
      </c>
    </row>
    <row r="4795" spans="1:29" ht="18">
      <c r="A4795" s="2714"/>
      <c r="B4795" s="371">
        <v>113</v>
      </c>
      <c r="C4795" s="371"/>
      <c r="D4795" s="2716">
        <f t="shared" si="530"/>
        <v>1</v>
      </c>
      <c r="E4795" s="2721">
        <v>0</v>
      </c>
      <c r="F4795" s="371"/>
      <c r="G4795" s="1474" t="s">
        <v>4287</v>
      </c>
      <c r="H4795" s="2275"/>
      <c r="I4795" s="2275"/>
      <c r="J4795" s="2276"/>
      <c r="K4795" s="391"/>
      <c r="L4795" s="349"/>
      <c r="M4795" s="301"/>
      <c r="N4795" s="391"/>
      <c r="O4795" s="349"/>
      <c r="P4795" s="301"/>
      <c r="S4795" s="364"/>
      <c r="Z4795" s="609" t="s">
        <v>4278</v>
      </c>
      <c r="AA4795" s="609" t="s">
        <v>5710</v>
      </c>
    </row>
    <row r="4796" spans="1:29" ht="18">
      <c r="A4796" s="2714"/>
      <c r="B4796" s="371">
        <v>114</v>
      </c>
      <c r="C4796" s="371" t="s">
        <v>2791</v>
      </c>
      <c r="D4796" s="2716">
        <f t="shared" si="530"/>
        <v>0</v>
      </c>
      <c r="E4796" s="2721">
        <v>0</v>
      </c>
      <c r="F4796" s="371"/>
      <c r="G4796" s="2448" t="s">
        <v>2792</v>
      </c>
      <c r="H4796" s="2275"/>
      <c r="I4796" s="2275"/>
      <c r="J4796" s="2276"/>
      <c r="K4796" s="391"/>
      <c r="L4796" s="349"/>
      <c r="M4796" s="301"/>
      <c r="N4796" s="391"/>
      <c r="O4796" s="349"/>
      <c r="P4796" s="301"/>
      <c r="S4796" s="364"/>
      <c r="Z4796" s="609" t="s">
        <v>4278</v>
      </c>
      <c r="AA4796" s="609" t="s">
        <v>5710</v>
      </c>
    </row>
    <row r="4797" spans="1:29" ht="18">
      <c r="A4797" s="2714"/>
      <c r="B4797" s="371">
        <v>115</v>
      </c>
      <c r="C4797" s="371" t="s">
        <v>2791</v>
      </c>
      <c r="D4797" s="2716">
        <f t="shared" si="530"/>
        <v>0</v>
      </c>
      <c r="E4797" s="2721">
        <v>0</v>
      </c>
      <c r="F4797" s="371"/>
      <c r="G4797" s="2448" t="s">
        <v>2792</v>
      </c>
      <c r="H4797" s="2275"/>
      <c r="I4797" s="2275"/>
      <c r="J4797" s="2276"/>
      <c r="K4797" s="391"/>
      <c r="L4797" s="349"/>
      <c r="M4797" s="301"/>
      <c r="N4797" s="391"/>
      <c r="O4797" s="349"/>
      <c r="P4797" s="301"/>
      <c r="S4797" s="364"/>
      <c r="Z4797" s="609" t="s">
        <v>4278</v>
      </c>
      <c r="AA4797" s="609" t="s">
        <v>5710</v>
      </c>
    </row>
    <row r="4798" spans="1:29" ht="18.75" thickBot="1">
      <c r="A4798" s="2714"/>
      <c r="B4798" s="371"/>
      <c r="C4798" s="371"/>
      <c r="D4798" s="2716">
        <f t="shared" si="530"/>
        <v>1</v>
      </c>
      <c r="E4798" s="2721" t="s">
        <v>2751</v>
      </c>
      <c r="F4798" s="371"/>
      <c r="G4798" s="374" t="s">
        <v>2752</v>
      </c>
      <c r="H4798" s="1478">
        <f>SUMPRODUCT($E4782:$E4797,H4782:H4797)</f>
        <v>715900</v>
      </c>
      <c r="I4798" s="1478">
        <f>SUMPRODUCT($E4782:$E4797,I4782:I4797)</f>
        <v>80500</v>
      </c>
      <c r="J4798" s="2260"/>
      <c r="K4798" s="391"/>
      <c r="L4798" s="349"/>
      <c r="M4798" s="301"/>
      <c r="N4798" s="391"/>
      <c r="O4798" s="349"/>
      <c r="P4798" s="301"/>
      <c r="S4798" s="364"/>
      <c r="Z4798" s="609" t="s">
        <v>4278</v>
      </c>
      <c r="AA4798" s="609" t="s">
        <v>5710</v>
      </c>
    </row>
    <row r="4799" spans="1:29" ht="18.75" thickBot="1">
      <c r="A4799" s="2714"/>
      <c r="B4799" s="371"/>
      <c r="C4799" s="371" t="s">
        <v>2755</v>
      </c>
      <c r="D4799" s="2716"/>
      <c r="F4799" s="371"/>
      <c r="G4799" s="376"/>
      <c r="H4799" s="527" t="s">
        <v>3002</v>
      </c>
      <c r="I4799" s="2253"/>
      <c r="J4799" s="393"/>
      <c r="K4799" s="391"/>
      <c r="L4799" s="349"/>
      <c r="M4799" s="301"/>
      <c r="N4799" s="391"/>
      <c r="O4799" s="349"/>
      <c r="P4799" s="301"/>
      <c r="S4799" s="364"/>
      <c r="Z4799" s="609" t="s">
        <v>4278</v>
      </c>
      <c r="AA4799" s="609" t="s">
        <v>5710</v>
      </c>
    </row>
    <row r="4800" spans="1:29" ht="18.75" thickTop="1">
      <c r="A4800" s="2714"/>
      <c r="B4800" s="371"/>
      <c r="C4800" s="371" t="s">
        <v>2565</v>
      </c>
      <c r="D4800" s="2716"/>
      <c r="F4800" s="371"/>
      <c r="G4800" s="1549" t="s">
        <v>5367</v>
      </c>
      <c r="H4800" s="1550" t="str">
        <f>G4273</f>
        <v>(2)递延收益（涉及政府补助的项目）</v>
      </c>
      <c r="I4800" s="1552"/>
      <c r="J4800" s="1551"/>
      <c r="K4800" s="1553" t="s">
        <v>5368</v>
      </c>
      <c r="L4800" s="349"/>
      <c r="M4800" s="301"/>
      <c r="N4800" s="391"/>
      <c r="O4800" s="349"/>
      <c r="P4800" s="301"/>
      <c r="S4800" s="364"/>
      <c r="Z4800" s="609" t="s">
        <v>4278</v>
      </c>
      <c r="AA4800" s="609" t="s">
        <v>5710</v>
      </c>
    </row>
    <row r="4801" spans="1:27" ht="18">
      <c r="A4801" s="2714"/>
      <c r="B4801" s="371"/>
      <c r="C4801" s="371" t="s">
        <v>2565</v>
      </c>
      <c r="D4801" s="2716"/>
      <c r="F4801" s="371"/>
      <c r="G4801" s="604" t="str">
        <f>"注释A:"&amp; G4281</f>
        <v>注释A:合       计</v>
      </c>
      <c r="H4801" s="2252">
        <f ca="1">HYPERLINK("#'"&amp;$G$1&amp;"'!"&amp;ADDRESS(ROW(Notes!K4281),COLUMN(Notes!K4281),4),K4281)</f>
        <v>0</v>
      </c>
      <c r="I4801" s="456"/>
      <c r="J4801" s="351"/>
      <c r="K4801" s="2632" t="str">
        <f>H4273</f>
        <v>2401b</v>
      </c>
      <c r="L4801" s="349"/>
      <c r="M4801" s="301"/>
      <c r="N4801" s="391"/>
      <c r="O4801" s="349"/>
      <c r="P4801" s="301"/>
      <c r="S4801" s="364"/>
      <c r="Z4801" s="609" t="s">
        <v>4278</v>
      </c>
      <c r="AA4801" s="609" t="s">
        <v>5710</v>
      </c>
    </row>
    <row r="4802" spans="1:27" ht="36">
      <c r="A4802" s="2714"/>
      <c r="B4802" s="371"/>
      <c r="C4802" s="371" t="s">
        <v>2565</v>
      </c>
      <c r="D4802" s="2716"/>
      <c r="F4802" s="371"/>
      <c r="G4802" s="604" t="str">
        <f>"本注释B:"&amp; G4784</f>
        <v>本注释B:其中：与递延收益相关的政府补助（与资产相关）</v>
      </c>
      <c r="H4802" s="2252">
        <f ca="1">HYPERLINK("#'"&amp;$G$1&amp;"'!"&amp;ADDRESS(ROW(Notes!H4784),COLUMN(Notes!H4784),4),H4784)</f>
        <v>0</v>
      </c>
      <c r="I4802" s="456"/>
      <c r="J4802" s="351"/>
      <c r="K4802" s="2638" t="s">
        <v>1891</v>
      </c>
      <c r="L4802" s="349"/>
      <c r="M4802" s="301"/>
      <c r="N4802" s="391"/>
      <c r="O4802" s="349"/>
      <c r="P4802" s="301"/>
      <c r="S4802" s="364"/>
      <c r="Z4802" s="609" t="s">
        <v>4278</v>
      </c>
      <c r="AA4802" s="609" t="s">
        <v>5710</v>
      </c>
    </row>
    <row r="4803" spans="1:27" ht="36">
      <c r="A4803" s="2714"/>
      <c r="B4803" s="371"/>
      <c r="C4803" s="371" t="s">
        <v>2565</v>
      </c>
      <c r="D4803" s="2716"/>
      <c r="F4803" s="371"/>
      <c r="G4803" s="604" t="str">
        <f>"加：本注释B:"&amp; G4785</f>
        <v>加：本注释B:与递延收益相关的政府补助（与收益相关）</v>
      </c>
      <c r="H4803" s="2252">
        <f ca="1">HYPERLINK("#'"&amp;$G$1&amp;"'!"&amp;ADDRESS(ROW(Notes!H4785),COLUMN(Notes!H4785),4),H4785)</f>
        <v>0</v>
      </c>
      <c r="I4803" s="456"/>
      <c r="J4803" s="351"/>
      <c r="K4803" s="2638" t="s">
        <v>1891</v>
      </c>
      <c r="L4803" s="349"/>
      <c r="M4803" s="301"/>
      <c r="N4803" s="391"/>
      <c r="O4803" s="349"/>
      <c r="P4803" s="301"/>
      <c r="S4803" s="364"/>
      <c r="Z4803" s="609" t="s">
        <v>4278</v>
      </c>
      <c r="AA4803" s="609" t="s">
        <v>5710</v>
      </c>
    </row>
    <row r="4804" spans="1:27" ht="18.75" thickBot="1">
      <c r="A4804" s="2714"/>
      <c r="B4804" s="371"/>
      <c r="C4804" s="371" t="s">
        <v>2565</v>
      </c>
      <c r="D4804" s="2716"/>
      <c r="F4804" s="371"/>
      <c r="G4804" s="1554" t="s">
        <v>2757</v>
      </c>
      <c r="H4804" s="1531">
        <f ca="1">IF(AND(H4801="",H4803=""),"",ROUND(H4801-H4803-H4802,2))</f>
        <v>0</v>
      </c>
      <c r="I4804" s="1531"/>
      <c r="J4804" s="1555"/>
      <c r="K4804" s="1555"/>
      <c r="L4804" s="349"/>
      <c r="M4804" s="301"/>
      <c r="N4804" s="391"/>
      <c r="O4804" s="349"/>
      <c r="P4804" s="301"/>
      <c r="S4804" s="364"/>
      <c r="Z4804" s="609" t="s">
        <v>4278</v>
      </c>
      <c r="AA4804" s="609" t="s">
        <v>5710</v>
      </c>
    </row>
    <row r="4805" spans="1:27" ht="18.75" thickTop="1">
      <c r="A4805" s="2714"/>
      <c r="B4805" s="371"/>
      <c r="C4805" s="371" t="s">
        <v>2565</v>
      </c>
      <c r="D4805" s="2716"/>
      <c r="F4805" s="371"/>
      <c r="G4805" s="1545"/>
      <c r="H4805" s="459" t="str">
        <f ca="1">IF(OR(H4804=0,H4804=""),"√","？")</f>
        <v>√</v>
      </c>
      <c r="I4805" s="461"/>
      <c r="J4805" s="317"/>
      <c r="K4805" s="317"/>
      <c r="L4805" s="349"/>
      <c r="M4805" s="301"/>
      <c r="N4805" s="391"/>
      <c r="O4805" s="349"/>
      <c r="P4805" s="301"/>
      <c r="S4805" s="364"/>
      <c r="Z4805" s="609" t="s">
        <v>4278</v>
      </c>
      <c r="AA4805" s="609" t="s">
        <v>5710</v>
      </c>
    </row>
    <row r="4806" spans="1:27" ht="18">
      <c r="A4806" s="2714"/>
      <c r="B4806" s="371"/>
      <c r="C4806" s="371" t="s">
        <v>2565</v>
      </c>
      <c r="D4806" s="2716"/>
      <c r="F4806" s="371"/>
      <c r="G4806" s="1559" t="s">
        <v>2759</v>
      </c>
      <c r="H4806" s="461"/>
      <c r="I4806" s="461"/>
      <c r="J4806" s="317"/>
      <c r="K4806" s="352">
        <f ca="1">SUMIF($H$4805:$K$4805,"&lt;&gt;√",$H$4804:$K$4804)</f>
        <v>0</v>
      </c>
      <c r="L4806" s="475" t="str">
        <f ca="1">IF(OR(K4806=0,K4806=""),"√","？")</f>
        <v>√</v>
      </c>
      <c r="M4806" s="301"/>
      <c r="N4806" s="391"/>
      <c r="O4806" s="349"/>
      <c r="P4806" s="301"/>
      <c r="S4806" s="364"/>
      <c r="Z4806" s="609" t="s">
        <v>4278</v>
      </c>
      <c r="AA4806" s="609" t="s">
        <v>5710</v>
      </c>
    </row>
    <row r="4807" spans="1:27" ht="18">
      <c r="A4807" s="2714"/>
      <c r="B4807" s="371"/>
      <c r="C4807" s="371" t="s">
        <v>2565</v>
      </c>
      <c r="D4807" s="2716"/>
      <c r="F4807" s="371"/>
      <c r="G4807" s="1545"/>
      <c r="H4807" s="461"/>
      <c r="I4807" s="461"/>
      <c r="J4807" s="317"/>
      <c r="K4807" s="317"/>
      <c r="L4807" s="349"/>
      <c r="M4807" s="301"/>
      <c r="N4807" s="391"/>
      <c r="O4807" s="349"/>
      <c r="P4807" s="301"/>
      <c r="S4807" s="364"/>
      <c r="Z4807" s="609" t="s">
        <v>4278</v>
      </c>
      <c r="AA4807" s="609" t="s">
        <v>5710</v>
      </c>
    </row>
    <row r="4808" spans="1:27" ht="18">
      <c r="A4808" s="2714">
        <v>6111</v>
      </c>
      <c r="B4808" s="371">
        <v>68</v>
      </c>
      <c r="C4808" s="2716" t="str">
        <f>VLOOKUP($A4808,Sheet_Items,2,0)</f>
        <v>投资收益</v>
      </c>
      <c r="D4808" s="371"/>
      <c r="E4808" s="2716" t="s">
        <v>2739</v>
      </c>
      <c r="F4808" s="294"/>
      <c r="G4808" s="305" t="str">
        <f>B4808&amp;" "&amp;C4808</f>
        <v>68 投资收益</v>
      </c>
      <c r="H4808" s="306"/>
      <c r="I4808" s="306"/>
      <c r="J4808" s="306" t="s">
        <v>4206</v>
      </c>
      <c r="K4808" s="341">
        <f>VLOOKUP($A4808,Sheet_Trialbal,6,0)</f>
        <v>41851.06</v>
      </c>
      <c r="L4808" s="342"/>
      <c r="M4808" s="306" t="s">
        <v>4207</v>
      </c>
      <c r="N4808" s="341">
        <f>VLOOKUP($A4808,Sheet_Trialbal,10,0)</f>
        <v>38200.720000000001</v>
      </c>
      <c r="O4808" s="306"/>
      <c r="P4808" s="301"/>
      <c r="S4808" s="364"/>
      <c r="Z4808" s="609" t="s">
        <v>4288</v>
      </c>
      <c r="AA4808" s="609" t="s">
        <v>5711</v>
      </c>
    </row>
    <row r="4809" spans="1:27" ht="18">
      <c r="A4809" s="2714" t="s">
        <v>1885</v>
      </c>
      <c r="B4809" s="371">
        <v>1</v>
      </c>
      <c r="C4809" s="371"/>
      <c r="D4809" s="2716" t="str">
        <f>VLOOKUP($A4809,Sheet_NoteList,2,0)</f>
        <v>投资收益明细项目</v>
      </c>
      <c r="E4809" s="2716" t="s">
        <v>2742</v>
      </c>
      <c r="F4809" s="294"/>
      <c r="G4809" s="307" t="str">
        <f>"("&amp;B4809&amp;")"&amp;D4809</f>
        <v>(1)投资收益明细项目</v>
      </c>
      <c r="H4809" s="1517" t="str">
        <f>$A4809</f>
        <v>6111a</v>
      </c>
      <c r="I4809" s="343" t="s">
        <v>2743</v>
      </c>
      <c r="J4809" s="301" t="s">
        <v>4210</v>
      </c>
      <c r="K4809" s="2210">
        <f>H4828</f>
        <v>41851.06</v>
      </c>
      <c r="L4809" s="345" t="str">
        <f>IF($I4809="适用",IF(ROUND(K4808-K4809,2)=0,"F/S",ROUND(K4808-K4809,2)),"#N/A")</f>
        <v>F/S</v>
      </c>
      <c r="M4809" s="301" t="s">
        <v>4211</v>
      </c>
      <c r="N4809" s="2210">
        <f>I4828</f>
        <v>38200.720000000001</v>
      </c>
      <c r="O4809" s="345" t="str">
        <f>IF($I4809="适用",IF(ROUND(N4808-N4809,2)=0,"F/S",ROUND(N4808-N4809,2)),"#N/A")</f>
        <v>F/S</v>
      </c>
      <c r="P4809" s="301"/>
      <c r="Q4809" s="290" t="str">
        <f>IF($I4809="不适用","",IF(ROUND(SUM($H$4812:$I$4828),2)=0,"请输入",""))</f>
        <v/>
      </c>
      <c r="S4809" s="364"/>
      <c r="Z4809" s="609" t="s">
        <v>4288</v>
      </c>
      <c r="AA4809" s="609" t="s">
        <v>5711</v>
      </c>
    </row>
    <row r="4810" spans="1:27" ht="0.75" customHeight="1" thickBot="1">
      <c r="A4810" s="2714"/>
      <c r="B4810" s="371"/>
      <c r="C4810" s="371"/>
      <c r="D4810" s="371"/>
      <c r="F4810" s="294"/>
      <c r="G4810" s="294" t="s">
        <v>4289</v>
      </c>
      <c r="H4810" s="294" t="s">
        <v>4223</v>
      </c>
      <c r="I4810" s="294" t="s">
        <v>4224</v>
      </c>
      <c r="J4810" s="291"/>
      <c r="K4810" s="291"/>
      <c r="L4810" s="291"/>
      <c r="M4810" s="291"/>
      <c r="S4810" s="364"/>
      <c r="Z4810" s="609" t="s">
        <v>4288</v>
      </c>
      <c r="AA4810" s="609" t="s">
        <v>5711</v>
      </c>
    </row>
    <row r="4811" spans="1:27" ht="18">
      <c r="A4811" s="2714"/>
      <c r="B4811" s="371"/>
      <c r="C4811" s="371"/>
      <c r="D4811" s="371"/>
      <c r="E4811" s="2716" t="s">
        <v>2749</v>
      </c>
      <c r="F4811" s="294"/>
      <c r="G4811" s="378" t="s">
        <v>47</v>
      </c>
      <c r="H4811" s="398" t="str">
        <f>$V$4</f>
        <v>2019年度</v>
      </c>
      <c r="I4811" s="511" t="str">
        <f>$V$5</f>
        <v>2018年度</v>
      </c>
      <c r="J4811" s="355" t="s">
        <v>5333</v>
      </c>
      <c r="K4811" s="291"/>
      <c r="L4811" s="291"/>
      <c r="M4811" s="291"/>
      <c r="S4811" s="364"/>
      <c r="Z4811" s="609" t="s">
        <v>4288</v>
      </c>
      <c r="AA4811" s="609" t="s">
        <v>5711</v>
      </c>
    </row>
    <row r="4812" spans="1:27" ht="24">
      <c r="A4812" s="2714"/>
      <c r="B4812" s="371">
        <v>101</v>
      </c>
      <c r="C4812" s="371"/>
      <c r="D4812" s="2716">
        <f t="shared" ref="D4812:D4828" si="531">IF(OR(G4812="*",G4812="",G4812=0),0,COUNTIF($G$4812:$G$4828,G4812))</f>
        <v>1</v>
      </c>
      <c r="E4812" s="2721">
        <v>1</v>
      </c>
      <c r="F4812" s="294"/>
      <c r="G4812" s="380" t="s">
        <v>4290</v>
      </c>
      <c r="H4812" s="383"/>
      <c r="I4812" s="401"/>
      <c r="J4812" s="291"/>
      <c r="K4812" s="355" t="s">
        <v>6360</v>
      </c>
      <c r="L4812" s="2677" t="s">
        <v>6367</v>
      </c>
      <c r="M4812" s="291"/>
      <c r="S4812" s="364"/>
      <c r="Z4812" s="609" t="s">
        <v>4288</v>
      </c>
      <c r="AA4812" s="609" t="s">
        <v>5711</v>
      </c>
    </row>
    <row r="4813" spans="1:27" ht="24">
      <c r="A4813" s="2714"/>
      <c r="B4813" s="371">
        <v>102</v>
      </c>
      <c r="C4813" s="371"/>
      <c r="D4813" s="2716">
        <f t="shared" si="531"/>
        <v>1</v>
      </c>
      <c r="E4813" s="2721">
        <v>1</v>
      </c>
      <c r="F4813" s="294"/>
      <c r="G4813" s="380" t="s">
        <v>4291</v>
      </c>
      <c r="H4813" s="383"/>
      <c r="I4813" s="401"/>
      <c r="J4813" s="291"/>
      <c r="K4813" s="291"/>
      <c r="L4813" s="291"/>
      <c r="M4813" s="291"/>
      <c r="S4813" s="364"/>
      <c r="Z4813" s="609" t="s">
        <v>4288</v>
      </c>
      <c r="AA4813" s="609" t="s">
        <v>5711</v>
      </c>
    </row>
    <row r="4814" spans="1:27" ht="36">
      <c r="A4814" s="2714"/>
      <c r="B4814" s="371">
        <v>103</v>
      </c>
      <c r="C4814" s="371"/>
      <c r="D4814" s="2716">
        <f t="shared" si="531"/>
        <v>1</v>
      </c>
      <c r="E4814" s="2721">
        <v>1</v>
      </c>
      <c r="F4814" s="294"/>
      <c r="G4814" s="380" t="s">
        <v>4292</v>
      </c>
      <c r="H4814" s="2329">
        <v>0</v>
      </c>
      <c r="I4814" s="401"/>
      <c r="J4814" s="291"/>
      <c r="K4814" s="291"/>
      <c r="L4814" s="291"/>
      <c r="M4814" s="291"/>
      <c r="S4814" s="364"/>
      <c r="Z4814" s="609" t="s">
        <v>4288</v>
      </c>
      <c r="AA4814" s="609" t="s">
        <v>5711</v>
      </c>
    </row>
    <row r="4815" spans="1:27" ht="36">
      <c r="A4815" s="2714"/>
      <c r="B4815" s="371">
        <v>104</v>
      </c>
      <c r="C4815" s="371"/>
      <c r="D4815" s="2716">
        <f t="shared" si="531"/>
        <v>1</v>
      </c>
      <c r="E4815" s="2721">
        <v>1</v>
      </c>
      <c r="F4815" s="294"/>
      <c r="G4815" s="380" t="s">
        <v>4293</v>
      </c>
      <c r="H4815" s="2329">
        <v>0</v>
      </c>
      <c r="I4815" s="401"/>
      <c r="J4815" s="291"/>
      <c r="K4815" s="291"/>
      <c r="L4815" s="291"/>
      <c r="M4815" s="291"/>
      <c r="S4815" s="364"/>
      <c r="Z4815" s="609" t="s">
        <v>4288</v>
      </c>
      <c r="AA4815" s="609" t="s">
        <v>5711</v>
      </c>
    </row>
    <row r="4816" spans="1:27" ht="24">
      <c r="A4816" s="2714"/>
      <c r="B4816" s="371">
        <v>105</v>
      </c>
      <c r="C4816" s="371"/>
      <c r="D4816" s="2716">
        <f t="shared" si="531"/>
        <v>1</v>
      </c>
      <c r="E4816" s="2721">
        <v>1</v>
      </c>
      <c r="F4816" s="294"/>
      <c r="G4816" s="380" t="s">
        <v>4294</v>
      </c>
      <c r="H4816" s="2329">
        <v>0</v>
      </c>
      <c r="I4816" s="401"/>
      <c r="J4816" s="291"/>
      <c r="K4816" s="291"/>
      <c r="L4816" s="291"/>
      <c r="M4816" s="291"/>
      <c r="S4816" s="364"/>
      <c r="Z4816" s="609" t="s">
        <v>4288</v>
      </c>
      <c r="AA4816" s="609" t="s">
        <v>5711</v>
      </c>
    </row>
    <row r="4817" spans="1:27" ht="24">
      <c r="A4817" s="2714"/>
      <c r="B4817" s="371">
        <v>106</v>
      </c>
      <c r="C4817" s="371"/>
      <c r="D4817" s="2716">
        <f t="shared" si="531"/>
        <v>1</v>
      </c>
      <c r="E4817" s="2721">
        <v>1</v>
      </c>
      <c r="F4817" s="294"/>
      <c r="G4817" s="380" t="s">
        <v>4295</v>
      </c>
      <c r="H4817" s="2329">
        <v>0</v>
      </c>
      <c r="I4817" s="401"/>
      <c r="J4817" s="291"/>
      <c r="K4817" s="291"/>
      <c r="L4817" s="291"/>
      <c r="M4817" s="291"/>
      <c r="S4817" s="364"/>
      <c r="Z4817" s="609" t="s">
        <v>4288</v>
      </c>
      <c r="AA4817" s="609" t="s">
        <v>5711</v>
      </c>
    </row>
    <row r="4818" spans="1:27" ht="24">
      <c r="A4818" s="2714"/>
      <c r="B4818" s="371">
        <v>107</v>
      </c>
      <c r="C4818" s="371"/>
      <c r="D4818" s="2716">
        <f t="shared" si="531"/>
        <v>1</v>
      </c>
      <c r="E4818" s="2721">
        <v>1</v>
      </c>
      <c r="F4818" s="294"/>
      <c r="G4818" s="380" t="s">
        <v>4296</v>
      </c>
      <c r="H4818" s="2329">
        <v>0</v>
      </c>
      <c r="I4818" s="401"/>
      <c r="J4818" s="291"/>
      <c r="K4818" s="291"/>
      <c r="L4818" s="291"/>
      <c r="M4818" s="291"/>
      <c r="S4818" s="364"/>
      <c r="Z4818" s="609" t="s">
        <v>4288</v>
      </c>
      <c r="AA4818" s="609" t="s">
        <v>5711</v>
      </c>
    </row>
    <row r="4819" spans="1:27" ht="24">
      <c r="A4819" s="2714"/>
      <c r="B4819" s="371">
        <v>108</v>
      </c>
      <c r="C4819" s="371"/>
      <c r="D4819" s="2716">
        <f t="shared" si="531"/>
        <v>1</v>
      </c>
      <c r="E4819" s="2721">
        <v>1</v>
      </c>
      <c r="F4819" s="294"/>
      <c r="G4819" s="380" t="s">
        <v>4297</v>
      </c>
      <c r="H4819" s="383"/>
      <c r="I4819" s="401"/>
      <c r="J4819" s="291"/>
      <c r="K4819" s="291"/>
      <c r="L4819" s="291"/>
      <c r="M4819" s="291"/>
      <c r="S4819" s="364"/>
      <c r="Z4819" s="609" t="s">
        <v>4288</v>
      </c>
      <c r="AA4819" s="609" t="s">
        <v>5711</v>
      </c>
    </row>
    <row r="4820" spans="1:27" ht="24">
      <c r="A4820" s="2714"/>
      <c r="B4820" s="371">
        <v>109</v>
      </c>
      <c r="C4820" s="371"/>
      <c r="D4820" s="2716">
        <f t="shared" si="531"/>
        <v>1</v>
      </c>
      <c r="E4820" s="2721">
        <v>1</v>
      </c>
      <c r="F4820" s="294"/>
      <c r="G4820" s="380" t="s">
        <v>4298</v>
      </c>
      <c r="H4820" s="383"/>
      <c r="I4820" s="1500">
        <v>0</v>
      </c>
      <c r="J4820" s="291"/>
      <c r="K4820" s="291"/>
      <c r="L4820" s="291"/>
      <c r="M4820" s="291"/>
      <c r="S4820" s="364"/>
      <c r="Z4820" s="609" t="s">
        <v>4288</v>
      </c>
      <c r="AA4820" s="609" t="s">
        <v>5711</v>
      </c>
    </row>
    <row r="4821" spans="1:27" ht="24">
      <c r="A4821" s="2714"/>
      <c r="B4821" s="371">
        <v>110</v>
      </c>
      <c r="C4821" s="371"/>
      <c r="D4821" s="2716">
        <f t="shared" si="531"/>
        <v>1</v>
      </c>
      <c r="E4821" s="2721">
        <v>1</v>
      </c>
      <c r="F4821" s="294"/>
      <c r="G4821" s="409" t="s">
        <v>4299</v>
      </c>
      <c r="H4821" s="383"/>
      <c r="I4821" s="1500">
        <v>0</v>
      </c>
      <c r="J4821" s="291"/>
      <c r="K4821" s="291"/>
      <c r="L4821" s="291"/>
      <c r="M4821" s="291"/>
      <c r="S4821" s="364"/>
      <c r="Z4821" s="609" t="s">
        <v>4288</v>
      </c>
      <c r="AA4821" s="609" t="s">
        <v>5711</v>
      </c>
    </row>
    <row r="4822" spans="1:27" ht="24">
      <c r="A4822" s="2714"/>
      <c r="B4822" s="371">
        <v>111</v>
      </c>
      <c r="C4822" s="371"/>
      <c r="D4822" s="2716">
        <f t="shared" si="531"/>
        <v>1</v>
      </c>
      <c r="E4822" s="2721">
        <v>1</v>
      </c>
      <c r="F4822" s="294"/>
      <c r="G4822" s="409" t="s">
        <v>4300</v>
      </c>
      <c r="H4822" s="383"/>
      <c r="I4822" s="1500">
        <v>0</v>
      </c>
      <c r="J4822" s="291"/>
      <c r="K4822" s="291"/>
      <c r="L4822" s="291"/>
      <c r="M4822" s="291"/>
      <c r="S4822" s="364"/>
      <c r="Z4822" s="609" t="s">
        <v>4288</v>
      </c>
      <c r="AA4822" s="609" t="s">
        <v>5711</v>
      </c>
    </row>
    <row r="4823" spans="1:27" ht="24">
      <c r="A4823" s="2714"/>
      <c r="B4823" s="371">
        <v>112</v>
      </c>
      <c r="C4823" s="371"/>
      <c r="D4823" s="2716">
        <f t="shared" si="531"/>
        <v>1</v>
      </c>
      <c r="E4823" s="2721">
        <v>1</v>
      </c>
      <c r="F4823" s="294"/>
      <c r="G4823" s="409" t="s">
        <v>4301</v>
      </c>
      <c r="H4823" s="383"/>
      <c r="I4823" s="1500">
        <v>0</v>
      </c>
      <c r="J4823" s="291"/>
      <c r="K4823" s="291"/>
      <c r="L4823" s="291"/>
      <c r="M4823" s="291"/>
      <c r="S4823" s="364"/>
      <c r="Z4823" s="609" t="s">
        <v>4288</v>
      </c>
      <c r="AA4823" s="609" t="s">
        <v>5711</v>
      </c>
    </row>
    <row r="4824" spans="1:27" ht="24">
      <c r="A4824" s="2714"/>
      <c r="B4824" s="371">
        <v>113</v>
      </c>
      <c r="C4824" s="371"/>
      <c r="D4824" s="2716">
        <f t="shared" si="531"/>
        <v>1</v>
      </c>
      <c r="E4824" s="2721">
        <v>1</v>
      </c>
      <c r="F4824" s="294"/>
      <c r="G4824" s="409" t="s">
        <v>4302</v>
      </c>
      <c r="H4824" s="383"/>
      <c r="I4824" s="1500">
        <v>0</v>
      </c>
      <c r="J4824" s="291"/>
      <c r="K4824" s="291"/>
      <c r="L4824" s="291"/>
      <c r="M4824" s="291"/>
      <c r="S4824" s="364"/>
      <c r="Z4824" s="609" t="s">
        <v>4288</v>
      </c>
      <c r="AA4824" s="609" t="s">
        <v>5711</v>
      </c>
    </row>
    <row r="4825" spans="1:27" ht="24">
      <c r="A4825" s="2714"/>
      <c r="B4825" s="371">
        <v>114</v>
      </c>
      <c r="C4825" s="371"/>
      <c r="D4825" s="2716">
        <f t="shared" si="531"/>
        <v>1</v>
      </c>
      <c r="E4825" s="2721">
        <v>1</v>
      </c>
      <c r="F4825" s="294"/>
      <c r="G4825" s="380" t="s">
        <v>4303</v>
      </c>
      <c r="H4825" s="383"/>
      <c r="I4825" s="1500">
        <v>0</v>
      </c>
      <c r="J4825" s="291"/>
      <c r="K4825" s="291"/>
      <c r="L4825" s="291"/>
      <c r="M4825" s="291"/>
      <c r="S4825" s="364"/>
      <c r="Z4825" s="609" t="s">
        <v>4288</v>
      </c>
      <c r="AA4825" s="609" t="s">
        <v>5711</v>
      </c>
    </row>
    <row r="4826" spans="1:27" ht="24">
      <c r="A4826" s="2714"/>
      <c r="B4826" s="371">
        <v>115</v>
      </c>
      <c r="C4826" s="371"/>
      <c r="D4826" s="2716">
        <f t="shared" si="531"/>
        <v>1</v>
      </c>
      <c r="E4826" s="2721">
        <v>1</v>
      </c>
      <c r="F4826" s="294"/>
      <c r="G4826" s="380" t="s">
        <v>4304</v>
      </c>
      <c r="H4826" s="383"/>
      <c r="I4826" s="1500">
        <v>0</v>
      </c>
      <c r="J4826" s="291"/>
      <c r="K4826" s="291"/>
      <c r="L4826" s="291"/>
      <c r="M4826" s="291"/>
      <c r="S4826" s="364"/>
      <c r="Z4826" s="609" t="s">
        <v>4288</v>
      </c>
      <c r="AA4826" s="609" t="s">
        <v>5711</v>
      </c>
    </row>
    <row r="4827" spans="1:27" ht="18">
      <c r="A4827" s="2714"/>
      <c r="B4827" s="371">
        <v>116</v>
      </c>
      <c r="C4827" s="371" t="s">
        <v>2791</v>
      </c>
      <c r="D4827" s="2716">
        <f t="shared" si="531"/>
        <v>1</v>
      </c>
      <c r="E4827" s="2721">
        <v>1</v>
      </c>
      <c r="F4827" s="294"/>
      <c r="G4827" s="409" t="s">
        <v>6888</v>
      </c>
      <c r="H4827" s="383">
        <v>41851.06</v>
      </c>
      <c r="I4827" s="401">
        <v>38200.720000000001</v>
      </c>
      <c r="J4827" s="291"/>
      <c r="K4827" s="291"/>
      <c r="L4827" s="291"/>
      <c r="M4827" s="291"/>
      <c r="S4827" s="364"/>
      <c r="Z4827" s="609" t="s">
        <v>4288</v>
      </c>
      <c r="AA4827" s="609" t="s">
        <v>5711</v>
      </c>
    </row>
    <row r="4828" spans="1:27" ht="18.75" thickBot="1">
      <c r="A4828" s="2714"/>
      <c r="B4828" s="371"/>
      <c r="C4828" s="371"/>
      <c r="D4828" s="2716">
        <f t="shared" si="531"/>
        <v>1</v>
      </c>
      <c r="E4828" s="2721" t="s">
        <v>2751</v>
      </c>
      <c r="F4828" s="294"/>
      <c r="G4828" s="403" t="s">
        <v>2752</v>
      </c>
      <c r="H4828" s="404">
        <f>SUMPRODUCT($E4811:$E4827,H4811:H4827)</f>
        <v>41851.06</v>
      </c>
      <c r="I4828" s="413">
        <f>SUMPRODUCT($E4811:$E4827,I4811:I4827)</f>
        <v>38200.720000000001</v>
      </c>
      <c r="J4828" s="291"/>
      <c r="K4828" s="291"/>
      <c r="L4828" s="291"/>
      <c r="M4828" s="291"/>
      <c r="S4828" s="364"/>
      <c r="Z4828" s="609" t="s">
        <v>4288</v>
      </c>
      <c r="AA4828" s="609" t="s">
        <v>5711</v>
      </c>
    </row>
    <row r="4829" spans="1:27" ht="18">
      <c r="A4829" s="2714"/>
      <c r="B4829" s="371"/>
      <c r="C4829" s="371" t="s">
        <v>2755</v>
      </c>
      <c r="D4829" s="2716"/>
      <c r="F4829" s="293"/>
      <c r="G4829" s="376"/>
      <c r="H4829" s="315"/>
      <c r="I4829" s="396"/>
      <c r="J4829" s="425"/>
      <c r="K4829" s="426"/>
      <c r="L4829" s="427"/>
      <c r="M4829" s="425"/>
      <c r="N4829" s="426"/>
      <c r="O4829" s="427"/>
      <c r="P4829" s="425"/>
      <c r="Q4829" s="442"/>
      <c r="R4829" s="443"/>
      <c r="S4829" s="364"/>
      <c r="Z4829" s="609" t="s">
        <v>4288</v>
      </c>
      <c r="AA4829" s="609" t="s">
        <v>5711</v>
      </c>
    </row>
    <row r="4830" spans="1:27" ht="17.25">
      <c r="A4830" s="2715">
        <v>6102</v>
      </c>
      <c r="B4830" s="371">
        <v>69</v>
      </c>
      <c r="C4830" s="2716" t="str">
        <f>VLOOKUP($A4830,Sheet_Items,2,0)</f>
        <v>净敞口套期收益</v>
      </c>
      <c r="D4830" s="371"/>
      <c r="E4830" s="2716" t="s">
        <v>2739</v>
      </c>
      <c r="F4830" s="293"/>
      <c r="G4830" s="305" t="str">
        <f>B4830&amp;" "&amp;C4830</f>
        <v>69 净敞口套期收益</v>
      </c>
      <c r="H4830" s="306"/>
      <c r="I4830" s="306"/>
      <c r="J4830" s="306" t="s">
        <v>4206</v>
      </c>
      <c r="K4830" s="341">
        <f>VLOOKUP($A4830,Sheet_Trialbal,6,0)</f>
        <v>0</v>
      </c>
      <c r="L4830" s="342"/>
      <c r="M4830" s="306" t="s">
        <v>4207</v>
      </c>
      <c r="N4830" s="341">
        <f>VLOOKUP($A4830,Sheet_Trialbal,10,0)</f>
        <v>0</v>
      </c>
      <c r="O4830" s="342"/>
      <c r="P4830" s="301"/>
      <c r="S4830" s="364"/>
      <c r="Z4830" s="609" t="s">
        <v>4305</v>
      </c>
      <c r="AA4830" s="609" t="s">
        <v>4306</v>
      </c>
    </row>
    <row r="4831" spans="1:27" ht="24">
      <c r="A4831" s="2714" t="s">
        <v>1882</v>
      </c>
      <c r="B4831" s="371">
        <v>1</v>
      </c>
      <c r="C4831" s="371"/>
      <c r="D4831" s="2716" t="str">
        <f>VLOOKUP($A4831,Sheet_NoteList,2,0)</f>
        <v>净敞口套期收益明细项目</v>
      </c>
      <c r="E4831" s="2716" t="s">
        <v>2742</v>
      </c>
      <c r="F4831" s="293"/>
      <c r="G4831" s="372" t="str">
        <f>"("&amp;B4831&amp;")"&amp;D4831</f>
        <v>(1)净敞口套期收益明细项目</v>
      </c>
      <c r="H4831" s="1517" t="str">
        <f>$A4831</f>
        <v>6102a</v>
      </c>
      <c r="I4831" s="343" t="s">
        <v>2743</v>
      </c>
      <c r="J4831" s="301" t="s">
        <v>4210</v>
      </c>
      <c r="K4831" s="2210">
        <f>H4842</f>
        <v>0</v>
      </c>
      <c r="L4831" s="349" t="str">
        <f>IF($I4831="适用",IF(ROUND(K$4830-K4831,2)=0,"F/S",ROUND(K$4830-K4831,2)),"#N/A")</f>
        <v>F/S</v>
      </c>
      <c r="M4831" s="301" t="s">
        <v>4211</v>
      </c>
      <c r="N4831" s="2210">
        <f>I4842</f>
        <v>0</v>
      </c>
      <c r="O4831" s="349" t="str">
        <f>IF($I4831="适用",IF(ROUND(N$4830-N4831,2)=0,"F/S",ROUND(N$4830-N4831,2)),"#N/A")</f>
        <v>F/S</v>
      </c>
      <c r="P4831" s="301"/>
      <c r="S4831" s="364"/>
      <c r="Z4831" s="609" t="s">
        <v>4305</v>
      </c>
      <c r="AA4831" s="609" t="s">
        <v>4306</v>
      </c>
    </row>
    <row r="4832" spans="1:27" ht="0.75" customHeight="1" thickBot="1">
      <c r="A4832" s="2714"/>
      <c r="B4832" s="371"/>
      <c r="C4832" s="371"/>
      <c r="D4832" s="2716"/>
      <c r="F4832" s="371"/>
      <c r="G4832" s="405" t="s">
        <v>4307</v>
      </c>
      <c r="H4832" s="371" t="s">
        <v>2747</v>
      </c>
      <c r="I4832" s="371" t="s">
        <v>2748</v>
      </c>
      <c r="J4832" s="433"/>
      <c r="K4832" s="428"/>
      <c r="L4832" s="428"/>
      <c r="M4832" s="433"/>
      <c r="N4832" s="428"/>
      <c r="O4832" s="428"/>
      <c r="P4832" s="433"/>
      <c r="Q4832" s="442"/>
      <c r="R4832" s="443"/>
      <c r="S4832" s="364"/>
      <c r="Z4832" s="609" t="s">
        <v>4305</v>
      </c>
      <c r="AA4832" s="609" t="s">
        <v>4306</v>
      </c>
    </row>
    <row r="4833" spans="1:27" ht="18">
      <c r="A4833" s="2714"/>
      <c r="B4833" s="371"/>
      <c r="C4833" s="371"/>
      <c r="D4833" s="2716"/>
      <c r="E4833" s="2716" t="s">
        <v>2749</v>
      </c>
      <c r="F4833" s="293"/>
      <c r="G4833" s="2305" t="s">
        <v>47</v>
      </c>
      <c r="H4833" s="2291" t="str">
        <f>$V$4</f>
        <v>2019年度</v>
      </c>
      <c r="I4833" s="2293" t="str">
        <f>$V$5</f>
        <v>2018年度</v>
      </c>
      <c r="J4833" s="355" t="s">
        <v>5334</v>
      </c>
      <c r="K4833" s="434"/>
      <c r="L4833" s="434"/>
      <c r="M4833" s="435"/>
      <c r="N4833" s="434"/>
      <c r="O4833" s="434"/>
      <c r="P4833" s="435"/>
      <c r="Q4833" s="442"/>
      <c r="R4833" s="443"/>
      <c r="S4833" s="364"/>
      <c r="Z4833" s="609" t="s">
        <v>4305</v>
      </c>
      <c r="AA4833" s="609" t="s">
        <v>4306</v>
      </c>
    </row>
    <row r="4834" spans="1:27" ht="18">
      <c r="A4834" s="2714"/>
      <c r="B4834" s="371">
        <v>101</v>
      </c>
      <c r="C4834" s="371" t="s">
        <v>2791</v>
      </c>
      <c r="D4834" s="2716">
        <f t="shared" ref="D4834:D4842" si="532">IF(OR(G4834="*",G4834="",G4834=0),0,COUNTIF($G$4834:$G$4842,G4834))</f>
        <v>0</v>
      </c>
      <c r="E4834" s="2721">
        <v>1</v>
      </c>
      <c r="F4834" s="293"/>
      <c r="G4834" s="319" t="s">
        <v>2792</v>
      </c>
      <c r="H4834" s="309"/>
      <c r="I4834" s="1475">
        <v>0</v>
      </c>
      <c r="J4834" s="438"/>
      <c r="K4834" s="439"/>
      <c r="L4834" s="437"/>
      <c r="M4834" s="438"/>
      <c r="N4834" s="439"/>
      <c r="O4834" s="437"/>
      <c r="P4834" s="438"/>
      <c r="Q4834" s="442"/>
      <c r="R4834" s="443"/>
      <c r="S4834" s="364"/>
      <c r="Z4834" s="609" t="s">
        <v>4305</v>
      </c>
      <c r="AA4834" s="609" t="s">
        <v>4306</v>
      </c>
    </row>
    <row r="4835" spans="1:27" ht="18">
      <c r="A4835" s="2714"/>
      <c r="B4835" s="371">
        <v>102</v>
      </c>
      <c r="C4835" s="371" t="s">
        <v>2791</v>
      </c>
      <c r="D4835" s="2716">
        <f t="shared" si="532"/>
        <v>0</v>
      </c>
      <c r="E4835" s="2721">
        <v>1</v>
      </c>
      <c r="F4835" s="293"/>
      <c r="G4835" s="319" t="s">
        <v>2792</v>
      </c>
      <c r="H4835" s="309"/>
      <c r="I4835" s="1475">
        <v>0</v>
      </c>
      <c r="J4835" s="438"/>
      <c r="K4835" s="439"/>
      <c r="L4835" s="437"/>
      <c r="M4835" s="438"/>
      <c r="N4835" s="439"/>
      <c r="O4835" s="437"/>
      <c r="P4835" s="438"/>
      <c r="Q4835" s="442"/>
      <c r="R4835" s="443"/>
      <c r="S4835" s="364"/>
      <c r="Z4835" s="609" t="s">
        <v>4305</v>
      </c>
      <c r="AA4835" s="609" t="s">
        <v>4306</v>
      </c>
    </row>
    <row r="4836" spans="1:27" ht="18">
      <c r="A4836" s="2714"/>
      <c r="B4836" s="371">
        <v>103</v>
      </c>
      <c r="C4836" s="371" t="s">
        <v>2791</v>
      </c>
      <c r="D4836" s="2716">
        <f t="shared" si="532"/>
        <v>0</v>
      </c>
      <c r="E4836" s="2721">
        <v>1</v>
      </c>
      <c r="F4836" s="293"/>
      <c r="G4836" s="319" t="s">
        <v>2792</v>
      </c>
      <c r="H4836" s="309"/>
      <c r="I4836" s="1475">
        <v>0</v>
      </c>
      <c r="J4836" s="438"/>
      <c r="K4836" s="439"/>
      <c r="L4836" s="437"/>
      <c r="M4836" s="438"/>
      <c r="N4836" s="439"/>
      <c r="O4836" s="437"/>
      <c r="P4836" s="438"/>
      <c r="Q4836" s="442"/>
      <c r="R4836" s="443"/>
      <c r="S4836" s="364"/>
      <c r="Z4836" s="609" t="s">
        <v>4305</v>
      </c>
      <c r="AA4836" s="609" t="s">
        <v>4306</v>
      </c>
    </row>
    <row r="4837" spans="1:27" ht="18">
      <c r="A4837" s="2714"/>
      <c r="B4837" s="371">
        <v>104</v>
      </c>
      <c r="C4837" s="371" t="s">
        <v>2791</v>
      </c>
      <c r="D4837" s="2716">
        <f t="shared" si="532"/>
        <v>0</v>
      </c>
      <c r="E4837" s="2721">
        <v>1</v>
      </c>
      <c r="F4837" s="293"/>
      <c r="G4837" s="319" t="s">
        <v>2792</v>
      </c>
      <c r="H4837" s="309"/>
      <c r="I4837" s="1475">
        <v>0</v>
      </c>
      <c r="J4837" s="438"/>
      <c r="K4837" s="439"/>
      <c r="L4837" s="437"/>
      <c r="M4837" s="438"/>
      <c r="N4837" s="439"/>
      <c r="O4837" s="437"/>
      <c r="P4837" s="438"/>
      <c r="Q4837" s="442"/>
      <c r="R4837" s="443"/>
      <c r="S4837" s="364"/>
      <c r="Z4837" s="609" t="s">
        <v>4305</v>
      </c>
      <c r="AA4837" s="609" t="s">
        <v>4306</v>
      </c>
    </row>
    <row r="4838" spans="1:27" ht="18">
      <c r="A4838" s="2714"/>
      <c r="B4838" s="371">
        <v>105</v>
      </c>
      <c r="C4838" s="371" t="s">
        <v>2791</v>
      </c>
      <c r="D4838" s="2716">
        <f t="shared" si="532"/>
        <v>0</v>
      </c>
      <c r="E4838" s="2721">
        <v>1</v>
      </c>
      <c r="F4838" s="293"/>
      <c r="G4838" s="319" t="s">
        <v>2792</v>
      </c>
      <c r="H4838" s="309"/>
      <c r="I4838" s="1475">
        <v>0</v>
      </c>
      <c r="J4838" s="438"/>
      <c r="K4838" s="439"/>
      <c r="L4838" s="437"/>
      <c r="M4838" s="438"/>
      <c r="N4838" s="439"/>
      <c r="O4838" s="437"/>
      <c r="P4838" s="438"/>
      <c r="Q4838" s="442"/>
      <c r="R4838" s="443"/>
      <c r="S4838" s="364"/>
      <c r="Z4838" s="609" t="s">
        <v>4305</v>
      </c>
      <c r="AA4838" s="609" t="s">
        <v>4306</v>
      </c>
    </row>
    <row r="4839" spans="1:27" ht="18">
      <c r="A4839" s="2714"/>
      <c r="B4839" s="371">
        <v>106</v>
      </c>
      <c r="C4839" s="371" t="s">
        <v>2791</v>
      </c>
      <c r="D4839" s="2716">
        <f t="shared" si="532"/>
        <v>0</v>
      </c>
      <c r="E4839" s="2721">
        <v>1</v>
      </c>
      <c r="F4839" s="293"/>
      <c r="G4839" s="319" t="s">
        <v>2792</v>
      </c>
      <c r="H4839" s="309"/>
      <c r="I4839" s="1475">
        <v>0</v>
      </c>
      <c r="J4839" s="438"/>
      <c r="K4839" s="439"/>
      <c r="L4839" s="437"/>
      <c r="M4839" s="438"/>
      <c r="N4839" s="439"/>
      <c r="O4839" s="437"/>
      <c r="P4839" s="438"/>
      <c r="Q4839" s="442"/>
      <c r="R4839" s="443"/>
      <c r="S4839" s="364"/>
      <c r="Z4839" s="609" t="s">
        <v>4305</v>
      </c>
      <c r="AA4839" s="609" t="s">
        <v>4306</v>
      </c>
    </row>
    <row r="4840" spans="1:27" ht="18">
      <c r="A4840" s="2714"/>
      <c r="B4840" s="371">
        <v>107</v>
      </c>
      <c r="C4840" s="371" t="s">
        <v>2791</v>
      </c>
      <c r="D4840" s="2716">
        <f t="shared" si="532"/>
        <v>0</v>
      </c>
      <c r="E4840" s="2721">
        <v>1</v>
      </c>
      <c r="F4840" s="293"/>
      <c r="G4840" s="319" t="s">
        <v>2792</v>
      </c>
      <c r="H4840" s="309"/>
      <c r="I4840" s="1475">
        <v>0</v>
      </c>
      <c r="J4840" s="438"/>
      <c r="K4840" s="439"/>
      <c r="L4840" s="437"/>
      <c r="M4840" s="438"/>
      <c r="N4840" s="439"/>
      <c r="O4840" s="437"/>
      <c r="P4840" s="438"/>
      <c r="Q4840" s="442"/>
      <c r="R4840" s="443"/>
      <c r="S4840" s="364"/>
      <c r="Z4840" s="609" t="s">
        <v>4305</v>
      </c>
      <c r="AA4840" s="609" t="s">
        <v>4306</v>
      </c>
    </row>
    <row r="4841" spans="1:27" ht="18">
      <c r="A4841" s="2714"/>
      <c r="B4841" s="371">
        <v>108</v>
      </c>
      <c r="C4841" s="371" t="s">
        <v>2791</v>
      </c>
      <c r="D4841" s="2716">
        <f t="shared" si="532"/>
        <v>0</v>
      </c>
      <c r="E4841" s="2721">
        <v>1</v>
      </c>
      <c r="F4841" s="293"/>
      <c r="G4841" s="319" t="s">
        <v>2792</v>
      </c>
      <c r="H4841" s="309"/>
      <c r="I4841" s="1475">
        <v>0</v>
      </c>
      <c r="J4841" s="438"/>
      <c r="K4841" s="439"/>
      <c r="L4841" s="437"/>
      <c r="M4841" s="438"/>
      <c r="N4841" s="439"/>
      <c r="O4841" s="437"/>
      <c r="P4841" s="438"/>
      <c r="Q4841" s="442"/>
      <c r="R4841" s="443"/>
      <c r="S4841" s="364"/>
      <c r="Z4841" s="609" t="s">
        <v>4305</v>
      </c>
      <c r="AA4841" s="609" t="s">
        <v>4306</v>
      </c>
    </row>
    <row r="4842" spans="1:27" ht="18.75" thickBot="1">
      <c r="A4842" s="2714"/>
      <c r="B4842" s="371"/>
      <c r="C4842" s="371"/>
      <c r="D4842" s="2716">
        <f t="shared" si="532"/>
        <v>1</v>
      </c>
      <c r="E4842" s="2721" t="s">
        <v>2751</v>
      </c>
      <c r="F4842" s="293"/>
      <c r="G4842" s="2234" t="s">
        <v>2752</v>
      </c>
      <c r="H4842" s="2325">
        <f>SUMPRODUCT($E4833:$E4841,H4833:H4841)</f>
        <v>0</v>
      </c>
      <c r="I4842" s="2342">
        <f>SUMPRODUCT($E4833:$E4841,I4833:I4841)</f>
        <v>0</v>
      </c>
      <c r="J4842" s="440"/>
      <c r="K4842" s="439"/>
      <c r="L4842" s="437"/>
      <c r="M4842" s="440"/>
      <c r="N4842" s="439"/>
      <c r="O4842" s="437"/>
      <c r="P4842" s="440"/>
      <c r="Q4842" s="442"/>
      <c r="R4842" s="443"/>
      <c r="S4842" s="364"/>
      <c r="Z4842" s="609" t="s">
        <v>4305</v>
      </c>
      <c r="AA4842" s="609" t="s">
        <v>4306</v>
      </c>
    </row>
    <row r="4843" spans="1:27" ht="18">
      <c r="A4843" s="2714"/>
      <c r="B4843" s="371"/>
      <c r="C4843" s="371" t="s">
        <v>2755</v>
      </c>
      <c r="D4843" s="2716"/>
      <c r="F4843" s="293"/>
      <c r="G4843" s="376"/>
      <c r="H4843" s="315"/>
      <c r="I4843" s="396"/>
      <c r="J4843" s="425"/>
      <c r="K4843" s="426"/>
      <c r="L4843" s="427"/>
      <c r="M4843" s="425"/>
      <c r="N4843" s="426"/>
      <c r="O4843" s="427"/>
      <c r="P4843" s="425"/>
      <c r="Q4843" s="442"/>
      <c r="R4843" s="443"/>
      <c r="S4843" s="364"/>
      <c r="Z4843" s="609" t="s">
        <v>4305</v>
      </c>
      <c r="AA4843" s="609" t="s">
        <v>4306</v>
      </c>
    </row>
    <row r="4844" spans="1:27" ht="18">
      <c r="A4844" s="2714">
        <v>6101</v>
      </c>
      <c r="B4844" s="371">
        <v>70</v>
      </c>
      <c r="C4844" s="2716" t="str">
        <f>VLOOKUP($A4844,Sheet_Items,2,0)</f>
        <v>公允价值变动收益</v>
      </c>
      <c r="D4844" s="371"/>
      <c r="E4844" s="2716" t="s">
        <v>2739</v>
      </c>
      <c r="F4844" s="294"/>
      <c r="G4844" s="305" t="str">
        <f>B4844&amp;" "&amp;C4844</f>
        <v>70 公允价值变动收益</v>
      </c>
      <c r="H4844" s="306"/>
      <c r="I4844" s="306"/>
      <c r="J4844" s="306" t="s">
        <v>4206</v>
      </c>
      <c r="K4844" s="341">
        <f>VLOOKUP($A4844,Sheet_Trialbal,6,0)</f>
        <v>0</v>
      </c>
      <c r="L4844" s="342"/>
      <c r="M4844" s="306" t="s">
        <v>4207</v>
      </c>
      <c r="N4844" s="341">
        <f>VLOOKUP($A4844,Sheet_Trialbal,10,0)</f>
        <v>0</v>
      </c>
      <c r="O4844" s="306"/>
      <c r="P4844" s="301"/>
      <c r="S4844" s="364"/>
      <c r="Z4844" s="609" t="s">
        <v>4308</v>
      </c>
      <c r="AA4844" s="609" t="s">
        <v>5713</v>
      </c>
    </row>
    <row r="4845" spans="1:27" ht="24">
      <c r="A4845" s="2714" t="s">
        <v>6091</v>
      </c>
      <c r="B4845" s="371">
        <v>1</v>
      </c>
      <c r="C4845" s="371"/>
      <c r="D4845" s="2716" t="str">
        <f>VLOOKUP($A4845,Sheet_NoteList,2,0)</f>
        <v>公允价值变动收益明细项目列示</v>
      </c>
      <c r="E4845" s="2716" t="s">
        <v>6530</v>
      </c>
      <c r="F4845" s="293"/>
      <c r="G4845" s="372" t="str">
        <f>"("&amp;B4845&amp;")"&amp;D4845</f>
        <v>(1)公允价值变动收益明细项目列示</v>
      </c>
      <c r="H4845" s="1517" t="str">
        <f>$A4845</f>
        <v>6101b</v>
      </c>
      <c r="I4845" s="343" t="s">
        <v>6093</v>
      </c>
      <c r="J4845" s="301" t="s">
        <v>6094</v>
      </c>
      <c r="K4845" s="2210">
        <f>H4856</f>
        <v>0</v>
      </c>
      <c r="L4845" s="349" t="str">
        <f>IF($I4845="适用",IF(ROUND(K$4844-K4845,2)=0,"F/S",ROUND(K$4844-K4845,2)),"#N/A")</f>
        <v>F/S</v>
      </c>
      <c r="M4845" s="301" t="s">
        <v>6095</v>
      </c>
      <c r="N4845" s="2210">
        <f>I4856</f>
        <v>0</v>
      </c>
      <c r="O4845" s="349" t="str">
        <f>IF($I4845="适用",IF(ROUND(N$4844-N4845,2)=0,"F/S",ROUND(N$4844-N4845,2)),"#N/A")</f>
        <v>F/S</v>
      </c>
      <c r="P4845" s="301"/>
      <c r="S4845" s="364"/>
      <c r="Z4845" s="609" t="s">
        <v>4308</v>
      </c>
      <c r="AA4845" s="609" t="s">
        <v>5713</v>
      </c>
    </row>
    <row r="4846" spans="1:27" ht="0.75" customHeight="1" thickBot="1">
      <c r="A4846" s="2714"/>
      <c r="B4846" s="371"/>
      <c r="C4846" s="371"/>
      <c r="D4846" s="2716"/>
      <c r="E4846" s="586"/>
      <c r="F4846" s="586"/>
      <c r="G4846" s="2224" t="s">
        <v>6096</v>
      </c>
      <c r="H4846" s="1617" t="s">
        <v>4223</v>
      </c>
      <c r="I4846" s="371" t="s">
        <v>4224</v>
      </c>
      <c r="J4846" s="301"/>
      <c r="K4846" s="391"/>
      <c r="L4846" s="349"/>
      <c r="M4846" s="301"/>
      <c r="N4846" s="391"/>
      <c r="O4846" s="349"/>
      <c r="P4846" s="301"/>
      <c r="S4846" s="364"/>
      <c r="Z4846" s="609" t="s">
        <v>4308</v>
      </c>
      <c r="AA4846" s="609" t="s">
        <v>5713</v>
      </c>
    </row>
    <row r="4847" spans="1:27" ht="18">
      <c r="A4847" s="2714"/>
      <c r="B4847" s="371"/>
      <c r="C4847" s="371"/>
      <c r="D4847" s="2716"/>
      <c r="E4847" s="586" t="s">
        <v>2749</v>
      </c>
      <c r="F4847" s="414"/>
      <c r="G4847" s="2453" t="s">
        <v>1878</v>
      </c>
      <c r="H4847" s="2523" t="str">
        <f>$V$4</f>
        <v>2019年度</v>
      </c>
      <c r="I4847" s="2524" t="str">
        <f>$V$5</f>
        <v>2018年度</v>
      </c>
      <c r="J4847" s="355" t="s">
        <v>5335</v>
      </c>
      <c r="K4847" s="391"/>
      <c r="L4847" s="349"/>
      <c r="M4847" s="301"/>
      <c r="N4847" s="391"/>
      <c r="O4847" s="349"/>
      <c r="P4847" s="301"/>
      <c r="S4847" s="364"/>
      <c r="Z4847" s="609" t="s">
        <v>4308</v>
      </c>
      <c r="AA4847" s="609" t="s">
        <v>5713</v>
      </c>
    </row>
    <row r="4848" spans="1:27" ht="18">
      <c r="A4848" s="2714"/>
      <c r="B4848" s="371">
        <v>101</v>
      </c>
      <c r="C4848" s="371"/>
      <c r="D4848" s="2716">
        <f t="shared" ref="D4848:D4856" si="533">IF(OR(G4848="*",G4848="",G4848=0),0,COUNTIF($G$4848:$G$4856,G4848))</f>
        <v>1</v>
      </c>
      <c r="E4848" s="2721">
        <v>1</v>
      </c>
      <c r="F4848" s="294"/>
      <c r="G4848" s="1474" t="s">
        <v>71</v>
      </c>
      <c r="H4848" s="2275"/>
      <c r="I4848" s="2296"/>
      <c r="J4848" s="301"/>
      <c r="K4848" s="391"/>
      <c r="L4848" s="349"/>
      <c r="M4848" s="301"/>
      <c r="N4848" s="391"/>
      <c r="O4848" s="349"/>
      <c r="P4848" s="301"/>
      <c r="S4848" s="364"/>
      <c r="Z4848" s="609" t="s">
        <v>4308</v>
      </c>
      <c r="AA4848" s="609" t="s">
        <v>5713</v>
      </c>
    </row>
    <row r="4849" spans="1:31" ht="24">
      <c r="A4849" s="2714"/>
      <c r="B4849" s="371">
        <v>102</v>
      </c>
      <c r="C4849" s="371"/>
      <c r="D4849" s="2716">
        <f t="shared" si="533"/>
        <v>1</v>
      </c>
      <c r="E4849" s="2721">
        <v>0</v>
      </c>
      <c r="F4849" s="294"/>
      <c r="G4849" s="1474" t="s">
        <v>4310</v>
      </c>
      <c r="H4849" s="2275"/>
      <c r="I4849" s="2296"/>
      <c r="J4849" s="301"/>
      <c r="K4849" s="391"/>
      <c r="L4849" s="349"/>
      <c r="M4849" s="301"/>
      <c r="N4849" s="391"/>
      <c r="O4849" s="349"/>
      <c r="P4849" s="301"/>
      <c r="S4849" s="364"/>
      <c r="Z4849" s="609" t="s">
        <v>4308</v>
      </c>
      <c r="AA4849" s="609" t="s">
        <v>5713</v>
      </c>
    </row>
    <row r="4850" spans="1:31" ht="24">
      <c r="A4850" s="2714"/>
      <c r="B4850" s="371">
        <v>103</v>
      </c>
      <c r="C4850" s="371"/>
      <c r="D4850" s="2716">
        <f t="shared" si="533"/>
        <v>1</v>
      </c>
      <c r="E4850" s="2721">
        <v>1</v>
      </c>
      <c r="F4850" s="294"/>
      <c r="G4850" s="1474" t="s">
        <v>4311</v>
      </c>
      <c r="H4850" s="2275"/>
      <c r="I4850" s="2296"/>
      <c r="J4850" s="301"/>
      <c r="K4850" s="391"/>
      <c r="L4850" s="349"/>
      <c r="M4850" s="301"/>
      <c r="N4850" s="391"/>
      <c r="O4850" s="349"/>
      <c r="P4850" s="301"/>
      <c r="S4850" s="364"/>
      <c r="Z4850" s="609" t="s">
        <v>4308</v>
      </c>
      <c r="AA4850" s="609" t="s">
        <v>5713</v>
      </c>
    </row>
    <row r="4851" spans="1:31" ht="18">
      <c r="A4851" s="2714"/>
      <c r="B4851" s="371">
        <v>104</v>
      </c>
      <c r="C4851" s="371"/>
      <c r="D4851" s="2716">
        <f t="shared" si="533"/>
        <v>1</v>
      </c>
      <c r="E4851" s="2721">
        <v>1</v>
      </c>
      <c r="F4851" s="294"/>
      <c r="G4851" s="1474" t="s">
        <v>462</v>
      </c>
      <c r="H4851" s="2275"/>
      <c r="I4851" s="2296"/>
      <c r="J4851" s="301"/>
      <c r="K4851" s="391"/>
      <c r="L4851" s="349"/>
      <c r="M4851" s="301"/>
      <c r="N4851" s="391"/>
      <c r="O4851" s="349"/>
      <c r="P4851" s="301"/>
      <c r="S4851" s="364"/>
      <c r="Z4851" s="609" t="s">
        <v>4308</v>
      </c>
      <c r="AA4851" s="609" t="s">
        <v>5713</v>
      </c>
    </row>
    <row r="4852" spans="1:31" ht="24">
      <c r="A4852" s="2714"/>
      <c r="B4852" s="371">
        <v>105</v>
      </c>
      <c r="C4852" s="371"/>
      <c r="D4852" s="2716">
        <f t="shared" si="533"/>
        <v>1</v>
      </c>
      <c r="E4852" s="2721">
        <v>0</v>
      </c>
      <c r="F4852" s="294"/>
      <c r="G4852" s="1474" t="s">
        <v>4312</v>
      </c>
      <c r="H4852" s="2275"/>
      <c r="I4852" s="2296"/>
      <c r="J4852" s="301"/>
      <c r="K4852" s="391"/>
      <c r="L4852" s="349"/>
      <c r="M4852" s="301"/>
      <c r="N4852" s="391"/>
      <c r="O4852" s="349"/>
      <c r="P4852" s="301"/>
      <c r="S4852" s="364"/>
      <c r="Z4852" s="609" t="s">
        <v>4308</v>
      </c>
      <c r="AA4852" s="609" t="s">
        <v>5713</v>
      </c>
    </row>
    <row r="4853" spans="1:31" ht="24">
      <c r="A4853" s="2714"/>
      <c r="B4853" s="371">
        <v>106</v>
      </c>
      <c r="C4853" s="371"/>
      <c r="D4853" s="2716">
        <f t="shared" si="533"/>
        <v>1</v>
      </c>
      <c r="E4853" s="2721">
        <v>1</v>
      </c>
      <c r="F4853" s="294"/>
      <c r="G4853" s="1474" t="s">
        <v>4313</v>
      </c>
      <c r="H4853" s="2275"/>
      <c r="I4853" s="2296"/>
      <c r="J4853" s="301"/>
      <c r="K4853" s="391"/>
      <c r="L4853" s="349"/>
      <c r="M4853" s="301"/>
      <c r="N4853" s="391"/>
      <c r="O4853" s="349"/>
      <c r="P4853" s="301"/>
      <c r="S4853" s="364"/>
      <c r="Z4853" s="609" t="s">
        <v>4308</v>
      </c>
      <c r="AA4853" s="609" t="s">
        <v>5713</v>
      </c>
    </row>
    <row r="4854" spans="1:31" ht="18">
      <c r="A4854" s="2714"/>
      <c r="B4854" s="371">
        <v>107</v>
      </c>
      <c r="C4854" s="371"/>
      <c r="D4854" s="2716">
        <f t="shared" si="533"/>
        <v>1</v>
      </c>
      <c r="E4854" s="2721">
        <v>1</v>
      </c>
      <c r="F4854" s="294"/>
      <c r="G4854" s="1474" t="s">
        <v>329</v>
      </c>
      <c r="H4854" s="2275"/>
      <c r="I4854" s="2296"/>
      <c r="J4854" s="301"/>
      <c r="K4854" s="391"/>
      <c r="L4854" s="349"/>
      <c r="M4854" s="301"/>
      <c r="N4854" s="391"/>
      <c r="O4854" s="349"/>
      <c r="P4854" s="301"/>
      <c r="S4854" s="364"/>
      <c r="Z4854" s="609" t="s">
        <v>4308</v>
      </c>
      <c r="AA4854" s="609" t="s">
        <v>5713</v>
      </c>
    </row>
    <row r="4855" spans="1:31" ht="18">
      <c r="A4855" s="2714"/>
      <c r="B4855" s="371">
        <v>108</v>
      </c>
      <c r="C4855" s="371" t="s">
        <v>2791</v>
      </c>
      <c r="D4855" s="2716">
        <f t="shared" si="533"/>
        <v>0</v>
      </c>
      <c r="E4855" s="2721">
        <v>1</v>
      </c>
      <c r="F4855" s="294"/>
      <c r="G4855" s="2467" t="s">
        <v>2792</v>
      </c>
      <c r="H4855" s="2275"/>
      <c r="I4855" s="2296"/>
      <c r="J4855" s="301"/>
      <c r="K4855" s="391"/>
      <c r="L4855" s="349"/>
      <c r="M4855" s="301"/>
      <c r="N4855" s="391"/>
      <c r="O4855" s="349"/>
      <c r="P4855" s="301"/>
      <c r="S4855" s="364"/>
      <c r="Z4855" s="609" t="s">
        <v>4308</v>
      </c>
      <c r="AA4855" s="609" t="s">
        <v>5713</v>
      </c>
    </row>
    <row r="4856" spans="1:31" ht="18.75" thickBot="1">
      <c r="A4856" s="2714"/>
      <c r="B4856" s="371"/>
      <c r="C4856" s="371"/>
      <c r="D4856" s="2716">
        <f t="shared" si="533"/>
        <v>1</v>
      </c>
      <c r="E4856" s="2721" t="s">
        <v>2751</v>
      </c>
      <c r="F4856" s="293"/>
      <c r="G4856" s="2234" t="s">
        <v>2752</v>
      </c>
      <c r="H4856" s="2235">
        <f>SUMPRODUCT($E4847:$E4855,H4847:H4855)</f>
        <v>0</v>
      </c>
      <c r="I4856" s="2236">
        <f>SUMPRODUCT($E4847:$E4855,I4847:I4855)</f>
        <v>0</v>
      </c>
      <c r="J4856" s="301"/>
      <c r="K4856" s="391"/>
      <c r="L4856" s="349"/>
      <c r="M4856" s="301"/>
      <c r="N4856" s="391"/>
      <c r="O4856" s="349"/>
      <c r="P4856" s="301"/>
      <c r="S4856" s="364"/>
      <c r="Z4856" s="609" t="s">
        <v>4308</v>
      </c>
      <c r="AA4856" s="609" t="s">
        <v>5713</v>
      </c>
    </row>
    <row r="4857" spans="1:31" ht="18">
      <c r="A4857" s="2714"/>
      <c r="B4857" s="371"/>
      <c r="C4857" s="371" t="s">
        <v>2755</v>
      </c>
      <c r="D4857" s="2716"/>
      <c r="F4857" s="293"/>
      <c r="G4857" s="376"/>
      <c r="H4857" s="1576"/>
      <c r="I4857" s="396"/>
      <c r="J4857" s="301"/>
      <c r="K4857" s="391"/>
      <c r="L4857" s="349"/>
      <c r="M4857" s="301"/>
      <c r="N4857" s="391"/>
      <c r="O4857" s="349"/>
      <c r="P4857" s="301"/>
      <c r="S4857" s="364"/>
      <c r="Z4857" s="609" t="s">
        <v>4308</v>
      </c>
      <c r="AA4857" s="609" t="s">
        <v>5713</v>
      </c>
    </row>
    <row r="4858" spans="1:31" ht="24" hidden="1">
      <c r="A4858" s="2714" t="s">
        <v>1876</v>
      </c>
      <c r="B4858" s="371">
        <v>1</v>
      </c>
      <c r="C4858" s="371"/>
      <c r="D4858" s="2716" t="str">
        <f>VLOOKUP($A4858,Sheet_NoteList,2,0)</f>
        <v>公允价值变动收益明细项目</v>
      </c>
      <c r="E4858" s="2716" t="s">
        <v>6631</v>
      </c>
      <c r="F4858" s="294"/>
      <c r="G4858" s="372" t="str">
        <f>"("&amp;B4858&amp;")"&amp;D4858</f>
        <v>(1)公允价值变动收益明细项目</v>
      </c>
      <c r="H4858" s="1517" t="str">
        <f>$A4858</f>
        <v>6101a</v>
      </c>
      <c r="I4858" s="343" t="s">
        <v>6630</v>
      </c>
      <c r="J4858" s="301" t="s">
        <v>6632</v>
      </c>
      <c r="K4858" s="344">
        <f>H4869</f>
        <v>0</v>
      </c>
      <c r="L4858" s="345" t="str">
        <f>IF($I4858="适用",IF(ROUND(K4844-K4858,2)=0,"F/S",ROUND(K4844-K4858,2)),"#N/A")</f>
        <v>#N/A</v>
      </c>
      <c r="M4858" s="301" t="s">
        <v>6633</v>
      </c>
      <c r="N4858" s="344">
        <f>I4869</f>
        <v>0</v>
      </c>
      <c r="O4858" s="345" t="str">
        <f>IF($I4858="适用",IF(ROUND(N4844-N4858,2)=0,"F/S",ROUND(N4844-N4858,2)),"#N/A")</f>
        <v>#N/A</v>
      </c>
      <c r="P4858" s="301"/>
      <c r="Q4858" s="290" t="str">
        <f>IF($I4858="不适用","",IF(ROUND(SUM($H$4861:$I$4869),2)=0,"请输入",""))</f>
        <v/>
      </c>
      <c r="S4858" s="364"/>
      <c r="Z4858" s="609" t="s">
        <v>4308</v>
      </c>
      <c r="AA4858" s="609" t="s">
        <v>5713</v>
      </c>
      <c r="AE4858" s="369" t="s">
        <v>2761</v>
      </c>
    </row>
    <row r="4859" spans="1:31" ht="0.75" hidden="1" customHeight="1" thickBot="1">
      <c r="A4859" s="2714"/>
      <c r="B4859" s="371"/>
      <c r="C4859" s="371"/>
      <c r="D4859" s="371"/>
      <c r="E4859" s="586"/>
      <c r="F4859" s="586"/>
      <c r="G4859" s="586" t="s">
        <v>4309</v>
      </c>
      <c r="H4859" s="371" t="s">
        <v>4223</v>
      </c>
      <c r="I4859" s="371" t="s">
        <v>4224</v>
      </c>
      <c r="J4859" s="291"/>
      <c r="K4859" s="291"/>
      <c r="L4859" s="291"/>
      <c r="M4859" s="291"/>
      <c r="S4859" s="364"/>
      <c r="Z4859" s="609" t="s">
        <v>4308</v>
      </c>
      <c r="AA4859" s="609" t="s">
        <v>5713</v>
      </c>
      <c r="AE4859" s="369" t="s">
        <v>2761</v>
      </c>
    </row>
    <row r="4860" spans="1:31" ht="18" hidden="1">
      <c r="A4860" s="2714"/>
      <c r="B4860" s="371"/>
      <c r="C4860" s="371"/>
      <c r="D4860" s="371"/>
      <c r="E4860" s="586" t="s">
        <v>2749</v>
      </c>
      <c r="F4860" s="363"/>
      <c r="G4860" s="2569" t="s">
        <v>1878</v>
      </c>
      <c r="H4860" s="2557" t="s">
        <v>4242</v>
      </c>
      <c r="I4860" s="2572" t="s">
        <v>4245</v>
      </c>
      <c r="J4860" s="2452" t="s">
        <v>5990</v>
      </c>
      <c r="K4860" s="291"/>
      <c r="L4860" s="291"/>
      <c r="M4860" s="291"/>
      <c r="S4860" s="364"/>
      <c r="Z4860" s="609" t="s">
        <v>4308</v>
      </c>
      <c r="AA4860" s="609" t="s">
        <v>5713</v>
      </c>
      <c r="AE4860" s="369" t="s">
        <v>2761</v>
      </c>
    </row>
    <row r="4861" spans="1:31" ht="24" hidden="1">
      <c r="A4861" s="2714"/>
      <c r="B4861" s="371">
        <v>101</v>
      </c>
      <c r="C4861" s="371"/>
      <c r="D4861" s="2716">
        <f t="shared" ref="D4861:D4869" si="534">IF(OR(G4861="*",G4861="",G4861=0),0,COUNTIF($G$4861:$G$4869,G4861))</f>
        <v>1</v>
      </c>
      <c r="E4861" s="2721">
        <v>1</v>
      </c>
      <c r="F4861" s="294"/>
      <c r="G4861" s="1474" t="s">
        <v>6098</v>
      </c>
      <c r="H4861" s="2275"/>
      <c r="I4861" s="2296"/>
      <c r="J4861" s="291"/>
      <c r="K4861" s="291"/>
      <c r="L4861" s="291"/>
      <c r="M4861" s="291"/>
      <c r="S4861" s="364"/>
      <c r="Z4861" s="609" t="s">
        <v>4308</v>
      </c>
      <c r="AA4861" s="609" t="s">
        <v>5713</v>
      </c>
      <c r="AE4861" s="369" t="s">
        <v>2761</v>
      </c>
    </row>
    <row r="4862" spans="1:31" ht="24" hidden="1">
      <c r="A4862" s="2714"/>
      <c r="B4862" s="371">
        <v>102</v>
      </c>
      <c r="C4862" s="371"/>
      <c r="D4862" s="2716">
        <f t="shared" si="534"/>
        <v>1</v>
      </c>
      <c r="E4862" s="2721">
        <v>0</v>
      </c>
      <c r="F4862" s="294"/>
      <c r="G4862" s="1474" t="s">
        <v>6099</v>
      </c>
      <c r="H4862" s="2275"/>
      <c r="I4862" s="2296"/>
      <c r="J4862" s="291"/>
      <c r="K4862" s="291"/>
      <c r="L4862" s="291"/>
      <c r="M4862" s="291"/>
      <c r="S4862" s="364"/>
      <c r="Z4862" s="609" t="s">
        <v>4308</v>
      </c>
      <c r="AA4862" s="609" t="s">
        <v>5713</v>
      </c>
      <c r="AE4862" s="369" t="s">
        <v>2761</v>
      </c>
    </row>
    <row r="4863" spans="1:31" ht="24" hidden="1">
      <c r="A4863" s="2714"/>
      <c r="B4863" s="371">
        <v>103</v>
      </c>
      <c r="C4863" s="371"/>
      <c r="D4863" s="2716">
        <f t="shared" si="534"/>
        <v>1</v>
      </c>
      <c r="E4863" s="2721">
        <v>1</v>
      </c>
      <c r="F4863" s="294"/>
      <c r="G4863" s="1474" t="s">
        <v>6100</v>
      </c>
      <c r="H4863" s="2275"/>
      <c r="I4863" s="2296"/>
      <c r="J4863" s="291"/>
      <c r="K4863" s="291"/>
      <c r="L4863" s="291"/>
      <c r="M4863" s="291"/>
      <c r="S4863" s="364"/>
      <c r="Z4863" s="609" t="s">
        <v>4308</v>
      </c>
      <c r="AA4863" s="609" t="s">
        <v>5713</v>
      </c>
      <c r="AE4863" s="369" t="s">
        <v>2761</v>
      </c>
    </row>
    <row r="4864" spans="1:31" ht="24" hidden="1">
      <c r="A4864" s="2714"/>
      <c r="B4864" s="371">
        <v>104</v>
      </c>
      <c r="C4864" s="371"/>
      <c r="D4864" s="2716">
        <f t="shared" si="534"/>
        <v>1</v>
      </c>
      <c r="E4864" s="2721">
        <v>1</v>
      </c>
      <c r="F4864" s="294"/>
      <c r="G4864" s="1474" t="s">
        <v>4313</v>
      </c>
      <c r="H4864" s="2275"/>
      <c r="I4864" s="2296"/>
      <c r="J4864" s="291"/>
      <c r="K4864" s="291"/>
      <c r="L4864" s="291"/>
      <c r="M4864" s="291"/>
      <c r="S4864" s="364"/>
      <c r="Z4864" s="609" t="s">
        <v>4308</v>
      </c>
      <c r="AA4864" s="609" t="s">
        <v>5713</v>
      </c>
      <c r="AE4864" s="369" t="s">
        <v>2761</v>
      </c>
    </row>
    <row r="4865" spans="1:31" ht="18" hidden="1">
      <c r="A4865" s="2714"/>
      <c r="B4865" s="371">
        <v>105</v>
      </c>
      <c r="C4865" s="371"/>
      <c r="D4865" s="2716">
        <f t="shared" si="534"/>
        <v>1</v>
      </c>
      <c r="E4865" s="2721">
        <v>1</v>
      </c>
      <c r="F4865" s="294"/>
      <c r="G4865" s="1474" t="s">
        <v>6097</v>
      </c>
      <c r="H4865" s="2275"/>
      <c r="I4865" s="2296"/>
      <c r="J4865" s="291"/>
      <c r="K4865" s="291"/>
      <c r="L4865" s="291"/>
      <c r="M4865" s="291"/>
      <c r="S4865" s="364"/>
      <c r="Z4865" s="609" t="s">
        <v>4308</v>
      </c>
      <c r="AA4865" s="609" t="s">
        <v>5713</v>
      </c>
      <c r="AE4865" s="369" t="s">
        <v>2761</v>
      </c>
    </row>
    <row r="4866" spans="1:31" ht="18" hidden="1">
      <c r="A4866" s="2714"/>
      <c r="B4866" s="371">
        <v>106</v>
      </c>
      <c r="C4866" s="371"/>
      <c r="D4866" s="2716">
        <f t="shared" si="534"/>
        <v>1</v>
      </c>
      <c r="E4866" s="2721">
        <v>1</v>
      </c>
      <c r="F4866" s="294"/>
      <c r="G4866" s="1474" t="s">
        <v>932</v>
      </c>
      <c r="H4866" s="2275"/>
      <c r="I4866" s="2296"/>
      <c r="J4866" s="291"/>
      <c r="K4866" s="291"/>
      <c r="L4866" s="291"/>
      <c r="M4866" s="291"/>
      <c r="S4866" s="364"/>
      <c r="Z4866" s="609" t="s">
        <v>4308</v>
      </c>
      <c r="AA4866" s="609" t="s">
        <v>5713</v>
      </c>
      <c r="AE4866" s="369" t="s">
        <v>2761</v>
      </c>
    </row>
    <row r="4867" spans="1:31" ht="18" hidden="1">
      <c r="A4867" s="2714"/>
      <c r="B4867" s="371">
        <v>107</v>
      </c>
      <c r="C4867" s="371" t="s">
        <v>2791</v>
      </c>
      <c r="D4867" s="2716">
        <f t="shared" si="534"/>
        <v>0</v>
      </c>
      <c r="E4867" s="2721">
        <v>1</v>
      </c>
      <c r="F4867" s="294"/>
      <c r="G4867" s="2467" t="s">
        <v>5146</v>
      </c>
      <c r="H4867" s="2275"/>
      <c r="I4867" s="2296"/>
      <c r="J4867" s="291"/>
      <c r="K4867" s="291"/>
      <c r="L4867" s="291"/>
      <c r="M4867" s="291"/>
      <c r="S4867" s="364"/>
      <c r="Z4867" s="609" t="s">
        <v>4308</v>
      </c>
      <c r="AA4867" s="609" t="s">
        <v>5713</v>
      </c>
      <c r="AE4867" s="369" t="s">
        <v>2761</v>
      </c>
    </row>
    <row r="4868" spans="1:31" ht="18" hidden="1">
      <c r="A4868" s="2714"/>
      <c r="B4868" s="371">
        <v>108</v>
      </c>
      <c r="C4868" s="371" t="s">
        <v>2791</v>
      </c>
      <c r="D4868" s="2716">
        <f t="shared" si="534"/>
        <v>0</v>
      </c>
      <c r="E4868" s="2721">
        <v>1</v>
      </c>
      <c r="F4868" s="294"/>
      <c r="G4868" s="2467" t="s">
        <v>2792</v>
      </c>
      <c r="H4868" s="2275"/>
      <c r="I4868" s="2296"/>
      <c r="J4868" s="291"/>
      <c r="K4868" s="291"/>
      <c r="L4868" s="291"/>
      <c r="M4868" s="291"/>
      <c r="S4868" s="364"/>
      <c r="Z4868" s="609" t="s">
        <v>4308</v>
      </c>
      <c r="AA4868" s="609" t="s">
        <v>5713</v>
      </c>
      <c r="AE4868" s="369" t="s">
        <v>2761</v>
      </c>
    </row>
    <row r="4869" spans="1:31" ht="18.75" hidden="1" thickBot="1">
      <c r="A4869" s="2714"/>
      <c r="B4869" s="371"/>
      <c r="C4869" s="371"/>
      <c r="D4869" s="2716">
        <f t="shared" si="534"/>
        <v>1</v>
      </c>
      <c r="E4869" s="2721" t="s">
        <v>2751</v>
      </c>
      <c r="F4869" s="294"/>
      <c r="G4869" s="310" t="s">
        <v>2752</v>
      </c>
      <c r="H4869" s="1481">
        <f>SUMPRODUCT($E4860:$E4868,H4860:H4868)</f>
        <v>0</v>
      </c>
      <c r="I4869" s="1482">
        <f>SUMPRODUCT($E4860:$E4868,I4860:I4868)</f>
        <v>0</v>
      </c>
      <c r="J4869" s="291"/>
      <c r="K4869" s="291"/>
      <c r="L4869" s="291"/>
      <c r="M4869" s="291"/>
      <c r="S4869" s="364"/>
      <c r="Z4869" s="609" t="s">
        <v>4308</v>
      </c>
      <c r="AA4869" s="609" t="s">
        <v>5713</v>
      </c>
      <c r="AE4869" s="369" t="s">
        <v>2761</v>
      </c>
    </row>
    <row r="4870" spans="1:31" ht="18" hidden="1">
      <c r="A4870" s="2714"/>
      <c r="B4870" s="371"/>
      <c r="C4870" s="371" t="s">
        <v>2755</v>
      </c>
      <c r="D4870" s="2716"/>
      <c r="F4870" s="293"/>
      <c r="G4870" s="376"/>
      <c r="H4870" s="315"/>
      <c r="I4870" s="396"/>
      <c r="J4870" s="425"/>
      <c r="K4870" s="426"/>
      <c r="L4870" s="427"/>
      <c r="M4870" s="425"/>
      <c r="N4870" s="426"/>
      <c r="O4870" s="427"/>
      <c r="P4870" s="425"/>
      <c r="Q4870" s="442"/>
      <c r="R4870" s="443"/>
      <c r="S4870" s="364"/>
      <c r="Z4870" s="609" t="s">
        <v>4308</v>
      </c>
      <c r="AA4870" s="609" t="s">
        <v>5713</v>
      </c>
      <c r="AE4870" s="369" t="s">
        <v>2761</v>
      </c>
    </row>
    <row r="4871" spans="1:31" ht="17.25">
      <c r="A4871" s="2715">
        <v>6672</v>
      </c>
      <c r="B4871" s="371">
        <v>71</v>
      </c>
      <c r="C4871" s="2716" t="str">
        <f>VLOOKUP($A4871,Sheet_Items,2,0)</f>
        <v>信用减值损失</v>
      </c>
      <c r="D4871" s="371"/>
      <c r="E4871" s="2716" t="s">
        <v>2739</v>
      </c>
      <c r="F4871" s="293"/>
      <c r="G4871" s="305" t="str">
        <f>B4871&amp;" "&amp;C4871</f>
        <v>71 信用减值损失</v>
      </c>
      <c r="H4871" s="306"/>
      <c r="I4871" s="306"/>
      <c r="J4871" s="306" t="s">
        <v>4206</v>
      </c>
      <c r="K4871" s="341">
        <f>VLOOKUP($A4871,Sheet_Trialbal,6,0)</f>
        <v>-1923898.24</v>
      </c>
      <c r="L4871" s="342"/>
      <c r="M4871" s="306" t="s">
        <v>4207</v>
      </c>
      <c r="N4871" s="341">
        <f>VLOOKUP($A4871,Sheet_Trialbal,10,0)</f>
        <v>0</v>
      </c>
      <c r="O4871" s="342"/>
      <c r="P4871" s="301"/>
      <c r="S4871" s="364"/>
      <c r="Z4871" s="609" t="s">
        <v>4314</v>
      </c>
      <c r="AA4871" s="609" t="s">
        <v>4315</v>
      </c>
    </row>
    <row r="4872" spans="1:31" ht="18">
      <c r="A4872" s="2714" t="s">
        <v>1930</v>
      </c>
      <c r="B4872" s="371">
        <v>1</v>
      </c>
      <c r="C4872" s="371"/>
      <c r="D4872" s="2716" t="str">
        <f>VLOOKUP($A4872,Sheet_NoteList,2,0)</f>
        <v>信用减值损失明细项目</v>
      </c>
      <c r="E4872" s="2716" t="s">
        <v>2742</v>
      </c>
      <c r="F4872" s="293"/>
      <c r="G4872" s="372" t="str">
        <f>"("&amp;B4872&amp;")"&amp;D4872</f>
        <v>(1)信用减值损失明细项目</v>
      </c>
      <c r="H4872" s="1517" t="str">
        <f>$A4872</f>
        <v>6672a</v>
      </c>
      <c r="I4872" s="343" t="s">
        <v>2743</v>
      </c>
      <c r="J4872" s="301" t="s">
        <v>4210</v>
      </c>
      <c r="K4872" s="2210">
        <f>H4883</f>
        <v>-1923898.24</v>
      </c>
      <c r="L4872" s="349" t="str">
        <f>IF($I4872="适用",IF(ROUND(K$4871-K4872,2)=0,"F/S",ROUND(K$4871-K4872,2)),"#N/A")</f>
        <v>F/S</v>
      </c>
      <c r="M4872" s="301" t="s">
        <v>4211</v>
      </c>
      <c r="N4872" s="2210">
        <f>I4883</f>
        <v>0</v>
      </c>
      <c r="O4872" s="349" t="str">
        <f>IF($I4872="适用",IF(ROUND(N$4871-N4872,2)=0,"F/S",ROUND(N$4871-N4872,2)),"#N/A")</f>
        <v>F/S</v>
      </c>
      <c r="P4872" s="301"/>
      <c r="S4872" s="364"/>
      <c r="Z4872" s="609" t="s">
        <v>4314</v>
      </c>
      <c r="AA4872" s="609" t="s">
        <v>4315</v>
      </c>
    </row>
    <row r="4873" spans="1:31" ht="0.75" customHeight="1" thickBot="1">
      <c r="A4873" s="2714"/>
      <c r="B4873" s="371"/>
      <c r="C4873" s="371"/>
      <c r="D4873" s="2716"/>
      <c r="F4873" s="371"/>
      <c r="G4873" s="405" t="s">
        <v>4316</v>
      </c>
      <c r="H4873" s="371" t="s">
        <v>2747</v>
      </c>
      <c r="I4873" s="371" t="s">
        <v>2748</v>
      </c>
      <c r="J4873" s="433"/>
      <c r="K4873" s="428"/>
      <c r="L4873" s="428"/>
      <c r="M4873" s="433"/>
      <c r="N4873" s="428"/>
      <c r="O4873" s="428"/>
      <c r="P4873" s="433"/>
      <c r="Q4873" s="442"/>
      <c r="R4873" s="443"/>
      <c r="S4873" s="364"/>
      <c r="Z4873" s="609" t="s">
        <v>4314</v>
      </c>
      <c r="AA4873" s="609" t="s">
        <v>4315</v>
      </c>
    </row>
    <row r="4874" spans="1:31" ht="18.75" thickTop="1">
      <c r="A4874" s="2714"/>
      <c r="B4874" s="371"/>
      <c r="C4874" s="371"/>
      <c r="D4874" s="2716"/>
      <c r="E4874" s="2716" t="s">
        <v>2749</v>
      </c>
      <c r="F4874" s="293"/>
      <c r="G4874" s="2305" t="s">
        <v>47</v>
      </c>
      <c r="H4874" s="2291" t="str">
        <f>$V$4</f>
        <v>2019年度</v>
      </c>
      <c r="I4874" s="2293" t="str">
        <f>$V$5</f>
        <v>2018年度</v>
      </c>
      <c r="J4874" s="355" t="s">
        <v>5336</v>
      </c>
      <c r="K4874" s="1584" t="s">
        <v>5496</v>
      </c>
      <c r="L4874" s="1584" t="s">
        <v>5497</v>
      </c>
      <c r="M4874" s="1584" t="s">
        <v>5498</v>
      </c>
      <c r="N4874" s="434"/>
      <c r="O4874" s="434"/>
      <c r="P4874" s="435"/>
      <c r="Q4874" s="442"/>
      <c r="R4874" s="443"/>
      <c r="S4874" s="364"/>
      <c r="Z4874" s="609" t="s">
        <v>4314</v>
      </c>
      <c r="AA4874" s="609" t="s">
        <v>4315</v>
      </c>
    </row>
    <row r="4875" spans="1:31" ht="18">
      <c r="A4875" s="2714"/>
      <c r="B4875" s="371">
        <v>101</v>
      </c>
      <c r="C4875" s="371"/>
      <c r="D4875" s="2716">
        <f t="shared" ref="D4875:D4883" si="535">IF(OR(G4875="*",G4875="",G4875=0),0,COUNTIF($G$4875:$G$4883,G4875))</f>
        <v>1</v>
      </c>
      <c r="E4875" s="2721">
        <v>1</v>
      </c>
      <c r="F4875" s="293"/>
      <c r="G4875" s="308" t="s">
        <v>4317</v>
      </c>
      <c r="H4875" s="309"/>
      <c r="I4875" s="1475">
        <v>0</v>
      </c>
      <c r="J4875" s="438"/>
      <c r="K4875" s="1587" t="s">
        <v>5499</v>
      </c>
      <c r="L4875" s="1588">
        <f ca="1">HYPERLINK("#'"&amp;$G$1&amp;"'!"&amp;ADDRESS(ROW(Notes!K264),COLUMN(Notes!K264),4),K264)</f>
        <v>0</v>
      </c>
      <c r="M4875" s="1544">
        <f ca="1">L4875-H4875</f>
        <v>0</v>
      </c>
      <c r="N4875" s="437"/>
      <c r="O4875" s="437"/>
      <c r="P4875" s="438"/>
      <c r="Q4875" s="442"/>
      <c r="R4875" s="443"/>
      <c r="S4875" s="364"/>
      <c r="Z4875" s="609" t="s">
        <v>4314</v>
      </c>
      <c r="AA4875" s="609" t="s">
        <v>4315</v>
      </c>
    </row>
    <row r="4876" spans="1:31" ht="18">
      <c r="A4876" s="2714"/>
      <c r="B4876" s="371">
        <v>102</v>
      </c>
      <c r="C4876" s="371"/>
      <c r="D4876" s="2716">
        <f t="shared" si="535"/>
        <v>1</v>
      </c>
      <c r="E4876" s="2721">
        <v>1</v>
      </c>
      <c r="F4876" s="293"/>
      <c r="G4876" s="308" t="s">
        <v>4318</v>
      </c>
      <c r="H4876" s="309">
        <v>-1932148.44</v>
      </c>
      <c r="I4876" s="1475">
        <v>0</v>
      </c>
      <c r="J4876" s="438"/>
      <c r="K4876" s="1587" t="s">
        <v>5500</v>
      </c>
      <c r="L4876" s="1588">
        <f ca="1">HYPERLINK("#'"&amp;$G$1&amp;"'!"&amp;ADDRESS(ROW(Notes!K592),COLUMN(Notes!K592),4),K592)</f>
        <v>1932148.44</v>
      </c>
      <c r="M4876" s="1544">
        <f t="shared" ref="M4876:M4881" ca="1" si="536">L4876-H4876</f>
        <v>3864296.88</v>
      </c>
      <c r="N4876" s="3378">
        <f ca="1">H4876+L4876</f>
        <v>0</v>
      </c>
      <c r="O4876" s="437"/>
      <c r="P4876" s="438"/>
      <c r="Q4876" s="442"/>
      <c r="R4876" s="443"/>
      <c r="S4876" s="364"/>
      <c r="Z4876" s="609" t="s">
        <v>4314</v>
      </c>
      <c r="AA4876" s="609" t="s">
        <v>4315</v>
      </c>
    </row>
    <row r="4877" spans="1:31" ht="18">
      <c r="A4877" s="2714"/>
      <c r="B4877" s="371">
        <v>103</v>
      </c>
      <c r="C4877" s="371"/>
      <c r="D4877" s="2716">
        <f t="shared" si="535"/>
        <v>1</v>
      </c>
      <c r="E4877" s="2721">
        <v>1</v>
      </c>
      <c r="F4877" s="293"/>
      <c r="G4877" s="1474" t="s">
        <v>4319</v>
      </c>
      <c r="H4877" s="309">
        <v>8250.2000000000007</v>
      </c>
      <c r="I4877" s="1475">
        <v>0</v>
      </c>
      <c r="J4877" s="438"/>
      <c r="K4877" s="1587" t="s">
        <v>5501</v>
      </c>
      <c r="L4877" s="1588">
        <f ca="1">HYPERLINK("#'"&amp;$G$1&amp;"'!"&amp;ADDRESS(ROW(Notes!K1482),COLUMN(Notes!K1482),4),K1482)</f>
        <v>-8250.2000000000007</v>
      </c>
      <c r="M4877" s="1544">
        <f t="shared" ca="1" si="536"/>
        <v>-16500.400000000001</v>
      </c>
      <c r="N4877" s="437"/>
      <c r="O4877" s="437"/>
      <c r="P4877" s="438"/>
      <c r="Q4877" s="442"/>
      <c r="R4877" s="443"/>
      <c r="S4877" s="364"/>
      <c r="Z4877" s="609" t="s">
        <v>4314</v>
      </c>
      <c r="AA4877" s="609" t="s">
        <v>4315</v>
      </c>
    </row>
    <row r="4878" spans="1:31" ht="18">
      <c r="A4878" s="2714"/>
      <c r="B4878" s="371">
        <v>104</v>
      </c>
      <c r="C4878" s="371"/>
      <c r="D4878" s="2716">
        <f t="shared" si="535"/>
        <v>1</v>
      </c>
      <c r="E4878" s="2721">
        <v>1</v>
      </c>
      <c r="F4878" s="293"/>
      <c r="G4878" s="308" t="s">
        <v>4320</v>
      </c>
      <c r="H4878" s="309"/>
      <c r="I4878" s="1475">
        <v>0</v>
      </c>
      <c r="J4878" s="438"/>
      <c r="K4878" s="1587" t="s">
        <v>5502</v>
      </c>
      <c r="L4878" s="1588">
        <f ca="1">HYPERLINK("#'"&amp;$G$1&amp;"'!"&amp;ADDRESS(ROW(Notes!K856),COLUMN(Notes!K856),4),HYPERLINK("#'"&amp;$G$1&amp;"'!"&amp;ADDRESS(ROW(Notes!K856),COLUMN(Notes!K856),4),K856))</f>
        <v>0</v>
      </c>
      <c r="M4878" s="1544">
        <f t="shared" ca="1" si="536"/>
        <v>0</v>
      </c>
      <c r="N4878" s="437"/>
      <c r="O4878" s="437"/>
      <c r="P4878" s="438"/>
      <c r="Q4878" s="442"/>
      <c r="R4878" s="443"/>
      <c r="S4878" s="364"/>
      <c r="Z4878" s="609" t="s">
        <v>4314</v>
      </c>
      <c r="AA4878" s="609" t="s">
        <v>4315</v>
      </c>
    </row>
    <row r="4879" spans="1:31" ht="18">
      <c r="A4879" s="2714"/>
      <c r="B4879" s="371">
        <v>105</v>
      </c>
      <c r="C4879" s="371"/>
      <c r="D4879" s="2716">
        <f t="shared" si="535"/>
        <v>1</v>
      </c>
      <c r="E4879" s="2721">
        <v>1</v>
      </c>
      <c r="F4879" s="293"/>
      <c r="G4879" s="1474" t="s">
        <v>4321</v>
      </c>
      <c r="H4879" s="309"/>
      <c r="I4879" s="1475">
        <v>0</v>
      </c>
      <c r="J4879" s="438"/>
      <c r="K4879" s="2671" t="s">
        <v>6368</v>
      </c>
      <c r="L4879" s="1588">
        <f ca="1">HYPERLINK("#'"&amp;$G$1&amp;"'!"&amp;ADDRESS(ROW(Notes!K1918),COLUMN(Notes!K1918),4),K1918)</f>
        <v>0</v>
      </c>
      <c r="M4879" s="1544">
        <f t="shared" ca="1" si="536"/>
        <v>0</v>
      </c>
      <c r="N4879" s="437"/>
      <c r="O4879" s="437"/>
      <c r="P4879" s="438"/>
      <c r="Q4879" s="442"/>
      <c r="R4879" s="443"/>
      <c r="S4879" s="364"/>
      <c r="Z4879" s="609" t="s">
        <v>4314</v>
      </c>
      <c r="AA4879" s="609" t="s">
        <v>4315</v>
      </c>
    </row>
    <row r="4880" spans="1:31" ht="18">
      <c r="A4880" s="2714"/>
      <c r="B4880" s="371">
        <v>106</v>
      </c>
      <c r="C4880" s="371"/>
      <c r="D4880" s="2716">
        <f t="shared" si="535"/>
        <v>1</v>
      </c>
      <c r="E4880" s="2721">
        <v>1</v>
      </c>
      <c r="F4880" s="293"/>
      <c r="G4880" s="1474" t="s">
        <v>4322</v>
      </c>
      <c r="H4880" s="309"/>
      <c r="I4880" s="1475">
        <v>0</v>
      </c>
      <c r="J4880" s="438"/>
      <c r="K4880" s="1587" t="s">
        <v>5503</v>
      </c>
      <c r="L4880" s="1588">
        <f ca="1">HYPERLINK("#'"&amp;$G$1&amp;"'!"&amp;ADDRESS(ROW(Notes!K2128),COLUMN(Notes!K2128),4),K2128)</f>
        <v>0</v>
      </c>
      <c r="M4880" s="1544">
        <f t="shared" ca="1" si="536"/>
        <v>0</v>
      </c>
      <c r="N4880" s="437"/>
      <c r="O4880" s="437"/>
      <c r="P4880" s="438"/>
      <c r="Q4880" s="442"/>
      <c r="R4880" s="443"/>
      <c r="S4880" s="364"/>
      <c r="Z4880" s="609" t="s">
        <v>4314</v>
      </c>
      <c r="AA4880" s="609" t="s">
        <v>4315</v>
      </c>
    </row>
    <row r="4881" spans="1:27" ht="18">
      <c r="A4881" s="2714"/>
      <c r="B4881" s="371">
        <v>107</v>
      </c>
      <c r="C4881" s="371"/>
      <c r="D4881" s="2716">
        <f t="shared" si="535"/>
        <v>1</v>
      </c>
      <c r="E4881" s="2721">
        <v>1</v>
      </c>
      <c r="F4881" s="293"/>
      <c r="G4881" s="1474" t="s">
        <v>4323</v>
      </c>
      <c r="H4881" s="309"/>
      <c r="I4881" s="1475">
        <v>0</v>
      </c>
      <c r="J4881" s="438"/>
      <c r="K4881" s="1587" t="s">
        <v>5504</v>
      </c>
      <c r="L4881" s="1588">
        <f ca="1">HYPERLINK("#'"&amp;$G$1&amp;"'!"&amp;ADDRESS(ROW(Notes!K2340),COLUMN(Notes!K2340),4),K2340)</f>
        <v>0</v>
      </c>
      <c r="M4881" s="1544">
        <f t="shared" ca="1" si="536"/>
        <v>0</v>
      </c>
      <c r="N4881" s="437"/>
      <c r="O4881" s="437"/>
      <c r="P4881" s="438"/>
      <c r="Q4881" s="442"/>
      <c r="R4881" s="443"/>
      <c r="S4881" s="364"/>
      <c r="Z4881" s="609" t="s">
        <v>4314</v>
      </c>
      <c r="AA4881" s="609" t="s">
        <v>4315</v>
      </c>
    </row>
    <row r="4882" spans="1:27" ht="18">
      <c r="A4882" s="2714"/>
      <c r="B4882" s="371">
        <v>108</v>
      </c>
      <c r="C4882" s="371" t="s">
        <v>2791</v>
      </c>
      <c r="D4882" s="2716">
        <f t="shared" si="535"/>
        <v>0</v>
      </c>
      <c r="E4882" s="2721">
        <v>1</v>
      </c>
      <c r="F4882" s="293"/>
      <c r="G4882" s="319" t="s">
        <v>2792</v>
      </c>
      <c r="H4882" s="309"/>
      <c r="I4882" s="1475">
        <v>0</v>
      </c>
      <c r="J4882" s="438"/>
      <c r="M4882" s="1544"/>
      <c r="N4882" s="437"/>
      <c r="O4882" s="437"/>
      <c r="P4882" s="438"/>
      <c r="Q4882" s="442"/>
      <c r="R4882" s="443"/>
      <c r="S4882" s="364"/>
      <c r="Z4882" s="609" t="s">
        <v>4314</v>
      </c>
      <c r="AA4882" s="609" t="s">
        <v>4315</v>
      </c>
    </row>
    <row r="4883" spans="1:27" ht="18.75" thickBot="1">
      <c r="A4883" s="2714"/>
      <c r="B4883" s="371"/>
      <c r="C4883" s="371"/>
      <c r="D4883" s="2716">
        <f t="shared" si="535"/>
        <v>1</v>
      </c>
      <c r="E4883" s="2721" t="s">
        <v>2751</v>
      </c>
      <c r="F4883" s="293"/>
      <c r="G4883" s="2234" t="s">
        <v>2752</v>
      </c>
      <c r="H4883" s="2325">
        <f>SUMPRODUCT($E4874:$E4882,H4874:H4882)</f>
        <v>-1923898.24</v>
      </c>
      <c r="I4883" s="2342">
        <f>SUMPRODUCT($E4874:$E4882,I4874:I4882)</f>
        <v>0</v>
      </c>
      <c r="J4883" s="440"/>
      <c r="M4883" s="1557">
        <f t="shared" ref="M4883" ca="1" si="537">SUM(M4875:M4882)</f>
        <v>3847796.48</v>
      </c>
      <c r="N4883" s="437"/>
      <c r="O4883" s="437"/>
      <c r="P4883" s="440"/>
      <c r="Q4883" s="442"/>
      <c r="R4883" s="443"/>
      <c r="S4883" s="364"/>
      <c r="Z4883" s="609" t="s">
        <v>4314</v>
      </c>
      <c r="AA4883" s="609" t="s">
        <v>4315</v>
      </c>
    </row>
    <row r="4884" spans="1:27" ht="18">
      <c r="A4884" s="2714"/>
      <c r="B4884" s="371"/>
      <c r="C4884" s="371" t="s">
        <v>2755</v>
      </c>
      <c r="D4884" s="2716"/>
      <c r="F4884" s="293"/>
      <c r="G4884" s="376"/>
      <c r="H4884" s="315"/>
      <c r="I4884" s="396"/>
      <c r="J4884" s="425"/>
      <c r="K4884" s="1585" t="s">
        <v>5495</v>
      </c>
      <c r="L4884" s="427"/>
      <c r="O4884" s="427"/>
      <c r="P4884" s="425"/>
      <c r="Q4884" s="442"/>
      <c r="R4884" s="443"/>
      <c r="S4884" s="364"/>
      <c r="Z4884" s="609" t="s">
        <v>4314</v>
      </c>
      <c r="AA4884" s="609" t="s">
        <v>4315</v>
      </c>
    </row>
    <row r="4885" spans="1:27" ht="18">
      <c r="A4885" s="2714">
        <v>6671</v>
      </c>
      <c r="B4885" s="371">
        <v>72</v>
      </c>
      <c r="C4885" s="2716" t="str">
        <f>VLOOKUP($A4885,Sheet_Items,2,0)</f>
        <v>资产减值损失</v>
      </c>
      <c r="D4885" s="371"/>
      <c r="E4885" s="2716" t="s">
        <v>2739</v>
      </c>
      <c r="F4885" s="294"/>
      <c r="G4885" s="305" t="str">
        <f>B4885&amp;" "&amp;C4885</f>
        <v>72 资产减值损失</v>
      </c>
      <c r="H4885" s="306"/>
      <c r="I4885" s="306"/>
      <c r="J4885" s="306" t="s">
        <v>4206</v>
      </c>
      <c r="K4885" s="341">
        <f>VLOOKUP($A4885,Sheet_Trialbal,6,0)</f>
        <v>-864640.09</v>
      </c>
      <c r="L4885" s="342"/>
      <c r="M4885" s="306" t="s">
        <v>4207</v>
      </c>
      <c r="N4885" s="341">
        <f>VLOOKUP($A4885,Sheet_Trialbal,10,0)</f>
        <v>198814.86</v>
      </c>
      <c r="O4885" s="306"/>
      <c r="P4885" s="301"/>
      <c r="S4885" s="364"/>
      <c r="Z4885" s="609" t="s">
        <v>4324</v>
      </c>
      <c r="AA4885" s="609" t="s">
        <v>5714</v>
      </c>
    </row>
    <row r="4886" spans="1:27" ht="18">
      <c r="A4886" s="2714" t="s">
        <v>1927</v>
      </c>
      <c r="B4886" s="371">
        <v>1</v>
      </c>
      <c r="C4886" s="371"/>
      <c r="D4886" s="2716" t="str">
        <f>VLOOKUP($A4886,Sheet_NoteList,2,0)</f>
        <v>资产减值损失明细项目</v>
      </c>
      <c r="E4886" s="2716" t="s">
        <v>2742</v>
      </c>
      <c r="F4886" s="294"/>
      <c r="G4886" s="372" t="str">
        <f>"("&amp;B4886&amp;")"&amp;D4886</f>
        <v>(1)资产减值损失明细项目</v>
      </c>
      <c r="H4886" s="1517" t="str">
        <f>$A4886</f>
        <v>6671a</v>
      </c>
      <c r="I4886" s="343" t="s">
        <v>2743</v>
      </c>
      <c r="J4886" s="301" t="s">
        <v>4210</v>
      </c>
      <c r="K4886" s="2210">
        <f>H4905</f>
        <v>-864640.09</v>
      </c>
      <c r="L4886" s="345" t="str">
        <f>IF($I4886="适用",IF(ROUND(K4885-K4886,2)=0,"F/S",ROUND(K4885-K4886,2)),"#N/A")</f>
        <v>F/S</v>
      </c>
      <c r="M4886" s="301" t="s">
        <v>4211</v>
      </c>
      <c r="N4886" s="2210">
        <f>I4905</f>
        <v>198814.86</v>
      </c>
      <c r="O4886" s="345" t="str">
        <f>IF($I4886="适用",IF(ROUND(N4885-N4886,2)=0,"F/S",ROUND(N4885-N4886,2)),"#N/A")</f>
        <v>F/S</v>
      </c>
      <c r="P4886" s="301"/>
      <c r="Q4886" s="290" t="str">
        <f>IF($I4886="不适用","",IF(ROUND(SUM($H$4889:$I$4905),2)=0,"请输入",""))</f>
        <v/>
      </c>
      <c r="S4886" s="364"/>
      <c r="Z4886" s="609" t="s">
        <v>4324</v>
      </c>
      <c r="AA4886" s="609" t="s">
        <v>5714</v>
      </c>
    </row>
    <row r="4887" spans="1:27" ht="0.75" customHeight="1" thickBot="1">
      <c r="A4887" s="2714"/>
      <c r="B4887" s="371"/>
      <c r="C4887" s="371"/>
      <c r="D4887" s="371"/>
      <c r="F4887" s="294"/>
      <c r="G4887" s="294" t="s">
        <v>4325</v>
      </c>
      <c r="H4887" s="294" t="s">
        <v>4223</v>
      </c>
      <c r="I4887" s="294" t="s">
        <v>4224</v>
      </c>
      <c r="J4887" s="291"/>
      <c r="K4887" s="291"/>
      <c r="L4887" s="291"/>
      <c r="M4887" s="291"/>
      <c r="S4887" s="364"/>
      <c r="Z4887" s="609" t="s">
        <v>4324</v>
      </c>
      <c r="AA4887" s="609" t="s">
        <v>5714</v>
      </c>
    </row>
    <row r="4888" spans="1:27" ht="18.75" thickTop="1">
      <c r="A4888" s="2714"/>
      <c r="B4888" s="371"/>
      <c r="C4888" s="371"/>
      <c r="D4888" s="371"/>
      <c r="E4888" s="2716" t="s">
        <v>2749</v>
      </c>
      <c r="F4888" s="294"/>
      <c r="G4888" s="2608" t="s">
        <v>47</v>
      </c>
      <c r="H4888" s="2609" t="str">
        <f>$V$4</f>
        <v>2019年度</v>
      </c>
      <c r="I4888" s="2610" t="str">
        <f>$V$5</f>
        <v>2018年度</v>
      </c>
      <c r="J4888" s="355" t="s">
        <v>5337</v>
      </c>
      <c r="K4888" s="1584" t="s">
        <v>5496</v>
      </c>
      <c r="L4888" s="1584" t="s">
        <v>5497</v>
      </c>
      <c r="M4888" s="1530" t="s">
        <v>5506</v>
      </c>
      <c r="S4888" s="364"/>
      <c r="Z4888" s="609" t="s">
        <v>4324</v>
      </c>
      <c r="AA4888" s="609" t="s">
        <v>5714</v>
      </c>
    </row>
    <row r="4889" spans="1:27" ht="18">
      <c r="A4889" s="2714"/>
      <c r="B4889" s="371">
        <v>101</v>
      </c>
      <c r="C4889" s="371"/>
      <c r="D4889" s="2716">
        <f t="shared" ref="D4889:D4905" si="538">IF(OR(G4889="*",G4889="",G4889=0),0,COUNTIF($G$4889:$G$4905,G4889))</f>
        <v>1</v>
      </c>
      <c r="E4889" s="2721">
        <v>1</v>
      </c>
      <c r="F4889" s="294"/>
      <c r="G4889" s="380" t="s">
        <v>4326</v>
      </c>
      <c r="H4889" s="2329">
        <v>0</v>
      </c>
      <c r="I4889" s="401">
        <v>87648.2</v>
      </c>
      <c r="J4889" s="291"/>
      <c r="K4889" s="1586"/>
      <c r="L4889" s="1590"/>
      <c r="M4889" s="456"/>
      <c r="S4889" s="364"/>
      <c r="Z4889" s="609" t="s">
        <v>4324</v>
      </c>
      <c r="AA4889" s="609" t="s">
        <v>5714</v>
      </c>
    </row>
    <row r="4890" spans="1:27" ht="18">
      <c r="A4890" s="2714"/>
      <c r="B4890" s="371">
        <v>102</v>
      </c>
      <c r="C4890" s="371"/>
      <c r="D4890" s="2716">
        <f t="shared" si="538"/>
        <v>1</v>
      </c>
      <c r="E4890" s="2721">
        <v>1</v>
      </c>
      <c r="F4890" s="294"/>
      <c r="G4890" s="380" t="s">
        <v>4327</v>
      </c>
      <c r="H4890" s="383">
        <f>14394.06-AJE!O15</f>
        <v>-231282.32</v>
      </c>
      <c r="I4890" s="401">
        <v>111166.66</v>
      </c>
      <c r="J4890" s="291"/>
      <c r="K4890" s="1587" t="s">
        <v>5507</v>
      </c>
      <c r="L4890" s="1588">
        <f ca="1">HYPERLINK("#'"&amp;$G$1&amp;"'!"&amp;ADDRESS(ROW(Notes!I1653),COLUMN(Notes!I1653),4),I1653)</f>
        <v>231282.32</v>
      </c>
      <c r="M4890" s="456">
        <f ca="1">L4890-H4890</f>
        <v>462564.64</v>
      </c>
      <c r="S4890" s="364"/>
      <c r="Z4890" s="609" t="s">
        <v>4324</v>
      </c>
      <c r="AA4890" s="609" t="s">
        <v>5714</v>
      </c>
    </row>
    <row r="4891" spans="1:27" ht="24">
      <c r="A4891" s="2714"/>
      <c r="B4891" s="371">
        <v>103</v>
      </c>
      <c r="C4891" s="371"/>
      <c r="D4891" s="2716">
        <f t="shared" si="538"/>
        <v>1</v>
      </c>
      <c r="E4891" s="2721">
        <v>1</v>
      </c>
      <c r="F4891" s="294"/>
      <c r="G4891" s="380" t="s">
        <v>4328</v>
      </c>
      <c r="H4891" s="2329">
        <v>0</v>
      </c>
      <c r="I4891" s="401"/>
      <c r="J4891" s="291"/>
      <c r="K4891" s="1586"/>
      <c r="L4891" s="1590"/>
      <c r="M4891" s="456"/>
      <c r="S4891" s="364"/>
      <c r="Z4891" s="609" t="s">
        <v>4324</v>
      </c>
      <c r="AA4891" s="609" t="s">
        <v>5714</v>
      </c>
    </row>
    <row r="4892" spans="1:27" ht="18">
      <c r="A4892" s="2714"/>
      <c r="B4892" s="371">
        <v>104</v>
      </c>
      <c r="C4892" s="371"/>
      <c r="D4892" s="2716">
        <f t="shared" si="538"/>
        <v>1</v>
      </c>
      <c r="E4892" s="2721">
        <v>1</v>
      </c>
      <c r="F4892" s="294"/>
      <c r="G4892" s="380" t="s">
        <v>4329</v>
      </c>
      <c r="H4892" s="2329">
        <v>0</v>
      </c>
      <c r="I4892" s="401"/>
      <c r="J4892" s="291"/>
      <c r="K4892" s="1586"/>
      <c r="L4892" s="1590"/>
      <c r="M4892" s="456"/>
      <c r="S4892" s="364"/>
      <c r="Z4892" s="609" t="s">
        <v>4324</v>
      </c>
      <c r="AA4892" s="609" t="s">
        <v>5714</v>
      </c>
    </row>
    <row r="4893" spans="1:27" ht="18">
      <c r="A4893" s="2714"/>
      <c r="B4893" s="371">
        <v>105</v>
      </c>
      <c r="C4893" s="371"/>
      <c r="D4893" s="2716">
        <f t="shared" si="538"/>
        <v>1</v>
      </c>
      <c r="E4893" s="2721">
        <v>1</v>
      </c>
      <c r="F4893" s="294"/>
      <c r="G4893" s="380" t="s">
        <v>4330</v>
      </c>
      <c r="H4893" s="383"/>
      <c r="I4893" s="401"/>
      <c r="J4893" s="291"/>
      <c r="K4893" s="1587" t="s">
        <v>5508</v>
      </c>
      <c r="L4893" s="1588">
        <f ca="1">HYPERLINK("#'"&amp;$G$1&amp;"'!"&amp;ADDRESS(ROW(Notes!O2494),COLUMN(Notes!O2494),4),O2494)</f>
        <v>0</v>
      </c>
      <c r="M4893" s="456">
        <f t="shared" ref="M4893:M4902" ca="1" si="539">L4893-H4893</f>
        <v>0</v>
      </c>
      <c r="S4893" s="364"/>
      <c r="Z4893" s="609" t="s">
        <v>4324</v>
      </c>
      <c r="AA4893" s="609" t="s">
        <v>5714</v>
      </c>
    </row>
    <row r="4894" spans="1:27" ht="18">
      <c r="A4894" s="2714"/>
      <c r="B4894" s="371">
        <v>106</v>
      </c>
      <c r="C4894" s="371"/>
      <c r="D4894" s="2716">
        <f t="shared" si="538"/>
        <v>1</v>
      </c>
      <c r="E4894" s="2721">
        <v>1</v>
      </c>
      <c r="F4894" s="294"/>
      <c r="G4894" s="380" t="s">
        <v>4331</v>
      </c>
      <c r="H4894" s="383"/>
      <c r="I4894" s="401"/>
      <c r="J4894" s="291"/>
      <c r="K4894" s="1587" t="s">
        <v>5509</v>
      </c>
      <c r="L4894" s="1588">
        <f ca="1">HYPERLINK("#'"&amp;$G$1&amp;"'!"&amp;ADDRESS(ROW(Notes!K2587),COLUMN(Notes!K2587),4),K2587)</f>
        <v>0</v>
      </c>
      <c r="M4894" s="456">
        <f t="shared" ca="1" si="539"/>
        <v>0</v>
      </c>
      <c r="S4894" s="364"/>
      <c r="Z4894" s="609" t="s">
        <v>4324</v>
      </c>
      <c r="AA4894" s="609" t="s">
        <v>5714</v>
      </c>
    </row>
    <row r="4895" spans="1:27" ht="18">
      <c r="A4895" s="2714"/>
      <c r="B4895" s="371">
        <v>107</v>
      </c>
      <c r="C4895" s="371"/>
      <c r="D4895" s="2716">
        <f t="shared" si="538"/>
        <v>1</v>
      </c>
      <c r="E4895" s="2721">
        <v>1</v>
      </c>
      <c r="F4895" s="294"/>
      <c r="G4895" s="380" t="s">
        <v>4332</v>
      </c>
      <c r="H4895" s="383">
        <f>-AJE!O54</f>
        <v>-633357.77</v>
      </c>
      <c r="I4895" s="401"/>
      <c r="J4895" s="291"/>
      <c r="K4895" s="1587" t="s">
        <v>5510</v>
      </c>
      <c r="L4895" s="1588">
        <f ca="1">HYPERLINK("#'"&amp;$G$1&amp;"'!"&amp;ADDRESS(ROW(Notes!L2685),COLUMN(Notes!L2685),4),L2685)</f>
        <v>633357.77</v>
      </c>
      <c r="M4895" s="456">
        <f t="shared" ca="1" si="539"/>
        <v>1266715.54</v>
      </c>
      <c r="S4895" s="364"/>
      <c r="Z4895" s="609" t="s">
        <v>4324</v>
      </c>
      <c r="AA4895" s="609" t="s">
        <v>5714</v>
      </c>
    </row>
    <row r="4896" spans="1:27" ht="18">
      <c r="A4896" s="2714"/>
      <c r="B4896" s="371">
        <v>108</v>
      </c>
      <c r="C4896" s="371"/>
      <c r="D4896" s="2716">
        <f t="shared" si="538"/>
        <v>1</v>
      </c>
      <c r="E4896" s="2721">
        <v>1</v>
      </c>
      <c r="F4896" s="294"/>
      <c r="G4896" s="380" t="s">
        <v>4333</v>
      </c>
      <c r="H4896" s="383"/>
      <c r="I4896" s="401"/>
      <c r="J4896" s="291"/>
      <c r="K4896" s="2671" t="s">
        <v>6637</v>
      </c>
      <c r="L4896" s="1588">
        <f ca="1">HYPERLINK("#'"&amp;$G$1&amp;"'!"&amp;ADDRESS(ROW(Notes!I2917),COLUMN(Notes!I2917),4),I2917-L2917)</f>
        <v>0</v>
      </c>
      <c r="M4896" s="456">
        <f t="shared" ca="1" si="539"/>
        <v>0</v>
      </c>
      <c r="N4896" s="2264" t="s">
        <v>6369</v>
      </c>
      <c r="S4896" s="364"/>
      <c r="Z4896" s="609" t="s">
        <v>4324</v>
      </c>
      <c r="AA4896" s="609" t="s">
        <v>5714</v>
      </c>
    </row>
    <row r="4897" spans="1:27" ht="18">
      <c r="A4897" s="2714"/>
      <c r="B4897" s="371">
        <v>109</v>
      </c>
      <c r="C4897" s="371"/>
      <c r="D4897" s="2716">
        <f t="shared" si="538"/>
        <v>1</v>
      </c>
      <c r="E4897" s="2721">
        <v>1</v>
      </c>
      <c r="F4897" s="294"/>
      <c r="G4897" s="380" t="s">
        <v>4334</v>
      </c>
      <c r="H4897" s="383"/>
      <c r="I4897" s="401"/>
      <c r="J4897" s="291"/>
      <c r="K4897" s="1587" t="s">
        <v>5511</v>
      </c>
      <c r="L4897" s="1588">
        <f ca="1">HYPERLINK("#'"&amp;$G$1&amp;"'!"&amp;ADDRESS(ROW(Notes!H2888),COLUMN(Notes!H2888),4),H2888-I2888)</f>
        <v>0</v>
      </c>
      <c r="M4897" s="456">
        <f t="shared" ca="1" si="539"/>
        <v>0</v>
      </c>
      <c r="N4897" s="2264" t="s">
        <v>6369</v>
      </c>
      <c r="S4897" s="364"/>
      <c r="Z4897" s="609" t="s">
        <v>4324</v>
      </c>
      <c r="AA4897" s="609" t="s">
        <v>5714</v>
      </c>
    </row>
    <row r="4898" spans="1:27" ht="18">
      <c r="A4898" s="2714"/>
      <c r="B4898" s="371">
        <v>110</v>
      </c>
      <c r="C4898" s="371"/>
      <c r="D4898" s="2716">
        <f t="shared" si="538"/>
        <v>1</v>
      </c>
      <c r="E4898" s="2721">
        <v>1</v>
      </c>
      <c r="F4898" s="294"/>
      <c r="G4898" s="380" t="s">
        <v>4335</v>
      </c>
      <c r="H4898" s="383"/>
      <c r="I4898" s="401"/>
      <c r="J4898" s="291"/>
      <c r="K4898" s="1587" t="s">
        <v>5512</v>
      </c>
      <c r="L4898" s="1588">
        <f ca="1">HYPERLINK("#'"&amp;$G$1&amp;"'!"&amp;ADDRESS(ROW(Notes!K2966),COLUMN(Notes!K2966),4),K2966)</f>
        <v>0</v>
      </c>
      <c r="M4898" s="456">
        <f t="shared" ca="1" si="539"/>
        <v>0</v>
      </c>
      <c r="S4898" s="364"/>
      <c r="Z4898" s="609" t="s">
        <v>4324</v>
      </c>
      <c r="AA4898" s="609" t="s">
        <v>5714</v>
      </c>
    </row>
    <row r="4899" spans="1:27" ht="18">
      <c r="A4899" s="2714"/>
      <c r="B4899" s="371">
        <v>111</v>
      </c>
      <c r="C4899" s="371"/>
      <c r="D4899" s="2716">
        <f t="shared" si="538"/>
        <v>1</v>
      </c>
      <c r="E4899" s="2721">
        <v>1</v>
      </c>
      <c r="F4899" s="294"/>
      <c r="G4899" s="380" t="s">
        <v>4336</v>
      </c>
      <c r="H4899" s="383"/>
      <c r="I4899" s="401"/>
      <c r="J4899" s="291"/>
      <c r="K4899" s="1587" t="s">
        <v>5513</v>
      </c>
      <c r="L4899" s="1588">
        <f ca="1">HYPERLINK("#'"&amp;$G$1&amp;"'!"&amp;ADDRESS(ROW(Notes!L3031),COLUMN(Notes!L3031),4),L3031)</f>
        <v>0</v>
      </c>
      <c r="M4899" s="456">
        <f t="shared" ca="1" si="539"/>
        <v>0</v>
      </c>
      <c r="S4899" s="364"/>
      <c r="Z4899" s="609" t="s">
        <v>4324</v>
      </c>
      <c r="AA4899" s="609" t="s">
        <v>5714</v>
      </c>
    </row>
    <row r="4900" spans="1:27" ht="18">
      <c r="A4900" s="2714"/>
      <c r="B4900" s="371">
        <v>112</v>
      </c>
      <c r="C4900" s="371"/>
      <c r="D4900" s="2716">
        <f t="shared" si="538"/>
        <v>1</v>
      </c>
      <c r="E4900" s="2721">
        <v>1</v>
      </c>
      <c r="F4900" s="294"/>
      <c r="G4900" s="380" t="s">
        <v>4337</v>
      </c>
      <c r="H4900" s="383"/>
      <c r="I4900" s="401"/>
      <c r="J4900" s="291"/>
      <c r="K4900" s="1587" t="s">
        <v>5514</v>
      </c>
      <c r="L4900" s="1588">
        <f ca="1">HYPERLINK("#'"&amp;$G$1&amp;"'!"&amp;ADDRESS(ROW(Notes!L3089),COLUMN(Notes!L3089),4),L3089)</f>
        <v>0</v>
      </c>
      <c r="M4900" s="456">
        <f t="shared" ca="1" si="539"/>
        <v>0</v>
      </c>
      <c r="S4900" s="364"/>
      <c r="Z4900" s="609" t="s">
        <v>4324</v>
      </c>
      <c r="AA4900" s="609" t="s">
        <v>5714</v>
      </c>
    </row>
    <row r="4901" spans="1:27" ht="18">
      <c r="A4901" s="2714"/>
      <c r="B4901" s="371">
        <v>113</v>
      </c>
      <c r="C4901" s="371"/>
      <c r="D4901" s="2716">
        <f t="shared" si="538"/>
        <v>1</v>
      </c>
      <c r="E4901" s="2721">
        <v>1</v>
      </c>
      <c r="F4901" s="294"/>
      <c r="G4901" s="380" t="s">
        <v>4338</v>
      </c>
      <c r="H4901" s="383"/>
      <c r="I4901" s="401"/>
      <c r="J4901" s="291"/>
      <c r="K4901" s="1587" t="s">
        <v>5515</v>
      </c>
      <c r="L4901" s="1588">
        <f ca="1">HYPERLINK("#'"&amp;$G$1&amp;"'!"&amp;ADDRESS(ROW(Notes!I3214),COLUMN(Notes!I3214),4),I3214)</f>
        <v>0</v>
      </c>
      <c r="M4901" s="456">
        <f t="shared" ca="1" si="539"/>
        <v>0</v>
      </c>
      <c r="S4901" s="364"/>
      <c r="Z4901" s="609" t="s">
        <v>4324</v>
      </c>
      <c r="AA4901" s="609" t="s">
        <v>5714</v>
      </c>
    </row>
    <row r="4902" spans="1:27" ht="18">
      <c r="A4902" s="2714"/>
      <c r="B4902" s="371">
        <v>114</v>
      </c>
      <c r="C4902" s="371"/>
      <c r="D4902" s="2716">
        <f t="shared" si="538"/>
        <v>1</v>
      </c>
      <c r="E4902" s="2721">
        <v>1</v>
      </c>
      <c r="F4902" s="294"/>
      <c r="G4902" s="380" t="s">
        <v>4339</v>
      </c>
      <c r="H4902" s="383"/>
      <c r="I4902" s="401"/>
      <c r="J4902" s="291"/>
      <c r="K4902" s="1587" t="s">
        <v>5516</v>
      </c>
      <c r="L4902" s="1588">
        <f ca="1">HYPERLINK("#'"&amp;$G$1&amp;"'!"&amp;ADDRESS(ROW(Notes!I1787),COLUMN(Notes!I1787),4),I1787)</f>
        <v>0</v>
      </c>
      <c r="M4902" s="456">
        <f t="shared" ca="1" si="539"/>
        <v>0</v>
      </c>
      <c r="S4902" s="364"/>
      <c r="Z4902" s="609" t="s">
        <v>4324</v>
      </c>
      <c r="AA4902" s="609" t="s">
        <v>5714</v>
      </c>
    </row>
    <row r="4903" spans="1:27" ht="18">
      <c r="A4903" s="2714"/>
      <c r="B4903" s="371">
        <v>115</v>
      </c>
      <c r="C4903" s="371" t="s">
        <v>2791</v>
      </c>
      <c r="D4903" s="2716">
        <f t="shared" si="538"/>
        <v>0</v>
      </c>
      <c r="E4903" s="2721">
        <v>1</v>
      </c>
      <c r="F4903" s="294"/>
      <c r="G4903" s="409" t="s">
        <v>2792</v>
      </c>
      <c r="H4903" s="383"/>
      <c r="I4903" s="401"/>
      <c r="J4903" s="291"/>
      <c r="K4903" s="1586"/>
      <c r="L4903" s="1590"/>
      <c r="M4903" s="456"/>
      <c r="S4903" s="364"/>
      <c r="Z4903" s="609" t="s">
        <v>4324</v>
      </c>
      <c r="AA4903" s="609" t="s">
        <v>5714</v>
      </c>
    </row>
    <row r="4904" spans="1:27" ht="18">
      <c r="A4904" s="2714"/>
      <c r="B4904" s="371">
        <v>116</v>
      </c>
      <c r="C4904" s="371" t="s">
        <v>2791</v>
      </c>
      <c r="D4904" s="2716">
        <f t="shared" si="538"/>
        <v>0</v>
      </c>
      <c r="E4904" s="2721">
        <v>1</v>
      </c>
      <c r="F4904" s="294"/>
      <c r="G4904" s="409" t="s">
        <v>2792</v>
      </c>
      <c r="H4904" s="383"/>
      <c r="I4904" s="401"/>
      <c r="J4904" s="291"/>
      <c r="K4904" s="1586"/>
      <c r="L4904" s="1590"/>
      <c r="M4904" s="456"/>
      <c r="S4904" s="364"/>
      <c r="Z4904" s="609" t="s">
        <v>4324</v>
      </c>
      <c r="AA4904" s="609" t="s">
        <v>5714</v>
      </c>
    </row>
    <row r="4905" spans="1:27" ht="18.75" thickBot="1">
      <c r="A4905" s="2714"/>
      <c r="B4905" s="371"/>
      <c r="C4905" s="371"/>
      <c r="D4905" s="2716">
        <f t="shared" si="538"/>
        <v>1</v>
      </c>
      <c r="E4905" s="2721" t="s">
        <v>2751</v>
      </c>
      <c r="F4905" s="294"/>
      <c r="G4905" s="2330" t="s">
        <v>2752</v>
      </c>
      <c r="H4905" s="2331">
        <f>SUMPRODUCT($E4888:$E4904,H4888:H4904)</f>
        <v>-864640.09</v>
      </c>
      <c r="I4905" s="2332">
        <f>SUMPRODUCT($E4888:$E4904,I4888:I4904)</f>
        <v>198814.86</v>
      </c>
      <c r="J4905" s="291"/>
      <c r="M4905" s="1531">
        <f t="shared" ref="M4905" ca="1" si="540">SUM(M4889:M4904)</f>
        <v>1729280.18</v>
      </c>
      <c r="S4905" s="364"/>
      <c r="Z4905" s="609" t="s">
        <v>4324</v>
      </c>
      <c r="AA4905" s="609" t="s">
        <v>5714</v>
      </c>
    </row>
    <row r="4906" spans="1:27" ht="18">
      <c r="A4906" s="2714"/>
      <c r="B4906" s="371"/>
      <c r="C4906" s="371" t="s">
        <v>2755</v>
      </c>
      <c r="D4906" s="371"/>
      <c r="F4906" s="294"/>
      <c r="G4906" s="301"/>
      <c r="H4906" s="349"/>
      <c r="I4906" s="349"/>
      <c r="J4906" s="291"/>
      <c r="K4906" s="1539" t="s">
        <v>5505</v>
      </c>
      <c r="N4906" s="354"/>
      <c r="S4906" s="364"/>
      <c r="Z4906" s="609" t="s">
        <v>4324</v>
      </c>
      <c r="AA4906" s="609" t="s">
        <v>5714</v>
      </c>
    </row>
    <row r="4907" spans="1:27" ht="17.25">
      <c r="A4907" s="2715">
        <v>6171</v>
      </c>
      <c r="B4907" s="371">
        <v>73</v>
      </c>
      <c r="C4907" s="2716" t="str">
        <f>VLOOKUP($A4907,Sheet_Items,2,0)</f>
        <v>资产处置收益</v>
      </c>
      <c r="D4907" s="371"/>
      <c r="E4907" s="2716" t="s">
        <v>2739</v>
      </c>
      <c r="F4907" s="371"/>
      <c r="G4907" s="305" t="str">
        <f>B4907&amp;" "&amp;C4907</f>
        <v>73 资产处置收益</v>
      </c>
      <c r="H4907" s="306"/>
      <c r="I4907" s="306"/>
      <c r="J4907" s="306" t="s">
        <v>4206</v>
      </c>
      <c r="K4907" s="341">
        <f>VLOOKUP($A4907,Sheet_Trialbal,6,0)</f>
        <v>0</v>
      </c>
      <c r="L4907" s="342"/>
      <c r="M4907" s="306" t="s">
        <v>4207</v>
      </c>
      <c r="N4907" s="341">
        <f>VLOOKUP($A4907,Sheet_Trialbal,10,0)</f>
        <v>456.04</v>
      </c>
      <c r="O4907" s="342"/>
      <c r="P4907" s="301"/>
      <c r="S4907" s="364"/>
      <c r="Z4907" s="609" t="s">
        <v>4340</v>
      </c>
      <c r="AA4907" s="609" t="s">
        <v>5715</v>
      </c>
    </row>
    <row r="4908" spans="1:27" ht="18">
      <c r="A4908" s="2714" t="s">
        <v>1888</v>
      </c>
      <c r="B4908" s="371">
        <v>1</v>
      </c>
      <c r="C4908" s="371"/>
      <c r="D4908" s="2716" t="str">
        <f>VLOOKUP($A4908,Sheet_NoteList,2,0)</f>
        <v>资产处置收益明细项目</v>
      </c>
      <c r="E4908" s="2716" t="s">
        <v>2742</v>
      </c>
      <c r="F4908" s="371"/>
      <c r="G4908" s="372" t="str">
        <f>"("&amp;B4908&amp;")"&amp;D4908</f>
        <v>(1)资产处置收益明细项目</v>
      </c>
      <c r="H4908" s="1517" t="str">
        <f>$A4908</f>
        <v>6171a</v>
      </c>
      <c r="I4908" s="343" t="s">
        <v>2743</v>
      </c>
      <c r="J4908" s="301" t="s">
        <v>4210</v>
      </c>
      <c r="K4908" s="2210">
        <f>H4920</f>
        <v>0</v>
      </c>
      <c r="L4908" s="349" t="str">
        <f>IF($I4908="适用",IF(ROUND(K$4907-K4908,2)=0,"F/S",ROUND(K$4907-K4908,2)),"#N/A")</f>
        <v>F/S</v>
      </c>
      <c r="M4908" s="301" t="s">
        <v>4211</v>
      </c>
      <c r="N4908" s="2210">
        <f>I4920</f>
        <v>456.04</v>
      </c>
      <c r="O4908" s="349" t="str">
        <f>IF($I4908="适用",IF(ROUND(N$4907-N4908,2)=0,"F/S",ROUND(N$4907-N4908,2)),"#N/A")</f>
        <v>F/S</v>
      </c>
      <c r="P4908" s="301"/>
      <c r="S4908" s="364"/>
      <c r="Z4908" s="609" t="s">
        <v>4340</v>
      </c>
      <c r="AA4908" s="609" t="s">
        <v>5715</v>
      </c>
    </row>
    <row r="4909" spans="1:27" ht="0.75" customHeight="1" thickBot="1">
      <c r="A4909" s="2714"/>
      <c r="B4909" s="371"/>
      <c r="C4909" s="371"/>
      <c r="D4909" s="2716"/>
      <c r="F4909" s="371"/>
      <c r="G4909" s="405" t="s">
        <v>4341</v>
      </c>
      <c r="H4909" s="371" t="s">
        <v>4223</v>
      </c>
      <c r="I4909" s="371" t="s">
        <v>4224</v>
      </c>
      <c r="J4909" s="301"/>
      <c r="K4909" s="391"/>
      <c r="L4909" s="349"/>
      <c r="M4909" s="301"/>
      <c r="N4909" s="391"/>
      <c r="O4909" s="349"/>
      <c r="P4909" s="301"/>
      <c r="S4909" s="364"/>
      <c r="Z4909" s="609" t="s">
        <v>4340</v>
      </c>
      <c r="AA4909" s="609" t="s">
        <v>5715</v>
      </c>
    </row>
    <row r="4910" spans="1:27" ht="18">
      <c r="A4910" s="2714"/>
      <c r="B4910" s="371"/>
      <c r="C4910" s="371"/>
      <c r="D4910" s="2716"/>
      <c r="E4910" s="2716" t="s">
        <v>2749</v>
      </c>
      <c r="F4910" s="371"/>
      <c r="G4910" s="373" t="s">
        <v>47</v>
      </c>
      <c r="H4910" s="406" t="str">
        <f>$V$4</f>
        <v>2019年度</v>
      </c>
      <c r="I4910" s="417" t="str">
        <f>$V$5</f>
        <v>2018年度</v>
      </c>
      <c r="J4910" s="355" t="s">
        <v>5338</v>
      </c>
      <c r="K4910" s="391"/>
      <c r="L4910" s="349"/>
      <c r="M4910" s="301"/>
      <c r="N4910" s="391"/>
      <c r="O4910" s="349"/>
      <c r="P4910" s="301"/>
      <c r="S4910" s="364"/>
      <c r="Z4910" s="609" t="s">
        <v>4340</v>
      </c>
      <c r="AA4910" s="609" t="s">
        <v>5715</v>
      </c>
    </row>
    <row r="4911" spans="1:27" ht="60">
      <c r="A4911" s="2714"/>
      <c r="B4911" s="371">
        <v>101</v>
      </c>
      <c r="C4911" s="371"/>
      <c r="D4911" s="2716">
        <f t="shared" ref="D4911:D4920" si="541">IF(OR(G4911="*",G4911="",G4911=0),0,COUNTIF($G$4911:$G$4920,G4911))</f>
        <v>1</v>
      </c>
      <c r="E4911" s="2721">
        <v>1</v>
      </c>
      <c r="F4911" s="371"/>
      <c r="G4911" s="308" t="s">
        <v>4342</v>
      </c>
      <c r="H4911" s="309"/>
      <c r="I4911" s="394"/>
      <c r="J4911" s="301"/>
      <c r="K4911" s="391"/>
      <c r="L4911" s="349"/>
      <c r="M4911" s="301"/>
      <c r="N4911" s="391"/>
      <c r="O4911" s="349"/>
      <c r="P4911" s="301"/>
      <c r="S4911" s="364"/>
      <c r="Z4911" s="609" t="s">
        <v>4340</v>
      </c>
      <c r="AA4911" s="609" t="s">
        <v>5715</v>
      </c>
    </row>
    <row r="4912" spans="1:27" ht="48">
      <c r="A4912" s="2714"/>
      <c r="B4912" s="371">
        <v>102</v>
      </c>
      <c r="C4912" s="371"/>
      <c r="D4912" s="2716">
        <f t="shared" si="541"/>
        <v>1</v>
      </c>
      <c r="E4912" s="2721">
        <v>1</v>
      </c>
      <c r="F4912" s="371"/>
      <c r="G4912" s="308" t="s">
        <v>4343</v>
      </c>
      <c r="H4912" s="309"/>
      <c r="I4912" s="394">
        <v>456.04</v>
      </c>
      <c r="J4912" s="301"/>
      <c r="K4912" s="391"/>
      <c r="L4912" s="349"/>
      <c r="M4912" s="301"/>
      <c r="N4912" s="391"/>
      <c r="O4912" s="349"/>
      <c r="P4912" s="301"/>
      <c r="S4912" s="364"/>
      <c r="Z4912" s="609" t="s">
        <v>4340</v>
      </c>
      <c r="AA4912" s="609" t="s">
        <v>5715</v>
      </c>
    </row>
    <row r="4913" spans="1:29" ht="18">
      <c r="A4913" s="2714"/>
      <c r="B4913" s="371">
        <v>103</v>
      </c>
      <c r="C4913" s="371"/>
      <c r="D4913" s="2716">
        <f t="shared" si="541"/>
        <v>1</v>
      </c>
      <c r="E4913" s="2721">
        <v>0</v>
      </c>
      <c r="F4913" s="371"/>
      <c r="G4913" s="603" t="s">
        <v>353</v>
      </c>
      <c r="H4913" s="309"/>
      <c r="I4913" s="394">
        <v>456.04</v>
      </c>
      <c r="J4913" s="301"/>
      <c r="K4913" s="391"/>
      <c r="L4913" s="349"/>
      <c r="M4913" s="301"/>
      <c r="N4913" s="391"/>
      <c r="O4913" s="349"/>
      <c r="P4913" s="301"/>
      <c r="S4913" s="364"/>
      <c r="Z4913" s="609" t="s">
        <v>4340</v>
      </c>
      <c r="AA4913" s="609" t="s">
        <v>5715</v>
      </c>
    </row>
    <row r="4914" spans="1:29" ht="18">
      <c r="A4914" s="2714"/>
      <c r="B4914" s="371">
        <v>104</v>
      </c>
      <c r="C4914" s="371"/>
      <c r="D4914" s="2716">
        <f t="shared" si="541"/>
        <v>1</v>
      </c>
      <c r="E4914" s="2721">
        <v>0</v>
      </c>
      <c r="F4914" s="371"/>
      <c r="G4914" s="603" t="s">
        <v>396</v>
      </c>
      <c r="H4914" s="309"/>
      <c r="I4914" s="394"/>
      <c r="J4914" s="301"/>
      <c r="K4914" s="391"/>
      <c r="L4914" s="349"/>
      <c r="M4914" s="301"/>
      <c r="N4914" s="391"/>
      <c r="O4914" s="349"/>
      <c r="P4914" s="301"/>
      <c r="S4914" s="364"/>
      <c r="Z4914" s="609" t="s">
        <v>4340</v>
      </c>
      <c r="AA4914" s="609" t="s">
        <v>5715</v>
      </c>
    </row>
    <row r="4915" spans="1:29" ht="18">
      <c r="A4915" s="2714"/>
      <c r="B4915" s="371">
        <v>105</v>
      </c>
      <c r="C4915" s="371"/>
      <c r="D4915" s="2716">
        <f t="shared" si="541"/>
        <v>1</v>
      </c>
      <c r="E4915" s="2721">
        <v>0</v>
      </c>
      <c r="F4915" s="371"/>
      <c r="G4915" s="603" t="s">
        <v>344</v>
      </c>
      <c r="H4915" s="309"/>
      <c r="I4915" s="394"/>
      <c r="J4915" s="301"/>
      <c r="K4915" s="391"/>
      <c r="L4915" s="349"/>
      <c r="M4915" s="301"/>
      <c r="N4915" s="391"/>
      <c r="O4915" s="349"/>
      <c r="P4915" s="301"/>
      <c r="S4915" s="364"/>
      <c r="Z4915" s="609" t="s">
        <v>4340</v>
      </c>
      <c r="AA4915" s="609" t="s">
        <v>5715</v>
      </c>
    </row>
    <row r="4916" spans="1:29" ht="18">
      <c r="A4916" s="2714"/>
      <c r="B4916" s="371">
        <v>106</v>
      </c>
      <c r="C4916" s="371"/>
      <c r="D4916" s="2716">
        <f t="shared" si="541"/>
        <v>1</v>
      </c>
      <c r="E4916" s="2721">
        <v>0</v>
      </c>
      <c r="F4916" s="371"/>
      <c r="G4916" s="603" t="s">
        <v>381</v>
      </c>
      <c r="H4916" s="309"/>
      <c r="I4916" s="394"/>
      <c r="J4916" s="301"/>
      <c r="K4916" s="391"/>
      <c r="L4916" s="349"/>
      <c r="M4916" s="301"/>
      <c r="N4916" s="391"/>
      <c r="O4916" s="349"/>
      <c r="P4916" s="301"/>
      <c r="S4916" s="364"/>
      <c r="Z4916" s="609" t="s">
        <v>4340</v>
      </c>
      <c r="AA4916" s="609" t="s">
        <v>5715</v>
      </c>
    </row>
    <row r="4917" spans="1:29" ht="48">
      <c r="A4917" s="2714"/>
      <c r="B4917" s="371">
        <v>107</v>
      </c>
      <c r="C4917" s="371"/>
      <c r="D4917" s="2716">
        <f t="shared" si="541"/>
        <v>1</v>
      </c>
      <c r="E4917" s="2721">
        <v>1</v>
      </c>
      <c r="F4917" s="371"/>
      <c r="G4917" s="308" t="s">
        <v>4344</v>
      </c>
      <c r="H4917" s="309"/>
      <c r="I4917" s="394"/>
      <c r="J4917" s="301"/>
      <c r="K4917" s="391"/>
      <c r="L4917" s="349"/>
      <c r="M4917" s="301"/>
      <c r="N4917" s="391"/>
      <c r="O4917" s="349"/>
      <c r="P4917" s="301"/>
      <c r="S4917" s="364"/>
      <c r="Z4917" s="609" t="s">
        <v>4340</v>
      </c>
      <c r="AA4917" s="609" t="s">
        <v>5715</v>
      </c>
    </row>
    <row r="4918" spans="1:29" ht="48">
      <c r="A4918" s="2714"/>
      <c r="B4918" s="371">
        <v>108</v>
      </c>
      <c r="C4918" s="371"/>
      <c r="D4918" s="2716">
        <f t="shared" si="541"/>
        <v>1</v>
      </c>
      <c r="E4918" s="2721">
        <v>1</v>
      </c>
      <c r="F4918" s="371"/>
      <c r="G4918" s="319" t="s">
        <v>4345</v>
      </c>
      <c r="H4918" s="309"/>
      <c r="I4918" s="394"/>
      <c r="J4918" s="301"/>
      <c r="K4918" s="391"/>
      <c r="L4918" s="349"/>
      <c r="M4918" s="301"/>
      <c r="N4918" s="391"/>
      <c r="O4918" s="349"/>
      <c r="P4918" s="301"/>
      <c r="S4918" s="364"/>
      <c r="Z4918" s="609" t="s">
        <v>4340</v>
      </c>
      <c r="AA4918" s="609" t="s">
        <v>5715</v>
      </c>
    </row>
    <row r="4919" spans="1:29" ht="18">
      <c r="A4919" s="2714"/>
      <c r="B4919" s="371">
        <v>109</v>
      </c>
      <c r="C4919" s="371" t="s">
        <v>2791</v>
      </c>
      <c r="D4919" s="2716">
        <f t="shared" si="541"/>
        <v>0</v>
      </c>
      <c r="E4919" s="2721">
        <v>1</v>
      </c>
      <c r="F4919" s="371"/>
      <c r="G4919" s="319" t="s">
        <v>2792</v>
      </c>
      <c r="H4919" s="309"/>
      <c r="I4919" s="394"/>
      <c r="J4919" s="301"/>
      <c r="K4919" s="391"/>
      <c r="L4919" s="349"/>
      <c r="M4919" s="301"/>
      <c r="N4919" s="391"/>
      <c r="O4919" s="349"/>
      <c r="P4919" s="301"/>
      <c r="S4919" s="364"/>
      <c r="Z4919" s="609" t="s">
        <v>4340</v>
      </c>
      <c r="AA4919" s="609" t="s">
        <v>5715</v>
      </c>
    </row>
    <row r="4920" spans="1:29" ht="18.75" thickBot="1">
      <c r="A4920" s="2714"/>
      <c r="B4920" s="371"/>
      <c r="C4920" s="371"/>
      <c r="D4920" s="2716">
        <f t="shared" si="541"/>
        <v>1</v>
      </c>
      <c r="E4920" s="2721" t="s">
        <v>2751</v>
      </c>
      <c r="F4920" s="371"/>
      <c r="G4920" s="407" t="s">
        <v>2752</v>
      </c>
      <c r="H4920" s="375">
        <f>SUMPRODUCT($E4910:$E4919,H4910:H4919)</f>
        <v>0</v>
      </c>
      <c r="I4920" s="395">
        <f>SUMPRODUCT($E4910:$E4919,I4910:I4919)</f>
        <v>456.04</v>
      </c>
      <c r="J4920" s="301"/>
      <c r="K4920" s="391"/>
      <c r="L4920" s="349"/>
      <c r="M4920" s="301"/>
      <c r="N4920" s="391"/>
      <c r="O4920" s="349"/>
      <c r="P4920" s="301"/>
      <c r="S4920" s="364"/>
      <c r="Z4920" s="609" t="s">
        <v>4340</v>
      </c>
      <c r="AA4920" s="609" t="s">
        <v>5715</v>
      </c>
    </row>
    <row r="4921" spans="1:29" ht="18">
      <c r="A4921" s="2714"/>
      <c r="B4921" s="371"/>
      <c r="C4921" s="371" t="s">
        <v>2755</v>
      </c>
      <c r="D4921" s="2716"/>
      <c r="F4921" s="371"/>
      <c r="G4921" s="376"/>
      <c r="H4921" s="315"/>
      <c r="I4921" s="396"/>
      <c r="J4921" s="301"/>
      <c r="K4921" s="391"/>
      <c r="L4921" s="349"/>
      <c r="M4921" s="301"/>
      <c r="N4921" s="391"/>
      <c r="O4921" s="349"/>
      <c r="P4921" s="301"/>
      <c r="S4921" s="364"/>
      <c r="Z4921" s="609" t="s">
        <v>4340</v>
      </c>
      <c r="AA4921" s="609" t="s">
        <v>5715</v>
      </c>
    </row>
    <row r="4922" spans="1:29" ht="18">
      <c r="A4922" s="2714">
        <v>6710</v>
      </c>
      <c r="B4922" s="371">
        <v>74</v>
      </c>
      <c r="C4922" s="2716" t="str">
        <f>VLOOKUP($A4922,Sheet_Items,2,0)</f>
        <v>营业外收入</v>
      </c>
      <c r="D4922" s="371"/>
      <c r="E4922" s="2716" t="s">
        <v>2739</v>
      </c>
      <c r="F4922" s="294"/>
      <c r="G4922" s="305" t="str">
        <f>B4922&amp;" "&amp;C4922</f>
        <v>74 营业外收入</v>
      </c>
      <c r="H4922" s="306"/>
      <c r="I4922" s="306"/>
      <c r="J4922" s="306" t="s">
        <v>4206</v>
      </c>
      <c r="K4922" s="341">
        <f>VLOOKUP($A4922,Sheet_Trialbal,6,0)</f>
        <v>1.06</v>
      </c>
      <c r="L4922" s="342"/>
      <c r="M4922" s="306" t="s">
        <v>4207</v>
      </c>
      <c r="N4922" s="341">
        <f>VLOOKUP($A4922,Sheet_Trialbal,10,0)</f>
        <v>0</v>
      </c>
      <c r="O4922" s="306"/>
      <c r="P4922" s="301"/>
      <c r="S4922" s="364"/>
      <c r="Z4922" s="609" t="s">
        <v>4148</v>
      </c>
      <c r="AA4922" s="609" t="s">
        <v>5716</v>
      </c>
    </row>
    <row r="4923" spans="1:29" ht="18">
      <c r="A4923" s="2714" t="s">
        <v>1933</v>
      </c>
      <c r="B4923" s="371">
        <v>1</v>
      </c>
      <c r="C4923" s="371"/>
      <c r="D4923" s="2716" t="str">
        <f>VLOOKUP($A4923,Sheet_NoteList,2,0)</f>
        <v>营业外收入明细项目</v>
      </c>
      <c r="E4923" s="2716" t="s">
        <v>2742</v>
      </c>
      <c r="F4923" s="294"/>
      <c r="G4923" s="307" t="str">
        <f>"("&amp;B4923&amp;")"&amp;D4923</f>
        <v>(1)营业外收入明细项目</v>
      </c>
      <c r="H4923" s="1517" t="str">
        <f>$A4923</f>
        <v>6710a</v>
      </c>
      <c r="I4923" s="343" t="s">
        <v>2743</v>
      </c>
      <c r="J4923" s="301" t="s">
        <v>4210</v>
      </c>
      <c r="K4923" s="2210">
        <f>H4934</f>
        <v>1.06</v>
      </c>
      <c r="L4923" s="345" t="str">
        <f>IF($I4923="适用",IF(ROUND(K$4922-K4923,2)=0,"F/S",ROUND(K$4922-K4923,2)),"#N/A")</f>
        <v>F/S</v>
      </c>
      <c r="M4923" s="301" t="s">
        <v>4211</v>
      </c>
      <c r="N4923" s="2210">
        <f>I4934</f>
        <v>0</v>
      </c>
      <c r="O4923" s="345" t="str">
        <f>IF($I4923="适用",IF(ROUND(N$4922-N4923,2)=0,"F/S",ROUND(N$4922-N4923,2)),"#N/A")</f>
        <v>F/S</v>
      </c>
      <c r="P4923" s="301"/>
      <c r="Q4923" s="290" t="str">
        <f>IF($I4923="不适用","",IF(ROUND(SUM($H$4926:$J$4934),2)=0,"请输入",""))</f>
        <v/>
      </c>
      <c r="S4923" s="364"/>
      <c r="Z4923" s="609" t="s">
        <v>4148</v>
      </c>
      <c r="AA4923" s="609" t="s">
        <v>5716</v>
      </c>
    </row>
    <row r="4924" spans="1:29" ht="0.75" customHeight="1" thickBot="1">
      <c r="A4924" s="2714"/>
      <c r="B4924" s="371"/>
      <c r="C4924" s="371"/>
      <c r="D4924" s="371"/>
      <c r="F4924" s="294"/>
      <c r="G4924" s="294" t="s">
        <v>4346</v>
      </c>
      <c r="H4924" s="294" t="s">
        <v>4223</v>
      </c>
      <c r="I4924" s="294" t="s">
        <v>4224</v>
      </c>
      <c r="J4924" s="294" t="s">
        <v>4347</v>
      </c>
      <c r="K4924" s="291"/>
      <c r="L4924" s="291"/>
      <c r="M4924" s="291"/>
      <c r="N4924" s="291"/>
      <c r="S4924" s="364"/>
      <c r="Z4924" s="609" t="s">
        <v>4148</v>
      </c>
      <c r="AA4924" s="609" t="s">
        <v>5716</v>
      </c>
    </row>
    <row r="4925" spans="1:29" ht="24">
      <c r="A4925" s="2714"/>
      <c r="B4925" s="371"/>
      <c r="C4925" s="371"/>
      <c r="D4925" s="371"/>
      <c r="E4925" s="2716" t="s">
        <v>2749</v>
      </c>
      <c r="F4925" s="294"/>
      <c r="G4925" s="378" t="s">
        <v>47</v>
      </c>
      <c r="H4925" s="398" t="str">
        <f>$V$4</f>
        <v>2019年度</v>
      </c>
      <c r="I4925" s="398" t="str">
        <f>$V$5</f>
        <v>2018年度</v>
      </c>
      <c r="J4925" s="511" t="s">
        <v>4348</v>
      </c>
      <c r="K4925" s="355" t="s">
        <v>5339</v>
      </c>
      <c r="L4925" s="291"/>
      <c r="M4925" s="291"/>
      <c r="N4925" s="291"/>
      <c r="S4925" s="364"/>
      <c r="Z4925" s="609" t="s">
        <v>4148</v>
      </c>
      <c r="AA4925" s="609" t="s">
        <v>5716</v>
      </c>
    </row>
    <row r="4926" spans="1:29" ht="18">
      <c r="A4926" s="2714"/>
      <c r="B4926" s="371">
        <v>101</v>
      </c>
      <c r="C4926" s="371"/>
      <c r="D4926" s="2716">
        <f t="shared" ref="D4926:D4934" si="542">IF(OR(G4926="*",G4926="",G4926=0),0,COUNTIF($G$4926:$G$4934,G4926))</f>
        <v>1</v>
      </c>
      <c r="E4926" s="2721">
        <v>1</v>
      </c>
      <c r="F4926" s="294"/>
      <c r="G4926" s="380" t="s">
        <v>4349</v>
      </c>
      <c r="H4926" s="383"/>
      <c r="I4926" s="383"/>
      <c r="J4926" s="401"/>
      <c r="K4926" s="424"/>
      <c r="L4926" s="291"/>
      <c r="M4926" s="291"/>
      <c r="N4926" s="291"/>
      <c r="S4926" s="364"/>
      <c r="Z4926" s="609" t="s">
        <v>4148</v>
      </c>
      <c r="AA4926" s="609" t="s">
        <v>5716</v>
      </c>
    </row>
    <row r="4927" spans="1:29" ht="18">
      <c r="A4927" s="2714"/>
      <c r="B4927" s="371">
        <v>102</v>
      </c>
      <c r="C4927" s="371"/>
      <c r="D4927" s="2716">
        <f t="shared" si="542"/>
        <v>1</v>
      </c>
      <c r="E4927" s="2721">
        <v>1</v>
      </c>
      <c r="F4927" s="294"/>
      <c r="G4927" s="380" t="s">
        <v>4350</v>
      </c>
      <c r="H4927" s="383"/>
      <c r="I4927" s="383"/>
      <c r="J4927" s="401"/>
      <c r="K4927" s="291"/>
      <c r="L4927" s="291"/>
      <c r="M4927" s="291"/>
      <c r="N4927" s="291"/>
      <c r="S4927" s="364"/>
      <c r="Z4927" s="609" t="s">
        <v>4148</v>
      </c>
      <c r="AA4927" s="609" t="s">
        <v>5716</v>
      </c>
    </row>
    <row r="4928" spans="1:29" ht="24">
      <c r="A4928" s="2714"/>
      <c r="B4928" s="371">
        <v>103</v>
      </c>
      <c r="C4928" s="371"/>
      <c r="D4928" s="2716">
        <f t="shared" si="542"/>
        <v>1</v>
      </c>
      <c r="E4928" s="2721">
        <v>1</v>
      </c>
      <c r="F4928" s="294"/>
      <c r="G4928" s="380" t="s">
        <v>1936</v>
      </c>
      <c r="H4928" s="383"/>
      <c r="I4928" s="383"/>
      <c r="J4928" s="401"/>
      <c r="K4928" s="1533" t="str">
        <f ca="1">HYPERLINK("#'"&amp;$G$1&amp;"'!"&amp;ADDRESS(ROW(Notes!H4947),COLUMN(Notes!H4947),4),"* 请勿删除此行！点击往勾稽单元格，F5+Enter返回")</f>
        <v>* 请勿删除此行！点击往勾稽单元格，F5+Enter返回</v>
      </c>
      <c r="L4928" s="291"/>
      <c r="M4928" s="291"/>
      <c r="N4928" s="291"/>
      <c r="S4928" s="364"/>
      <c r="Z4928" s="609" t="s">
        <v>4148</v>
      </c>
      <c r="AA4928" s="609" t="s">
        <v>5716</v>
      </c>
      <c r="AC4928" s="369" t="s">
        <v>6573</v>
      </c>
    </row>
    <row r="4929" spans="1:27" ht="18">
      <c r="A4929" s="2714"/>
      <c r="B4929" s="371">
        <v>104</v>
      </c>
      <c r="C4929" s="371"/>
      <c r="D4929" s="2716">
        <f t="shared" si="542"/>
        <v>1</v>
      </c>
      <c r="E4929" s="2721">
        <v>1</v>
      </c>
      <c r="F4929" s="294"/>
      <c r="G4929" s="380" t="s">
        <v>4351</v>
      </c>
      <c r="H4929" s="383"/>
      <c r="I4929" s="383"/>
      <c r="J4929" s="401"/>
      <c r="K4929" s="357"/>
      <c r="L4929" s="291"/>
      <c r="M4929" s="291"/>
      <c r="N4929" s="291"/>
      <c r="S4929" s="364"/>
      <c r="Z4929" s="609" t="s">
        <v>4148</v>
      </c>
      <c r="AA4929" s="609" t="s">
        <v>5716</v>
      </c>
    </row>
    <row r="4930" spans="1:27" ht="18">
      <c r="A4930" s="2714"/>
      <c r="B4930" s="371">
        <v>105</v>
      </c>
      <c r="C4930" s="371" t="s">
        <v>2791</v>
      </c>
      <c r="D4930" s="2716">
        <f t="shared" si="542"/>
        <v>1</v>
      </c>
      <c r="E4930" s="2721">
        <v>1</v>
      </c>
      <c r="F4930" s="294"/>
      <c r="G4930" s="409" t="s">
        <v>6891</v>
      </c>
      <c r="H4930" s="383">
        <v>1.06</v>
      </c>
      <c r="I4930" s="383"/>
      <c r="J4930" s="401"/>
      <c r="K4930" s="291"/>
      <c r="L4930" s="291"/>
      <c r="M4930" s="291"/>
      <c r="N4930" s="291"/>
      <c r="S4930" s="364"/>
      <c r="Z4930" s="609" t="s">
        <v>4148</v>
      </c>
      <c r="AA4930" s="609" t="s">
        <v>5716</v>
      </c>
    </row>
    <row r="4931" spans="1:27" ht="18">
      <c r="A4931" s="2714"/>
      <c r="B4931" s="371">
        <v>106</v>
      </c>
      <c r="C4931" s="371" t="s">
        <v>2791</v>
      </c>
      <c r="D4931" s="2716">
        <f t="shared" si="542"/>
        <v>0</v>
      </c>
      <c r="E4931" s="2721">
        <v>1</v>
      </c>
      <c r="F4931" s="294"/>
      <c r="G4931" s="409" t="s">
        <v>2792</v>
      </c>
      <c r="H4931" s="383"/>
      <c r="I4931" s="383"/>
      <c r="J4931" s="401"/>
      <c r="K4931" s="291"/>
      <c r="L4931" s="291"/>
      <c r="M4931" s="291"/>
      <c r="N4931" s="291"/>
      <c r="S4931" s="364"/>
      <c r="Z4931" s="609" t="s">
        <v>4148</v>
      </c>
      <c r="AA4931" s="609" t="s">
        <v>5716</v>
      </c>
    </row>
    <row r="4932" spans="1:27" ht="18">
      <c r="A4932" s="2714"/>
      <c r="B4932" s="371">
        <v>107</v>
      </c>
      <c r="C4932" s="371" t="s">
        <v>2791</v>
      </c>
      <c r="D4932" s="2716">
        <f t="shared" si="542"/>
        <v>0</v>
      </c>
      <c r="E4932" s="2721">
        <v>1</v>
      </c>
      <c r="F4932" s="294"/>
      <c r="G4932" s="409" t="s">
        <v>2792</v>
      </c>
      <c r="H4932" s="383"/>
      <c r="I4932" s="383"/>
      <c r="J4932" s="401"/>
      <c r="K4932" s="291"/>
      <c r="L4932" s="291"/>
      <c r="M4932" s="291"/>
      <c r="N4932" s="291"/>
      <c r="S4932" s="364"/>
      <c r="Z4932" s="609" t="s">
        <v>4148</v>
      </c>
      <c r="AA4932" s="609" t="s">
        <v>5716</v>
      </c>
    </row>
    <row r="4933" spans="1:27" ht="18">
      <c r="A4933" s="2714"/>
      <c r="B4933" s="371">
        <v>109</v>
      </c>
      <c r="C4933" s="371" t="s">
        <v>2791</v>
      </c>
      <c r="D4933" s="2716">
        <f t="shared" si="542"/>
        <v>0</v>
      </c>
      <c r="E4933" s="2721">
        <v>1</v>
      </c>
      <c r="F4933" s="294"/>
      <c r="G4933" s="409" t="s">
        <v>2792</v>
      </c>
      <c r="H4933" s="383"/>
      <c r="I4933" s="383"/>
      <c r="J4933" s="401"/>
      <c r="K4933" s="291"/>
      <c r="L4933" s="291"/>
      <c r="M4933" s="291"/>
      <c r="N4933" s="291"/>
      <c r="S4933" s="364"/>
      <c r="Z4933" s="609" t="s">
        <v>4148</v>
      </c>
      <c r="AA4933" s="609" t="s">
        <v>5716</v>
      </c>
    </row>
    <row r="4934" spans="1:27" ht="18.75" thickBot="1">
      <c r="A4934" s="2714"/>
      <c r="B4934" s="371"/>
      <c r="C4934" s="371"/>
      <c r="D4934" s="2716">
        <f t="shared" si="542"/>
        <v>1</v>
      </c>
      <c r="E4934" s="2721" t="s">
        <v>2751</v>
      </c>
      <c r="F4934" s="294"/>
      <c r="G4934" s="403" t="s">
        <v>2752</v>
      </c>
      <c r="H4934" s="404">
        <f>SUMPRODUCT($E4925:$E4933,H4925:H4933)</f>
        <v>1.06</v>
      </c>
      <c r="I4934" s="404">
        <f>SUMPRODUCT($E4925:$E4933,I4925:I4933)</f>
        <v>0</v>
      </c>
      <c r="J4934" s="413">
        <f>SUMPRODUCT($E4925:$E4933,J4925:J4933)</f>
        <v>0</v>
      </c>
      <c r="K4934" s="291"/>
      <c r="L4934" s="291"/>
      <c r="M4934" s="291"/>
      <c r="N4934" s="291"/>
      <c r="S4934" s="364"/>
      <c r="Z4934" s="609" t="s">
        <v>4148</v>
      </c>
      <c r="AA4934" s="609" t="s">
        <v>5716</v>
      </c>
    </row>
    <row r="4935" spans="1:27" ht="18">
      <c r="A4935" s="2714"/>
      <c r="B4935" s="371"/>
      <c r="C4935" s="371" t="s">
        <v>2755</v>
      </c>
      <c r="D4935" s="371"/>
      <c r="F4935" s="294"/>
      <c r="G4935" s="301"/>
      <c r="H4935" s="315"/>
      <c r="I4935" s="315"/>
      <c r="J4935" s="315"/>
      <c r="K4935" s="291"/>
      <c r="L4935" s="291"/>
      <c r="M4935" s="291"/>
      <c r="N4935" s="291"/>
      <c r="S4935" s="364"/>
      <c r="Z4935" s="609" t="s">
        <v>4148</v>
      </c>
      <c r="AA4935" s="609" t="s">
        <v>5716</v>
      </c>
    </row>
    <row r="4936" spans="1:27" ht="24">
      <c r="A4936" s="2714" t="s">
        <v>1935</v>
      </c>
      <c r="B4936" s="371">
        <v>2</v>
      </c>
      <c r="C4936" s="371"/>
      <c r="D4936" s="2716" t="str">
        <f>VLOOKUP($A4936,Sheet_NoteList,2,0)</f>
        <v>与企业日常活动无关的政府补助</v>
      </c>
      <c r="E4936" s="2716" t="s">
        <v>2742</v>
      </c>
      <c r="F4936" s="294"/>
      <c r="G4936" s="372" t="str">
        <f>"("&amp;B4936&amp;")"&amp;D4936</f>
        <v>(2)与企业日常活动无关的政府补助</v>
      </c>
      <c r="H4936" s="1517" t="str">
        <f>$A4936</f>
        <v>6710b</v>
      </c>
      <c r="I4936" s="343" t="s">
        <v>2743</v>
      </c>
      <c r="J4936" s="301" t="s">
        <v>4210</v>
      </c>
      <c r="K4936" s="2210">
        <f>H4944</f>
        <v>0</v>
      </c>
      <c r="L4936" s="345"/>
      <c r="M4936" s="301" t="s">
        <v>4211</v>
      </c>
      <c r="N4936" s="2210">
        <f>I4944</f>
        <v>0</v>
      </c>
      <c r="O4936" s="345"/>
      <c r="P4936" s="301"/>
      <c r="Q4936" s="290" t="str">
        <f>IF($I4936="不适用","",IF(ROUND(SUM($H$4939:$K$4944),2)=0,"请输入",""))</f>
        <v>请输入</v>
      </c>
      <c r="S4936" s="364"/>
      <c r="Z4936" s="609" t="s">
        <v>4148</v>
      </c>
      <c r="AA4936" s="609" t="s">
        <v>5716</v>
      </c>
    </row>
    <row r="4937" spans="1:27" ht="0.75" customHeight="1" thickBot="1">
      <c r="A4937" s="2714"/>
      <c r="B4937" s="371"/>
      <c r="C4937" s="371"/>
      <c r="D4937" s="371"/>
      <c r="E4937" s="586"/>
      <c r="F4937" s="518"/>
      <c r="G4937" s="518" t="s">
        <v>4352</v>
      </c>
      <c r="H4937" s="304" t="s">
        <v>4223</v>
      </c>
      <c r="I4937" s="304" t="s">
        <v>4224</v>
      </c>
      <c r="J4937" s="304" t="s">
        <v>3671</v>
      </c>
      <c r="K4937" s="619"/>
      <c r="L4937" s="442"/>
      <c r="M4937" s="442"/>
      <c r="N4937" s="442"/>
      <c r="O4937" s="442"/>
      <c r="P4937" s="442"/>
      <c r="Q4937" s="442"/>
      <c r="R4937" s="443"/>
      <c r="S4937" s="364"/>
      <c r="Z4937" s="609" t="s">
        <v>4148</v>
      </c>
      <c r="AA4937" s="609" t="s">
        <v>5716</v>
      </c>
    </row>
    <row r="4938" spans="1:27" ht="24">
      <c r="A4938" s="2714"/>
      <c r="B4938" s="371"/>
      <c r="C4938" s="371"/>
      <c r="D4938" s="371"/>
      <c r="E4938" s="586" t="s">
        <v>2749</v>
      </c>
      <c r="F4938" s="363"/>
      <c r="G4938" s="2457" t="s">
        <v>1628</v>
      </c>
      <c r="H4938" s="2464" t="str">
        <f>$V$4</f>
        <v>2019年度</v>
      </c>
      <c r="I4938" s="2464" t="str">
        <f>$V$5</f>
        <v>2018年度</v>
      </c>
      <c r="J4938" s="2469" t="s">
        <v>5237</v>
      </c>
      <c r="K4938" s="355" t="s">
        <v>5339</v>
      </c>
      <c r="L4938" s="442"/>
      <c r="M4938" s="442"/>
      <c r="N4938" s="442"/>
      <c r="O4938" s="442"/>
      <c r="P4938" s="442"/>
      <c r="Q4938" s="442"/>
      <c r="R4938" s="443"/>
      <c r="S4938" s="364"/>
      <c r="Z4938" s="609" t="s">
        <v>4148</v>
      </c>
      <c r="AA4938" s="609" t="s">
        <v>5716</v>
      </c>
    </row>
    <row r="4939" spans="1:27" ht="18">
      <c r="A4939" s="2714"/>
      <c r="B4939" s="371">
        <v>101</v>
      </c>
      <c r="C4939" s="371" t="s">
        <v>2791</v>
      </c>
      <c r="D4939" s="2716">
        <f t="shared" ref="D4939:D4944" si="543">IF(OR(G4939="*",G4939="",G4939=0),0,COUNTIF($G$4939:$G$4944,G4939))</f>
        <v>0</v>
      </c>
      <c r="E4939" s="2721">
        <v>1</v>
      </c>
      <c r="F4939" s="294"/>
      <c r="G4939" s="2467" t="s">
        <v>2792</v>
      </c>
      <c r="H4939" s="2275"/>
      <c r="I4939" s="2275"/>
      <c r="J4939" s="2276"/>
      <c r="K4939" s="2672" t="s">
        <v>6361</v>
      </c>
      <c r="L4939" s="2673" t="s">
        <v>6362</v>
      </c>
      <c r="M4939" s="442"/>
      <c r="N4939" s="442"/>
      <c r="O4939" s="442"/>
      <c r="P4939" s="442"/>
      <c r="Q4939" s="442"/>
      <c r="R4939" s="443"/>
      <c r="S4939" s="364"/>
      <c r="Z4939" s="609" t="s">
        <v>4148</v>
      </c>
      <c r="AA4939" s="609" t="s">
        <v>5716</v>
      </c>
    </row>
    <row r="4940" spans="1:27" ht="18">
      <c r="A4940" s="2714"/>
      <c r="B4940" s="371">
        <v>102</v>
      </c>
      <c r="C4940" s="371" t="s">
        <v>2791</v>
      </c>
      <c r="D4940" s="2716">
        <f t="shared" si="543"/>
        <v>0</v>
      </c>
      <c r="E4940" s="2721">
        <v>1</v>
      </c>
      <c r="F4940" s="294"/>
      <c r="G4940" s="2467" t="s">
        <v>2792</v>
      </c>
      <c r="H4940" s="2275"/>
      <c r="I4940" s="2275"/>
      <c r="J4940" s="2276"/>
      <c r="K4940" s="1604"/>
      <c r="L4940" s="2673" t="s">
        <v>6363</v>
      </c>
      <c r="M4940" s="442"/>
      <c r="N4940" s="442"/>
      <c r="O4940" s="442"/>
      <c r="P4940" s="442"/>
      <c r="Q4940" s="442"/>
      <c r="R4940" s="443"/>
      <c r="S4940" s="364"/>
      <c r="Z4940" s="609" t="s">
        <v>4148</v>
      </c>
      <c r="AA4940" s="609" t="s">
        <v>5716</v>
      </c>
    </row>
    <row r="4941" spans="1:27" ht="18">
      <c r="A4941" s="2714"/>
      <c r="B4941" s="371">
        <v>103</v>
      </c>
      <c r="C4941" s="371" t="s">
        <v>2791</v>
      </c>
      <c r="D4941" s="2716">
        <f t="shared" si="543"/>
        <v>0</v>
      </c>
      <c r="E4941" s="2721">
        <v>1</v>
      </c>
      <c r="F4941" s="294"/>
      <c r="G4941" s="2467" t="s">
        <v>2792</v>
      </c>
      <c r="H4941" s="2275"/>
      <c r="I4941" s="2275"/>
      <c r="J4941" s="2276"/>
      <c r="K4941" s="437"/>
      <c r="L4941" s="442"/>
      <c r="M4941" s="442"/>
      <c r="N4941" s="442"/>
      <c r="O4941" s="442"/>
      <c r="P4941" s="442"/>
      <c r="Q4941" s="442"/>
      <c r="R4941" s="443"/>
      <c r="S4941" s="364"/>
      <c r="Z4941" s="609" t="s">
        <v>4148</v>
      </c>
      <c r="AA4941" s="609" t="s">
        <v>5716</v>
      </c>
    </row>
    <row r="4942" spans="1:27" ht="18">
      <c r="A4942" s="2714"/>
      <c r="B4942" s="371">
        <v>104</v>
      </c>
      <c r="C4942" s="371" t="s">
        <v>2791</v>
      </c>
      <c r="D4942" s="2716">
        <f t="shared" si="543"/>
        <v>0</v>
      </c>
      <c r="E4942" s="2721">
        <v>1</v>
      </c>
      <c r="F4942" s="294"/>
      <c r="G4942" s="2467" t="s">
        <v>2792</v>
      </c>
      <c r="H4942" s="2275"/>
      <c r="I4942" s="2275"/>
      <c r="J4942" s="2276"/>
      <c r="K4942" s="437"/>
      <c r="L4942" s="442"/>
      <c r="M4942" s="442"/>
      <c r="N4942" s="442"/>
      <c r="O4942" s="442"/>
      <c r="P4942" s="442"/>
      <c r="Q4942" s="442"/>
      <c r="R4942" s="443"/>
      <c r="S4942" s="364"/>
      <c r="Z4942" s="609" t="s">
        <v>4148</v>
      </c>
      <c r="AA4942" s="609" t="s">
        <v>5716</v>
      </c>
    </row>
    <row r="4943" spans="1:27" ht="18">
      <c r="A4943" s="2714"/>
      <c r="B4943" s="371">
        <v>105</v>
      </c>
      <c r="C4943" s="371" t="s">
        <v>2791</v>
      </c>
      <c r="D4943" s="2716">
        <f t="shared" si="543"/>
        <v>0</v>
      </c>
      <c r="E4943" s="2721">
        <v>1</v>
      </c>
      <c r="F4943" s="294"/>
      <c r="G4943" s="2467" t="s">
        <v>2792</v>
      </c>
      <c r="H4943" s="2275"/>
      <c r="I4943" s="2275"/>
      <c r="J4943" s="2276"/>
      <c r="K4943" s="437"/>
      <c r="L4943" s="442"/>
      <c r="M4943" s="442"/>
      <c r="N4943" s="442"/>
      <c r="O4943" s="442"/>
      <c r="P4943" s="442"/>
      <c r="Q4943" s="442"/>
      <c r="R4943" s="443"/>
      <c r="S4943" s="364"/>
      <c r="Z4943" s="609" t="s">
        <v>4148</v>
      </c>
      <c r="AA4943" s="609" t="s">
        <v>5716</v>
      </c>
    </row>
    <row r="4944" spans="1:27" ht="18.75" thickBot="1">
      <c r="A4944" s="2714"/>
      <c r="B4944" s="371"/>
      <c r="C4944" s="371"/>
      <c r="D4944" s="2716">
        <f t="shared" si="543"/>
        <v>1</v>
      </c>
      <c r="E4944" s="2721" t="s">
        <v>2751</v>
      </c>
      <c r="F4944" s="294"/>
      <c r="G4944" s="374" t="s">
        <v>2752</v>
      </c>
      <c r="H4944" s="1478">
        <f>SUMPRODUCT($E4938:$E4943,H4938:H4943)</f>
        <v>0</v>
      </c>
      <c r="I4944" s="1478">
        <f>SUMPRODUCT($E4938:$E4943,I4938:I4943)</f>
        <v>0</v>
      </c>
      <c r="J4944" s="2260"/>
      <c r="K4944" s="437"/>
      <c r="L4944" s="442"/>
      <c r="M4944" s="442"/>
      <c r="N4944" s="442"/>
      <c r="O4944" s="442"/>
      <c r="P4944" s="442"/>
      <c r="Q4944" s="442"/>
      <c r="R4944" s="443"/>
      <c r="S4944" s="364"/>
      <c r="Z4944" s="609" t="s">
        <v>4148</v>
      </c>
      <c r="AA4944" s="609" t="s">
        <v>5716</v>
      </c>
    </row>
    <row r="4945" spans="1:27" ht="18.75" thickBot="1">
      <c r="A4945" s="2714"/>
      <c r="B4945" s="371"/>
      <c r="C4945" s="371" t="s">
        <v>2755</v>
      </c>
      <c r="D4945" s="371"/>
      <c r="F4945" s="294"/>
      <c r="G4945" s="301"/>
      <c r="H4945" s="315" t="s">
        <v>3002</v>
      </c>
      <c r="I4945" s="315" t="s">
        <v>3002</v>
      </c>
      <c r="J4945" s="393"/>
      <c r="K4945" s="437"/>
      <c r="L4945" s="437"/>
      <c r="M4945" s="437"/>
      <c r="N4945" s="437"/>
      <c r="O4945" s="442"/>
      <c r="P4945" s="442"/>
      <c r="Q4945" s="442"/>
      <c r="R4945" s="443"/>
      <c r="S4945" s="364"/>
      <c r="Z4945" s="609" t="s">
        <v>4148</v>
      </c>
      <c r="AA4945" s="609" t="s">
        <v>5716</v>
      </c>
    </row>
    <row r="4946" spans="1:27" ht="18.75" thickTop="1">
      <c r="A4946" s="2714"/>
      <c r="B4946" s="371"/>
      <c r="C4946" s="371" t="s">
        <v>2565</v>
      </c>
      <c r="D4946" s="371"/>
      <c r="F4946" s="294"/>
      <c r="G4946" s="454" t="s">
        <v>2756</v>
      </c>
      <c r="H4946" s="455" t="str">
        <f>G4923</f>
        <v>(1)营业外收入明细项目</v>
      </c>
      <c r="I4946" s="487"/>
      <c r="J4946" s="474"/>
      <c r="K4946" s="474"/>
      <c r="L4946" s="350"/>
      <c r="M4946" s="350"/>
      <c r="N4946" s="350"/>
      <c r="S4946" s="364"/>
      <c r="Z4946" s="609" t="s">
        <v>4148</v>
      </c>
      <c r="AA4946" s="609" t="s">
        <v>5716</v>
      </c>
    </row>
    <row r="4947" spans="1:27" ht="24">
      <c r="A4947" s="2714"/>
      <c r="B4947" s="371"/>
      <c r="C4947" s="371" t="s">
        <v>2565</v>
      </c>
      <c r="D4947" s="371"/>
      <c r="F4947" s="294"/>
      <c r="G4947" s="316" t="str">
        <f>G4928</f>
        <v>与企业日常活动无关的政府补助</v>
      </c>
      <c r="H4947" s="2252">
        <f ca="1">HYPERLINK("#'"&amp;$G$1&amp;"'!"&amp;ADDRESS(ROW(Notes!H4928),COLUMN(Notes!H4928),4),H4928)</f>
        <v>0</v>
      </c>
      <c r="I4947" s="2252">
        <f ca="1">HYPERLINK("#'"&amp;$G$1&amp;"'!"&amp;ADDRESS(ROW(Notes!I4928),COLUMN(Notes!I4928),4),I4928)</f>
        <v>0</v>
      </c>
      <c r="J4947" s="351"/>
      <c r="K4947" s="2632" t="str">
        <f>H4923</f>
        <v>6710a</v>
      </c>
      <c r="L4947" s="350"/>
      <c r="M4947" s="350"/>
      <c r="N4947" s="350"/>
      <c r="S4947" s="364"/>
      <c r="Z4947" s="609" t="s">
        <v>4148</v>
      </c>
      <c r="AA4947" s="609" t="s">
        <v>5716</v>
      </c>
    </row>
    <row r="4948" spans="1:27" ht="18">
      <c r="A4948" s="2714"/>
      <c r="B4948" s="371"/>
      <c r="C4948" s="371" t="s">
        <v>2565</v>
      </c>
      <c r="D4948" s="371"/>
      <c r="F4948" s="294"/>
      <c r="G4948" s="316" t="s">
        <v>3003</v>
      </c>
      <c r="H4948" s="456">
        <f>H4944</f>
        <v>0</v>
      </c>
      <c r="I4948" s="456">
        <f>I4944</f>
        <v>0</v>
      </c>
      <c r="J4948" s="351"/>
      <c r="K4948" s="351"/>
      <c r="L4948" s="350"/>
      <c r="M4948" s="350"/>
      <c r="N4948" s="350"/>
      <c r="S4948" s="364"/>
      <c r="Z4948" s="609" t="s">
        <v>4148</v>
      </c>
      <c r="AA4948" s="609" t="s">
        <v>5716</v>
      </c>
    </row>
    <row r="4949" spans="1:27" ht="18.75" thickBot="1">
      <c r="A4949" s="2714"/>
      <c r="B4949" s="371"/>
      <c r="C4949" s="371" t="s">
        <v>2565</v>
      </c>
      <c r="D4949" s="371"/>
      <c r="F4949" s="294"/>
      <c r="G4949" s="457" t="s">
        <v>2757</v>
      </c>
      <c r="H4949" s="458">
        <f ca="1">IF(AND(H4947="",H4948=""),"",ROUND(H4947-H4948,2))</f>
        <v>0</v>
      </c>
      <c r="I4949" s="458">
        <f ca="1">IF(AND(I4947="",I4948=""),"",ROUND(I4947-I4948,2))</f>
        <v>0</v>
      </c>
      <c r="J4949" s="356"/>
      <c r="K4949" s="356"/>
      <c r="L4949" s="350"/>
      <c r="M4949" s="350"/>
      <c r="N4949" s="350"/>
      <c r="S4949" s="364"/>
      <c r="Z4949" s="609" t="s">
        <v>4148</v>
      </c>
      <c r="AA4949" s="609" t="s">
        <v>5716</v>
      </c>
    </row>
    <row r="4950" spans="1:27" ht="18.75" thickTop="1">
      <c r="A4950" s="2714"/>
      <c r="B4950" s="371"/>
      <c r="C4950" s="371" t="s">
        <v>2565</v>
      </c>
      <c r="D4950" s="371"/>
      <c r="F4950" s="294"/>
      <c r="G4950" s="354"/>
      <c r="H4950" s="459" t="str">
        <f ca="1">IF(OR(H4949=0,H4949=""),"√","？")</f>
        <v>√</v>
      </c>
      <c r="I4950" s="459" t="str">
        <f ca="1">IF(OR(I4949=0,I4949=""),"√","？")</f>
        <v>√</v>
      </c>
      <c r="J4950" s="317"/>
      <c r="K4950" s="317"/>
      <c r="L4950" s="350"/>
      <c r="M4950" s="350"/>
      <c r="N4950" s="350"/>
      <c r="S4950" s="364"/>
      <c r="Z4950" s="609" t="s">
        <v>4148</v>
      </c>
      <c r="AA4950" s="609" t="s">
        <v>5716</v>
      </c>
    </row>
    <row r="4951" spans="1:27" ht="18">
      <c r="A4951" s="2714"/>
      <c r="B4951" s="371"/>
      <c r="C4951" s="371" t="s">
        <v>2565</v>
      </c>
      <c r="D4951" s="371"/>
      <c r="F4951" s="294"/>
      <c r="G4951" s="460" t="s">
        <v>2759</v>
      </c>
      <c r="H4951" s="461"/>
      <c r="I4951" s="461"/>
      <c r="J4951" s="317"/>
      <c r="K4951" s="352">
        <f ca="1">SUMIF($H$4950:$K$4950,"&lt;&gt;√",$H$4949:$K$4949)</f>
        <v>0</v>
      </c>
      <c r="L4951" s="353" t="str">
        <f ca="1">IF(OR(K4951=0,K4951=""),"√","？")</f>
        <v>√</v>
      </c>
      <c r="M4951" s="350"/>
      <c r="N4951" s="350"/>
      <c r="S4951" s="364"/>
      <c r="Z4951" s="609" t="s">
        <v>4148</v>
      </c>
      <c r="AA4951" s="609" t="s">
        <v>5716</v>
      </c>
    </row>
    <row r="4952" spans="1:27" ht="18">
      <c r="A4952" s="2714"/>
      <c r="B4952" s="371"/>
      <c r="C4952" s="371" t="s">
        <v>2565</v>
      </c>
      <c r="D4952" s="371"/>
      <c r="F4952" s="294"/>
      <c r="G4952" s="354"/>
      <c r="H4952" s="461"/>
      <c r="I4952" s="461"/>
      <c r="J4952" s="317"/>
      <c r="K4952" s="317"/>
      <c r="L4952" s="350"/>
      <c r="M4952" s="350"/>
      <c r="N4952" s="350"/>
      <c r="S4952" s="364"/>
      <c r="Z4952" s="609" t="s">
        <v>4148</v>
      </c>
      <c r="AA4952" s="609" t="s">
        <v>5716</v>
      </c>
    </row>
    <row r="4953" spans="1:27" ht="18">
      <c r="A4953" s="2714">
        <v>6711</v>
      </c>
      <c r="B4953" s="371">
        <v>75</v>
      </c>
      <c r="C4953" s="2716" t="str">
        <f>VLOOKUP($A4953,Sheet_Items,2,0)</f>
        <v>营业外支出</v>
      </c>
      <c r="D4953" s="371"/>
      <c r="E4953" s="2716" t="s">
        <v>2739</v>
      </c>
      <c r="F4953" s="294"/>
      <c r="G4953" s="305" t="str">
        <f>B4953&amp;" "&amp;C4953</f>
        <v>75 营业外支出</v>
      </c>
      <c r="H4953" s="306"/>
      <c r="I4953" s="306"/>
      <c r="J4953" s="306" t="s">
        <v>4206</v>
      </c>
      <c r="K4953" s="341">
        <f>VLOOKUP($A4953,Sheet_Trialbal,6,0)</f>
        <v>21970.3</v>
      </c>
      <c r="L4953" s="342"/>
      <c r="M4953" s="306" t="s">
        <v>4207</v>
      </c>
      <c r="N4953" s="341">
        <f>VLOOKUP($A4953,Sheet_Trialbal,10,0)</f>
        <v>88651.11</v>
      </c>
      <c r="O4953" s="306"/>
      <c r="P4953" s="301"/>
      <c r="S4953" s="364"/>
      <c r="Z4953" s="609" t="s">
        <v>4353</v>
      </c>
      <c r="AA4953" s="609" t="s">
        <v>5717</v>
      </c>
    </row>
    <row r="4954" spans="1:27" ht="18">
      <c r="A4954" s="2714" t="s">
        <v>1937</v>
      </c>
      <c r="B4954" s="371">
        <v>1</v>
      </c>
      <c r="C4954" s="371"/>
      <c r="D4954" s="2716" t="str">
        <f>VLOOKUP($A4954,Sheet_NoteList,2,0)</f>
        <v>营业外支出明细项目</v>
      </c>
      <c r="E4954" s="2716" t="s">
        <v>2742</v>
      </c>
      <c r="F4954" s="294"/>
      <c r="G4954" s="307" t="str">
        <f>"("&amp;B4954&amp;")"&amp;D4954</f>
        <v>(1)营业外支出明细项目</v>
      </c>
      <c r="H4954" s="1517" t="str">
        <f>$A4954</f>
        <v>6711a</v>
      </c>
      <c r="I4954" s="343" t="s">
        <v>2743</v>
      </c>
      <c r="J4954" s="301" t="s">
        <v>4210</v>
      </c>
      <c r="K4954" s="2210">
        <f>H4964</f>
        <v>21970.3</v>
      </c>
      <c r="L4954" s="345" t="str">
        <f>IF($I4954="适用",IF(ROUND(K4953-K4954,2)=0,"F/S",ROUND(K4953-K4954,2)),"#N/A")</f>
        <v>F/S</v>
      </c>
      <c r="M4954" s="301" t="s">
        <v>4211</v>
      </c>
      <c r="N4954" s="2210">
        <f>I4964</f>
        <v>88651.11</v>
      </c>
      <c r="O4954" s="345" t="str">
        <f>IF($I4954="适用",IF(ROUND(N4953-N4954,2)=0,"F/S",ROUND(N4953-N4954,2)),"#N/A")</f>
        <v>F/S</v>
      </c>
      <c r="P4954" s="301"/>
      <c r="Q4954" s="290" t="str">
        <f>IF($I4954="不适用","",IF(ROUND(SUM($H$4957:$J$4964),2)=0,"请输入",""))</f>
        <v/>
      </c>
      <c r="S4954" s="364"/>
      <c r="Z4954" s="609" t="s">
        <v>4353</v>
      </c>
      <c r="AA4954" s="609" t="s">
        <v>5717</v>
      </c>
    </row>
    <row r="4955" spans="1:27" ht="0.75" customHeight="1" thickBot="1">
      <c r="A4955" s="2714"/>
      <c r="B4955" s="371"/>
      <c r="C4955" s="371"/>
      <c r="D4955" s="371"/>
      <c r="E4955" s="586"/>
      <c r="F4955" s="363"/>
      <c r="G4955" s="363" t="s">
        <v>4354</v>
      </c>
      <c r="H4955" s="294" t="s">
        <v>4223</v>
      </c>
      <c r="I4955" s="294" t="s">
        <v>4224</v>
      </c>
      <c r="J4955" s="294" t="s">
        <v>4347</v>
      </c>
      <c r="K4955" s="291"/>
      <c r="L4955" s="291"/>
      <c r="M4955" s="291"/>
      <c r="N4955" s="291"/>
      <c r="S4955" s="364"/>
      <c r="Z4955" s="609" t="s">
        <v>4353</v>
      </c>
      <c r="AA4955" s="609" t="s">
        <v>5717</v>
      </c>
    </row>
    <row r="4956" spans="1:27" ht="24">
      <c r="A4956" s="2714"/>
      <c r="B4956" s="371"/>
      <c r="C4956" s="371"/>
      <c r="D4956" s="371"/>
      <c r="E4956" s="586" t="s">
        <v>2749</v>
      </c>
      <c r="F4956" s="363"/>
      <c r="G4956" s="2457" t="s">
        <v>47</v>
      </c>
      <c r="H4956" s="2464" t="str">
        <f>$V$4</f>
        <v>2019年度</v>
      </c>
      <c r="I4956" s="2464" t="str">
        <f>$V$5</f>
        <v>2018年度</v>
      </c>
      <c r="J4956" s="2469" t="s">
        <v>4348</v>
      </c>
      <c r="K4956" s="355" t="s">
        <v>5340</v>
      </c>
      <c r="L4956" s="291"/>
      <c r="M4956" s="291"/>
      <c r="N4956" s="291"/>
      <c r="S4956" s="364"/>
      <c r="Z4956" s="609" t="s">
        <v>4353</v>
      </c>
      <c r="AA4956" s="609" t="s">
        <v>5717</v>
      </c>
    </row>
    <row r="4957" spans="1:27" ht="18">
      <c r="A4957" s="2714"/>
      <c r="B4957" s="371">
        <v>101</v>
      </c>
      <c r="C4957" s="371"/>
      <c r="D4957" s="2716">
        <f t="shared" ref="D4957:D4964" si="544">IF(OR(G4957="*",G4957="",G4957=0),0,COUNTIF($G$4957:$G$4964,G4957))</f>
        <v>1</v>
      </c>
      <c r="E4957" s="2721">
        <v>1</v>
      </c>
      <c r="F4957" s="294"/>
      <c r="G4957" s="1474" t="s">
        <v>4355</v>
      </c>
      <c r="H4957" s="2275"/>
      <c r="I4957" s="2275"/>
      <c r="J4957" s="2296"/>
      <c r="K4957" s="291"/>
      <c r="L4957" s="291"/>
      <c r="M4957" s="291"/>
      <c r="N4957" s="291"/>
      <c r="S4957" s="364"/>
      <c r="Z4957" s="609" t="s">
        <v>4353</v>
      </c>
      <c r="AA4957" s="609" t="s">
        <v>5717</v>
      </c>
    </row>
    <row r="4958" spans="1:27" ht="18">
      <c r="A4958" s="2714"/>
      <c r="B4958" s="371">
        <v>102</v>
      </c>
      <c r="C4958" s="371"/>
      <c r="D4958" s="2716">
        <f t="shared" si="544"/>
        <v>1</v>
      </c>
      <c r="E4958" s="2721">
        <v>1</v>
      </c>
      <c r="F4958" s="294"/>
      <c r="G4958" s="1474" t="s">
        <v>4356</v>
      </c>
      <c r="H4958" s="2275"/>
      <c r="I4958" s="2275"/>
      <c r="J4958" s="2296"/>
      <c r="K4958" s="291"/>
      <c r="L4958" s="291"/>
      <c r="M4958" s="291"/>
      <c r="N4958" s="291"/>
      <c r="S4958" s="364"/>
      <c r="Z4958" s="609" t="s">
        <v>4353</v>
      </c>
      <c r="AA4958" s="609" t="s">
        <v>5717</v>
      </c>
    </row>
    <row r="4959" spans="1:27" ht="18">
      <c r="A4959" s="2714"/>
      <c r="B4959" s="371">
        <v>106</v>
      </c>
      <c r="C4959" s="371"/>
      <c r="D4959" s="2716">
        <f t="shared" si="544"/>
        <v>1</v>
      </c>
      <c r="E4959" s="2721">
        <v>1</v>
      </c>
      <c r="F4959" s="294"/>
      <c r="G4959" s="1474" t="s">
        <v>4357</v>
      </c>
      <c r="H4959" s="2275"/>
      <c r="I4959" s="2275"/>
      <c r="J4959" s="2296"/>
      <c r="K4959" s="291"/>
      <c r="L4959" s="291"/>
      <c r="M4959" s="291"/>
      <c r="N4959" s="291"/>
      <c r="S4959" s="364"/>
      <c r="Z4959" s="609" t="s">
        <v>4353</v>
      </c>
      <c r="AA4959" s="609" t="s">
        <v>5717</v>
      </c>
    </row>
    <row r="4960" spans="1:27" ht="18">
      <c r="A4960" s="2714"/>
      <c r="B4960" s="371">
        <v>107</v>
      </c>
      <c r="C4960" s="371"/>
      <c r="D4960" s="2716">
        <f t="shared" si="544"/>
        <v>1</v>
      </c>
      <c r="E4960" s="2721">
        <v>1</v>
      </c>
      <c r="F4960" s="294"/>
      <c r="G4960" s="1474" t="s">
        <v>4358</v>
      </c>
      <c r="H4960" s="2275"/>
      <c r="I4960" s="2275"/>
      <c r="J4960" s="2296"/>
      <c r="K4960" s="291"/>
      <c r="L4960" s="291"/>
      <c r="M4960" s="291"/>
      <c r="N4960" s="291"/>
      <c r="S4960" s="364"/>
      <c r="Z4960" s="609" t="s">
        <v>4353</v>
      </c>
      <c r="AA4960" s="609" t="s">
        <v>5717</v>
      </c>
    </row>
    <row r="4961" spans="1:27" ht="18">
      <c r="A4961" s="2714"/>
      <c r="B4961" s="371">
        <v>108</v>
      </c>
      <c r="C4961" s="371" t="s">
        <v>2791</v>
      </c>
      <c r="D4961" s="2716">
        <f t="shared" si="544"/>
        <v>1</v>
      </c>
      <c r="E4961" s="2721">
        <v>1</v>
      </c>
      <c r="F4961" s="294"/>
      <c r="G4961" s="2467" t="s">
        <v>6892</v>
      </c>
      <c r="H4961" s="2275">
        <v>5270.3</v>
      </c>
      <c r="I4961" s="2275">
        <v>4543.8500000000004</v>
      </c>
      <c r="J4961" s="2296"/>
      <c r="K4961" s="291"/>
      <c r="L4961" s="291"/>
      <c r="M4961" s="291"/>
      <c r="N4961" s="291"/>
      <c r="S4961" s="364"/>
      <c r="Z4961" s="609" t="s">
        <v>4353</v>
      </c>
      <c r="AA4961" s="609" t="s">
        <v>5717</v>
      </c>
    </row>
    <row r="4962" spans="1:27" ht="18">
      <c r="A4962" s="2714"/>
      <c r="B4962" s="371">
        <v>109</v>
      </c>
      <c r="C4962" s="371" t="s">
        <v>2791</v>
      </c>
      <c r="D4962" s="2716">
        <f t="shared" si="544"/>
        <v>1</v>
      </c>
      <c r="E4962" s="2721">
        <v>1</v>
      </c>
      <c r="F4962" s="294"/>
      <c r="G4962" s="2467" t="s">
        <v>6893</v>
      </c>
      <c r="H4962" s="2275"/>
      <c r="I4962" s="2275">
        <v>84107.26</v>
      </c>
      <c r="J4962" s="2296"/>
      <c r="K4962" s="291"/>
      <c r="L4962" s="291"/>
      <c r="M4962" s="291"/>
      <c r="N4962" s="291"/>
      <c r="S4962" s="364"/>
      <c r="Z4962" s="609" t="s">
        <v>4353</v>
      </c>
      <c r="AA4962" s="609" t="s">
        <v>5717</v>
      </c>
    </row>
    <row r="4963" spans="1:27" ht="18">
      <c r="A4963" s="2714"/>
      <c r="B4963" s="371">
        <v>110</v>
      </c>
      <c r="C4963" s="371" t="s">
        <v>2791</v>
      </c>
      <c r="D4963" s="2716">
        <f t="shared" si="544"/>
        <v>1</v>
      </c>
      <c r="E4963" s="2721">
        <v>1</v>
      </c>
      <c r="F4963" s="294"/>
      <c r="G4963" s="2467" t="s">
        <v>6891</v>
      </c>
      <c r="H4963" s="2275">
        <v>16700</v>
      </c>
      <c r="I4963" s="2275"/>
      <c r="J4963" s="2296"/>
      <c r="K4963" s="291"/>
      <c r="L4963" s="291"/>
      <c r="M4963" s="291"/>
      <c r="N4963" s="291"/>
      <c r="S4963" s="364"/>
      <c r="Z4963" s="609" t="s">
        <v>4353</v>
      </c>
      <c r="AA4963" s="609" t="s">
        <v>5717</v>
      </c>
    </row>
    <row r="4964" spans="1:27" ht="18.75" thickBot="1">
      <c r="A4964" s="2714"/>
      <c r="B4964" s="371"/>
      <c r="C4964" s="371"/>
      <c r="D4964" s="2716">
        <f t="shared" si="544"/>
        <v>1</v>
      </c>
      <c r="E4964" s="2721" t="s">
        <v>2751</v>
      </c>
      <c r="F4964" s="294"/>
      <c r="G4964" s="374" t="s">
        <v>2752</v>
      </c>
      <c r="H4964" s="1478">
        <f>SUMPRODUCT($E4956:$E4963,H4956:H4963)</f>
        <v>21970.3</v>
      </c>
      <c r="I4964" s="1478">
        <f>SUMPRODUCT($E4956:$E4963,I4956:I4963)</f>
        <v>88651.11</v>
      </c>
      <c r="J4964" s="1479">
        <f>SUMPRODUCT($E4956:$E4963,J4956:J4963)</f>
        <v>0</v>
      </c>
      <c r="K4964" s="291"/>
      <c r="L4964" s="291"/>
      <c r="M4964" s="291"/>
      <c r="N4964" s="291"/>
      <c r="S4964" s="364"/>
      <c r="Z4964" s="609" t="s">
        <v>4353</v>
      </c>
      <c r="AA4964" s="609" t="s">
        <v>5717</v>
      </c>
    </row>
    <row r="4965" spans="1:27" ht="18">
      <c r="A4965" s="2714"/>
      <c r="B4965" s="371"/>
      <c r="C4965" s="371" t="s">
        <v>2755</v>
      </c>
      <c r="D4965" s="371"/>
      <c r="F4965" s="294"/>
      <c r="G4965" s="301"/>
      <c r="H4965" s="315"/>
      <c r="I4965" s="315"/>
      <c r="J4965" s="315"/>
      <c r="K4965" s="291"/>
      <c r="L4965" s="291"/>
      <c r="M4965" s="291"/>
      <c r="N4965" s="291"/>
      <c r="S4965" s="364"/>
      <c r="Z4965" s="609" t="s">
        <v>4353</v>
      </c>
      <c r="AA4965" s="609" t="s">
        <v>5717</v>
      </c>
    </row>
    <row r="4966" spans="1:27" ht="18">
      <c r="A4966" s="2714">
        <v>6791</v>
      </c>
      <c r="B4966" s="371">
        <v>76</v>
      </c>
      <c r="C4966" s="2716" t="str">
        <f>VLOOKUP($A4966,Sheet_Items,2,0)</f>
        <v>所得税费用</v>
      </c>
      <c r="D4966" s="371"/>
      <c r="E4966" s="2716" t="s">
        <v>2739</v>
      </c>
      <c r="F4966" s="294"/>
      <c r="G4966" s="305" t="str">
        <f>B4966&amp;" "&amp;C4966</f>
        <v>76 所得税费用</v>
      </c>
      <c r="H4966" s="306"/>
      <c r="I4966" s="306"/>
      <c r="J4966" s="306" t="s">
        <v>4206</v>
      </c>
      <c r="K4966" s="341">
        <f>VLOOKUP($A4966,Sheet_Trialbal,6,0)</f>
        <v>-538795.14</v>
      </c>
      <c r="L4966" s="342"/>
      <c r="M4966" s="306" t="s">
        <v>4207</v>
      </c>
      <c r="N4966" s="341">
        <f>VLOOKUP($A4966,Sheet_Trialbal,10,0)</f>
        <v>-485503.27</v>
      </c>
      <c r="O4966" s="306"/>
      <c r="P4966" s="301"/>
      <c r="S4966" s="364"/>
      <c r="Z4966" s="609" t="s">
        <v>4359</v>
      </c>
      <c r="AA4966" s="609" t="s">
        <v>5718</v>
      </c>
    </row>
    <row r="4967" spans="1:27" ht="18">
      <c r="A4967" s="2714" t="s">
        <v>1939</v>
      </c>
      <c r="B4967" s="371">
        <v>1</v>
      </c>
      <c r="C4967" s="371"/>
      <c r="D4967" s="2716" t="str">
        <f>VLOOKUP($A4967,Sheet_NoteList,2,0)</f>
        <v>所得税费用的组成</v>
      </c>
      <c r="E4967" s="2716" t="s">
        <v>2742</v>
      </c>
      <c r="F4967" s="294"/>
      <c r="G4967" s="307" t="str">
        <f>"("&amp;B4967&amp;")"&amp;D4967</f>
        <v>(1)所得税费用的组成</v>
      </c>
      <c r="H4967" s="1517" t="str">
        <f>$A4967</f>
        <v>6791a</v>
      </c>
      <c r="I4967" s="343" t="s">
        <v>2743</v>
      </c>
      <c r="J4967" s="301" t="s">
        <v>4210</v>
      </c>
      <c r="K4967" s="2210">
        <f>H4973</f>
        <v>-538795.14</v>
      </c>
      <c r="L4967" s="345" t="str">
        <f>IF($I4967="适用",IF(ROUND(K$4966-K4967,2)=0,"F/S",ROUND(K$4966-K4967,2)),"#N/A")</f>
        <v>F/S</v>
      </c>
      <c r="M4967" s="301" t="s">
        <v>4211</v>
      </c>
      <c r="N4967" s="2210">
        <f>I4973</f>
        <v>-485503.27</v>
      </c>
      <c r="O4967" s="345" t="str">
        <f>IF($I4967="适用",IF(ROUND(N$4966-N4967,2)=0,"F/S",ROUND(N$4966-N4967,2)),"#N/A")</f>
        <v>F/S</v>
      </c>
      <c r="P4967" s="301"/>
      <c r="Q4967" s="290" t="str">
        <f>IF($I4967="不适用","",IF(ROUND(SUM($H$4970:$I$4973),2)=0,"请输入",""))</f>
        <v/>
      </c>
      <c r="S4967" s="364"/>
      <c r="Z4967" s="609" t="s">
        <v>4359</v>
      </c>
      <c r="AA4967" s="609" t="s">
        <v>5718</v>
      </c>
    </row>
    <row r="4968" spans="1:27" ht="0.75" customHeight="1" thickBot="1">
      <c r="A4968" s="2714"/>
      <c r="B4968" s="371"/>
      <c r="C4968" s="371"/>
      <c r="D4968" s="371"/>
      <c r="F4968" s="371"/>
      <c r="G4968" s="371" t="s">
        <v>4360</v>
      </c>
      <c r="H4968" s="371" t="s">
        <v>4223</v>
      </c>
      <c r="I4968" s="371" t="s">
        <v>4224</v>
      </c>
      <c r="J4968" s="291"/>
      <c r="K4968" s="291"/>
      <c r="L4968" s="291"/>
      <c r="M4968" s="291"/>
      <c r="S4968" s="364"/>
      <c r="Z4968" s="609" t="s">
        <v>4359</v>
      </c>
      <c r="AA4968" s="609" t="s">
        <v>5718</v>
      </c>
    </row>
    <row r="4969" spans="1:27" ht="18.75" thickTop="1">
      <c r="A4969" s="2714"/>
      <c r="B4969" s="371"/>
      <c r="C4969" s="371"/>
      <c r="D4969" s="371"/>
      <c r="E4969" s="2716" t="s">
        <v>2749</v>
      </c>
      <c r="F4969" s="294"/>
      <c r="G4969" s="378" t="s">
        <v>47</v>
      </c>
      <c r="H4969" s="398" t="str">
        <f>$V$4</f>
        <v>2019年度</v>
      </c>
      <c r="I4969" s="511" t="str">
        <f>$V$5</f>
        <v>2018年度</v>
      </c>
      <c r="J4969" s="355" t="s">
        <v>5341</v>
      </c>
      <c r="K4969" s="1584" t="str">
        <f>""&amp;"&gt;本期:"&amp;""</f>
        <v>&gt;本期:</v>
      </c>
      <c r="L4969" s="1584"/>
      <c r="M4969" s="2658" t="str">
        <f>""&amp;"NoteID"&amp;""</f>
        <v>NoteID</v>
      </c>
      <c r="S4969" s="364"/>
      <c r="Z4969" s="609" t="s">
        <v>4359</v>
      </c>
      <c r="AA4969" s="609" t="s">
        <v>5718</v>
      </c>
    </row>
    <row r="4970" spans="1:27" ht="18">
      <c r="A4970" s="2714"/>
      <c r="B4970" s="371">
        <v>101</v>
      </c>
      <c r="C4970" s="371"/>
      <c r="D4970" s="2716">
        <f>IF(OR(G4970="*",G4970="",G4970=0),0,COUNTIF($G$4970:$G$4973,G4970))</f>
        <v>1</v>
      </c>
      <c r="E4970" s="2721">
        <v>1</v>
      </c>
      <c r="F4970" s="294"/>
      <c r="G4970" s="380" t="s">
        <v>4361</v>
      </c>
      <c r="H4970" s="383">
        <v>0</v>
      </c>
      <c r="I4970" s="401">
        <v>0</v>
      </c>
      <c r="J4970" s="291"/>
      <c r="K4970" s="2252">
        <f ca="1">HYPERLINK("#'"&amp;$G$1&amp;"'!"&amp;ADDRESS(ROW(Notes!J3736),COLUMN(Notes!J3736),4),J3736)</f>
        <v>0</v>
      </c>
      <c r="L4970" s="456"/>
      <c r="M4970" s="2665" t="str">
        <f>H3731</f>
        <v>2221a</v>
      </c>
      <c r="S4970" s="364"/>
      <c r="Z4970" s="609" t="s">
        <v>4359</v>
      </c>
      <c r="AA4970" s="609" t="s">
        <v>5718</v>
      </c>
    </row>
    <row r="4971" spans="1:27" ht="18">
      <c r="A4971" s="2714"/>
      <c r="B4971" s="371">
        <v>102</v>
      </c>
      <c r="C4971" s="371"/>
      <c r="D4971" s="2716">
        <f>IF(OR(G4971="*",G4971="",G4971=0),0,COUNTIF($G$4970:$G$4973,G4971))</f>
        <v>1</v>
      </c>
      <c r="E4971" s="2721">
        <v>1</v>
      </c>
      <c r="F4971" s="294"/>
      <c r="G4971" s="380" t="s">
        <v>4362</v>
      </c>
      <c r="H4971" s="383">
        <f>BS!H42-BS!G42+AJE!O21</f>
        <v>-538795.14</v>
      </c>
      <c r="I4971" s="401">
        <v>-485503.27</v>
      </c>
      <c r="J4971" s="291"/>
      <c r="K4971" s="456"/>
      <c r="L4971" s="456"/>
      <c r="M4971" s="2666"/>
      <c r="S4971" s="364"/>
      <c r="Z4971" s="609" t="s">
        <v>4359</v>
      </c>
      <c r="AA4971" s="609" t="s">
        <v>5718</v>
      </c>
    </row>
    <row r="4972" spans="1:27" ht="18">
      <c r="A4972" s="2714"/>
      <c r="B4972" s="371">
        <v>103</v>
      </c>
      <c r="C4972" s="371" t="s">
        <v>2791</v>
      </c>
      <c r="D4972" s="2716">
        <f>IF(OR(G4972="*",G4972="",G4972=0),0,COUNTIF($G$4970:$G$4973,G4972))</f>
        <v>0</v>
      </c>
      <c r="E4972" s="2721">
        <v>1</v>
      </c>
      <c r="F4972" s="294"/>
      <c r="G4972" s="409" t="s">
        <v>2792</v>
      </c>
      <c r="H4972" s="383"/>
      <c r="I4972" s="401"/>
      <c r="J4972" s="291"/>
      <c r="K4972" s="456"/>
      <c r="L4972" s="456"/>
      <c r="M4972" s="2666"/>
      <c r="S4972" s="364"/>
      <c r="Z4972" s="609" t="s">
        <v>4359</v>
      </c>
      <c r="AA4972" s="609" t="s">
        <v>5718</v>
      </c>
    </row>
    <row r="4973" spans="1:27" ht="18.75" thickBot="1">
      <c r="A4973" s="2714"/>
      <c r="B4973" s="371"/>
      <c r="C4973" s="371"/>
      <c r="D4973" s="2716">
        <f>IF(OR(G4973="*",G4973="",G4973=0),0,COUNTIF($G$4970:$G$4973,G4973))</f>
        <v>1</v>
      </c>
      <c r="E4973" s="2721" t="s">
        <v>2751</v>
      </c>
      <c r="F4973" s="294"/>
      <c r="G4973" s="403" t="s">
        <v>2752</v>
      </c>
      <c r="H4973" s="503">
        <f>SUMPRODUCT($E4969:$E4972,H4969:H4972)</f>
        <v>-538795.14</v>
      </c>
      <c r="I4973" s="515">
        <f>SUMPRODUCT($E4969:$E4972,I4969:I4972)</f>
        <v>-485503.27</v>
      </c>
      <c r="J4973" s="291"/>
      <c r="K4973" s="1531">
        <f t="shared" ref="K4973:L4973" ca="1" si="545">SUM(K4970:K4972)</f>
        <v>0</v>
      </c>
      <c r="L4973" s="1531">
        <f t="shared" si="545"/>
        <v>0</v>
      </c>
      <c r="M4973" s="2667"/>
      <c r="S4973" s="364"/>
      <c r="Z4973" s="609" t="s">
        <v>4359</v>
      </c>
      <c r="AA4973" s="609" t="s">
        <v>5718</v>
      </c>
    </row>
    <row r="4974" spans="1:27" ht="18">
      <c r="A4974" s="2714"/>
      <c r="B4974" s="371"/>
      <c r="C4974" s="371" t="s">
        <v>2755</v>
      </c>
      <c r="D4974" s="371"/>
      <c r="F4974" s="294"/>
      <c r="G4974" s="301"/>
      <c r="H4974" s="349"/>
      <c r="I4974" s="349"/>
      <c r="J4974" s="291"/>
      <c r="K4974" s="1539" t="s">
        <v>5505</v>
      </c>
      <c r="L4974" s="354"/>
      <c r="M4974" s="354"/>
      <c r="S4974" s="364"/>
      <c r="Z4974" s="609" t="s">
        <v>4359</v>
      </c>
      <c r="AA4974" s="609" t="s">
        <v>5718</v>
      </c>
    </row>
    <row r="4975" spans="1:27" ht="24">
      <c r="A4975" s="2714" t="s">
        <v>1941</v>
      </c>
      <c r="B4975" s="371">
        <v>2</v>
      </c>
      <c r="C4975" s="371"/>
      <c r="D4975" s="2716" t="str">
        <f>VLOOKUP($A4975,Sheet_NoteList,2,0)</f>
        <v>会计利润与所得税费用调整过程</v>
      </c>
      <c r="E4975" s="2716" t="s">
        <v>2742</v>
      </c>
      <c r="F4975" s="294"/>
      <c r="G4975" s="372" t="str">
        <f>"("&amp;B4975&amp;")"&amp;D4975</f>
        <v>(2)会计利润与所得税费用调整过程</v>
      </c>
      <c r="H4975" s="1517" t="str">
        <f>$A4975</f>
        <v>6791b</v>
      </c>
      <c r="I4975" s="343" t="s">
        <v>2743</v>
      </c>
      <c r="J4975" s="301" t="s">
        <v>4210</v>
      </c>
      <c r="K4975" s="2210">
        <f>H4991</f>
        <v>-538795.14</v>
      </c>
      <c r="L4975" s="345" t="str">
        <f>IF($I4975="适用",IF(ROUND(K$4966-K4975,2)=0,"F/S",ROUND(K$4966-K4975,2)),"#N/A")</f>
        <v>F/S</v>
      </c>
      <c r="M4975" s="301" t="s">
        <v>4211</v>
      </c>
      <c r="N4975" s="2210">
        <f>I4991</f>
        <v>-485503.27</v>
      </c>
      <c r="O4975" s="345" t="str">
        <f>IF($I4975="适用",IF(ROUND(N$4966-N4975,2)=0,"F/S",ROUND(N$4966-N4975,2)),"#N/A")</f>
        <v>F/S</v>
      </c>
      <c r="P4975" s="301"/>
      <c r="Q4975" s="290" t="str">
        <f>IF($I4975="不适用","",IF(ROUND(SUM($H$4978:$I$4991),2)=0,"请输入",""))</f>
        <v/>
      </c>
      <c r="S4975" s="364"/>
      <c r="Z4975" s="609" t="s">
        <v>4359</v>
      </c>
      <c r="AA4975" s="609" t="s">
        <v>5718</v>
      </c>
    </row>
    <row r="4976" spans="1:27" ht="0.75" customHeight="1" thickBot="1">
      <c r="A4976" s="2714"/>
      <c r="B4976" s="371"/>
      <c r="C4976" s="371"/>
      <c r="D4976" s="371"/>
      <c r="E4976" s="586"/>
      <c r="F4976" s="363"/>
      <c r="G4976" s="363" t="s">
        <v>4363</v>
      </c>
      <c r="H4976" s="294" t="s">
        <v>4223</v>
      </c>
      <c r="I4976" s="294" t="s">
        <v>4224</v>
      </c>
      <c r="J4976" s="291"/>
      <c r="K4976" s="291"/>
      <c r="L4976" s="291"/>
      <c r="M4976" s="291"/>
      <c r="S4976" s="364"/>
      <c r="Z4976" s="609" t="s">
        <v>4359</v>
      </c>
      <c r="AA4976" s="609" t="s">
        <v>5718</v>
      </c>
    </row>
    <row r="4977" spans="1:27" ht="18">
      <c r="A4977" s="2714"/>
      <c r="B4977" s="371"/>
      <c r="C4977" s="371"/>
      <c r="D4977" s="371"/>
      <c r="E4977" s="586" t="s">
        <v>2749</v>
      </c>
      <c r="F4977" s="363"/>
      <c r="G4977" s="2556" t="s">
        <v>47</v>
      </c>
      <c r="H4977" s="2555" t="str">
        <f>$V$4</f>
        <v>2019年度</v>
      </c>
      <c r="I4977" s="2611" t="str">
        <f>$V$5</f>
        <v>2018年度</v>
      </c>
      <c r="J4977" s="355" t="s">
        <v>5341</v>
      </c>
      <c r="K4977" s="291"/>
      <c r="L4977" s="291"/>
      <c r="M4977" s="291"/>
      <c r="S4977" s="364"/>
      <c r="Z4977" s="609" t="s">
        <v>4359</v>
      </c>
      <c r="AA4977" s="609" t="s">
        <v>5718</v>
      </c>
    </row>
    <row r="4978" spans="1:27" ht="18">
      <c r="A4978" s="2714"/>
      <c r="B4978" s="371">
        <v>101</v>
      </c>
      <c r="C4978" s="371"/>
      <c r="D4978" s="2716">
        <f t="shared" ref="D4978:D4991" si="546">IF(OR(G4978="*",G4978="",G4978=0),0,COUNTIF($G$4978:$G$4991,G4978))</f>
        <v>1</v>
      </c>
      <c r="E4978" s="2721">
        <v>0</v>
      </c>
      <c r="F4978" s="294"/>
      <c r="G4978" s="1474" t="s">
        <v>861</v>
      </c>
      <c r="H4978" s="2275">
        <f>IS!E28</f>
        <v>-3888703.47</v>
      </c>
      <c r="I4978" s="2296">
        <v>34725.64</v>
      </c>
      <c r="J4978" s="291"/>
      <c r="K4978" s="291"/>
      <c r="L4978" s="291"/>
      <c r="M4978" s="291"/>
      <c r="S4978" s="364"/>
      <c r="Z4978" s="609" t="s">
        <v>4359</v>
      </c>
      <c r="AA4978" s="609" t="s">
        <v>5718</v>
      </c>
    </row>
    <row r="4979" spans="1:27" ht="24">
      <c r="A4979" s="2714"/>
      <c r="B4979" s="371">
        <v>102</v>
      </c>
      <c r="C4979" s="371"/>
      <c r="D4979" s="2716">
        <f t="shared" si="546"/>
        <v>1</v>
      </c>
      <c r="E4979" s="2721">
        <v>1</v>
      </c>
      <c r="F4979" s="294"/>
      <c r="G4979" s="1474" t="s">
        <v>6147</v>
      </c>
      <c r="H4979" s="2275">
        <f>H4978*0.25</f>
        <v>-972175.87</v>
      </c>
      <c r="I4979" s="2296">
        <v>8681.41</v>
      </c>
      <c r="J4979" s="291"/>
      <c r="K4979" s="3372"/>
      <c r="L4979" s="291"/>
      <c r="M4979" s="291"/>
      <c r="S4979" s="364"/>
      <c r="Z4979" s="609" t="s">
        <v>4359</v>
      </c>
      <c r="AA4979" s="609" t="s">
        <v>5718</v>
      </c>
    </row>
    <row r="4980" spans="1:27" ht="18">
      <c r="A4980" s="2714"/>
      <c r="B4980" s="371">
        <v>103</v>
      </c>
      <c r="C4980" s="371"/>
      <c r="D4980" s="2716">
        <f t="shared" si="546"/>
        <v>1</v>
      </c>
      <c r="E4980" s="2721">
        <v>1</v>
      </c>
      <c r="F4980" s="294"/>
      <c r="G4980" s="1474" t="s">
        <v>4364</v>
      </c>
      <c r="H4980" s="2275"/>
      <c r="I4980" s="2296"/>
      <c r="J4980" s="291"/>
      <c r="K4980" s="3361"/>
      <c r="L4980" s="291"/>
      <c r="M4980" s="291"/>
      <c r="S4980" s="364"/>
      <c r="Z4980" s="609" t="s">
        <v>4359</v>
      </c>
      <c r="AA4980" s="609" t="s">
        <v>5718</v>
      </c>
    </row>
    <row r="4981" spans="1:27" ht="18">
      <c r="A4981" s="2714"/>
      <c r="B4981" s="371">
        <v>104</v>
      </c>
      <c r="C4981" s="371"/>
      <c r="D4981" s="2716">
        <f t="shared" si="546"/>
        <v>1</v>
      </c>
      <c r="E4981" s="2721">
        <v>1</v>
      </c>
      <c r="F4981" s="294"/>
      <c r="G4981" s="1474" t="s">
        <v>4365</v>
      </c>
      <c r="H4981" s="2275"/>
      <c r="I4981" s="2296"/>
      <c r="J4981" s="291"/>
      <c r="K4981" s="3361"/>
      <c r="L4981" s="291"/>
      <c r="M4981" s="291"/>
      <c r="S4981" s="364"/>
      <c r="Z4981" s="609" t="s">
        <v>4359</v>
      </c>
      <c r="AA4981" s="609" t="s">
        <v>5718</v>
      </c>
    </row>
    <row r="4982" spans="1:27" ht="18">
      <c r="A4982" s="2714"/>
      <c r="B4982" s="371">
        <v>105</v>
      </c>
      <c r="C4982" s="371"/>
      <c r="D4982" s="2716">
        <f t="shared" si="546"/>
        <v>1</v>
      </c>
      <c r="E4982" s="2721">
        <v>1</v>
      </c>
      <c r="F4982" s="294"/>
      <c r="G4982" s="1474" t="s">
        <v>4366</v>
      </c>
      <c r="H4982" s="2275"/>
      <c r="I4982" s="2296">
        <v>-246754.15</v>
      </c>
      <c r="J4982" s="291"/>
      <c r="K4982" s="3361"/>
      <c r="L4982" s="291"/>
      <c r="M4982" s="291"/>
      <c r="S4982" s="364"/>
      <c r="Z4982" s="609" t="s">
        <v>4359</v>
      </c>
      <c r="AA4982" s="609" t="s">
        <v>5718</v>
      </c>
    </row>
    <row r="4983" spans="1:27" ht="24">
      <c r="A4983" s="2714"/>
      <c r="B4983" s="371">
        <v>106</v>
      </c>
      <c r="C4983" s="371"/>
      <c r="D4983" s="2716">
        <f t="shared" si="546"/>
        <v>1</v>
      </c>
      <c r="E4983" s="2721">
        <v>1</v>
      </c>
      <c r="F4983" s="294"/>
      <c r="G4983" s="1474" t="s">
        <v>4367</v>
      </c>
      <c r="H4983" s="2275">
        <f>(所得税计算表!C12+所得税计算表!C19)*0.25</f>
        <v>17450.39</v>
      </c>
      <c r="I4983" s="2296">
        <v>39255.019999999997</v>
      </c>
      <c r="J4983" s="291"/>
      <c r="K4983" s="3361"/>
      <c r="L4983" s="3361"/>
      <c r="M4983" s="291"/>
      <c r="S4983" s="364"/>
      <c r="Z4983" s="609" t="s">
        <v>4359</v>
      </c>
      <c r="AA4983" s="609" t="s">
        <v>5718</v>
      </c>
    </row>
    <row r="4984" spans="1:27" ht="24">
      <c r="A4984" s="2714"/>
      <c r="B4984" s="371">
        <v>107</v>
      </c>
      <c r="C4984" s="371"/>
      <c r="D4984" s="2716">
        <f t="shared" si="546"/>
        <v>1</v>
      </c>
      <c r="E4984" s="2721">
        <v>1</v>
      </c>
      <c r="F4984" s="294"/>
      <c r="G4984" s="1474" t="s">
        <v>4368</v>
      </c>
      <c r="H4984" s="2275"/>
      <c r="I4984" s="2296"/>
      <c r="J4984" s="291"/>
      <c r="K4984" s="291"/>
      <c r="L4984" s="291"/>
      <c r="M4984" s="291"/>
      <c r="S4984" s="364"/>
      <c r="Z4984" s="609" t="s">
        <v>4359</v>
      </c>
      <c r="AA4984" s="609" t="s">
        <v>5718</v>
      </c>
    </row>
    <row r="4985" spans="1:27" ht="36">
      <c r="A4985" s="2714"/>
      <c r="B4985" s="371">
        <v>108</v>
      </c>
      <c r="C4985" s="371"/>
      <c r="D4985" s="2716">
        <f t="shared" si="546"/>
        <v>1</v>
      </c>
      <c r="E4985" s="2721">
        <v>1</v>
      </c>
      <c r="F4985" s="294"/>
      <c r="G4985" s="1474" t="s">
        <v>4369</v>
      </c>
      <c r="H4985" s="2275">
        <f>-所得税计算表!C30*0.25</f>
        <v>1240708.8999999999</v>
      </c>
      <c r="I4985" s="2296"/>
      <c r="J4985" s="291"/>
      <c r="K4985" s="291"/>
      <c r="L4985" s="291"/>
      <c r="M4985" s="291"/>
      <c r="S4985" s="364"/>
      <c r="Z4985" s="609" t="s">
        <v>4359</v>
      </c>
      <c r="AA4985" s="609" t="s">
        <v>5718</v>
      </c>
    </row>
    <row r="4986" spans="1:27" ht="18">
      <c r="A4986" s="2714"/>
      <c r="B4986" s="371">
        <v>109</v>
      </c>
      <c r="C4986" s="371"/>
      <c r="D4986" s="2716">
        <f t="shared" si="546"/>
        <v>1</v>
      </c>
      <c r="E4986" s="2721">
        <v>1</v>
      </c>
      <c r="F4986" s="294"/>
      <c r="G4986" s="1474" t="s">
        <v>4370</v>
      </c>
      <c r="H4986" s="2275">
        <f>-所得税计算表!C29*0.25</f>
        <v>-824778.56</v>
      </c>
      <c r="I4986" s="2296">
        <v>-286685.55</v>
      </c>
      <c r="J4986" s="291"/>
      <c r="K4986" s="291"/>
      <c r="L4986" s="291"/>
      <c r="M4986" s="291"/>
      <c r="S4986" s="364"/>
      <c r="Z4986" s="609" t="s">
        <v>4359</v>
      </c>
      <c r="AA4986" s="609" t="s">
        <v>5718</v>
      </c>
    </row>
    <row r="4987" spans="1:27" ht="18">
      <c r="A4987" s="2714"/>
      <c r="B4987" s="371">
        <v>110</v>
      </c>
      <c r="C4987" s="371" t="s">
        <v>2791</v>
      </c>
      <c r="D4987" s="2716">
        <f t="shared" si="546"/>
        <v>0</v>
      </c>
      <c r="E4987" s="2721">
        <v>1</v>
      </c>
      <c r="F4987" s="294"/>
      <c r="G4987" s="2568"/>
      <c r="H4987" s="2275"/>
      <c r="I4987" s="2296"/>
      <c r="J4987" s="291"/>
      <c r="K4987" s="291"/>
      <c r="L4987" s="291"/>
      <c r="M4987" s="291"/>
      <c r="S4987" s="364"/>
      <c r="Z4987" s="609" t="s">
        <v>4359</v>
      </c>
      <c r="AA4987" s="609" t="s">
        <v>5718</v>
      </c>
    </row>
    <row r="4988" spans="1:27" ht="18">
      <c r="A4988" s="2714"/>
      <c r="B4988" s="371">
        <v>111</v>
      </c>
      <c r="C4988" s="371" t="s">
        <v>2791</v>
      </c>
      <c r="D4988" s="2716">
        <f t="shared" si="546"/>
        <v>0</v>
      </c>
      <c r="E4988" s="2721">
        <v>1</v>
      </c>
      <c r="F4988" s="294"/>
      <c r="G4988" s="2568" t="s">
        <v>2792</v>
      </c>
      <c r="H4988" s="2275"/>
      <c r="I4988" s="2296"/>
      <c r="J4988" s="291"/>
      <c r="K4988" s="291"/>
      <c r="L4988" s="291"/>
      <c r="M4988" s="291"/>
      <c r="S4988" s="364"/>
      <c r="Z4988" s="609" t="s">
        <v>4359</v>
      </c>
      <c r="AA4988" s="609" t="s">
        <v>5718</v>
      </c>
    </row>
    <row r="4989" spans="1:27" ht="18">
      <c r="A4989" s="2714"/>
      <c r="B4989" s="371">
        <v>112</v>
      </c>
      <c r="C4989" s="371" t="s">
        <v>2791</v>
      </c>
      <c r="D4989" s="2716">
        <f t="shared" si="546"/>
        <v>0</v>
      </c>
      <c r="E4989" s="2721">
        <v>1</v>
      </c>
      <c r="F4989" s="294"/>
      <c r="G4989" s="2568" t="s">
        <v>2792</v>
      </c>
      <c r="H4989" s="2275"/>
      <c r="I4989" s="2296"/>
      <c r="J4989" s="291"/>
      <c r="K4989" s="291"/>
      <c r="L4989" s="291"/>
      <c r="M4989" s="291"/>
      <c r="S4989" s="364"/>
      <c r="Z4989" s="609" t="s">
        <v>4359</v>
      </c>
      <c r="AA4989" s="609" t="s">
        <v>5718</v>
      </c>
    </row>
    <row r="4990" spans="1:27" ht="18">
      <c r="A4990" s="2714"/>
      <c r="B4990" s="371">
        <v>113</v>
      </c>
      <c r="C4990" s="371" t="s">
        <v>2791</v>
      </c>
      <c r="D4990" s="2716">
        <f t="shared" si="546"/>
        <v>0</v>
      </c>
      <c r="E4990" s="2721">
        <v>1</v>
      </c>
      <c r="F4990" s="294"/>
      <c r="G4990" s="2568" t="s">
        <v>2792</v>
      </c>
      <c r="H4990" s="2275"/>
      <c r="I4990" s="2296"/>
      <c r="J4990" s="291"/>
      <c r="K4990" s="291"/>
      <c r="L4990" s="291"/>
      <c r="M4990" s="291"/>
      <c r="S4990" s="364"/>
      <c r="Z4990" s="609" t="s">
        <v>4359</v>
      </c>
      <c r="AA4990" s="609" t="s">
        <v>5718</v>
      </c>
    </row>
    <row r="4991" spans="1:27" ht="18.75" thickBot="1">
      <c r="A4991" s="2714"/>
      <c r="B4991" s="371"/>
      <c r="C4991" s="371"/>
      <c r="D4991" s="2716">
        <f t="shared" si="546"/>
        <v>1</v>
      </c>
      <c r="E4991" s="2721" t="s">
        <v>2751</v>
      </c>
      <c r="F4991" s="294"/>
      <c r="G4991" s="2234" t="s">
        <v>717</v>
      </c>
      <c r="H4991" s="2430">
        <f>SUMPRODUCT($E4977:$E4990,H4977:H4990)</f>
        <v>-538795.14</v>
      </c>
      <c r="I4991" s="2431">
        <f>SUMPRODUCT($E4977:$E4990,I4977:I4990)</f>
        <v>-485503.27</v>
      </c>
      <c r="J4991" s="355"/>
      <c r="K4991" s="291"/>
      <c r="L4991" s="291"/>
      <c r="M4991" s="291"/>
      <c r="S4991" s="364"/>
      <c r="Z4991" s="609" t="s">
        <v>4359</v>
      </c>
      <c r="AA4991" s="609" t="s">
        <v>5718</v>
      </c>
    </row>
    <row r="4992" spans="1:27" ht="18">
      <c r="A4992" s="2714"/>
      <c r="B4992" s="371"/>
      <c r="C4992" s="371" t="s">
        <v>2755</v>
      </c>
      <c r="D4992" s="371"/>
      <c r="F4992" s="294"/>
      <c r="G4992" s="301"/>
      <c r="H4992" s="315"/>
      <c r="I4992" s="315"/>
      <c r="J4992" s="291"/>
      <c r="K4992" s="291"/>
      <c r="L4992" s="291"/>
      <c r="M4992" s="291"/>
      <c r="S4992" s="364"/>
      <c r="Z4992" s="609" t="s">
        <v>4359</v>
      </c>
      <c r="AA4992" s="609" t="s">
        <v>5718</v>
      </c>
    </row>
    <row r="4993" spans="1:27" ht="18">
      <c r="A4993" s="2714">
        <v>9690</v>
      </c>
      <c r="B4993" s="371">
        <v>9000</v>
      </c>
      <c r="C4993" s="2716" t="str">
        <f>VLOOKUP($A4993,Sheet_Items,2,0)</f>
        <v>补充资料</v>
      </c>
      <c r="D4993" s="371"/>
      <c r="E4993" s="2716" t="s">
        <v>2739</v>
      </c>
      <c r="F4993" s="294"/>
      <c r="G4993" s="305" t="str">
        <f>B4993&amp;" "&amp;C4993</f>
        <v>9000 补充资料</v>
      </c>
      <c r="H4993" s="306"/>
      <c r="I4993" s="306"/>
      <c r="J4993" s="306"/>
      <c r="K4993" s="539"/>
      <c r="L4993" s="342"/>
      <c r="M4993" s="306"/>
      <c r="N4993" s="539"/>
      <c r="O4993" s="306"/>
      <c r="P4993" s="301"/>
      <c r="S4993" s="364"/>
      <c r="Z4993" s="609" t="s">
        <v>2195</v>
      </c>
      <c r="AA4993" s="371"/>
    </row>
    <row r="4994" spans="1:27" ht="24">
      <c r="A4994" s="2714" t="s">
        <v>2193</v>
      </c>
      <c r="B4994" s="371">
        <v>1</v>
      </c>
      <c r="C4994" s="371"/>
      <c r="D4994" s="2716" t="str">
        <f>VLOOKUP($A4994,Sheet_NoteList,2,0)</f>
        <v>费用按性质分类的补充资料</v>
      </c>
      <c r="E4994" s="2716" t="s">
        <v>6530</v>
      </c>
      <c r="F4994" s="294"/>
      <c r="G4994" s="372" t="str">
        <f>"("&amp;B4994&amp;")"&amp;D4994</f>
        <v>(1)费用按性质分类的补充资料</v>
      </c>
      <c r="H4994" s="1517" t="str">
        <f>$A4994</f>
        <v>9690a</v>
      </c>
      <c r="I4994" s="343" t="s">
        <v>5124</v>
      </c>
      <c r="J4994" s="301" t="s">
        <v>5491</v>
      </c>
      <c r="K4994" s="2210">
        <f>H5006</f>
        <v>0</v>
      </c>
      <c r="L4994" s="345"/>
      <c r="M4994" s="301" t="s">
        <v>5492</v>
      </c>
      <c r="N4994" s="2210">
        <f>I5006</f>
        <v>0</v>
      </c>
      <c r="O4994" s="345"/>
      <c r="P4994" s="301"/>
      <c r="S4994" s="364"/>
      <c r="Z4994" s="609" t="s">
        <v>2195</v>
      </c>
      <c r="AA4994" s="609"/>
    </row>
    <row r="4995" spans="1:27" ht="0.75" customHeight="1" thickBot="1">
      <c r="A4995" s="2714"/>
      <c r="B4995" s="371"/>
      <c r="C4995" s="371"/>
      <c r="D4995" s="371"/>
      <c r="F4995" s="371"/>
      <c r="G4995" s="371" t="s">
        <v>4371</v>
      </c>
      <c r="H4995" s="371" t="s">
        <v>4223</v>
      </c>
      <c r="I4995" s="371" t="s">
        <v>4224</v>
      </c>
      <c r="J4995" s="291"/>
      <c r="K4995" s="291"/>
      <c r="L4995" s="291"/>
      <c r="M4995" s="291"/>
      <c r="S4995" s="364"/>
      <c r="Z4995" s="609" t="s">
        <v>2195</v>
      </c>
      <c r="AA4995" s="609"/>
    </row>
    <row r="4996" spans="1:27" ht="18">
      <c r="A4996" s="2714"/>
      <c r="B4996" s="371"/>
      <c r="C4996" s="371"/>
      <c r="D4996" s="371"/>
      <c r="E4996" s="2716" t="s">
        <v>2749</v>
      </c>
      <c r="F4996" s="294"/>
      <c r="G4996" s="1582" t="s">
        <v>47</v>
      </c>
      <c r="H4996" s="1580" t="str">
        <f>$V$4</f>
        <v>2019年度</v>
      </c>
      <c r="I4996" s="1581" t="str">
        <f>$V$5</f>
        <v>2018年度</v>
      </c>
      <c r="J4996" s="424" t="s">
        <v>4372</v>
      </c>
      <c r="K4996" s="291"/>
      <c r="L4996" s="291"/>
      <c r="M4996" s="291"/>
      <c r="S4996" s="364"/>
      <c r="Z4996" s="609" t="s">
        <v>2195</v>
      </c>
      <c r="AA4996" s="609"/>
    </row>
    <row r="4997" spans="1:27" ht="18">
      <c r="A4997" s="2714"/>
      <c r="B4997" s="371">
        <v>101</v>
      </c>
      <c r="C4997" s="371"/>
      <c r="D4997" s="2716">
        <f t="shared" ref="D4997:D5006" si="547">IF(OR(G4997="*",G4997="",G4997=0),0,COUNTIF($G$4997:$G$5006,G4997))</f>
        <v>1</v>
      </c>
      <c r="E4997" s="2721">
        <v>1</v>
      </c>
      <c r="F4997" s="294"/>
      <c r="G4997" s="308" t="s">
        <v>4373</v>
      </c>
      <c r="H4997" s="309"/>
      <c r="I4997" s="346"/>
      <c r="J4997" s="579"/>
      <c r="K4997" s="291"/>
      <c r="L4997" s="291"/>
      <c r="M4997" s="291"/>
      <c r="S4997" s="364"/>
      <c r="Z4997" s="609" t="s">
        <v>2195</v>
      </c>
      <c r="AA4997" s="609"/>
    </row>
    <row r="4998" spans="1:27" ht="18">
      <c r="A4998" s="2714"/>
      <c r="B4998" s="371">
        <v>102</v>
      </c>
      <c r="C4998" s="371"/>
      <c r="D4998" s="2716">
        <f t="shared" si="547"/>
        <v>1</v>
      </c>
      <c r="E4998" s="2721">
        <v>1</v>
      </c>
      <c r="F4998" s="294"/>
      <c r="G4998" s="308" t="s">
        <v>4374</v>
      </c>
      <c r="H4998" s="309"/>
      <c r="I4998" s="346"/>
      <c r="J4998" s="291"/>
      <c r="K4998" s="291"/>
      <c r="L4998" s="291"/>
      <c r="M4998" s="291"/>
      <c r="S4998" s="364"/>
      <c r="Z4998" s="609" t="s">
        <v>2195</v>
      </c>
      <c r="AA4998" s="609"/>
    </row>
    <row r="4999" spans="1:27" ht="18">
      <c r="A4999" s="2714"/>
      <c r="B4999" s="371">
        <v>103</v>
      </c>
      <c r="C4999" s="371"/>
      <c r="D4999" s="2716">
        <f t="shared" si="547"/>
        <v>1</v>
      </c>
      <c r="E4999" s="2721">
        <v>1</v>
      </c>
      <c r="F4999" s="294"/>
      <c r="G4999" s="308" t="s">
        <v>4375</v>
      </c>
      <c r="H4999" s="309"/>
      <c r="I4999" s="346"/>
      <c r="J4999" s="291"/>
      <c r="K4999" s="291"/>
      <c r="L4999" s="291"/>
      <c r="M4999" s="291"/>
      <c r="S4999" s="364"/>
      <c r="Z4999" s="609" t="s">
        <v>2195</v>
      </c>
      <c r="AA4999" s="609"/>
    </row>
    <row r="5000" spans="1:27" ht="18">
      <c r="A5000" s="2714"/>
      <c r="B5000" s="371">
        <v>104</v>
      </c>
      <c r="C5000" s="371"/>
      <c r="D5000" s="2716">
        <f t="shared" si="547"/>
        <v>1</v>
      </c>
      <c r="E5000" s="2721">
        <v>1</v>
      </c>
      <c r="F5000" s="294"/>
      <c r="G5000" s="308" t="s">
        <v>4376</v>
      </c>
      <c r="H5000" s="309"/>
      <c r="I5000" s="346"/>
      <c r="J5000" s="291"/>
      <c r="K5000" s="291"/>
      <c r="L5000" s="291"/>
      <c r="M5000" s="291"/>
      <c r="S5000" s="364"/>
      <c r="Z5000" s="609" t="s">
        <v>2195</v>
      </c>
      <c r="AA5000" s="609"/>
    </row>
    <row r="5001" spans="1:27" ht="18">
      <c r="A5001" s="2714"/>
      <c r="B5001" s="371">
        <v>105</v>
      </c>
      <c r="C5001" s="371"/>
      <c r="D5001" s="2716">
        <f t="shared" si="547"/>
        <v>1</v>
      </c>
      <c r="E5001" s="2721">
        <v>1</v>
      </c>
      <c r="F5001" s="294"/>
      <c r="G5001" s="308" t="s">
        <v>4377</v>
      </c>
      <c r="H5001" s="309"/>
      <c r="I5001" s="346"/>
      <c r="J5001" s="291"/>
      <c r="K5001" s="291"/>
      <c r="L5001" s="291"/>
      <c r="M5001" s="291"/>
      <c r="S5001" s="364"/>
      <c r="Z5001" s="609" t="s">
        <v>2195</v>
      </c>
      <c r="AA5001" s="609"/>
    </row>
    <row r="5002" spans="1:27" ht="18">
      <c r="A5002" s="2714"/>
      <c r="B5002" s="371">
        <v>106</v>
      </c>
      <c r="C5002" s="371"/>
      <c r="D5002" s="2716">
        <f t="shared" si="547"/>
        <v>1</v>
      </c>
      <c r="E5002" s="2721">
        <v>1</v>
      </c>
      <c r="F5002" s="294"/>
      <c r="G5002" s="308" t="s">
        <v>4378</v>
      </c>
      <c r="H5002" s="309"/>
      <c r="I5002" s="346"/>
      <c r="J5002" s="291"/>
      <c r="K5002" s="291"/>
      <c r="L5002" s="291"/>
      <c r="M5002" s="291"/>
      <c r="S5002" s="364"/>
      <c r="Z5002" s="609" t="s">
        <v>2195</v>
      </c>
      <c r="AA5002" s="609"/>
    </row>
    <row r="5003" spans="1:27" ht="18">
      <c r="A5003" s="2714"/>
      <c r="B5003" s="371">
        <v>107</v>
      </c>
      <c r="C5003" s="371"/>
      <c r="D5003" s="2716">
        <f t="shared" si="547"/>
        <v>1</v>
      </c>
      <c r="E5003" s="2721">
        <v>1</v>
      </c>
      <c r="F5003" s="294"/>
      <c r="G5003" s="308" t="s">
        <v>689</v>
      </c>
      <c r="H5003" s="309"/>
      <c r="I5003" s="346"/>
      <c r="J5003" s="291"/>
      <c r="K5003" s="291"/>
      <c r="L5003" s="291"/>
      <c r="M5003" s="291"/>
      <c r="S5003" s="364"/>
      <c r="Z5003" s="609" t="s">
        <v>2195</v>
      </c>
      <c r="AA5003" s="609"/>
    </row>
    <row r="5004" spans="1:27" ht="18">
      <c r="A5004" s="2714"/>
      <c r="B5004" s="371">
        <v>108</v>
      </c>
      <c r="C5004" s="371"/>
      <c r="D5004" s="2716">
        <f t="shared" si="547"/>
        <v>1</v>
      </c>
      <c r="E5004" s="2721">
        <v>1</v>
      </c>
      <c r="F5004" s="294"/>
      <c r="G5004" s="308" t="s">
        <v>4379</v>
      </c>
      <c r="H5004" s="309"/>
      <c r="I5004" s="346"/>
      <c r="J5004" s="291"/>
      <c r="K5004" s="291"/>
      <c r="L5004" s="291"/>
      <c r="M5004" s="291"/>
      <c r="S5004" s="364"/>
      <c r="Z5004" s="609" t="s">
        <v>2195</v>
      </c>
      <c r="AA5004" s="609"/>
    </row>
    <row r="5005" spans="1:27" ht="18">
      <c r="A5005" s="2714"/>
      <c r="B5005" s="371">
        <v>109</v>
      </c>
      <c r="C5005" s="371" t="s">
        <v>2791</v>
      </c>
      <c r="D5005" s="2716">
        <f t="shared" si="547"/>
        <v>0</v>
      </c>
      <c r="E5005" s="2721">
        <v>1</v>
      </c>
      <c r="F5005" s="294"/>
      <c r="G5005" s="1583" t="s">
        <v>2792</v>
      </c>
      <c r="H5005" s="309"/>
      <c r="I5005" s="346"/>
      <c r="J5005" s="291"/>
      <c r="K5005" s="291"/>
      <c r="L5005" s="291"/>
      <c r="M5005" s="291"/>
      <c r="S5005" s="364"/>
      <c r="Z5005" s="609" t="s">
        <v>2195</v>
      </c>
      <c r="AA5005" s="609"/>
    </row>
    <row r="5006" spans="1:27" ht="18.75" thickBot="1">
      <c r="A5006" s="2714"/>
      <c r="B5006" s="371"/>
      <c r="C5006" s="371"/>
      <c r="D5006" s="2716">
        <f t="shared" si="547"/>
        <v>1</v>
      </c>
      <c r="E5006" s="2721" t="s">
        <v>2751</v>
      </c>
      <c r="F5006" s="294"/>
      <c r="G5006" s="1529" t="s">
        <v>2752</v>
      </c>
      <c r="H5006" s="1527">
        <f>SUMPRODUCT($E4996:$E5005,H4996:H5005)</f>
        <v>0</v>
      </c>
      <c r="I5006" s="1528">
        <f>SUMPRODUCT($E4996:$E5005,I4996:I5005)</f>
        <v>0</v>
      </c>
      <c r="J5006" s="291"/>
      <c r="K5006" s="291"/>
      <c r="L5006" s="291"/>
      <c r="M5006" s="291"/>
      <c r="S5006" s="364"/>
      <c r="Z5006" s="609" t="s">
        <v>2195</v>
      </c>
      <c r="AA5006" s="609"/>
    </row>
    <row r="5007" spans="1:27" ht="18">
      <c r="A5007" s="2714"/>
      <c r="B5007" s="371"/>
      <c r="C5007" s="371" t="s">
        <v>2755</v>
      </c>
      <c r="D5007" s="371"/>
      <c r="F5007" s="294"/>
      <c r="G5007" s="301"/>
      <c r="H5007" s="315"/>
      <c r="I5007" s="315"/>
      <c r="J5007" s="291"/>
      <c r="K5007" s="291"/>
      <c r="L5007" s="291"/>
      <c r="M5007" s="291"/>
      <c r="S5007" s="364"/>
      <c r="Z5007" s="609" t="s">
        <v>2195</v>
      </c>
      <c r="AA5007" s="609"/>
    </row>
    <row r="5008" spans="1:27" ht="18">
      <c r="A5008" s="2714" t="s">
        <v>2197</v>
      </c>
      <c r="B5008" s="371">
        <v>2</v>
      </c>
      <c r="C5008" s="371"/>
      <c r="D5008" s="2716" t="str">
        <f>VLOOKUP($A5008,Sheet_NoteList,2,0)</f>
        <v>补充资料（一）</v>
      </c>
      <c r="E5008" s="2716" t="s">
        <v>6531</v>
      </c>
      <c r="F5008" s="294"/>
      <c r="G5008" s="307" t="str">
        <f>"("&amp;B5008&amp;")"&amp;D5008</f>
        <v>(2)补充资料（一）</v>
      </c>
      <c r="H5008" s="1517" t="str">
        <f>$A5008</f>
        <v>9690b</v>
      </c>
      <c r="I5008" s="343" t="s">
        <v>5969</v>
      </c>
      <c r="J5008" s="301"/>
      <c r="K5008" s="391"/>
      <c r="L5008" s="345"/>
      <c r="M5008" s="301"/>
      <c r="N5008" s="391"/>
      <c r="O5008" s="345"/>
      <c r="P5008" s="301"/>
      <c r="S5008" s="364"/>
      <c r="Z5008" s="609" t="s">
        <v>2195</v>
      </c>
      <c r="AA5008" s="609"/>
    </row>
    <row r="5009" spans="1:27" ht="0.75" customHeight="1" thickBot="1">
      <c r="A5009" s="2714"/>
      <c r="B5009" s="371"/>
      <c r="C5009" s="371"/>
      <c r="D5009" s="371"/>
      <c r="E5009" s="586"/>
      <c r="F5009" s="586"/>
      <c r="G5009" s="586" t="s">
        <v>4380</v>
      </c>
      <c r="H5009" s="371" t="s">
        <v>2904</v>
      </c>
      <c r="I5009" s="371" t="s">
        <v>3255</v>
      </c>
      <c r="J5009" s="371" t="s">
        <v>3256</v>
      </c>
      <c r="K5009" s="371" t="s">
        <v>3241</v>
      </c>
      <c r="L5009" s="371" t="s">
        <v>3267</v>
      </c>
      <c r="M5009" s="371" t="s">
        <v>3268</v>
      </c>
      <c r="N5009" s="371" t="s">
        <v>3269</v>
      </c>
      <c r="O5009" s="371" t="s">
        <v>3270</v>
      </c>
      <c r="P5009" s="371" t="s">
        <v>3271</v>
      </c>
      <c r="Q5009" s="543" t="s">
        <v>3272</v>
      </c>
      <c r="S5009" s="364"/>
      <c r="Z5009" s="609" t="s">
        <v>2195</v>
      </c>
      <c r="AA5009" s="609"/>
    </row>
    <row r="5010" spans="1:27" ht="18">
      <c r="A5010" s="2714"/>
      <c r="B5010" s="371"/>
      <c r="C5010" s="371"/>
      <c r="D5010" s="371"/>
      <c r="E5010" s="586" t="s">
        <v>2749</v>
      </c>
      <c r="F5010" s="363"/>
      <c r="G5010" s="2458" t="s">
        <v>47</v>
      </c>
      <c r="H5010" s="2459" t="s">
        <v>3273</v>
      </c>
      <c r="I5010" s="2459" t="s">
        <v>3274</v>
      </c>
      <c r="J5010" s="2459" t="s">
        <v>3275</v>
      </c>
      <c r="K5010" s="2459" t="s">
        <v>3276</v>
      </c>
      <c r="L5010" s="2459" t="s">
        <v>2544</v>
      </c>
      <c r="M5010" s="2459" t="s">
        <v>2549</v>
      </c>
      <c r="N5010" s="2459" t="s">
        <v>3277</v>
      </c>
      <c r="O5010" s="2459" t="s">
        <v>3278</v>
      </c>
      <c r="P5010" s="2459" t="s">
        <v>3279</v>
      </c>
      <c r="Q5010" s="2460" t="s">
        <v>3280</v>
      </c>
      <c r="R5010" s="544" t="s">
        <v>4381</v>
      </c>
      <c r="S5010" s="364"/>
      <c r="Z5010" s="609" t="s">
        <v>2195</v>
      </c>
      <c r="AA5010" s="609"/>
    </row>
    <row r="5011" spans="1:27" ht="18">
      <c r="A5011" s="2714"/>
      <c r="B5011" s="371">
        <v>101</v>
      </c>
      <c r="C5011" s="371" t="s">
        <v>2791</v>
      </c>
      <c r="D5011" s="2716">
        <f t="shared" ref="D5011:D5016" si="548">IF(OR(G5011="*",G5011="",G5011=0),0,COUNTIF($G$5011:$G$5016,G5011))</f>
        <v>0</v>
      </c>
      <c r="E5011" s="2721">
        <v>1</v>
      </c>
      <c r="F5011" s="294"/>
      <c r="G5011" s="2467" t="s">
        <v>2792</v>
      </c>
      <c r="H5011" s="2275"/>
      <c r="I5011" s="2275"/>
      <c r="J5011" s="2275"/>
      <c r="K5011" s="1476">
        <f>H5011+I5011-J5011</f>
        <v>0</v>
      </c>
      <c r="L5011" s="2275"/>
      <c r="M5011" s="2275"/>
      <c r="N5011" s="2275"/>
      <c r="O5011" s="2298"/>
      <c r="P5011" s="2298"/>
      <c r="Q5011" s="2276"/>
      <c r="R5011" s="544" t="s">
        <v>3282</v>
      </c>
      <c r="S5011" s="364"/>
      <c r="Z5011" s="609" t="s">
        <v>2195</v>
      </c>
      <c r="AA5011" s="609"/>
    </row>
    <row r="5012" spans="1:27" ht="18">
      <c r="A5012" s="2714"/>
      <c r="B5012" s="371">
        <v>102</v>
      </c>
      <c r="C5012" s="371" t="s">
        <v>2791</v>
      </c>
      <c r="D5012" s="2716">
        <f t="shared" si="548"/>
        <v>0</v>
      </c>
      <c r="E5012" s="2721">
        <v>1</v>
      </c>
      <c r="F5012" s="294"/>
      <c r="G5012" s="2467" t="s">
        <v>2792</v>
      </c>
      <c r="H5012" s="2275"/>
      <c r="I5012" s="2275"/>
      <c r="J5012" s="2275"/>
      <c r="K5012" s="1476">
        <f>H5012+I5012-J5012</f>
        <v>0</v>
      </c>
      <c r="L5012" s="2275"/>
      <c r="M5012" s="2275"/>
      <c r="N5012" s="2275"/>
      <c r="O5012" s="2298"/>
      <c r="P5012" s="2298"/>
      <c r="Q5012" s="2276"/>
      <c r="S5012" s="364"/>
      <c r="Z5012" s="609" t="s">
        <v>2195</v>
      </c>
      <c r="AA5012" s="609"/>
    </row>
    <row r="5013" spans="1:27" ht="18">
      <c r="A5013" s="2714"/>
      <c r="B5013" s="371">
        <v>103</v>
      </c>
      <c r="C5013" s="371" t="s">
        <v>2791</v>
      </c>
      <c r="D5013" s="2716">
        <f t="shared" si="548"/>
        <v>0</v>
      </c>
      <c r="E5013" s="2721">
        <v>1</v>
      </c>
      <c r="F5013" s="294"/>
      <c r="G5013" s="2467" t="s">
        <v>2792</v>
      </c>
      <c r="H5013" s="2275"/>
      <c r="I5013" s="2275"/>
      <c r="J5013" s="2275"/>
      <c r="K5013" s="1476">
        <f>H5013+I5013-J5013</f>
        <v>0</v>
      </c>
      <c r="L5013" s="2275"/>
      <c r="M5013" s="2275"/>
      <c r="N5013" s="2275"/>
      <c r="O5013" s="2298"/>
      <c r="P5013" s="2298"/>
      <c r="Q5013" s="2276"/>
      <c r="S5013" s="364"/>
      <c r="Z5013" s="609" t="s">
        <v>2195</v>
      </c>
      <c r="AA5013" s="609"/>
    </row>
    <row r="5014" spans="1:27" ht="18">
      <c r="A5014" s="2714"/>
      <c r="B5014" s="371">
        <v>104</v>
      </c>
      <c r="C5014" s="371" t="s">
        <v>2791</v>
      </c>
      <c r="D5014" s="2716">
        <f t="shared" si="548"/>
        <v>0</v>
      </c>
      <c r="E5014" s="2721">
        <v>1</v>
      </c>
      <c r="F5014" s="294"/>
      <c r="G5014" s="2467" t="s">
        <v>2792</v>
      </c>
      <c r="H5014" s="2275"/>
      <c r="I5014" s="2275"/>
      <c r="J5014" s="2275"/>
      <c r="K5014" s="1476">
        <f>H5014+I5014-J5014</f>
        <v>0</v>
      </c>
      <c r="L5014" s="2275"/>
      <c r="M5014" s="2275"/>
      <c r="N5014" s="2275"/>
      <c r="O5014" s="2298"/>
      <c r="P5014" s="2298"/>
      <c r="Q5014" s="2276"/>
      <c r="S5014" s="364"/>
      <c r="Z5014" s="609" t="s">
        <v>2195</v>
      </c>
      <c r="AA5014" s="609"/>
    </row>
    <row r="5015" spans="1:27" ht="18">
      <c r="A5015" s="2714"/>
      <c r="B5015" s="371">
        <v>105</v>
      </c>
      <c r="C5015" s="371" t="s">
        <v>2791</v>
      </c>
      <c r="D5015" s="2716">
        <f t="shared" si="548"/>
        <v>0</v>
      </c>
      <c r="E5015" s="2721">
        <v>1</v>
      </c>
      <c r="F5015" s="294"/>
      <c r="G5015" s="2467" t="s">
        <v>2792</v>
      </c>
      <c r="H5015" s="2275"/>
      <c r="I5015" s="2275"/>
      <c r="J5015" s="2275"/>
      <c r="K5015" s="1476">
        <f>H5015+I5015-J5015</f>
        <v>0</v>
      </c>
      <c r="L5015" s="2275"/>
      <c r="M5015" s="2275"/>
      <c r="N5015" s="2275"/>
      <c r="O5015" s="2298"/>
      <c r="P5015" s="2298"/>
      <c r="Q5015" s="2276"/>
      <c r="S5015" s="364"/>
      <c r="Z5015" s="609" t="s">
        <v>2195</v>
      </c>
      <c r="AA5015" s="609"/>
    </row>
    <row r="5016" spans="1:27" ht="18.75" thickBot="1">
      <c r="A5016" s="2714"/>
      <c r="B5016" s="371"/>
      <c r="C5016" s="371"/>
      <c r="D5016" s="2716">
        <f t="shared" si="548"/>
        <v>1</v>
      </c>
      <c r="E5016" s="2721" t="s">
        <v>2751</v>
      </c>
      <c r="F5016" s="294"/>
      <c r="G5016" s="1529" t="s">
        <v>2752</v>
      </c>
      <c r="H5016" s="1527">
        <f t="shared" ref="H5016:N5016" si="549">SUMPRODUCT($E5010:$E5015,H5010:H5015)</f>
        <v>0</v>
      </c>
      <c r="I5016" s="1527">
        <f t="shared" si="549"/>
        <v>0</v>
      </c>
      <c r="J5016" s="1527">
        <f t="shared" si="549"/>
        <v>0</v>
      </c>
      <c r="K5016" s="1527">
        <f t="shared" si="549"/>
        <v>0</v>
      </c>
      <c r="L5016" s="1527">
        <f t="shared" si="549"/>
        <v>0</v>
      </c>
      <c r="M5016" s="1527">
        <f t="shared" si="549"/>
        <v>0</v>
      </c>
      <c r="N5016" s="1527">
        <f t="shared" si="549"/>
        <v>0</v>
      </c>
      <c r="O5016" s="2316"/>
      <c r="P5016" s="2316"/>
      <c r="Q5016" s="2266"/>
      <c r="S5016" s="364"/>
      <c r="Z5016" s="609" t="s">
        <v>2195</v>
      </c>
      <c r="AA5016" s="609"/>
    </row>
    <row r="5017" spans="1:27" ht="18">
      <c r="A5017" s="2714"/>
      <c r="B5017" s="371"/>
      <c r="C5017" s="371" t="s">
        <v>2755</v>
      </c>
      <c r="D5017" s="371"/>
      <c r="F5017" s="294"/>
      <c r="G5017" s="301"/>
      <c r="H5017" s="315"/>
      <c r="I5017" s="315"/>
      <c r="J5017" s="315"/>
      <c r="K5017" s="315"/>
      <c r="L5017" s="315"/>
      <c r="M5017" s="315"/>
      <c r="N5017" s="315"/>
      <c r="O5017" s="393"/>
      <c r="P5017" s="393"/>
      <c r="Q5017" s="545"/>
      <c r="S5017" s="364"/>
      <c r="Z5017" s="609" t="s">
        <v>2195</v>
      </c>
      <c r="AA5017" s="609"/>
    </row>
    <row r="5018" spans="1:27" ht="18">
      <c r="A5018" s="2714" t="s">
        <v>2200</v>
      </c>
      <c r="B5018" s="371">
        <v>3</v>
      </c>
      <c r="C5018" s="371"/>
      <c r="D5018" s="2716" t="str">
        <f>VLOOKUP($A5018,Sheet_NoteList,2,0)</f>
        <v>补充资料（二）</v>
      </c>
      <c r="E5018" s="2716" t="s">
        <v>6531</v>
      </c>
      <c r="F5018" s="294"/>
      <c r="G5018" s="307" t="str">
        <f>"("&amp;B5018&amp;")"&amp;D5018</f>
        <v>(3)补充资料（二）</v>
      </c>
      <c r="H5018" s="1517" t="str">
        <f>$A5018</f>
        <v>9690c</v>
      </c>
      <c r="I5018" s="343" t="s">
        <v>5974</v>
      </c>
      <c r="J5018" s="301"/>
      <c r="K5018" s="391"/>
      <c r="L5018" s="345"/>
      <c r="M5018" s="301"/>
      <c r="N5018" s="391"/>
      <c r="O5018" s="345"/>
      <c r="P5018" s="301"/>
      <c r="S5018" s="364"/>
      <c r="Z5018" s="609" t="s">
        <v>2195</v>
      </c>
      <c r="AA5018" s="609"/>
    </row>
    <row r="5019" spans="1:27" ht="0.75" customHeight="1" thickBot="1">
      <c r="A5019" s="2714"/>
      <c r="B5019" s="371"/>
      <c r="C5019" s="371"/>
      <c r="D5019" s="371"/>
      <c r="E5019" s="586"/>
      <c r="F5019" s="586"/>
      <c r="G5019" s="586" t="s">
        <v>4382</v>
      </c>
      <c r="H5019" s="371" t="s">
        <v>4223</v>
      </c>
      <c r="I5019" s="371" t="s">
        <v>4224</v>
      </c>
      <c r="J5019" s="371" t="s">
        <v>3267</v>
      </c>
      <c r="K5019" s="371" t="s">
        <v>3268</v>
      </c>
      <c r="L5019" s="371" t="s">
        <v>3269</v>
      </c>
      <c r="M5019" s="371" t="s">
        <v>3270</v>
      </c>
      <c r="N5019" s="371" t="s">
        <v>3271</v>
      </c>
      <c r="O5019" s="543" t="s">
        <v>3272</v>
      </c>
      <c r="S5019" s="364"/>
      <c r="Z5019" s="609" t="s">
        <v>2195</v>
      </c>
      <c r="AA5019" s="609"/>
    </row>
    <row r="5020" spans="1:27" ht="18">
      <c r="A5020" s="2714"/>
      <c r="B5020" s="371"/>
      <c r="C5020" s="371"/>
      <c r="D5020" s="371"/>
      <c r="E5020" s="586" t="s">
        <v>2749</v>
      </c>
      <c r="F5020" s="363"/>
      <c r="G5020" s="2458" t="s">
        <v>47</v>
      </c>
      <c r="H5020" s="2459" t="s">
        <v>4242</v>
      </c>
      <c r="I5020" s="2459" t="s">
        <v>4245</v>
      </c>
      <c r="J5020" s="2459" t="s">
        <v>2544</v>
      </c>
      <c r="K5020" s="2459" t="s">
        <v>2549</v>
      </c>
      <c r="L5020" s="2459" t="s">
        <v>3277</v>
      </c>
      <c r="M5020" s="2459" t="s">
        <v>3278</v>
      </c>
      <c r="N5020" s="2459" t="s">
        <v>3279</v>
      </c>
      <c r="O5020" s="2460" t="s">
        <v>3280</v>
      </c>
      <c r="P5020" s="544" t="s">
        <v>4381</v>
      </c>
      <c r="S5020" s="364"/>
      <c r="Z5020" s="609" t="s">
        <v>2195</v>
      </c>
      <c r="AA5020" s="609"/>
    </row>
    <row r="5021" spans="1:27" ht="18">
      <c r="A5021" s="2714"/>
      <c r="B5021" s="371">
        <v>101</v>
      </c>
      <c r="C5021" s="371" t="s">
        <v>2791</v>
      </c>
      <c r="D5021" s="2716">
        <f t="shared" ref="D5021:D5026" si="550">IF(OR(G5021="*",G5021="",G5021=0),0,COUNTIF($G$5021:$G$5026,G5021))</f>
        <v>0</v>
      </c>
      <c r="E5021" s="2721">
        <v>1</v>
      </c>
      <c r="F5021" s="294"/>
      <c r="G5021" s="2467" t="s">
        <v>2792</v>
      </c>
      <c r="H5021" s="2275"/>
      <c r="I5021" s="2275"/>
      <c r="J5021" s="2275"/>
      <c r="K5021" s="2275"/>
      <c r="L5021" s="2275"/>
      <c r="M5021" s="2298"/>
      <c r="N5021" s="2298"/>
      <c r="O5021" s="2276"/>
      <c r="P5021" s="544" t="s">
        <v>3282</v>
      </c>
      <c r="S5021" s="364"/>
      <c r="Z5021" s="609" t="s">
        <v>2195</v>
      </c>
      <c r="AA5021" s="609"/>
    </row>
    <row r="5022" spans="1:27" ht="18">
      <c r="A5022" s="2714"/>
      <c r="B5022" s="371">
        <v>102</v>
      </c>
      <c r="C5022" s="371" t="s">
        <v>2791</v>
      </c>
      <c r="D5022" s="2716">
        <f t="shared" si="550"/>
        <v>0</v>
      </c>
      <c r="E5022" s="2721">
        <v>1</v>
      </c>
      <c r="F5022" s="294"/>
      <c r="G5022" s="2467" t="s">
        <v>2792</v>
      </c>
      <c r="H5022" s="2275"/>
      <c r="I5022" s="2275"/>
      <c r="J5022" s="2275"/>
      <c r="K5022" s="2275"/>
      <c r="L5022" s="2275"/>
      <c r="M5022" s="2298"/>
      <c r="N5022" s="2298"/>
      <c r="O5022" s="2276"/>
      <c r="S5022" s="364"/>
      <c r="Z5022" s="609" t="s">
        <v>2195</v>
      </c>
      <c r="AA5022" s="609"/>
    </row>
    <row r="5023" spans="1:27" ht="18">
      <c r="A5023" s="2714"/>
      <c r="B5023" s="371">
        <v>103</v>
      </c>
      <c r="C5023" s="371" t="s">
        <v>2791</v>
      </c>
      <c r="D5023" s="2716">
        <f t="shared" si="550"/>
        <v>0</v>
      </c>
      <c r="E5023" s="2721">
        <v>1</v>
      </c>
      <c r="F5023" s="294"/>
      <c r="G5023" s="2467" t="s">
        <v>2792</v>
      </c>
      <c r="H5023" s="2275"/>
      <c r="I5023" s="2275"/>
      <c r="J5023" s="2275"/>
      <c r="K5023" s="2275"/>
      <c r="L5023" s="2275"/>
      <c r="M5023" s="2298"/>
      <c r="N5023" s="2298"/>
      <c r="O5023" s="2276"/>
      <c r="S5023" s="364"/>
      <c r="Z5023" s="609" t="s">
        <v>2195</v>
      </c>
      <c r="AA5023" s="609"/>
    </row>
    <row r="5024" spans="1:27" ht="18">
      <c r="A5024" s="2714"/>
      <c r="B5024" s="371">
        <v>104</v>
      </c>
      <c r="C5024" s="371" t="s">
        <v>2791</v>
      </c>
      <c r="D5024" s="2716">
        <f t="shared" si="550"/>
        <v>0</v>
      </c>
      <c r="E5024" s="2721">
        <v>1</v>
      </c>
      <c r="F5024" s="294"/>
      <c r="G5024" s="2467" t="s">
        <v>2792</v>
      </c>
      <c r="H5024" s="2275"/>
      <c r="I5024" s="2275"/>
      <c r="J5024" s="2275"/>
      <c r="K5024" s="2275"/>
      <c r="L5024" s="2275"/>
      <c r="M5024" s="2298"/>
      <c r="N5024" s="2298"/>
      <c r="O5024" s="2276"/>
      <c r="S5024" s="364"/>
      <c r="Z5024" s="609" t="s">
        <v>2195</v>
      </c>
      <c r="AA5024" s="609"/>
    </row>
    <row r="5025" spans="1:27" ht="18">
      <c r="A5025" s="2714"/>
      <c r="B5025" s="371">
        <v>105</v>
      </c>
      <c r="C5025" s="371" t="s">
        <v>2791</v>
      </c>
      <c r="D5025" s="2716">
        <f t="shared" si="550"/>
        <v>0</v>
      </c>
      <c r="E5025" s="2721">
        <v>1</v>
      </c>
      <c r="F5025" s="294"/>
      <c r="G5025" s="2467" t="s">
        <v>2792</v>
      </c>
      <c r="H5025" s="2275"/>
      <c r="I5025" s="2275"/>
      <c r="J5025" s="2275"/>
      <c r="K5025" s="2275"/>
      <c r="L5025" s="2275"/>
      <c r="M5025" s="2298"/>
      <c r="N5025" s="2298"/>
      <c r="O5025" s="2276"/>
      <c r="S5025" s="364"/>
      <c r="Z5025" s="609" t="s">
        <v>2195</v>
      </c>
      <c r="AA5025" s="609"/>
    </row>
    <row r="5026" spans="1:27" ht="18.75" thickBot="1">
      <c r="A5026" s="2714"/>
      <c r="B5026" s="371"/>
      <c r="C5026" s="371"/>
      <c r="D5026" s="2716">
        <f t="shared" si="550"/>
        <v>1</v>
      </c>
      <c r="E5026" s="2721" t="s">
        <v>2751</v>
      </c>
      <c r="F5026" s="294"/>
      <c r="G5026" s="1529" t="s">
        <v>2752</v>
      </c>
      <c r="H5026" s="1527">
        <f>SUMPRODUCT($E5020:$E5025,H5020:H5025)</f>
        <v>0</v>
      </c>
      <c r="I5026" s="1527">
        <f>SUMPRODUCT($E5020:$E5025,I5020:I5025)</f>
        <v>0</v>
      </c>
      <c r="J5026" s="1527">
        <f>SUMPRODUCT($E5020:$E5025,J5020:J5025)</f>
        <v>0</v>
      </c>
      <c r="K5026" s="1527">
        <f>SUMPRODUCT($E5020:$E5025,K5020:K5025)</f>
        <v>0</v>
      </c>
      <c r="L5026" s="1527">
        <f>SUMPRODUCT($E5020:$E5025,L5020:L5025)</f>
        <v>0</v>
      </c>
      <c r="M5026" s="2316"/>
      <c r="N5026" s="2316"/>
      <c r="O5026" s="2266"/>
      <c r="S5026" s="364"/>
      <c r="Z5026" s="609" t="s">
        <v>2195</v>
      </c>
      <c r="AA5026" s="609"/>
    </row>
    <row r="5027" spans="1:27" ht="18">
      <c r="A5027" s="2714"/>
      <c r="B5027" s="371"/>
      <c r="C5027" s="371" t="s">
        <v>2755</v>
      </c>
      <c r="D5027" s="371"/>
      <c r="F5027" s="294"/>
      <c r="G5027" s="301"/>
      <c r="H5027" s="315"/>
      <c r="I5027" s="315"/>
      <c r="J5027" s="315"/>
      <c r="K5027" s="315"/>
      <c r="L5027" s="315"/>
      <c r="M5027" s="393"/>
      <c r="N5027" s="393"/>
      <c r="O5027" s="393"/>
      <c r="S5027" s="364"/>
      <c r="Z5027" s="609" t="s">
        <v>2195</v>
      </c>
      <c r="AA5027" s="609"/>
    </row>
    <row r="5028" spans="1:27" ht="18">
      <c r="A5028" s="2714">
        <v>7400</v>
      </c>
      <c r="B5028" s="371">
        <v>78</v>
      </c>
      <c r="C5028" s="2716" t="str">
        <f>VLOOKUP($A5028,Sheet_Items,2,0)</f>
        <v>现金流量表项目注释</v>
      </c>
      <c r="D5028" s="371"/>
      <c r="E5028" s="2716" t="s">
        <v>2739</v>
      </c>
      <c r="F5028" s="294"/>
      <c r="G5028" s="305" t="str">
        <f>B5028&amp;" "&amp;C5028</f>
        <v>78 现金流量表项目注释</v>
      </c>
      <c r="H5028" s="306"/>
      <c r="I5028" s="306"/>
      <c r="J5028" s="306"/>
      <c r="K5028" s="539"/>
      <c r="L5028" s="342"/>
      <c r="M5028" s="306"/>
      <c r="N5028" s="539"/>
      <c r="O5028" s="306"/>
      <c r="P5028" s="301"/>
      <c r="S5028" s="364"/>
      <c r="Z5028" s="609" t="s">
        <v>4383</v>
      </c>
      <c r="AA5028" s="371"/>
    </row>
    <row r="5029" spans="1:27" ht="18">
      <c r="A5029" s="2714">
        <v>7046</v>
      </c>
      <c r="B5029" s="371">
        <v>78.099999999999994</v>
      </c>
      <c r="C5029" s="2716" t="str">
        <f>VLOOKUP($A5029,Sheet_Items,2,0)</f>
        <v>收到其他与经营活动有关的现金</v>
      </c>
      <c r="D5029" s="371"/>
      <c r="E5029" s="2716" t="s">
        <v>2739</v>
      </c>
      <c r="F5029" s="294"/>
      <c r="G5029" s="536" t="str">
        <f>B5029&amp;" "&amp;C5029</f>
        <v>78.1 收到其他与经营活动有关的现金</v>
      </c>
      <c r="H5029" s="322"/>
      <c r="I5029" s="322"/>
      <c r="J5029" s="306" t="s">
        <v>4206</v>
      </c>
      <c r="K5029" s="341">
        <f>VLOOKUP($A5029,Sheet_Trialbal,6,0)</f>
        <v>872175.39</v>
      </c>
      <c r="L5029" s="342"/>
      <c r="M5029" s="306" t="s">
        <v>4207</v>
      </c>
      <c r="N5029" s="341">
        <f>VLOOKUP($A5029,Sheet_Trialbal,10,0)</f>
        <v>7228566.7800000003</v>
      </c>
      <c r="O5029" s="325"/>
      <c r="P5029" s="301"/>
      <c r="S5029" s="364"/>
      <c r="Z5029" s="609" t="s">
        <v>4384</v>
      </c>
      <c r="AA5029" s="609"/>
    </row>
    <row r="5030" spans="1:27" ht="24">
      <c r="A5030" s="2714" t="s">
        <v>1946</v>
      </c>
      <c r="B5030" s="371">
        <v>1</v>
      </c>
      <c r="C5030" s="371"/>
      <c r="D5030" s="2716" t="str">
        <f>VLOOKUP($A5030,Sheet_NoteList,2,0)</f>
        <v>收到的其他与经营活动有关的现金</v>
      </c>
      <c r="E5030" s="2716" t="s">
        <v>2742</v>
      </c>
      <c r="F5030" s="294"/>
      <c r="G5030" s="372" t="str">
        <f>"("&amp;B5030&amp;")"&amp;D5030</f>
        <v>(1)收到的其他与经营活动有关的现金</v>
      </c>
      <c r="H5030" s="1517" t="str">
        <f>$A5030</f>
        <v>7046a</v>
      </c>
      <c r="I5030" s="343" t="s">
        <v>2743</v>
      </c>
      <c r="J5030" s="301" t="s">
        <v>4256</v>
      </c>
      <c r="K5030" s="2210">
        <f>H5043</f>
        <v>872175.39</v>
      </c>
      <c r="L5030" s="1535">
        <f>IF($I5030="适用",IF(ROUND(K5029-K5030,2)&gt;=0,IF(K5029&lt;&gt;0,K5030/K5029,""),"#Logical!"),"#N/A")</f>
        <v>1</v>
      </c>
      <c r="M5030" s="301" t="s">
        <v>4257</v>
      </c>
      <c r="N5030" s="2210">
        <f>I5043</f>
        <v>7228566.7800000003</v>
      </c>
      <c r="O5030" s="1535">
        <f>IF($I5030="适用",IF(ROUND(N5029-N5030,2)&gt;=0,IF(N5029&lt;&gt;0,N5030/N5029,""),"#Logical!"),"#N/A")</f>
        <v>1</v>
      </c>
      <c r="P5030" s="301"/>
      <c r="Q5030" s="290" t="str">
        <f>IF($I5030="不适用","",IF(ROUND(SUM($H$5033:$I$5043),2)=0,"请输入",""))</f>
        <v/>
      </c>
      <c r="S5030" s="364"/>
      <c r="Z5030" s="609" t="s">
        <v>4384</v>
      </c>
      <c r="AA5030" s="609"/>
    </row>
    <row r="5031" spans="1:27" ht="0.75" customHeight="1" thickBot="1">
      <c r="A5031" s="2714"/>
      <c r="B5031" s="371"/>
      <c r="C5031" s="371"/>
      <c r="D5031" s="371"/>
      <c r="E5031" s="586"/>
      <c r="F5031" s="363"/>
      <c r="G5031" s="363" t="s">
        <v>4385</v>
      </c>
      <c r="H5031" s="294" t="s">
        <v>4223</v>
      </c>
      <c r="I5031" s="294" t="s">
        <v>4224</v>
      </c>
      <c r="J5031" s="291"/>
      <c r="K5031" s="291"/>
      <c r="L5031" s="291"/>
      <c r="M5031" s="291"/>
      <c r="S5031" s="364"/>
      <c r="Z5031" s="609" t="s">
        <v>4384</v>
      </c>
      <c r="AA5031" s="609"/>
    </row>
    <row r="5032" spans="1:27" ht="18">
      <c r="A5032" s="2714"/>
      <c r="B5032" s="371"/>
      <c r="C5032" s="371"/>
      <c r="D5032" s="371"/>
      <c r="E5032" s="586" t="s">
        <v>2749</v>
      </c>
      <c r="F5032" s="363"/>
      <c r="G5032" s="2453" t="s">
        <v>47</v>
      </c>
      <c r="H5032" s="2461" t="str">
        <f>$V$4</f>
        <v>2019年度</v>
      </c>
      <c r="I5032" s="2462" t="str">
        <f>$V$5</f>
        <v>2018年度</v>
      </c>
      <c r="J5032" s="355" t="s">
        <v>5342</v>
      </c>
      <c r="K5032" s="291"/>
      <c r="L5032" s="291"/>
      <c r="M5032" s="291"/>
      <c r="S5032" s="364"/>
      <c r="Z5032" s="609" t="s">
        <v>4384</v>
      </c>
      <c r="AA5032" s="609"/>
    </row>
    <row r="5033" spans="1:27" ht="18">
      <c r="A5033" s="2714"/>
      <c r="B5033" s="371">
        <v>101</v>
      </c>
      <c r="C5033" s="371" t="s">
        <v>2791</v>
      </c>
      <c r="D5033" s="2716">
        <f t="shared" ref="D5033:D5043" si="551">IF(OR(G5033="*",G5033="",G5033=0),0,COUNTIF($G$5033:$G$5043,G5033))</f>
        <v>1</v>
      </c>
      <c r="E5033" s="2721">
        <v>1</v>
      </c>
      <c r="F5033" s="294"/>
      <c r="G5033" s="2467" t="s">
        <v>7291</v>
      </c>
      <c r="H5033" s="2275">
        <f>CF底稿!K158</f>
        <v>2000</v>
      </c>
      <c r="I5033" s="2296">
        <v>41400</v>
      </c>
      <c r="J5033" s="291"/>
      <c r="K5033" s="291"/>
      <c r="L5033" s="291"/>
      <c r="M5033" s="291"/>
      <c r="S5033" s="364"/>
      <c r="Z5033" s="609" t="s">
        <v>4384</v>
      </c>
      <c r="AA5033" s="609"/>
    </row>
    <row r="5034" spans="1:27" ht="18">
      <c r="A5034" s="2714"/>
      <c r="B5034" s="371">
        <v>102</v>
      </c>
      <c r="C5034" s="371" t="s">
        <v>2791</v>
      </c>
      <c r="D5034" s="2716">
        <f t="shared" si="551"/>
        <v>1</v>
      </c>
      <c r="E5034" s="2721">
        <v>1</v>
      </c>
      <c r="F5034" s="294"/>
      <c r="G5034" s="2467" t="s">
        <v>7292</v>
      </c>
      <c r="H5034" s="2275">
        <f>CF底稿!K43+1.06+CF底稿!K159</f>
        <v>97675.39</v>
      </c>
      <c r="I5034" s="2296">
        <v>687166.78</v>
      </c>
      <c r="J5034" s="291"/>
      <c r="K5034" s="3361"/>
      <c r="L5034" s="291"/>
      <c r="M5034" s="291"/>
      <c r="S5034" s="364"/>
      <c r="Z5034" s="609" t="s">
        <v>4384</v>
      </c>
      <c r="AA5034" s="609"/>
    </row>
    <row r="5035" spans="1:27" ht="18">
      <c r="A5035" s="2714"/>
      <c r="B5035" s="371">
        <v>103</v>
      </c>
      <c r="C5035" s="371" t="s">
        <v>2791</v>
      </c>
      <c r="D5035" s="2716">
        <f t="shared" si="551"/>
        <v>1</v>
      </c>
      <c r="E5035" s="2721">
        <v>1</v>
      </c>
      <c r="F5035" s="294"/>
      <c r="G5035" s="2467" t="s">
        <v>7293</v>
      </c>
      <c r="H5035" s="2275"/>
      <c r="I5035" s="2296">
        <v>6500000</v>
      </c>
      <c r="J5035" s="291"/>
      <c r="K5035" s="3361"/>
      <c r="L5035" s="291"/>
      <c r="M5035" s="291"/>
      <c r="S5035" s="364"/>
      <c r="Z5035" s="609" t="s">
        <v>4384</v>
      </c>
      <c r="AA5035" s="609"/>
    </row>
    <row r="5036" spans="1:27" ht="18">
      <c r="A5036" s="2714"/>
      <c r="B5036" s="371">
        <v>104</v>
      </c>
      <c r="C5036" s="371" t="s">
        <v>2791</v>
      </c>
      <c r="D5036" s="2716">
        <f t="shared" si="551"/>
        <v>1</v>
      </c>
      <c r="E5036" s="2721">
        <v>1</v>
      </c>
      <c r="F5036" s="294"/>
      <c r="G5036" s="2467" t="s">
        <v>7303</v>
      </c>
      <c r="H5036" s="2275">
        <f>CF底稿!G27</f>
        <v>715900</v>
      </c>
      <c r="I5036" s="2296"/>
      <c r="J5036" s="291"/>
      <c r="K5036" s="291"/>
      <c r="L5036" s="291"/>
      <c r="M5036" s="291"/>
      <c r="S5036" s="364"/>
      <c r="Z5036" s="609" t="s">
        <v>4384</v>
      </c>
      <c r="AA5036" s="609"/>
    </row>
    <row r="5037" spans="1:27" ht="18">
      <c r="A5037" s="2714"/>
      <c r="B5037" s="371">
        <v>105</v>
      </c>
      <c r="C5037" s="371" t="s">
        <v>2791</v>
      </c>
      <c r="D5037" s="2716">
        <f t="shared" si="551"/>
        <v>1</v>
      </c>
      <c r="E5037" s="2721">
        <v>1</v>
      </c>
      <c r="F5037" s="294"/>
      <c r="G5037" s="2467" t="s">
        <v>7304</v>
      </c>
      <c r="H5037" s="2275">
        <f>CF底稿!K42</f>
        <v>56600</v>
      </c>
      <c r="I5037" s="2296"/>
      <c r="J5037" s="291"/>
      <c r="K5037" s="291"/>
      <c r="L5037" s="291"/>
      <c r="M5037" s="291"/>
      <c r="S5037" s="364"/>
      <c r="Z5037" s="609" t="s">
        <v>4384</v>
      </c>
      <c r="AA5037" s="609"/>
    </row>
    <row r="5038" spans="1:27" ht="18">
      <c r="A5038" s="2714"/>
      <c r="B5038" s="371">
        <v>106</v>
      </c>
      <c r="C5038" s="371" t="s">
        <v>2791</v>
      </c>
      <c r="D5038" s="2716">
        <f t="shared" si="551"/>
        <v>0</v>
      </c>
      <c r="E5038" s="2721">
        <v>1</v>
      </c>
      <c r="F5038" s="294"/>
      <c r="G5038" s="2467" t="s">
        <v>2792</v>
      </c>
      <c r="H5038" s="2275"/>
      <c r="I5038" s="2296"/>
      <c r="J5038" s="291"/>
      <c r="K5038" s="291"/>
      <c r="L5038" s="291"/>
      <c r="M5038" s="291"/>
      <c r="S5038" s="364"/>
      <c r="Z5038" s="609" t="s">
        <v>4384</v>
      </c>
      <c r="AA5038" s="609"/>
    </row>
    <row r="5039" spans="1:27" ht="18">
      <c r="A5039" s="2714"/>
      <c r="B5039" s="371">
        <v>107</v>
      </c>
      <c r="C5039" s="371" t="s">
        <v>2791</v>
      </c>
      <c r="D5039" s="2716">
        <f t="shared" si="551"/>
        <v>0</v>
      </c>
      <c r="E5039" s="2721">
        <v>1</v>
      </c>
      <c r="F5039" s="294"/>
      <c r="G5039" s="2467" t="s">
        <v>2792</v>
      </c>
      <c r="H5039" s="2275"/>
      <c r="I5039" s="2296"/>
      <c r="J5039" s="291"/>
      <c r="K5039" s="291"/>
      <c r="L5039" s="291"/>
      <c r="M5039" s="291"/>
      <c r="S5039" s="364"/>
      <c r="Z5039" s="609" t="s">
        <v>4384</v>
      </c>
      <c r="AA5039" s="609"/>
    </row>
    <row r="5040" spans="1:27" ht="18">
      <c r="A5040" s="2714"/>
      <c r="B5040" s="371">
        <v>108</v>
      </c>
      <c r="C5040" s="371" t="s">
        <v>2791</v>
      </c>
      <c r="D5040" s="2716">
        <f t="shared" si="551"/>
        <v>0</v>
      </c>
      <c r="E5040" s="2721">
        <v>1</v>
      </c>
      <c r="F5040" s="294"/>
      <c r="G5040" s="2467" t="s">
        <v>2792</v>
      </c>
      <c r="H5040" s="2275"/>
      <c r="I5040" s="2296"/>
      <c r="J5040" s="291"/>
      <c r="K5040" s="291"/>
      <c r="L5040" s="291"/>
      <c r="M5040" s="291"/>
      <c r="S5040" s="364"/>
      <c r="Z5040" s="609" t="s">
        <v>4384</v>
      </c>
      <c r="AA5040" s="609"/>
    </row>
    <row r="5041" spans="1:27" ht="18">
      <c r="A5041" s="2714"/>
      <c r="B5041" s="371">
        <v>109</v>
      </c>
      <c r="C5041" s="371" t="s">
        <v>2791</v>
      </c>
      <c r="D5041" s="2716">
        <f t="shared" si="551"/>
        <v>0</v>
      </c>
      <c r="E5041" s="2721">
        <v>1</v>
      </c>
      <c r="F5041" s="294"/>
      <c r="G5041" s="2467" t="s">
        <v>2792</v>
      </c>
      <c r="H5041" s="2275"/>
      <c r="I5041" s="2296"/>
      <c r="J5041" s="291"/>
      <c r="K5041" s="291"/>
      <c r="L5041" s="291"/>
      <c r="M5041" s="291"/>
      <c r="S5041" s="364"/>
      <c r="Z5041" s="609" t="s">
        <v>4384</v>
      </c>
      <c r="AA5041" s="609"/>
    </row>
    <row r="5042" spans="1:27" ht="18">
      <c r="A5042" s="2714"/>
      <c r="B5042" s="371">
        <v>110</v>
      </c>
      <c r="C5042" s="371" t="s">
        <v>2791</v>
      </c>
      <c r="D5042" s="2716">
        <f t="shared" si="551"/>
        <v>0</v>
      </c>
      <c r="E5042" s="2721">
        <v>1</v>
      </c>
      <c r="F5042" s="294"/>
      <c r="G5042" s="2467" t="s">
        <v>2792</v>
      </c>
      <c r="H5042" s="2275"/>
      <c r="I5042" s="2296"/>
      <c r="J5042" s="291"/>
      <c r="K5042" s="291"/>
      <c r="L5042" s="291"/>
      <c r="M5042" s="291"/>
      <c r="S5042" s="364"/>
      <c r="Z5042" s="609" t="s">
        <v>4384</v>
      </c>
      <c r="AA5042" s="609"/>
    </row>
    <row r="5043" spans="1:27" ht="18.75" thickBot="1">
      <c r="A5043" s="2714"/>
      <c r="B5043" s="371"/>
      <c r="C5043" s="371"/>
      <c r="D5043" s="2716">
        <f t="shared" si="551"/>
        <v>1</v>
      </c>
      <c r="E5043" s="2721" t="s">
        <v>2751</v>
      </c>
      <c r="F5043" s="294"/>
      <c r="G5043" s="2234" t="s">
        <v>2752</v>
      </c>
      <c r="H5043" s="2235">
        <f>SUMPRODUCT($E5032:$E5042,H5032:H5042)</f>
        <v>872175.39</v>
      </c>
      <c r="I5043" s="2236">
        <f>SUMPRODUCT($E5032:$E5042,I5032:I5042)</f>
        <v>7228566.7800000003</v>
      </c>
      <c r="J5043" s="291"/>
      <c r="K5043" s="291"/>
      <c r="L5043" s="291"/>
      <c r="M5043" s="291"/>
      <c r="S5043" s="364"/>
      <c r="Z5043" s="609" t="s">
        <v>4384</v>
      </c>
      <c r="AA5043" s="609"/>
    </row>
    <row r="5044" spans="1:27" ht="18">
      <c r="A5044" s="2714"/>
      <c r="B5044" s="371"/>
      <c r="C5044" s="371" t="s">
        <v>2755</v>
      </c>
      <c r="D5044" s="371"/>
      <c r="F5044" s="294"/>
      <c r="G5044" s="301"/>
      <c r="H5044" s="315"/>
      <c r="I5044" s="315"/>
      <c r="J5044" s="291"/>
      <c r="K5044" s="291"/>
      <c r="L5044" s="291"/>
      <c r="M5044" s="291"/>
      <c r="O5044" s="290"/>
      <c r="S5044" s="364"/>
      <c r="Z5044" s="609" t="s">
        <v>4384</v>
      </c>
      <c r="AA5044" s="609"/>
    </row>
    <row r="5045" spans="1:27" ht="18">
      <c r="A5045" s="2714">
        <v>7096</v>
      </c>
      <c r="B5045" s="371">
        <v>78.2</v>
      </c>
      <c r="C5045" s="2716" t="str">
        <f>VLOOKUP($A5045,Sheet_Items,2,0)</f>
        <v>支付其他与经营活动有关的现金</v>
      </c>
      <c r="D5045" s="371"/>
      <c r="E5045" s="2716" t="s">
        <v>2739</v>
      </c>
      <c r="F5045" s="294"/>
      <c r="G5045" s="536" t="str">
        <f>B5045&amp;" "&amp;C5045</f>
        <v>78.2 支付其他与经营活动有关的现金</v>
      </c>
      <c r="H5045" s="322"/>
      <c r="I5045" s="322"/>
      <c r="J5045" s="306" t="s">
        <v>4206</v>
      </c>
      <c r="K5045" s="341">
        <f>VLOOKUP($A5045,Sheet_Trialbal,6,0)</f>
        <v>5764273.5599999996</v>
      </c>
      <c r="L5045" s="342"/>
      <c r="M5045" s="306" t="s">
        <v>4207</v>
      </c>
      <c r="N5045" s="341">
        <f>VLOOKUP($A5045,Sheet_Trialbal,10,0)</f>
        <v>5868705.1299999999</v>
      </c>
      <c r="O5045" s="306"/>
      <c r="P5045" s="301"/>
      <c r="S5045" s="364"/>
      <c r="Z5045" s="609" t="s">
        <v>4386</v>
      </c>
      <c r="AA5045" s="609"/>
    </row>
    <row r="5046" spans="1:27" ht="24">
      <c r="A5046" s="2714" t="s">
        <v>1957</v>
      </c>
      <c r="B5046" s="371">
        <v>1</v>
      </c>
      <c r="C5046" s="371"/>
      <c r="D5046" s="2716" t="str">
        <f>VLOOKUP($A5046,Sheet_NoteList,2,0)</f>
        <v>支付的其他与经营活动有关的现金</v>
      </c>
      <c r="E5046" s="2716" t="s">
        <v>2742</v>
      </c>
      <c r="F5046" s="294"/>
      <c r="G5046" s="372" t="str">
        <f>"("&amp;B5046&amp;")"&amp;D5046</f>
        <v>(1)支付的其他与经营活动有关的现金</v>
      </c>
      <c r="H5046" s="1517" t="str">
        <f>$A5046</f>
        <v>7096a</v>
      </c>
      <c r="I5046" s="343" t="s">
        <v>2743</v>
      </c>
      <c r="J5046" s="301" t="s">
        <v>4256</v>
      </c>
      <c r="K5046" s="2210">
        <f>H5059</f>
        <v>5764273.5599999996</v>
      </c>
      <c r="L5046" s="1535">
        <f>IF($I5046="适用",IF(ROUND(K5045-K5046,2)&gt;=0,IF(K5045&lt;&gt;0,K5046/K5045,""),"#Logical!"),"#N/A")</f>
        <v>1</v>
      </c>
      <c r="M5046" s="301" t="s">
        <v>4257</v>
      </c>
      <c r="N5046" s="2210">
        <f>I5059</f>
        <v>5868705.1299999999</v>
      </c>
      <c r="O5046" s="1535">
        <f>IF($I5046="适用",IF(ROUND(N5045-N5046,2)&gt;=0,IF(N5045&lt;&gt;0,N5046/N5045,""),"#Logical!"),"#N/A")</f>
        <v>1</v>
      </c>
      <c r="P5046" s="301"/>
      <c r="Q5046" s="290" t="str">
        <f>IF($I5046="不适用","",IF(ROUND(SUM($H$5049:$I$5059),2)=0,"请输入",""))</f>
        <v/>
      </c>
      <c r="S5046" s="364"/>
      <c r="Z5046" s="609" t="s">
        <v>4386</v>
      </c>
      <c r="AA5046" s="609"/>
    </row>
    <row r="5047" spans="1:27" ht="0.75" customHeight="1" thickBot="1">
      <c r="A5047" s="2714"/>
      <c r="B5047" s="371"/>
      <c r="C5047" s="371"/>
      <c r="D5047" s="371"/>
      <c r="E5047" s="586"/>
      <c r="F5047" s="363"/>
      <c r="G5047" s="363" t="s">
        <v>4387</v>
      </c>
      <c r="H5047" s="294" t="s">
        <v>4223</v>
      </c>
      <c r="I5047" s="294" t="s">
        <v>4224</v>
      </c>
      <c r="J5047" s="291"/>
      <c r="K5047" s="291"/>
      <c r="L5047" s="291"/>
      <c r="M5047" s="291"/>
      <c r="S5047" s="364"/>
      <c r="Z5047" s="609" t="s">
        <v>4386</v>
      </c>
      <c r="AA5047" s="609"/>
    </row>
    <row r="5048" spans="1:27" ht="18">
      <c r="A5048" s="2714"/>
      <c r="B5048" s="371"/>
      <c r="C5048" s="371"/>
      <c r="D5048" s="371"/>
      <c r="E5048" s="586" t="s">
        <v>2749</v>
      </c>
      <c r="F5048" s="363"/>
      <c r="G5048" s="2453" t="s">
        <v>47</v>
      </c>
      <c r="H5048" s="2461" t="str">
        <f>$V$4</f>
        <v>2019年度</v>
      </c>
      <c r="I5048" s="2462" t="str">
        <f>$V$5</f>
        <v>2018年度</v>
      </c>
      <c r="J5048" s="355" t="s">
        <v>5342</v>
      </c>
      <c r="K5048" s="291"/>
      <c r="L5048" s="291"/>
      <c r="M5048" s="291"/>
      <c r="S5048" s="364"/>
      <c r="Z5048" s="609" t="s">
        <v>4386</v>
      </c>
      <c r="AA5048" s="609"/>
    </row>
    <row r="5049" spans="1:27" ht="24">
      <c r="A5049" s="2714"/>
      <c r="B5049" s="371">
        <v>101</v>
      </c>
      <c r="C5049" s="371" t="s">
        <v>2791</v>
      </c>
      <c r="D5049" s="2716">
        <f t="shared" ref="D5049:D5059" si="552">IF(OR(G5049="*",G5049="",G5049=0),0,COUNTIF($G$5049:$G$5059,G5049))</f>
        <v>1</v>
      </c>
      <c r="E5049" s="2721">
        <v>1</v>
      </c>
      <c r="F5049" s="294"/>
      <c r="G5049" s="2467" t="s">
        <v>7294</v>
      </c>
      <c r="H5049" s="2275">
        <v>5764273.5599999996</v>
      </c>
      <c r="I5049" s="2296">
        <v>5868705.1299999999</v>
      </c>
      <c r="J5049" s="291"/>
      <c r="K5049" s="291"/>
      <c r="L5049" s="291"/>
      <c r="M5049" s="291"/>
      <c r="S5049" s="364"/>
      <c r="Z5049" s="609" t="s">
        <v>4386</v>
      </c>
      <c r="AA5049" s="609"/>
    </row>
    <row r="5050" spans="1:27" ht="18">
      <c r="A5050" s="2714"/>
      <c r="B5050" s="371">
        <v>102</v>
      </c>
      <c r="C5050" s="371" t="s">
        <v>2791</v>
      </c>
      <c r="D5050" s="2716">
        <f t="shared" si="552"/>
        <v>0</v>
      </c>
      <c r="E5050" s="2721">
        <v>1</v>
      </c>
      <c r="F5050" s="294"/>
      <c r="G5050" s="2467" t="s">
        <v>2792</v>
      </c>
      <c r="H5050" s="2275"/>
      <c r="I5050" s="2296"/>
      <c r="J5050" s="291"/>
      <c r="K5050" s="291"/>
      <c r="L5050" s="291"/>
      <c r="M5050" s="291"/>
      <c r="S5050" s="364"/>
      <c r="Z5050" s="609" t="s">
        <v>4386</v>
      </c>
      <c r="AA5050" s="609"/>
    </row>
    <row r="5051" spans="1:27" ht="18">
      <c r="A5051" s="2714"/>
      <c r="B5051" s="371">
        <v>103</v>
      </c>
      <c r="C5051" s="371" t="s">
        <v>2791</v>
      </c>
      <c r="D5051" s="2716">
        <f t="shared" si="552"/>
        <v>0</v>
      </c>
      <c r="E5051" s="2721">
        <v>1</v>
      </c>
      <c r="F5051" s="294"/>
      <c r="G5051" s="2467" t="s">
        <v>2792</v>
      </c>
      <c r="H5051" s="2275"/>
      <c r="I5051" s="2296"/>
      <c r="J5051" s="291"/>
      <c r="K5051" s="291"/>
      <c r="L5051" s="291"/>
      <c r="M5051" s="291"/>
      <c r="S5051" s="364"/>
      <c r="Z5051" s="609" t="s">
        <v>4386</v>
      </c>
      <c r="AA5051" s="609"/>
    </row>
    <row r="5052" spans="1:27" ht="18">
      <c r="A5052" s="2714"/>
      <c r="B5052" s="371">
        <v>104</v>
      </c>
      <c r="C5052" s="371" t="s">
        <v>2791</v>
      </c>
      <c r="D5052" s="2716">
        <f t="shared" si="552"/>
        <v>0</v>
      </c>
      <c r="E5052" s="2721">
        <v>1</v>
      </c>
      <c r="F5052" s="294"/>
      <c r="G5052" s="2467" t="s">
        <v>2792</v>
      </c>
      <c r="H5052" s="2275"/>
      <c r="I5052" s="2296"/>
      <c r="J5052" s="291"/>
      <c r="K5052" s="291"/>
      <c r="L5052" s="291"/>
      <c r="M5052" s="291"/>
      <c r="S5052" s="364"/>
      <c r="Z5052" s="609" t="s">
        <v>4386</v>
      </c>
      <c r="AA5052" s="609"/>
    </row>
    <row r="5053" spans="1:27" ht="18">
      <c r="A5053" s="2714"/>
      <c r="B5053" s="371">
        <v>105</v>
      </c>
      <c r="C5053" s="371" t="s">
        <v>2791</v>
      </c>
      <c r="D5053" s="2716">
        <f t="shared" si="552"/>
        <v>0</v>
      </c>
      <c r="E5053" s="2721">
        <v>1</v>
      </c>
      <c r="F5053" s="294"/>
      <c r="G5053" s="2467" t="s">
        <v>2792</v>
      </c>
      <c r="H5053" s="2275"/>
      <c r="I5053" s="2296"/>
      <c r="J5053" s="291"/>
      <c r="K5053" s="291"/>
      <c r="L5053" s="291"/>
      <c r="M5053" s="291"/>
      <c r="S5053" s="364"/>
      <c r="Z5053" s="609" t="s">
        <v>4386</v>
      </c>
      <c r="AA5053" s="609"/>
    </row>
    <row r="5054" spans="1:27" ht="18">
      <c r="A5054" s="2714"/>
      <c r="B5054" s="371">
        <v>106</v>
      </c>
      <c r="C5054" s="371" t="s">
        <v>2791</v>
      </c>
      <c r="D5054" s="2716">
        <f t="shared" si="552"/>
        <v>0</v>
      </c>
      <c r="E5054" s="2721">
        <v>1</v>
      </c>
      <c r="F5054" s="294"/>
      <c r="G5054" s="2467" t="s">
        <v>2792</v>
      </c>
      <c r="H5054" s="2275"/>
      <c r="I5054" s="2296"/>
      <c r="J5054" s="291"/>
      <c r="K5054" s="291"/>
      <c r="L5054" s="291"/>
      <c r="M5054" s="291"/>
      <c r="S5054" s="364"/>
      <c r="Z5054" s="609" t="s">
        <v>4386</v>
      </c>
      <c r="AA5054" s="609"/>
    </row>
    <row r="5055" spans="1:27" ht="18">
      <c r="A5055" s="2714"/>
      <c r="B5055" s="371">
        <v>107</v>
      </c>
      <c r="C5055" s="371" t="s">
        <v>2791</v>
      </c>
      <c r="D5055" s="2716">
        <f t="shared" si="552"/>
        <v>0</v>
      </c>
      <c r="E5055" s="2721">
        <v>1</v>
      </c>
      <c r="F5055" s="294"/>
      <c r="G5055" s="2467" t="s">
        <v>2792</v>
      </c>
      <c r="H5055" s="2275"/>
      <c r="I5055" s="2296"/>
      <c r="J5055" s="291"/>
      <c r="K5055" s="291"/>
      <c r="L5055" s="291"/>
      <c r="M5055" s="291"/>
      <c r="S5055" s="364"/>
      <c r="Z5055" s="609" t="s">
        <v>4386</v>
      </c>
      <c r="AA5055" s="609"/>
    </row>
    <row r="5056" spans="1:27" ht="18">
      <c r="A5056" s="2714"/>
      <c r="B5056" s="371">
        <v>108</v>
      </c>
      <c r="C5056" s="371" t="s">
        <v>2791</v>
      </c>
      <c r="D5056" s="2716">
        <f t="shared" si="552"/>
        <v>0</v>
      </c>
      <c r="E5056" s="2721">
        <v>1</v>
      </c>
      <c r="F5056" s="294"/>
      <c r="G5056" s="2467" t="s">
        <v>2792</v>
      </c>
      <c r="H5056" s="2275"/>
      <c r="I5056" s="2296"/>
      <c r="J5056" s="291"/>
      <c r="K5056" s="291"/>
      <c r="L5056" s="291"/>
      <c r="M5056" s="291"/>
      <c r="S5056" s="364"/>
      <c r="Z5056" s="609" t="s">
        <v>4386</v>
      </c>
      <c r="AA5056" s="609"/>
    </row>
    <row r="5057" spans="1:27" ht="18">
      <c r="A5057" s="2714"/>
      <c r="B5057" s="371">
        <v>109</v>
      </c>
      <c r="C5057" s="371" t="s">
        <v>2791</v>
      </c>
      <c r="D5057" s="2716">
        <f t="shared" si="552"/>
        <v>0</v>
      </c>
      <c r="E5057" s="2721">
        <v>1</v>
      </c>
      <c r="F5057" s="294"/>
      <c r="G5057" s="2467" t="s">
        <v>2792</v>
      </c>
      <c r="H5057" s="2275"/>
      <c r="I5057" s="2296"/>
      <c r="J5057" s="291"/>
      <c r="K5057" s="291"/>
      <c r="L5057" s="291"/>
      <c r="M5057" s="291"/>
      <c r="S5057" s="364"/>
      <c r="Z5057" s="609" t="s">
        <v>4386</v>
      </c>
      <c r="AA5057" s="609"/>
    </row>
    <row r="5058" spans="1:27" ht="18">
      <c r="A5058" s="2714"/>
      <c r="B5058" s="371">
        <v>110</v>
      </c>
      <c r="C5058" s="371" t="s">
        <v>2791</v>
      </c>
      <c r="D5058" s="2716">
        <f t="shared" si="552"/>
        <v>0</v>
      </c>
      <c r="E5058" s="2721">
        <v>1</v>
      </c>
      <c r="F5058" s="294"/>
      <c r="G5058" s="2467" t="s">
        <v>2792</v>
      </c>
      <c r="H5058" s="2275"/>
      <c r="I5058" s="2296"/>
      <c r="J5058" s="291"/>
      <c r="K5058" s="291"/>
      <c r="L5058" s="291"/>
      <c r="M5058" s="291"/>
      <c r="S5058" s="364"/>
      <c r="Z5058" s="609" t="s">
        <v>4386</v>
      </c>
      <c r="AA5058" s="609"/>
    </row>
    <row r="5059" spans="1:27" ht="18.75" thickBot="1">
      <c r="A5059" s="2714"/>
      <c r="B5059" s="371"/>
      <c r="C5059" s="371"/>
      <c r="D5059" s="2716">
        <f t="shared" si="552"/>
        <v>1</v>
      </c>
      <c r="E5059" s="2721" t="s">
        <v>2751</v>
      </c>
      <c r="F5059" s="294"/>
      <c r="G5059" s="2234" t="s">
        <v>2752</v>
      </c>
      <c r="H5059" s="2235">
        <f>SUMPRODUCT($E5048:$E5058,H5048:H5058)</f>
        <v>5764273.5599999996</v>
      </c>
      <c r="I5059" s="2236">
        <f>SUMPRODUCT($E5048:$E5058,I5048:I5058)</f>
        <v>5868705.1299999999</v>
      </c>
      <c r="J5059" s="291"/>
      <c r="K5059" s="291"/>
      <c r="L5059" s="291"/>
      <c r="M5059" s="291"/>
      <c r="S5059" s="364"/>
      <c r="Z5059" s="609" t="s">
        <v>4386</v>
      </c>
      <c r="AA5059" s="609"/>
    </row>
    <row r="5060" spans="1:27" ht="18">
      <c r="A5060" s="2714"/>
      <c r="B5060" s="371"/>
      <c r="C5060" s="371" t="s">
        <v>2755</v>
      </c>
      <c r="D5060" s="371"/>
      <c r="F5060" s="294"/>
      <c r="G5060" s="301"/>
      <c r="H5060" s="315"/>
      <c r="I5060" s="315"/>
      <c r="J5060" s="291"/>
      <c r="K5060" s="291"/>
      <c r="L5060" s="291"/>
      <c r="M5060" s="291"/>
      <c r="S5060" s="364"/>
      <c r="Z5060" s="609" t="s">
        <v>4386</v>
      </c>
      <c r="AA5060" s="609"/>
    </row>
    <row r="5061" spans="1:27" ht="18">
      <c r="A5061" s="2714">
        <v>7146</v>
      </c>
      <c r="B5061" s="371">
        <v>78.3</v>
      </c>
      <c r="C5061" s="2716" t="str">
        <f>VLOOKUP($A5061,Sheet_Items,2,0)</f>
        <v>收到其他与投资活动有关的现金</v>
      </c>
      <c r="D5061" s="371"/>
      <c r="E5061" s="2716" t="s">
        <v>2739</v>
      </c>
      <c r="F5061" s="294"/>
      <c r="G5061" s="536" t="str">
        <f>B5061&amp;" "&amp;C5061</f>
        <v>78.3 收到其他与投资活动有关的现金</v>
      </c>
      <c r="H5061" s="322"/>
      <c r="I5061" s="322"/>
      <c r="J5061" s="306" t="s">
        <v>4206</v>
      </c>
      <c r="K5061" s="341">
        <f>VLOOKUP($A5061,Sheet_Trialbal,6,0)</f>
        <v>10464100</v>
      </c>
      <c r="L5061" s="342"/>
      <c r="M5061" s="306" t="s">
        <v>4207</v>
      </c>
      <c r="N5061" s="341">
        <f>VLOOKUP($A5061,Sheet_Trialbal,10,0)</f>
        <v>0</v>
      </c>
      <c r="O5061" s="306"/>
      <c r="P5061" s="301"/>
      <c r="S5061" s="364"/>
      <c r="Z5061" s="609" t="s">
        <v>4388</v>
      </c>
      <c r="AA5061" s="609"/>
    </row>
    <row r="5062" spans="1:27" ht="24">
      <c r="A5062" s="2714" t="s">
        <v>1971</v>
      </c>
      <c r="B5062" s="371">
        <v>1</v>
      </c>
      <c r="C5062" s="371"/>
      <c r="D5062" s="2716" t="str">
        <f>VLOOKUP($A5062,Sheet_NoteList,2,0)</f>
        <v>收到的其他与投资活动有关的现金</v>
      </c>
      <c r="E5062" s="2716" t="s">
        <v>2742</v>
      </c>
      <c r="F5062" s="294"/>
      <c r="G5062" s="372" t="str">
        <f>"("&amp;B5062&amp;")"&amp;D5062</f>
        <v>(1)收到的其他与投资活动有关的现金</v>
      </c>
      <c r="H5062" s="1517" t="str">
        <f>$A5062</f>
        <v>7146a</v>
      </c>
      <c r="I5062" s="343" t="s">
        <v>2743</v>
      </c>
      <c r="J5062" s="301" t="s">
        <v>4256</v>
      </c>
      <c r="K5062" s="2210">
        <f>H5070</f>
        <v>10464100</v>
      </c>
      <c r="L5062" s="1535">
        <f>IF($I5062="适用",IF(ROUND(K5061-K5062,2)&gt;=0,IF(K5061&lt;&gt;0,K5062/K5061,""),"#Logical!"),"#N/A")</f>
        <v>1</v>
      </c>
      <c r="M5062" s="301" t="s">
        <v>4257</v>
      </c>
      <c r="N5062" s="2210">
        <f>I5070</f>
        <v>0</v>
      </c>
      <c r="O5062" s="1535" t="str">
        <f>IF($I5062="适用",IF(ROUND(N5061-N5062,2)&gt;=0,IF(N5061&lt;&gt;0,N5062/N5061,""),"#Logical!"),"#N/A")</f>
        <v/>
      </c>
      <c r="P5062" s="301"/>
      <c r="Q5062" s="290" t="str">
        <f>IF($I5062="不适用","",IF(ROUND(SUM($H$5065:$I$5070),2)=0,"请输入",""))</f>
        <v/>
      </c>
      <c r="S5062" s="364"/>
      <c r="Z5062" s="609" t="s">
        <v>4388</v>
      </c>
      <c r="AA5062" s="609"/>
    </row>
    <row r="5063" spans="1:27" ht="0.75" customHeight="1" thickBot="1">
      <c r="A5063" s="2714"/>
      <c r="B5063" s="371"/>
      <c r="C5063" s="371"/>
      <c r="D5063" s="371"/>
      <c r="E5063" s="586"/>
      <c r="F5063" s="363"/>
      <c r="G5063" s="363" t="s">
        <v>4389</v>
      </c>
      <c r="H5063" s="294" t="s">
        <v>4223</v>
      </c>
      <c r="I5063" s="294" t="s">
        <v>4224</v>
      </c>
      <c r="J5063" s="291"/>
      <c r="K5063" s="291"/>
      <c r="L5063" s="291"/>
      <c r="M5063" s="291"/>
      <c r="S5063" s="364"/>
      <c r="Z5063" s="609" t="s">
        <v>4388</v>
      </c>
      <c r="AA5063" s="609"/>
    </row>
    <row r="5064" spans="1:27" ht="18">
      <c r="A5064" s="2714"/>
      <c r="B5064" s="371"/>
      <c r="C5064" s="371"/>
      <c r="D5064" s="371"/>
      <c r="E5064" s="586" t="s">
        <v>2749</v>
      </c>
      <c r="F5064" s="363"/>
      <c r="G5064" s="2453" t="s">
        <v>47</v>
      </c>
      <c r="H5064" s="2461" t="str">
        <f>$V$4</f>
        <v>2019年度</v>
      </c>
      <c r="I5064" s="2462" t="str">
        <f>$V$5</f>
        <v>2018年度</v>
      </c>
      <c r="J5064" s="355" t="s">
        <v>5342</v>
      </c>
      <c r="K5064" s="291"/>
      <c r="L5064" s="291"/>
      <c r="M5064" s="291"/>
      <c r="S5064" s="364"/>
      <c r="Z5064" s="609" t="s">
        <v>4388</v>
      </c>
      <c r="AA5064" s="609"/>
    </row>
    <row r="5065" spans="1:27" ht="18">
      <c r="A5065" s="2714"/>
      <c r="B5065" s="371">
        <v>101</v>
      </c>
      <c r="C5065" s="371" t="s">
        <v>2791</v>
      </c>
      <c r="D5065" s="2716">
        <f t="shared" ref="D5065:D5070" si="553">IF(OR(G5065="*",G5065="",G5065=0),0,COUNTIF($G$5065:$G$5070,G5065))</f>
        <v>1</v>
      </c>
      <c r="E5065" s="2721">
        <v>1</v>
      </c>
      <c r="F5065" s="294"/>
      <c r="G5065" s="2467" t="s">
        <v>7328</v>
      </c>
      <c r="H5065" s="2275">
        <v>10464100</v>
      </c>
      <c r="I5065" s="2296"/>
      <c r="J5065" s="291"/>
      <c r="K5065" s="291"/>
      <c r="L5065" s="291"/>
      <c r="M5065" s="291"/>
      <c r="S5065" s="364"/>
      <c r="Z5065" s="609" t="s">
        <v>4388</v>
      </c>
      <c r="AA5065" s="609"/>
    </row>
    <row r="5066" spans="1:27" ht="18">
      <c r="A5066" s="2714"/>
      <c r="B5066" s="371">
        <v>102</v>
      </c>
      <c r="C5066" s="371" t="s">
        <v>2791</v>
      </c>
      <c r="D5066" s="2716">
        <f t="shared" si="553"/>
        <v>0</v>
      </c>
      <c r="E5066" s="2721">
        <v>1</v>
      </c>
      <c r="F5066" s="294"/>
      <c r="G5066" s="2467" t="s">
        <v>2792</v>
      </c>
      <c r="H5066" s="2275"/>
      <c r="I5066" s="2296"/>
      <c r="J5066" s="291"/>
      <c r="K5066" s="291"/>
      <c r="L5066" s="291"/>
      <c r="M5066" s="291"/>
      <c r="S5066" s="364"/>
      <c r="Z5066" s="609" t="s">
        <v>4388</v>
      </c>
      <c r="AA5066" s="609"/>
    </row>
    <row r="5067" spans="1:27" ht="18">
      <c r="A5067" s="2714"/>
      <c r="B5067" s="371">
        <v>103</v>
      </c>
      <c r="C5067" s="371" t="s">
        <v>2791</v>
      </c>
      <c r="D5067" s="2716">
        <f t="shared" si="553"/>
        <v>0</v>
      </c>
      <c r="E5067" s="2721">
        <v>1</v>
      </c>
      <c r="F5067" s="294"/>
      <c r="G5067" s="2467" t="s">
        <v>2792</v>
      </c>
      <c r="H5067" s="2275"/>
      <c r="I5067" s="2296"/>
      <c r="J5067" s="291"/>
      <c r="K5067" s="291"/>
      <c r="L5067" s="291"/>
      <c r="M5067" s="291"/>
      <c r="S5067" s="364"/>
      <c r="Z5067" s="609" t="s">
        <v>4388</v>
      </c>
      <c r="AA5067" s="609"/>
    </row>
    <row r="5068" spans="1:27" ht="18">
      <c r="A5068" s="2714"/>
      <c r="B5068" s="371">
        <v>104</v>
      </c>
      <c r="C5068" s="371" t="s">
        <v>2791</v>
      </c>
      <c r="D5068" s="2716">
        <f t="shared" si="553"/>
        <v>0</v>
      </c>
      <c r="E5068" s="2721">
        <v>1</v>
      </c>
      <c r="F5068" s="294"/>
      <c r="G5068" s="2467" t="s">
        <v>2792</v>
      </c>
      <c r="H5068" s="2275"/>
      <c r="I5068" s="2296"/>
      <c r="J5068" s="291"/>
      <c r="K5068" s="291"/>
      <c r="L5068" s="291"/>
      <c r="M5068" s="291"/>
      <c r="S5068" s="364"/>
      <c r="Z5068" s="609" t="s">
        <v>4388</v>
      </c>
      <c r="AA5068" s="609"/>
    </row>
    <row r="5069" spans="1:27" ht="18">
      <c r="A5069" s="2714"/>
      <c r="B5069" s="371">
        <v>105</v>
      </c>
      <c r="C5069" s="371" t="s">
        <v>2791</v>
      </c>
      <c r="D5069" s="2716">
        <f t="shared" si="553"/>
        <v>0</v>
      </c>
      <c r="E5069" s="2721">
        <v>1</v>
      </c>
      <c r="F5069" s="294"/>
      <c r="G5069" s="2467" t="s">
        <v>2792</v>
      </c>
      <c r="H5069" s="2275"/>
      <c r="I5069" s="2296"/>
      <c r="J5069" s="291"/>
      <c r="K5069" s="291"/>
      <c r="L5069" s="291"/>
      <c r="M5069" s="291"/>
      <c r="S5069" s="364"/>
      <c r="Z5069" s="609" t="s">
        <v>4388</v>
      </c>
      <c r="AA5069" s="609"/>
    </row>
    <row r="5070" spans="1:27" ht="18.75" thickBot="1">
      <c r="A5070" s="2714"/>
      <c r="B5070" s="371"/>
      <c r="C5070" s="371"/>
      <c r="D5070" s="2716">
        <f t="shared" si="553"/>
        <v>1</v>
      </c>
      <c r="E5070" s="2721" t="s">
        <v>2751</v>
      </c>
      <c r="F5070" s="294"/>
      <c r="G5070" s="2234" t="s">
        <v>2752</v>
      </c>
      <c r="H5070" s="2235">
        <f>SUMPRODUCT($E5064:$E5069,H5064:H5069)</f>
        <v>10464100</v>
      </c>
      <c r="I5070" s="2236">
        <f>SUMPRODUCT($E5064:$E5069,I5064:I5069)</f>
        <v>0</v>
      </c>
      <c r="J5070" s="291"/>
      <c r="K5070" s="291"/>
      <c r="L5070" s="291"/>
      <c r="M5070" s="291"/>
      <c r="S5070" s="364"/>
      <c r="Z5070" s="609" t="s">
        <v>4388</v>
      </c>
      <c r="AA5070" s="609"/>
    </row>
    <row r="5071" spans="1:27" ht="18">
      <c r="A5071" s="2714"/>
      <c r="B5071" s="371"/>
      <c r="C5071" s="371" t="s">
        <v>2755</v>
      </c>
      <c r="D5071" s="371"/>
      <c r="F5071" s="294"/>
      <c r="G5071" s="301"/>
      <c r="H5071" s="315"/>
      <c r="I5071" s="315"/>
      <c r="J5071" s="291"/>
      <c r="K5071" s="291"/>
      <c r="L5071" s="291"/>
      <c r="M5071" s="291"/>
      <c r="S5071" s="364"/>
      <c r="Z5071" s="609" t="s">
        <v>4388</v>
      </c>
      <c r="AA5071" s="609"/>
    </row>
    <row r="5072" spans="1:27" ht="18">
      <c r="A5072" s="2714">
        <v>7196</v>
      </c>
      <c r="B5072" s="371">
        <v>78.400000000000006</v>
      </c>
      <c r="C5072" s="2716" t="str">
        <f>VLOOKUP($A5072,Sheet_Items,2,0)</f>
        <v>支付其他与投资活动有关的现金</v>
      </c>
      <c r="D5072" s="371"/>
      <c r="E5072" s="2716" t="s">
        <v>2739</v>
      </c>
      <c r="F5072" s="294"/>
      <c r="G5072" s="536" t="str">
        <f>B5072&amp;" "&amp;C5072</f>
        <v>78.4 支付其他与投资活动有关的现金</v>
      </c>
      <c r="H5072" s="322"/>
      <c r="I5072" s="322"/>
      <c r="J5072" s="306" t="s">
        <v>4206</v>
      </c>
      <c r="K5072" s="341">
        <f>VLOOKUP($A5072,Sheet_Trialbal,6,0)</f>
        <v>2900000</v>
      </c>
      <c r="L5072" s="342"/>
      <c r="M5072" s="306" t="s">
        <v>4207</v>
      </c>
      <c r="N5072" s="341">
        <f>VLOOKUP($A5072,Sheet_Trialbal,10,0)</f>
        <v>0</v>
      </c>
      <c r="O5072" s="306"/>
      <c r="P5072" s="301"/>
      <c r="S5072" s="364"/>
      <c r="Z5072" s="609" t="s">
        <v>4390</v>
      </c>
      <c r="AA5072" s="609"/>
    </row>
    <row r="5073" spans="1:27" ht="24">
      <c r="A5073" s="2714" t="s">
        <v>1978</v>
      </c>
      <c r="B5073" s="371">
        <v>1</v>
      </c>
      <c r="C5073" s="371"/>
      <c r="D5073" s="2716" t="str">
        <f>VLOOKUP($A5073,Sheet_NoteList,2,0)</f>
        <v>支付的其他与投资活动有关的现金</v>
      </c>
      <c r="E5073" s="2716" t="s">
        <v>2742</v>
      </c>
      <c r="F5073" s="294"/>
      <c r="G5073" s="372" t="str">
        <f>"("&amp;B5073&amp;")"&amp;D5073</f>
        <v>(1)支付的其他与投资活动有关的现金</v>
      </c>
      <c r="H5073" s="1517" t="str">
        <f>$A5073</f>
        <v>7196a</v>
      </c>
      <c r="I5073" s="343" t="s">
        <v>2743</v>
      </c>
      <c r="J5073" s="301" t="s">
        <v>4256</v>
      </c>
      <c r="K5073" s="2210">
        <f>H5081</f>
        <v>2900000</v>
      </c>
      <c r="L5073" s="1535">
        <f>IF($I5073="适用",IF(ROUND(K5072-K5073,2)&gt;=0,IF(K5072&lt;&gt;0,K5073/K5072,""),"#Logical!"),"#N/A")</f>
        <v>1</v>
      </c>
      <c r="M5073" s="301" t="s">
        <v>4257</v>
      </c>
      <c r="N5073" s="2210">
        <f>I5081</f>
        <v>0</v>
      </c>
      <c r="O5073" s="1535" t="str">
        <f>IF($I5073="适用",IF(ROUND(N5072-N5073,2)&gt;=0,IF(N5072&lt;&gt;0,N5073/N5072,""),"#Logical!"),"#N/A")</f>
        <v/>
      </c>
      <c r="P5073" s="301"/>
      <c r="Q5073" s="290" t="str">
        <f>IF($I5073="不适用","",IF(ROUND(SUM($H$5076:$I$5081),2)=0,"请输入",""))</f>
        <v/>
      </c>
      <c r="S5073" s="364"/>
      <c r="Z5073" s="609" t="s">
        <v>4390</v>
      </c>
      <c r="AA5073" s="609"/>
    </row>
    <row r="5074" spans="1:27" ht="0.75" customHeight="1" thickBot="1">
      <c r="A5074" s="2714"/>
      <c r="B5074" s="371"/>
      <c r="C5074" s="371"/>
      <c r="D5074" s="371"/>
      <c r="E5074" s="586"/>
      <c r="F5074" s="363"/>
      <c r="G5074" s="363" t="s">
        <v>4391</v>
      </c>
      <c r="H5074" s="294" t="s">
        <v>4223</v>
      </c>
      <c r="I5074" s="294" t="s">
        <v>4224</v>
      </c>
      <c r="J5074" s="291"/>
      <c r="K5074" s="291"/>
      <c r="L5074" s="291"/>
      <c r="M5074" s="291"/>
      <c r="S5074" s="364"/>
      <c r="Z5074" s="609" t="s">
        <v>4390</v>
      </c>
      <c r="AA5074" s="609"/>
    </row>
    <row r="5075" spans="1:27" ht="18">
      <c r="A5075" s="2714"/>
      <c r="B5075" s="371"/>
      <c r="C5075" s="371"/>
      <c r="D5075" s="371"/>
      <c r="E5075" s="586" t="s">
        <v>2749</v>
      </c>
      <c r="F5075" s="363"/>
      <c r="G5075" s="2453" t="s">
        <v>47</v>
      </c>
      <c r="H5075" s="2461" t="str">
        <f>$V$4</f>
        <v>2019年度</v>
      </c>
      <c r="I5075" s="2462" t="str">
        <f>$V$5</f>
        <v>2018年度</v>
      </c>
      <c r="J5075" s="355" t="s">
        <v>5342</v>
      </c>
      <c r="K5075" s="291"/>
      <c r="L5075" s="291"/>
      <c r="M5075" s="291"/>
      <c r="S5075" s="364"/>
      <c r="Z5075" s="609" t="s">
        <v>4390</v>
      </c>
      <c r="AA5075" s="609"/>
    </row>
    <row r="5076" spans="1:27" ht="18">
      <c r="A5076" s="2714"/>
      <c r="B5076" s="371">
        <v>101</v>
      </c>
      <c r="C5076" s="371" t="s">
        <v>2791</v>
      </c>
      <c r="D5076" s="2716">
        <f t="shared" ref="D5076:D5081" si="554">IF(OR(G5076="*",G5076="",G5076=0),0,COUNTIF($G$5076:$G$5081,G5076))</f>
        <v>1</v>
      </c>
      <c r="E5076" s="2721">
        <v>1</v>
      </c>
      <c r="F5076" s="294"/>
      <c r="G5076" s="2467" t="s">
        <v>7302</v>
      </c>
      <c r="H5076" s="2275">
        <v>2900000</v>
      </c>
      <c r="I5076" s="2296"/>
      <c r="J5076" s="291"/>
      <c r="K5076" s="291"/>
      <c r="L5076" s="291"/>
      <c r="M5076" s="291"/>
      <c r="S5076" s="364"/>
      <c r="Z5076" s="609" t="s">
        <v>4390</v>
      </c>
      <c r="AA5076" s="609"/>
    </row>
    <row r="5077" spans="1:27" ht="18">
      <c r="A5077" s="2714"/>
      <c r="B5077" s="371">
        <v>102</v>
      </c>
      <c r="C5077" s="371" t="s">
        <v>2791</v>
      </c>
      <c r="D5077" s="2716">
        <f t="shared" si="554"/>
        <v>0</v>
      </c>
      <c r="E5077" s="2721">
        <v>1</v>
      </c>
      <c r="F5077" s="294"/>
      <c r="G5077" s="2467" t="s">
        <v>2792</v>
      </c>
      <c r="H5077" s="2275"/>
      <c r="I5077" s="2296"/>
      <c r="J5077" s="291"/>
      <c r="K5077" s="291"/>
      <c r="L5077" s="291"/>
      <c r="M5077" s="291"/>
      <c r="S5077" s="364"/>
      <c r="Z5077" s="609" t="s">
        <v>4390</v>
      </c>
      <c r="AA5077" s="609"/>
    </row>
    <row r="5078" spans="1:27" ht="18">
      <c r="A5078" s="2714"/>
      <c r="B5078" s="371">
        <v>103</v>
      </c>
      <c r="C5078" s="371" t="s">
        <v>2791</v>
      </c>
      <c r="D5078" s="2716">
        <f t="shared" si="554"/>
        <v>0</v>
      </c>
      <c r="E5078" s="2721">
        <v>1</v>
      </c>
      <c r="F5078" s="294"/>
      <c r="G5078" s="2467" t="s">
        <v>2792</v>
      </c>
      <c r="H5078" s="2275"/>
      <c r="I5078" s="2296"/>
      <c r="J5078" s="291"/>
      <c r="K5078" s="291"/>
      <c r="L5078" s="291"/>
      <c r="M5078" s="291"/>
      <c r="S5078" s="364"/>
      <c r="Z5078" s="609" t="s">
        <v>4390</v>
      </c>
      <c r="AA5078" s="609"/>
    </row>
    <row r="5079" spans="1:27" ht="18">
      <c r="A5079" s="2714"/>
      <c r="B5079" s="371">
        <v>104</v>
      </c>
      <c r="C5079" s="371" t="s">
        <v>2791</v>
      </c>
      <c r="D5079" s="2716">
        <f t="shared" si="554"/>
        <v>0</v>
      </c>
      <c r="E5079" s="2721">
        <v>1</v>
      </c>
      <c r="F5079" s="294"/>
      <c r="G5079" s="2467" t="s">
        <v>2792</v>
      </c>
      <c r="H5079" s="2275"/>
      <c r="I5079" s="2296"/>
      <c r="J5079" s="291"/>
      <c r="K5079" s="291"/>
      <c r="L5079" s="291"/>
      <c r="M5079" s="291"/>
      <c r="S5079" s="364"/>
      <c r="Z5079" s="609" t="s">
        <v>4390</v>
      </c>
      <c r="AA5079" s="609"/>
    </row>
    <row r="5080" spans="1:27" ht="18">
      <c r="A5080" s="2714"/>
      <c r="B5080" s="371">
        <v>105</v>
      </c>
      <c r="C5080" s="371" t="s">
        <v>2791</v>
      </c>
      <c r="D5080" s="2716">
        <f t="shared" si="554"/>
        <v>0</v>
      </c>
      <c r="E5080" s="2721">
        <v>1</v>
      </c>
      <c r="F5080" s="294"/>
      <c r="G5080" s="2467" t="s">
        <v>2792</v>
      </c>
      <c r="H5080" s="2275"/>
      <c r="I5080" s="2296"/>
      <c r="J5080" s="291"/>
      <c r="K5080" s="291"/>
      <c r="L5080" s="291"/>
      <c r="M5080" s="291"/>
      <c r="S5080" s="364"/>
      <c r="Z5080" s="609" t="s">
        <v>4390</v>
      </c>
      <c r="AA5080" s="609"/>
    </row>
    <row r="5081" spans="1:27" ht="18.75" thickBot="1">
      <c r="A5081" s="2714"/>
      <c r="B5081" s="371"/>
      <c r="C5081" s="371"/>
      <c r="D5081" s="2716">
        <f t="shared" si="554"/>
        <v>1</v>
      </c>
      <c r="E5081" s="2721" t="s">
        <v>2751</v>
      </c>
      <c r="F5081" s="294"/>
      <c r="G5081" s="2234" t="s">
        <v>2752</v>
      </c>
      <c r="H5081" s="2235">
        <f>SUMPRODUCT($E5075:$E5080,H5075:H5080)</f>
        <v>2900000</v>
      </c>
      <c r="I5081" s="2236">
        <f>SUMPRODUCT($E5075:$E5080,I5075:I5080)</f>
        <v>0</v>
      </c>
      <c r="J5081" s="291"/>
      <c r="K5081" s="291"/>
      <c r="L5081" s="291"/>
      <c r="M5081" s="291"/>
      <c r="S5081" s="364"/>
      <c r="Z5081" s="609" t="s">
        <v>4390</v>
      </c>
      <c r="AA5081" s="609"/>
    </row>
    <row r="5082" spans="1:27" ht="18">
      <c r="A5082" s="2714"/>
      <c r="B5082" s="371"/>
      <c r="C5082" s="371" t="s">
        <v>2755</v>
      </c>
      <c r="D5082" s="371"/>
      <c r="F5082" s="294"/>
      <c r="G5082" s="301"/>
      <c r="H5082" s="315"/>
      <c r="I5082" s="315"/>
      <c r="J5082" s="291"/>
      <c r="K5082" s="291"/>
      <c r="L5082" s="291"/>
      <c r="M5082" s="291"/>
      <c r="S5082" s="364"/>
      <c r="Z5082" s="609" t="s">
        <v>4390</v>
      </c>
      <c r="AA5082" s="609"/>
    </row>
    <row r="5083" spans="1:27" ht="18">
      <c r="A5083" s="2714">
        <v>7246</v>
      </c>
      <c r="B5083" s="371">
        <v>78.5</v>
      </c>
      <c r="C5083" s="2716" t="str">
        <f>VLOOKUP($A5083,Sheet_Items,2,0)</f>
        <v>收到其他与筹资活动有关的现金</v>
      </c>
      <c r="D5083" s="371"/>
      <c r="E5083" s="2716" t="s">
        <v>2739</v>
      </c>
      <c r="F5083" s="294"/>
      <c r="G5083" s="536" t="str">
        <f>B5083&amp;" "&amp;C5083</f>
        <v>78.5 收到其他与筹资活动有关的现金</v>
      </c>
      <c r="H5083" s="322"/>
      <c r="I5083" s="322"/>
      <c r="J5083" s="306" t="s">
        <v>4206</v>
      </c>
      <c r="K5083" s="341">
        <f>VLOOKUP($A5083,Sheet_Trialbal,6,0)</f>
        <v>0</v>
      </c>
      <c r="L5083" s="342"/>
      <c r="M5083" s="306" t="s">
        <v>4207</v>
      </c>
      <c r="N5083" s="341">
        <f>VLOOKUP($A5083,Sheet_Trialbal,10,0)</f>
        <v>0</v>
      </c>
      <c r="O5083" s="306"/>
      <c r="P5083" s="301"/>
      <c r="S5083" s="364"/>
      <c r="Z5083" s="609" t="s">
        <v>4392</v>
      </c>
      <c r="AA5083" s="609"/>
    </row>
    <row r="5084" spans="1:27" ht="24">
      <c r="A5084" s="2714" t="s">
        <v>1983</v>
      </c>
      <c r="B5084" s="371">
        <v>1</v>
      </c>
      <c r="C5084" s="371"/>
      <c r="D5084" s="2716" t="str">
        <f>VLOOKUP($A5084,Sheet_NoteList,2,0)</f>
        <v>收到的其他与筹资活动有关的现金</v>
      </c>
      <c r="E5084" s="2716" t="s">
        <v>2742</v>
      </c>
      <c r="F5084" s="294"/>
      <c r="G5084" s="372" t="str">
        <f>"("&amp;B5084&amp;")"&amp;D5084</f>
        <v>(1)收到的其他与筹资活动有关的现金</v>
      </c>
      <c r="H5084" s="1517" t="str">
        <f>$A5084</f>
        <v>7246a</v>
      </c>
      <c r="I5084" s="343" t="s">
        <v>2743</v>
      </c>
      <c r="J5084" s="301" t="s">
        <v>4256</v>
      </c>
      <c r="K5084" s="2210">
        <f>H5092</f>
        <v>0</v>
      </c>
      <c r="L5084" s="1535" t="str">
        <f>IF($I5084="适用",IF(ROUND(K5083-K5084,2)&gt;=0,IF(K5083&lt;&gt;0,K5084/K5083,""),"#Logical!"),"#N/A")</f>
        <v/>
      </c>
      <c r="M5084" s="301" t="s">
        <v>4257</v>
      </c>
      <c r="N5084" s="2210">
        <f>I5092</f>
        <v>0</v>
      </c>
      <c r="O5084" s="1535" t="str">
        <f>IF($I5084="适用",IF(ROUND(N5083-N5084,2)&gt;=0,IF(N5083&lt;&gt;0,N5084/N5083,""),"#Logical!"),"#N/A")</f>
        <v/>
      </c>
      <c r="P5084" s="301"/>
      <c r="Q5084" s="290" t="str">
        <f>IF($I5084="不适用","",IF(ROUND(SUM($H$5087:$I$5092),2)=0,"请输入",""))</f>
        <v>请输入</v>
      </c>
      <c r="S5084" s="364"/>
      <c r="Z5084" s="609" t="s">
        <v>4392</v>
      </c>
      <c r="AA5084" s="609"/>
    </row>
    <row r="5085" spans="1:27" ht="0.75" customHeight="1" thickBot="1">
      <c r="A5085" s="2714"/>
      <c r="B5085" s="371"/>
      <c r="C5085" s="371"/>
      <c r="D5085" s="371"/>
      <c r="E5085" s="586"/>
      <c r="F5085" s="363"/>
      <c r="G5085" s="363" t="s">
        <v>4393</v>
      </c>
      <c r="H5085" s="294" t="s">
        <v>4223</v>
      </c>
      <c r="I5085" s="294" t="s">
        <v>4224</v>
      </c>
      <c r="J5085" s="291"/>
      <c r="K5085" s="291"/>
      <c r="L5085" s="291"/>
      <c r="M5085" s="291"/>
      <c r="S5085" s="364"/>
      <c r="Z5085" s="609" t="s">
        <v>4392</v>
      </c>
      <c r="AA5085" s="609"/>
    </row>
    <row r="5086" spans="1:27" ht="18">
      <c r="A5086" s="2714"/>
      <c r="B5086" s="371"/>
      <c r="C5086" s="371"/>
      <c r="D5086" s="371"/>
      <c r="E5086" s="586" t="s">
        <v>2749</v>
      </c>
      <c r="F5086" s="363"/>
      <c r="G5086" s="2453" t="s">
        <v>47</v>
      </c>
      <c r="H5086" s="2461" t="str">
        <f>$V$4</f>
        <v>2019年度</v>
      </c>
      <c r="I5086" s="2462" t="str">
        <f>$V$5</f>
        <v>2018年度</v>
      </c>
      <c r="J5086" s="355" t="s">
        <v>5342</v>
      </c>
      <c r="K5086" s="291"/>
      <c r="L5086" s="291"/>
      <c r="M5086" s="291"/>
      <c r="S5086" s="364"/>
      <c r="Z5086" s="609" t="s">
        <v>4392</v>
      </c>
      <c r="AA5086" s="609"/>
    </row>
    <row r="5087" spans="1:27" ht="18">
      <c r="A5087" s="2714"/>
      <c r="B5087" s="371">
        <v>101</v>
      </c>
      <c r="C5087" s="371" t="s">
        <v>2791</v>
      </c>
      <c r="D5087" s="2716">
        <f t="shared" ref="D5087:D5092" si="555">IF(OR(G5087="*",G5087="",G5087=0),0,COUNTIF($G$5087:$G$5092,G5087))</f>
        <v>0</v>
      </c>
      <c r="E5087" s="2721">
        <v>1</v>
      </c>
      <c r="F5087" s="294"/>
      <c r="G5087" s="2467"/>
      <c r="H5087" s="2275"/>
      <c r="I5087" s="2296"/>
      <c r="J5087" s="291"/>
      <c r="K5087" s="291"/>
      <c r="L5087" s="291"/>
      <c r="M5087" s="291"/>
      <c r="S5087" s="364"/>
      <c r="Z5087" s="609" t="s">
        <v>4392</v>
      </c>
      <c r="AA5087" s="609"/>
    </row>
    <row r="5088" spans="1:27" ht="18">
      <c r="A5088" s="2714"/>
      <c r="B5088" s="371">
        <v>102</v>
      </c>
      <c r="C5088" s="371" t="s">
        <v>2791</v>
      </c>
      <c r="D5088" s="2716">
        <f t="shared" si="555"/>
        <v>0</v>
      </c>
      <c r="E5088" s="2721">
        <v>1</v>
      </c>
      <c r="F5088" s="294"/>
      <c r="G5088" s="2467"/>
      <c r="H5088" s="2275"/>
      <c r="I5088" s="2296"/>
      <c r="J5088" s="291"/>
      <c r="K5088" s="291"/>
      <c r="L5088" s="291"/>
      <c r="M5088" s="291"/>
      <c r="S5088" s="364"/>
      <c r="Z5088" s="609" t="s">
        <v>4392</v>
      </c>
      <c r="AA5088" s="609"/>
    </row>
    <row r="5089" spans="1:27" ht="18">
      <c r="A5089" s="2714"/>
      <c r="B5089" s="371">
        <v>103</v>
      </c>
      <c r="C5089" s="371" t="s">
        <v>2791</v>
      </c>
      <c r="D5089" s="2716">
        <f t="shared" si="555"/>
        <v>0</v>
      </c>
      <c r="E5089" s="2721">
        <v>1</v>
      </c>
      <c r="F5089" s="294"/>
      <c r="G5089" s="2467" t="s">
        <v>2792</v>
      </c>
      <c r="H5089" s="2275"/>
      <c r="I5089" s="2296"/>
      <c r="J5089" s="291"/>
      <c r="K5089" s="291"/>
      <c r="L5089" s="291"/>
      <c r="M5089" s="291"/>
      <c r="S5089" s="364"/>
      <c r="Z5089" s="609" t="s">
        <v>4392</v>
      </c>
      <c r="AA5089" s="609"/>
    </row>
    <row r="5090" spans="1:27" ht="18">
      <c r="A5090" s="2714"/>
      <c r="B5090" s="371">
        <v>104</v>
      </c>
      <c r="C5090" s="371" t="s">
        <v>2791</v>
      </c>
      <c r="D5090" s="2716">
        <f t="shared" si="555"/>
        <v>0</v>
      </c>
      <c r="E5090" s="2721">
        <v>1</v>
      </c>
      <c r="F5090" s="294"/>
      <c r="G5090" s="2467" t="s">
        <v>2792</v>
      </c>
      <c r="H5090" s="2275"/>
      <c r="I5090" s="2296"/>
      <c r="J5090" s="291"/>
      <c r="K5090" s="291"/>
      <c r="L5090" s="291"/>
      <c r="M5090" s="291"/>
      <c r="S5090" s="364"/>
      <c r="Z5090" s="609" t="s">
        <v>4392</v>
      </c>
      <c r="AA5090" s="609"/>
    </row>
    <row r="5091" spans="1:27" ht="18">
      <c r="A5091" s="2714"/>
      <c r="B5091" s="371">
        <v>105</v>
      </c>
      <c r="C5091" s="371" t="s">
        <v>2791</v>
      </c>
      <c r="D5091" s="2716">
        <f t="shared" si="555"/>
        <v>0</v>
      </c>
      <c r="E5091" s="2721">
        <v>1</v>
      </c>
      <c r="F5091" s="294"/>
      <c r="G5091" s="2467" t="s">
        <v>2792</v>
      </c>
      <c r="H5091" s="2275"/>
      <c r="I5091" s="2296"/>
      <c r="J5091" s="291"/>
      <c r="K5091" s="291"/>
      <c r="L5091" s="291"/>
      <c r="M5091" s="291"/>
      <c r="S5091" s="364"/>
      <c r="Z5091" s="609" t="s">
        <v>4392</v>
      </c>
      <c r="AA5091" s="609"/>
    </row>
    <row r="5092" spans="1:27" ht="18.75" thickBot="1">
      <c r="A5092" s="2714"/>
      <c r="B5092" s="371"/>
      <c r="C5092" s="371"/>
      <c r="D5092" s="2716">
        <f t="shared" si="555"/>
        <v>1</v>
      </c>
      <c r="E5092" s="2721" t="s">
        <v>2751</v>
      </c>
      <c r="F5092" s="294"/>
      <c r="G5092" s="2234" t="s">
        <v>2752</v>
      </c>
      <c r="H5092" s="2235">
        <f>SUMPRODUCT($E5086:$E5091,H5086:H5091)</f>
        <v>0</v>
      </c>
      <c r="I5092" s="2236">
        <f>SUMPRODUCT($E5086:$E5091,I5086:I5091)</f>
        <v>0</v>
      </c>
      <c r="J5092" s="291"/>
      <c r="K5092" s="291"/>
      <c r="L5092" s="291"/>
      <c r="M5092" s="291"/>
      <c r="S5092" s="364"/>
      <c r="Z5092" s="609" t="s">
        <v>4392</v>
      </c>
      <c r="AA5092" s="609"/>
    </row>
    <row r="5093" spans="1:27" ht="18">
      <c r="A5093" s="2714"/>
      <c r="B5093" s="371"/>
      <c r="C5093" s="371" t="s">
        <v>2755</v>
      </c>
      <c r="D5093" s="371"/>
      <c r="F5093" s="294"/>
      <c r="G5093" s="301"/>
      <c r="H5093" s="315"/>
      <c r="I5093" s="315"/>
      <c r="J5093" s="291"/>
      <c r="K5093" s="291"/>
      <c r="L5093" s="291"/>
      <c r="M5093" s="291"/>
      <c r="S5093" s="364"/>
      <c r="Z5093" s="609" t="s">
        <v>4392</v>
      </c>
      <c r="AA5093" s="609"/>
    </row>
    <row r="5094" spans="1:27" ht="18">
      <c r="A5094" s="2714">
        <v>7296</v>
      </c>
      <c r="B5094" s="371">
        <v>78.599999999999994</v>
      </c>
      <c r="C5094" s="2716" t="str">
        <f>VLOOKUP($A5094,Sheet_Items,2,0)</f>
        <v>支付其他与筹资活动有关的现金</v>
      </c>
      <c r="D5094" s="371"/>
      <c r="E5094" s="2716" t="s">
        <v>2739</v>
      </c>
      <c r="F5094" s="294"/>
      <c r="G5094" s="536" t="str">
        <f>B5094&amp;" "&amp;C5094</f>
        <v>78.6 支付其他与筹资活动有关的现金</v>
      </c>
      <c r="H5094" s="322"/>
      <c r="I5094" s="322"/>
      <c r="J5094" s="306" t="s">
        <v>4206</v>
      </c>
      <c r="K5094" s="341">
        <f>VLOOKUP($A5094,Sheet_Trialbal,6,0)</f>
        <v>0</v>
      </c>
      <c r="L5094" s="342"/>
      <c r="M5094" s="306" t="s">
        <v>4207</v>
      </c>
      <c r="N5094" s="341">
        <f>VLOOKUP($A5094,Sheet_Trialbal,10,0)</f>
        <v>0</v>
      </c>
      <c r="O5094" s="306"/>
      <c r="P5094" s="301"/>
      <c r="S5094" s="364"/>
      <c r="Z5094" s="609" t="s">
        <v>4394</v>
      </c>
      <c r="AA5094" s="609"/>
    </row>
    <row r="5095" spans="1:27" ht="24">
      <c r="A5095" s="2714" t="s">
        <v>1990</v>
      </c>
      <c r="B5095" s="371">
        <v>1</v>
      </c>
      <c r="C5095" s="371"/>
      <c r="D5095" s="2716" t="str">
        <f>VLOOKUP($A5095,Sheet_NoteList,2,0)</f>
        <v>支付的其他与筹资活动有关的现金</v>
      </c>
      <c r="E5095" s="2716" t="s">
        <v>2742</v>
      </c>
      <c r="F5095" s="294"/>
      <c r="G5095" s="372" t="str">
        <f>"("&amp;B5095&amp;")"&amp;D5095</f>
        <v>(1)支付的其他与筹资活动有关的现金</v>
      </c>
      <c r="H5095" s="1517" t="str">
        <f>$A5095</f>
        <v>7296a</v>
      </c>
      <c r="I5095" s="343" t="s">
        <v>2743</v>
      </c>
      <c r="J5095" s="301" t="s">
        <v>4256</v>
      </c>
      <c r="K5095" s="2210">
        <f>H5103</f>
        <v>0</v>
      </c>
      <c r="L5095" s="1535" t="str">
        <f>IF($I5095="适用",IF(ROUND(K5094-K5095,2)&gt;=0,IF(K5094&lt;&gt;0,K5095/K5094,""),"#Logical!"),"#N/A")</f>
        <v/>
      </c>
      <c r="M5095" s="301" t="s">
        <v>4257</v>
      </c>
      <c r="N5095" s="2210">
        <f>I5103</f>
        <v>0</v>
      </c>
      <c r="O5095" s="1535" t="str">
        <f>IF($I5095="适用",IF(ROUND(N5094-N5095,2)&gt;=0,IF(N5094&lt;&gt;0,N5095/N5094,""),"#Logical!"),"#N/A")</f>
        <v/>
      </c>
      <c r="P5095" s="301"/>
      <c r="Q5095" s="290" t="str">
        <f>IF($I5095="不适用","",IF(ROUND(SUM($H$5098:$I$5103),2)=0,"请输入",""))</f>
        <v>请输入</v>
      </c>
      <c r="S5095" s="364"/>
      <c r="Z5095" s="609" t="s">
        <v>4394</v>
      </c>
      <c r="AA5095" s="609"/>
    </row>
    <row r="5096" spans="1:27" ht="0.75" customHeight="1" thickBot="1">
      <c r="A5096" s="2714"/>
      <c r="B5096" s="371"/>
      <c r="C5096" s="371"/>
      <c r="D5096" s="371"/>
      <c r="E5096" s="586"/>
      <c r="F5096" s="363"/>
      <c r="G5096" s="363" t="s">
        <v>4395</v>
      </c>
      <c r="H5096" s="294" t="s">
        <v>4223</v>
      </c>
      <c r="I5096" s="294" t="s">
        <v>4224</v>
      </c>
      <c r="J5096" s="291"/>
      <c r="K5096" s="291"/>
      <c r="L5096" s="291"/>
      <c r="M5096" s="291"/>
      <c r="S5096" s="364"/>
      <c r="Z5096" s="609" t="s">
        <v>4394</v>
      </c>
      <c r="AA5096" s="609"/>
    </row>
    <row r="5097" spans="1:27" ht="18">
      <c r="A5097" s="2714"/>
      <c r="B5097" s="371"/>
      <c r="C5097" s="371"/>
      <c r="D5097" s="371"/>
      <c r="E5097" s="586" t="s">
        <v>2749</v>
      </c>
      <c r="F5097" s="363"/>
      <c r="G5097" s="2453" t="s">
        <v>47</v>
      </c>
      <c r="H5097" s="2461" t="str">
        <f>$V$4</f>
        <v>2019年度</v>
      </c>
      <c r="I5097" s="2462" t="str">
        <f>$V$5</f>
        <v>2018年度</v>
      </c>
      <c r="J5097" s="355" t="s">
        <v>5342</v>
      </c>
      <c r="K5097" s="291"/>
      <c r="L5097" s="291"/>
      <c r="M5097" s="291"/>
      <c r="S5097" s="364"/>
      <c r="Z5097" s="609" t="s">
        <v>4394</v>
      </c>
      <c r="AA5097" s="609"/>
    </row>
    <row r="5098" spans="1:27" ht="18">
      <c r="A5098" s="2714"/>
      <c r="B5098" s="371">
        <v>101</v>
      </c>
      <c r="C5098" s="371" t="s">
        <v>2791</v>
      </c>
      <c r="D5098" s="2716">
        <f t="shared" ref="D5098:D5103" si="556">IF(OR(G5098="*",G5098="",G5098=0),0,COUNTIF($G$5098:$G$5103,G5098))</f>
        <v>0</v>
      </c>
      <c r="E5098" s="2721">
        <v>1</v>
      </c>
      <c r="F5098" s="294"/>
      <c r="G5098" s="2467" t="s">
        <v>2792</v>
      </c>
      <c r="H5098" s="2275"/>
      <c r="I5098" s="2296"/>
      <c r="J5098" s="291"/>
      <c r="K5098" s="291"/>
      <c r="L5098" s="291"/>
      <c r="M5098" s="291"/>
      <c r="S5098" s="364"/>
      <c r="Z5098" s="609" t="s">
        <v>4394</v>
      </c>
      <c r="AA5098" s="609"/>
    </row>
    <row r="5099" spans="1:27" ht="18">
      <c r="A5099" s="2714"/>
      <c r="B5099" s="371">
        <v>102</v>
      </c>
      <c r="C5099" s="371" t="s">
        <v>2791</v>
      </c>
      <c r="D5099" s="2716">
        <f t="shared" si="556"/>
        <v>0</v>
      </c>
      <c r="E5099" s="2721">
        <v>1</v>
      </c>
      <c r="F5099" s="294"/>
      <c r="G5099" s="2467" t="s">
        <v>2792</v>
      </c>
      <c r="H5099" s="2275"/>
      <c r="I5099" s="2296"/>
      <c r="J5099" s="291"/>
      <c r="K5099" s="291"/>
      <c r="L5099" s="291"/>
      <c r="M5099" s="291"/>
      <c r="S5099" s="364"/>
      <c r="Z5099" s="609" t="s">
        <v>4394</v>
      </c>
      <c r="AA5099" s="609"/>
    </row>
    <row r="5100" spans="1:27" ht="18">
      <c r="A5100" s="2714"/>
      <c r="B5100" s="371">
        <v>103</v>
      </c>
      <c r="C5100" s="371" t="s">
        <v>2791</v>
      </c>
      <c r="D5100" s="2716">
        <f t="shared" si="556"/>
        <v>0</v>
      </c>
      <c r="E5100" s="2721">
        <v>1</v>
      </c>
      <c r="F5100" s="294"/>
      <c r="G5100" s="2467" t="s">
        <v>2792</v>
      </c>
      <c r="H5100" s="2275"/>
      <c r="I5100" s="2296"/>
      <c r="J5100" s="291"/>
      <c r="K5100" s="291"/>
      <c r="L5100" s="291"/>
      <c r="M5100" s="291"/>
      <c r="S5100" s="364"/>
      <c r="Z5100" s="609" t="s">
        <v>4394</v>
      </c>
      <c r="AA5100" s="609"/>
    </row>
    <row r="5101" spans="1:27" ht="18">
      <c r="A5101" s="2714"/>
      <c r="B5101" s="371">
        <v>104</v>
      </c>
      <c r="C5101" s="371" t="s">
        <v>2791</v>
      </c>
      <c r="D5101" s="2716">
        <f t="shared" si="556"/>
        <v>0</v>
      </c>
      <c r="E5101" s="2721">
        <v>1</v>
      </c>
      <c r="F5101" s="294"/>
      <c r="G5101" s="2467" t="s">
        <v>2792</v>
      </c>
      <c r="H5101" s="2275"/>
      <c r="I5101" s="2296"/>
      <c r="J5101" s="291"/>
      <c r="K5101" s="291"/>
      <c r="L5101" s="291"/>
      <c r="M5101" s="291"/>
      <c r="S5101" s="364"/>
      <c r="Z5101" s="609" t="s">
        <v>4394</v>
      </c>
      <c r="AA5101" s="609"/>
    </row>
    <row r="5102" spans="1:27" ht="18">
      <c r="A5102" s="2714"/>
      <c r="B5102" s="371">
        <v>105</v>
      </c>
      <c r="C5102" s="371" t="s">
        <v>2791</v>
      </c>
      <c r="D5102" s="2716">
        <f t="shared" si="556"/>
        <v>0</v>
      </c>
      <c r="E5102" s="2721">
        <v>1</v>
      </c>
      <c r="F5102" s="294"/>
      <c r="G5102" s="2467" t="s">
        <v>2792</v>
      </c>
      <c r="H5102" s="2275"/>
      <c r="I5102" s="2296"/>
      <c r="J5102" s="291"/>
      <c r="K5102" s="291"/>
      <c r="L5102" s="291"/>
      <c r="M5102" s="291"/>
      <c r="S5102" s="364"/>
      <c r="Z5102" s="609" t="s">
        <v>4394</v>
      </c>
      <c r="AA5102" s="609"/>
    </row>
    <row r="5103" spans="1:27" ht="18.75" thickBot="1">
      <c r="A5103" s="2714"/>
      <c r="B5103" s="371"/>
      <c r="C5103" s="371"/>
      <c r="D5103" s="2716">
        <f t="shared" si="556"/>
        <v>1</v>
      </c>
      <c r="E5103" s="2721" t="s">
        <v>2751</v>
      </c>
      <c r="F5103" s="294"/>
      <c r="G5103" s="2234" t="s">
        <v>2752</v>
      </c>
      <c r="H5103" s="2235">
        <f>SUMPRODUCT($E5097:$E5102,H5097:H5102)</f>
        <v>0</v>
      </c>
      <c r="I5103" s="2236">
        <f>SUMPRODUCT($E5097:$E5102,I5097:I5102)</f>
        <v>0</v>
      </c>
      <c r="J5103" s="291"/>
      <c r="K5103" s="291"/>
      <c r="L5103" s="291"/>
      <c r="M5103" s="291"/>
      <c r="S5103" s="364"/>
      <c r="Z5103" s="609" t="s">
        <v>4394</v>
      </c>
      <c r="AA5103" s="609"/>
    </row>
    <row r="5104" spans="1:27" ht="18">
      <c r="A5104" s="2714"/>
      <c r="B5104" s="371"/>
      <c r="C5104" s="371" t="s">
        <v>2755</v>
      </c>
      <c r="D5104" s="371"/>
      <c r="F5104" s="294"/>
      <c r="G5104" s="301"/>
      <c r="H5104" s="315"/>
      <c r="I5104" s="315"/>
      <c r="J5104" s="291"/>
      <c r="K5104" s="291"/>
      <c r="L5104" s="291"/>
      <c r="M5104" s="291"/>
      <c r="S5104" s="364"/>
      <c r="Z5104" s="609" t="s">
        <v>4394</v>
      </c>
      <c r="AA5104" s="609"/>
    </row>
    <row r="5105" spans="1:27" ht="18">
      <c r="A5105" s="2714">
        <v>7500</v>
      </c>
      <c r="B5105" s="371">
        <v>79</v>
      </c>
      <c r="C5105" s="2716" t="str">
        <f>VLOOKUP($A5105,Sheet_Items,2,0)</f>
        <v>现金流量表补充资料</v>
      </c>
      <c r="D5105" s="371"/>
      <c r="E5105" s="2716" t="s">
        <v>2739</v>
      </c>
      <c r="F5105" s="294"/>
      <c r="G5105" s="305" t="str">
        <f>B5105&amp;" "&amp;C5105</f>
        <v>79 现金流量表补充资料</v>
      </c>
      <c r="H5105" s="306"/>
      <c r="I5105" s="306"/>
      <c r="J5105" s="306"/>
      <c r="K5105" s="539"/>
      <c r="L5105" s="342"/>
      <c r="M5105" s="306"/>
      <c r="N5105" s="539"/>
      <c r="O5105" s="306"/>
      <c r="P5105" s="301"/>
      <c r="S5105" s="364"/>
      <c r="Z5105" s="609" t="s">
        <v>1995</v>
      </c>
      <c r="AA5105" s="609"/>
    </row>
    <row r="5106" spans="1:27" ht="24">
      <c r="A5106" s="2714" t="s">
        <v>1993</v>
      </c>
      <c r="B5106" s="371">
        <v>1</v>
      </c>
      <c r="C5106" s="371"/>
      <c r="D5106" s="2716" t="str">
        <f>VLOOKUP($A5106,Sheet_NoteList,2,0)</f>
        <v>将净利润调节为经营活动现金流量</v>
      </c>
      <c r="E5106" s="2716" t="s">
        <v>2742</v>
      </c>
      <c r="F5106" s="294"/>
      <c r="G5106" s="372" t="str">
        <f>"("&amp;B5106&amp;")"&amp;D5106</f>
        <v>(1)将净利润调节为经营活动现金流量</v>
      </c>
      <c r="H5106" s="1517" t="str">
        <f>$A5106</f>
        <v>7500a</v>
      </c>
      <c r="I5106" s="343" t="s">
        <v>2743</v>
      </c>
      <c r="J5106" s="301"/>
      <c r="K5106" s="3083"/>
      <c r="L5106" s="315"/>
      <c r="M5106" s="301"/>
      <c r="N5106" s="3083"/>
      <c r="O5106" s="315"/>
      <c r="P5106" s="301"/>
      <c r="Q5106" s="290" t="str">
        <f>IF($I5106="不适用","",IF(ROUND(SUM($H$5109:$I$5126),2)=0,"请输入",""))</f>
        <v/>
      </c>
      <c r="S5106" s="364"/>
      <c r="Z5106" s="609" t="s">
        <v>1995</v>
      </c>
      <c r="AA5106" s="609"/>
    </row>
    <row r="5107" spans="1:27" ht="0.75" customHeight="1" thickBot="1">
      <c r="A5107" s="2714"/>
      <c r="B5107" s="371"/>
      <c r="C5107" s="371"/>
      <c r="D5107" s="371"/>
      <c r="F5107" s="371" t="s">
        <v>5812</v>
      </c>
      <c r="G5107" s="371" t="s">
        <v>4396</v>
      </c>
      <c r="H5107" s="371" t="s">
        <v>3472</v>
      </c>
      <c r="I5107" s="371" t="s">
        <v>3473</v>
      </c>
      <c r="J5107" s="291"/>
      <c r="K5107" s="291"/>
      <c r="L5107" s="291"/>
      <c r="M5107" s="291"/>
      <c r="S5107" s="364"/>
      <c r="Z5107" s="609" t="s">
        <v>1995</v>
      </c>
      <c r="AA5107" s="609"/>
    </row>
    <row r="5108" spans="1:27" ht="18">
      <c r="A5108" s="2714"/>
      <c r="B5108" s="371"/>
      <c r="C5108" s="371"/>
      <c r="D5108" s="371"/>
      <c r="E5108" s="2716" t="s">
        <v>2749</v>
      </c>
      <c r="F5108" s="294"/>
      <c r="G5108" s="1503" t="s">
        <v>918</v>
      </c>
      <c r="H5108" s="1501" t="str">
        <f>$V$4</f>
        <v>2019年度</v>
      </c>
      <c r="I5108" s="593" t="str">
        <f>$V$5</f>
        <v>2018年度</v>
      </c>
      <c r="J5108" s="355" t="s">
        <v>5343</v>
      </c>
      <c r="K5108" s="291"/>
      <c r="L5108" s="291"/>
      <c r="M5108" s="291"/>
      <c r="S5108" s="364"/>
      <c r="Z5108" s="609" t="s">
        <v>1995</v>
      </c>
      <c r="AA5108" s="609"/>
    </row>
    <row r="5109" spans="1:27" ht="18">
      <c r="A5109" s="2714"/>
      <c r="B5109" s="371">
        <v>7502</v>
      </c>
      <c r="C5109" s="371"/>
      <c r="D5109" s="2716">
        <f t="shared" ref="D5109:D5126" si="557">IF(OR(G5109="*",G5109="",G5109=0),0,COUNTIF($G$5109:$G$5126,G5109))</f>
        <v>1</v>
      </c>
      <c r="E5109" s="2721">
        <v>1</v>
      </c>
      <c r="F5109" s="294"/>
      <c r="G5109" s="1502" t="str">
        <f t="shared" ref="G5109:G5125" si="558">VLOOKUP($B5109,Sheet_Items,6,0)</f>
        <v>净利润</v>
      </c>
      <c r="H5109" s="1476">
        <f t="shared" ref="H5109:H5125" si="559">VLOOKUP($B5109,Sheet_CF7,4,0)</f>
        <v>-3349908.33</v>
      </c>
      <c r="I5109" s="1477">
        <f t="shared" ref="I5109:I5125" si="560">VLOOKUP($B5109,Sheet_CF7,5,0)</f>
        <v>520228.91</v>
      </c>
      <c r="J5109" s="291"/>
      <c r="K5109" s="291"/>
      <c r="L5109" s="291"/>
      <c r="M5109" s="291"/>
      <c r="S5109" s="364"/>
      <c r="Z5109" s="609" t="s">
        <v>1995</v>
      </c>
      <c r="AA5109" s="609"/>
    </row>
    <row r="5110" spans="1:27" ht="18">
      <c r="A5110" s="2714"/>
      <c r="B5110" s="371">
        <v>7503</v>
      </c>
      <c r="C5110" s="371"/>
      <c r="D5110" s="2716">
        <f t="shared" si="557"/>
        <v>1</v>
      </c>
      <c r="E5110" s="2721">
        <v>1</v>
      </c>
      <c r="F5110" s="294"/>
      <c r="G5110" s="1502" t="str">
        <f>VLOOKUP($B5110,Sheet_Items,6,0)</f>
        <v>加：资产减值准备</v>
      </c>
      <c r="H5110" s="1476">
        <f t="shared" si="559"/>
        <v>864640.09</v>
      </c>
      <c r="I5110" s="1477">
        <f t="shared" si="560"/>
        <v>-198814.86</v>
      </c>
      <c r="J5110" s="291"/>
      <c r="K5110" s="291"/>
      <c r="L5110" s="291"/>
      <c r="M5110" s="291"/>
      <c r="S5110" s="364"/>
      <c r="Z5110" s="609" t="s">
        <v>1995</v>
      </c>
      <c r="AA5110" s="609"/>
    </row>
    <row r="5111" spans="1:27" ht="18">
      <c r="A5111" s="2714"/>
      <c r="B5111" s="371">
        <v>7504</v>
      </c>
      <c r="C5111" s="371" t="s">
        <v>2791</v>
      </c>
      <c r="D5111" s="2716">
        <f t="shared" ref="D5111" si="561">IF(OR(G5111="*",G5111="",G5111=0),0,COUNTIF($G$5109:$G$5126,G5111))</f>
        <v>1</v>
      </c>
      <c r="E5111" s="2721">
        <v>1</v>
      </c>
      <c r="F5111" s="294"/>
      <c r="G5111" s="1502" t="str">
        <f t="shared" si="558"/>
        <v>信用减值损失</v>
      </c>
      <c r="H5111" s="1476">
        <f t="shared" si="559"/>
        <v>1923898.24</v>
      </c>
      <c r="I5111" s="1477">
        <f t="shared" si="560"/>
        <v>0</v>
      </c>
      <c r="J5111" s="291"/>
      <c r="K5111" s="291"/>
      <c r="L5111" s="291"/>
      <c r="M5111" s="291"/>
      <c r="S5111" s="364"/>
      <c r="Z5111" s="609" t="s">
        <v>1995</v>
      </c>
      <c r="AA5111" s="609"/>
    </row>
    <row r="5112" spans="1:27" ht="36">
      <c r="A5112" s="2714"/>
      <c r="B5112" s="371">
        <v>7505</v>
      </c>
      <c r="C5112" s="371"/>
      <c r="D5112" s="2716">
        <f t="shared" si="557"/>
        <v>1</v>
      </c>
      <c r="E5112" s="2721">
        <v>1</v>
      </c>
      <c r="F5112" s="294"/>
      <c r="G5112" s="1502" t="str">
        <f t="shared" si="558"/>
        <v>固定资产折旧、投资性房地产折旧、油气资产折耗、生产性生物资产折旧</v>
      </c>
      <c r="H5112" s="1476">
        <f t="shared" si="559"/>
        <v>2332438.67</v>
      </c>
      <c r="I5112" s="1477">
        <f t="shared" si="560"/>
        <v>2200407.69</v>
      </c>
      <c r="J5112" s="291"/>
      <c r="K5112" s="291"/>
      <c r="L5112" s="291"/>
      <c r="M5112" s="291"/>
      <c r="S5112" s="364"/>
      <c r="Z5112" s="609" t="s">
        <v>1995</v>
      </c>
      <c r="AA5112" s="609"/>
    </row>
    <row r="5113" spans="1:27" ht="18">
      <c r="A5113" s="2714"/>
      <c r="B5113" s="371">
        <v>7506</v>
      </c>
      <c r="C5113" s="371"/>
      <c r="D5113" s="2716">
        <f t="shared" si="557"/>
        <v>1</v>
      </c>
      <c r="E5113" s="2721">
        <v>1</v>
      </c>
      <c r="F5113" s="294"/>
      <c r="G5113" s="1502" t="str">
        <f t="shared" si="558"/>
        <v>无形资产摊销</v>
      </c>
      <c r="H5113" s="1476">
        <f t="shared" si="559"/>
        <v>102441.89</v>
      </c>
      <c r="I5113" s="1477">
        <f t="shared" si="560"/>
        <v>88666.19</v>
      </c>
      <c r="J5113" s="291"/>
      <c r="K5113" s="291"/>
      <c r="L5113" s="291"/>
      <c r="M5113" s="291"/>
      <c r="S5113" s="364"/>
      <c r="Z5113" s="609" t="s">
        <v>1995</v>
      </c>
      <c r="AA5113" s="609"/>
    </row>
    <row r="5114" spans="1:27" ht="18">
      <c r="A5114" s="2714"/>
      <c r="B5114" s="371">
        <v>7507</v>
      </c>
      <c r="C5114" s="371"/>
      <c r="D5114" s="2716">
        <f t="shared" si="557"/>
        <v>1</v>
      </c>
      <c r="E5114" s="2721">
        <v>1</v>
      </c>
      <c r="F5114" s="294"/>
      <c r="G5114" s="1502" t="str">
        <f t="shared" si="558"/>
        <v>长期待摊费用摊销</v>
      </c>
      <c r="H5114" s="1476">
        <f t="shared" si="559"/>
        <v>297071.96999999997</v>
      </c>
      <c r="I5114" s="1477">
        <f t="shared" si="560"/>
        <v>195194.75</v>
      </c>
      <c r="J5114" s="291"/>
      <c r="K5114" s="291"/>
      <c r="L5114" s="291"/>
      <c r="M5114" s="291"/>
      <c r="S5114" s="364"/>
      <c r="Z5114" s="609" t="s">
        <v>1995</v>
      </c>
      <c r="AA5114" s="609"/>
    </row>
    <row r="5115" spans="1:27" ht="36">
      <c r="A5115" s="2714"/>
      <c r="B5115" s="371">
        <v>7508</v>
      </c>
      <c r="C5115" s="371"/>
      <c r="D5115" s="2716">
        <f t="shared" si="557"/>
        <v>1</v>
      </c>
      <c r="E5115" s="2721">
        <v>1</v>
      </c>
      <c r="F5115" s="294"/>
      <c r="G5115" s="1502" t="str">
        <f t="shared" si="558"/>
        <v>处置固定资产、无形资产和其他长期资产的损失（收益以“－”号填列）</v>
      </c>
      <c r="H5115" s="1476">
        <f t="shared" si="559"/>
        <v>0</v>
      </c>
      <c r="I5115" s="1477">
        <f t="shared" si="560"/>
        <v>-456.04</v>
      </c>
      <c r="J5115" s="291"/>
      <c r="K5115" s="291"/>
      <c r="L5115" s="291"/>
      <c r="M5115" s="291"/>
      <c r="S5115" s="364"/>
      <c r="Z5115" s="609" t="s">
        <v>1995</v>
      </c>
      <c r="AA5115" s="609"/>
    </row>
    <row r="5116" spans="1:27" ht="24">
      <c r="A5116" s="2714"/>
      <c r="B5116" s="371">
        <v>7509</v>
      </c>
      <c r="C5116" s="371"/>
      <c r="D5116" s="2716">
        <f t="shared" si="557"/>
        <v>1</v>
      </c>
      <c r="E5116" s="2721">
        <v>1</v>
      </c>
      <c r="F5116" s="294"/>
      <c r="G5116" s="1502" t="str">
        <f t="shared" si="558"/>
        <v>固定资产报废损失（收益以“－”号填列）</v>
      </c>
      <c r="H5116" s="1476">
        <f t="shared" si="559"/>
        <v>0</v>
      </c>
      <c r="I5116" s="1477">
        <f t="shared" si="560"/>
        <v>0</v>
      </c>
      <c r="J5116" s="291"/>
      <c r="K5116" s="291"/>
      <c r="L5116" s="291"/>
      <c r="M5116" s="291"/>
      <c r="S5116" s="364"/>
      <c r="Z5116" s="609" t="s">
        <v>1995</v>
      </c>
      <c r="AA5116" s="609"/>
    </row>
    <row r="5117" spans="1:27" ht="24">
      <c r="A5117" s="2714"/>
      <c r="B5117" s="371">
        <v>7510</v>
      </c>
      <c r="C5117" s="371"/>
      <c r="D5117" s="2716">
        <f t="shared" si="557"/>
        <v>1</v>
      </c>
      <c r="E5117" s="2721">
        <v>1</v>
      </c>
      <c r="F5117" s="294"/>
      <c r="G5117" s="1502" t="str">
        <f t="shared" si="558"/>
        <v>公允价值变动损失（收益以“－”号填列）</v>
      </c>
      <c r="H5117" s="1476">
        <f t="shared" si="559"/>
        <v>0</v>
      </c>
      <c r="I5117" s="1477">
        <f t="shared" si="560"/>
        <v>0</v>
      </c>
      <c r="J5117" s="291"/>
      <c r="K5117" s="291"/>
      <c r="L5117" s="291"/>
      <c r="M5117" s="291"/>
      <c r="S5117" s="364"/>
      <c r="Z5117" s="609" t="s">
        <v>1995</v>
      </c>
      <c r="AA5117" s="609"/>
    </row>
    <row r="5118" spans="1:27" ht="24">
      <c r="A5118" s="2714"/>
      <c r="B5118" s="371">
        <v>7511</v>
      </c>
      <c r="C5118" s="371"/>
      <c r="D5118" s="2716">
        <f t="shared" si="557"/>
        <v>1</v>
      </c>
      <c r="E5118" s="2721">
        <v>1</v>
      </c>
      <c r="F5118" s="294"/>
      <c r="G5118" s="1502" t="str">
        <f t="shared" si="558"/>
        <v>财务费用（收益以“－”号填列）</v>
      </c>
      <c r="H5118" s="1476">
        <f t="shared" si="559"/>
        <v>2968.82</v>
      </c>
      <c r="I5118" s="1477">
        <f t="shared" si="560"/>
        <v>0</v>
      </c>
      <c r="J5118" s="291"/>
      <c r="K5118" s="291"/>
      <c r="L5118" s="291"/>
      <c r="M5118" s="291"/>
      <c r="S5118" s="364"/>
      <c r="Z5118" s="609" t="s">
        <v>1995</v>
      </c>
      <c r="AA5118" s="609"/>
    </row>
    <row r="5119" spans="1:27" ht="24">
      <c r="A5119" s="2714"/>
      <c r="B5119" s="371">
        <v>7512</v>
      </c>
      <c r="C5119" s="371"/>
      <c r="D5119" s="2716">
        <f t="shared" si="557"/>
        <v>1</v>
      </c>
      <c r="E5119" s="2721">
        <v>1</v>
      </c>
      <c r="F5119" s="294"/>
      <c r="G5119" s="1502" t="str">
        <f t="shared" si="558"/>
        <v>投资损失（收益以“－”号填列）</v>
      </c>
      <c r="H5119" s="1476">
        <f t="shared" si="559"/>
        <v>-41851.06</v>
      </c>
      <c r="I5119" s="1477">
        <f t="shared" si="560"/>
        <v>-38200.720000000001</v>
      </c>
      <c r="J5119" s="291"/>
      <c r="K5119" s="291"/>
      <c r="L5119" s="291"/>
      <c r="M5119" s="291"/>
      <c r="S5119" s="364"/>
      <c r="Z5119" s="609" t="s">
        <v>1995</v>
      </c>
      <c r="AA5119" s="609"/>
    </row>
    <row r="5120" spans="1:27" ht="24">
      <c r="A5120" s="2714"/>
      <c r="B5120" s="371">
        <v>7515</v>
      </c>
      <c r="C5120" s="371"/>
      <c r="D5120" s="2716">
        <f t="shared" si="557"/>
        <v>1</v>
      </c>
      <c r="E5120" s="2721">
        <v>1</v>
      </c>
      <c r="F5120" s="294"/>
      <c r="G5120" s="1502" t="str">
        <f t="shared" si="558"/>
        <v>递延所得税资产减少（增加以“－”号填列）</v>
      </c>
      <c r="H5120" s="1476">
        <f t="shared" si="559"/>
        <v>-624649.18999999994</v>
      </c>
      <c r="I5120" s="1477">
        <f t="shared" si="560"/>
        <v>-485503.27</v>
      </c>
      <c r="J5120" s="291"/>
      <c r="K5120" s="291"/>
      <c r="L5120" s="291"/>
      <c r="M5120" s="291"/>
      <c r="S5120" s="364"/>
      <c r="Z5120" s="609" t="s">
        <v>1995</v>
      </c>
      <c r="AA5120" s="609"/>
    </row>
    <row r="5121" spans="1:27" ht="24">
      <c r="A5121" s="2714"/>
      <c r="B5121" s="371">
        <v>7516</v>
      </c>
      <c r="C5121" s="371"/>
      <c r="D5121" s="2716">
        <f t="shared" si="557"/>
        <v>1</v>
      </c>
      <c r="E5121" s="2721">
        <v>1</v>
      </c>
      <c r="F5121" s="294"/>
      <c r="G5121" s="1502" t="str">
        <f t="shared" si="558"/>
        <v>递延所得税负债增加（减少以“－”号填列）</v>
      </c>
      <c r="H5121" s="1476">
        <f t="shared" si="559"/>
        <v>0</v>
      </c>
      <c r="I5121" s="1477">
        <f t="shared" si="560"/>
        <v>0</v>
      </c>
      <c r="J5121" s="291"/>
      <c r="K5121" s="291"/>
      <c r="L5121" s="291"/>
      <c r="M5121" s="291"/>
      <c r="S5121" s="364"/>
      <c r="Z5121" s="609" t="s">
        <v>1995</v>
      </c>
      <c r="AA5121" s="609"/>
    </row>
    <row r="5122" spans="1:27" ht="24">
      <c r="A5122" s="2714"/>
      <c r="B5122" s="371">
        <v>7517</v>
      </c>
      <c r="C5122" s="371"/>
      <c r="D5122" s="2716">
        <f t="shared" si="557"/>
        <v>1</v>
      </c>
      <c r="E5122" s="2721">
        <v>1</v>
      </c>
      <c r="F5122" s="294"/>
      <c r="G5122" s="1502" t="str">
        <f t="shared" si="558"/>
        <v>存货的减少（增加以“－”号填列）</v>
      </c>
      <c r="H5122" s="1476">
        <f t="shared" si="559"/>
        <v>-1471252.95</v>
      </c>
      <c r="I5122" s="1477">
        <f t="shared" si="560"/>
        <v>2725020.2</v>
      </c>
      <c r="J5122" s="291"/>
      <c r="K5122" s="291"/>
      <c r="L5122" s="291"/>
      <c r="M5122" s="291"/>
      <c r="S5122" s="364"/>
      <c r="Z5122" s="609" t="s">
        <v>1995</v>
      </c>
      <c r="AA5122" s="609"/>
    </row>
    <row r="5123" spans="1:27" ht="24">
      <c r="A5123" s="2714"/>
      <c r="B5123" s="371">
        <v>7518</v>
      </c>
      <c r="C5123" s="371"/>
      <c r="D5123" s="2716">
        <f t="shared" si="557"/>
        <v>1</v>
      </c>
      <c r="E5123" s="2721">
        <v>1</v>
      </c>
      <c r="F5123" s="294"/>
      <c r="G5123" s="1502" t="str">
        <f t="shared" si="558"/>
        <v>经营性应收项目的减少（增加以“－”号填列）</v>
      </c>
      <c r="H5123" s="1476">
        <f t="shared" si="559"/>
        <v>-2701456.75</v>
      </c>
      <c r="I5123" s="1477">
        <f t="shared" si="560"/>
        <v>4222149.83</v>
      </c>
      <c r="J5123" s="291"/>
      <c r="K5123" s="291"/>
      <c r="L5123" s="291"/>
      <c r="M5123" s="291"/>
      <c r="S5123" s="364"/>
      <c r="Z5123" s="609" t="s">
        <v>1995</v>
      </c>
      <c r="AA5123" s="609"/>
    </row>
    <row r="5124" spans="1:27" ht="24">
      <c r="A5124" s="2714"/>
      <c r="B5124" s="371">
        <v>7519</v>
      </c>
      <c r="C5124" s="371"/>
      <c r="D5124" s="2716">
        <f t="shared" si="557"/>
        <v>1</v>
      </c>
      <c r="E5124" s="2721">
        <v>1</v>
      </c>
      <c r="F5124" s="294"/>
      <c r="G5124" s="1502" t="str">
        <f t="shared" si="558"/>
        <v>经营性应付项目的增加（减少以“－”号填列）</v>
      </c>
      <c r="H5124" s="1476">
        <f t="shared" si="559"/>
        <v>3629106.52</v>
      </c>
      <c r="I5124" s="1477">
        <f t="shared" si="560"/>
        <v>2094008.2</v>
      </c>
      <c r="J5124" s="291"/>
      <c r="K5124" s="291"/>
      <c r="L5124" s="291"/>
      <c r="M5124" s="291"/>
      <c r="S5124" s="364"/>
      <c r="Z5124" s="609" t="s">
        <v>1995</v>
      </c>
      <c r="AA5124" s="609"/>
    </row>
    <row r="5125" spans="1:27" ht="18">
      <c r="A5125" s="2714"/>
      <c r="B5125" s="371">
        <v>7523</v>
      </c>
      <c r="C5125" s="371"/>
      <c r="D5125" s="2716">
        <f t="shared" si="557"/>
        <v>1</v>
      </c>
      <c r="E5125" s="2721">
        <v>1</v>
      </c>
      <c r="F5125" s="294"/>
      <c r="G5125" s="1502" t="str">
        <f t="shared" si="558"/>
        <v>其他</v>
      </c>
      <c r="H5125" s="1476">
        <f t="shared" si="559"/>
        <v>0</v>
      </c>
      <c r="I5125" s="1477">
        <f t="shared" si="560"/>
        <v>0</v>
      </c>
      <c r="J5125" s="343"/>
      <c r="K5125" s="291"/>
      <c r="L5125" s="291"/>
      <c r="M5125" s="291"/>
      <c r="S5125" s="364"/>
      <c r="Z5125" s="609" t="s">
        <v>1995</v>
      </c>
      <c r="AA5125" s="609"/>
    </row>
    <row r="5126" spans="1:27" ht="18.75" thickBot="1">
      <c r="A5126" s="2714"/>
      <c r="B5126" s="371"/>
      <c r="C5126" s="371"/>
      <c r="D5126" s="2716">
        <f t="shared" si="557"/>
        <v>1</v>
      </c>
      <c r="E5126" s="2721" t="s">
        <v>3032</v>
      </c>
      <c r="F5126" s="294"/>
      <c r="G5126" s="374" t="s">
        <v>2247</v>
      </c>
      <c r="H5126" s="1478">
        <f>SUMPRODUCT($E5108:$E5125,H5108:H5125)</f>
        <v>963447.92</v>
      </c>
      <c r="I5126" s="1479">
        <f>SUMPRODUCT($E5108:$E5125,I5108:I5125)</f>
        <v>11322700.880000001</v>
      </c>
      <c r="J5126" s="291"/>
      <c r="K5126" s="291"/>
      <c r="L5126" s="291"/>
      <c r="M5126" s="291"/>
      <c r="S5126" s="364"/>
      <c r="Z5126" s="609" t="s">
        <v>1995</v>
      </c>
      <c r="AA5126" s="609"/>
    </row>
    <row r="5127" spans="1:27" ht="24.75" thickBot="1">
      <c r="A5127" s="2714"/>
      <c r="B5127" s="371">
        <v>901</v>
      </c>
      <c r="C5127" s="371"/>
      <c r="D5127" s="371"/>
      <c r="E5127" s="2716" t="s">
        <v>2753</v>
      </c>
      <c r="F5127" s="294"/>
      <c r="G5127" s="1507" t="s">
        <v>4397</v>
      </c>
      <c r="H5127" s="313"/>
      <c r="I5127" s="348"/>
      <c r="J5127" s="343"/>
      <c r="K5127" s="349"/>
      <c r="L5127" s="349"/>
      <c r="M5127" s="291"/>
      <c r="N5127" s="291"/>
      <c r="O5127" s="291"/>
      <c r="P5127" s="291"/>
      <c r="S5127" s="364"/>
      <c r="Z5127" s="609" t="s">
        <v>1995</v>
      </c>
      <c r="AA5127" s="609"/>
    </row>
    <row r="5128" spans="1:27" ht="18">
      <c r="A5128" s="2714"/>
      <c r="B5128" s="371"/>
      <c r="C5128" s="371" t="s">
        <v>2755</v>
      </c>
      <c r="D5128" s="371"/>
      <c r="F5128" s="294"/>
      <c r="G5128" s="301"/>
      <c r="H5128" s="315"/>
      <c r="I5128" s="315"/>
      <c r="J5128" s="291"/>
      <c r="K5128" s="291"/>
      <c r="L5128" s="291"/>
      <c r="M5128" s="291"/>
      <c r="S5128" s="364"/>
      <c r="Z5128" s="609" t="s">
        <v>1995</v>
      </c>
      <c r="AA5128" s="609"/>
    </row>
    <row r="5129" spans="1:27" ht="24">
      <c r="A5129" s="2714" t="s">
        <v>1996</v>
      </c>
      <c r="B5129" s="371">
        <v>2</v>
      </c>
      <c r="C5129" s="371"/>
      <c r="D5129" s="2716" t="str">
        <f>VLOOKUP($A5129,Sheet_NoteList,2,0)</f>
        <v>不涉及现金收支的重大投资和筹资活动</v>
      </c>
      <c r="E5129" s="2716" t="s">
        <v>2742</v>
      </c>
      <c r="F5129" s="294"/>
      <c r="G5129" s="372" t="str">
        <f>"("&amp;B5129&amp;")"&amp;D5129</f>
        <v>(2)不涉及现金收支的重大投资和筹资活动</v>
      </c>
      <c r="H5129" s="1517" t="str">
        <f>$A5129</f>
        <v>7500b</v>
      </c>
      <c r="I5129" s="343" t="s">
        <v>2743</v>
      </c>
      <c r="J5129" s="301"/>
      <c r="K5129" s="3083"/>
      <c r="L5129" s="315"/>
      <c r="M5129" s="301"/>
      <c r="N5129" s="3083"/>
      <c r="O5129" s="315"/>
      <c r="P5129" s="301"/>
      <c r="S5129" s="364"/>
      <c r="Z5129" s="609" t="s">
        <v>1995</v>
      </c>
      <c r="AA5129" s="609"/>
    </row>
    <row r="5130" spans="1:27" ht="0.75" customHeight="1" thickBot="1">
      <c r="A5130" s="2714"/>
      <c r="B5130" s="371"/>
      <c r="C5130" s="371"/>
      <c r="D5130" s="371"/>
      <c r="F5130" s="294" t="s">
        <v>5812</v>
      </c>
      <c r="G5130" s="294" t="s">
        <v>4398</v>
      </c>
      <c r="H5130" s="294" t="s">
        <v>3472</v>
      </c>
      <c r="I5130" s="294" t="s">
        <v>3473</v>
      </c>
      <c r="J5130" s="291"/>
      <c r="K5130" s="291"/>
      <c r="L5130" s="291"/>
      <c r="M5130" s="291"/>
      <c r="S5130" s="364"/>
      <c r="Z5130" s="609" t="s">
        <v>1995</v>
      </c>
      <c r="AA5130" s="609"/>
    </row>
    <row r="5131" spans="1:27" ht="18">
      <c r="A5131" s="2714"/>
      <c r="B5131" s="371"/>
      <c r="C5131" s="371"/>
      <c r="D5131" s="371"/>
      <c r="E5131" s="2716" t="s">
        <v>2749</v>
      </c>
      <c r="F5131" s="294"/>
      <c r="G5131" s="1503" t="s">
        <v>918</v>
      </c>
      <c r="H5131" s="1501" t="str">
        <f>$V$4</f>
        <v>2019年度</v>
      </c>
      <c r="I5131" s="593" t="str">
        <f>$V$5</f>
        <v>2018年度</v>
      </c>
      <c r="J5131" s="355" t="s">
        <v>5343</v>
      </c>
      <c r="K5131" s="291"/>
      <c r="L5131" s="291"/>
      <c r="M5131" s="291"/>
      <c r="S5131" s="364"/>
      <c r="Z5131" s="609" t="s">
        <v>1995</v>
      </c>
      <c r="AA5131" s="609"/>
    </row>
    <row r="5132" spans="1:27" ht="18">
      <c r="A5132" s="2714"/>
      <c r="B5132" s="371">
        <v>7527</v>
      </c>
      <c r="C5132" s="371"/>
      <c r="D5132" s="2716">
        <f>IF(OR(G5132="*",G5132="",G5132=0),0,COUNTIF($G$5132:$G$5135,G5132))</f>
        <v>1</v>
      </c>
      <c r="E5132" s="2721">
        <v>1</v>
      </c>
      <c r="F5132" s="294"/>
      <c r="G5132" s="1502" t="str">
        <f>VLOOKUP($B5132,Sheet_Items,6,0)</f>
        <v>债务转为资本</v>
      </c>
      <c r="H5132" s="1476">
        <f>VLOOKUP($B5132,Sheet_CF7,4,0)</f>
        <v>0</v>
      </c>
      <c r="I5132" s="1477">
        <f>VLOOKUP($B5132,Sheet_CF7,5,0)</f>
        <v>0</v>
      </c>
      <c r="J5132" s="291"/>
      <c r="K5132" s="291"/>
      <c r="L5132" s="291"/>
      <c r="M5132" s="291"/>
      <c r="S5132" s="364"/>
      <c r="Z5132" s="609" t="s">
        <v>1995</v>
      </c>
      <c r="AA5132" s="609"/>
    </row>
    <row r="5133" spans="1:27" ht="18">
      <c r="A5133" s="2714"/>
      <c r="B5133" s="371">
        <v>7528</v>
      </c>
      <c r="C5133" s="371"/>
      <c r="D5133" s="2716">
        <f>IF(OR(G5133="*",G5133="",G5133=0),0,COUNTIF($G$5132:$G$5135,G5133))</f>
        <v>1</v>
      </c>
      <c r="E5133" s="2721">
        <v>1</v>
      </c>
      <c r="F5133" s="294"/>
      <c r="G5133" s="1502" t="str">
        <f>VLOOKUP($B5133,Sheet_Items,6,0)</f>
        <v>一年内到期的可转换公司债券</v>
      </c>
      <c r="H5133" s="1476">
        <f>VLOOKUP($B5133,Sheet_CF7,4,0)</f>
        <v>0</v>
      </c>
      <c r="I5133" s="1477">
        <f>VLOOKUP($B5133,Sheet_CF7,5,0)</f>
        <v>0</v>
      </c>
      <c r="J5133" s="291"/>
      <c r="K5133" s="291"/>
      <c r="L5133" s="291"/>
      <c r="M5133" s="291"/>
      <c r="S5133" s="364"/>
      <c r="Z5133" s="609" t="s">
        <v>1995</v>
      </c>
      <c r="AA5133" s="609"/>
    </row>
    <row r="5134" spans="1:27" ht="18">
      <c r="A5134" s="2714"/>
      <c r="B5134" s="371">
        <v>7529</v>
      </c>
      <c r="C5134" s="371"/>
      <c r="D5134" s="2716">
        <f>IF(OR(G5134="*",G5134="",G5134=0),0,COUNTIF($G$5132:$G$5135,G5134))</f>
        <v>1</v>
      </c>
      <c r="E5134" s="2721">
        <v>1</v>
      </c>
      <c r="F5134" s="294"/>
      <c r="G5134" s="1502" t="str">
        <f>VLOOKUP($B5134,Sheet_Items,6,0)</f>
        <v>融资租入固定资产</v>
      </c>
      <c r="H5134" s="1476">
        <f>VLOOKUP($B5134,Sheet_CF7,4,0)</f>
        <v>0</v>
      </c>
      <c r="I5134" s="1477">
        <f>VLOOKUP($B5134,Sheet_CF7,5,0)</f>
        <v>0</v>
      </c>
      <c r="J5134" s="291"/>
      <c r="K5134" s="291"/>
      <c r="L5134" s="291"/>
      <c r="M5134" s="291"/>
      <c r="S5134" s="364"/>
      <c r="Z5134" s="609" t="s">
        <v>1995</v>
      </c>
      <c r="AA5134" s="609"/>
    </row>
    <row r="5135" spans="1:27" ht="18.75" thickBot="1">
      <c r="A5135" s="2714"/>
      <c r="B5135" s="371"/>
      <c r="C5135" s="371"/>
      <c r="D5135" s="2716">
        <f>IF(OR(G5135="*",G5135="",G5135=0),0,COUNTIF($G$5132:$G$5135,G5135))</f>
        <v>0</v>
      </c>
      <c r="E5135" s="2721" t="s">
        <v>3595</v>
      </c>
      <c r="F5135" s="294"/>
      <c r="G5135" s="2381"/>
      <c r="H5135" s="2680"/>
      <c r="I5135" s="2681"/>
      <c r="J5135" s="291"/>
      <c r="K5135" s="291"/>
      <c r="L5135" s="291"/>
      <c r="M5135" s="291"/>
      <c r="S5135" s="364"/>
      <c r="Z5135" s="609" t="s">
        <v>1995</v>
      </c>
      <c r="AA5135" s="609"/>
    </row>
    <row r="5136" spans="1:27" ht="18">
      <c r="A5136" s="2714"/>
      <c r="B5136" s="371"/>
      <c r="C5136" s="371" t="s">
        <v>2755</v>
      </c>
      <c r="D5136" s="371"/>
      <c r="F5136" s="294"/>
      <c r="G5136" s="301"/>
      <c r="H5136" s="315"/>
      <c r="I5136" s="315"/>
      <c r="J5136" s="291"/>
      <c r="K5136" s="291"/>
      <c r="L5136" s="291"/>
      <c r="M5136" s="291"/>
      <c r="S5136" s="364"/>
      <c r="Z5136" s="609" t="s">
        <v>1995</v>
      </c>
      <c r="AA5136" s="609"/>
    </row>
    <row r="5137" spans="1:27" ht="24">
      <c r="A5137" s="2714" t="s">
        <v>1998</v>
      </c>
      <c r="B5137" s="371">
        <v>3</v>
      </c>
      <c r="C5137" s="371"/>
      <c r="D5137" s="2716" t="str">
        <f>VLOOKUP($A5137,Sheet_NoteList,2,0)</f>
        <v>现金及现金等价物净变动情况</v>
      </c>
      <c r="E5137" s="2716" t="s">
        <v>2742</v>
      </c>
      <c r="F5137" s="294"/>
      <c r="G5137" s="372" t="str">
        <f>"("&amp;B5137&amp;")"&amp;D5137</f>
        <v>(3)现金及现金等价物净变动情况</v>
      </c>
      <c r="H5137" s="1517" t="str">
        <f>$A5137</f>
        <v>7500c</v>
      </c>
      <c r="I5137" s="343" t="s">
        <v>2743</v>
      </c>
      <c r="J5137" s="301"/>
      <c r="K5137" s="3083"/>
      <c r="L5137" s="315"/>
      <c r="M5137" s="301"/>
      <c r="N5137" s="3083"/>
      <c r="O5137" s="315"/>
      <c r="P5137" s="301"/>
      <c r="Q5137" s="290" t="str">
        <f>IF($I5137="不适用","",IF(ROUND(SUM($H$5140:$I$5144),2)=0,"请输入",""))</f>
        <v/>
      </c>
      <c r="S5137" s="364"/>
      <c r="Z5137" s="609" t="s">
        <v>1995</v>
      </c>
      <c r="AA5137" s="609"/>
    </row>
    <row r="5138" spans="1:27" ht="0.75" customHeight="1" thickBot="1">
      <c r="A5138" s="2714"/>
      <c r="B5138" s="371"/>
      <c r="C5138" s="371"/>
      <c r="D5138" s="371"/>
      <c r="F5138" s="304" t="s">
        <v>5812</v>
      </c>
      <c r="G5138" s="304" t="s">
        <v>4399</v>
      </c>
      <c r="H5138" s="304" t="s">
        <v>3472</v>
      </c>
      <c r="I5138" s="304" t="s">
        <v>3473</v>
      </c>
      <c r="J5138" s="291"/>
      <c r="K5138" s="291"/>
      <c r="L5138" s="291"/>
      <c r="M5138" s="291"/>
      <c r="S5138" s="364"/>
      <c r="Z5138" s="609" t="s">
        <v>1995</v>
      </c>
      <c r="AA5138" s="609"/>
    </row>
    <row r="5139" spans="1:27" ht="18">
      <c r="A5139" s="2714"/>
      <c r="B5139" s="371"/>
      <c r="C5139" s="371"/>
      <c r="D5139" s="371"/>
      <c r="E5139" s="2716" t="s">
        <v>2749</v>
      </c>
      <c r="F5139" s="294"/>
      <c r="G5139" s="378" t="s">
        <v>918</v>
      </c>
      <c r="H5139" s="398" t="str">
        <f>$V$4</f>
        <v>2019年度</v>
      </c>
      <c r="I5139" s="511" t="str">
        <f>$V$5</f>
        <v>2018年度</v>
      </c>
      <c r="J5139" s="355" t="s">
        <v>5343</v>
      </c>
      <c r="K5139" s="291"/>
      <c r="L5139" s="291"/>
      <c r="M5139" s="291"/>
      <c r="S5139" s="364"/>
      <c r="Z5139" s="609" t="s">
        <v>1995</v>
      </c>
      <c r="AA5139" s="609"/>
    </row>
    <row r="5140" spans="1:27" ht="18">
      <c r="A5140" s="2714"/>
      <c r="B5140" s="371">
        <v>7535</v>
      </c>
      <c r="C5140" s="371"/>
      <c r="D5140" s="2716">
        <f>IF(OR(G5140="*",G5140="",G5140=0),0,COUNTIF($G$5140:$G$5144,G5140))</f>
        <v>1</v>
      </c>
      <c r="E5140" s="2721">
        <v>1</v>
      </c>
      <c r="F5140" s="294"/>
      <c r="G5140" s="380" t="str">
        <f>VLOOKUP($B5140,Sheet_Items,6,0)</f>
        <v>现金的期末余额</v>
      </c>
      <c r="H5140" s="383">
        <f>VLOOKUP($B5140,Sheet_CF7,4,0)</f>
        <v>479304.95</v>
      </c>
      <c r="I5140" s="401">
        <f>VLOOKUP($B5140,Sheet_CF7,5,0)</f>
        <v>252723.84</v>
      </c>
      <c r="J5140" s="291"/>
      <c r="K5140" s="291"/>
      <c r="L5140" s="291"/>
      <c r="M5140" s="291"/>
      <c r="S5140" s="364"/>
      <c r="Z5140" s="609" t="s">
        <v>1995</v>
      </c>
      <c r="AA5140" s="609"/>
    </row>
    <row r="5141" spans="1:27" ht="18">
      <c r="A5141" s="2714"/>
      <c r="B5141" s="371">
        <v>7536</v>
      </c>
      <c r="C5141" s="371"/>
      <c r="D5141" s="2716">
        <f>IF(OR(G5141="*",G5141="",G5141=0),0,COUNTIF($G$5140:$G$5144,G5141))</f>
        <v>1</v>
      </c>
      <c r="E5141" s="2721">
        <v>-1</v>
      </c>
      <c r="F5141" s="294"/>
      <c r="G5141" s="380" t="str">
        <f>VLOOKUP($B5141,Sheet_Items,6,0)</f>
        <v>减：现金的年初余额</v>
      </c>
      <c r="H5141" s="383">
        <f>VLOOKUP($B5141,Sheet_CF7,4,0)</f>
        <v>252723.84</v>
      </c>
      <c r="I5141" s="401">
        <f>VLOOKUP($B5141,Sheet_CF7,5,0)</f>
        <v>3232013.12</v>
      </c>
      <c r="J5141" s="291"/>
      <c r="K5141" s="291"/>
      <c r="L5141" s="291"/>
      <c r="M5141" s="291"/>
      <c r="S5141" s="364"/>
      <c r="Z5141" s="609" t="s">
        <v>1995</v>
      </c>
      <c r="AA5141" s="609"/>
    </row>
    <row r="5142" spans="1:27" ht="18">
      <c r="A5142" s="2714"/>
      <c r="B5142" s="371">
        <v>7537</v>
      </c>
      <c r="C5142" s="371"/>
      <c r="D5142" s="2716">
        <f>IF(OR(G5142="*",G5142="",G5142=0),0,COUNTIF($G$5140:$G$5144,G5142))</f>
        <v>1</v>
      </c>
      <c r="E5142" s="2721">
        <v>1</v>
      </c>
      <c r="F5142" s="294"/>
      <c r="G5142" s="380" t="str">
        <f>VLOOKUP($B5142,Sheet_Items,6,0)</f>
        <v>加：现金等价物的期末余额</v>
      </c>
      <c r="H5142" s="383">
        <f>VLOOKUP($B5142,Sheet_CF7,4,0)</f>
        <v>0</v>
      </c>
      <c r="I5142" s="401">
        <f>VLOOKUP($B5142,Sheet_CF7,5,0)</f>
        <v>0</v>
      </c>
      <c r="J5142" s="291"/>
      <c r="K5142" s="291"/>
      <c r="L5142" s="291"/>
      <c r="M5142" s="291"/>
      <c r="S5142" s="364"/>
      <c r="Z5142" s="609" t="s">
        <v>1995</v>
      </c>
      <c r="AA5142" s="609"/>
    </row>
    <row r="5143" spans="1:27" ht="18">
      <c r="A5143" s="2714"/>
      <c r="B5143" s="371">
        <v>7538</v>
      </c>
      <c r="C5143" s="371"/>
      <c r="D5143" s="2716">
        <f>IF(OR(G5143="*",G5143="",G5143=0),0,COUNTIF($G$5140:$G$5144,G5143))</f>
        <v>1</v>
      </c>
      <c r="E5143" s="2721">
        <v>-1</v>
      </c>
      <c r="F5143" s="294"/>
      <c r="G5143" s="380" t="str">
        <f>VLOOKUP($B5143,Sheet_Items,6,0)</f>
        <v>减：现金等价物的年初余额</v>
      </c>
      <c r="H5143" s="383">
        <f>VLOOKUP($B5143,Sheet_CF7,4,0)</f>
        <v>0</v>
      </c>
      <c r="I5143" s="401">
        <f>VLOOKUP($B5143,Sheet_CF7,5,0)</f>
        <v>0</v>
      </c>
      <c r="J5143" s="291"/>
      <c r="K5143" s="291"/>
      <c r="L5143" s="291"/>
      <c r="M5143" s="291"/>
      <c r="S5143" s="364"/>
      <c r="Z5143" s="609" t="s">
        <v>1995</v>
      </c>
      <c r="AA5143" s="609"/>
    </row>
    <row r="5144" spans="1:27" ht="18.75" thickBot="1">
      <c r="A5144" s="2714"/>
      <c r="B5144" s="371"/>
      <c r="C5144" s="371"/>
      <c r="D5144" s="2716">
        <f>IF(OR(G5144="*",G5144="",G5144=0),0,COUNTIF($G$5140:$G$5144,G5144))</f>
        <v>1</v>
      </c>
      <c r="E5144" s="2721" t="s">
        <v>3032</v>
      </c>
      <c r="F5144" s="294"/>
      <c r="G5144" s="403" t="s">
        <v>2269</v>
      </c>
      <c r="H5144" s="503">
        <f>SUMPRODUCT($E5139:$E5143,H5139:H5143)</f>
        <v>226581.11</v>
      </c>
      <c r="I5144" s="515">
        <f>SUMPRODUCT($E5139:$E5143,I5139:I5143)</f>
        <v>-2979289.28</v>
      </c>
      <c r="J5144" s="291"/>
      <c r="K5144" s="291"/>
      <c r="L5144" s="291"/>
      <c r="M5144" s="291"/>
      <c r="S5144" s="364"/>
      <c r="Z5144" s="609" t="s">
        <v>1995</v>
      </c>
      <c r="AA5144" s="609"/>
    </row>
    <row r="5145" spans="1:27" ht="18">
      <c r="A5145" s="2714"/>
      <c r="B5145" s="371"/>
      <c r="C5145" s="371" t="s">
        <v>2755</v>
      </c>
      <c r="D5145" s="371"/>
      <c r="F5145" s="294"/>
      <c r="G5145" s="301"/>
      <c r="H5145" s="349"/>
      <c r="I5145" s="349"/>
      <c r="J5145" s="291"/>
      <c r="K5145" s="291"/>
      <c r="L5145" s="291"/>
      <c r="M5145" s="291"/>
      <c r="S5145" s="364"/>
      <c r="Z5145" s="609" t="s">
        <v>1995</v>
      </c>
      <c r="AA5145" s="609"/>
    </row>
    <row r="5146" spans="1:27" ht="24">
      <c r="A5146" s="2714" t="s">
        <v>2008</v>
      </c>
      <c r="B5146" s="371">
        <v>4</v>
      </c>
      <c r="C5146" s="371"/>
      <c r="D5146" s="2716" t="str">
        <f>VLOOKUP($A5146,Sheet_NoteList,2,0)</f>
        <v>本期支付的取得子公司的现金净额</v>
      </c>
      <c r="E5146" s="2716" t="s">
        <v>2742</v>
      </c>
      <c r="F5146" s="294"/>
      <c r="G5146" s="372" t="str">
        <f>"("&amp;B5146&amp;")"&amp;D5146</f>
        <v>(4)本期支付的取得子公司的现金净额</v>
      </c>
      <c r="H5146" s="1517" t="str">
        <f>$A5146</f>
        <v>7500g</v>
      </c>
      <c r="I5146" s="343" t="s">
        <v>2743</v>
      </c>
      <c r="J5146" s="301"/>
      <c r="K5146" s="3083"/>
      <c r="L5146" s="315"/>
      <c r="M5146" s="301"/>
      <c r="N5146" s="3083"/>
      <c r="O5146" s="315"/>
      <c r="P5146" s="301"/>
      <c r="S5146" s="364"/>
      <c r="Z5146" s="609" t="s">
        <v>1995</v>
      </c>
      <c r="AA5146" s="609"/>
    </row>
    <row r="5147" spans="1:27" ht="0.75" customHeight="1" thickBot="1">
      <c r="A5147" s="2714"/>
      <c r="B5147" s="371"/>
      <c r="C5147" s="371"/>
      <c r="D5147" s="371"/>
      <c r="F5147" s="304"/>
      <c r="G5147" s="304" t="s">
        <v>4400</v>
      </c>
      <c r="H5147" s="304" t="s">
        <v>3472</v>
      </c>
      <c r="I5147" s="291"/>
      <c r="J5147" s="291"/>
      <c r="K5147" s="291"/>
      <c r="L5147" s="291"/>
      <c r="M5147" s="291"/>
      <c r="S5147" s="364"/>
      <c r="Z5147" s="609" t="s">
        <v>1995</v>
      </c>
      <c r="AA5147" s="609"/>
    </row>
    <row r="5148" spans="1:27" ht="18">
      <c r="A5148" s="2714"/>
      <c r="B5148" s="371"/>
      <c r="C5148" s="371"/>
      <c r="D5148" s="371"/>
      <c r="E5148" s="2716" t="s">
        <v>2749</v>
      </c>
      <c r="F5148" s="294"/>
      <c r="G5148" s="2613" t="s">
        <v>47</v>
      </c>
      <c r="H5148" s="2614" t="s">
        <v>4242</v>
      </c>
      <c r="I5148" s="355" t="s">
        <v>5343</v>
      </c>
      <c r="J5148" s="291"/>
      <c r="K5148" s="291"/>
      <c r="L5148" s="291"/>
      <c r="M5148" s="291"/>
      <c r="S5148" s="364"/>
      <c r="Z5148" s="609" t="s">
        <v>1995</v>
      </c>
      <c r="AA5148" s="609"/>
    </row>
    <row r="5149" spans="1:27" ht="24">
      <c r="A5149" s="2714"/>
      <c r="B5149" s="371">
        <v>101</v>
      </c>
      <c r="C5149" s="371"/>
      <c r="D5149" s="2716">
        <f t="shared" ref="D5149:D5154" si="562">IF(OR(G5149="*",G5149="",G5149=0),0,COUNTIF($G$5149:$G$5154,G5149))</f>
        <v>1</v>
      </c>
      <c r="E5149" s="2721">
        <v>1</v>
      </c>
      <c r="F5149" s="294"/>
      <c r="G5149" s="380" t="s">
        <v>4401</v>
      </c>
      <c r="H5149" s="401"/>
      <c r="I5149" s="291"/>
      <c r="J5149" s="291"/>
      <c r="K5149" s="291"/>
      <c r="L5149" s="291"/>
      <c r="M5149" s="291"/>
      <c r="S5149" s="364"/>
      <c r="Z5149" s="609" t="s">
        <v>1995</v>
      </c>
      <c r="AA5149" s="609"/>
    </row>
    <row r="5150" spans="1:27" ht="24">
      <c r="A5150" s="2714"/>
      <c r="B5150" s="371">
        <v>102</v>
      </c>
      <c r="C5150" s="371"/>
      <c r="D5150" s="2716">
        <f t="shared" si="562"/>
        <v>1</v>
      </c>
      <c r="E5150" s="2721">
        <v>-1</v>
      </c>
      <c r="F5150" s="294"/>
      <c r="G5150" s="380" t="s">
        <v>4402</v>
      </c>
      <c r="H5150" s="401"/>
      <c r="I5150" s="291"/>
      <c r="J5150" s="291"/>
      <c r="K5150" s="291"/>
      <c r="L5150" s="291"/>
      <c r="M5150" s="291"/>
      <c r="S5150" s="364"/>
      <c r="Z5150" s="609" t="s">
        <v>1995</v>
      </c>
      <c r="AA5150" s="609"/>
    </row>
    <row r="5151" spans="1:27" ht="18">
      <c r="A5151" s="2714"/>
      <c r="B5151" s="371">
        <v>103</v>
      </c>
      <c r="C5151" s="371" t="s">
        <v>2791</v>
      </c>
      <c r="D5151" s="2716">
        <f t="shared" si="562"/>
        <v>0</v>
      </c>
      <c r="E5151" s="2721">
        <v>-1</v>
      </c>
      <c r="F5151" s="294"/>
      <c r="G5151" s="409" t="s">
        <v>2792</v>
      </c>
      <c r="H5151" s="401"/>
      <c r="I5151" s="291"/>
      <c r="J5151" s="291"/>
      <c r="K5151" s="291"/>
      <c r="L5151" s="291"/>
      <c r="M5151" s="291"/>
      <c r="S5151" s="364"/>
      <c r="Z5151" s="609" t="s">
        <v>1995</v>
      </c>
      <c r="AA5151" s="609"/>
    </row>
    <row r="5152" spans="1:27" ht="36">
      <c r="A5152" s="2714"/>
      <c r="B5152" s="371">
        <v>104</v>
      </c>
      <c r="C5152" s="371"/>
      <c r="D5152" s="2716">
        <f t="shared" si="562"/>
        <v>1</v>
      </c>
      <c r="E5152" s="2721">
        <v>1</v>
      </c>
      <c r="F5152" s="294"/>
      <c r="G5152" s="380" t="s">
        <v>4403</v>
      </c>
      <c r="H5152" s="401"/>
      <c r="I5152" s="291"/>
      <c r="J5152" s="291"/>
      <c r="K5152" s="291"/>
      <c r="L5152" s="291"/>
      <c r="M5152" s="291"/>
      <c r="S5152" s="364"/>
      <c r="Z5152" s="609" t="s">
        <v>1995</v>
      </c>
      <c r="AA5152" s="609"/>
    </row>
    <row r="5153" spans="1:27" ht="18">
      <c r="A5153" s="2714"/>
      <c r="B5153" s="371">
        <v>105</v>
      </c>
      <c r="C5153" s="371" t="s">
        <v>2791</v>
      </c>
      <c r="D5153" s="2716">
        <f t="shared" si="562"/>
        <v>0</v>
      </c>
      <c r="E5153" s="2721">
        <v>1</v>
      </c>
      <c r="F5153" s="294"/>
      <c r="G5153" s="409" t="s">
        <v>2792</v>
      </c>
      <c r="H5153" s="401"/>
      <c r="I5153" s="291"/>
      <c r="J5153" s="291"/>
      <c r="K5153" s="291"/>
      <c r="L5153" s="291"/>
      <c r="M5153" s="291"/>
      <c r="S5153" s="364"/>
      <c r="Z5153" s="609" t="s">
        <v>1995</v>
      </c>
      <c r="AA5153" s="609"/>
    </row>
    <row r="5154" spans="1:27" ht="18.75" thickBot="1">
      <c r="A5154" s="2714"/>
      <c r="B5154" s="371"/>
      <c r="C5154" s="371"/>
      <c r="D5154" s="2716">
        <f t="shared" si="562"/>
        <v>1</v>
      </c>
      <c r="E5154" s="2721" t="s">
        <v>3032</v>
      </c>
      <c r="F5154" s="294"/>
      <c r="G5154" s="2615" t="s">
        <v>4404</v>
      </c>
      <c r="H5154" s="2616">
        <f>SUMPRODUCT($E5148:$E5153,H5148:H5153)</f>
        <v>0</v>
      </c>
      <c r="I5154" s="291"/>
      <c r="J5154" s="291"/>
      <c r="K5154" s="291"/>
      <c r="L5154" s="291"/>
      <c r="M5154" s="291"/>
      <c r="S5154" s="364"/>
      <c r="Z5154" s="609" t="s">
        <v>1995</v>
      </c>
      <c r="AA5154" s="609"/>
    </row>
    <row r="5155" spans="1:27" ht="18">
      <c r="A5155" s="2714"/>
      <c r="B5155" s="371"/>
      <c r="C5155" s="371" t="s">
        <v>2755</v>
      </c>
      <c r="D5155" s="371"/>
      <c r="F5155" s="294"/>
      <c r="G5155" s="301"/>
      <c r="H5155" s="315"/>
      <c r="I5155" s="349"/>
      <c r="J5155" s="291"/>
      <c r="K5155" s="291"/>
      <c r="L5155" s="291"/>
      <c r="M5155" s="291"/>
      <c r="S5155" s="364"/>
      <c r="Z5155" s="609" t="s">
        <v>1995</v>
      </c>
      <c r="AA5155" s="609"/>
    </row>
    <row r="5156" spans="1:27" ht="24">
      <c r="A5156" s="2714" t="s">
        <v>2010</v>
      </c>
      <c r="B5156" s="371">
        <v>5</v>
      </c>
      <c r="C5156" s="371"/>
      <c r="D5156" s="2716" t="str">
        <f>VLOOKUP($A5156,Sheet_NoteList,2,0)</f>
        <v>本期收到的处置子公司的现金净额</v>
      </c>
      <c r="E5156" s="2716" t="s">
        <v>2742</v>
      </c>
      <c r="F5156" s="294"/>
      <c r="G5156" s="372" t="str">
        <f>"("&amp;B5156&amp;")"&amp;D5156</f>
        <v>(5)本期收到的处置子公司的现金净额</v>
      </c>
      <c r="H5156" s="1517" t="str">
        <f>$A5156</f>
        <v>7500h</v>
      </c>
      <c r="I5156" s="343" t="s">
        <v>2743</v>
      </c>
      <c r="J5156" s="301"/>
      <c r="K5156" s="3083"/>
      <c r="L5156" s="315"/>
      <c r="M5156" s="301"/>
      <c r="N5156" s="3083"/>
      <c r="O5156" s="315"/>
      <c r="P5156" s="301"/>
      <c r="S5156" s="364"/>
      <c r="Z5156" s="609" t="s">
        <v>1995</v>
      </c>
      <c r="AA5156" s="609"/>
    </row>
    <row r="5157" spans="1:27" ht="0.75" customHeight="1" thickBot="1">
      <c r="A5157" s="2714"/>
      <c r="B5157" s="371"/>
      <c r="C5157" s="371"/>
      <c r="D5157" s="371"/>
      <c r="F5157" s="304"/>
      <c r="G5157" s="304" t="s">
        <v>4405</v>
      </c>
      <c r="H5157" s="304" t="s">
        <v>3472</v>
      </c>
      <c r="I5157" s="291"/>
      <c r="J5157" s="291"/>
      <c r="K5157" s="291"/>
      <c r="L5157" s="291"/>
      <c r="M5157" s="291"/>
      <c r="S5157" s="364"/>
      <c r="Z5157" s="609" t="s">
        <v>1995</v>
      </c>
      <c r="AA5157" s="609"/>
    </row>
    <row r="5158" spans="1:27" ht="18">
      <c r="A5158" s="2714"/>
      <c r="B5158" s="371"/>
      <c r="C5158" s="371"/>
      <c r="D5158" s="371"/>
      <c r="E5158" s="2716" t="s">
        <v>2749</v>
      </c>
      <c r="F5158" s="294"/>
      <c r="G5158" s="2613" t="s">
        <v>47</v>
      </c>
      <c r="H5158" s="2614" t="s">
        <v>4242</v>
      </c>
      <c r="I5158" s="355" t="s">
        <v>5343</v>
      </c>
      <c r="J5158" s="291"/>
      <c r="K5158" s="291"/>
      <c r="L5158" s="291"/>
      <c r="M5158" s="291"/>
      <c r="S5158" s="364"/>
      <c r="Z5158" s="609" t="s">
        <v>1995</v>
      </c>
      <c r="AA5158" s="609"/>
    </row>
    <row r="5159" spans="1:27" ht="24">
      <c r="A5159" s="2714"/>
      <c r="B5159" s="371">
        <v>101</v>
      </c>
      <c r="C5159" s="371"/>
      <c r="D5159" s="2716">
        <f t="shared" ref="D5159:D5164" si="563">IF(OR(G5159="*",G5159="",G5159=0),0,COUNTIF($G$5159:$G$5164,G5159))</f>
        <v>1</v>
      </c>
      <c r="E5159" s="2721">
        <v>1</v>
      </c>
      <c r="F5159" s="294"/>
      <c r="G5159" s="380" t="s">
        <v>4406</v>
      </c>
      <c r="H5159" s="401"/>
      <c r="I5159" s="291"/>
      <c r="J5159" s="291"/>
      <c r="K5159" s="291"/>
      <c r="L5159" s="291"/>
      <c r="M5159" s="291"/>
      <c r="S5159" s="364"/>
      <c r="Z5159" s="609" t="s">
        <v>1995</v>
      </c>
      <c r="AA5159" s="609"/>
    </row>
    <row r="5160" spans="1:27" ht="24">
      <c r="A5160" s="2714"/>
      <c r="B5160" s="371">
        <v>102</v>
      </c>
      <c r="C5160" s="371"/>
      <c r="D5160" s="2716">
        <f t="shared" si="563"/>
        <v>1</v>
      </c>
      <c r="E5160" s="2721">
        <v>-1</v>
      </c>
      <c r="F5160" s="294"/>
      <c r="G5160" s="380" t="s">
        <v>4407</v>
      </c>
      <c r="H5160" s="401"/>
      <c r="I5160" s="291"/>
      <c r="J5160" s="291"/>
      <c r="K5160" s="291"/>
      <c r="L5160" s="291"/>
      <c r="M5160" s="291"/>
      <c r="S5160" s="364"/>
      <c r="Z5160" s="609" t="s">
        <v>1995</v>
      </c>
      <c r="AA5160" s="609"/>
    </row>
    <row r="5161" spans="1:27" ht="18">
      <c r="A5161" s="2714"/>
      <c r="B5161" s="371">
        <v>103</v>
      </c>
      <c r="C5161" s="371" t="s">
        <v>2791</v>
      </c>
      <c r="D5161" s="2716">
        <f t="shared" si="563"/>
        <v>0</v>
      </c>
      <c r="E5161" s="2721">
        <v>-1</v>
      </c>
      <c r="F5161" s="294"/>
      <c r="G5161" s="409" t="s">
        <v>2792</v>
      </c>
      <c r="H5161" s="401"/>
      <c r="I5161" s="291"/>
      <c r="J5161" s="291"/>
      <c r="K5161" s="291"/>
      <c r="L5161" s="291"/>
      <c r="M5161" s="291"/>
      <c r="S5161" s="364"/>
      <c r="Z5161" s="609" t="s">
        <v>1995</v>
      </c>
      <c r="AA5161" s="609"/>
    </row>
    <row r="5162" spans="1:27" ht="24">
      <c r="A5162" s="2714"/>
      <c r="B5162" s="371">
        <v>104</v>
      </c>
      <c r="C5162" s="371"/>
      <c r="D5162" s="2716">
        <f t="shared" si="563"/>
        <v>1</v>
      </c>
      <c r="E5162" s="2721">
        <v>1</v>
      </c>
      <c r="F5162" s="294"/>
      <c r="G5162" s="380" t="s">
        <v>4408</v>
      </c>
      <c r="H5162" s="401"/>
      <c r="I5162" s="291"/>
      <c r="J5162" s="291"/>
      <c r="K5162" s="291"/>
      <c r="L5162" s="291"/>
      <c r="M5162" s="291"/>
      <c r="S5162" s="364"/>
      <c r="Z5162" s="609" t="s">
        <v>1995</v>
      </c>
      <c r="AA5162" s="609"/>
    </row>
    <row r="5163" spans="1:27" ht="18">
      <c r="A5163" s="2714"/>
      <c r="B5163" s="371">
        <v>105</v>
      </c>
      <c r="C5163" s="371" t="s">
        <v>2791</v>
      </c>
      <c r="D5163" s="2716">
        <f t="shared" si="563"/>
        <v>0</v>
      </c>
      <c r="E5163" s="2721">
        <v>1</v>
      </c>
      <c r="F5163" s="294"/>
      <c r="G5163" s="409" t="s">
        <v>2792</v>
      </c>
      <c r="H5163" s="401"/>
      <c r="I5163" s="291"/>
      <c r="J5163" s="291"/>
      <c r="K5163" s="291"/>
      <c r="L5163" s="291"/>
      <c r="M5163" s="291"/>
      <c r="S5163" s="364"/>
      <c r="Z5163" s="609" t="s">
        <v>1995</v>
      </c>
      <c r="AA5163" s="609"/>
    </row>
    <row r="5164" spans="1:27" ht="18.75" thickBot="1">
      <c r="A5164" s="2714"/>
      <c r="B5164" s="371"/>
      <c r="C5164" s="371"/>
      <c r="D5164" s="2716">
        <f t="shared" si="563"/>
        <v>1</v>
      </c>
      <c r="E5164" s="2721" t="s">
        <v>3032</v>
      </c>
      <c r="F5164" s="294"/>
      <c r="G5164" s="2615" t="s">
        <v>4409</v>
      </c>
      <c r="H5164" s="2616">
        <f>SUMPRODUCT($E5158:$E5163,H5158:H5163)</f>
        <v>0</v>
      </c>
      <c r="I5164" s="291"/>
      <c r="J5164" s="291"/>
      <c r="K5164" s="291"/>
      <c r="L5164" s="291"/>
      <c r="M5164" s="291"/>
      <c r="S5164" s="364"/>
      <c r="Z5164" s="609" t="s">
        <v>1995</v>
      </c>
      <c r="AA5164" s="609"/>
    </row>
    <row r="5165" spans="1:27" ht="18">
      <c r="A5165" s="2714"/>
      <c r="B5165" s="371"/>
      <c r="C5165" s="371" t="s">
        <v>2755</v>
      </c>
      <c r="D5165" s="371"/>
      <c r="F5165" s="294"/>
      <c r="G5165" s="301"/>
      <c r="H5165" s="315"/>
      <c r="I5165" s="349"/>
      <c r="J5165" s="291"/>
      <c r="K5165" s="291"/>
      <c r="L5165" s="291"/>
      <c r="M5165" s="291"/>
      <c r="S5165" s="364"/>
      <c r="Z5165" s="609" t="s">
        <v>1995</v>
      </c>
      <c r="AA5165" s="609"/>
    </row>
    <row r="5166" spans="1:27" ht="24">
      <c r="A5166" s="2714" t="s">
        <v>2003</v>
      </c>
      <c r="B5166" s="371">
        <v>6</v>
      </c>
      <c r="C5166" s="371"/>
      <c r="D5166" s="2716" t="str">
        <f>VLOOKUP($A5166,Sheet_NoteList,2,0)</f>
        <v>现金及现金等价物的构成</v>
      </c>
      <c r="E5166" s="2716" t="s">
        <v>2742</v>
      </c>
      <c r="F5166" s="294"/>
      <c r="G5166" s="372" t="str">
        <f>"("&amp;B5166&amp;")"&amp;D5166</f>
        <v>(6)现金及现金等价物的构成</v>
      </c>
      <c r="H5166" s="1517" t="str">
        <f>$A5166</f>
        <v>7500e</v>
      </c>
      <c r="I5166" s="343" t="s">
        <v>2743</v>
      </c>
      <c r="J5166" s="301"/>
      <c r="K5166" s="3083"/>
      <c r="L5166" s="315"/>
      <c r="M5166" s="301"/>
      <c r="N5166" s="3083"/>
      <c r="O5166" s="315"/>
      <c r="P5166" s="301"/>
      <c r="Q5166" s="290" t="str">
        <f ca="1">IF($I5166="不适用","",IF(ROUND(SUM($H$5169:$I$5180),2)=0,"请输入",""))</f>
        <v>请输入</v>
      </c>
      <c r="S5166" s="364"/>
      <c r="Z5166" s="609" t="s">
        <v>1995</v>
      </c>
      <c r="AA5166" s="609"/>
    </row>
    <row r="5167" spans="1:27" ht="0.75" customHeight="1" thickBot="1">
      <c r="A5167" s="2714"/>
      <c r="B5167" s="371"/>
      <c r="C5167" s="371"/>
      <c r="D5167" s="371"/>
      <c r="F5167" s="371"/>
      <c r="G5167" s="371" t="s">
        <v>4410</v>
      </c>
      <c r="H5167" s="371" t="s">
        <v>3472</v>
      </c>
      <c r="I5167" s="371" t="s">
        <v>3473</v>
      </c>
      <c r="J5167" s="291"/>
      <c r="K5167" s="291"/>
      <c r="L5167" s="291"/>
      <c r="M5167" s="291"/>
      <c r="S5167" s="364"/>
      <c r="Z5167" s="609" t="s">
        <v>1995</v>
      </c>
      <c r="AA5167" s="609"/>
    </row>
    <row r="5168" spans="1:27" ht="18">
      <c r="A5168" s="2714"/>
      <c r="B5168" s="371"/>
      <c r="C5168" s="371"/>
      <c r="D5168" s="371"/>
      <c r="E5168" s="2716" t="s">
        <v>2749</v>
      </c>
      <c r="F5168" s="294"/>
      <c r="G5168" s="378" t="s">
        <v>47</v>
      </c>
      <c r="H5168" s="2473" t="str">
        <f>$V$2</f>
        <v>2019年12月31日</v>
      </c>
      <c r="I5168" s="1456" t="str">
        <f>$V$3</f>
        <v>2018年12月31日</v>
      </c>
      <c r="J5168" s="355" t="s">
        <v>5343</v>
      </c>
      <c r="K5168" s="291"/>
      <c r="L5168" s="291"/>
      <c r="M5168" s="291"/>
      <c r="S5168" s="364"/>
      <c r="Z5168" s="609" t="s">
        <v>1995</v>
      </c>
      <c r="AA5168" s="609"/>
    </row>
    <row r="5169" spans="1:27" ht="18">
      <c r="A5169" s="2714"/>
      <c r="B5169" s="371">
        <v>101</v>
      </c>
      <c r="C5169" s="371" t="s">
        <v>2793</v>
      </c>
      <c r="D5169" s="2716">
        <f t="shared" ref="D5169:D5180" si="564">IF(OR(G5169="*",G5169="",G5169=0),0,COUNTIF($G$5169:$G$5180,G5169))</f>
        <v>1</v>
      </c>
      <c r="E5169" s="2721">
        <v>1</v>
      </c>
      <c r="F5169" s="294"/>
      <c r="G5169" s="380" t="s">
        <v>4411</v>
      </c>
      <c r="H5169" s="561">
        <f ca="1">SUMIF($E$5169:$E$5180,$G5169,H$5169:H$5178)</f>
        <v>0</v>
      </c>
      <c r="I5169" s="562">
        <f ca="1">SUMIF($E$5169:$E$5180,$G5169,I$5169:I$5178)</f>
        <v>0</v>
      </c>
      <c r="J5169" s="291"/>
      <c r="K5169" s="291"/>
      <c r="L5169" s="291"/>
      <c r="M5169" s="291"/>
      <c r="S5169" s="364"/>
      <c r="Z5169" s="609" t="s">
        <v>1995</v>
      </c>
      <c r="AA5169" s="609"/>
    </row>
    <row r="5170" spans="1:27" ht="18">
      <c r="A5170" s="2714"/>
      <c r="B5170" s="371">
        <v>101.001</v>
      </c>
      <c r="C5170" s="371"/>
      <c r="D5170" s="2716">
        <f t="shared" si="564"/>
        <v>1</v>
      </c>
      <c r="E5170" s="2721" t="s">
        <v>4411</v>
      </c>
      <c r="F5170" s="294"/>
      <c r="G5170" s="380" t="s">
        <v>4412</v>
      </c>
      <c r="H5170" s="383"/>
      <c r="I5170" s="401"/>
      <c r="J5170" s="291"/>
      <c r="K5170" s="291"/>
      <c r="L5170" s="291"/>
      <c r="M5170" s="291"/>
      <c r="S5170" s="364"/>
      <c r="Z5170" s="609" t="s">
        <v>1995</v>
      </c>
      <c r="AA5170" s="609"/>
    </row>
    <row r="5171" spans="1:27" ht="18">
      <c r="A5171" s="2714"/>
      <c r="B5171" s="371">
        <v>101.002</v>
      </c>
      <c r="C5171" s="371"/>
      <c r="D5171" s="2716">
        <f t="shared" si="564"/>
        <v>1</v>
      </c>
      <c r="E5171" s="2721" t="s">
        <v>4411</v>
      </c>
      <c r="F5171" s="294"/>
      <c r="G5171" s="380" t="s">
        <v>4413</v>
      </c>
      <c r="H5171" s="383"/>
      <c r="I5171" s="401"/>
      <c r="J5171" s="291"/>
      <c r="K5171" s="291"/>
      <c r="L5171" s="291"/>
      <c r="M5171" s="291"/>
      <c r="S5171" s="364"/>
      <c r="Z5171" s="609" t="s">
        <v>1995</v>
      </c>
      <c r="AA5171" s="609"/>
    </row>
    <row r="5172" spans="1:27" ht="24">
      <c r="A5172" s="2714"/>
      <c r="B5172" s="371">
        <v>101.003</v>
      </c>
      <c r="C5172" s="371"/>
      <c r="D5172" s="2716">
        <f t="shared" si="564"/>
        <v>1</v>
      </c>
      <c r="E5172" s="2721" t="s">
        <v>4411</v>
      </c>
      <c r="F5172" s="294"/>
      <c r="G5172" s="380" t="s">
        <v>4414</v>
      </c>
      <c r="H5172" s="383"/>
      <c r="I5172" s="401"/>
      <c r="J5172" s="291"/>
      <c r="K5172" s="291"/>
      <c r="L5172" s="291"/>
      <c r="M5172" s="291"/>
      <c r="S5172" s="364"/>
      <c r="Z5172" s="609" t="s">
        <v>1995</v>
      </c>
      <c r="AA5172" s="609"/>
    </row>
    <row r="5173" spans="1:27" ht="24">
      <c r="A5173" s="2714"/>
      <c r="B5173" s="371">
        <v>101.004</v>
      </c>
      <c r="C5173" s="371"/>
      <c r="D5173" s="2716">
        <f t="shared" si="564"/>
        <v>1</v>
      </c>
      <c r="E5173" s="2721" t="s">
        <v>4411</v>
      </c>
      <c r="F5173" s="294"/>
      <c r="G5173" s="380" t="s">
        <v>4415</v>
      </c>
      <c r="H5173" s="383"/>
      <c r="I5173" s="401"/>
      <c r="J5173" s="291"/>
      <c r="K5173" s="291"/>
      <c r="L5173" s="291"/>
      <c r="M5173" s="291"/>
      <c r="S5173" s="364"/>
      <c r="Z5173" s="609" t="s">
        <v>1995</v>
      </c>
      <c r="AA5173" s="609"/>
    </row>
    <row r="5174" spans="1:27" ht="18">
      <c r="A5174" s="2714"/>
      <c r="B5174" s="371">
        <v>101.005</v>
      </c>
      <c r="C5174" s="371"/>
      <c r="D5174" s="2716">
        <f t="shared" si="564"/>
        <v>1</v>
      </c>
      <c r="E5174" s="2721" t="s">
        <v>4411</v>
      </c>
      <c r="F5174" s="294"/>
      <c r="G5174" s="380" t="s">
        <v>4416</v>
      </c>
      <c r="H5174" s="383"/>
      <c r="I5174" s="401"/>
      <c r="J5174" s="291"/>
      <c r="K5174" s="291"/>
      <c r="L5174" s="291"/>
      <c r="M5174" s="291"/>
      <c r="S5174" s="364"/>
      <c r="Z5174" s="609" t="s">
        <v>1995</v>
      </c>
      <c r="AA5174" s="609"/>
    </row>
    <row r="5175" spans="1:27" ht="18">
      <c r="A5175" s="2714"/>
      <c r="B5175" s="371">
        <v>101.006</v>
      </c>
      <c r="C5175" s="371"/>
      <c r="D5175" s="2716">
        <f t="shared" si="564"/>
        <v>1</v>
      </c>
      <c r="E5175" s="2721" t="s">
        <v>4411</v>
      </c>
      <c r="F5175" s="294"/>
      <c r="G5175" s="380" t="s">
        <v>4417</v>
      </c>
      <c r="H5175" s="383"/>
      <c r="I5175" s="401"/>
      <c r="J5175" s="291"/>
      <c r="K5175" s="291"/>
      <c r="L5175" s="291"/>
      <c r="M5175" s="291"/>
      <c r="S5175" s="364"/>
      <c r="Z5175" s="609" t="s">
        <v>1995</v>
      </c>
      <c r="AA5175" s="609"/>
    </row>
    <row r="5176" spans="1:27" ht="18">
      <c r="A5176" s="2714"/>
      <c r="B5176" s="371">
        <v>102</v>
      </c>
      <c r="C5176" s="371"/>
      <c r="D5176" s="2716">
        <f t="shared" si="564"/>
        <v>1</v>
      </c>
      <c r="E5176" s="2721">
        <v>0</v>
      </c>
      <c r="F5176" s="294"/>
      <c r="G5176" s="380" t="s">
        <v>4418</v>
      </c>
      <c r="H5176" s="383"/>
      <c r="I5176" s="401"/>
      <c r="J5176" s="291"/>
      <c r="K5176" s="291"/>
      <c r="L5176" s="291"/>
      <c r="M5176" s="291"/>
      <c r="S5176" s="364"/>
      <c r="Z5176" s="609" t="s">
        <v>1995</v>
      </c>
      <c r="AA5176" s="609"/>
    </row>
    <row r="5177" spans="1:27" ht="24">
      <c r="A5177" s="2714"/>
      <c r="B5177" s="371">
        <v>103</v>
      </c>
      <c r="C5177" s="371"/>
      <c r="D5177" s="2716">
        <f t="shared" si="564"/>
        <v>1</v>
      </c>
      <c r="E5177" s="2721">
        <v>0</v>
      </c>
      <c r="F5177" s="294"/>
      <c r="G5177" s="380" t="s">
        <v>4419</v>
      </c>
      <c r="H5177" s="383"/>
      <c r="I5177" s="401"/>
      <c r="J5177" s="291"/>
      <c r="K5177" s="291"/>
      <c r="L5177" s="291"/>
      <c r="M5177" s="291"/>
      <c r="S5177" s="364"/>
      <c r="Z5177" s="609" t="s">
        <v>1995</v>
      </c>
      <c r="AA5177" s="609"/>
    </row>
    <row r="5178" spans="1:27" ht="24">
      <c r="A5178" s="2714"/>
      <c r="B5178" s="371">
        <v>104</v>
      </c>
      <c r="C5178" s="371"/>
      <c r="D5178" s="2716">
        <f t="shared" si="564"/>
        <v>1</v>
      </c>
      <c r="E5178" s="2721">
        <v>0</v>
      </c>
      <c r="F5178" s="294"/>
      <c r="G5178" s="380" t="s">
        <v>4420</v>
      </c>
      <c r="H5178" s="561">
        <f ca="1">H5169+H5176</f>
        <v>0</v>
      </c>
      <c r="I5178" s="562">
        <f ca="1">I5169+I5176</f>
        <v>0</v>
      </c>
      <c r="J5178" s="291"/>
      <c r="K5178" s="291"/>
      <c r="L5178" s="291"/>
      <c r="M5178" s="291"/>
      <c r="S5178" s="364"/>
      <c r="Z5178" s="609" t="s">
        <v>1995</v>
      </c>
      <c r="AA5178" s="609"/>
    </row>
    <row r="5179" spans="1:27" ht="36">
      <c r="A5179" s="2714"/>
      <c r="B5179" s="371">
        <v>105</v>
      </c>
      <c r="C5179" s="371"/>
      <c r="D5179" s="2716">
        <f t="shared" si="564"/>
        <v>1</v>
      </c>
      <c r="E5179" s="2721">
        <v>0</v>
      </c>
      <c r="F5179" s="294"/>
      <c r="G5179" s="620" t="s">
        <v>4421</v>
      </c>
      <c r="H5179" s="621"/>
      <c r="I5179" s="622"/>
      <c r="J5179" s="291"/>
      <c r="K5179" s="291"/>
      <c r="L5179" s="291"/>
      <c r="M5179" s="291"/>
      <c r="S5179" s="364"/>
      <c r="Z5179" s="609" t="s">
        <v>1995</v>
      </c>
      <c r="AA5179" s="609"/>
    </row>
    <row r="5180" spans="1:27" ht="18.75" thickBot="1">
      <c r="A5180" s="2714"/>
      <c r="B5180" s="371"/>
      <c r="C5180" s="371"/>
      <c r="D5180" s="2716">
        <f t="shared" si="564"/>
        <v>0</v>
      </c>
      <c r="E5180" s="2721" t="s">
        <v>3595</v>
      </c>
      <c r="F5180" s="294"/>
      <c r="G5180" s="2682"/>
      <c r="H5180" s="2683"/>
      <c r="I5180" s="2684"/>
      <c r="J5180" s="291"/>
      <c r="K5180" s="291"/>
      <c r="L5180" s="291"/>
      <c r="M5180" s="291"/>
      <c r="S5180" s="364"/>
      <c r="Z5180" s="609" t="s">
        <v>1995</v>
      </c>
      <c r="AA5180" s="609"/>
    </row>
    <row r="5181" spans="1:27" ht="18">
      <c r="A5181" s="2714"/>
      <c r="B5181" s="371"/>
      <c r="C5181" s="371" t="s">
        <v>2755</v>
      </c>
      <c r="D5181" s="371"/>
      <c r="F5181" s="294"/>
      <c r="G5181" s="301"/>
      <c r="H5181" s="349"/>
      <c r="I5181" s="349"/>
      <c r="J5181" s="291"/>
      <c r="K5181" s="291"/>
      <c r="L5181" s="291"/>
      <c r="M5181" s="291"/>
      <c r="S5181" s="364"/>
      <c r="Z5181" s="609" t="s">
        <v>1995</v>
      </c>
      <c r="AA5181" s="609"/>
    </row>
    <row r="5182" spans="1:27" ht="24">
      <c r="A5182" s="2714" t="s">
        <v>2006</v>
      </c>
      <c r="B5182" s="371">
        <v>7</v>
      </c>
      <c r="C5182" s="371"/>
      <c r="D5182" s="2716" t="str">
        <f>VLOOKUP($A5182,Sheet_NoteList,2,0)</f>
        <v>货币资金与现金及现金等价物的调节</v>
      </c>
      <c r="E5182" s="2716" t="s">
        <v>6531</v>
      </c>
      <c r="F5182" s="294"/>
      <c r="G5182" s="372" t="str">
        <f>"("&amp;B5182&amp;")"&amp;D5182</f>
        <v>(7)货币资金与现金及现金等价物的调节</v>
      </c>
      <c r="H5182" s="1517" t="str">
        <f>$A5182</f>
        <v>7500f</v>
      </c>
      <c r="I5182" s="343" t="s">
        <v>5974</v>
      </c>
      <c r="J5182" s="301"/>
      <c r="K5182" s="3083"/>
      <c r="L5182" s="315"/>
      <c r="M5182" s="301"/>
      <c r="N5182" s="3083"/>
      <c r="O5182" s="315"/>
      <c r="P5182" s="301"/>
      <c r="S5182" s="364"/>
      <c r="Z5182" s="609" t="s">
        <v>1995</v>
      </c>
      <c r="AA5182" s="609"/>
    </row>
    <row r="5183" spans="1:27" ht="0.75" customHeight="1" thickBot="1">
      <c r="A5183" s="2714"/>
      <c r="B5183" s="371"/>
      <c r="C5183" s="371"/>
      <c r="D5183" s="371"/>
      <c r="E5183" s="586"/>
      <c r="F5183" s="586"/>
      <c r="G5183" s="586" t="s">
        <v>4422</v>
      </c>
      <c r="H5183" s="371" t="s">
        <v>3472</v>
      </c>
      <c r="I5183" s="291"/>
      <c r="J5183" s="291"/>
      <c r="K5183" s="291"/>
      <c r="L5183" s="291"/>
      <c r="M5183" s="291"/>
      <c r="S5183" s="364"/>
      <c r="Z5183" s="609" t="s">
        <v>1995</v>
      </c>
      <c r="AA5183" s="609"/>
    </row>
    <row r="5184" spans="1:27" ht="18">
      <c r="A5184" s="2714"/>
      <c r="B5184" s="371"/>
      <c r="C5184" s="371"/>
      <c r="D5184" s="371"/>
      <c r="E5184" s="586" t="s">
        <v>2749</v>
      </c>
      <c r="F5184" s="363"/>
      <c r="G5184" s="2458" t="s">
        <v>47</v>
      </c>
      <c r="H5184" s="2460" t="s">
        <v>2887</v>
      </c>
      <c r="I5184" s="343" t="s">
        <v>4423</v>
      </c>
      <c r="J5184" s="291"/>
      <c r="K5184" s="291"/>
      <c r="L5184" s="291"/>
      <c r="M5184" s="291"/>
      <c r="S5184" s="364"/>
      <c r="Z5184" s="609" t="s">
        <v>1995</v>
      </c>
      <c r="AA5184" s="609"/>
    </row>
    <row r="5185" spans="1:27" ht="18">
      <c r="A5185" s="2714"/>
      <c r="B5185" s="371">
        <v>101</v>
      </c>
      <c r="C5185" s="371"/>
      <c r="D5185" s="2716">
        <f t="shared" ref="D5185:D5190" si="565">IF(OR(G5185="*",G5185="",G5185=0),0,COUNTIF($G$5185:$G$5190,G5185))</f>
        <v>1</v>
      </c>
      <c r="E5185" s="2721">
        <v>1</v>
      </c>
      <c r="F5185" s="294"/>
      <c r="G5185" s="1474" t="s">
        <v>4424</v>
      </c>
      <c r="H5185" s="2296"/>
      <c r="I5185" s="579"/>
      <c r="J5185" s="291"/>
      <c r="K5185" s="291"/>
      <c r="L5185" s="291"/>
      <c r="M5185" s="291"/>
      <c r="S5185" s="364"/>
      <c r="Z5185" s="609" t="s">
        <v>1995</v>
      </c>
      <c r="AA5185" s="609"/>
    </row>
    <row r="5186" spans="1:27" ht="18">
      <c r="A5186" s="2714"/>
      <c r="B5186" s="371">
        <v>102</v>
      </c>
      <c r="C5186" s="371"/>
      <c r="D5186" s="2716">
        <f t="shared" si="565"/>
        <v>1</v>
      </c>
      <c r="E5186" s="2721">
        <v>-1</v>
      </c>
      <c r="F5186" s="294"/>
      <c r="G5186" s="1474" t="s">
        <v>4425</v>
      </c>
      <c r="H5186" s="2296"/>
      <c r="I5186" s="291"/>
      <c r="J5186" s="291"/>
      <c r="K5186" s="291"/>
      <c r="L5186" s="291"/>
      <c r="M5186" s="291"/>
      <c r="S5186" s="364"/>
      <c r="Z5186" s="609" t="s">
        <v>1995</v>
      </c>
      <c r="AA5186" s="609"/>
    </row>
    <row r="5187" spans="1:27" ht="18">
      <c r="A5187" s="2714"/>
      <c r="B5187" s="371">
        <v>103</v>
      </c>
      <c r="C5187" s="371" t="s">
        <v>2791</v>
      </c>
      <c r="D5187" s="2716">
        <f t="shared" si="565"/>
        <v>0</v>
      </c>
      <c r="E5187" s="2721">
        <v>-1</v>
      </c>
      <c r="F5187" s="294"/>
      <c r="G5187" s="2467" t="s">
        <v>2792</v>
      </c>
      <c r="H5187" s="2296"/>
      <c r="I5187" s="291"/>
      <c r="J5187" s="291"/>
      <c r="K5187" s="291"/>
      <c r="L5187" s="291"/>
      <c r="M5187" s="291"/>
      <c r="S5187" s="364"/>
      <c r="Z5187" s="609" t="s">
        <v>1995</v>
      </c>
      <c r="AA5187" s="609"/>
    </row>
    <row r="5188" spans="1:27" ht="24">
      <c r="A5188" s="2714"/>
      <c r="B5188" s="371">
        <v>104</v>
      </c>
      <c r="C5188" s="371"/>
      <c r="D5188" s="2716">
        <f t="shared" si="565"/>
        <v>1</v>
      </c>
      <c r="E5188" s="2721">
        <v>1</v>
      </c>
      <c r="F5188" s="294"/>
      <c r="G5188" s="1474" t="s">
        <v>4426</v>
      </c>
      <c r="H5188" s="2296"/>
      <c r="I5188" s="291"/>
      <c r="J5188" s="291"/>
      <c r="K5188" s="291"/>
      <c r="L5188" s="291"/>
      <c r="M5188" s="291"/>
      <c r="S5188" s="364"/>
      <c r="Z5188" s="609" t="s">
        <v>1995</v>
      </c>
      <c r="AA5188" s="609"/>
    </row>
    <row r="5189" spans="1:27" ht="18">
      <c r="A5189" s="2714"/>
      <c r="B5189" s="371">
        <v>105</v>
      </c>
      <c r="C5189" s="371" t="s">
        <v>2791</v>
      </c>
      <c r="D5189" s="2716">
        <f t="shared" si="565"/>
        <v>0</v>
      </c>
      <c r="E5189" s="2721">
        <v>1</v>
      </c>
      <c r="F5189" s="294"/>
      <c r="G5189" s="2467" t="s">
        <v>2792</v>
      </c>
      <c r="H5189" s="2296"/>
      <c r="I5189" s="291"/>
      <c r="J5189" s="291"/>
      <c r="K5189" s="291"/>
      <c r="L5189" s="291"/>
      <c r="M5189" s="291"/>
      <c r="S5189" s="364"/>
      <c r="Z5189" s="609" t="s">
        <v>1995</v>
      </c>
      <c r="AA5189" s="609"/>
    </row>
    <row r="5190" spans="1:27" ht="18.75" thickBot="1">
      <c r="A5190" s="2714"/>
      <c r="B5190" s="371"/>
      <c r="C5190" s="371"/>
      <c r="D5190" s="2716">
        <f t="shared" si="565"/>
        <v>1</v>
      </c>
      <c r="E5190" s="2721" t="s">
        <v>3032</v>
      </c>
      <c r="F5190" s="294"/>
      <c r="G5190" s="1529" t="s">
        <v>2272</v>
      </c>
      <c r="H5190" s="1528">
        <f>SUMPRODUCT($E5184:$E5189,H5184:H5189)</f>
        <v>0</v>
      </c>
      <c r="I5190" s="291"/>
      <c r="J5190" s="291"/>
      <c r="K5190" s="291"/>
      <c r="L5190" s="291"/>
      <c r="M5190" s="291"/>
      <c r="S5190" s="364"/>
      <c r="Z5190" s="609" t="s">
        <v>1995</v>
      </c>
      <c r="AA5190" s="609"/>
    </row>
    <row r="5191" spans="1:27" ht="18">
      <c r="A5191" s="2714"/>
      <c r="B5191" s="371"/>
      <c r="C5191" s="371" t="s">
        <v>2755</v>
      </c>
      <c r="D5191" s="371"/>
      <c r="F5191" s="294"/>
      <c r="G5191" s="301"/>
      <c r="H5191" s="315"/>
      <c r="I5191" s="291"/>
      <c r="J5191" s="291"/>
      <c r="K5191" s="291"/>
      <c r="L5191" s="291"/>
      <c r="M5191" s="291"/>
      <c r="S5191" s="364"/>
      <c r="Z5191" s="609" t="s">
        <v>1995</v>
      </c>
      <c r="AA5191" s="609"/>
    </row>
    <row r="5192" spans="1:27" ht="24">
      <c r="A5192" s="2714">
        <v>9314</v>
      </c>
      <c r="B5192" s="371">
        <v>80</v>
      </c>
      <c r="C5192" s="2716" t="str">
        <f>VLOOKUP($A5192,Sheet_Items,2,0)</f>
        <v>所有者权益变动表项目注释</v>
      </c>
      <c r="D5192" s="371"/>
      <c r="E5192" s="2716" t="s">
        <v>2739</v>
      </c>
      <c r="F5192" s="294"/>
      <c r="G5192" s="305" t="str">
        <f>B5192&amp;" "&amp;C5192</f>
        <v>80 所有者权益变动表项目注释</v>
      </c>
      <c r="H5192" s="306"/>
      <c r="I5192" s="306"/>
      <c r="J5192" s="306"/>
      <c r="K5192" s="539"/>
      <c r="L5192" s="342"/>
      <c r="M5192" s="306"/>
      <c r="N5192" s="539"/>
      <c r="O5192" s="306"/>
      <c r="P5192" s="301"/>
      <c r="S5192" s="364"/>
      <c r="Z5192" s="609" t="s">
        <v>2101</v>
      </c>
      <c r="AA5192" s="609"/>
    </row>
    <row r="5193" spans="1:27" ht="24">
      <c r="A5193" s="2714" t="s">
        <v>2100</v>
      </c>
      <c r="B5193" s="371">
        <v>1</v>
      </c>
      <c r="C5193" s="371"/>
      <c r="D5193" s="2716" t="str">
        <f>VLOOKUP($A5193,Sheet_NoteList,2,0)</f>
        <v>所有者权益变动表项目注释</v>
      </c>
      <c r="E5193" s="2716" t="s">
        <v>2742</v>
      </c>
      <c r="F5193" s="294"/>
      <c r="G5193" s="372" t="str">
        <f>"("&amp;B5193&amp;")"&amp;D5193</f>
        <v>(1)所有者权益变动表项目注释</v>
      </c>
      <c r="H5193" s="1517" t="str">
        <f>$A5193</f>
        <v>9314a</v>
      </c>
      <c r="I5193" s="343" t="s">
        <v>2743</v>
      </c>
      <c r="J5193" s="301"/>
      <c r="K5193" s="3083"/>
      <c r="L5193" s="315"/>
      <c r="M5193" s="301"/>
      <c r="N5193" s="3083"/>
      <c r="O5193" s="315"/>
      <c r="P5193" s="301"/>
      <c r="S5193" s="364"/>
      <c r="Z5193" s="609" t="s">
        <v>2101</v>
      </c>
      <c r="AA5193" s="609"/>
    </row>
    <row r="5194" spans="1:27" ht="0.75" customHeight="1" thickBot="1">
      <c r="A5194" s="2714"/>
      <c r="B5194" s="371"/>
      <c r="C5194" s="371"/>
      <c r="D5194" s="371"/>
      <c r="E5194" s="586"/>
      <c r="F5194" s="518"/>
      <c r="G5194" s="518" t="s">
        <v>4427</v>
      </c>
      <c r="H5194" s="304" t="s">
        <v>2849</v>
      </c>
      <c r="I5194" s="304" t="s">
        <v>3235</v>
      </c>
      <c r="M5194" s="291"/>
      <c r="N5194" s="291"/>
      <c r="O5194" s="291"/>
      <c r="P5194" s="291"/>
      <c r="S5194" s="364"/>
      <c r="Z5194" s="609" t="s">
        <v>2101</v>
      </c>
      <c r="AA5194" s="609"/>
    </row>
    <row r="5195" spans="1:27" ht="18">
      <c r="A5195" s="2714"/>
      <c r="B5195" s="371"/>
      <c r="C5195" s="371"/>
      <c r="D5195" s="371"/>
      <c r="E5195" s="586" t="s">
        <v>2749</v>
      </c>
      <c r="F5195" s="363"/>
      <c r="G5195" s="2570" t="s">
        <v>47</v>
      </c>
      <c r="H5195" s="2566" t="s">
        <v>2887</v>
      </c>
      <c r="I5195" s="2565" t="s">
        <v>2758</v>
      </c>
      <c r="J5195" s="355" t="s">
        <v>5344</v>
      </c>
      <c r="M5195" s="291"/>
      <c r="N5195" s="291"/>
      <c r="O5195" s="291"/>
      <c r="P5195" s="291"/>
      <c r="S5195" s="364"/>
      <c r="Z5195" s="609" t="s">
        <v>2101</v>
      </c>
      <c r="AA5195" s="609"/>
    </row>
    <row r="5196" spans="1:27" ht="24">
      <c r="A5196" s="2714"/>
      <c r="B5196" s="371">
        <v>101</v>
      </c>
      <c r="C5196" s="371" t="s">
        <v>2791</v>
      </c>
      <c r="D5196" s="2716">
        <f t="shared" ref="D5196:D5201" si="566">IF(OR(G5196="*",G5196="",G5196=0),0,COUNTIF($G$5196:$G$5201,G5196))</f>
        <v>1</v>
      </c>
      <c r="E5196" s="2721">
        <v>1</v>
      </c>
      <c r="F5196" s="294"/>
      <c r="G5196" s="2568" t="s">
        <v>4428</v>
      </c>
      <c r="H5196" s="2275"/>
      <c r="I5196" s="2276"/>
      <c r="J5196" s="355" t="s">
        <v>6141</v>
      </c>
      <c r="M5196" s="291"/>
      <c r="N5196" s="291"/>
      <c r="O5196" s="291"/>
      <c r="P5196" s="291"/>
      <c r="S5196" s="364"/>
      <c r="Z5196" s="609" t="s">
        <v>2101</v>
      </c>
      <c r="AA5196" s="609"/>
    </row>
    <row r="5197" spans="1:27" ht="18">
      <c r="A5197" s="2714"/>
      <c r="B5197" s="371">
        <v>102</v>
      </c>
      <c r="C5197" s="371" t="s">
        <v>2791</v>
      </c>
      <c r="D5197" s="2716">
        <f t="shared" si="566"/>
        <v>0</v>
      </c>
      <c r="E5197" s="2721">
        <v>1</v>
      </c>
      <c r="F5197" s="294"/>
      <c r="G5197" s="2568" t="s">
        <v>2792</v>
      </c>
      <c r="H5197" s="2275"/>
      <c r="I5197" s="2276"/>
      <c r="M5197" s="291"/>
      <c r="N5197" s="291"/>
      <c r="O5197" s="291"/>
      <c r="P5197" s="291"/>
      <c r="S5197" s="364"/>
      <c r="Z5197" s="609" t="s">
        <v>2101</v>
      </c>
      <c r="AA5197" s="609"/>
    </row>
    <row r="5198" spans="1:27" ht="18">
      <c r="A5198" s="2714"/>
      <c r="B5198" s="371">
        <v>103</v>
      </c>
      <c r="C5198" s="371" t="s">
        <v>2791</v>
      </c>
      <c r="D5198" s="2716">
        <f t="shared" si="566"/>
        <v>0</v>
      </c>
      <c r="E5198" s="2721">
        <v>1</v>
      </c>
      <c r="F5198" s="294"/>
      <c r="G5198" s="2568" t="s">
        <v>2792</v>
      </c>
      <c r="H5198" s="2275"/>
      <c r="I5198" s="2276"/>
      <c r="M5198" s="291"/>
      <c r="N5198" s="291"/>
      <c r="O5198" s="291"/>
      <c r="P5198" s="291"/>
      <c r="S5198" s="364"/>
      <c r="Z5198" s="609" t="s">
        <v>2101</v>
      </c>
      <c r="AA5198" s="609"/>
    </row>
    <row r="5199" spans="1:27" ht="18">
      <c r="A5199" s="2714"/>
      <c r="B5199" s="371">
        <v>104</v>
      </c>
      <c r="C5199" s="371" t="s">
        <v>2791</v>
      </c>
      <c r="D5199" s="2716">
        <f t="shared" si="566"/>
        <v>0</v>
      </c>
      <c r="E5199" s="2721">
        <v>1</v>
      </c>
      <c r="F5199" s="294"/>
      <c r="G5199" s="2568" t="s">
        <v>2792</v>
      </c>
      <c r="H5199" s="2275"/>
      <c r="I5199" s="2276"/>
      <c r="M5199" s="291"/>
      <c r="N5199" s="291"/>
      <c r="O5199" s="291"/>
      <c r="P5199" s="291"/>
      <c r="S5199" s="364"/>
      <c r="Z5199" s="609" t="s">
        <v>2101</v>
      </c>
      <c r="AA5199" s="609"/>
    </row>
    <row r="5200" spans="1:27" ht="18">
      <c r="A5200" s="2714"/>
      <c r="B5200" s="371">
        <v>105</v>
      </c>
      <c r="C5200" s="371" t="s">
        <v>2791</v>
      </c>
      <c r="D5200" s="2716">
        <f t="shared" si="566"/>
        <v>0</v>
      </c>
      <c r="E5200" s="2721">
        <v>1</v>
      </c>
      <c r="F5200" s="294"/>
      <c r="G5200" s="2568" t="s">
        <v>2792</v>
      </c>
      <c r="H5200" s="2275"/>
      <c r="I5200" s="2276"/>
      <c r="M5200" s="291"/>
      <c r="N5200" s="291"/>
      <c r="O5200" s="291"/>
      <c r="P5200" s="291"/>
      <c r="S5200" s="364"/>
      <c r="Z5200" s="609" t="s">
        <v>2101</v>
      </c>
      <c r="AA5200" s="609"/>
    </row>
    <row r="5201" spans="1:27" ht="18.75" thickBot="1">
      <c r="A5201" s="2714"/>
      <c r="B5201" s="371"/>
      <c r="C5201" s="371"/>
      <c r="D5201" s="2716">
        <f t="shared" si="566"/>
        <v>1</v>
      </c>
      <c r="E5201" s="2721" t="s">
        <v>3032</v>
      </c>
      <c r="F5201" s="294"/>
      <c r="G5201" s="1529" t="s">
        <v>2752</v>
      </c>
      <c r="H5201" s="1527">
        <f>SUMPRODUCT($E5195:$E5200,H5195:H5200)</f>
        <v>0</v>
      </c>
      <c r="I5201" s="2266"/>
      <c r="M5201" s="291"/>
      <c r="N5201" s="291"/>
      <c r="O5201" s="291"/>
      <c r="P5201" s="291"/>
      <c r="S5201" s="364"/>
      <c r="Z5201" s="609" t="s">
        <v>2101</v>
      </c>
      <c r="AA5201" s="609"/>
    </row>
    <row r="5202" spans="1:27" ht="18">
      <c r="A5202" s="2714"/>
      <c r="B5202" s="371"/>
      <c r="C5202" s="371" t="s">
        <v>2755</v>
      </c>
      <c r="D5202" s="371"/>
      <c r="F5202" s="294"/>
      <c r="G5202" s="301"/>
      <c r="H5202" s="315"/>
      <c r="I5202" s="393"/>
      <c r="J5202" s="349"/>
      <c r="K5202" s="349"/>
      <c r="L5202" s="350"/>
      <c r="M5202" s="291"/>
      <c r="N5202" s="291"/>
      <c r="O5202" s="291"/>
      <c r="P5202" s="291"/>
      <c r="S5202" s="364"/>
      <c r="Z5202" s="609" t="s">
        <v>2101</v>
      </c>
      <c r="AA5202" s="609"/>
    </row>
    <row r="5203" spans="1:27" ht="24">
      <c r="A5203" s="2714">
        <v>1997</v>
      </c>
      <c r="B5203" s="371">
        <v>81</v>
      </c>
      <c r="C5203" s="2716" t="str">
        <f>VLOOKUP($A5203,Sheet_Items,2,0)</f>
        <v>所有权或使用权受到限制的资产</v>
      </c>
      <c r="D5203" s="371"/>
      <c r="E5203" s="2716" t="s">
        <v>2739</v>
      </c>
      <c r="F5203" s="294"/>
      <c r="G5203" s="305" t="str">
        <f>B5203&amp;" "&amp;C5203</f>
        <v>81 所有权或使用权受到限制的资产</v>
      </c>
      <c r="H5203" s="306"/>
      <c r="I5203" s="306"/>
      <c r="J5203" s="306"/>
      <c r="K5203" s="539"/>
      <c r="L5203" s="342"/>
      <c r="M5203" s="306"/>
      <c r="N5203" s="539"/>
      <c r="O5203" s="306"/>
      <c r="P5203" s="301"/>
      <c r="S5203" s="364"/>
      <c r="Z5203" s="609" t="s">
        <v>4429</v>
      </c>
      <c r="AA5203" s="609"/>
    </row>
    <row r="5204" spans="1:27" ht="24">
      <c r="A5204" s="2714" t="s">
        <v>1351</v>
      </c>
      <c r="B5204" s="371">
        <v>1</v>
      </c>
      <c r="C5204" s="371"/>
      <c r="D5204" s="2716" t="str">
        <f>VLOOKUP($A5204,Sheet_NoteList,2,0)</f>
        <v>所有权或使用权受到限制的资产明细项目</v>
      </c>
      <c r="E5204" s="2716" t="s">
        <v>2742</v>
      </c>
      <c r="F5204" s="294"/>
      <c r="G5204" s="372" t="str">
        <f>"("&amp;B5204&amp;")"&amp;D5204</f>
        <v>(1)所有权或使用权受到限制的资产明细项目</v>
      </c>
      <c r="H5204" s="1517" t="str">
        <f>$A5204</f>
        <v>1997a</v>
      </c>
      <c r="I5204" s="343" t="s">
        <v>2743</v>
      </c>
      <c r="J5204" s="301"/>
      <c r="K5204" s="3083"/>
      <c r="L5204" s="315"/>
      <c r="M5204" s="301"/>
      <c r="N5204" s="3083"/>
      <c r="O5204" s="315"/>
      <c r="P5204" s="301"/>
      <c r="S5204" s="364"/>
      <c r="Z5204" s="609" t="s">
        <v>4429</v>
      </c>
      <c r="AA5204" s="609"/>
    </row>
    <row r="5205" spans="1:27" ht="0.75" customHeight="1" thickBot="1">
      <c r="A5205" s="2714"/>
      <c r="B5205" s="371"/>
      <c r="C5205" s="371"/>
      <c r="D5205" s="371"/>
      <c r="E5205" s="586"/>
      <c r="F5205" s="518"/>
      <c r="G5205" s="518" t="s">
        <v>4430</v>
      </c>
      <c r="H5205" s="304" t="s">
        <v>2849</v>
      </c>
      <c r="I5205" s="304" t="s">
        <v>4431</v>
      </c>
      <c r="M5205" s="291"/>
      <c r="N5205" s="291"/>
      <c r="O5205" s="291"/>
      <c r="P5205" s="291"/>
      <c r="S5205" s="364"/>
      <c r="Z5205" s="609" t="s">
        <v>4429</v>
      </c>
      <c r="AA5205" s="609"/>
    </row>
    <row r="5206" spans="1:27" ht="24">
      <c r="A5206" s="2714"/>
      <c r="B5206" s="371"/>
      <c r="C5206" s="371"/>
      <c r="D5206" s="371"/>
      <c r="E5206" s="586" t="s">
        <v>2749</v>
      </c>
      <c r="F5206" s="363"/>
      <c r="G5206" s="2457" t="s">
        <v>47</v>
      </c>
      <c r="H5206" s="2464" t="str">
        <f>$W$2&amp;"账面价值"</f>
        <v>2019年12月31日账面价值</v>
      </c>
      <c r="I5206" s="2469" t="s">
        <v>4432</v>
      </c>
      <c r="J5206" s="355" t="s">
        <v>5345</v>
      </c>
      <c r="M5206" s="291"/>
      <c r="N5206" s="291"/>
      <c r="O5206" s="291"/>
      <c r="P5206" s="291"/>
      <c r="S5206" s="364"/>
      <c r="Z5206" s="609" t="s">
        <v>4429</v>
      </c>
      <c r="AA5206" s="609"/>
    </row>
    <row r="5207" spans="1:27" ht="18">
      <c r="A5207" s="2714"/>
      <c r="B5207" s="371">
        <v>101</v>
      </c>
      <c r="C5207" s="371"/>
      <c r="D5207" s="2716">
        <f t="shared" ref="D5207:D5215" si="567">IF(OR(G5207="*",G5207="",G5207=0),0,COUNTIF($G$5207:$G$5215,G5207))</f>
        <v>1</v>
      </c>
      <c r="E5207" s="2721">
        <v>1</v>
      </c>
      <c r="F5207" s="294"/>
      <c r="G5207" s="1474" t="s">
        <v>10</v>
      </c>
      <c r="H5207" s="2275"/>
      <c r="I5207" s="2276"/>
      <c r="M5207" s="291"/>
      <c r="N5207" s="291"/>
      <c r="O5207" s="291"/>
      <c r="P5207" s="291"/>
      <c r="S5207" s="364"/>
      <c r="Z5207" s="609" t="s">
        <v>4429</v>
      </c>
      <c r="AA5207" s="609"/>
    </row>
    <row r="5208" spans="1:27" ht="18">
      <c r="A5208" s="2714"/>
      <c r="B5208" s="371">
        <v>102</v>
      </c>
      <c r="C5208" s="371"/>
      <c r="D5208" s="2716">
        <f t="shared" si="567"/>
        <v>1</v>
      </c>
      <c r="E5208" s="2721">
        <v>1</v>
      </c>
      <c r="F5208" s="294"/>
      <c r="G5208" s="1474" t="s">
        <v>109</v>
      </c>
      <c r="H5208" s="2275"/>
      <c r="I5208" s="2276"/>
      <c r="M5208" s="291"/>
      <c r="N5208" s="291"/>
      <c r="O5208" s="291"/>
      <c r="P5208" s="291"/>
      <c r="S5208" s="364"/>
      <c r="Z5208" s="609" t="s">
        <v>4429</v>
      </c>
      <c r="AA5208" s="609"/>
    </row>
    <row r="5209" spans="1:27" ht="18">
      <c r="A5209" s="2714"/>
      <c r="B5209" s="371">
        <v>103</v>
      </c>
      <c r="C5209" s="371"/>
      <c r="D5209" s="2716">
        <f t="shared" si="567"/>
        <v>1</v>
      </c>
      <c r="E5209" s="2721">
        <v>1</v>
      </c>
      <c r="F5209" s="294"/>
      <c r="G5209" s="1474" t="s">
        <v>229</v>
      </c>
      <c r="H5209" s="2275"/>
      <c r="I5209" s="2276"/>
      <c r="M5209" s="291"/>
      <c r="N5209" s="291"/>
      <c r="O5209" s="291"/>
      <c r="P5209" s="291"/>
      <c r="S5209" s="364"/>
      <c r="Z5209" s="609" t="s">
        <v>4429</v>
      </c>
      <c r="AA5209" s="609"/>
    </row>
    <row r="5210" spans="1:27" ht="18">
      <c r="A5210" s="2714"/>
      <c r="B5210" s="371">
        <v>104</v>
      </c>
      <c r="C5210" s="371"/>
      <c r="D5210" s="2716">
        <f t="shared" si="567"/>
        <v>1</v>
      </c>
      <c r="E5210" s="2721">
        <v>1</v>
      </c>
      <c r="F5210" s="294"/>
      <c r="G5210" s="1474" t="s">
        <v>337</v>
      </c>
      <c r="H5210" s="2275"/>
      <c r="I5210" s="2276"/>
      <c r="M5210" s="291"/>
      <c r="N5210" s="291"/>
      <c r="O5210" s="291"/>
      <c r="P5210" s="291"/>
      <c r="S5210" s="364"/>
      <c r="Z5210" s="609" t="s">
        <v>4429</v>
      </c>
      <c r="AA5210" s="609"/>
    </row>
    <row r="5211" spans="1:27" ht="18">
      <c r="A5211" s="2714"/>
      <c r="B5211" s="371">
        <v>105</v>
      </c>
      <c r="C5211" s="371"/>
      <c r="D5211" s="2716">
        <f t="shared" si="567"/>
        <v>1</v>
      </c>
      <c r="E5211" s="2721">
        <v>1</v>
      </c>
      <c r="F5211" s="294"/>
      <c r="G5211" s="1474" t="s">
        <v>396</v>
      </c>
      <c r="H5211" s="2275"/>
      <c r="I5211" s="2276"/>
      <c r="M5211" s="291"/>
      <c r="N5211" s="291"/>
      <c r="O5211" s="291"/>
      <c r="P5211" s="291"/>
      <c r="S5211" s="364"/>
      <c r="Z5211" s="609" t="s">
        <v>4429</v>
      </c>
      <c r="AA5211" s="609"/>
    </row>
    <row r="5212" spans="1:27" ht="18">
      <c r="A5212" s="2714"/>
      <c r="B5212" s="371">
        <v>106</v>
      </c>
      <c r="C5212" s="371" t="s">
        <v>2791</v>
      </c>
      <c r="D5212" s="2716">
        <f t="shared" si="567"/>
        <v>0</v>
      </c>
      <c r="E5212" s="2721">
        <v>1</v>
      </c>
      <c r="F5212" s="294"/>
      <c r="G5212" s="2467" t="s">
        <v>2792</v>
      </c>
      <c r="H5212" s="2275"/>
      <c r="I5212" s="2276"/>
      <c r="M5212" s="291"/>
      <c r="N5212" s="291"/>
      <c r="O5212" s="291"/>
      <c r="P5212" s="291"/>
      <c r="S5212" s="364"/>
      <c r="Z5212" s="609" t="s">
        <v>4429</v>
      </c>
      <c r="AA5212" s="609"/>
    </row>
    <row r="5213" spans="1:27" ht="18">
      <c r="A5213" s="2714"/>
      <c r="B5213" s="371">
        <v>107</v>
      </c>
      <c r="C5213" s="371" t="s">
        <v>2791</v>
      </c>
      <c r="D5213" s="2716">
        <f t="shared" si="567"/>
        <v>0</v>
      </c>
      <c r="E5213" s="2721">
        <v>1</v>
      </c>
      <c r="F5213" s="294"/>
      <c r="G5213" s="2467" t="s">
        <v>2792</v>
      </c>
      <c r="H5213" s="2275"/>
      <c r="I5213" s="2276"/>
      <c r="M5213" s="291"/>
      <c r="N5213" s="291"/>
      <c r="O5213" s="291"/>
      <c r="P5213" s="291"/>
      <c r="S5213" s="364"/>
      <c r="Z5213" s="609" t="s">
        <v>4429</v>
      </c>
      <c r="AA5213" s="609"/>
    </row>
    <row r="5214" spans="1:27" ht="18">
      <c r="A5214" s="2714"/>
      <c r="B5214" s="371">
        <v>108</v>
      </c>
      <c r="C5214" s="371" t="s">
        <v>2791</v>
      </c>
      <c r="D5214" s="2716">
        <f t="shared" si="567"/>
        <v>0</v>
      </c>
      <c r="E5214" s="2721">
        <v>1</v>
      </c>
      <c r="F5214" s="294"/>
      <c r="G5214" s="2467" t="s">
        <v>2792</v>
      </c>
      <c r="H5214" s="2275"/>
      <c r="I5214" s="2276"/>
      <c r="M5214" s="291"/>
      <c r="N5214" s="291"/>
      <c r="O5214" s="291"/>
      <c r="P5214" s="291"/>
      <c r="S5214" s="364"/>
      <c r="Z5214" s="609" t="s">
        <v>4429</v>
      </c>
      <c r="AA5214" s="609"/>
    </row>
    <row r="5215" spans="1:27" ht="18.75" thickBot="1">
      <c r="A5215" s="2714"/>
      <c r="B5215" s="371"/>
      <c r="C5215" s="371"/>
      <c r="D5215" s="2716">
        <f t="shared" si="567"/>
        <v>1</v>
      </c>
      <c r="E5215" s="2721" t="s">
        <v>3032</v>
      </c>
      <c r="F5215" s="294"/>
      <c r="G5215" s="374" t="s">
        <v>2752</v>
      </c>
      <c r="H5215" s="1478">
        <f>SUMPRODUCT($E5206:$E5214,H5206:H5214)</f>
        <v>0</v>
      </c>
      <c r="I5215" s="2260"/>
      <c r="M5215" s="291"/>
      <c r="N5215" s="291"/>
      <c r="O5215" s="291"/>
      <c r="P5215" s="291"/>
      <c r="S5215" s="364"/>
      <c r="Z5215" s="609" t="s">
        <v>4429</v>
      </c>
      <c r="AA5215" s="609"/>
    </row>
    <row r="5216" spans="1:27" ht="18">
      <c r="A5216" s="2714"/>
      <c r="B5216" s="371"/>
      <c r="C5216" s="371" t="s">
        <v>2755</v>
      </c>
      <c r="D5216" s="371"/>
      <c r="F5216" s="294"/>
      <c r="G5216" s="301"/>
      <c r="H5216" s="315"/>
      <c r="I5216" s="393"/>
      <c r="J5216" s="349"/>
      <c r="K5216" s="349"/>
      <c r="L5216" s="350"/>
      <c r="M5216" s="291"/>
      <c r="N5216" s="291"/>
      <c r="O5216" s="291"/>
      <c r="P5216" s="291"/>
      <c r="S5216" s="364"/>
      <c r="Z5216" s="609" t="s">
        <v>4429</v>
      </c>
      <c r="AA5216" s="609"/>
    </row>
    <row r="5217" spans="1:27" ht="18">
      <c r="A5217" s="2714">
        <v>1704</v>
      </c>
      <c r="B5217" s="371">
        <v>82</v>
      </c>
      <c r="C5217" s="2716" t="str">
        <f>VLOOKUP($A5217,Sheet_Items,2,0)</f>
        <v>外币货币性项目</v>
      </c>
      <c r="D5217" s="371"/>
      <c r="E5217" s="2716" t="s">
        <v>2739</v>
      </c>
      <c r="F5217" s="294"/>
      <c r="G5217" s="305" t="str">
        <f>B5217&amp;" "&amp;C5217</f>
        <v>82 外币货币性项目</v>
      </c>
      <c r="H5217" s="306"/>
      <c r="I5217" s="306"/>
      <c r="J5217" s="306"/>
      <c r="K5217" s="539"/>
      <c r="L5217" s="342"/>
      <c r="M5217" s="306"/>
      <c r="N5217" s="539"/>
      <c r="O5217" s="306"/>
      <c r="P5217" s="301"/>
      <c r="S5217" s="364"/>
      <c r="Z5217" s="609" t="s">
        <v>4433</v>
      </c>
      <c r="AA5217" s="609"/>
    </row>
    <row r="5218" spans="1:27" ht="18">
      <c r="A5218" s="2714" t="s">
        <v>1347</v>
      </c>
      <c r="B5218" s="371">
        <v>1</v>
      </c>
      <c r="C5218" s="371"/>
      <c r="D5218" s="2716" t="str">
        <f>VLOOKUP($A5218,Sheet_NoteList,2,0)</f>
        <v>外币货币性项目明细</v>
      </c>
      <c r="E5218" s="2716" t="s">
        <v>2742</v>
      </c>
      <c r="F5218" s="294"/>
      <c r="G5218" s="307" t="str">
        <f>"("&amp;B5218&amp;")"&amp;D5218</f>
        <v>(1)外币货币性项目明细</v>
      </c>
      <c r="H5218" s="1517" t="str">
        <f>$A5218</f>
        <v>1704a</v>
      </c>
      <c r="I5218" s="343" t="s">
        <v>2743</v>
      </c>
      <c r="J5218" s="301"/>
      <c r="K5218" s="3083"/>
      <c r="L5218" s="315"/>
      <c r="M5218" s="301"/>
      <c r="N5218" s="3083"/>
      <c r="O5218" s="315"/>
      <c r="P5218" s="301"/>
      <c r="S5218" s="364"/>
      <c r="Z5218" s="609" t="s">
        <v>4433</v>
      </c>
      <c r="AA5218" s="609"/>
    </row>
    <row r="5219" spans="1:27" ht="0.75" customHeight="1" thickBot="1">
      <c r="A5219" s="2714"/>
      <c r="B5219" s="371"/>
      <c r="C5219" s="371"/>
      <c r="D5219" s="371"/>
      <c r="F5219" s="371"/>
      <c r="G5219" s="371" t="s">
        <v>4434</v>
      </c>
      <c r="H5219" s="371" t="s">
        <v>3073</v>
      </c>
      <c r="I5219" s="371" t="s">
        <v>3074</v>
      </c>
      <c r="J5219" s="371" t="s">
        <v>3075</v>
      </c>
      <c r="M5219" s="291"/>
      <c r="N5219" s="291"/>
      <c r="O5219" s="291"/>
      <c r="P5219" s="291"/>
      <c r="S5219" s="364"/>
      <c r="Z5219" s="609" t="s">
        <v>4433</v>
      </c>
      <c r="AA5219" s="609"/>
    </row>
    <row r="5220" spans="1:27" ht="24">
      <c r="A5220" s="2714"/>
      <c r="B5220" s="371"/>
      <c r="C5220" s="371"/>
      <c r="D5220" s="371"/>
      <c r="E5220" s="2716" t="s">
        <v>2749</v>
      </c>
      <c r="F5220" s="294"/>
      <c r="G5220" s="2482" t="s">
        <v>47</v>
      </c>
      <c r="H5220" s="2483" t="str">
        <f>$W$2&amp;"外币余额"</f>
        <v>2019年12月31日外币余额</v>
      </c>
      <c r="I5220" s="2483" t="s">
        <v>3077</v>
      </c>
      <c r="J5220" s="2484" t="str">
        <f>$W$2&amp;"折算人民币余额"</f>
        <v>2019年12月31日折算人民币余额</v>
      </c>
      <c r="K5220" s="355" t="s">
        <v>5346</v>
      </c>
      <c r="M5220" s="291"/>
      <c r="N5220" s="291"/>
      <c r="O5220" s="291"/>
      <c r="P5220" s="291"/>
      <c r="S5220" s="364"/>
      <c r="Z5220" s="609" t="s">
        <v>4433</v>
      </c>
      <c r="AA5220" s="609"/>
    </row>
    <row r="5221" spans="1:27" ht="18">
      <c r="A5221" s="2714"/>
      <c r="B5221" s="371">
        <v>101</v>
      </c>
      <c r="C5221" s="371"/>
      <c r="D5221" s="2716">
        <f t="shared" ref="D5221:D5252" si="568">IF(OR(G5221="*",G5221="",G5221=0),0,COUNTIF($G$5221:$G$5282,G5221))</f>
        <v>1</v>
      </c>
      <c r="E5221" s="2721" t="s">
        <v>41</v>
      </c>
      <c r="F5221" s="294"/>
      <c r="G5221" s="308" t="s">
        <v>5261</v>
      </c>
      <c r="H5221" s="309"/>
      <c r="I5221" s="360"/>
      <c r="J5221" s="346"/>
      <c r="K5221" s="1587" t="s">
        <v>45</v>
      </c>
      <c r="M5221" s="291"/>
      <c r="N5221" s="291"/>
      <c r="O5221" s="291"/>
      <c r="P5221" s="291"/>
      <c r="S5221" s="364"/>
      <c r="Z5221" s="609" t="s">
        <v>4433</v>
      </c>
      <c r="AA5221" s="609"/>
    </row>
    <row r="5222" spans="1:27" ht="18">
      <c r="A5222" s="2714"/>
      <c r="B5222" s="371">
        <v>102</v>
      </c>
      <c r="C5222" s="371" t="s">
        <v>2791</v>
      </c>
      <c r="D5222" s="2716">
        <f t="shared" si="568"/>
        <v>1</v>
      </c>
      <c r="E5222" s="2721">
        <v>1</v>
      </c>
      <c r="F5222" s="294"/>
      <c r="G5222" s="1497" t="str">
        <f>"其中："&amp;G5221&amp;"（美元）"</f>
        <v>其中：货币资金（美元）</v>
      </c>
      <c r="H5222" s="309"/>
      <c r="I5222" s="360"/>
      <c r="J5222" s="346"/>
      <c r="M5222" s="291"/>
      <c r="N5222" s="291"/>
      <c r="O5222" s="291"/>
      <c r="P5222" s="291"/>
      <c r="S5222" s="364"/>
      <c r="Z5222" s="609" t="s">
        <v>4433</v>
      </c>
      <c r="AA5222" s="609"/>
    </row>
    <row r="5223" spans="1:27" ht="18">
      <c r="A5223" s="2714"/>
      <c r="B5223" s="371">
        <v>103</v>
      </c>
      <c r="C5223" s="371" t="s">
        <v>2791</v>
      </c>
      <c r="D5223" s="2716">
        <f t="shared" si="568"/>
        <v>1</v>
      </c>
      <c r="E5223" s="2721">
        <v>1</v>
      </c>
      <c r="F5223" s="294"/>
      <c r="G5223" s="1497" t="str">
        <f>G5221&amp;"（欧元）"</f>
        <v>货币资金（欧元）</v>
      </c>
      <c r="H5223" s="309"/>
      <c r="I5223" s="360"/>
      <c r="J5223" s="346"/>
      <c r="M5223" s="291"/>
      <c r="N5223" s="291"/>
      <c r="O5223" s="291"/>
      <c r="P5223" s="291"/>
      <c r="S5223" s="364"/>
      <c r="Z5223" s="609" t="s">
        <v>4433</v>
      </c>
      <c r="AA5223" s="609"/>
    </row>
    <row r="5224" spans="1:27" ht="18">
      <c r="A5224" s="2714"/>
      <c r="B5224" s="371">
        <v>104</v>
      </c>
      <c r="C5224" s="371" t="s">
        <v>2791</v>
      </c>
      <c r="D5224" s="2716">
        <f t="shared" si="568"/>
        <v>1</v>
      </c>
      <c r="E5224" s="2721">
        <v>1</v>
      </c>
      <c r="F5224" s="294"/>
      <c r="G5224" s="1497" t="str">
        <f>G5221&amp;"（港币）"</f>
        <v>货币资金（港币）</v>
      </c>
      <c r="H5224" s="309"/>
      <c r="I5224" s="360"/>
      <c r="J5224" s="346"/>
      <c r="M5224" s="291"/>
      <c r="N5224" s="291"/>
      <c r="O5224" s="291"/>
      <c r="P5224" s="291"/>
      <c r="S5224" s="364"/>
      <c r="Z5224" s="609" t="s">
        <v>4433</v>
      </c>
      <c r="AA5224" s="609"/>
    </row>
    <row r="5225" spans="1:27" ht="18">
      <c r="A5225" s="2714"/>
      <c r="B5225" s="371">
        <v>105</v>
      </c>
      <c r="C5225" s="371" t="s">
        <v>2791</v>
      </c>
      <c r="D5225" s="2716">
        <f t="shared" si="568"/>
        <v>0</v>
      </c>
      <c r="E5225" s="2721">
        <v>1</v>
      </c>
      <c r="F5225" s="294"/>
      <c r="G5225" s="1504" t="s">
        <v>2792</v>
      </c>
      <c r="H5225" s="309"/>
      <c r="I5225" s="360"/>
      <c r="J5225" s="346"/>
      <c r="M5225" s="291"/>
      <c r="N5225" s="291"/>
      <c r="O5225" s="291"/>
      <c r="P5225" s="291"/>
      <c r="S5225" s="364"/>
      <c r="Z5225" s="609" t="s">
        <v>4433</v>
      </c>
      <c r="AA5225" s="609"/>
    </row>
    <row r="5226" spans="1:27" ht="18">
      <c r="A5226" s="2714"/>
      <c r="B5226" s="371">
        <v>106</v>
      </c>
      <c r="C5226" s="371"/>
      <c r="D5226" s="2716">
        <f t="shared" si="568"/>
        <v>1</v>
      </c>
      <c r="E5226" s="2721" t="s">
        <v>41</v>
      </c>
      <c r="F5226" s="294"/>
      <c r="G5226" s="308" t="s">
        <v>5254</v>
      </c>
      <c r="H5226" s="309"/>
      <c r="I5226" s="360"/>
      <c r="J5226" s="346"/>
      <c r="K5226" s="1587" t="s">
        <v>5585</v>
      </c>
      <c r="M5226" s="291"/>
      <c r="N5226" s="291"/>
      <c r="O5226" s="291"/>
      <c r="P5226" s="291"/>
      <c r="S5226" s="364"/>
      <c r="Z5226" s="609" t="s">
        <v>4433</v>
      </c>
      <c r="AA5226" s="609"/>
    </row>
    <row r="5227" spans="1:27" ht="18">
      <c r="A5227" s="2714"/>
      <c r="B5227" s="371">
        <v>107</v>
      </c>
      <c r="C5227" s="371" t="s">
        <v>2791</v>
      </c>
      <c r="D5227" s="2716">
        <f t="shared" si="568"/>
        <v>1</v>
      </c>
      <c r="E5227" s="2721">
        <v>1</v>
      </c>
      <c r="F5227" s="294"/>
      <c r="G5227" s="1636" t="str">
        <f>"其中："&amp;G5226&amp;"（美元）"</f>
        <v>其中：应收票据（美元）</v>
      </c>
      <c r="H5227" s="309"/>
      <c r="I5227" s="360"/>
      <c r="J5227" s="346"/>
      <c r="M5227" s="291"/>
      <c r="N5227" s="291"/>
      <c r="O5227" s="291"/>
      <c r="P5227" s="291"/>
      <c r="S5227" s="364"/>
      <c r="Z5227" s="609" t="s">
        <v>4433</v>
      </c>
      <c r="AA5227" s="609"/>
    </row>
    <row r="5228" spans="1:27" ht="18">
      <c r="A5228" s="2714"/>
      <c r="B5228" s="371">
        <v>108</v>
      </c>
      <c r="C5228" s="371" t="s">
        <v>2791</v>
      </c>
      <c r="D5228" s="2716">
        <f t="shared" si="568"/>
        <v>1</v>
      </c>
      <c r="E5228" s="2721">
        <v>1</v>
      </c>
      <c r="F5228" s="294"/>
      <c r="G5228" s="1636" t="str">
        <f>G5226&amp;"（欧元）"</f>
        <v>应收票据（欧元）</v>
      </c>
      <c r="H5228" s="309"/>
      <c r="I5228" s="360"/>
      <c r="J5228" s="346"/>
      <c r="M5228" s="291"/>
      <c r="N5228" s="291"/>
      <c r="O5228" s="291"/>
      <c r="P5228" s="291"/>
      <c r="S5228" s="364"/>
      <c r="Z5228" s="609" t="s">
        <v>4433</v>
      </c>
      <c r="AA5228" s="609"/>
    </row>
    <row r="5229" spans="1:27" ht="18">
      <c r="A5229" s="2714"/>
      <c r="B5229" s="371">
        <v>109</v>
      </c>
      <c r="C5229" s="371" t="s">
        <v>2791</v>
      </c>
      <c r="D5229" s="2716">
        <f t="shared" si="568"/>
        <v>1</v>
      </c>
      <c r="E5229" s="2721">
        <v>1</v>
      </c>
      <c r="F5229" s="294"/>
      <c r="G5229" s="1636" t="str">
        <f>G5226&amp;"（港币）"</f>
        <v>应收票据（港币）</v>
      </c>
      <c r="H5229" s="309"/>
      <c r="I5229" s="1638"/>
      <c r="J5229" s="346"/>
      <c r="M5229" s="291"/>
      <c r="N5229" s="291"/>
      <c r="O5229" s="291"/>
      <c r="P5229" s="291"/>
      <c r="S5229" s="364"/>
      <c r="Z5229" s="609" t="s">
        <v>4433</v>
      </c>
      <c r="AA5229" s="609"/>
    </row>
    <row r="5230" spans="1:27" ht="18">
      <c r="A5230" s="2714"/>
      <c r="B5230" s="371">
        <v>110</v>
      </c>
      <c r="C5230" s="371" t="s">
        <v>2791</v>
      </c>
      <c r="D5230" s="2716">
        <f t="shared" si="568"/>
        <v>0</v>
      </c>
      <c r="E5230" s="2721">
        <v>1</v>
      </c>
      <c r="F5230" s="294"/>
      <c r="G5230" s="1504" t="s">
        <v>2792</v>
      </c>
      <c r="H5230" s="309"/>
      <c r="I5230" s="360"/>
      <c r="J5230" s="346"/>
      <c r="M5230" s="291"/>
      <c r="N5230" s="291"/>
      <c r="O5230" s="291"/>
      <c r="P5230" s="291"/>
      <c r="S5230" s="364"/>
      <c r="Z5230" s="609" t="s">
        <v>4433</v>
      </c>
      <c r="AA5230" s="609"/>
    </row>
    <row r="5231" spans="1:27" ht="18">
      <c r="A5231" s="2714"/>
      <c r="B5231" s="371">
        <v>111</v>
      </c>
      <c r="C5231" s="371"/>
      <c r="D5231" s="2716">
        <f t="shared" si="568"/>
        <v>1</v>
      </c>
      <c r="E5231" s="2721" t="s">
        <v>41</v>
      </c>
      <c r="F5231" s="294"/>
      <c r="G5231" s="308" t="s">
        <v>5262</v>
      </c>
      <c r="H5231" s="309"/>
      <c r="I5231" s="360"/>
      <c r="J5231" s="346"/>
      <c r="K5231" s="1587" t="s">
        <v>419</v>
      </c>
      <c r="M5231" s="291"/>
      <c r="N5231" s="291"/>
      <c r="O5231" s="291"/>
      <c r="P5231" s="291"/>
      <c r="S5231" s="364"/>
      <c r="Z5231" s="609" t="s">
        <v>4433</v>
      </c>
      <c r="AA5231" s="609"/>
    </row>
    <row r="5232" spans="1:27" ht="18">
      <c r="A5232" s="2714"/>
      <c r="B5232" s="371">
        <v>112</v>
      </c>
      <c r="C5232" s="371" t="s">
        <v>2791</v>
      </c>
      <c r="D5232" s="2716">
        <f t="shared" si="568"/>
        <v>1</v>
      </c>
      <c r="E5232" s="2721">
        <v>1</v>
      </c>
      <c r="F5232" s="294"/>
      <c r="G5232" s="1497" t="str">
        <f>"其中："&amp;G5231&amp;"（美元）"</f>
        <v>其中：应收账款（美元）</v>
      </c>
      <c r="H5232" s="309"/>
      <c r="I5232" s="360"/>
      <c r="J5232" s="346"/>
      <c r="M5232" s="291"/>
      <c r="N5232" s="291"/>
      <c r="O5232" s="291"/>
      <c r="P5232" s="291"/>
      <c r="S5232" s="364"/>
      <c r="Z5232" s="609" t="s">
        <v>4433</v>
      </c>
      <c r="AA5232" s="609"/>
    </row>
    <row r="5233" spans="1:27" ht="18">
      <c r="A5233" s="2714"/>
      <c r="B5233" s="371">
        <v>113</v>
      </c>
      <c r="C5233" s="371" t="s">
        <v>2791</v>
      </c>
      <c r="D5233" s="2716">
        <f t="shared" si="568"/>
        <v>1</v>
      </c>
      <c r="E5233" s="2721">
        <v>1</v>
      </c>
      <c r="F5233" s="294"/>
      <c r="G5233" s="1497" t="str">
        <f>G5231&amp;"（欧元）"</f>
        <v>应收账款（欧元）</v>
      </c>
      <c r="H5233" s="309"/>
      <c r="I5233" s="360"/>
      <c r="J5233" s="346"/>
      <c r="M5233" s="291"/>
      <c r="N5233" s="291"/>
      <c r="O5233" s="291"/>
      <c r="P5233" s="291"/>
      <c r="S5233" s="364"/>
      <c r="Z5233" s="609" t="s">
        <v>4433</v>
      </c>
      <c r="AA5233" s="609"/>
    </row>
    <row r="5234" spans="1:27" ht="18">
      <c r="A5234" s="2714"/>
      <c r="B5234" s="371">
        <v>114</v>
      </c>
      <c r="C5234" s="371" t="s">
        <v>2791</v>
      </c>
      <c r="D5234" s="2716">
        <f t="shared" si="568"/>
        <v>1</v>
      </c>
      <c r="E5234" s="2721">
        <v>1</v>
      </c>
      <c r="F5234" s="294"/>
      <c r="G5234" s="1497" t="str">
        <f>G5231&amp;"（港币）"</f>
        <v>应收账款（港币）</v>
      </c>
      <c r="H5234" s="309"/>
      <c r="I5234" s="360"/>
      <c r="J5234" s="346"/>
      <c r="M5234" s="291"/>
      <c r="N5234" s="291"/>
      <c r="O5234" s="291"/>
      <c r="P5234" s="291"/>
      <c r="S5234" s="364"/>
      <c r="Z5234" s="609" t="s">
        <v>4433</v>
      </c>
      <c r="AA5234" s="609"/>
    </row>
    <row r="5235" spans="1:27" ht="18">
      <c r="A5235" s="2714"/>
      <c r="B5235" s="371">
        <v>115</v>
      </c>
      <c r="C5235" s="371" t="s">
        <v>2791</v>
      </c>
      <c r="D5235" s="2716">
        <f t="shared" si="568"/>
        <v>0</v>
      </c>
      <c r="E5235" s="2721">
        <v>1</v>
      </c>
      <c r="F5235" s="294"/>
      <c r="G5235" s="1504" t="s">
        <v>2792</v>
      </c>
      <c r="H5235" s="309"/>
      <c r="I5235" s="360"/>
      <c r="J5235" s="346"/>
      <c r="M5235" s="291"/>
      <c r="N5235" s="291"/>
      <c r="O5235" s="291"/>
      <c r="P5235" s="291"/>
      <c r="S5235" s="364"/>
      <c r="Z5235" s="609" t="s">
        <v>4433</v>
      </c>
      <c r="AA5235" s="609"/>
    </row>
    <row r="5236" spans="1:27" ht="18">
      <c r="A5236" s="2714"/>
      <c r="B5236" s="371">
        <v>116</v>
      </c>
      <c r="C5236" s="371"/>
      <c r="D5236" s="2716">
        <f t="shared" si="568"/>
        <v>1</v>
      </c>
      <c r="E5236" s="2721" t="s">
        <v>41</v>
      </c>
      <c r="F5236" s="294"/>
      <c r="G5236" s="308" t="s">
        <v>5615</v>
      </c>
      <c r="H5236" s="309"/>
      <c r="I5236" s="360"/>
      <c r="J5236" s="346"/>
      <c r="K5236" s="1587" t="s">
        <v>629</v>
      </c>
      <c r="M5236" s="291"/>
      <c r="N5236" s="291"/>
      <c r="O5236" s="291"/>
      <c r="P5236" s="291"/>
      <c r="S5236" s="364"/>
      <c r="Z5236" s="609" t="s">
        <v>4433</v>
      </c>
      <c r="AA5236" s="609"/>
    </row>
    <row r="5237" spans="1:27" ht="18">
      <c r="A5237" s="2714"/>
      <c r="B5237" s="371">
        <v>117</v>
      </c>
      <c r="C5237" s="371" t="s">
        <v>2791</v>
      </c>
      <c r="D5237" s="2716">
        <f t="shared" si="568"/>
        <v>1</v>
      </c>
      <c r="E5237" s="2721">
        <v>1</v>
      </c>
      <c r="F5237" s="294"/>
      <c r="G5237" s="1497" t="str">
        <f>"其中："&amp;G5236&amp;"（美元）"</f>
        <v>其中：其他应收款（美元）</v>
      </c>
      <c r="H5237" s="309"/>
      <c r="I5237" s="360"/>
      <c r="J5237" s="346"/>
      <c r="M5237" s="291"/>
      <c r="N5237" s="291"/>
      <c r="O5237" s="291"/>
      <c r="P5237" s="291"/>
      <c r="S5237" s="364"/>
      <c r="Z5237" s="609" t="s">
        <v>4433</v>
      </c>
      <c r="AA5237" s="609"/>
    </row>
    <row r="5238" spans="1:27" ht="18">
      <c r="A5238" s="2714"/>
      <c r="B5238" s="371">
        <v>118</v>
      </c>
      <c r="C5238" s="371" t="s">
        <v>2791</v>
      </c>
      <c r="D5238" s="2716">
        <f t="shared" si="568"/>
        <v>1</v>
      </c>
      <c r="E5238" s="2721">
        <v>1</v>
      </c>
      <c r="F5238" s="294"/>
      <c r="G5238" s="1497" t="str">
        <f>G5236&amp;"（欧元）"</f>
        <v>其他应收款（欧元）</v>
      </c>
      <c r="H5238" s="309"/>
      <c r="I5238" s="360"/>
      <c r="J5238" s="346"/>
      <c r="M5238" s="291"/>
      <c r="N5238" s="291"/>
      <c r="O5238" s="291"/>
      <c r="P5238" s="291"/>
      <c r="S5238" s="364"/>
      <c r="Z5238" s="609" t="s">
        <v>4433</v>
      </c>
      <c r="AA5238" s="609"/>
    </row>
    <row r="5239" spans="1:27" ht="18">
      <c r="A5239" s="2714"/>
      <c r="B5239" s="371">
        <v>119</v>
      </c>
      <c r="C5239" s="371" t="s">
        <v>2791</v>
      </c>
      <c r="D5239" s="2716">
        <f t="shared" si="568"/>
        <v>1</v>
      </c>
      <c r="E5239" s="2721">
        <v>1</v>
      </c>
      <c r="F5239" s="294"/>
      <c r="G5239" s="1497" t="str">
        <f>G5236&amp;"（港币）"</f>
        <v>其他应收款（港币）</v>
      </c>
      <c r="H5239" s="309"/>
      <c r="I5239" s="360"/>
      <c r="J5239" s="346"/>
      <c r="M5239" s="291"/>
      <c r="N5239" s="291"/>
      <c r="O5239" s="291"/>
      <c r="P5239" s="291"/>
      <c r="S5239" s="364"/>
      <c r="Z5239" s="609" t="s">
        <v>4433</v>
      </c>
      <c r="AA5239" s="609"/>
    </row>
    <row r="5240" spans="1:27" ht="18">
      <c r="A5240" s="2714"/>
      <c r="B5240" s="371">
        <v>120</v>
      </c>
      <c r="C5240" s="371" t="s">
        <v>2791</v>
      </c>
      <c r="D5240" s="2716">
        <f t="shared" si="568"/>
        <v>0</v>
      </c>
      <c r="E5240" s="2721">
        <v>1</v>
      </c>
      <c r="F5240" s="294"/>
      <c r="G5240" s="1504" t="s">
        <v>2792</v>
      </c>
      <c r="H5240" s="309"/>
      <c r="I5240" s="360"/>
      <c r="J5240" s="346"/>
      <c r="M5240" s="291"/>
      <c r="N5240" s="291"/>
      <c r="O5240" s="291"/>
      <c r="P5240" s="291"/>
      <c r="S5240" s="364"/>
      <c r="Z5240" s="609" t="s">
        <v>4433</v>
      </c>
      <c r="AA5240" s="609"/>
    </row>
    <row r="5241" spans="1:27" ht="18">
      <c r="A5241" s="2714"/>
      <c r="B5241" s="371">
        <v>121</v>
      </c>
      <c r="C5241" s="371"/>
      <c r="D5241" s="2716">
        <f t="shared" si="568"/>
        <v>1</v>
      </c>
      <c r="E5241" s="2721" t="s">
        <v>41</v>
      </c>
      <c r="F5241" s="294"/>
      <c r="G5241" s="308" t="s">
        <v>5255</v>
      </c>
      <c r="H5241" s="2329">
        <v>0</v>
      </c>
      <c r="I5241" s="360"/>
      <c r="J5241" s="2694">
        <v>0</v>
      </c>
      <c r="K5241" s="1587" t="s">
        <v>5587</v>
      </c>
      <c r="M5241" s="291"/>
      <c r="N5241" s="291"/>
      <c r="O5241" s="291"/>
      <c r="P5241" s="291"/>
      <c r="S5241" s="364"/>
      <c r="Z5241" s="609" t="s">
        <v>4433</v>
      </c>
      <c r="AA5241" s="609"/>
    </row>
    <row r="5242" spans="1:27" ht="24">
      <c r="A5242" s="2714"/>
      <c r="B5242" s="371">
        <v>122</v>
      </c>
      <c r="C5242" s="371" t="s">
        <v>2791</v>
      </c>
      <c r="D5242" s="2716">
        <f t="shared" si="568"/>
        <v>1</v>
      </c>
      <c r="E5242" s="2721">
        <v>1</v>
      </c>
      <c r="F5242" s="294"/>
      <c r="G5242" s="1497" t="str">
        <f>"其中："&amp;G5241&amp;"（美元）"</f>
        <v>其中：持有至到期投资（美元）</v>
      </c>
      <c r="H5242" s="2329">
        <v>0</v>
      </c>
      <c r="I5242" s="360"/>
      <c r="J5242" s="2695">
        <v>0</v>
      </c>
      <c r="M5242" s="291"/>
      <c r="N5242" s="291"/>
      <c r="O5242" s="291"/>
      <c r="P5242" s="291"/>
      <c r="S5242" s="364"/>
      <c r="Z5242" s="609" t="s">
        <v>4433</v>
      </c>
      <c r="AA5242" s="609"/>
    </row>
    <row r="5243" spans="1:27" ht="18">
      <c r="A5243" s="2714"/>
      <c r="B5243" s="371">
        <v>123</v>
      </c>
      <c r="C5243" s="371" t="s">
        <v>2791</v>
      </c>
      <c r="D5243" s="2716">
        <f t="shared" si="568"/>
        <v>1</v>
      </c>
      <c r="E5243" s="2721">
        <v>1</v>
      </c>
      <c r="F5243" s="294"/>
      <c r="G5243" s="1497" t="str">
        <f>G5241&amp;"（欧元）"</f>
        <v>持有至到期投资（欧元）</v>
      </c>
      <c r="H5243" s="2329">
        <v>0</v>
      </c>
      <c r="I5243" s="360"/>
      <c r="J5243" s="2695">
        <v>0</v>
      </c>
      <c r="M5243" s="291"/>
      <c r="N5243" s="291"/>
      <c r="O5243" s="291"/>
      <c r="P5243" s="291"/>
      <c r="S5243" s="364"/>
      <c r="Z5243" s="609" t="s">
        <v>4433</v>
      </c>
      <c r="AA5243" s="609"/>
    </row>
    <row r="5244" spans="1:27" ht="18">
      <c r="A5244" s="2714"/>
      <c r="B5244" s="371">
        <v>124</v>
      </c>
      <c r="C5244" s="371" t="s">
        <v>6532</v>
      </c>
      <c r="D5244" s="2716">
        <f t="shared" si="568"/>
        <v>1</v>
      </c>
      <c r="E5244" s="2721">
        <v>1</v>
      </c>
      <c r="F5244" s="294"/>
      <c r="G5244" s="1497" t="str">
        <f>G5241&amp;"（港币）"</f>
        <v>持有至到期投资（港币）</v>
      </c>
      <c r="H5244" s="2329">
        <v>0</v>
      </c>
      <c r="I5244" s="360"/>
      <c r="J5244" s="2695">
        <v>0</v>
      </c>
      <c r="M5244" s="291"/>
      <c r="N5244" s="291"/>
      <c r="O5244" s="291"/>
      <c r="P5244" s="291"/>
      <c r="S5244" s="364"/>
      <c r="Z5244" s="609" t="s">
        <v>4433</v>
      </c>
      <c r="AA5244" s="609"/>
    </row>
    <row r="5245" spans="1:27" ht="18">
      <c r="A5245" s="2714"/>
      <c r="B5245" s="371">
        <v>125</v>
      </c>
      <c r="C5245" s="371" t="s">
        <v>2791</v>
      </c>
      <c r="D5245" s="2716">
        <f t="shared" si="568"/>
        <v>0</v>
      </c>
      <c r="E5245" s="2721">
        <v>1</v>
      </c>
      <c r="F5245" s="294"/>
      <c r="G5245" s="1504" t="s">
        <v>2792</v>
      </c>
      <c r="H5245" s="2329">
        <v>0</v>
      </c>
      <c r="I5245" s="360"/>
      <c r="J5245" s="2696">
        <v>0</v>
      </c>
      <c r="M5245" s="291"/>
      <c r="N5245" s="291"/>
      <c r="O5245" s="291"/>
      <c r="P5245" s="291"/>
      <c r="S5245" s="364"/>
      <c r="Z5245" s="609" t="s">
        <v>4433</v>
      </c>
      <c r="AA5245" s="609"/>
    </row>
    <row r="5246" spans="1:27" ht="18">
      <c r="A5246" s="2714"/>
      <c r="B5246" s="371">
        <v>126</v>
      </c>
      <c r="C5246" s="371"/>
      <c r="D5246" s="2716">
        <f t="shared" si="568"/>
        <v>1</v>
      </c>
      <c r="E5246" s="2721" t="s">
        <v>41</v>
      </c>
      <c r="F5246" s="294"/>
      <c r="G5246" s="2589" t="s">
        <v>6177</v>
      </c>
      <c r="H5246" s="309"/>
      <c r="I5246" s="360"/>
      <c r="J5246" s="346"/>
      <c r="K5246" s="1587" t="s">
        <v>977</v>
      </c>
      <c r="M5246" s="291"/>
      <c r="N5246" s="291"/>
      <c r="O5246" s="291"/>
      <c r="P5246" s="291"/>
      <c r="S5246" s="364"/>
      <c r="Z5246" s="609" t="s">
        <v>4433</v>
      </c>
      <c r="AA5246" s="609"/>
    </row>
    <row r="5247" spans="1:27" ht="18">
      <c r="A5247" s="2714"/>
      <c r="B5247" s="371">
        <v>127</v>
      </c>
      <c r="C5247" s="371" t="s">
        <v>2791</v>
      </c>
      <c r="D5247" s="2716">
        <f t="shared" si="568"/>
        <v>1</v>
      </c>
      <c r="E5247" s="2721">
        <v>1</v>
      </c>
      <c r="F5247" s="294"/>
      <c r="G5247" s="1504" t="str">
        <f>"其中："&amp;G5246&amp;"（美元）"</f>
        <v>其中：长期应收款（美元）</v>
      </c>
      <c r="H5247" s="309"/>
      <c r="I5247" s="360"/>
      <c r="J5247" s="346"/>
      <c r="M5247" s="291"/>
      <c r="N5247" s="291"/>
      <c r="O5247" s="291"/>
      <c r="P5247" s="291"/>
      <c r="S5247" s="364"/>
      <c r="Z5247" s="609" t="s">
        <v>4433</v>
      </c>
      <c r="AA5247" s="609"/>
    </row>
    <row r="5248" spans="1:27" ht="18">
      <c r="A5248" s="2714"/>
      <c r="B5248" s="371">
        <v>128</v>
      </c>
      <c r="C5248" s="371" t="s">
        <v>2791</v>
      </c>
      <c r="D5248" s="2716">
        <f t="shared" si="568"/>
        <v>1</v>
      </c>
      <c r="E5248" s="2721">
        <v>1</v>
      </c>
      <c r="F5248" s="294"/>
      <c r="G5248" s="1504" t="str">
        <f>G5246&amp;"（欧元）"</f>
        <v>长期应收款（欧元）</v>
      </c>
      <c r="H5248" s="309"/>
      <c r="I5248" s="360"/>
      <c r="J5248" s="346"/>
      <c r="M5248" s="291"/>
      <c r="N5248" s="291"/>
      <c r="O5248" s="291"/>
      <c r="P5248" s="291"/>
      <c r="S5248" s="364"/>
      <c r="Z5248" s="609" t="s">
        <v>4433</v>
      </c>
      <c r="AA5248" s="609"/>
    </row>
    <row r="5249" spans="1:27" ht="18">
      <c r="A5249" s="2714"/>
      <c r="B5249" s="371">
        <v>129</v>
      </c>
      <c r="C5249" s="371" t="s">
        <v>2791</v>
      </c>
      <c r="D5249" s="2716">
        <f t="shared" si="568"/>
        <v>1</v>
      </c>
      <c r="E5249" s="2721">
        <v>1</v>
      </c>
      <c r="F5249" s="294"/>
      <c r="G5249" s="1504" t="str">
        <f>G5246&amp;"（港币）"</f>
        <v>长期应收款（港币）</v>
      </c>
      <c r="H5249" s="309"/>
      <c r="I5249" s="360"/>
      <c r="J5249" s="346"/>
      <c r="M5249" s="291"/>
      <c r="N5249" s="291"/>
      <c r="O5249" s="291"/>
      <c r="P5249" s="291"/>
      <c r="S5249" s="364"/>
      <c r="Z5249" s="609" t="s">
        <v>4433</v>
      </c>
      <c r="AA5249" s="609"/>
    </row>
    <row r="5250" spans="1:27" ht="18">
      <c r="A5250" s="2714"/>
      <c r="B5250" s="371">
        <v>130</v>
      </c>
      <c r="C5250" s="371" t="s">
        <v>2791</v>
      </c>
      <c r="D5250" s="2716">
        <f t="shared" si="568"/>
        <v>0</v>
      </c>
      <c r="E5250" s="2721">
        <v>1</v>
      </c>
      <c r="F5250" s="294"/>
      <c r="G5250" s="1504" t="s">
        <v>2792</v>
      </c>
      <c r="H5250" s="309"/>
      <c r="I5250" s="360"/>
      <c r="J5250" s="346"/>
      <c r="M5250" s="291"/>
      <c r="N5250" s="291"/>
      <c r="O5250" s="291"/>
      <c r="P5250" s="291"/>
      <c r="S5250" s="364"/>
      <c r="Z5250" s="609" t="s">
        <v>4433</v>
      </c>
      <c r="AA5250" s="609"/>
    </row>
    <row r="5251" spans="1:27" ht="18">
      <c r="A5251" s="2714"/>
      <c r="B5251" s="371">
        <v>132</v>
      </c>
      <c r="C5251" s="371"/>
      <c r="D5251" s="2716">
        <f t="shared" si="568"/>
        <v>1</v>
      </c>
      <c r="E5251" s="2721" t="s">
        <v>41</v>
      </c>
      <c r="F5251" s="294"/>
      <c r="G5251" s="308" t="s">
        <v>5256</v>
      </c>
      <c r="H5251" s="309"/>
      <c r="I5251" s="360"/>
      <c r="J5251" s="346"/>
      <c r="K5251" s="1587" t="s">
        <v>1437</v>
      </c>
      <c r="M5251" s="291"/>
      <c r="N5251" s="291"/>
      <c r="O5251" s="291"/>
      <c r="P5251" s="291"/>
      <c r="S5251" s="364"/>
      <c r="Z5251" s="609" t="s">
        <v>4433</v>
      </c>
      <c r="AA5251" s="609"/>
    </row>
    <row r="5252" spans="1:27" ht="18">
      <c r="A5252" s="2714"/>
      <c r="B5252" s="371">
        <v>133</v>
      </c>
      <c r="C5252" s="371" t="s">
        <v>2791</v>
      </c>
      <c r="D5252" s="2716">
        <f t="shared" si="568"/>
        <v>1</v>
      </c>
      <c r="E5252" s="2721">
        <v>1</v>
      </c>
      <c r="F5252" s="294"/>
      <c r="G5252" s="1497" t="str">
        <f>"其中："&amp;G5251&amp;"（美元）"</f>
        <v>其中：应付账款（美元）</v>
      </c>
      <c r="H5252" s="309"/>
      <c r="I5252" s="360"/>
      <c r="J5252" s="346"/>
      <c r="M5252" s="291"/>
      <c r="N5252" s="291"/>
      <c r="O5252" s="291"/>
      <c r="P5252" s="291"/>
      <c r="S5252" s="364"/>
      <c r="Z5252" s="609" t="s">
        <v>4433</v>
      </c>
      <c r="AA5252" s="609"/>
    </row>
    <row r="5253" spans="1:27" ht="18">
      <c r="A5253" s="2714"/>
      <c r="B5253" s="371">
        <v>134</v>
      </c>
      <c r="C5253" s="371" t="s">
        <v>2791</v>
      </c>
      <c r="D5253" s="2716">
        <f t="shared" ref="D5253:D5282" si="569">IF(OR(G5253="*",G5253="",G5253=0),0,COUNTIF($G$5221:$G$5282,G5253))</f>
        <v>1</v>
      </c>
      <c r="E5253" s="2721">
        <v>1</v>
      </c>
      <c r="F5253" s="294"/>
      <c r="G5253" s="1497" t="str">
        <f>G5251&amp;"（欧元）"</f>
        <v>应付账款（欧元）</v>
      </c>
      <c r="H5253" s="309"/>
      <c r="I5253" s="360"/>
      <c r="J5253" s="346"/>
      <c r="M5253" s="291"/>
      <c r="N5253" s="291"/>
      <c r="O5253" s="291"/>
      <c r="P5253" s="291"/>
      <c r="S5253" s="364"/>
      <c r="Z5253" s="609" t="s">
        <v>4433</v>
      </c>
      <c r="AA5253" s="609"/>
    </row>
    <row r="5254" spans="1:27" ht="18">
      <c r="A5254" s="2714"/>
      <c r="B5254" s="371">
        <v>135</v>
      </c>
      <c r="C5254" s="371" t="s">
        <v>2791</v>
      </c>
      <c r="D5254" s="2716">
        <f t="shared" si="569"/>
        <v>1</v>
      </c>
      <c r="E5254" s="2721">
        <v>1</v>
      </c>
      <c r="F5254" s="294"/>
      <c r="G5254" s="1497" t="str">
        <f>G5251&amp;"（港币）"</f>
        <v>应付账款（港币）</v>
      </c>
      <c r="H5254" s="309"/>
      <c r="I5254" s="360"/>
      <c r="J5254" s="346"/>
      <c r="M5254" s="291"/>
      <c r="N5254" s="291"/>
      <c r="O5254" s="291"/>
      <c r="P5254" s="291"/>
      <c r="S5254" s="364"/>
      <c r="Z5254" s="609" t="s">
        <v>4433</v>
      </c>
      <c r="AA5254" s="609"/>
    </row>
    <row r="5255" spans="1:27" ht="18">
      <c r="A5255" s="2714"/>
      <c r="B5255" s="371">
        <v>136</v>
      </c>
      <c r="C5255" s="371" t="s">
        <v>2791</v>
      </c>
      <c r="D5255" s="2716">
        <f t="shared" si="569"/>
        <v>0</v>
      </c>
      <c r="E5255" s="2721">
        <v>1</v>
      </c>
      <c r="F5255" s="294"/>
      <c r="G5255" s="1504" t="s">
        <v>2792</v>
      </c>
      <c r="H5255" s="309"/>
      <c r="I5255" s="360"/>
      <c r="J5255" s="346"/>
      <c r="M5255" s="291"/>
      <c r="N5255" s="291"/>
      <c r="O5255" s="291"/>
      <c r="P5255" s="291"/>
      <c r="S5255" s="364"/>
      <c r="Z5255" s="609" t="s">
        <v>4433</v>
      </c>
      <c r="AA5255" s="609"/>
    </row>
    <row r="5256" spans="1:27" ht="18">
      <c r="A5256" s="2714"/>
      <c r="B5256" s="371">
        <v>137</v>
      </c>
      <c r="C5256" s="371"/>
      <c r="D5256" s="2716">
        <f t="shared" si="569"/>
        <v>1</v>
      </c>
      <c r="E5256" s="2721" t="s">
        <v>41</v>
      </c>
      <c r="F5256" s="294"/>
      <c r="G5256" s="308" t="s">
        <v>5257</v>
      </c>
      <c r="H5256" s="309"/>
      <c r="I5256" s="360"/>
      <c r="J5256" s="346"/>
      <c r="K5256" s="1587" t="s">
        <v>1584</v>
      </c>
      <c r="M5256" s="291"/>
      <c r="N5256" s="291"/>
      <c r="O5256" s="291"/>
      <c r="P5256" s="291"/>
      <c r="S5256" s="364"/>
      <c r="Z5256" s="609" t="s">
        <v>4433</v>
      </c>
      <c r="AA5256" s="609"/>
    </row>
    <row r="5257" spans="1:27" ht="18">
      <c r="A5257" s="2714"/>
      <c r="B5257" s="371">
        <v>138</v>
      </c>
      <c r="C5257" s="371" t="s">
        <v>2791</v>
      </c>
      <c r="D5257" s="2716">
        <f t="shared" si="569"/>
        <v>1</v>
      </c>
      <c r="E5257" s="2721">
        <v>1</v>
      </c>
      <c r="F5257" s="294"/>
      <c r="G5257" s="1497" t="str">
        <f>"其中："&amp;G5256&amp;"（美元）"</f>
        <v>其中：其他应付款（美元）</v>
      </c>
      <c r="H5257" s="309"/>
      <c r="I5257" s="360"/>
      <c r="J5257" s="346"/>
      <c r="M5257" s="291"/>
      <c r="N5257" s="291"/>
      <c r="O5257" s="291"/>
      <c r="P5257" s="291"/>
      <c r="S5257" s="364"/>
      <c r="Z5257" s="609" t="s">
        <v>4433</v>
      </c>
      <c r="AA5257" s="609"/>
    </row>
    <row r="5258" spans="1:27" ht="18">
      <c r="A5258" s="2714"/>
      <c r="B5258" s="371">
        <v>139</v>
      </c>
      <c r="C5258" s="371" t="s">
        <v>2791</v>
      </c>
      <c r="D5258" s="2716">
        <f t="shared" si="569"/>
        <v>1</v>
      </c>
      <c r="E5258" s="2721">
        <v>1</v>
      </c>
      <c r="F5258" s="294"/>
      <c r="G5258" s="1497" t="str">
        <f>G5256&amp;"（欧元）"</f>
        <v>其他应付款（欧元）</v>
      </c>
      <c r="H5258" s="309"/>
      <c r="I5258" s="360"/>
      <c r="J5258" s="346"/>
      <c r="M5258" s="291"/>
      <c r="N5258" s="291"/>
      <c r="O5258" s="291"/>
      <c r="P5258" s="291"/>
      <c r="S5258" s="364"/>
      <c r="Z5258" s="609" t="s">
        <v>4433</v>
      </c>
      <c r="AA5258" s="609"/>
    </row>
    <row r="5259" spans="1:27" ht="18">
      <c r="A5259" s="2714"/>
      <c r="B5259" s="371">
        <v>140</v>
      </c>
      <c r="C5259" s="371" t="s">
        <v>2791</v>
      </c>
      <c r="D5259" s="2716">
        <f t="shared" si="569"/>
        <v>1</v>
      </c>
      <c r="E5259" s="2721">
        <v>1</v>
      </c>
      <c r="F5259" s="294"/>
      <c r="G5259" s="1497" t="str">
        <f>G5256&amp;"（港币）"</f>
        <v>其他应付款（港币）</v>
      </c>
      <c r="H5259" s="309"/>
      <c r="I5259" s="360"/>
      <c r="J5259" s="346"/>
      <c r="M5259" s="291"/>
      <c r="N5259" s="291"/>
      <c r="O5259" s="291"/>
      <c r="P5259" s="291"/>
      <c r="S5259" s="364"/>
      <c r="Z5259" s="609" t="s">
        <v>4433</v>
      </c>
      <c r="AA5259" s="609"/>
    </row>
    <row r="5260" spans="1:27" ht="18">
      <c r="A5260" s="2714"/>
      <c r="B5260" s="371">
        <v>141</v>
      </c>
      <c r="C5260" s="371" t="s">
        <v>2791</v>
      </c>
      <c r="D5260" s="2716">
        <f t="shared" si="569"/>
        <v>0</v>
      </c>
      <c r="E5260" s="2721">
        <v>1</v>
      </c>
      <c r="F5260" s="294"/>
      <c r="G5260" s="1504" t="s">
        <v>2792</v>
      </c>
      <c r="H5260" s="309"/>
      <c r="I5260" s="360"/>
      <c r="J5260" s="346"/>
      <c r="M5260" s="291"/>
      <c r="N5260" s="291"/>
      <c r="O5260" s="291"/>
      <c r="P5260" s="291"/>
      <c r="S5260" s="364"/>
      <c r="Z5260" s="609" t="s">
        <v>4433</v>
      </c>
      <c r="AA5260" s="609"/>
    </row>
    <row r="5261" spans="1:27" ht="18">
      <c r="A5261" s="2714"/>
      <c r="B5261" s="371">
        <v>142</v>
      </c>
      <c r="C5261" s="371"/>
      <c r="D5261" s="2716">
        <f t="shared" si="569"/>
        <v>1</v>
      </c>
      <c r="E5261" s="2721" t="s">
        <v>41</v>
      </c>
      <c r="F5261" s="294"/>
      <c r="G5261" s="308" t="s">
        <v>5258</v>
      </c>
      <c r="H5261" s="309"/>
      <c r="I5261" s="360"/>
      <c r="J5261" s="346"/>
      <c r="K5261" s="1587" t="s">
        <v>1385</v>
      </c>
      <c r="M5261" s="291"/>
      <c r="N5261" s="291"/>
      <c r="O5261" s="291"/>
      <c r="P5261" s="291"/>
      <c r="S5261" s="364"/>
      <c r="Z5261" s="609" t="s">
        <v>4433</v>
      </c>
      <c r="AA5261" s="609"/>
    </row>
    <row r="5262" spans="1:27" ht="18">
      <c r="A5262" s="2714"/>
      <c r="B5262" s="371">
        <v>143</v>
      </c>
      <c r="C5262" s="371" t="s">
        <v>2791</v>
      </c>
      <c r="D5262" s="2716">
        <f t="shared" si="569"/>
        <v>1</v>
      </c>
      <c r="E5262" s="2721">
        <v>1</v>
      </c>
      <c r="F5262" s="294"/>
      <c r="G5262" s="1497" t="str">
        <f>"其中："&amp;G5261&amp;"（美元）"</f>
        <v>其中：短期借款（美元）</v>
      </c>
      <c r="H5262" s="309"/>
      <c r="I5262" s="360"/>
      <c r="J5262" s="346"/>
      <c r="M5262" s="291"/>
      <c r="N5262" s="291"/>
      <c r="O5262" s="291"/>
      <c r="P5262" s="291"/>
      <c r="S5262" s="364"/>
      <c r="Z5262" s="609" t="s">
        <v>4433</v>
      </c>
      <c r="AA5262" s="609"/>
    </row>
    <row r="5263" spans="1:27" ht="18">
      <c r="A5263" s="2714"/>
      <c r="B5263" s="371">
        <v>144</v>
      </c>
      <c r="C5263" s="371" t="s">
        <v>2791</v>
      </c>
      <c r="D5263" s="2716">
        <f t="shared" si="569"/>
        <v>1</v>
      </c>
      <c r="E5263" s="2721">
        <v>1</v>
      </c>
      <c r="F5263" s="294"/>
      <c r="G5263" s="1497" t="str">
        <f>G5261&amp;"（欧元）"</f>
        <v>短期借款（欧元）</v>
      </c>
      <c r="H5263" s="309"/>
      <c r="I5263" s="360"/>
      <c r="J5263" s="346"/>
      <c r="M5263" s="291"/>
      <c r="N5263" s="291"/>
      <c r="O5263" s="291"/>
      <c r="P5263" s="291"/>
      <c r="S5263" s="364"/>
      <c r="Z5263" s="609" t="s">
        <v>4433</v>
      </c>
      <c r="AA5263" s="609"/>
    </row>
    <row r="5264" spans="1:27" ht="18">
      <c r="A5264" s="2714"/>
      <c r="B5264" s="371">
        <v>145</v>
      </c>
      <c r="C5264" s="371" t="s">
        <v>2791</v>
      </c>
      <c r="D5264" s="2716">
        <f t="shared" si="569"/>
        <v>1</v>
      </c>
      <c r="E5264" s="2721">
        <v>1</v>
      </c>
      <c r="F5264" s="294"/>
      <c r="G5264" s="1497" t="str">
        <f>G5261&amp;"（港币）"</f>
        <v>短期借款（港币）</v>
      </c>
      <c r="H5264" s="309"/>
      <c r="I5264" s="360"/>
      <c r="J5264" s="346"/>
      <c r="M5264" s="291"/>
      <c r="N5264" s="291"/>
      <c r="O5264" s="291"/>
      <c r="P5264" s="291"/>
      <c r="S5264" s="364"/>
      <c r="Z5264" s="609" t="s">
        <v>4433</v>
      </c>
      <c r="AA5264" s="609"/>
    </row>
    <row r="5265" spans="1:27" ht="18">
      <c r="A5265" s="2714"/>
      <c r="B5265" s="371">
        <v>146</v>
      </c>
      <c r="C5265" s="371" t="s">
        <v>6532</v>
      </c>
      <c r="D5265" s="2716">
        <f t="shared" si="569"/>
        <v>0</v>
      </c>
      <c r="E5265" s="2721">
        <v>1</v>
      </c>
      <c r="F5265" s="294"/>
      <c r="G5265" s="1504" t="s">
        <v>2792</v>
      </c>
      <c r="H5265" s="309"/>
      <c r="I5265" s="360"/>
      <c r="J5265" s="346"/>
      <c r="M5265" s="291"/>
      <c r="N5265" s="291"/>
      <c r="O5265" s="291"/>
      <c r="P5265" s="291"/>
      <c r="S5265" s="364"/>
      <c r="Z5265" s="609" t="s">
        <v>4433</v>
      </c>
      <c r="AA5265" s="609"/>
    </row>
    <row r="5266" spans="1:27" ht="18">
      <c r="A5266" s="2714"/>
      <c r="B5266" s="371">
        <v>147</v>
      </c>
      <c r="C5266" s="371"/>
      <c r="D5266" s="2716">
        <f t="shared" si="569"/>
        <v>1</v>
      </c>
      <c r="E5266" s="2721" t="s">
        <v>41</v>
      </c>
      <c r="F5266" s="294"/>
      <c r="G5266" s="308" t="s">
        <v>5259</v>
      </c>
      <c r="H5266" s="309"/>
      <c r="I5266" s="360"/>
      <c r="J5266" s="346"/>
      <c r="K5266" s="1587" t="s">
        <v>5589</v>
      </c>
      <c r="M5266" s="291"/>
      <c r="N5266" s="291"/>
      <c r="O5266" s="291"/>
      <c r="P5266" s="291"/>
      <c r="S5266" s="364"/>
      <c r="Z5266" s="609" t="s">
        <v>4433</v>
      </c>
      <c r="AA5266" s="609"/>
    </row>
    <row r="5267" spans="1:27" ht="18">
      <c r="A5267" s="2714"/>
      <c r="B5267" s="371">
        <v>148</v>
      </c>
      <c r="C5267" s="371" t="s">
        <v>2791</v>
      </c>
      <c r="D5267" s="2716">
        <f t="shared" si="569"/>
        <v>1</v>
      </c>
      <c r="E5267" s="2721">
        <v>1</v>
      </c>
      <c r="F5267" s="294"/>
      <c r="G5267" s="1497" t="str">
        <f>"其中："&amp;G5266&amp;"（美元）"</f>
        <v>其中：应付债券（美元）</v>
      </c>
      <c r="H5267" s="309"/>
      <c r="I5267" s="360"/>
      <c r="J5267" s="346"/>
      <c r="M5267" s="291"/>
      <c r="N5267" s="291"/>
      <c r="O5267" s="291"/>
      <c r="P5267" s="291"/>
      <c r="S5267" s="364"/>
      <c r="Z5267" s="609" t="s">
        <v>4433</v>
      </c>
      <c r="AA5267" s="609"/>
    </row>
    <row r="5268" spans="1:27" ht="18">
      <c r="A5268" s="2714"/>
      <c r="B5268" s="371">
        <v>149</v>
      </c>
      <c r="C5268" s="371" t="s">
        <v>2791</v>
      </c>
      <c r="D5268" s="2716">
        <f t="shared" si="569"/>
        <v>1</v>
      </c>
      <c r="E5268" s="2721">
        <v>1</v>
      </c>
      <c r="F5268" s="294"/>
      <c r="G5268" s="1497" t="str">
        <f>G5266&amp;"（欧元）"</f>
        <v>应付债券（欧元）</v>
      </c>
      <c r="H5268" s="309"/>
      <c r="I5268" s="360"/>
      <c r="J5268" s="346"/>
      <c r="M5268" s="291"/>
      <c r="N5268" s="291"/>
      <c r="O5268" s="291"/>
      <c r="P5268" s="291"/>
      <c r="S5268" s="364"/>
      <c r="Z5268" s="609" t="s">
        <v>4433</v>
      </c>
      <c r="AA5268" s="609"/>
    </row>
    <row r="5269" spans="1:27" ht="18">
      <c r="A5269" s="2714"/>
      <c r="B5269" s="371">
        <v>150</v>
      </c>
      <c r="C5269" s="371" t="s">
        <v>2791</v>
      </c>
      <c r="D5269" s="2716">
        <f t="shared" si="569"/>
        <v>1</v>
      </c>
      <c r="E5269" s="2721">
        <v>1</v>
      </c>
      <c r="F5269" s="294"/>
      <c r="G5269" s="1497" t="str">
        <f>G5266&amp;"（港币）"</f>
        <v>应付债券（港币）</v>
      </c>
      <c r="H5269" s="309"/>
      <c r="I5269" s="360"/>
      <c r="J5269" s="346"/>
      <c r="M5269" s="291"/>
      <c r="N5269" s="291"/>
      <c r="O5269" s="291"/>
      <c r="P5269" s="291"/>
      <c r="S5269" s="364"/>
      <c r="Z5269" s="609" t="s">
        <v>4433</v>
      </c>
      <c r="AA5269" s="609"/>
    </row>
    <row r="5270" spans="1:27" ht="18">
      <c r="A5270" s="2714"/>
      <c r="B5270" s="371">
        <v>151</v>
      </c>
      <c r="C5270" s="371" t="s">
        <v>2791</v>
      </c>
      <c r="D5270" s="2716">
        <f t="shared" si="569"/>
        <v>0</v>
      </c>
      <c r="E5270" s="2721">
        <v>1</v>
      </c>
      <c r="F5270" s="294"/>
      <c r="G5270" s="1504" t="s">
        <v>2792</v>
      </c>
      <c r="H5270" s="309"/>
      <c r="I5270" s="360"/>
      <c r="J5270" s="346"/>
      <c r="M5270" s="291"/>
      <c r="N5270" s="291"/>
      <c r="O5270" s="291"/>
      <c r="P5270" s="291"/>
      <c r="S5270" s="364"/>
      <c r="Z5270" s="609" t="s">
        <v>4433</v>
      </c>
      <c r="AA5270" s="609"/>
    </row>
    <row r="5271" spans="1:27" ht="18">
      <c r="A5271" s="2714"/>
      <c r="B5271" s="371">
        <v>152</v>
      </c>
      <c r="C5271" s="371"/>
      <c r="D5271" s="2716">
        <f t="shared" si="569"/>
        <v>1</v>
      </c>
      <c r="E5271" s="2721" t="s">
        <v>41</v>
      </c>
      <c r="F5271" s="294"/>
      <c r="G5271" s="1505" t="s">
        <v>546</v>
      </c>
      <c r="H5271" s="309"/>
      <c r="I5271" s="360"/>
      <c r="J5271" s="346"/>
      <c r="K5271" s="1587" t="s">
        <v>1657</v>
      </c>
      <c r="M5271" s="291"/>
      <c r="N5271" s="291"/>
      <c r="O5271" s="291"/>
      <c r="P5271" s="291"/>
      <c r="S5271" s="364"/>
      <c r="Z5271" s="609" t="s">
        <v>4433</v>
      </c>
      <c r="AA5271" s="609"/>
    </row>
    <row r="5272" spans="1:27" ht="18">
      <c r="A5272" s="2714"/>
      <c r="B5272" s="371">
        <v>153</v>
      </c>
      <c r="C5272" s="371" t="s">
        <v>2791</v>
      </c>
      <c r="D5272" s="2716">
        <f t="shared" si="569"/>
        <v>1</v>
      </c>
      <c r="E5272" s="2721">
        <v>1</v>
      </c>
      <c r="F5272" s="294"/>
      <c r="G5272" s="1497" t="str">
        <f>"其中："&amp;G5271&amp;"（美元）"</f>
        <v>其中：长期借款（美元）</v>
      </c>
      <c r="H5272" s="309"/>
      <c r="I5272" s="360"/>
      <c r="J5272" s="346"/>
      <c r="M5272" s="291"/>
      <c r="N5272" s="291"/>
      <c r="O5272" s="291"/>
      <c r="P5272" s="291"/>
      <c r="S5272" s="364"/>
      <c r="Z5272" s="609" t="s">
        <v>4433</v>
      </c>
      <c r="AA5272" s="609"/>
    </row>
    <row r="5273" spans="1:27" ht="18">
      <c r="A5273" s="2714"/>
      <c r="B5273" s="371">
        <v>154</v>
      </c>
      <c r="C5273" s="371" t="s">
        <v>2791</v>
      </c>
      <c r="D5273" s="2716">
        <f t="shared" si="569"/>
        <v>1</v>
      </c>
      <c r="E5273" s="2721">
        <v>1</v>
      </c>
      <c r="F5273" s="294"/>
      <c r="G5273" s="1497" t="str">
        <f>G5271&amp;"（欧元）"</f>
        <v>长期借款（欧元）</v>
      </c>
      <c r="H5273" s="309"/>
      <c r="I5273" s="360"/>
      <c r="J5273" s="346"/>
      <c r="M5273" s="291"/>
      <c r="N5273" s="291"/>
      <c r="O5273" s="291"/>
      <c r="P5273" s="291"/>
      <c r="S5273" s="364"/>
      <c r="Z5273" s="609" t="s">
        <v>4433</v>
      </c>
      <c r="AA5273" s="609"/>
    </row>
    <row r="5274" spans="1:27" ht="18">
      <c r="A5274" s="2714"/>
      <c r="B5274" s="371">
        <v>155</v>
      </c>
      <c r="C5274" s="371" t="s">
        <v>2791</v>
      </c>
      <c r="D5274" s="2716">
        <f t="shared" si="569"/>
        <v>1</v>
      </c>
      <c r="E5274" s="2721">
        <v>1</v>
      </c>
      <c r="F5274" s="294"/>
      <c r="G5274" s="1497" t="str">
        <f>G5271&amp;"（港币）"</f>
        <v>长期借款（港币）</v>
      </c>
      <c r="H5274" s="309"/>
      <c r="I5274" s="360"/>
      <c r="J5274" s="346"/>
      <c r="M5274" s="291"/>
      <c r="N5274" s="291"/>
      <c r="O5274" s="291"/>
      <c r="P5274" s="291"/>
      <c r="S5274" s="364"/>
      <c r="Z5274" s="609" t="s">
        <v>4433</v>
      </c>
      <c r="AA5274" s="609"/>
    </row>
    <row r="5275" spans="1:27" ht="18">
      <c r="A5275" s="2714"/>
      <c r="B5275" s="371">
        <v>156</v>
      </c>
      <c r="C5275" s="371" t="s">
        <v>2791</v>
      </c>
      <c r="D5275" s="2716">
        <f t="shared" si="569"/>
        <v>0</v>
      </c>
      <c r="E5275" s="2721">
        <v>1</v>
      </c>
      <c r="F5275" s="294"/>
      <c r="G5275" s="1504" t="s">
        <v>2792</v>
      </c>
      <c r="H5275" s="309"/>
      <c r="I5275" s="360"/>
      <c r="J5275" s="346"/>
      <c r="M5275" s="291"/>
      <c r="N5275" s="291"/>
      <c r="O5275" s="291"/>
      <c r="P5275" s="291"/>
      <c r="S5275" s="364"/>
      <c r="Z5275" s="609" t="s">
        <v>4433</v>
      </c>
      <c r="AA5275" s="609"/>
    </row>
    <row r="5276" spans="1:27" ht="18">
      <c r="A5276" s="2714"/>
      <c r="B5276" s="371">
        <v>157</v>
      </c>
      <c r="C5276" s="371"/>
      <c r="D5276" s="2716">
        <f t="shared" si="569"/>
        <v>1</v>
      </c>
      <c r="E5276" s="2721" t="s">
        <v>41</v>
      </c>
      <c r="F5276" s="294"/>
      <c r="G5276" s="308" t="s">
        <v>5260</v>
      </c>
      <c r="H5276" s="309"/>
      <c r="I5276" s="360"/>
      <c r="J5276" s="346"/>
      <c r="K5276" s="1587" t="s">
        <v>1692</v>
      </c>
      <c r="M5276" s="291"/>
      <c r="N5276" s="291"/>
      <c r="O5276" s="291"/>
      <c r="P5276" s="291"/>
      <c r="S5276" s="364"/>
      <c r="Z5276" s="609" t="s">
        <v>4433</v>
      </c>
      <c r="AA5276" s="609"/>
    </row>
    <row r="5277" spans="1:27" ht="18">
      <c r="A5277" s="2714"/>
      <c r="B5277" s="371">
        <v>158</v>
      </c>
      <c r="C5277" s="371" t="s">
        <v>2791</v>
      </c>
      <c r="D5277" s="2716">
        <f t="shared" si="569"/>
        <v>1</v>
      </c>
      <c r="E5277" s="2721">
        <v>1</v>
      </c>
      <c r="F5277" s="294"/>
      <c r="G5277" s="1497" t="str">
        <f>"其中："&amp;G5276&amp;"（美元）"</f>
        <v>其中：长期应付款（美元）</v>
      </c>
      <c r="H5277" s="309"/>
      <c r="I5277" s="360"/>
      <c r="J5277" s="346"/>
      <c r="M5277" s="291"/>
      <c r="N5277" s="291"/>
      <c r="O5277" s="291"/>
      <c r="P5277" s="291"/>
      <c r="S5277" s="364"/>
      <c r="Z5277" s="609" t="s">
        <v>4433</v>
      </c>
      <c r="AA5277" s="609"/>
    </row>
    <row r="5278" spans="1:27" ht="18">
      <c r="A5278" s="2714"/>
      <c r="B5278" s="371">
        <v>159</v>
      </c>
      <c r="C5278" s="371" t="s">
        <v>2791</v>
      </c>
      <c r="D5278" s="2716">
        <f t="shared" si="569"/>
        <v>1</v>
      </c>
      <c r="E5278" s="2721">
        <v>1</v>
      </c>
      <c r="F5278" s="294"/>
      <c r="G5278" s="1497" t="str">
        <f>G5276&amp;"（欧元）"</f>
        <v>长期应付款（欧元）</v>
      </c>
      <c r="H5278" s="309"/>
      <c r="I5278" s="360"/>
      <c r="J5278" s="346"/>
      <c r="M5278" s="291"/>
      <c r="N5278" s="291"/>
      <c r="O5278" s="291"/>
      <c r="P5278" s="291"/>
      <c r="S5278" s="364"/>
      <c r="Z5278" s="609" t="s">
        <v>4433</v>
      </c>
      <c r="AA5278" s="609"/>
    </row>
    <row r="5279" spans="1:27" ht="18">
      <c r="A5279" s="2714"/>
      <c r="B5279" s="371">
        <v>160</v>
      </c>
      <c r="C5279" s="371" t="s">
        <v>2791</v>
      </c>
      <c r="D5279" s="2716">
        <f t="shared" si="569"/>
        <v>1</v>
      </c>
      <c r="E5279" s="2721">
        <v>1</v>
      </c>
      <c r="F5279" s="294"/>
      <c r="G5279" s="1497" t="str">
        <f>G5276&amp;"（港币）"</f>
        <v>长期应付款（港币）</v>
      </c>
      <c r="H5279" s="309"/>
      <c r="I5279" s="360"/>
      <c r="J5279" s="346"/>
      <c r="M5279" s="291"/>
      <c r="N5279" s="291"/>
      <c r="O5279" s="291"/>
      <c r="P5279" s="291"/>
      <c r="S5279" s="364"/>
      <c r="Z5279" s="609" t="s">
        <v>4433</v>
      </c>
      <c r="AA5279" s="609"/>
    </row>
    <row r="5280" spans="1:27" ht="18">
      <c r="A5280" s="2714"/>
      <c r="B5280" s="371">
        <v>161</v>
      </c>
      <c r="C5280" s="371" t="s">
        <v>2791</v>
      </c>
      <c r="D5280" s="2716">
        <f t="shared" si="569"/>
        <v>0</v>
      </c>
      <c r="E5280" s="2721">
        <v>1</v>
      </c>
      <c r="F5280" s="294"/>
      <c r="G5280" s="1504" t="s">
        <v>2792</v>
      </c>
      <c r="H5280" s="309"/>
      <c r="I5280" s="360"/>
      <c r="J5280" s="346"/>
      <c r="M5280" s="291"/>
      <c r="N5280" s="291"/>
      <c r="O5280" s="291"/>
      <c r="P5280" s="291"/>
      <c r="S5280" s="364"/>
      <c r="Z5280" s="609" t="s">
        <v>4433</v>
      </c>
      <c r="AA5280" s="609"/>
    </row>
    <row r="5281" spans="1:27" ht="18">
      <c r="A5281" s="2714"/>
      <c r="B5281" s="371">
        <v>162</v>
      </c>
      <c r="C5281" s="371" t="s">
        <v>6532</v>
      </c>
      <c r="D5281" s="2716">
        <f t="shared" si="569"/>
        <v>0</v>
      </c>
      <c r="E5281" s="2721">
        <v>1</v>
      </c>
      <c r="F5281" s="294"/>
      <c r="G5281" s="1497" t="s">
        <v>2792</v>
      </c>
      <c r="H5281" s="309"/>
      <c r="I5281" s="360"/>
      <c r="J5281" s="346"/>
      <c r="M5281" s="291"/>
      <c r="N5281" s="291"/>
      <c r="O5281" s="291"/>
      <c r="P5281" s="291"/>
      <c r="S5281" s="364"/>
      <c r="Z5281" s="609" t="s">
        <v>4433</v>
      </c>
      <c r="AA5281" s="609"/>
    </row>
    <row r="5282" spans="1:27" ht="18.75" thickBot="1">
      <c r="A5282" s="2714"/>
      <c r="B5282" s="371"/>
      <c r="C5282" s="371"/>
      <c r="D5282" s="2716">
        <f t="shared" si="569"/>
        <v>0</v>
      </c>
      <c r="E5282" s="2721" t="s">
        <v>6567</v>
      </c>
      <c r="F5282" s="294"/>
      <c r="G5282" s="2429"/>
      <c r="H5282" s="2485"/>
      <c r="I5282" s="2486"/>
      <c r="J5282" s="2487"/>
      <c r="M5282" s="291"/>
      <c r="N5282" s="291"/>
      <c r="O5282" s="291"/>
      <c r="P5282" s="291"/>
      <c r="S5282" s="364"/>
      <c r="Z5282" s="609" t="s">
        <v>4433</v>
      </c>
      <c r="AA5282" s="609"/>
    </row>
    <row r="5283" spans="1:27" ht="18">
      <c r="A5283" s="2714"/>
      <c r="B5283" s="371"/>
      <c r="C5283" s="371" t="s">
        <v>2755</v>
      </c>
      <c r="D5283" s="371"/>
      <c r="F5283" s="294"/>
      <c r="G5283" s="301"/>
      <c r="H5283" s="315"/>
      <c r="I5283" s="393"/>
      <c r="J5283" s="315"/>
      <c r="K5283" s="349"/>
      <c r="L5283" s="350"/>
      <c r="M5283" s="291"/>
      <c r="N5283" s="291"/>
      <c r="O5283" s="291"/>
      <c r="P5283" s="291"/>
      <c r="S5283" s="364"/>
      <c r="Z5283" s="609" t="s">
        <v>4433</v>
      </c>
      <c r="AA5283" s="609"/>
    </row>
    <row r="5284" spans="1:27" ht="17.25">
      <c r="A5284" s="2715">
        <v>9371</v>
      </c>
      <c r="B5284" s="371">
        <v>84</v>
      </c>
      <c r="C5284" s="2716" t="str">
        <f>VLOOKUP($A5284,Sheet_Items,2,0)</f>
        <v>政府补助</v>
      </c>
      <c r="D5284" s="371"/>
      <c r="E5284" s="2716" t="s">
        <v>2739</v>
      </c>
      <c r="F5284" s="371"/>
      <c r="G5284" s="305" t="str">
        <f>B5284&amp;" "&amp;C5284</f>
        <v>84 政府补助</v>
      </c>
      <c r="H5284" s="306"/>
      <c r="I5284" s="306"/>
      <c r="J5284" s="306"/>
      <c r="K5284" s="341"/>
      <c r="L5284" s="342"/>
      <c r="M5284" s="306"/>
      <c r="N5284" s="341"/>
      <c r="O5284" s="342"/>
      <c r="P5284" s="301"/>
      <c r="S5284" s="364"/>
      <c r="Z5284" s="609" t="s">
        <v>2158</v>
      </c>
      <c r="AA5284" s="609" t="s">
        <v>19</v>
      </c>
    </row>
    <row r="5285" spans="1:27" ht="18">
      <c r="A5285" s="2714" t="s">
        <v>2156</v>
      </c>
      <c r="B5285" s="371">
        <v>1</v>
      </c>
      <c r="C5285" s="371"/>
      <c r="D5285" s="2716" t="str">
        <f>VLOOKUP($A5285,Sheet_NoteList,2,0)</f>
        <v>与资产相关的政府补助</v>
      </c>
      <c r="E5285" s="2716" t="s">
        <v>2742</v>
      </c>
      <c r="F5285" s="293"/>
      <c r="G5285" s="372" t="str">
        <f>"("&amp;B5285&amp;")"&amp;D5285</f>
        <v>(1)与资产相关的政府补助</v>
      </c>
      <c r="H5285" s="1517" t="str">
        <f>$A5285</f>
        <v>9371h</v>
      </c>
      <c r="I5285" s="343" t="s">
        <v>2743</v>
      </c>
      <c r="J5285" s="301" t="s">
        <v>2744</v>
      </c>
      <c r="K5285" s="2210">
        <f>J5298</f>
        <v>0</v>
      </c>
      <c r="L5285" s="349"/>
      <c r="M5285" s="301" t="s">
        <v>2745</v>
      </c>
      <c r="N5285" s="2210">
        <f>K5298</f>
        <v>0</v>
      </c>
      <c r="O5285" s="349"/>
      <c r="P5285" s="301"/>
      <c r="S5285" s="364"/>
      <c r="Z5285" s="609" t="s">
        <v>2158</v>
      </c>
      <c r="AA5285" s="609" t="s">
        <v>19</v>
      </c>
    </row>
    <row r="5286" spans="1:27" ht="0.75" customHeight="1">
      <c r="A5286" s="2714"/>
      <c r="B5286" s="371"/>
      <c r="C5286" s="371"/>
      <c r="D5286" s="2716"/>
      <c r="F5286" s="371"/>
      <c r="G5286" s="405" t="s">
        <v>4648</v>
      </c>
      <c r="H5286" s="371" t="s">
        <v>2747</v>
      </c>
      <c r="I5286" s="371" t="s">
        <v>2821</v>
      </c>
      <c r="J5286" s="371" t="s">
        <v>2948</v>
      </c>
      <c r="K5286" s="371" t="s">
        <v>3359</v>
      </c>
      <c r="L5286" s="547" t="s">
        <v>4649</v>
      </c>
      <c r="M5286" s="433"/>
      <c r="N5286" s="428"/>
      <c r="O5286" s="428"/>
      <c r="P5286" s="433"/>
      <c r="Q5286" s="442"/>
      <c r="R5286" s="443"/>
      <c r="S5286" s="364"/>
      <c r="Z5286" s="609" t="s">
        <v>2158</v>
      </c>
      <c r="AA5286" s="609" t="s">
        <v>19</v>
      </c>
    </row>
    <row r="5287" spans="1:27" ht="0.75" customHeight="1" thickBot="1">
      <c r="A5287" s="2714"/>
      <c r="B5287" s="371"/>
      <c r="C5287" s="371"/>
      <c r="D5287" s="2716"/>
      <c r="F5287" s="371"/>
      <c r="G5287" s="405"/>
      <c r="H5287" s="371" t="s">
        <v>4650</v>
      </c>
      <c r="I5287" s="371" t="s">
        <v>4651</v>
      </c>
      <c r="J5287" s="371" t="s">
        <v>4652</v>
      </c>
      <c r="K5287" s="547" t="s">
        <v>4653</v>
      </c>
      <c r="L5287" s="547" t="s">
        <v>4654</v>
      </c>
      <c r="M5287" s="433"/>
      <c r="N5287" s="428"/>
      <c r="O5287" s="428"/>
      <c r="P5287" s="433"/>
      <c r="Q5287" s="442"/>
      <c r="R5287" s="443"/>
      <c r="S5287" s="364"/>
      <c r="Z5287" s="609" t="s">
        <v>2158</v>
      </c>
      <c r="AA5287" s="609" t="s">
        <v>19</v>
      </c>
    </row>
    <row r="5288" spans="1:27" ht="25.5" customHeight="1">
      <c r="A5288" s="2714"/>
      <c r="B5288" s="371"/>
      <c r="C5288" s="371"/>
      <c r="D5288" s="2716"/>
      <c r="E5288" s="2716" t="s">
        <v>2749</v>
      </c>
      <c r="F5288" s="293"/>
      <c r="G5288" s="3499" t="s">
        <v>5494</v>
      </c>
      <c r="H5288" s="3433" t="s">
        <v>2887</v>
      </c>
      <c r="I5288" s="3433" t="s">
        <v>4655</v>
      </c>
      <c r="J5288" s="3433" t="s">
        <v>4656</v>
      </c>
      <c r="K5288" s="3433"/>
      <c r="L5288" s="3476" t="s">
        <v>4657</v>
      </c>
      <c r="M5288" s="2672" t="s">
        <v>5347</v>
      </c>
      <c r="N5288" s="428"/>
      <c r="O5288" s="428"/>
      <c r="P5288" s="433"/>
      <c r="Q5288" s="442"/>
      <c r="R5288" s="443"/>
      <c r="S5288" s="364"/>
      <c r="Z5288" s="609" t="s">
        <v>2158</v>
      </c>
      <c r="AA5288" s="609" t="s">
        <v>19</v>
      </c>
    </row>
    <row r="5289" spans="1:27" ht="28.5" customHeight="1">
      <c r="A5289" s="2714"/>
      <c r="B5289" s="371"/>
      <c r="C5289" s="371"/>
      <c r="D5289" s="2716"/>
      <c r="E5289" s="2716" t="s">
        <v>2749</v>
      </c>
      <c r="F5289" s="293"/>
      <c r="G5289" s="3500"/>
      <c r="H5289" s="3486"/>
      <c r="I5289" s="3486"/>
      <c r="J5289" s="408" t="str">
        <f>$V$4</f>
        <v>2019年度</v>
      </c>
      <c r="K5289" s="420" t="str">
        <f>$V$5</f>
        <v>2018年度</v>
      </c>
      <c r="L5289" s="3477"/>
      <c r="M5289" s="1511"/>
      <c r="N5289" s="434"/>
      <c r="O5289" s="434"/>
      <c r="P5289" s="1511"/>
      <c r="Q5289" s="442"/>
      <c r="R5289" s="443"/>
      <c r="S5289" s="364"/>
      <c r="Z5289" s="609" t="s">
        <v>2158</v>
      </c>
      <c r="AA5289" s="609" t="s">
        <v>19</v>
      </c>
    </row>
    <row r="5290" spans="1:27" ht="18">
      <c r="A5290" s="2714"/>
      <c r="B5290" s="371">
        <v>101</v>
      </c>
      <c r="C5290" s="371" t="s">
        <v>2791</v>
      </c>
      <c r="D5290" s="2716">
        <f t="shared" ref="D5290:D5298" si="570">IF(OR(G5290="*",G5290="",G5290=0),0,COUNTIF($G$5290:$G$5298,G5290))</f>
        <v>0</v>
      </c>
      <c r="E5290" s="2721">
        <v>1</v>
      </c>
      <c r="F5290" s="293"/>
      <c r="G5290" s="319" t="s">
        <v>2792</v>
      </c>
      <c r="H5290" s="309"/>
      <c r="I5290" s="430"/>
      <c r="J5290" s="309"/>
      <c r="K5290" s="320"/>
      <c r="L5290" s="388"/>
      <c r="M5290" s="2672" t="s">
        <v>6365</v>
      </c>
      <c r="N5290" s="2674" t="s">
        <v>6364</v>
      </c>
      <c r="O5290" s="437"/>
      <c r="P5290" s="438"/>
      <c r="Q5290" s="442"/>
      <c r="R5290" s="443"/>
      <c r="S5290" s="364"/>
      <c r="Z5290" s="609" t="s">
        <v>2158</v>
      </c>
      <c r="AA5290" s="609" t="s">
        <v>19</v>
      </c>
    </row>
    <row r="5291" spans="1:27" ht="18">
      <c r="A5291" s="2714"/>
      <c r="B5291" s="371">
        <v>102</v>
      </c>
      <c r="C5291" s="371" t="s">
        <v>2791</v>
      </c>
      <c r="D5291" s="2716">
        <f t="shared" si="570"/>
        <v>0</v>
      </c>
      <c r="E5291" s="2721">
        <v>1</v>
      </c>
      <c r="F5291" s="293"/>
      <c r="G5291" s="319" t="s">
        <v>2792</v>
      </c>
      <c r="H5291" s="309"/>
      <c r="I5291" s="430"/>
      <c r="J5291" s="309"/>
      <c r="K5291" s="320"/>
      <c r="L5291" s="388"/>
      <c r="M5291" s="438"/>
      <c r="N5291" s="2674" t="s">
        <v>1935</v>
      </c>
      <c r="O5291" s="437"/>
      <c r="P5291" s="438"/>
      <c r="Q5291" s="442"/>
      <c r="R5291" s="443"/>
      <c r="S5291" s="364"/>
      <c r="Z5291" s="609" t="s">
        <v>2158</v>
      </c>
      <c r="AA5291" s="609" t="s">
        <v>19</v>
      </c>
    </row>
    <row r="5292" spans="1:27" ht="18">
      <c r="A5292" s="2714"/>
      <c r="B5292" s="371">
        <v>103</v>
      </c>
      <c r="C5292" s="371" t="s">
        <v>2791</v>
      </c>
      <c r="D5292" s="2716">
        <f t="shared" si="570"/>
        <v>0</v>
      </c>
      <c r="E5292" s="2721">
        <v>1</v>
      </c>
      <c r="F5292" s="293"/>
      <c r="G5292" s="319" t="s">
        <v>2792</v>
      </c>
      <c r="H5292" s="309"/>
      <c r="I5292" s="430"/>
      <c r="J5292" s="309"/>
      <c r="K5292" s="320"/>
      <c r="L5292" s="388"/>
      <c r="M5292" s="438"/>
      <c r="N5292" s="439"/>
      <c r="O5292" s="437"/>
      <c r="P5292" s="438"/>
      <c r="Q5292" s="442"/>
      <c r="R5292" s="443"/>
      <c r="S5292" s="364"/>
      <c r="Z5292" s="609" t="s">
        <v>2158</v>
      </c>
      <c r="AA5292" s="609" t="s">
        <v>19</v>
      </c>
    </row>
    <row r="5293" spans="1:27" ht="18">
      <c r="A5293" s="2714"/>
      <c r="B5293" s="371">
        <v>104</v>
      </c>
      <c r="C5293" s="371" t="s">
        <v>2791</v>
      </c>
      <c r="D5293" s="2716">
        <f t="shared" si="570"/>
        <v>0</v>
      </c>
      <c r="E5293" s="2721">
        <v>1</v>
      </c>
      <c r="F5293" s="293"/>
      <c r="G5293" s="319" t="s">
        <v>2792</v>
      </c>
      <c r="H5293" s="309"/>
      <c r="I5293" s="430"/>
      <c r="J5293" s="309"/>
      <c r="K5293" s="320"/>
      <c r="L5293" s="388"/>
      <c r="M5293" s="438"/>
      <c r="N5293" s="439"/>
      <c r="O5293" s="437"/>
      <c r="P5293" s="438"/>
      <c r="Q5293" s="442"/>
      <c r="R5293" s="443"/>
      <c r="S5293" s="364"/>
      <c r="Z5293" s="609" t="s">
        <v>2158</v>
      </c>
      <c r="AA5293" s="609" t="s">
        <v>19</v>
      </c>
    </row>
    <row r="5294" spans="1:27" ht="18">
      <c r="A5294" s="2714"/>
      <c r="B5294" s="371">
        <v>105</v>
      </c>
      <c r="C5294" s="371" t="s">
        <v>2791</v>
      </c>
      <c r="D5294" s="2716">
        <f t="shared" si="570"/>
        <v>0</v>
      </c>
      <c r="E5294" s="2721">
        <v>1</v>
      </c>
      <c r="F5294" s="293"/>
      <c r="G5294" s="319" t="s">
        <v>2792</v>
      </c>
      <c r="H5294" s="309"/>
      <c r="I5294" s="430"/>
      <c r="J5294" s="309"/>
      <c r="K5294" s="320"/>
      <c r="L5294" s="388"/>
      <c r="M5294" s="438"/>
      <c r="N5294" s="439"/>
      <c r="O5294" s="437"/>
      <c r="P5294" s="438"/>
      <c r="Q5294" s="442"/>
      <c r="R5294" s="443"/>
      <c r="S5294" s="364"/>
      <c r="Z5294" s="609" t="s">
        <v>2158</v>
      </c>
      <c r="AA5294" s="609" t="s">
        <v>19</v>
      </c>
    </row>
    <row r="5295" spans="1:27" ht="18">
      <c r="A5295" s="2714"/>
      <c r="B5295" s="371">
        <v>106</v>
      </c>
      <c r="C5295" s="371" t="s">
        <v>2791</v>
      </c>
      <c r="D5295" s="2716">
        <f t="shared" si="570"/>
        <v>0</v>
      </c>
      <c r="E5295" s="2721">
        <v>1</v>
      </c>
      <c r="F5295" s="293"/>
      <c r="G5295" s="319" t="s">
        <v>2792</v>
      </c>
      <c r="H5295" s="309"/>
      <c r="I5295" s="430"/>
      <c r="J5295" s="309"/>
      <c r="K5295" s="320"/>
      <c r="L5295" s="388"/>
      <c r="M5295" s="438"/>
      <c r="N5295" s="439"/>
      <c r="O5295" s="437"/>
      <c r="P5295" s="438"/>
      <c r="Q5295" s="442"/>
      <c r="R5295" s="443"/>
      <c r="S5295" s="364"/>
      <c r="Z5295" s="609" t="s">
        <v>2158</v>
      </c>
      <c r="AA5295" s="609" t="s">
        <v>19</v>
      </c>
    </row>
    <row r="5296" spans="1:27" ht="18">
      <c r="A5296" s="2714"/>
      <c r="B5296" s="371">
        <v>107</v>
      </c>
      <c r="C5296" s="371" t="s">
        <v>2791</v>
      </c>
      <c r="D5296" s="2716">
        <f t="shared" si="570"/>
        <v>0</v>
      </c>
      <c r="E5296" s="2721">
        <v>1</v>
      </c>
      <c r="F5296" s="293"/>
      <c r="G5296" s="319" t="s">
        <v>2792</v>
      </c>
      <c r="H5296" s="309"/>
      <c r="I5296" s="430"/>
      <c r="J5296" s="309"/>
      <c r="K5296" s="320"/>
      <c r="L5296" s="388"/>
      <c r="M5296" s="438"/>
      <c r="N5296" s="439"/>
      <c r="O5296" s="437"/>
      <c r="P5296" s="438"/>
      <c r="Q5296" s="442"/>
      <c r="R5296" s="443"/>
      <c r="S5296" s="364"/>
      <c r="Z5296" s="609" t="s">
        <v>2158</v>
      </c>
      <c r="AA5296" s="609" t="s">
        <v>19</v>
      </c>
    </row>
    <row r="5297" spans="1:27" ht="18">
      <c r="A5297" s="2714"/>
      <c r="B5297" s="371">
        <v>108</v>
      </c>
      <c r="C5297" s="371" t="s">
        <v>2791</v>
      </c>
      <c r="D5297" s="2716">
        <f t="shared" si="570"/>
        <v>0</v>
      </c>
      <c r="E5297" s="2721">
        <v>1</v>
      </c>
      <c r="F5297" s="293"/>
      <c r="G5297" s="319" t="s">
        <v>2792</v>
      </c>
      <c r="H5297" s="309"/>
      <c r="I5297" s="430"/>
      <c r="J5297" s="309"/>
      <c r="K5297" s="320"/>
      <c r="L5297" s="388"/>
      <c r="M5297" s="438"/>
      <c r="N5297" s="439"/>
      <c r="O5297" s="437"/>
      <c r="P5297" s="438"/>
      <c r="Q5297" s="442"/>
      <c r="R5297" s="443"/>
      <c r="S5297" s="364"/>
      <c r="Z5297" s="609" t="s">
        <v>2158</v>
      </c>
      <c r="AA5297" s="609" t="s">
        <v>19</v>
      </c>
    </row>
    <row r="5298" spans="1:27" ht="18.75" thickBot="1">
      <c r="A5298" s="2714"/>
      <c r="B5298" s="371"/>
      <c r="C5298" s="371"/>
      <c r="D5298" s="2716">
        <f t="shared" si="570"/>
        <v>1</v>
      </c>
      <c r="E5298" s="2721" t="s">
        <v>2751</v>
      </c>
      <c r="F5298" s="293"/>
      <c r="G5298" s="374" t="s">
        <v>5493</v>
      </c>
      <c r="H5298" s="375">
        <f>SUMPRODUCT($E5289:$E5297,H5289:H5297)</f>
        <v>0</v>
      </c>
      <c r="I5298" s="551">
        <f>SUMPRODUCT($E5289:$E5297,I5289:I5297)</f>
        <v>0</v>
      </c>
      <c r="J5298" s="375">
        <f>SUMPRODUCT($E5289:$E5297,J5289:J5297)</f>
        <v>0</v>
      </c>
      <c r="K5298" s="375">
        <f>SUMPRODUCT($E5289:$E5297,K5289:K5297)</f>
        <v>0</v>
      </c>
      <c r="L5298" s="550"/>
      <c r="M5298" s="440"/>
      <c r="N5298" s="439"/>
      <c r="O5298" s="437"/>
      <c r="P5298" s="440"/>
      <c r="Q5298" s="442"/>
      <c r="R5298" s="443"/>
      <c r="S5298" s="364"/>
      <c r="Z5298" s="609" t="s">
        <v>2158</v>
      </c>
      <c r="AA5298" s="609" t="s">
        <v>19</v>
      </c>
    </row>
    <row r="5299" spans="1:27" ht="18">
      <c r="A5299" s="2714"/>
      <c r="B5299" s="371"/>
      <c r="C5299" s="371" t="s">
        <v>2755</v>
      </c>
      <c r="D5299" s="2716"/>
      <c r="F5299" s="293"/>
      <c r="G5299" s="376"/>
      <c r="H5299" s="315"/>
      <c r="I5299" s="432"/>
      <c r="J5299" s="315"/>
      <c r="K5299" s="423"/>
      <c r="L5299" s="393"/>
      <c r="M5299" s="425"/>
      <c r="N5299" s="426"/>
      <c r="O5299" s="427"/>
      <c r="P5299" s="425"/>
      <c r="Q5299" s="442"/>
      <c r="R5299" s="443"/>
      <c r="S5299" s="364"/>
      <c r="Z5299" s="609" t="s">
        <v>2158</v>
      </c>
      <c r="AA5299" s="609" t="s">
        <v>19</v>
      </c>
    </row>
    <row r="5300" spans="1:27" ht="18">
      <c r="A5300" s="2714" t="s">
        <v>2176</v>
      </c>
      <c r="B5300" s="371">
        <v>2</v>
      </c>
      <c r="C5300" s="371"/>
      <c r="D5300" s="2716" t="str">
        <f>VLOOKUP($A5300,Sheet_NoteList,2,0)</f>
        <v>与收益相关的政府补助</v>
      </c>
      <c r="E5300" s="2716" t="s">
        <v>2742</v>
      </c>
      <c r="F5300" s="293"/>
      <c r="G5300" s="372" t="str">
        <f>"("&amp;B5300&amp;")"&amp;D5300</f>
        <v>(2)与收益相关的政府补助</v>
      </c>
      <c r="H5300" s="1517" t="str">
        <f>$A5300</f>
        <v>9371i</v>
      </c>
      <c r="I5300" s="343" t="s">
        <v>2743</v>
      </c>
      <c r="J5300" s="301" t="s">
        <v>2744</v>
      </c>
      <c r="K5300" s="2210">
        <f>J5313</f>
        <v>0</v>
      </c>
      <c r="L5300" s="349"/>
      <c r="M5300" s="301" t="s">
        <v>2745</v>
      </c>
      <c r="N5300" s="2210">
        <f>K5313</f>
        <v>0</v>
      </c>
      <c r="O5300" s="349"/>
      <c r="P5300" s="301"/>
      <c r="S5300" s="364"/>
      <c r="Z5300" s="609" t="s">
        <v>2158</v>
      </c>
      <c r="AA5300" s="609" t="s">
        <v>19</v>
      </c>
    </row>
    <row r="5301" spans="1:27" ht="0.75" customHeight="1">
      <c r="A5301" s="2714"/>
      <c r="B5301" s="371"/>
      <c r="C5301" s="371"/>
      <c r="D5301" s="2716"/>
      <c r="F5301" s="371"/>
      <c r="G5301" s="405" t="s">
        <v>4658</v>
      </c>
      <c r="H5301" s="371" t="s">
        <v>2747</v>
      </c>
      <c r="I5301" s="371" t="s">
        <v>2821</v>
      </c>
      <c r="J5301" s="371" t="s">
        <v>2948</v>
      </c>
      <c r="K5301" s="547" t="s">
        <v>3034</v>
      </c>
      <c r="L5301" s="547" t="s">
        <v>4649</v>
      </c>
      <c r="M5301" s="433"/>
      <c r="N5301" s="428"/>
      <c r="O5301" s="428"/>
      <c r="P5301" s="433"/>
      <c r="Q5301" s="442"/>
      <c r="R5301" s="443"/>
      <c r="S5301" s="364"/>
      <c r="Z5301" s="609" t="s">
        <v>2158</v>
      </c>
      <c r="AA5301" s="609" t="s">
        <v>19</v>
      </c>
    </row>
    <row r="5302" spans="1:27" ht="0.75" customHeight="1" thickBot="1">
      <c r="A5302" s="2714"/>
      <c r="B5302" s="371"/>
      <c r="C5302" s="371"/>
      <c r="D5302" s="2716"/>
      <c r="F5302" s="371"/>
      <c r="G5302" s="405"/>
      <c r="H5302" s="371" t="s">
        <v>4650</v>
      </c>
      <c r="I5302" s="371" t="s">
        <v>4651</v>
      </c>
      <c r="J5302" s="371" t="s">
        <v>4652</v>
      </c>
      <c r="K5302" s="547" t="s">
        <v>4653</v>
      </c>
      <c r="L5302" s="547" t="s">
        <v>4654</v>
      </c>
      <c r="M5302" s="433"/>
      <c r="N5302" s="428"/>
      <c r="O5302" s="428"/>
      <c r="P5302" s="433"/>
      <c r="Q5302" s="442"/>
      <c r="R5302" s="443"/>
      <c r="S5302" s="364"/>
      <c r="Z5302" s="609" t="s">
        <v>2158</v>
      </c>
      <c r="AA5302" s="609" t="s">
        <v>19</v>
      </c>
    </row>
    <row r="5303" spans="1:27" ht="25.5" customHeight="1">
      <c r="A5303" s="2714"/>
      <c r="B5303" s="371"/>
      <c r="C5303" s="371"/>
      <c r="D5303" s="2716"/>
      <c r="E5303" s="2716" t="s">
        <v>2749</v>
      </c>
      <c r="F5303" s="293"/>
      <c r="G5303" s="3499" t="s">
        <v>5494</v>
      </c>
      <c r="H5303" s="3433" t="s">
        <v>2887</v>
      </c>
      <c r="I5303" s="3433" t="s">
        <v>4655</v>
      </c>
      <c r="J5303" s="3433" t="s">
        <v>4656</v>
      </c>
      <c r="K5303" s="3433"/>
      <c r="L5303" s="3476" t="s">
        <v>4657</v>
      </c>
      <c r="M5303" s="355" t="s">
        <v>5347</v>
      </c>
      <c r="N5303" s="428"/>
      <c r="O5303" s="428"/>
      <c r="P5303" s="433"/>
      <c r="Q5303" s="442"/>
      <c r="R5303" s="443"/>
      <c r="S5303" s="364"/>
      <c r="Z5303" s="609" t="s">
        <v>2158</v>
      </c>
      <c r="AA5303" s="609" t="s">
        <v>19</v>
      </c>
    </row>
    <row r="5304" spans="1:27" ht="26.25" customHeight="1">
      <c r="A5304" s="2714"/>
      <c r="B5304" s="371"/>
      <c r="C5304" s="371"/>
      <c r="D5304" s="2716"/>
      <c r="E5304" s="2716" t="s">
        <v>2749</v>
      </c>
      <c r="F5304" s="293"/>
      <c r="G5304" s="3500"/>
      <c r="H5304" s="3486"/>
      <c r="I5304" s="3486"/>
      <c r="J5304" s="408" t="str">
        <f>$V$4</f>
        <v>2019年度</v>
      </c>
      <c r="K5304" s="2239" t="str">
        <f>$V$5</f>
        <v>2018年度</v>
      </c>
      <c r="L5304" s="3477"/>
      <c r="M5304" s="435"/>
      <c r="N5304" s="434"/>
      <c r="O5304" s="434"/>
      <c r="P5304" s="435"/>
      <c r="Q5304" s="442"/>
      <c r="R5304" s="443"/>
      <c r="S5304" s="364"/>
      <c r="Z5304" s="609" t="s">
        <v>2158</v>
      </c>
      <c r="AA5304" s="609" t="s">
        <v>19</v>
      </c>
    </row>
    <row r="5305" spans="1:27" ht="18">
      <c r="A5305" s="2714"/>
      <c r="B5305" s="371">
        <v>101</v>
      </c>
      <c r="C5305" s="371" t="s">
        <v>2791</v>
      </c>
      <c r="D5305" s="2716">
        <f t="shared" ref="D5305:D5313" si="571">IF(OR(G5305="*",G5305="",G5305=0),0,COUNTIF($G$5305:$G$5313,G5305))</f>
        <v>0</v>
      </c>
      <c r="E5305" s="2721">
        <v>1</v>
      </c>
      <c r="F5305" s="293"/>
      <c r="G5305" s="319" t="s">
        <v>2792</v>
      </c>
      <c r="H5305" s="309"/>
      <c r="I5305" s="430"/>
      <c r="J5305" s="309"/>
      <c r="K5305" s="320"/>
      <c r="L5305" s="388"/>
      <c r="M5305" s="2672" t="s">
        <v>6365</v>
      </c>
      <c r="N5305" s="2674" t="s">
        <v>6364</v>
      </c>
      <c r="O5305" s="437"/>
      <c r="P5305" s="438"/>
      <c r="Q5305" s="442"/>
      <c r="R5305" s="443"/>
      <c r="S5305" s="364"/>
      <c r="Z5305" s="609" t="s">
        <v>2158</v>
      </c>
      <c r="AA5305" s="609" t="s">
        <v>19</v>
      </c>
    </row>
    <row r="5306" spans="1:27" ht="18">
      <c r="A5306" s="2714"/>
      <c r="B5306" s="371">
        <v>102</v>
      </c>
      <c r="C5306" s="371" t="s">
        <v>2791</v>
      </c>
      <c r="D5306" s="2716">
        <f t="shared" si="571"/>
        <v>0</v>
      </c>
      <c r="E5306" s="2721">
        <v>1</v>
      </c>
      <c r="F5306" s="293"/>
      <c r="G5306" s="319" t="s">
        <v>2792</v>
      </c>
      <c r="H5306" s="309"/>
      <c r="I5306" s="430"/>
      <c r="J5306" s="309"/>
      <c r="K5306" s="320"/>
      <c r="L5306" s="388"/>
      <c r="M5306" s="438"/>
      <c r="N5306" s="2674" t="s">
        <v>1935</v>
      </c>
      <c r="O5306" s="437"/>
      <c r="P5306" s="438"/>
      <c r="Q5306" s="442"/>
      <c r="R5306" s="443"/>
      <c r="S5306" s="364"/>
      <c r="Z5306" s="609" t="s">
        <v>2158</v>
      </c>
      <c r="AA5306" s="609" t="s">
        <v>19</v>
      </c>
    </row>
    <row r="5307" spans="1:27" ht="18">
      <c r="A5307" s="2714"/>
      <c r="B5307" s="371">
        <v>103</v>
      </c>
      <c r="C5307" s="371" t="s">
        <v>2791</v>
      </c>
      <c r="D5307" s="2716">
        <f t="shared" si="571"/>
        <v>0</v>
      </c>
      <c r="E5307" s="2721">
        <v>1</v>
      </c>
      <c r="F5307" s="293"/>
      <c r="G5307" s="319" t="s">
        <v>2792</v>
      </c>
      <c r="H5307" s="309"/>
      <c r="I5307" s="430"/>
      <c r="J5307" s="309"/>
      <c r="K5307" s="320"/>
      <c r="L5307" s="388"/>
      <c r="M5307" s="438"/>
      <c r="N5307" s="439"/>
      <c r="O5307" s="437"/>
      <c r="P5307" s="438"/>
      <c r="Q5307" s="442"/>
      <c r="R5307" s="443"/>
      <c r="S5307" s="364"/>
      <c r="Z5307" s="609" t="s">
        <v>2158</v>
      </c>
      <c r="AA5307" s="609" t="s">
        <v>19</v>
      </c>
    </row>
    <row r="5308" spans="1:27" ht="18">
      <c r="A5308" s="2714"/>
      <c r="B5308" s="371">
        <v>104</v>
      </c>
      <c r="C5308" s="371" t="s">
        <v>2791</v>
      </c>
      <c r="D5308" s="2716">
        <f t="shared" si="571"/>
        <v>0</v>
      </c>
      <c r="E5308" s="2721">
        <v>1</v>
      </c>
      <c r="F5308" s="293"/>
      <c r="G5308" s="319" t="s">
        <v>2792</v>
      </c>
      <c r="H5308" s="309"/>
      <c r="I5308" s="430"/>
      <c r="J5308" s="309"/>
      <c r="K5308" s="320"/>
      <c r="L5308" s="388"/>
      <c r="M5308" s="438"/>
      <c r="N5308" s="439"/>
      <c r="O5308" s="437"/>
      <c r="P5308" s="438"/>
      <c r="Q5308" s="442"/>
      <c r="R5308" s="443"/>
      <c r="S5308" s="364"/>
      <c r="Z5308" s="609" t="s">
        <v>2158</v>
      </c>
      <c r="AA5308" s="609" t="s">
        <v>19</v>
      </c>
    </row>
    <row r="5309" spans="1:27" ht="18">
      <c r="A5309" s="2714"/>
      <c r="B5309" s="371">
        <v>105</v>
      </c>
      <c r="C5309" s="371" t="s">
        <v>2791</v>
      </c>
      <c r="D5309" s="2716">
        <f t="shared" si="571"/>
        <v>0</v>
      </c>
      <c r="E5309" s="2721">
        <v>1</v>
      </c>
      <c r="F5309" s="293"/>
      <c r="G5309" s="319" t="s">
        <v>2792</v>
      </c>
      <c r="H5309" s="309"/>
      <c r="I5309" s="430"/>
      <c r="J5309" s="309"/>
      <c r="K5309" s="320"/>
      <c r="L5309" s="388"/>
      <c r="M5309" s="438"/>
      <c r="N5309" s="439"/>
      <c r="O5309" s="437"/>
      <c r="P5309" s="438"/>
      <c r="Q5309" s="442"/>
      <c r="R5309" s="443"/>
      <c r="S5309" s="364"/>
      <c r="Z5309" s="609" t="s">
        <v>2158</v>
      </c>
      <c r="AA5309" s="609" t="s">
        <v>19</v>
      </c>
    </row>
    <row r="5310" spans="1:27" ht="18">
      <c r="A5310" s="2714"/>
      <c r="B5310" s="371">
        <v>106</v>
      </c>
      <c r="C5310" s="371" t="s">
        <v>2791</v>
      </c>
      <c r="D5310" s="2716">
        <f t="shared" si="571"/>
        <v>0</v>
      </c>
      <c r="E5310" s="2721">
        <v>1</v>
      </c>
      <c r="F5310" s="293"/>
      <c r="G5310" s="319" t="s">
        <v>2792</v>
      </c>
      <c r="H5310" s="309"/>
      <c r="I5310" s="430"/>
      <c r="J5310" s="309"/>
      <c r="K5310" s="320"/>
      <c r="L5310" s="388"/>
      <c r="M5310" s="438"/>
      <c r="N5310" s="439"/>
      <c r="O5310" s="437"/>
      <c r="P5310" s="438"/>
      <c r="Q5310" s="442"/>
      <c r="R5310" s="443"/>
      <c r="S5310" s="364"/>
      <c r="Z5310" s="609" t="s">
        <v>2158</v>
      </c>
      <c r="AA5310" s="609" t="s">
        <v>19</v>
      </c>
    </row>
    <row r="5311" spans="1:27" ht="18">
      <c r="A5311" s="2714"/>
      <c r="B5311" s="371">
        <v>107</v>
      </c>
      <c r="C5311" s="371" t="s">
        <v>2791</v>
      </c>
      <c r="D5311" s="2716">
        <f t="shared" si="571"/>
        <v>0</v>
      </c>
      <c r="E5311" s="2721">
        <v>1</v>
      </c>
      <c r="F5311" s="293"/>
      <c r="G5311" s="319" t="s">
        <v>2792</v>
      </c>
      <c r="H5311" s="309"/>
      <c r="I5311" s="430"/>
      <c r="J5311" s="309"/>
      <c r="K5311" s="320"/>
      <c r="L5311" s="388"/>
      <c r="M5311" s="438"/>
      <c r="N5311" s="439"/>
      <c r="O5311" s="437"/>
      <c r="P5311" s="438"/>
      <c r="Q5311" s="442"/>
      <c r="R5311" s="443"/>
      <c r="S5311" s="364"/>
      <c r="Z5311" s="609" t="s">
        <v>2158</v>
      </c>
      <c r="AA5311" s="609" t="s">
        <v>19</v>
      </c>
    </row>
    <row r="5312" spans="1:27" ht="18">
      <c r="A5312" s="2714"/>
      <c r="B5312" s="371">
        <v>108</v>
      </c>
      <c r="C5312" s="371" t="s">
        <v>2791</v>
      </c>
      <c r="D5312" s="2716">
        <f t="shared" si="571"/>
        <v>0</v>
      </c>
      <c r="E5312" s="2721">
        <v>1</v>
      </c>
      <c r="F5312" s="293"/>
      <c r="G5312" s="319" t="s">
        <v>2792</v>
      </c>
      <c r="H5312" s="309"/>
      <c r="I5312" s="430"/>
      <c r="J5312" s="309"/>
      <c r="K5312" s="320"/>
      <c r="L5312" s="388"/>
      <c r="M5312" s="438"/>
      <c r="N5312" s="439"/>
      <c r="O5312" s="437"/>
      <c r="P5312" s="438"/>
      <c r="Q5312" s="442"/>
      <c r="R5312" s="443"/>
      <c r="S5312" s="364"/>
      <c r="Z5312" s="609" t="s">
        <v>2158</v>
      </c>
      <c r="AA5312" s="609" t="s">
        <v>19</v>
      </c>
    </row>
    <row r="5313" spans="1:27" ht="18.75" thickBot="1">
      <c r="A5313" s="2714"/>
      <c r="B5313" s="371"/>
      <c r="C5313" s="371"/>
      <c r="D5313" s="2716">
        <f t="shared" si="571"/>
        <v>1</v>
      </c>
      <c r="E5313" s="2721" t="s">
        <v>2751</v>
      </c>
      <c r="F5313" s="293"/>
      <c r="G5313" s="374" t="s">
        <v>2752</v>
      </c>
      <c r="H5313" s="375">
        <f>SUMPRODUCT($E5304:$E5312,H5304:H5312)</f>
        <v>0</v>
      </c>
      <c r="I5313" s="551">
        <f>SUMPRODUCT($E5304:$E5312,I5304:I5312)</f>
        <v>0</v>
      </c>
      <c r="J5313" s="375">
        <f>SUMPRODUCT($E5304:$E5312,J5304:J5312)</f>
        <v>0</v>
      </c>
      <c r="K5313" s="2325">
        <f>SUMPRODUCT($E5304:$E5312,K5304:K5312)</f>
        <v>0</v>
      </c>
      <c r="L5313" s="550"/>
      <c r="M5313" s="440"/>
      <c r="N5313" s="439"/>
      <c r="O5313" s="437"/>
      <c r="P5313" s="440"/>
      <c r="Q5313" s="442"/>
      <c r="R5313" s="443"/>
      <c r="S5313" s="364"/>
      <c r="Z5313" s="609" t="s">
        <v>2158</v>
      </c>
      <c r="AA5313" s="609" t="s">
        <v>19</v>
      </c>
    </row>
    <row r="5314" spans="1:27" ht="18">
      <c r="A5314" s="2714"/>
      <c r="B5314" s="371"/>
      <c r="C5314" s="371" t="s">
        <v>2755</v>
      </c>
      <c r="D5314" s="2716"/>
      <c r="F5314" s="293"/>
      <c r="G5314" s="376"/>
      <c r="H5314" s="315"/>
      <c r="I5314" s="432"/>
      <c r="J5314" s="315"/>
      <c r="K5314" s="423"/>
      <c r="L5314" s="393"/>
      <c r="M5314" s="425"/>
      <c r="N5314" s="426"/>
      <c r="O5314" s="427"/>
      <c r="P5314" s="425"/>
      <c r="Q5314" s="442"/>
      <c r="R5314" s="443"/>
      <c r="S5314" s="364"/>
      <c r="Z5314" s="609" t="s">
        <v>2158</v>
      </c>
      <c r="AA5314" s="609" t="s">
        <v>19</v>
      </c>
    </row>
    <row r="5315" spans="1:27" ht="18">
      <c r="A5315" s="2714" t="s">
        <v>2178</v>
      </c>
      <c r="B5315" s="371">
        <v>3</v>
      </c>
      <c r="C5315" s="371"/>
      <c r="D5315" s="2716" t="str">
        <f>VLOOKUP($A5315,Sheet_NoteList,2,0)</f>
        <v>政府补助退回情况</v>
      </c>
      <c r="E5315" s="2716" t="s">
        <v>2742</v>
      </c>
      <c r="F5315" s="293"/>
      <c r="G5315" s="372" t="str">
        <f>"("&amp;B5315&amp;")"&amp;D5315</f>
        <v>(3)政府补助退回情况</v>
      </c>
      <c r="H5315" s="1517" t="str">
        <f>$A5315</f>
        <v>9371j</v>
      </c>
      <c r="I5315" s="343" t="s">
        <v>2743</v>
      </c>
      <c r="J5315" s="301" t="s">
        <v>2744</v>
      </c>
      <c r="K5315" s="2210">
        <f>H5326</f>
        <v>0</v>
      </c>
      <c r="L5315" s="349"/>
      <c r="M5315" s="301" t="s">
        <v>2745</v>
      </c>
      <c r="N5315" s="2210">
        <f>I5326</f>
        <v>0</v>
      </c>
      <c r="O5315" s="349"/>
      <c r="P5315" s="301"/>
      <c r="S5315" s="364"/>
      <c r="Z5315" s="609" t="s">
        <v>2158</v>
      </c>
      <c r="AA5315" s="609" t="s">
        <v>19</v>
      </c>
    </row>
    <row r="5316" spans="1:27" ht="0.75" customHeight="1" thickBot="1">
      <c r="A5316" s="2714"/>
      <c r="B5316" s="371"/>
      <c r="C5316" s="371"/>
      <c r="D5316" s="2716"/>
      <c r="F5316" s="371"/>
      <c r="G5316" s="405" t="s">
        <v>4659</v>
      </c>
      <c r="H5316" s="371" t="s">
        <v>2747</v>
      </c>
      <c r="I5316" s="371" t="s">
        <v>2821</v>
      </c>
      <c r="J5316" s="433"/>
      <c r="K5316" s="428"/>
      <c r="L5316" s="428"/>
      <c r="M5316" s="433"/>
      <c r="N5316" s="428"/>
      <c r="O5316" s="428"/>
      <c r="P5316" s="433"/>
      <c r="Q5316" s="442"/>
      <c r="R5316" s="443"/>
      <c r="S5316" s="364"/>
      <c r="Z5316" s="609" t="s">
        <v>2158</v>
      </c>
      <c r="AA5316" s="609" t="s">
        <v>19</v>
      </c>
    </row>
    <row r="5317" spans="1:27" ht="18">
      <c r="A5317" s="2714"/>
      <c r="B5317" s="371"/>
      <c r="C5317" s="371"/>
      <c r="D5317" s="2716"/>
      <c r="E5317" s="2716" t="s">
        <v>2749</v>
      </c>
      <c r="F5317" s="293"/>
      <c r="G5317" s="373" t="s">
        <v>47</v>
      </c>
      <c r="H5317" s="406" t="s">
        <v>2887</v>
      </c>
      <c r="I5317" s="417" t="s">
        <v>4660</v>
      </c>
      <c r="J5317" s="355" t="s">
        <v>5347</v>
      </c>
      <c r="K5317" s="434"/>
      <c r="L5317" s="434"/>
      <c r="M5317" s="435"/>
      <c r="N5317" s="434"/>
      <c r="O5317" s="434"/>
      <c r="P5317" s="435"/>
      <c r="Q5317" s="442"/>
      <c r="R5317" s="443"/>
      <c r="S5317" s="364"/>
      <c r="Z5317" s="609" t="s">
        <v>2158</v>
      </c>
      <c r="AA5317" s="609" t="s">
        <v>19</v>
      </c>
    </row>
    <row r="5318" spans="1:27" ht="18">
      <c r="A5318" s="2714"/>
      <c r="B5318" s="371">
        <v>101</v>
      </c>
      <c r="C5318" s="371" t="s">
        <v>2791</v>
      </c>
      <c r="D5318" s="2716">
        <f t="shared" ref="D5318:D5326" si="572">IF(OR(G5318="*",G5318="",G5318=0),0,COUNTIF($G$5318:$G$5326,G5318))</f>
        <v>0</v>
      </c>
      <c r="E5318" s="2721">
        <v>1</v>
      </c>
      <c r="F5318" s="293"/>
      <c r="G5318" s="319" t="s">
        <v>2792</v>
      </c>
      <c r="H5318" s="309"/>
      <c r="I5318" s="444"/>
      <c r="J5318" s="438"/>
      <c r="K5318" s="439"/>
      <c r="L5318" s="437"/>
      <c r="M5318" s="438"/>
      <c r="N5318" s="439"/>
      <c r="O5318" s="437"/>
      <c r="P5318" s="438"/>
      <c r="Q5318" s="442"/>
      <c r="R5318" s="443"/>
      <c r="S5318" s="364"/>
      <c r="Z5318" s="609" t="s">
        <v>2158</v>
      </c>
      <c r="AA5318" s="609" t="s">
        <v>19</v>
      </c>
    </row>
    <row r="5319" spans="1:27" ht="18">
      <c r="A5319" s="2714"/>
      <c r="B5319" s="371">
        <v>102</v>
      </c>
      <c r="C5319" s="371" t="s">
        <v>2791</v>
      </c>
      <c r="D5319" s="2716">
        <f t="shared" si="572"/>
        <v>0</v>
      </c>
      <c r="E5319" s="2721">
        <v>1</v>
      </c>
      <c r="F5319" s="293"/>
      <c r="G5319" s="319" t="s">
        <v>2792</v>
      </c>
      <c r="H5319" s="309"/>
      <c r="I5319" s="444"/>
      <c r="J5319" s="438"/>
      <c r="K5319" s="439"/>
      <c r="L5319" s="437"/>
      <c r="M5319" s="438"/>
      <c r="N5319" s="439"/>
      <c r="O5319" s="437"/>
      <c r="P5319" s="438"/>
      <c r="Q5319" s="442"/>
      <c r="R5319" s="443"/>
      <c r="S5319" s="364"/>
      <c r="Z5319" s="609" t="s">
        <v>2158</v>
      </c>
      <c r="AA5319" s="609" t="s">
        <v>19</v>
      </c>
    </row>
    <row r="5320" spans="1:27" ht="18">
      <c r="A5320" s="2714"/>
      <c r="B5320" s="371">
        <v>103</v>
      </c>
      <c r="C5320" s="371" t="s">
        <v>2791</v>
      </c>
      <c r="D5320" s="2716">
        <f t="shared" si="572"/>
        <v>0</v>
      </c>
      <c r="E5320" s="2721">
        <v>1</v>
      </c>
      <c r="F5320" s="293"/>
      <c r="G5320" s="319" t="s">
        <v>2792</v>
      </c>
      <c r="H5320" s="309"/>
      <c r="I5320" s="444"/>
      <c r="J5320" s="438"/>
      <c r="K5320" s="439"/>
      <c r="L5320" s="437"/>
      <c r="M5320" s="438"/>
      <c r="N5320" s="439"/>
      <c r="O5320" s="437"/>
      <c r="P5320" s="438"/>
      <c r="Q5320" s="442"/>
      <c r="R5320" s="443"/>
      <c r="S5320" s="364"/>
      <c r="Z5320" s="609" t="s">
        <v>2158</v>
      </c>
      <c r="AA5320" s="609" t="s">
        <v>19</v>
      </c>
    </row>
    <row r="5321" spans="1:27" ht="18">
      <c r="A5321" s="2714"/>
      <c r="B5321" s="371">
        <v>104</v>
      </c>
      <c r="C5321" s="371" t="s">
        <v>2791</v>
      </c>
      <c r="D5321" s="2716">
        <f t="shared" si="572"/>
        <v>0</v>
      </c>
      <c r="E5321" s="2721">
        <v>1</v>
      </c>
      <c r="F5321" s="293"/>
      <c r="G5321" s="319" t="s">
        <v>2792</v>
      </c>
      <c r="H5321" s="309"/>
      <c r="I5321" s="444"/>
      <c r="J5321" s="438"/>
      <c r="K5321" s="439"/>
      <c r="L5321" s="437"/>
      <c r="M5321" s="438"/>
      <c r="N5321" s="439"/>
      <c r="O5321" s="437"/>
      <c r="P5321" s="438"/>
      <c r="Q5321" s="442"/>
      <c r="R5321" s="443"/>
      <c r="S5321" s="364"/>
      <c r="Z5321" s="609" t="s">
        <v>2158</v>
      </c>
      <c r="AA5321" s="609" t="s">
        <v>19</v>
      </c>
    </row>
    <row r="5322" spans="1:27" ht="18">
      <c r="A5322" s="2714"/>
      <c r="B5322" s="371">
        <v>105</v>
      </c>
      <c r="C5322" s="371" t="s">
        <v>2791</v>
      </c>
      <c r="D5322" s="2716">
        <f t="shared" si="572"/>
        <v>0</v>
      </c>
      <c r="E5322" s="2721">
        <v>1</v>
      </c>
      <c r="F5322" s="293"/>
      <c r="G5322" s="319" t="s">
        <v>2792</v>
      </c>
      <c r="H5322" s="309"/>
      <c r="I5322" s="444"/>
      <c r="J5322" s="438"/>
      <c r="K5322" s="439"/>
      <c r="L5322" s="437"/>
      <c r="M5322" s="438"/>
      <c r="N5322" s="439"/>
      <c r="O5322" s="437"/>
      <c r="P5322" s="438"/>
      <c r="Q5322" s="442"/>
      <c r="R5322" s="443"/>
      <c r="S5322" s="364"/>
      <c r="Z5322" s="609" t="s">
        <v>2158</v>
      </c>
      <c r="AA5322" s="609" t="s">
        <v>19</v>
      </c>
    </row>
    <row r="5323" spans="1:27" ht="18">
      <c r="A5323" s="2714"/>
      <c r="B5323" s="371">
        <v>106</v>
      </c>
      <c r="C5323" s="371" t="s">
        <v>2791</v>
      </c>
      <c r="D5323" s="2716">
        <f t="shared" si="572"/>
        <v>0</v>
      </c>
      <c r="E5323" s="2721">
        <v>1</v>
      </c>
      <c r="F5323" s="293"/>
      <c r="G5323" s="319" t="s">
        <v>2792</v>
      </c>
      <c r="H5323" s="309"/>
      <c r="I5323" s="444"/>
      <c r="J5323" s="438"/>
      <c r="K5323" s="439"/>
      <c r="L5323" s="437"/>
      <c r="M5323" s="438"/>
      <c r="N5323" s="439"/>
      <c r="O5323" s="437"/>
      <c r="P5323" s="438"/>
      <c r="Q5323" s="442"/>
      <c r="R5323" s="443"/>
      <c r="S5323" s="364"/>
      <c r="Z5323" s="609" t="s">
        <v>2158</v>
      </c>
      <c r="AA5323" s="609" t="s">
        <v>19</v>
      </c>
    </row>
    <row r="5324" spans="1:27" ht="18">
      <c r="A5324" s="2714"/>
      <c r="B5324" s="371">
        <v>107</v>
      </c>
      <c r="C5324" s="371" t="s">
        <v>2791</v>
      </c>
      <c r="D5324" s="2716">
        <f t="shared" si="572"/>
        <v>0</v>
      </c>
      <c r="E5324" s="2721">
        <v>1</v>
      </c>
      <c r="F5324" s="293"/>
      <c r="G5324" s="319" t="s">
        <v>2792</v>
      </c>
      <c r="H5324" s="309"/>
      <c r="I5324" s="444"/>
      <c r="J5324" s="438"/>
      <c r="K5324" s="439"/>
      <c r="L5324" s="437"/>
      <c r="M5324" s="438"/>
      <c r="N5324" s="439"/>
      <c r="O5324" s="437"/>
      <c r="P5324" s="438"/>
      <c r="Q5324" s="442"/>
      <c r="R5324" s="443"/>
      <c r="S5324" s="364"/>
      <c r="Z5324" s="609" t="s">
        <v>2158</v>
      </c>
      <c r="AA5324" s="609" t="s">
        <v>19</v>
      </c>
    </row>
    <row r="5325" spans="1:27" ht="18">
      <c r="A5325" s="2714"/>
      <c r="B5325" s="371">
        <v>108</v>
      </c>
      <c r="C5325" s="371" t="s">
        <v>2791</v>
      </c>
      <c r="D5325" s="2716">
        <f t="shared" si="572"/>
        <v>0</v>
      </c>
      <c r="E5325" s="2721">
        <v>1</v>
      </c>
      <c r="F5325" s="293"/>
      <c r="G5325" s="319" t="s">
        <v>2792</v>
      </c>
      <c r="H5325" s="309"/>
      <c r="I5325" s="444"/>
      <c r="J5325" s="438"/>
      <c r="K5325" s="439"/>
      <c r="L5325" s="437"/>
      <c r="M5325" s="438"/>
      <c r="N5325" s="439"/>
      <c r="O5325" s="437"/>
      <c r="P5325" s="438"/>
      <c r="Q5325" s="442"/>
      <c r="R5325" s="443"/>
      <c r="S5325" s="364"/>
      <c r="Z5325" s="609" t="s">
        <v>2158</v>
      </c>
      <c r="AA5325" s="609" t="s">
        <v>19</v>
      </c>
    </row>
    <row r="5326" spans="1:27" ht="18.75" thickBot="1">
      <c r="A5326" s="2714"/>
      <c r="B5326" s="371"/>
      <c r="C5326" s="371"/>
      <c r="D5326" s="2716">
        <f t="shared" si="572"/>
        <v>1</v>
      </c>
      <c r="E5326" s="2721" t="s">
        <v>2751</v>
      </c>
      <c r="F5326" s="293"/>
      <c r="G5326" s="374" t="s">
        <v>2752</v>
      </c>
      <c r="H5326" s="375">
        <f>SUMPRODUCT($E5317:$E5325,H5317:H5325)</f>
        <v>0</v>
      </c>
      <c r="I5326" s="552">
        <f>SUMPRODUCT($E5317:$E5325,I5317:I5325)</f>
        <v>0</v>
      </c>
      <c r="J5326" s="440"/>
      <c r="K5326" s="439"/>
      <c r="L5326" s="437"/>
      <c r="M5326" s="440"/>
      <c r="N5326" s="439"/>
      <c r="O5326" s="437"/>
      <c r="P5326" s="440"/>
      <c r="Q5326" s="442"/>
      <c r="R5326" s="443"/>
      <c r="S5326" s="364"/>
      <c r="Z5326" s="609" t="s">
        <v>2158</v>
      </c>
      <c r="AA5326" s="609" t="s">
        <v>19</v>
      </c>
    </row>
    <row r="5327" spans="1:27" ht="18">
      <c r="A5327" s="2714"/>
      <c r="B5327" s="371"/>
      <c r="C5327" s="371" t="s">
        <v>2755</v>
      </c>
      <c r="D5327" s="2716"/>
      <c r="F5327" s="293"/>
      <c r="G5327" s="376"/>
      <c r="H5327" s="315"/>
      <c r="I5327" s="432"/>
      <c r="J5327" s="425"/>
      <c r="K5327" s="426"/>
      <c r="L5327" s="427"/>
      <c r="M5327" s="425"/>
      <c r="N5327" s="426"/>
      <c r="O5327" s="427"/>
      <c r="P5327" s="425"/>
      <c r="Q5327" s="442"/>
      <c r="R5327" s="443"/>
      <c r="S5327" s="364"/>
      <c r="Z5327" s="609" t="s">
        <v>2158</v>
      </c>
      <c r="AA5327" s="609" t="s">
        <v>19</v>
      </c>
    </row>
    <row r="5328" spans="1:27" ht="18">
      <c r="A5328" s="2714">
        <v>9325</v>
      </c>
      <c r="B5328" s="371" t="s">
        <v>6568</v>
      </c>
      <c r="C5328" s="2716" t="str">
        <f>VLOOKUP($A5328,Sheet_Items,2,0)</f>
        <v>与金融工具相关的风险</v>
      </c>
      <c r="D5328" s="371"/>
      <c r="E5328" s="2716" t="s">
        <v>2739</v>
      </c>
      <c r="F5328" s="294"/>
      <c r="G5328" s="305" t="str">
        <f>B5328&amp;" "&amp;C5328</f>
        <v>八 与金融工具相关的风险</v>
      </c>
      <c r="H5328" s="306"/>
      <c r="I5328" s="306"/>
      <c r="J5328" s="306"/>
      <c r="K5328" s="539"/>
      <c r="L5328" s="342"/>
      <c r="M5328" s="306"/>
      <c r="N5328" s="539"/>
      <c r="O5328" s="306"/>
      <c r="P5328" s="301"/>
      <c r="S5328" s="364"/>
      <c r="Z5328" s="609" t="s">
        <v>2105</v>
      </c>
      <c r="AA5328" s="609"/>
    </row>
    <row r="5329" spans="1:27" ht="24">
      <c r="A5329" s="2714" t="s">
        <v>2111</v>
      </c>
      <c r="B5329" s="371">
        <v>1</v>
      </c>
      <c r="C5329" s="371"/>
      <c r="D5329" s="2716" t="str">
        <f>VLOOKUP($A5329,Sheet_NoteList,2,0)</f>
        <v>本期末金融负债到期期限</v>
      </c>
      <c r="E5329" s="2716" t="s">
        <v>2742</v>
      </c>
      <c r="F5329" s="293"/>
      <c r="G5329" s="372" t="str">
        <f>"("&amp;B5329&amp;")"&amp;D5329</f>
        <v>(1)本期末金融负债到期期限</v>
      </c>
      <c r="H5329" s="1517" t="str">
        <f>$A5329</f>
        <v>9325g</v>
      </c>
      <c r="I5329" s="343" t="s">
        <v>2743</v>
      </c>
      <c r="J5329" s="301" t="s">
        <v>2744</v>
      </c>
      <c r="K5329" s="2210">
        <f>H5344</f>
        <v>0</v>
      </c>
      <c r="L5329" s="349"/>
      <c r="M5329" s="301" t="s">
        <v>2745</v>
      </c>
      <c r="N5329" s="2210">
        <f>I5344</f>
        <v>0</v>
      </c>
      <c r="O5329" s="349"/>
      <c r="P5329" s="301"/>
      <c r="S5329" s="364"/>
      <c r="Z5329" s="609" t="s">
        <v>2105</v>
      </c>
      <c r="AA5329" s="609" t="s">
        <v>19</v>
      </c>
    </row>
    <row r="5330" spans="1:27" ht="0.75" customHeight="1">
      <c r="A5330" s="2714"/>
      <c r="B5330" s="371"/>
      <c r="C5330" s="371"/>
      <c r="D5330" s="2716"/>
      <c r="F5330" s="371"/>
      <c r="G5330" s="405" t="s">
        <v>4485</v>
      </c>
      <c r="H5330" s="371" t="s">
        <v>2747</v>
      </c>
      <c r="I5330" s="371" t="s">
        <v>2748</v>
      </c>
      <c r="J5330" s="371" t="s">
        <v>2948</v>
      </c>
      <c r="K5330" s="547" t="s">
        <v>3034</v>
      </c>
      <c r="L5330" s="547" t="s">
        <v>3035</v>
      </c>
      <c r="M5330" s="433"/>
      <c r="N5330" s="428"/>
      <c r="O5330" s="428"/>
      <c r="P5330" s="433"/>
      <c r="Q5330" s="442"/>
      <c r="R5330" s="443"/>
      <c r="S5330" s="364"/>
      <c r="Z5330" s="609" t="s">
        <v>2105</v>
      </c>
      <c r="AA5330" s="609" t="s">
        <v>19</v>
      </c>
    </row>
    <row r="5331" spans="1:27" ht="0.75" customHeight="1" thickBot="1">
      <c r="A5331" s="2714"/>
      <c r="B5331" s="371"/>
      <c r="C5331" s="371"/>
      <c r="D5331" s="2716"/>
      <c r="F5331" s="371"/>
      <c r="G5331" s="405"/>
      <c r="H5331" s="371" t="s">
        <v>4486</v>
      </c>
      <c r="I5331" s="371" t="s">
        <v>4487</v>
      </c>
      <c r="J5331" s="371" t="s">
        <v>4488</v>
      </c>
      <c r="K5331" s="547" t="s">
        <v>4489</v>
      </c>
      <c r="L5331" s="547" t="s">
        <v>4490</v>
      </c>
      <c r="M5331" s="433"/>
      <c r="N5331" s="428"/>
      <c r="O5331" s="428"/>
      <c r="P5331" s="433"/>
      <c r="Q5331" s="442"/>
      <c r="R5331" s="443"/>
      <c r="S5331" s="364"/>
      <c r="Z5331" s="609" t="s">
        <v>2105</v>
      </c>
      <c r="AA5331" s="609" t="s">
        <v>19</v>
      </c>
    </row>
    <row r="5332" spans="1:27" ht="18" customHeight="1" thickTop="1">
      <c r="A5332" s="2714"/>
      <c r="B5332" s="371"/>
      <c r="C5332" s="371"/>
      <c r="D5332" s="2716"/>
      <c r="E5332" s="2716" t="s">
        <v>2749</v>
      </c>
      <c r="F5332" s="293"/>
      <c r="G5332" s="3432" t="s">
        <v>47</v>
      </c>
      <c r="H5332" s="3523" t="str">
        <f>$V$2</f>
        <v>2019年12月31日</v>
      </c>
      <c r="I5332" s="3524"/>
      <c r="J5332" s="3524"/>
      <c r="K5332" s="3524"/>
      <c r="L5332" s="3524"/>
      <c r="M5332" s="355" t="s">
        <v>5348</v>
      </c>
      <c r="N5332" s="1536" t="s">
        <v>5541</v>
      </c>
      <c r="O5332" s="1536" t="s">
        <v>5542</v>
      </c>
      <c r="P5332" s="433"/>
      <c r="Q5332" s="442"/>
      <c r="R5332" s="443"/>
      <c r="S5332" s="364"/>
      <c r="Z5332" s="609" t="s">
        <v>2105</v>
      </c>
      <c r="AA5332" s="609" t="s">
        <v>19</v>
      </c>
    </row>
    <row r="5333" spans="1:27" ht="18">
      <c r="A5333" s="2714"/>
      <c r="B5333" s="371"/>
      <c r="C5333" s="371"/>
      <c r="D5333" s="2716"/>
      <c r="E5333" s="2716" t="s">
        <v>2749</v>
      </c>
      <c r="F5333" s="293"/>
      <c r="G5333" s="3471"/>
      <c r="H5333" s="2490" t="s">
        <v>4491</v>
      </c>
      <c r="I5333" s="2490" t="s">
        <v>4492</v>
      </c>
      <c r="J5333" s="2490" t="s">
        <v>2962</v>
      </c>
      <c r="K5333" s="2491" t="s">
        <v>2963</v>
      </c>
      <c r="L5333" s="2492" t="s">
        <v>3108</v>
      </c>
      <c r="M5333" s="435"/>
      <c r="N5333" s="1611"/>
      <c r="O5333" s="1611"/>
      <c r="P5333" s="435"/>
      <c r="Q5333" s="442"/>
      <c r="R5333" s="443"/>
      <c r="S5333" s="364"/>
      <c r="Z5333" s="609" t="s">
        <v>2105</v>
      </c>
      <c r="AA5333" s="609" t="s">
        <v>19</v>
      </c>
    </row>
    <row r="5334" spans="1:27" ht="18">
      <c r="A5334" s="2714"/>
      <c r="B5334" s="371">
        <v>101</v>
      </c>
      <c r="C5334" s="371"/>
      <c r="D5334" s="2716">
        <f t="shared" ref="D5334:D5344" si="573">IF(OR(G5334="*",G5334="",G5334=0),0,COUNTIF($G$5334:$G$5344,G5334))</f>
        <v>1</v>
      </c>
      <c r="E5334" s="2721">
        <v>1</v>
      </c>
      <c r="F5334" s="293"/>
      <c r="G5334" s="308" t="s">
        <v>454</v>
      </c>
      <c r="H5334" s="309"/>
      <c r="I5334" s="422"/>
      <c r="J5334" s="309"/>
      <c r="K5334" s="320"/>
      <c r="L5334" s="346"/>
      <c r="M5334" s="438"/>
      <c r="N5334" s="1588">
        <f ca="1">HYPERLINK("#'"&amp;$G$1&amp;"'!"&amp;ADDRESS(ROW(Notes!H3331),COLUMN(Notes!H3331),4),H3331)</f>
        <v>2002968.82</v>
      </c>
      <c r="O5334" s="1544">
        <f ca="1">N5334-SUM(H5334:L5334)</f>
        <v>2002968.82</v>
      </c>
      <c r="P5334" s="438"/>
      <c r="Q5334" s="442"/>
      <c r="R5334" s="443"/>
      <c r="S5334" s="364"/>
      <c r="Z5334" s="609" t="s">
        <v>2105</v>
      </c>
      <c r="AA5334" s="609" t="s">
        <v>19</v>
      </c>
    </row>
    <row r="5335" spans="1:27" ht="18">
      <c r="A5335" s="2714"/>
      <c r="B5335" s="371">
        <v>102</v>
      </c>
      <c r="C5335" s="371"/>
      <c r="D5335" s="2716">
        <f t="shared" si="573"/>
        <v>1</v>
      </c>
      <c r="E5335" s="2721">
        <v>1</v>
      </c>
      <c r="F5335" s="293"/>
      <c r="G5335" s="308" t="s">
        <v>462</v>
      </c>
      <c r="H5335" s="309"/>
      <c r="I5335" s="422"/>
      <c r="J5335" s="309"/>
      <c r="K5335" s="320"/>
      <c r="L5335" s="346"/>
      <c r="M5335" s="438"/>
      <c r="N5335" s="1588">
        <f ca="1">HYPERLINK("#'"&amp;$G$1&amp;"'!"&amp;ADDRESS(ROW(Notes!K3396),COLUMN(Notes!K3396),4),K3396)</f>
        <v>0</v>
      </c>
      <c r="O5335" s="1544">
        <f t="shared" ref="O5335:O5342" ca="1" si="574">N5335-SUM(H5335:L5335)</f>
        <v>0</v>
      </c>
      <c r="P5335" s="438"/>
      <c r="Q5335" s="442"/>
      <c r="R5335" s="443"/>
      <c r="S5335" s="364"/>
      <c r="Z5335" s="609" t="s">
        <v>2105</v>
      </c>
      <c r="AA5335" s="609" t="s">
        <v>19</v>
      </c>
    </row>
    <row r="5336" spans="1:27" ht="18">
      <c r="A5336" s="2714"/>
      <c r="B5336" s="371">
        <v>103</v>
      </c>
      <c r="C5336" s="371"/>
      <c r="D5336" s="2716">
        <f t="shared" si="573"/>
        <v>1</v>
      </c>
      <c r="E5336" s="2721">
        <v>1</v>
      </c>
      <c r="F5336" s="293"/>
      <c r="G5336" s="308" t="s">
        <v>471</v>
      </c>
      <c r="H5336" s="309"/>
      <c r="I5336" s="422"/>
      <c r="J5336" s="309"/>
      <c r="K5336" s="320"/>
      <c r="L5336" s="346"/>
      <c r="M5336" s="438"/>
      <c r="N5336" s="1588">
        <f ca="1">HYPERLINK("#'"&amp;$G$1&amp;"'!"&amp;ADDRESS(ROW(Notes!H3443),COLUMN(Notes!H3443),4),H3443)</f>
        <v>0</v>
      </c>
      <c r="O5336" s="1544">
        <f t="shared" ca="1" si="574"/>
        <v>0</v>
      </c>
      <c r="P5336" s="438"/>
      <c r="Q5336" s="442"/>
      <c r="R5336" s="443"/>
      <c r="S5336" s="364"/>
      <c r="Z5336" s="609" t="s">
        <v>2105</v>
      </c>
      <c r="AA5336" s="609" t="s">
        <v>19</v>
      </c>
    </row>
    <row r="5337" spans="1:27" ht="18">
      <c r="A5337" s="2714"/>
      <c r="B5337" s="371">
        <v>104</v>
      </c>
      <c r="C5337" s="371"/>
      <c r="D5337" s="2716">
        <f t="shared" si="573"/>
        <v>1</v>
      </c>
      <c r="E5337" s="2721">
        <v>1</v>
      </c>
      <c r="F5337" s="293"/>
      <c r="G5337" s="308" t="s">
        <v>476</v>
      </c>
      <c r="H5337" s="309"/>
      <c r="I5337" s="422"/>
      <c r="J5337" s="309"/>
      <c r="K5337" s="320"/>
      <c r="L5337" s="346"/>
      <c r="M5337" s="438"/>
      <c r="N5337" s="1588">
        <f ca="1">HYPERLINK("#'"&amp;$G$1&amp;"'!"&amp;ADDRESS(ROW(Notes!H3456),COLUMN(Notes!H3456),4),H3456)</f>
        <v>11123454.48</v>
      </c>
      <c r="O5337" s="1544">
        <f t="shared" ca="1" si="574"/>
        <v>11123454.48</v>
      </c>
      <c r="P5337" s="438"/>
      <c r="Q5337" s="442"/>
      <c r="R5337" s="443"/>
      <c r="S5337" s="364"/>
      <c r="Z5337" s="609" t="s">
        <v>2105</v>
      </c>
      <c r="AA5337" s="609" t="s">
        <v>19</v>
      </c>
    </row>
    <row r="5338" spans="1:27" ht="18">
      <c r="A5338" s="2714"/>
      <c r="B5338" s="371">
        <v>105</v>
      </c>
      <c r="C5338" s="371"/>
      <c r="D5338" s="2716">
        <f t="shared" si="573"/>
        <v>1</v>
      </c>
      <c r="E5338" s="2721">
        <v>1</v>
      </c>
      <c r="F5338" s="293"/>
      <c r="G5338" s="308" t="s">
        <v>499</v>
      </c>
      <c r="H5338" s="309"/>
      <c r="I5338" s="422"/>
      <c r="J5338" s="309"/>
      <c r="K5338" s="320"/>
      <c r="L5338" s="346"/>
      <c r="M5338" s="438"/>
      <c r="N5338" s="1588">
        <f ca="1">HYPERLINK("#'"&amp;$G$1&amp;"'!"&amp;ADDRESS(ROW(Notes!H3792),COLUMN(Notes!H3792),4),H3792)</f>
        <v>0</v>
      </c>
      <c r="O5338" s="1544">
        <f t="shared" ca="1" si="574"/>
        <v>0</v>
      </c>
      <c r="P5338" s="438"/>
      <c r="Q5338" s="442"/>
      <c r="R5338" s="443"/>
      <c r="S5338" s="364"/>
      <c r="Z5338" s="609" t="s">
        <v>2105</v>
      </c>
      <c r="AA5338" s="609" t="s">
        <v>19</v>
      </c>
    </row>
    <row r="5339" spans="1:27" ht="18">
      <c r="A5339" s="2714"/>
      <c r="B5339" s="371">
        <v>106</v>
      </c>
      <c r="C5339" s="371"/>
      <c r="D5339" s="2716">
        <f t="shared" si="573"/>
        <v>1</v>
      </c>
      <c r="E5339" s="2721">
        <v>1</v>
      </c>
      <c r="F5339" s="293"/>
      <c r="G5339" s="308" t="s">
        <v>513</v>
      </c>
      <c r="H5339" s="309"/>
      <c r="I5339" s="422"/>
      <c r="J5339" s="309"/>
      <c r="K5339" s="320"/>
      <c r="L5339" s="346"/>
      <c r="M5339" s="438"/>
      <c r="N5339" s="1588">
        <f ca="1">HYPERLINK("#'"&amp;$G$1&amp;"'!"&amp;ADDRESS(ROW(Notes!H3841),COLUMN(Notes!H3841),4),H3841)</f>
        <v>1096090.05</v>
      </c>
      <c r="O5339" s="1544">
        <f t="shared" ca="1" si="574"/>
        <v>1096090.05</v>
      </c>
      <c r="P5339" s="438"/>
      <c r="Q5339" s="442"/>
      <c r="R5339" s="443"/>
      <c r="S5339" s="364"/>
      <c r="Z5339" s="609" t="s">
        <v>2105</v>
      </c>
      <c r="AA5339" s="609" t="s">
        <v>19</v>
      </c>
    </row>
    <row r="5340" spans="1:27" ht="18">
      <c r="A5340" s="2714"/>
      <c r="B5340" s="371">
        <v>107</v>
      </c>
      <c r="C5340" s="371"/>
      <c r="D5340" s="2716">
        <f t="shared" si="573"/>
        <v>1</v>
      </c>
      <c r="E5340" s="2721">
        <v>1</v>
      </c>
      <c r="F5340" s="293"/>
      <c r="G5340" s="308" t="s">
        <v>546</v>
      </c>
      <c r="H5340" s="309"/>
      <c r="I5340" s="422"/>
      <c r="J5340" s="309"/>
      <c r="K5340" s="320"/>
      <c r="L5340" s="346"/>
      <c r="M5340" s="438"/>
      <c r="N5340" s="1588">
        <f ca="1">HYPERLINK("#'"&amp;$G$1&amp;"'!"&amp;ADDRESS(ROW(Notes!H4012),COLUMN(Notes!H4012),4),H4012)</f>
        <v>0</v>
      </c>
      <c r="O5340" s="1544">
        <f t="shared" ca="1" si="574"/>
        <v>0</v>
      </c>
      <c r="P5340" s="438"/>
      <c r="Q5340" s="442"/>
      <c r="R5340" s="443"/>
      <c r="S5340" s="364"/>
      <c r="Z5340" s="609" t="s">
        <v>2105</v>
      </c>
      <c r="AA5340" s="609" t="s">
        <v>19</v>
      </c>
    </row>
    <row r="5341" spans="1:27" ht="18">
      <c r="A5341" s="2714"/>
      <c r="B5341" s="371">
        <v>108</v>
      </c>
      <c r="C5341" s="371"/>
      <c r="D5341" s="2716">
        <f t="shared" si="573"/>
        <v>1</v>
      </c>
      <c r="E5341" s="2721">
        <v>1</v>
      </c>
      <c r="F5341" s="293"/>
      <c r="G5341" s="308" t="s">
        <v>550</v>
      </c>
      <c r="H5341" s="309"/>
      <c r="I5341" s="422"/>
      <c r="J5341" s="309"/>
      <c r="K5341" s="320"/>
      <c r="L5341" s="346"/>
      <c r="M5341" s="438"/>
      <c r="N5341" s="1588">
        <f ca="1">HYPERLINK("#'"&amp;$G$1&amp;"'!"&amp;ADDRESS(ROW(Notes!H4063),COLUMN(Notes!H4063),4),H4063)</f>
        <v>0</v>
      </c>
      <c r="O5341" s="1544">
        <f t="shared" ca="1" si="574"/>
        <v>0</v>
      </c>
      <c r="P5341" s="438"/>
      <c r="Q5341" s="442"/>
      <c r="R5341" s="443"/>
      <c r="S5341" s="364"/>
      <c r="Z5341" s="609" t="s">
        <v>2105</v>
      </c>
      <c r="AA5341" s="609" t="s">
        <v>19</v>
      </c>
    </row>
    <row r="5342" spans="1:27" ht="18">
      <c r="A5342" s="2714"/>
      <c r="B5342" s="371">
        <v>109</v>
      </c>
      <c r="C5342" s="371"/>
      <c r="D5342" s="2716">
        <f t="shared" si="573"/>
        <v>1</v>
      </c>
      <c r="E5342" s="2721">
        <v>1</v>
      </c>
      <c r="F5342" s="293"/>
      <c r="G5342" s="308" t="s">
        <v>554</v>
      </c>
      <c r="H5342" s="309"/>
      <c r="I5342" s="422"/>
      <c r="J5342" s="309"/>
      <c r="K5342" s="320"/>
      <c r="L5342" s="346"/>
      <c r="M5342" s="438"/>
      <c r="N5342" s="1588">
        <f ca="1">HYPERLINK("#'"&amp;$G$1&amp;"'!"&amp;ADDRESS(ROW(Notes!H4131),COLUMN(Notes!H4131),4),H4131)</f>
        <v>0</v>
      </c>
      <c r="O5342" s="1544">
        <f t="shared" ca="1" si="574"/>
        <v>0</v>
      </c>
      <c r="P5342" s="438"/>
      <c r="Q5342" s="442"/>
      <c r="R5342" s="443"/>
      <c r="S5342" s="364"/>
      <c r="Z5342" s="609" t="s">
        <v>2105</v>
      </c>
      <c r="AA5342" s="609" t="s">
        <v>19</v>
      </c>
    </row>
    <row r="5343" spans="1:27" ht="18">
      <c r="A5343" s="2714"/>
      <c r="B5343" s="371">
        <v>110</v>
      </c>
      <c r="C5343" s="371" t="s">
        <v>6535</v>
      </c>
      <c r="D5343" s="2716">
        <f t="shared" si="573"/>
        <v>0</v>
      </c>
      <c r="E5343" s="2721">
        <v>1</v>
      </c>
      <c r="F5343" s="293"/>
      <c r="G5343" s="1484" t="s">
        <v>2792</v>
      </c>
      <c r="H5343" s="309"/>
      <c r="I5343" s="422"/>
      <c r="J5343" s="309"/>
      <c r="K5343" s="320"/>
      <c r="L5343" s="346"/>
      <c r="M5343" s="438"/>
      <c r="O5343" s="1544"/>
      <c r="P5343" s="438"/>
      <c r="Q5343" s="442"/>
      <c r="R5343" s="443"/>
      <c r="S5343" s="364"/>
      <c r="Z5343" s="609" t="s">
        <v>2105</v>
      </c>
      <c r="AA5343" s="609" t="s">
        <v>19</v>
      </c>
    </row>
    <row r="5344" spans="1:27" ht="18.75" thickBot="1">
      <c r="A5344" s="2714"/>
      <c r="B5344" s="371"/>
      <c r="C5344" s="371"/>
      <c r="D5344" s="2716">
        <f t="shared" si="573"/>
        <v>1</v>
      </c>
      <c r="E5344" s="2721" t="s">
        <v>2751</v>
      </c>
      <c r="F5344" s="293"/>
      <c r="G5344" s="2234" t="s">
        <v>2752</v>
      </c>
      <c r="H5344" s="2235">
        <f>SUMPRODUCT($E5333:$E5343,H5333:H5343)</f>
        <v>0</v>
      </c>
      <c r="I5344" s="2235">
        <f>SUMPRODUCT($E5333:$E5343,I5333:I5343)</f>
        <v>0</v>
      </c>
      <c r="J5344" s="2235">
        <f>SUMPRODUCT($E5333:$E5343,J5333:J5343)</f>
        <v>0</v>
      </c>
      <c r="K5344" s="2235">
        <f>SUMPRODUCT($E5333:$E5343,K5333:K5343)</f>
        <v>0</v>
      </c>
      <c r="L5344" s="2236">
        <f>SUMPRODUCT($E5333:$E5343,L5333:L5343)</f>
        <v>0</v>
      </c>
      <c r="M5344" s="440"/>
      <c r="O5344" s="1557">
        <f ca="1">SUM(O5334:O5343)</f>
        <v>14222513.35</v>
      </c>
      <c r="P5344" s="440"/>
      <c r="Q5344" s="442"/>
      <c r="R5344" s="443"/>
      <c r="S5344" s="364"/>
      <c r="Z5344" s="609" t="s">
        <v>2105</v>
      </c>
      <c r="AA5344" s="609" t="s">
        <v>19</v>
      </c>
    </row>
    <row r="5345" spans="1:27" ht="18">
      <c r="A5345" s="2714"/>
      <c r="B5345" s="371"/>
      <c r="C5345" s="371" t="s">
        <v>2755</v>
      </c>
      <c r="D5345" s="2716"/>
      <c r="F5345" s="293"/>
      <c r="G5345" s="376"/>
      <c r="H5345" s="315"/>
      <c r="I5345" s="396"/>
      <c r="J5345" s="315"/>
      <c r="K5345" s="423"/>
      <c r="L5345" s="315"/>
      <c r="M5345" s="425"/>
      <c r="N5345" s="1585" t="s">
        <v>5495</v>
      </c>
      <c r="O5345" s="427"/>
      <c r="P5345" s="425"/>
      <c r="Q5345" s="442"/>
      <c r="R5345" s="443"/>
      <c r="S5345" s="364"/>
      <c r="Z5345" s="609" t="s">
        <v>2105</v>
      </c>
      <c r="AA5345" s="609" t="s">
        <v>19</v>
      </c>
    </row>
    <row r="5346" spans="1:27" ht="24">
      <c r="A5346" s="2714" t="s">
        <v>2113</v>
      </c>
      <c r="B5346" s="371">
        <v>2</v>
      </c>
      <c r="C5346" s="371"/>
      <c r="D5346" s="2716" t="str">
        <f>VLOOKUP($A5346,Sheet_NoteList,2,0)</f>
        <v>上期末金融负债到期期限</v>
      </c>
      <c r="E5346" s="2716" t="s">
        <v>2742</v>
      </c>
      <c r="F5346" s="293"/>
      <c r="G5346" s="372" t="str">
        <f>"("&amp;B5346&amp;")"&amp;D5346</f>
        <v>(2)上期末金融负债到期期限</v>
      </c>
      <c r="H5346" s="1517" t="str">
        <f>$A5346</f>
        <v>9325h</v>
      </c>
      <c r="I5346" s="343" t="s">
        <v>2743</v>
      </c>
      <c r="J5346" s="301" t="s">
        <v>2744</v>
      </c>
      <c r="K5346" s="2210">
        <f>H5361</f>
        <v>0</v>
      </c>
      <c r="L5346" s="349"/>
      <c r="M5346" s="301" t="s">
        <v>2745</v>
      </c>
      <c r="N5346" s="2210">
        <f>I5361</f>
        <v>0</v>
      </c>
      <c r="O5346" s="349"/>
      <c r="P5346" s="301"/>
      <c r="S5346" s="364"/>
      <c r="Z5346" s="609" t="s">
        <v>2105</v>
      </c>
      <c r="AA5346" s="609" t="s">
        <v>19</v>
      </c>
    </row>
    <row r="5347" spans="1:27" ht="0.75" customHeight="1">
      <c r="A5347" s="2714"/>
      <c r="B5347" s="371"/>
      <c r="C5347" s="371"/>
      <c r="D5347" s="2716"/>
      <c r="F5347" s="371"/>
      <c r="G5347" s="405" t="s">
        <v>4493</v>
      </c>
      <c r="H5347" s="371" t="s">
        <v>2747</v>
      </c>
      <c r="I5347" s="371" t="s">
        <v>2748</v>
      </c>
      <c r="J5347" s="371" t="s">
        <v>2948</v>
      </c>
      <c r="K5347" s="547" t="s">
        <v>3034</v>
      </c>
      <c r="L5347" s="547" t="s">
        <v>3035</v>
      </c>
      <c r="M5347" s="433"/>
      <c r="N5347" s="428"/>
      <c r="O5347" s="428"/>
      <c r="P5347" s="433"/>
      <c r="Q5347" s="442"/>
      <c r="R5347" s="443"/>
      <c r="S5347" s="364"/>
      <c r="Z5347" s="609" t="s">
        <v>2105</v>
      </c>
      <c r="AA5347" s="609" t="s">
        <v>19</v>
      </c>
    </row>
    <row r="5348" spans="1:27" ht="0.75" customHeight="1" thickBot="1">
      <c r="A5348" s="2714"/>
      <c r="B5348" s="371"/>
      <c r="C5348" s="371"/>
      <c r="D5348" s="2716"/>
      <c r="F5348" s="371"/>
      <c r="G5348" s="405"/>
      <c r="H5348" s="371" t="s">
        <v>4494</v>
      </c>
      <c r="I5348" s="371" t="s">
        <v>4495</v>
      </c>
      <c r="J5348" s="371" t="s">
        <v>4496</v>
      </c>
      <c r="K5348" s="547" t="s">
        <v>4497</v>
      </c>
      <c r="L5348" s="547" t="s">
        <v>4498</v>
      </c>
      <c r="M5348" s="433"/>
      <c r="N5348" s="428"/>
      <c r="O5348" s="428"/>
      <c r="P5348" s="433"/>
      <c r="Q5348" s="442"/>
      <c r="R5348" s="443"/>
      <c r="S5348" s="364"/>
      <c r="Z5348" s="609" t="s">
        <v>2105</v>
      </c>
      <c r="AA5348" s="609" t="s">
        <v>19</v>
      </c>
    </row>
    <row r="5349" spans="1:27" ht="18" customHeight="1" thickTop="1">
      <c r="A5349" s="2714"/>
      <c r="B5349" s="371"/>
      <c r="C5349" s="371"/>
      <c r="D5349" s="2716"/>
      <c r="E5349" s="2716" t="s">
        <v>2749</v>
      </c>
      <c r="F5349" s="293"/>
      <c r="G5349" s="3432" t="s">
        <v>47</v>
      </c>
      <c r="H5349" s="3523" t="str">
        <f>$V$3</f>
        <v>2018年12月31日</v>
      </c>
      <c r="I5349" s="3524"/>
      <c r="J5349" s="3524"/>
      <c r="K5349" s="3524"/>
      <c r="L5349" s="3524"/>
      <c r="M5349" s="355" t="s">
        <v>5348</v>
      </c>
      <c r="N5349" s="1536" t="s">
        <v>5543</v>
      </c>
      <c r="O5349" s="1536" t="s">
        <v>5542</v>
      </c>
      <c r="P5349" s="435"/>
      <c r="Q5349" s="442"/>
      <c r="R5349" s="443"/>
      <c r="S5349" s="364"/>
      <c r="Z5349" s="609" t="s">
        <v>2105</v>
      </c>
      <c r="AA5349" s="609" t="s">
        <v>19</v>
      </c>
    </row>
    <row r="5350" spans="1:27" ht="18">
      <c r="A5350" s="2714"/>
      <c r="B5350" s="371"/>
      <c r="C5350" s="371"/>
      <c r="D5350" s="2716"/>
      <c r="E5350" s="2716" t="s">
        <v>2749</v>
      </c>
      <c r="F5350" s="293"/>
      <c r="G5350" s="3471"/>
      <c r="H5350" s="2490" t="s">
        <v>4491</v>
      </c>
      <c r="I5350" s="2490" t="s">
        <v>4492</v>
      </c>
      <c r="J5350" s="2490" t="s">
        <v>2962</v>
      </c>
      <c r="K5350" s="2491" t="s">
        <v>2963</v>
      </c>
      <c r="L5350" s="2492" t="s">
        <v>3108</v>
      </c>
      <c r="M5350" s="435"/>
      <c r="N5350" s="1611"/>
      <c r="O5350" s="1611"/>
      <c r="P5350" s="435"/>
      <c r="Q5350" s="442"/>
      <c r="R5350" s="443"/>
      <c r="S5350" s="364"/>
      <c r="Z5350" s="609" t="s">
        <v>2105</v>
      </c>
      <c r="AA5350" s="609" t="s">
        <v>19</v>
      </c>
    </row>
    <row r="5351" spans="1:27" ht="18">
      <c r="A5351" s="2714"/>
      <c r="B5351" s="371">
        <v>101</v>
      </c>
      <c r="C5351" s="371"/>
      <c r="D5351" s="2716">
        <f t="shared" ref="D5351:D5361" si="575">IF(OR(G5351="*",G5351="",G5351=0),0,COUNTIF($G$5351:$G$5361,G5351))</f>
        <v>1</v>
      </c>
      <c r="E5351" s="2721">
        <v>1</v>
      </c>
      <c r="F5351" s="293"/>
      <c r="G5351" s="319" t="s">
        <v>454</v>
      </c>
      <c r="H5351" s="309"/>
      <c r="I5351" s="422"/>
      <c r="J5351" s="309"/>
      <c r="K5351" s="320"/>
      <c r="L5351" s="346"/>
      <c r="M5351" s="438"/>
      <c r="N5351" s="1588">
        <f ca="1">HYPERLINK("#'"&amp;$G$1&amp;"'!"&amp;ADDRESS(ROW(Notes!I3331),COLUMN(Notes!I3331),4),I3331)</f>
        <v>0</v>
      </c>
      <c r="O5351" s="1544">
        <f ca="1">N5351-SUM(H5351:L5351)</f>
        <v>0</v>
      </c>
      <c r="P5351" s="438"/>
      <c r="Q5351" s="442"/>
      <c r="R5351" s="443"/>
      <c r="S5351" s="364"/>
      <c r="Z5351" s="609" t="s">
        <v>2105</v>
      </c>
      <c r="AA5351" s="609" t="s">
        <v>19</v>
      </c>
    </row>
    <row r="5352" spans="1:27" ht="18">
      <c r="A5352" s="2714"/>
      <c r="B5352" s="371">
        <v>102</v>
      </c>
      <c r="C5352" s="371"/>
      <c r="D5352" s="2716">
        <f t="shared" si="575"/>
        <v>1</v>
      </c>
      <c r="E5352" s="2721">
        <v>1</v>
      </c>
      <c r="F5352" s="293"/>
      <c r="G5352" s="319" t="s">
        <v>471</v>
      </c>
      <c r="H5352" s="309"/>
      <c r="I5352" s="422"/>
      <c r="J5352" s="309"/>
      <c r="K5352" s="320"/>
      <c r="L5352" s="346"/>
      <c r="M5352" s="438"/>
      <c r="N5352" s="1588">
        <f ca="1">HYPERLINK("#'"&amp;$G$1&amp;"'!"&amp;ADDRESS(ROW(Notes!I3443),COLUMN(Notes!I3443),4),I3443)</f>
        <v>0</v>
      </c>
      <c r="O5352" s="1544">
        <f t="shared" ref="O5352:O5358" ca="1" si="576">N5352-SUM(H5352:L5352)</f>
        <v>0</v>
      </c>
      <c r="P5352" s="438"/>
      <c r="Q5352" s="442"/>
      <c r="R5352" s="443"/>
      <c r="S5352" s="364"/>
      <c r="Z5352" s="609" t="s">
        <v>2105</v>
      </c>
      <c r="AA5352" s="609" t="s">
        <v>19</v>
      </c>
    </row>
    <row r="5353" spans="1:27" ht="18">
      <c r="A5353" s="2714"/>
      <c r="B5353" s="371">
        <v>103</v>
      </c>
      <c r="C5353" s="371"/>
      <c r="D5353" s="2716">
        <f t="shared" si="575"/>
        <v>1</v>
      </c>
      <c r="E5353" s="2721">
        <v>1</v>
      </c>
      <c r="F5353" s="293"/>
      <c r="G5353" s="319" t="s">
        <v>476</v>
      </c>
      <c r="H5353" s="309"/>
      <c r="I5353" s="422"/>
      <c r="J5353" s="309"/>
      <c r="K5353" s="320"/>
      <c r="L5353" s="346"/>
      <c r="M5353" s="438"/>
      <c r="N5353" s="1588">
        <f ca="1">HYPERLINK("#'"&amp;$G$1&amp;"'!"&amp;ADDRESS(ROW(Notes!I3456),COLUMN(Notes!I3456),4),I3456)</f>
        <v>8476287.8300000001</v>
      </c>
      <c r="O5353" s="1544">
        <f t="shared" ca="1" si="576"/>
        <v>8476287.8300000001</v>
      </c>
      <c r="P5353" s="438"/>
      <c r="Q5353" s="442"/>
      <c r="R5353" s="443"/>
      <c r="S5353" s="364"/>
      <c r="Z5353" s="609" t="s">
        <v>2105</v>
      </c>
      <c r="AA5353" s="609" t="s">
        <v>19</v>
      </c>
    </row>
    <row r="5354" spans="1:27" ht="18">
      <c r="A5354" s="2714"/>
      <c r="B5354" s="371">
        <v>104</v>
      </c>
      <c r="C5354" s="371"/>
      <c r="D5354" s="2716">
        <f t="shared" si="575"/>
        <v>1</v>
      </c>
      <c r="E5354" s="2721">
        <v>1</v>
      </c>
      <c r="F5354" s="293"/>
      <c r="G5354" s="319" t="s">
        <v>499</v>
      </c>
      <c r="H5354" s="309"/>
      <c r="I5354" s="422"/>
      <c r="J5354" s="309"/>
      <c r="K5354" s="320"/>
      <c r="L5354" s="346"/>
      <c r="M5354" s="438"/>
      <c r="N5354" s="1588">
        <f ca="1">HYPERLINK("#'"&amp;$G$1&amp;"'!"&amp;ADDRESS(ROW(Notes!I3792),COLUMN(Notes!I3792),4),I3792)</f>
        <v>0</v>
      </c>
      <c r="O5354" s="1544">
        <f t="shared" ca="1" si="576"/>
        <v>0</v>
      </c>
      <c r="P5354" s="438"/>
      <c r="Q5354" s="442"/>
      <c r="R5354" s="443"/>
      <c r="S5354" s="364"/>
      <c r="Z5354" s="609" t="s">
        <v>2105</v>
      </c>
      <c r="AA5354" s="609" t="s">
        <v>19</v>
      </c>
    </row>
    <row r="5355" spans="1:27" ht="18">
      <c r="A5355" s="2714"/>
      <c r="B5355" s="371">
        <v>105</v>
      </c>
      <c r="C5355" s="371"/>
      <c r="D5355" s="2716">
        <f t="shared" si="575"/>
        <v>1</v>
      </c>
      <c r="E5355" s="2721">
        <v>1</v>
      </c>
      <c r="F5355" s="293"/>
      <c r="G5355" s="319" t="s">
        <v>513</v>
      </c>
      <c r="H5355" s="309"/>
      <c r="I5355" s="422"/>
      <c r="J5355" s="309"/>
      <c r="K5355" s="320"/>
      <c r="L5355" s="346"/>
      <c r="M5355" s="438"/>
      <c r="N5355" s="1588">
        <f ca="1">HYPERLINK("#'"&amp;$G$1&amp;"'!"&amp;ADDRESS(ROW(Notes!I3841),COLUMN(Notes!I3841),4),I3841)</f>
        <v>2070907</v>
      </c>
      <c r="O5355" s="1544">
        <f t="shared" ca="1" si="576"/>
        <v>2070907</v>
      </c>
      <c r="P5355" s="438"/>
      <c r="Q5355" s="442"/>
      <c r="R5355" s="443"/>
      <c r="S5355" s="364"/>
      <c r="Z5355" s="609" t="s">
        <v>2105</v>
      </c>
      <c r="AA5355" s="609" t="s">
        <v>19</v>
      </c>
    </row>
    <row r="5356" spans="1:27" ht="18">
      <c r="A5356" s="2714"/>
      <c r="B5356" s="371">
        <v>106</v>
      </c>
      <c r="C5356" s="371"/>
      <c r="D5356" s="2716">
        <f t="shared" si="575"/>
        <v>1</v>
      </c>
      <c r="E5356" s="2721">
        <v>1</v>
      </c>
      <c r="F5356" s="293"/>
      <c r="G5356" s="319" t="s">
        <v>546</v>
      </c>
      <c r="H5356" s="309"/>
      <c r="I5356" s="422"/>
      <c r="J5356" s="309"/>
      <c r="K5356" s="320"/>
      <c r="L5356" s="346"/>
      <c r="M5356" s="438"/>
      <c r="N5356" s="1588">
        <f ca="1">HYPERLINK("#'"&amp;$G$1&amp;"'!"&amp;ADDRESS(ROW(Notes!I4012),COLUMN(Notes!I4012),4),I4012)</f>
        <v>0</v>
      </c>
      <c r="O5356" s="1544">
        <f t="shared" ca="1" si="576"/>
        <v>0</v>
      </c>
      <c r="P5356" s="438"/>
      <c r="Q5356" s="442"/>
      <c r="R5356" s="443"/>
      <c r="S5356" s="364"/>
      <c r="Z5356" s="609" t="s">
        <v>2105</v>
      </c>
      <c r="AA5356" s="609" t="s">
        <v>19</v>
      </c>
    </row>
    <row r="5357" spans="1:27" ht="18">
      <c r="A5357" s="2714"/>
      <c r="B5357" s="371">
        <v>107</v>
      </c>
      <c r="C5357" s="371"/>
      <c r="D5357" s="2716">
        <f t="shared" si="575"/>
        <v>1</v>
      </c>
      <c r="E5357" s="2721">
        <v>1</v>
      </c>
      <c r="F5357" s="293"/>
      <c r="G5357" s="319" t="s">
        <v>550</v>
      </c>
      <c r="H5357" s="309"/>
      <c r="I5357" s="422"/>
      <c r="J5357" s="309"/>
      <c r="K5357" s="320"/>
      <c r="L5357" s="346"/>
      <c r="M5357" s="438"/>
      <c r="N5357" s="1588">
        <f ca="1">HYPERLINK("#'"&amp;$G$1&amp;"'!"&amp;ADDRESS(ROW(Notes!I4063),COLUMN(Notes!I4063),4),I4063)</f>
        <v>0</v>
      </c>
      <c r="O5357" s="1544">
        <f t="shared" ca="1" si="576"/>
        <v>0</v>
      </c>
      <c r="P5357" s="438"/>
      <c r="Q5357" s="442"/>
      <c r="R5357" s="443"/>
      <c r="S5357" s="364"/>
      <c r="Z5357" s="609" t="s">
        <v>2105</v>
      </c>
      <c r="AA5357" s="609" t="s">
        <v>19</v>
      </c>
    </row>
    <row r="5358" spans="1:27" ht="18">
      <c r="A5358" s="2714"/>
      <c r="B5358" s="371">
        <v>108</v>
      </c>
      <c r="C5358" s="371"/>
      <c r="D5358" s="2716">
        <f t="shared" si="575"/>
        <v>1</v>
      </c>
      <c r="E5358" s="2721">
        <v>1</v>
      </c>
      <c r="F5358" s="293"/>
      <c r="G5358" s="319" t="s">
        <v>554</v>
      </c>
      <c r="H5358" s="309"/>
      <c r="I5358" s="422"/>
      <c r="J5358" s="309"/>
      <c r="K5358" s="320"/>
      <c r="L5358" s="346"/>
      <c r="M5358" s="438"/>
      <c r="N5358" s="1588">
        <f ca="1">HYPERLINK("#'"&amp;$G$1&amp;"'!"&amp;ADDRESS(ROW(Notes!I4131),COLUMN(Notes!I4131),4),I4131)</f>
        <v>0</v>
      </c>
      <c r="O5358" s="1544">
        <f t="shared" ca="1" si="576"/>
        <v>0</v>
      </c>
      <c r="P5358" s="438"/>
      <c r="Q5358" s="442"/>
      <c r="R5358" s="443"/>
      <c r="S5358" s="364"/>
      <c r="Z5358" s="609" t="s">
        <v>2105</v>
      </c>
      <c r="AA5358" s="609" t="s">
        <v>19</v>
      </c>
    </row>
    <row r="5359" spans="1:27" ht="18">
      <c r="A5359" s="2714"/>
      <c r="B5359" s="371">
        <v>109</v>
      </c>
      <c r="C5359" s="371" t="s">
        <v>2791</v>
      </c>
      <c r="D5359" s="2716">
        <f t="shared" si="575"/>
        <v>0</v>
      </c>
      <c r="E5359" s="2721">
        <v>1</v>
      </c>
      <c r="F5359" s="293"/>
      <c r="G5359" s="319" t="s">
        <v>2792</v>
      </c>
      <c r="H5359" s="309"/>
      <c r="I5359" s="422"/>
      <c r="J5359" s="309"/>
      <c r="K5359" s="320"/>
      <c r="L5359" s="346"/>
      <c r="M5359" s="438"/>
      <c r="O5359" s="1544"/>
      <c r="P5359" s="438"/>
      <c r="Q5359" s="442"/>
      <c r="R5359" s="443"/>
      <c r="S5359" s="364"/>
      <c r="Z5359" s="609" t="s">
        <v>2105</v>
      </c>
      <c r="AA5359" s="609" t="s">
        <v>19</v>
      </c>
    </row>
    <row r="5360" spans="1:27" ht="18">
      <c r="A5360" s="2714"/>
      <c r="B5360" s="371">
        <v>110</v>
      </c>
      <c r="C5360" s="371" t="s">
        <v>2791</v>
      </c>
      <c r="D5360" s="2716">
        <f t="shared" si="575"/>
        <v>0</v>
      </c>
      <c r="E5360" s="2721">
        <v>1</v>
      </c>
      <c r="F5360" s="293"/>
      <c r="G5360" s="319" t="s">
        <v>2792</v>
      </c>
      <c r="H5360" s="309"/>
      <c r="I5360" s="422"/>
      <c r="J5360" s="309"/>
      <c r="K5360" s="320"/>
      <c r="L5360" s="346"/>
      <c r="M5360" s="438"/>
      <c r="O5360" s="1544"/>
      <c r="P5360" s="438"/>
      <c r="Q5360" s="442"/>
      <c r="R5360" s="443"/>
      <c r="S5360" s="364"/>
      <c r="Z5360" s="609" t="s">
        <v>2105</v>
      </c>
      <c r="AA5360" s="609" t="s">
        <v>19</v>
      </c>
    </row>
    <row r="5361" spans="1:27" ht="18.75" thickBot="1">
      <c r="A5361" s="2714"/>
      <c r="B5361" s="371"/>
      <c r="C5361" s="371"/>
      <c r="D5361" s="2716">
        <f t="shared" si="575"/>
        <v>1</v>
      </c>
      <c r="E5361" s="2721" t="s">
        <v>2751</v>
      </c>
      <c r="F5361" s="293"/>
      <c r="G5361" s="2234" t="s">
        <v>2752</v>
      </c>
      <c r="H5361" s="2325">
        <f>SUMPRODUCT($E5350:$E5360,H5350:H5360)</f>
        <v>0</v>
      </c>
      <c r="I5361" s="2325">
        <f>SUMPRODUCT($E5350:$E5360,I5350:I5360)</f>
        <v>0</v>
      </c>
      <c r="J5361" s="2325">
        <f>SUMPRODUCT($E5350:$E5360,J5350:J5360)</f>
        <v>0</v>
      </c>
      <c r="K5361" s="2325">
        <f>SUMPRODUCT($E5350:$E5360,K5350:K5360)</f>
        <v>0</v>
      </c>
      <c r="L5361" s="2342">
        <f>SUMPRODUCT($E5350:$E5360,L5350:L5360)</f>
        <v>0</v>
      </c>
      <c r="M5361" s="440"/>
      <c r="O5361" s="1557">
        <f ca="1">SUM(O5351:O5360)</f>
        <v>10547194.83</v>
      </c>
      <c r="P5361" s="440"/>
      <c r="Q5361" s="442"/>
      <c r="R5361" s="443"/>
      <c r="S5361" s="364"/>
      <c r="Z5361" s="609" t="s">
        <v>2105</v>
      </c>
      <c r="AA5361" s="609" t="s">
        <v>19</v>
      </c>
    </row>
    <row r="5362" spans="1:27" ht="18">
      <c r="A5362" s="2714"/>
      <c r="B5362" s="371"/>
      <c r="C5362" s="371" t="s">
        <v>2755</v>
      </c>
      <c r="D5362" s="2716"/>
      <c r="F5362" s="293"/>
      <c r="G5362" s="376"/>
      <c r="H5362" s="315"/>
      <c r="I5362" s="396"/>
      <c r="J5362" s="315"/>
      <c r="K5362" s="423"/>
      <c r="L5362" s="315"/>
      <c r="M5362" s="425"/>
      <c r="N5362" s="1585" t="s">
        <v>5495</v>
      </c>
      <c r="O5362" s="427"/>
      <c r="P5362" s="425"/>
      <c r="Q5362" s="442"/>
      <c r="R5362" s="443"/>
      <c r="S5362" s="364"/>
      <c r="Z5362" s="609" t="s">
        <v>2105</v>
      </c>
      <c r="AA5362" s="609" t="s">
        <v>19</v>
      </c>
    </row>
    <row r="5363" spans="1:27" ht="24">
      <c r="A5363" s="2714" t="s">
        <v>2115</v>
      </c>
      <c r="B5363" s="371">
        <v>3</v>
      </c>
      <c r="C5363" s="371"/>
      <c r="D5363" s="2716" t="str">
        <f>VLOOKUP($A5363,Sheet_NoteList,2,0)</f>
        <v>本期末金融资产的到期期限分析</v>
      </c>
      <c r="E5363" s="2716" t="s">
        <v>2742</v>
      </c>
      <c r="F5363" s="293"/>
      <c r="G5363" s="372" t="str">
        <f>"("&amp;B5363&amp;")"&amp;D5363</f>
        <v>(3)本期末金融资产的到期期限分析</v>
      </c>
      <c r="H5363" s="1517" t="str">
        <f>$A5363</f>
        <v>9325i</v>
      </c>
      <c r="I5363" s="343" t="s">
        <v>2743</v>
      </c>
      <c r="J5363" s="301" t="s">
        <v>2744</v>
      </c>
      <c r="K5363" s="2210">
        <f>H5377</f>
        <v>0</v>
      </c>
      <c r="L5363" s="349"/>
      <c r="M5363" s="301" t="s">
        <v>2745</v>
      </c>
      <c r="N5363" s="2210">
        <f>I5377</f>
        <v>0</v>
      </c>
      <c r="O5363" s="349"/>
      <c r="P5363" s="301"/>
      <c r="S5363" s="364"/>
      <c r="Z5363" s="609" t="s">
        <v>2105</v>
      </c>
      <c r="AA5363" s="609" t="s">
        <v>19</v>
      </c>
    </row>
    <row r="5364" spans="1:27" ht="0.75" customHeight="1">
      <c r="A5364" s="2714"/>
      <c r="B5364" s="371"/>
      <c r="C5364" s="371"/>
      <c r="D5364" s="2716"/>
      <c r="F5364" s="371"/>
      <c r="G5364" s="405" t="s">
        <v>4499</v>
      </c>
      <c r="H5364" s="371" t="s">
        <v>2747</v>
      </c>
      <c r="I5364" s="371" t="s">
        <v>2748</v>
      </c>
      <c r="J5364" s="371" t="s">
        <v>2948</v>
      </c>
      <c r="K5364" s="547" t="s">
        <v>3034</v>
      </c>
      <c r="L5364" s="547" t="s">
        <v>3035</v>
      </c>
      <c r="M5364" s="371" t="s">
        <v>3036</v>
      </c>
      <c r="N5364" s="428"/>
      <c r="O5364" s="428"/>
      <c r="P5364" s="433"/>
      <c r="Q5364" s="442"/>
      <c r="R5364" s="443"/>
      <c r="S5364" s="364"/>
      <c r="Z5364" s="609" t="s">
        <v>2105</v>
      </c>
      <c r="AA5364" s="609" t="s">
        <v>19</v>
      </c>
    </row>
    <row r="5365" spans="1:27" ht="0.75" customHeight="1" thickBot="1">
      <c r="A5365" s="2714"/>
      <c r="B5365" s="371"/>
      <c r="C5365" s="371"/>
      <c r="D5365" s="2716"/>
      <c r="F5365" s="371"/>
      <c r="G5365" s="405"/>
      <c r="H5365" s="371" t="s">
        <v>4500</v>
      </c>
      <c r="I5365" s="371" t="s">
        <v>4501</v>
      </c>
      <c r="J5365" s="371" t="s">
        <v>4502</v>
      </c>
      <c r="K5365" s="547" t="s">
        <v>4503</v>
      </c>
      <c r="L5365" s="547" t="s">
        <v>4504</v>
      </c>
      <c r="M5365" s="371" t="s">
        <v>4505</v>
      </c>
      <c r="N5365" s="428"/>
      <c r="O5365" s="428"/>
      <c r="P5365" s="433"/>
      <c r="Q5365" s="442"/>
      <c r="R5365" s="443"/>
      <c r="S5365" s="364"/>
      <c r="Z5365" s="609" t="s">
        <v>2105</v>
      </c>
      <c r="AA5365" s="609" t="s">
        <v>19</v>
      </c>
    </row>
    <row r="5366" spans="1:27" ht="18" customHeight="1" thickTop="1">
      <c r="A5366" s="2714"/>
      <c r="B5366" s="371"/>
      <c r="C5366" s="371"/>
      <c r="D5366" s="2716"/>
      <c r="E5366" s="2716" t="s">
        <v>2749</v>
      </c>
      <c r="F5366" s="293"/>
      <c r="G5366" s="3432" t="s">
        <v>47</v>
      </c>
      <c r="H5366" s="3523" t="str">
        <f>$V$2</f>
        <v>2019年12月31日</v>
      </c>
      <c r="I5366" s="3524"/>
      <c r="J5366" s="3524"/>
      <c r="K5366" s="3524"/>
      <c r="L5366" s="3524"/>
      <c r="M5366" s="3524"/>
      <c r="N5366" s="355" t="s">
        <v>5348</v>
      </c>
      <c r="O5366" s="1536" t="s">
        <v>5541</v>
      </c>
      <c r="P5366" s="1536" t="s">
        <v>5542</v>
      </c>
      <c r="Q5366" s="442"/>
      <c r="R5366" s="443"/>
      <c r="S5366" s="364"/>
      <c r="Z5366" s="609" t="s">
        <v>2105</v>
      </c>
      <c r="AA5366" s="609" t="s">
        <v>19</v>
      </c>
    </row>
    <row r="5367" spans="1:27" ht="18">
      <c r="A5367" s="2714"/>
      <c r="B5367" s="371"/>
      <c r="C5367" s="371"/>
      <c r="D5367" s="2716"/>
      <c r="E5367" s="2716" t="s">
        <v>2749</v>
      </c>
      <c r="F5367" s="293"/>
      <c r="G5367" s="3471"/>
      <c r="H5367" s="2490" t="s">
        <v>4506</v>
      </c>
      <c r="I5367" s="2490" t="s">
        <v>4507</v>
      </c>
      <c r="J5367" s="2490" t="s">
        <v>4508</v>
      </c>
      <c r="K5367" s="2491" t="s">
        <v>4509</v>
      </c>
      <c r="L5367" s="2491" t="s">
        <v>2944</v>
      </c>
      <c r="M5367" s="2493" t="s">
        <v>3351</v>
      </c>
      <c r="N5367" s="434"/>
      <c r="O5367" s="1611"/>
      <c r="P5367" s="1611"/>
      <c r="Q5367" s="442"/>
      <c r="R5367" s="443"/>
      <c r="S5367" s="364"/>
      <c r="Z5367" s="609" t="s">
        <v>2105</v>
      </c>
      <c r="AA5367" s="609" t="s">
        <v>19</v>
      </c>
    </row>
    <row r="5368" spans="1:27" ht="18">
      <c r="A5368" s="2714"/>
      <c r="B5368" s="371">
        <v>101</v>
      </c>
      <c r="C5368" s="371"/>
      <c r="D5368" s="2716">
        <f t="shared" ref="D5368:D5377" si="577">IF(OR(G5368="*",G5368="",G5368=0),0,COUNTIF($G$5368:$G$5377,G5368))</f>
        <v>1</v>
      </c>
      <c r="E5368" s="2721">
        <v>1</v>
      </c>
      <c r="F5368" s="293"/>
      <c r="G5368" s="319" t="s">
        <v>10</v>
      </c>
      <c r="H5368" s="309"/>
      <c r="I5368" s="422"/>
      <c r="J5368" s="309"/>
      <c r="K5368" s="320"/>
      <c r="L5368" s="309"/>
      <c r="M5368" s="346"/>
      <c r="N5368" s="439"/>
      <c r="O5368" s="1588">
        <f ca="1">HYPERLINK("#'"&amp;$G$1&amp;"'!"&amp;ADDRESS(ROW(Notes!H17),COLUMN(Notes!H17),4),H17)</f>
        <v>479304.95</v>
      </c>
      <c r="P5368" s="1544">
        <f ca="1">O5368-M5368</f>
        <v>479304.95</v>
      </c>
      <c r="Q5368" s="442"/>
      <c r="R5368" s="443"/>
      <c r="S5368" s="364"/>
      <c r="Z5368" s="609" t="s">
        <v>2105</v>
      </c>
      <c r="AA5368" s="609" t="s">
        <v>19</v>
      </c>
    </row>
    <row r="5369" spans="1:27" ht="18">
      <c r="A5369" s="2714"/>
      <c r="B5369" s="371">
        <v>102</v>
      </c>
      <c r="C5369" s="371"/>
      <c r="D5369" s="2716">
        <f t="shared" si="577"/>
        <v>1</v>
      </c>
      <c r="E5369" s="2721">
        <v>1</v>
      </c>
      <c r="F5369" s="293"/>
      <c r="G5369" s="319" t="s">
        <v>109</v>
      </c>
      <c r="H5369" s="309"/>
      <c r="I5369" s="422"/>
      <c r="J5369" s="309"/>
      <c r="K5369" s="320"/>
      <c r="L5369" s="309"/>
      <c r="M5369" s="346"/>
      <c r="N5369" s="439"/>
      <c r="O5369" s="1588">
        <f ca="1">HYPERLINK("#'"&amp;$G$1&amp;"'!"&amp;ADDRESS(ROW(Notes!J128),COLUMN(Notes!J128),4),J128)</f>
        <v>0</v>
      </c>
      <c r="P5369" s="1544">
        <f t="shared" ref="P5369:P5375" ca="1" si="578">O5369-M5369</f>
        <v>0</v>
      </c>
      <c r="Q5369" s="442"/>
      <c r="R5369" s="443"/>
      <c r="S5369" s="364"/>
      <c r="Z5369" s="609" t="s">
        <v>2105</v>
      </c>
      <c r="AA5369" s="609" t="s">
        <v>19</v>
      </c>
    </row>
    <row r="5370" spans="1:27" ht="18">
      <c r="A5370" s="2714"/>
      <c r="B5370" s="371">
        <v>103</v>
      </c>
      <c r="C5370" s="371"/>
      <c r="D5370" s="2716">
        <f t="shared" si="577"/>
        <v>1</v>
      </c>
      <c r="E5370" s="2721">
        <v>1</v>
      </c>
      <c r="F5370" s="293"/>
      <c r="G5370" s="319" t="s">
        <v>124</v>
      </c>
      <c r="H5370" s="309"/>
      <c r="I5370" s="422"/>
      <c r="J5370" s="309"/>
      <c r="K5370" s="320"/>
      <c r="L5370" s="309"/>
      <c r="M5370" s="346"/>
      <c r="N5370" s="439"/>
      <c r="O5370" s="1588">
        <f ca="1">HYPERLINK("#'"&amp;$G$1&amp;"'!"&amp;ADDRESS(ROW(Notes!H332),COLUMN(Notes!H332),4),H332)</f>
        <v>15482120.279999999</v>
      </c>
      <c r="P5370" s="1544">
        <f t="shared" ca="1" si="578"/>
        <v>15482120.279999999</v>
      </c>
      <c r="Q5370" s="442"/>
      <c r="R5370" s="443"/>
      <c r="S5370" s="364"/>
      <c r="Z5370" s="609" t="s">
        <v>2105</v>
      </c>
      <c r="AA5370" s="609" t="s">
        <v>19</v>
      </c>
    </row>
    <row r="5371" spans="1:27" ht="18">
      <c r="A5371" s="2714"/>
      <c r="B5371" s="371">
        <v>104</v>
      </c>
      <c r="C5371" s="371"/>
      <c r="D5371" s="2716">
        <f t="shared" si="577"/>
        <v>1</v>
      </c>
      <c r="E5371" s="2721">
        <v>1</v>
      </c>
      <c r="F5371" s="293"/>
      <c r="G5371" s="319" t="s">
        <v>201</v>
      </c>
      <c r="H5371" s="309"/>
      <c r="I5371" s="422"/>
      <c r="J5371" s="309"/>
      <c r="K5371" s="320"/>
      <c r="L5371" s="309"/>
      <c r="M5371" s="346"/>
      <c r="N5371" s="439"/>
      <c r="O5371" s="1588">
        <f ca="1">HYPERLINK("#'"&amp;$G$1&amp;"'!"&amp;ADDRESS(ROW(Notes!H1004),COLUMN(Notes!H1004),4),H1004)</f>
        <v>2208147.21</v>
      </c>
      <c r="P5371" s="1544">
        <f t="shared" ca="1" si="578"/>
        <v>2208147.21</v>
      </c>
      <c r="Q5371" s="442"/>
      <c r="R5371" s="443"/>
      <c r="S5371" s="364"/>
      <c r="Z5371" s="609" t="s">
        <v>2105</v>
      </c>
      <c r="AA5371" s="609" t="s">
        <v>19</v>
      </c>
    </row>
    <row r="5372" spans="1:27" ht="18">
      <c r="A5372" s="2714"/>
      <c r="B5372" s="371">
        <v>105</v>
      </c>
      <c r="C5372" s="371"/>
      <c r="D5372" s="2716">
        <f t="shared" si="577"/>
        <v>1</v>
      </c>
      <c r="E5372" s="2721">
        <v>1</v>
      </c>
      <c r="F5372" s="293"/>
      <c r="G5372" s="319" t="s">
        <v>317</v>
      </c>
      <c r="H5372" s="309"/>
      <c r="I5372" s="422"/>
      <c r="J5372" s="309"/>
      <c r="K5372" s="320"/>
      <c r="L5372" s="309"/>
      <c r="M5372" s="346"/>
      <c r="N5372" s="439"/>
      <c r="O5372" s="1588">
        <f ca="1">HYPERLINK("#'"&amp;$G$1&amp;"'!"&amp;ADDRESS(ROW(Notes!J2216),COLUMN(Notes!J2216),4),J2216)</f>
        <v>0</v>
      </c>
      <c r="P5372" s="1544">
        <f t="shared" ca="1" si="578"/>
        <v>0</v>
      </c>
      <c r="Q5372" s="442"/>
      <c r="R5372" s="443"/>
      <c r="S5372" s="364"/>
      <c r="Z5372" s="609" t="s">
        <v>2105</v>
      </c>
      <c r="AA5372" s="609" t="s">
        <v>19</v>
      </c>
    </row>
    <row r="5373" spans="1:27" ht="18">
      <c r="A5373" s="2714"/>
      <c r="B5373" s="371">
        <v>106</v>
      </c>
      <c r="C5373" s="371"/>
      <c r="D5373" s="2716">
        <f t="shared" si="577"/>
        <v>1</v>
      </c>
      <c r="E5373" s="2721">
        <v>1</v>
      </c>
      <c r="F5373" s="293"/>
      <c r="G5373" s="319" t="s">
        <v>247</v>
      </c>
      <c r="H5373" s="309"/>
      <c r="I5373" s="422"/>
      <c r="J5373" s="309"/>
      <c r="K5373" s="320"/>
      <c r="L5373" s="309"/>
      <c r="M5373" s="346"/>
      <c r="N5373" s="439"/>
      <c r="O5373" s="1588">
        <f ca="1">HYPERLINK("#'"&amp;$G$1&amp;"'!"&amp;ADDRESS(ROW(Notes!H1820),COLUMN(Notes!H1820),4),H1820)</f>
        <v>1690423.37</v>
      </c>
      <c r="P5373" s="1544">
        <f t="shared" ca="1" si="578"/>
        <v>1690423.37</v>
      </c>
      <c r="Q5373" s="442"/>
      <c r="R5373" s="443"/>
      <c r="S5373" s="364"/>
      <c r="Z5373" s="609" t="s">
        <v>2105</v>
      </c>
      <c r="AA5373" s="609" t="s">
        <v>19</v>
      </c>
    </row>
    <row r="5374" spans="1:27" ht="18">
      <c r="A5374" s="2714"/>
      <c r="B5374" s="371">
        <v>107</v>
      </c>
      <c r="C5374" s="371"/>
      <c r="D5374" s="2716">
        <f t="shared" si="577"/>
        <v>1</v>
      </c>
      <c r="E5374" s="2721">
        <v>1</v>
      </c>
      <c r="F5374" s="293"/>
      <c r="G5374" s="319" t="s">
        <v>237</v>
      </c>
      <c r="H5374" s="309"/>
      <c r="I5374" s="422"/>
      <c r="J5374" s="309"/>
      <c r="K5374" s="320"/>
      <c r="L5374" s="309"/>
      <c r="M5374" s="346"/>
      <c r="N5374" s="439"/>
      <c r="O5374" s="1588">
        <f ca="1">HYPERLINK("#'"&amp;$G$1&amp;"'!"&amp;ADDRESS(ROW(Notes!H1797),COLUMN(Notes!H1797),4),H1797)</f>
        <v>0</v>
      </c>
      <c r="P5374" s="1544">
        <f t="shared" ca="1" si="578"/>
        <v>0</v>
      </c>
      <c r="Q5374" s="442"/>
      <c r="R5374" s="443"/>
      <c r="S5374" s="364"/>
      <c r="Z5374" s="609" t="s">
        <v>2105</v>
      </c>
      <c r="AA5374" s="609" t="s">
        <v>19</v>
      </c>
    </row>
    <row r="5375" spans="1:27" ht="18">
      <c r="A5375" s="2714"/>
      <c r="B5375" s="371">
        <v>108</v>
      </c>
      <c r="C5375" s="371"/>
      <c r="D5375" s="2716">
        <f t="shared" si="577"/>
        <v>1</v>
      </c>
      <c r="E5375" s="2721">
        <v>1</v>
      </c>
      <c r="F5375" s="293"/>
      <c r="G5375" s="319" t="s">
        <v>429</v>
      </c>
      <c r="H5375" s="309"/>
      <c r="I5375" s="422"/>
      <c r="J5375" s="309"/>
      <c r="K5375" s="320"/>
      <c r="L5375" s="309"/>
      <c r="M5375" s="346"/>
      <c r="N5375" s="439"/>
      <c r="O5375" s="1588">
        <f ca="1">HYPERLINK("#'"&amp;$G$1&amp;"'!"&amp;ADDRESS(ROW(Notes!H3320),COLUMN(Notes!H3320),4),H3320)</f>
        <v>94970</v>
      </c>
      <c r="P5375" s="1544">
        <f t="shared" ca="1" si="578"/>
        <v>94970</v>
      </c>
      <c r="Q5375" s="442"/>
      <c r="R5375" s="443"/>
      <c r="S5375" s="364"/>
      <c r="Z5375" s="609" t="s">
        <v>2105</v>
      </c>
      <c r="AA5375" s="609" t="s">
        <v>19</v>
      </c>
    </row>
    <row r="5376" spans="1:27" ht="18">
      <c r="A5376" s="2714"/>
      <c r="B5376" s="371">
        <v>109</v>
      </c>
      <c r="C5376" s="371" t="s">
        <v>2791</v>
      </c>
      <c r="D5376" s="2716">
        <f t="shared" si="577"/>
        <v>0</v>
      </c>
      <c r="E5376" s="2721">
        <v>1</v>
      </c>
      <c r="F5376" s="293"/>
      <c r="G5376" s="319" t="s">
        <v>2792</v>
      </c>
      <c r="H5376" s="309"/>
      <c r="I5376" s="422"/>
      <c r="J5376" s="309"/>
      <c r="K5376" s="320"/>
      <c r="L5376" s="309"/>
      <c r="M5376" s="346"/>
      <c r="N5376" s="439"/>
      <c r="P5376" s="1544"/>
      <c r="Q5376" s="442"/>
      <c r="R5376" s="443"/>
      <c r="S5376" s="364"/>
      <c r="Z5376" s="609" t="s">
        <v>2105</v>
      </c>
      <c r="AA5376" s="609" t="s">
        <v>19</v>
      </c>
    </row>
    <row r="5377" spans="1:27" ht="18.75" thickBot="1">
      <c r="A5377" s="2714"/>
      <c r="B5377" s="371"/>
      <c r="C5377" s="371"/>
      <c r="D5377" s="2716">
        <f t="shared" si="577"/>
        <v>1</v>
      </c>
      <c r="E5377" s="2721" t="s">
        <v>2751</v>
      </c>
      <c r="F5377" s="293"/>
      <c r="G5377" s="2234" t="s">
        <v>2752</v>
      </c>
      <c r="H5377" s="2325">
        <f t="shared" ref="H5377:M5377" si="579">SUMPRODUCT($E5367:$E5376,H5367:H5376)</f>
        <v>0</v>
      </c>
      <c r="I5377" s="2325">
        <f t="shared" si="579"/>
        <v>0</v>
      </c>
      <c r="J5377" s="2325">
        <f t="shared" si="579"/>
        <v>0</v>
      </c>
      <c r="K5377" s="2325">
        <f t="shared" si="579"/>
        <v>0</v>
      </c>
      <c r="L5377" s="2325">
        <f t="shared" si="579"/>
        <v>0</v>
      </c>
      <c r="M5377" s="2342">
        <f t="shared" si="579"/>
        <v>0</v>
      </c>
      <c r="N5377" s="439"/>
      <c r="P5377" s="1557">
        <f ca="1">SUM(P5368:P5376)</f>
        <v>19954965.809999999</v>
      </c>
      <c r="Q5377" s="442"/>
      <c r="R5377" s="443"/>
      <c r="S5377" s="364"/>
      <c r="Z5377" s="609" t="s">
        <v>2105</v>
      </c>
      <c r="AA5377" s="609" t="s">
        <v>19</v>
      </c>
    </row>
    <row r="5378" spans="1:27" ht="18">
      <c r="A5378" s="2714"/>
      <c r="B5378" s="371"/>
      <c r="C5378" s="371" t="s">
        <v>2755</v>
      </c>
      <c r="D5378" s="2716"/>
      <c r="F5378" s="293"/>
      <c r="G5378" s="376"/>
      <c r="H5378" s="315"/>
      <c r="I5378" s="396"/>
      <c r="J5378" s="315"/>
      <c r="K5378" s="423"/>
      <c r="L5378" s="315"/>
      <c r="M5378" s="315"/>
      <c r="N5378" s="426"/>
      <c r="O5378" s="1585" t="s">
        <v>5495</v>
      </c>
      <c r="P5378" s="425"/>
      <c r="Q5378" s="442"/>
      <c r="R5378" s="443"/>
      <c r="S5378" s="364"/>
      <c r="Z5378" s="609" t="s">
        <v>2105</v>
      </c>
      <c r="AA5378" s="609" t="s">
        <v>19</v>
      </c>
    </row>
    <row r="5379" spans="1:27" ht="24">
      <c r="A5379" s="2714" t="s">
        <v>2117</v>
      </c>
      <c r="B5379" s="371">
        <v>4</v>
      </c>
      <c r="C5379" s="371"/>
      <c r="D5379" s="2716" t="str">
        <f>VLOOKUP($A5379,Sheet_NoteList,2,0)</f>
        <v>上期末金融资产的到期期限分析</v>
      </c>
      <c r="E5379" s="2716" t="s">
        <v>2742</v>
      </c>
      <c r="F5379" s="293"/>
      <c r="G5379" s="372" t="str">
        <f>"("&amp;B5379&amp;")"&amp;D5379</f>
        <v>(4)上期末金融资产的到期期限分析</v>
      </c>
      <c r="H5379" s="1517" t="str">
        <f>$A5379</f>
        <v>9325j</v>
      </c>
      <c r="I5379" s="343" t="s">
        <v>2743</v>
      </c>
      <c r="J5379" s="301" t="s">
        <v>2744</v>
      </c>
      <c r="K5379" s="2210">
        <f>H5393</f>
        <v>0</v>
      </c>
      <c r="L5379" s="349"/>
      <c r="M5379" s="301" t="s">
        <v>2745</v>
      </c>
      <c r="N5379" s="2210">
        <f>I5393</f>
        <v>0</v>
      </c>
      <c r="O5379" s="349"/>
      <c r="P5379" s="301"/>
      <c r="S5379" s="364"/>
      <c r="Z5379" s="609" t="s">
        <v>2105</v>
      </c>
      <c r="AA5379" s="609" t="s">
        <v>19</v>
      </c>
    </row>
    <row r="5380" spans="1:27" ht="0.75" customHeight="1">
      <c r="A5380" s="2714"/>
      <c r="B5380" s="371"/>
      <c r="C5380" s="371"/>
      <c r="D5380" s="2716"/>
      <c r="F5380" s="371"/>
      <c r="G5380" s="405" t="s">
        <v>4510</v>
      </c>
      <c r="H5380" s="371" t="s">
        <v>2747</v>
      </c>
      <c r="I5380" s="371" t="s">
        <v>2748</v>
      </c>
      <c r="J5380" s="371" t="s">
        <v>2948</v>
      </c>
      <c r="K5380" s="547" t="s">
        <v>3034</v>
      </c>
      <c r="L5380" s="547" t="s">
        <v>3035</v>
      </c>
      <c r="M5380" s="371" t="s">
        <v>3036</v>
      </c>
      <c r="N5380" s="428"/>
      <c r="O5380" s="428"/>
      <c r="P5380" s="433"/>
      <c r="Q5380" s="442"/>
      <c r="R5380" s="443"/>
      <c r="S5380" s="364"/>
      <c r="Z5380" s="609" t="s">
        <v>2105</v>
      </c>
      <c r="AA5380" s="609" t="s">
        <v>19</v>
      </c>
    </row>
    <row r="5381" spans="1:27" ht="0.75" customHeight="1" thickBot="1">
      <c r="A5381" s="2714"/>
      <c r="B5381" s="371"/>
      <c r="C5381" s="371"/>
      <c r="D5381" s="2716"/>
      <c r="F5381" s="371"/>
      <c r="G5381" s="405"/>
      <c r="H5381" s="371" t="s">
        <v>4511</v>
      </c>
      <c r="I5381" s="371" t="s">
        <v>4512</v>
      </c>
      <c r="J5381" s="371" t="s">
        <v>4513</v>
      </c>
      <c r="K5381" s="547" t="s">
        <v>4514</v>
      </c>
      <c r="L5381" s="547" t="s">
        <v>4515</v>
      </c>
      <c r="M5381" s="371" t="s">
        <v>4516</v>
      </c>
      <c r="N5381" s="428"/>
      <c r="O5381" s="428"/>
      <c r="P5381" s="433"/>
      <c r="Q5381" s="442"/>
      <c r="R5381" s="443"/>
      <c r="S5381" s="364"/>
      <c r="Z5381" s="609" t="s">
        <v>2105</v>
      </c>
      <c r="AA5381" s="609" t="s">
        <v>19</v>
      </c>
    </row>
    <row r="5382" spans="1:27" ht="18" customHeight="1" thickTop="1">
      <c r="A5382" s="2714"/>
      <c r="B5382" s="371"/>
      <c r="C5382" s="371"/>
      <c r="D5382" s="2716"/>
      <c r="E5382" s="2716" t="s">
        <v>2749</v>
      </c>
      <c r="F5382" s="293"/>
      <c r="G5382" s="3432" t="s">
        <v>47</v>
      </c>
      <c r="H5382" s="3523" t="str">
        <f>$V$3</f>
        <v>2018年12月31日</v>
      </c>
      <c r="I5382" s="3524"/>
      <c r="J5382" s="3524"/>
      <c r="K5382" s="3524"/>
      <c r="L5382" s="3524"/>
      <c r="M5382" s="3524"/>
      <c r="N5382" s="355" t="s">
        <v>5348</v>
      </c>
      <c r="O5382" s="1536" t="s">
        <v>5543</v>
      </c>
      <c r="P5382" s="1536" t="s">
        <v>5542</v>
      </c>
      <c r="Q5382" s="442"/>
      <c r="R5382" s="443"/>
      <c r="S5382" s="364"/>
      <c r="Z5382" s="609" t="s">
        <v>2105</v>
      </c>
      <c r="AA5382" s="609" t="s">
        <v>19</v>
      </c>
    </row>
    <row r="5383" spans="1:27" ht="18">
      <c r="A5383" s="2714"/>
      <c r="B5383" s="371"/>
      <c r="C5383" s="371"/>
      <c r="D5383" s="2716"/>
      <c r="E5383" s="2716" t="s">
        <v>2749</v>
      </c>
      <c r="F5383" s="293"/>
      <c r="G5383" s="3471"/>
      <c r="H5383" s="2490" t="s">
        <v>4506</v>
      </c>
      <c r="I5383" s="2490" t="s">
        <v>4507</v>
      </c>
      <c r="J5383" s="2490" t="s">
        <v>4508</v>
      </c>
      <c r="K5383" s="2491" t="s">
        <v>4509</v>
      </c>
      <c r="L5383" s="2491" t="s">
        <v>2944</v>
      </c>
      <c r="M5383" s="2493" t="s">
        <v>3351</v>
      </c>
      <c r="N5383" s="434"/>
      <c r="O5383" s="1611"/>
      <c r="P5383" s="1611"/>
      <c r="Q5383" s="442"/>
      <c r="R5383" s="443"/>
      <c r="S5383" s="364"/>
      <c r="Z5383" s="609" t="s">
        <v>2105</v>
      </c>
      <c r="AA5383" s="609" t="s">
        <v>19</v>
      </c>
    </row>
    <row r="5384" spans="1:27" ht="18">
      <c r="A5384" s="2714"/>
      <c r="B5384" s="371">
        <v>101</v>
      </c>
      <c r="C5384" s="371"/>
      <c r="D5384" s="2716">
        <f t="shared" ref="D5384:D5393" si="580">IF(OR(G5384="*",G5384="",G5384=0),0,COUNTIF($G$5384:$G$5393,G5384))</f>
        <v>1</v>
      </c>
      <c r="E5384" s="2721">
        <v>1</v>
      </c>
      <c r="F5384" s="293"/>
      <c r="G5384" s="319" t="s">
        <v>10</v>
      </c>
      <c r="H5384" s="309"/>
      <c r="I5384" s="422"/>
      <c r="J5384" s="309"/>
      <c r="K5384" s="320"/>
      <c r="L5384" s="309"/>
      <c r="M5384" s="346"/>
      <c r="N5384" s="439"/>
      <c r="O5384" s="1588">
        <f ca="1">HYPERLINK("#'"&amp;$G$1&amp;"'!"&amp;ADDRESS(ROW(Notes!I17),COLUMN(Notes!I17),4),I17)</f>
        <v>252723.84</v>
      </c>
      <c r="P5384" s="1544">
        <f ca="1">O5384-M5384</f>
        <v>252723.84</v>
      </c>
      <c r="Q5384" s="442"/>
      <c r="R5384" s="443"/>
      <c r="S5384" s="364"/>
      <c r="Z5384" s="609" t="s">
        <v>2105</v>
      </c>
      <c r="AA5384" s="609" t="s">
        <v>19</v>
      </c>
    </row>
    <row r="5385" spans="1:27" ht="18">
      <c r="A5385" s="2714"/>
      <c r="B5385" s="371">
        <v>102</v>
      </c>
      <c r="C5385" s="371"/>
      <c r="D5385" s="2716">
        <f t="shared" si="580"/>
        <v>1</v>
      </c>
      <c r="E5385" s="2721">
        <v>1</v>
      </c>
      <c r="F5385" s="293"/>
      <c r="G5385" s="319" t="s">
        <v>109</v>
      </c>
      <c r="H5385" s="309"/>
      <c r="I5385" s="422"/>
      <c r="J5385" s="309"/>
      <c r="K5385" s="320"/>
      <c r="L5385" s="309"/>
      <c r="M5385" s="346"/>
      <c r="N5385" s="439"/>
      <c r="O5385" s="1588">
        <f ca="1">HYPERLINK("#'"&amp;$G$1&amp;"'!"&amp;ADDRESS(ROW(Notes!M128),COLUMN(Notes!M128),4),M128)</f>
        <v>0</v>
      </c>
      <c r="P5385" s="1544">
        <f t="shared" ref="P5385:P5391" ca="1" si="581">O5385-M5385</f>
        <v>0</v>
      </c>
      <c r="Q5385" s="442"/>
      <c r="R5385" s="443"/>
      <c r="S5385" s="364"/>
      <c r="Z5385" s="609" t="s">
        <v>2105</v>
      </c>
      <c r="AA5385" s="609" t="s">
        <v>19</v>
      </c>
    </row>
    <row r="5386" spans="1:27" ht="18">
      <c r="A5386" s="2714"/>
      <c r="B5386" s="371">
        <v>103</v>
      </c>
      <c r="C5386" s="371"/>
      <c r="D5386" s="2716">
        <f t="shared" si="580"/>
        <v>1</v>
      </c>
      <c r="E5386" s="2721">
        <v>1</v>
      </c>
      <c r="F5386" s="293"/>
      <c r="G5386" s="319" t="s">
        <v>124</v>
      </c>
      <c r="H5386" s="309"/>
      <c r="I5386" s="422"/>
      <c r="J5386" s="309"/>
      <c r="K5386" s="320"/>
      <c r="L5386" s="309"/>
      <c r="M5386" s="346"/>
      <c r="N5386" s="439"/>
      <c r="O5386" s="1588">
        <f ca="1">HYPERLINK("#'"&amp;$G$1&amp;"'!"&amp;ADDRESS(ROW(Notes!I332),COLUMN(Notes!I332),4),I332)</f>
        <v>15914214.57</v>
      </c>
      <c r="P5386" s="1544">
        <f t="shared" ca="1" si="581"/>
        <v>15914214.57</v>
      </c>
      <c r="Q5386" s="442"/>
      <c r="R5386" s="443"/>
      <c r="S5386" s="364"/>
      <c r="Z5386" s="609" t="s">
        <v>2105</v>
      </c>
      <c r="AA5386" s="609" t="s">
        <v>19</v>
      </c>
    </row>
    <row r="5387" spans="1:27" ht="18">
      <c r="A5387" s="2714"/>
      <c r="B5387" s="371">
        <v>104</v>
      </c>
      <c r="C5387" s="371"/>
      <c r="D5387" s="2716">
        <f t="shared" si="580"/>
        <v>1</v>
      </c>
      <c r="E5387" s="2721">
        <v>1</v>
      </c>
      <c r="F5387" s="293"/>
      <c r="G5387" s="319" t="s">
        <v>201</v>
      </c>
      <c r="H5387" s="309"/>
      <c r="I5387" s="422"/>
      <c r="J5387" s="309"/>
      <c r="K5387" s="320"/>
      <c r="L5387" s="309"/>
      <c r="M5387" s="346"/>
      <c r="N5387" s="439"/>
      <c r="O5387" s="1588">
        <f ca="1">HYPERLINK("#'"&amp;$G$1&amp;"'!"&amp;ADDRESS(ROW(Notes!I1004),COLUMN(Notes!I1004),4),I1004)</f>
        <v>328019.46999999997</v>
      </c>
      <c r="P5387" s="1544">
        <f t="shared" ca="1" si="581"/>
        <v>328019.46999999997</v>
      </c>
      <c r="Q5387" s="442"/>
      <c r="R5387" s="443"/>
      <c r="S5387" s="364"/>
      <c r="Z5387" s="609" t="s">
        <v>2105</v>
      </c>
      <c r="AA5387" s="609" t="s">
        <v>19</v>
      </c>
    </row>
    <row r="5388" spans="1:27" ht="18">
      <c r="A5388" s="2714"/>
      <c r="B5388" s="371">
        <v>105</v>
      </c>
      <c r="C5388" s="371"/>
      <c r="D5388" s="2716">
        <f t="shared" si="580"/>
        <v>1</v>
      </c>
      <c r="E5388" s="2721">
        <v>1</v>
      </c>
      <c r="F5388" s="293"/>
      <c r="G5388" s="319" t="s">
        <v>317</v>
      </c>
      <c r="H5388" s="309"/>
      <c r="I5388" s="422"/>
      <c r="J5388" s="309"/>
      <c r="K5388" s="320"/>
      <c r="L5388" s="309"/>
      <c r="M5388" s="346"/>
      <c r="N5388" s="439"/>
      <c r="O5388" s="1588">
        <f ca="1">HYPERLINK("#'"&amp;$G$1&amp;"'!"&amp;ADDRESS(ROW(Notes!M2216),COLUMN(Notes!M2216),4),M2216)</f>
        <v>0</v>
      </c>
      <c r="P5388" s="1544">
        <f t="shared" ca="1" si="581"/>
        <v>0</v>
      </c>
      <c r="Q5388" s="442"/>
      <c r="R5388" s="443"/>
      <c r="S5388" s="364"/>
      <c r="Z5388" s="609" t="s">
        <v>2105</v>
      </c>
      <c r="AA5388" s="609" t="s">
        <v>19</v>
      </c>
    </row>
    <row r="5389" spans="1:27" ht="18">
      <c r="A5389" s="2714"/>
      <c r="B5389" s="371">
        <v>106</v>
      </c>
      <c r="C5389" s="371"/>
      <c r="D5389" s="2716">
        <f t="shared" si="580"/>
        <v>1</v>
      </c>
      <c r="E5389" s="2721">
        <v>1</v>
      </c>
      <c r="F5389" s="293"/>
      <c r="G5389" s="319" t="s">
        <v>247</v>
      </c>
      <c r="H5389" s="309"/>
      <c r="I5389" s="422"/>
      <c r="J5389" s="309"/>
      <c r="K5389" s="320"/>
      <c r="L5389" s="309"/>
      <c r="M5389" s="346"/>
      <c r="N5389" s="439"/>
      <c r="O5389" s="1588">
        <f ca="1">HYPERLINK("#'"&amp;$G$1&amp;"'!"&amp;ADDRESS(ROW(Notes!I1820),COLUMN(Notes!I1820),4),I1820)</f>
        <v>2233000.7799999998</v>
      </c>
      <c r="P5389" s="1544">
        <f t="shared" ca="1" si="581"/>
        <v>2233000.7799999998</v>
      </c>
      <c r="Q5389" s="442"/>
      <c r="R5389" s="443"/>
      <c r="S5389" s="364"/>
      <c r="Z5389" s="609" t="s">
        <v>2105</v>
      </c>
      <c r="AA5389" s="609" t="s">
        <v>19</v>
      </c>
    </row>
    <row r="5390" spans="1:27" ht="18">
      <c r="A5390" s="2714"/>
      <c r="B5390" s="371">
        <v>107</v>
      </c>
      <c r="C5390" s="371"/>
      <c r="D5390" s="2716">
        <f t="shared" si="580"/>
        <v>1</v>
      </c>
      <c r="E5390" s="2721">
        <v>1</v>
      </c>
      <c r="F5390" s="293"/>
      <c r="G5390" s="319" t="s">
        <v>237</v>
      </c>
      <c r="H5390" s="309"/>
      <c r="I5390" s="422"/>
      <c r="J5390" s="309"/>
      <c r="K5390" s="320"/>
      <c r="L5390" s="309"/>
      <c r="M5390" s="346"/>
      <c r="N5390" s="439"/>
      <c r="O5390" s="1588">
        <f ca="1">HYPERLINK("#'"&amp;$G$1&amp;"'!"&amp;ADDRESS(ROW(Notes!I1797),COLUMN(Notes!I1797),4),I1797)</f>
        <v>0</v>
      </c>
      <c r="P5390" s="1544">
        <f t="shared" ca="1" si="581"/>
        <v>0</v>
      </c>
      <c r="Q5390" s="442"/>
      <c r="R5390" s="443"/>
      <c r="S5390" s="364"/>
      <c r="Z5390" s="609" t="s">
        <v>2105</v>
      </c>
      <c r="AA5390" s="609" t="s">
        <v>19</v>
      </c>
    </row>
    <row r="5391" spans="1:27" ht="18">
      <c r="A5391" s="2714"/>
      <c r="B5391" s="371">
        <v>108</v>
      </c>
      <c r="C5391" s="371"/>
      <c r="D5391" s="2716">
        <f t="shared" si="580"/>
        <v>1</v>
      </c>
      <c r="E5391" s="2721">
        <v>1</v>
      </c>
      <c r="F5391" s="293"/>
      <c r="G5391" s="319" t="s">
        <v>429</v>
      </c>
      <c r="H5391" s="309"/>
      <c r="I5391" s="422"/>
      <c r="J5391" s="309"/>
      <c r="K5391" s="320"/>
      <c r="L5391" s="309"/>
      <c r="M5391" s="346"/>
      <c r="N5391" s="439"/>
      <c r="O5391" s="1588">
        <f ca="1">HYPERLINK("#'"&amp;$G$1&amp;"'!"&amp;ADDRESS(ROW(Notes!I3320),COLUMN(Notes!I3320),4),I3320)</f>
        <v>523136</v>
      </c>
      <c r="P5391" s="1544">
        <f t="shared" ca="1" si="581"/>
        <v>523136</v>
      </c>
      <c r="Q5391" s="442"/>
      <c r="R5391" s="443"/>
      <c r="S5391" s="364"/>
      <c r="Z5391" s="609" t="s">
        <v>2105</v>
      </c>
      <c r="AA5391" s="609" t="s">
        <v>19</v>
      </c>
    </row>
    <row r="5392" spans="1:27" ht="18">
      <c r="A5392" s="2714"/>
      <c r="B5392" s="371">
        <v>109</v>
      </c>
      <c r="C5392" s="371" t="s">
        <v>2791</v>
      </c>
      <c r="D5392" s="2716">
        <f t="shared" si="580"/>
        <v>0</v>
      </c>
      <c r="E5392" s="2721">
        <v>1</v>
      </c>
      <c r="F5392" s="293"/>
      <c r="G5392" s="319" t="s">
        <v>2792</v>
      </c>
      <c r="H5392" s="309"/>
      <c r="I5392" s="422"/>
      <c r="J5392" s="309"/>
      <c r="K5392" s="320"/>
      <c r="L5392" s="309"/>
      <c r="M5392" s="346"/>
      <c r="N5392" s="439"/>
      <c r="P5392" s="1544"/>
      <c r="Q5392" s="442"/>
      <c r="R5392" s="443"/>
      <c r="S5392" s="364"/>
      <c r="Z5392" s="609" t="s">
        <v>2105</v>
      </c>
      <c r="AA5392" s="609" t="s">
        <v>19</v>
      </c>
    </row>
    <row r="5393" spans="1:27" ht="18.75" thickBot="1">
      <c r="A5393" s="2714"/>
      <c r="B5393" s="371"/>
      <c r="C5393" s="371"/>
      <c r="D5393" s="2716">
        <f t="shared" si="580"/>
        <v>1</v>
      </c>
      <c r="E5393" s="2721" t="s">
        <v>2751</v>
      </c>
      <c r="F5393" s="293"/>
      <c r="G5393" s="2234" t="s">
        <v>2752</v>
      </c>
      <c r="H5393" s="2325">
        <f t="shared" ref="H5393:M5393" si="582">SUMPRODUCT($E5383:$E5392,H5383:H5392)</f>
        <v>0</v>
      </c>
      <c r="I5393" s="2325">
        <f t="shared" si="582"/>
        <v>0</v>
      </c>
      <c r="J5393" s="2325">
        <f t="shared" si="582"/>
        <v>0</v>
      </c>
      <c r="K5393" s="2325">
        <f t="shared" si="582"/>
        <v>0</v>
      </c>
      <c r="L5393" s="2325">
        <f t="shared" si="582"/>
        <v>0</v>
      </c>
      <c r="M5393" s="2342">
        <f t="shared" si="582"/>
        <v>0</v>
      </c>
      <c r="N5393" s="439"/>
      <c r="P5393" s="1557">
        <f ca="1">SUM(P5384:P5392)</f>
        <v>19251094.66</v>
      </c>
      <c r="Q5393" s="442"/>
      <c r="R5393" s="443"/>
      <c r="S5393" s="364"/>
      <c r="Z5393" s="609" t="s">
        <v>2105</v>
      </c>
      <c r="AA5393" s="609" t="s">
        <v>19</v>
      </c>
    </row>
    <row r="5394" spans="1:27" ht="18">
      <c r="A5394" s="2714"/>
      <c r="B5394" s="371"/>
      <c r="C5394" s="371" t="s">
        <v>2755</v>
      </c>
      <c r="D5394" s="2716"/>
      <c r="F5394" s="293"/>
      <c r="G5394" s="376"/>
      <c r="H5394" s="315"/>
      <c r="I5394" s="396"/>
      <c r="J5394" s="315"/>
      <c r="K5394" s="423"/>
      <c r="L5394" s="315"/>
      <c r="M5394" s="315"/>
      <c r="N5394" s="426"/>
      <c r="O5394" s="1585" t="s">
        <v>5495</v>
      </c>
      <c r="P5394" s="425"/>
      <c r="Q5394" s="442"/>
      <c r="R5394" s="443"/>
      <c r="S5394" s="364"/>
      <c r="Z5394" s="609" t="s">
        <v>2105</v>
      </c>
      <c r="AA5394" s="609" t="s">
        <v>19</v>
      </c>
    </row>
    <row r="5395" spans="1:27" ht="24">
      <c r="A5395" s="2714" t="s">
        <v>2120</v>
      </c>
      <c r="B5395" s="371">
        <v>5</v>
      </c>
      <c r="C5395" s="371"/>
      <c r="D5395" s="2716" t="str">
        <f>VLOOKUP($A5395,Sheet_NoteList,2,0)</f>
        <v>本期末各外币资产负债项目的主要外汇风险敞口</v>
      </c>
      <c r="E5395" s="2716" t="s">
        <v>2742</v>
      </c>
      <c r="F5395" s="293"/>
      <c r="G5395" s="372" t="str">
        <f>"("&amp;B5395&amp;")"&amp;D5395</f>
        <v>(5)本期末各外币资产负债项目的主要外汇风险敞口</v>
      </c>
      <c r="H5395" s="1517" t="str">
        <f>$A5395</f>
        <v>9325k</v>
      </c>
      <c r="I5395" s="343" t="s">
        <v>2743</v>
      </c>
      <c r="J5395" s="301" t="s">
        <v>2744</v>
      </c>
      <c r="K5395" s="2210">
        <f>H5427</f>
        <v>0</v>
      </c>
      <c r="L5395" s="349"/>
      <c r="M5395" s="301" t="s">
        <v>2745</v>
      </c>
      <c r="N5395" s="2210">
        <f>I5427</f>
        <v>0</v>
      </c>
      <c r="O5395" s="349"/>
      <c r="P5395" s="301"/>
      <c r="S5395" s="364"/>
      <c r="Z5395" s="609" t="s">
        <v>2105</v>
      </c>
      <c r="AA5395" s="609" t="s">
        <v>19</v>
      </c>
    </row>
    <row r="5396" spans="1:27" ht="0.75" customHeight="1">
      <c r="A5396" s="2714"/>
      <c r="B5396" s="371"/>
      <c r="C5396" s="371"/>
      <c r="D5396" s="2716"/>
      <c r="F5396" s="371"/>
      <c r="G5396" s="405" t="s">
        <v>4517</v>
      </c>
      <c r="H5396" s="371" t="s">
        <v>5388</v>
      </c>
      <c r="I5396" s="371" t="s">
        <v>5530</v>
      </c>
      <c r="J5396" s="612" t="s">
        <v>5531</v>
      </c>
      <c r="K5396" s="1604"/>
      <c r="L5396" s="1604"/>
      <c r="M5396" s="1604"/>
      <c r="N5396" s="1604"/>
      <c r="O5396" s="1604"/>
      <c r="P5396" s="1604"/>
      <c r="Q5396" s="1604"/>
      <c r="R5396" s="1604"/>
      <c r="S5396" s="364"/>
      <c r="Z5396" s="609" t="s">
        <v>2105</v>
      </c>
      <c r="AA5396" s="609" t="s">
        <v>19</v>
      </c>
    </row>
    <row r="5397" spans="1:27" ht="0.75" customHeight="1" thickBot="1">
      <c r="A5397" s="2714"/>
      <c r="B5397" s="371"/>
      <c r="C5397" s="371"/>
      <c r="D5397" s="2716"/>
      <c r="F5397" s="371"/>
      <c r="G5397" s="405"/>
      <c r="H5397" s="371" t="s">
        <v>5462</v>
      </c>
      <c r="I5397" s="371" t="s">
        <v>5528</v>
      </c>
      <c r="J5397" s="612" t="s">
        <v>5529</v>
      </c>
      <c r="K5397" s="1604"/>
      <c r="L5397" s="1604"/>
      <c r="M5397" s="1604"/>
      <c r="N5397" s="1604"/>
      <c r="O5397" s="1604"/>
      <c r="P5397" s="1604"/>
      <c r="Q5397" s="1604"/>
      <c r="R5397" s="1604"/>
      <c r="S5397" s="364"/>
      <c r="Z5397" s="609" t="s">
        <v>2105</v>
      </c>
      <c r="AA5397" s="609" t="s">
        <v>19</v>
      </c>
    </row>
    <row r="5398" spans="1:27" ht="18" customHeight="1">
      <c r="A5398" s="2714"/>
      <c r="B5398" s="371"/>
      <c r="C5398" s="371"/>
      <c r="D5398" s="2716"/>
      <c r="E5398" s="2716" t="s">
        <v>2749</v>
      </c>
      <c r="F5398" s="293"/>
      <c r="G5398" s="3432" t="s">
        <v>47</v>
      </c>
      <c r="H5398" s="3431" t="str">
        <f>$W$2&amp;"余额"</f>
        <v>2019年12月31日余额</v>
      </c>
      <c r="I5398" s="3527"/>
      <c r="J5398" s="3527"/>
      <c r="K5398" s="355" t="s">
        <v>5348</v>
      </c>
      <c r="L5398" s="1604"/>
      <c r="M5398" s="1604"/>
      <c r="N5398" s="1604"/>
      <c r="O5398" s="1604"/>
      <c r="P5398" s="1604"/>
      <c r="Q5398" s="1604"/>
      <c r="R5398" s="1604"/>
      <c r="S5398" s="364"/>
      <c r="Z5398" s="609" t="s">
        <v>2105</v>
      </c>
      <c r="AA5398" s="609" t="s">
        <v>19</v>
      </c>
    </row>
    <row r="5399" spans="1:27" ht="18">
      <c r="A5399" s="2714"/>
      <c r="B5399" s="371"/>
      <c r="C5399" s="371"/>
      <c r="D5399" s="2716"/>
      <c r="E5399" s="2716" t="s">
        <v>2749</v>
      </c>
      <c r="F5399" s="293"/>
      <c r="G5399" s="3471"/>
      <c r="H5399" s="2463" t="s">
        <v>4518</v>
      </c>
      <c r="I5399" s="2463" t="s">
        <v>2459</v>
      </c>
      <c r="J5399" s="1603" t="s">
        <v>5525</v>
      </c>
      <c r="K5399" s="355" t="s">
        <v>5532</v>
      </c>
      <c r="L5399" s="1604"/>
      <c r="M5399" s="1604"/>
      <c r="N5399" s="1604"/>
      <c r="O5399" s="1604"/>
      <c r="P5399" s="1604"/>
      <c r="Q5399" s="1604"/>
      <c r="R5399" s="1604"/>
      <c r="S5399" s="364"/>
      <c r="Z5399" s="609" t="s">
        <v>2105</v>
      </c>
      <c r="AA5399" s="609" t="s">
        <v>19</v>
      </c>
    </row>
    <row r="5400" spans="1:27" ht="18">
      <c r="A5400" s="2714"/>
      <c r="B5400" s="371">
        <v>101</v>
      </c>
      <c r="C5400" s="371"/>
      <c r="D5400" s="2716">
        <f t="shared" ref="D5400:D5427" si="583">IF(OR(G5400="*",G5400="",G5400=0),0,COUNTIF($G$5400:$G$5427,G5400))</f>
        <v>1</v>
      </c>
      <c r="E5400" s="2721" t="s">
        <v>41</v>
      </c>
      <c r="F5400" s="293"/>
      <c r="G5400" s="308" t="s">
        <v>10</v>
      </c>
      <c r="H5400" s="309"/>
      <c r="I5400" s="422"/>
      <c r="J5400" s="388"/>
      <c r="K5400" s="1604"/>
      <c r="L5400" s="1604"/>
      <c r="M5400" s="1604"/>
      <c r="N5400" s="1604"/>
      <c r="O5400" s="1604"/>
      <c r="P5400" s="1604"/>
      <c r="Q5400" s="1604"/>
      <c r="R5400" s="1604"/>
      <c r="S5400" s="364"/>
      <c r="Z5400" s="609" t="s">
        <v>2105</v>
      </c>
      <c r="AA5400" s="609" t="s">
        <v>19</v>
      </c>
    </row>
    <row r="5401" spans="1:27" ht="18">
      <c r="A5401" s="2714"/>
      <c r="B5401" s="371">
        <v>102</v>
      </c>
      <c r="C5401" s="371" t="s">
        <v>2791</v>
      </c>
      <c r="D5401" s="2716">
        <f t="shared" si="583"/>
        <v>1</v>
      </c>
      <c r="E5401" s="2721">
        <v>1</v>
      </c>
      <c r="F5401" s="293"/>
      <c r="G5401" s="1591" t="str">
        <f>"其中："&amp;G5400&amp;"（美元）"</f>
        <v>其中：货币资金（美元）</v>
      </c>
      <c r="H5401" s="309"/>
      <c r="I5401" s="422"/>
      <c r="J5401" s="388"/>
      <c r="K5401" s="1604"/>
      <c r="L5401" s="1604"/>
      <c r="M5401" s="1604"/>
      <c r="N5401" s="1604"/>
      <c r="O5401" s="1604"/>
      <c r="P5401" s="1604"/>
      <c r="Q5401" s="1604"/>
      <c r="R5401" s="1604"/>
      <c r="S5401" s="364"/>
      <c r="Z5401" s="609" t="s">
        <v>2105</v>
      </c>
      <c r="AA5401" s="609" t="s">
        <v>19</v>
      </c>
    </row>
    <row r="5402" spans="1:27" ht="18">
      <c r="A5402" s="2714"/>
      <c r="B5402" s="371">
        <v>103</v>
      </c>
      <c r="C5402" s="371" t="s">
        <v>2791</v>
      </c>
      <c r="D5402" s="2716">
        <f t="shared" si="583"/>
        <v>1</v>
      </c>
      <c r="E5402" s="2721">
        <v>1</v>
      </c>
      <c r="F5402" s="293"/>
      <c r="G5402" s="1591" t="str">
        <f>G5400&amp;"（欧元）"</f>
        <v>货币资金（欧元）</v>
      </c>
      <c r="H5402" s="309"/>
      <c r="I5402" s="422"/>
      <c r="J5402" s="388"/>
      <c r="K5402" s="1604"/>
      <c r="L5402" s="1604"/>
      <c r="M5402" s="1604"/>
      <c r="N5402" s="1604"/>
      <c r="O5402" s="1604"/>
      <c r="P5402" s="1604"/>
      <c r="Q5402" s="1604"/>
      <c r="R5402" s="1604"/>
      <c r="S5402" s="364"/>
      <c r="Z5402" s="609" t="s">
        <v>2105</v>
      </c>
      <c r="AA5402" s="609" t="s">
        <v>19</v>
      </c>
    </row>
    <row r="5403" spans="1:27" ht="18">
      <c r="A5403" s="2714"/>
      <c r="B5403" s="371">
        <v>104</v>
      </c>
      <c r="C5403" s="371" t="s">
        <v>2791</v>
      </c>
      <c r="D5403" s="2716">
        <f t="shared" si="583"/>
        <v>1</v>
      </c>
      <c r="E5403" s="2721">
        <v>1</v>
      </c>
      <c r="F5403" s="293"/>
      <c r="G5403" s="1591" t="str">
        <f>G5400&amp;"（港币）"</f>
        <v>货币资金（港币）</v>
      </c>
      <c r="H5403" s="309"/>
      <c r="I5403" s="422"/>
      <c r="J5403" s="388"/>
      <c r="K5403" s="1604"/>
      <c r="L5403" s="1604"/>
      <c r="M5403" s="1604"/>
      <c r="N5403" s="1604"/>
      <c r="O5403" s="1604"/>
      <c r="P5403" s="1604"/>
      <c r="Q5403" s="1604"/>
      <c r="R5403" s="1604"/>
      <c r="S5403" s="364"/>
      <c r="Z5403" s="609" t="s">
        <v>2105</v>
      </c>
      <c r="AA5403" s="609" t="s">
        <v>19</v>
      </c>
    </row>
    <row r="5404" spans="1:27" ht="18">
      <c r="A5404" s="2714"/>
      <c r="B5404" s="371">
        <v>105</v>
      </c>
      <c r="C5404" s="371" t="s">
        <v>2791</v>
      </c>
      <c r="D5404" s="2716">
        <f t="shared" si="583"/>
        <v>0</v>
      </c>
      <c r="E5404" s="2721">
        <v>1</v>
      </c>
      <c r="F5404" s="293"/>
      <c r="G5404" s="1504" t="s">
        <v>2792</v>
      </c>
      <c r="H5404" s="309"/>
      <c r="I5404" s="422"/>
      <c r="J5404" s="388"/>
      <c r="K5404" s="1604"/>
      <c r="L5404" s="1604"/>
      <c r="M5404" s="1604"/>
      <c r="N5404" s="1604"/>
      <c r="O5404" s="1604"/>
      <c r="P5404" s="1604"/>
      <c r="Q5404" s="1604"/>
      <c r="R5404" s="1604"/>
      <c r="S5404" s="364"/>
      <c r="Z5404" s="609" t="s">
        <v>2105</v>
      </c>
      <c r="AA5404" s="609" t="s">
        <v>19</v>
      </c>
    </row>
    <row r="5405" spans="1:27" ht="18">
      <c r="A5405" s="2714"/>
      <c r="B5405" s="371">
        <v>106</v>
      </c>
      <c r="C5405" s="371"/>
      <c r="D5405" s="2716">
        <f t="shared" si="583"/>
        <v>1</v>
      </c>
      <c r="E5405" s="2721" t="s">
        <v>41</v>
      </c>
      <c r="F5405" s="293"/>
      <c r="G5405" s="308" t="s">
        <v>124</v>
      </c>
      <c r="H5405" s="309"/>
      <c r="I5405" s="422"/>
      <c r="J5405" s="388"/>
      <c r="K5405" s="1604"/>
      <c r="L5405" s="1604"/>
      <c r="M5405" s="1604"/>
      <c r="N5405" s="1604"/>
      <c r="O5405" s="1604"/>
      <c r="P5405" s="1604"/>
      <c r="Q5405" s="1604"/>
      <c r="R5405" s="1604"/>
      <c r="S5405" s="364"/>
      <c r="Z5405" s="609" t="s">
        <v>2105</v>
      </c>
      <c r="AA5405" s="609" t="s">
        <v>19</v>
      </c>
    </row>
    <row r="5406" spans="1:27" ht="18">
      <c r="A5406" s="2714"/>
      <c r="B5406" s="371">
        <v>107</v>
      </c>
      <c r="C5406" s="371" t="s">
        <v>2791</v>
      </c>
      <c r="D5406" s="2716">
        <f t="shared" si="583"/>
        <v>1</v>
      </c>
      <c r="E5406" s="2721">
        <v>1</v>
      </c>
      <c r="F5406" s="293"/>
      <c r="G5406" s="1591" t="str">
        <f>"其中："&amp;G5405&amp;"（美元）"</f>
        <v>其中：应收账款（美元）</v>
      </c>
      <c r="H5406" s="309"/>
      <c r="I5406" s="422"/>
      <c r="J5406" s="388"/>
      <c r="K5406" s="1604"/>
      <c r="L5406" s="1604"/>
      <c r="M5406" s="1604"/>
      <c r="N5406" s="1604"/>
      <c r="O5406" s="1604"/>
      <c r="P5406" s="1604"/>
      <c r="Q5406" s="1604"/>
      <c r="R5406" s="1604"/>
      <c r="S5406" s="364"/>
      <c r="Z5406" s="609" t="s">
        <v>2105</v>
      </c>
      <c r="AA5406" s="609" t="s">
        <v>19</v>
      </c>
    </row>
    <row r="5407" spans="1:27" ht="18">
      <c r="A5407" s="2714"/>
      <c r="B5407" s="371">
        <v>108</v>
      </c>
      <c r="C5407" s="371" t="s">
        <v>2791</v>
      </c>
      <c r="D5407" s="2716">
        <f t="shared" si="583"/>
        <v>1</v>
      </c>
      <c r="E5407" s="2721">
        <v>1</v>
      </c>
      <c r="F5407" s="293"/>
      <c r="G5407" s="1591" t="str">
        <f>G5405&amp;"（欧元）"</f>
        <v>应收账款（欧元）</v>
      </c>
      <c r="H5407" s="309"/>
      <c r="I5407" s="422"/>
      <c r="J5407" s="388"/>
      <c r="K5407" s="1604"/>
      <c r="L5407" s="1604"/>
      <c r="M5407" s="1604"/>
      <c r="N5407" s="1604"/>
      <c r="O5407" s="1604"/>
      <c r="P5407" s="1604"/>
      <c r="Q5407" s="1604"/>
      <c r="R5407" s="1604"/>
      <c r="S5407" s="364"/>
      <c r="Z5407" s="609" t="s">
        <v>2105</v>
      </c>
      <c r="AA5407" s="609" t="s">
        <v>19</v>
      </c>
    </row>
    <row r="5408" spans="1:27" ht="18">
      <c r="A5408" s="2714"/>
      <c r="B5408" s="371">
        <v>109</v>
      </c>
      <c r="C5408" s="371" t="s">
        <v>2791</v>
      </c>
      <c r="D5408" s="2716">
        <f t="shared" si="583"/>
        <v>1</v>
      </c>
      <c r="E5408" s="2721">
        <v>1</v>
      </c>
      <c r="F5408" s="293"/>
      <c r="G5408" s="1591" t="str">
        <f>G5405&amp;"（港币）"</f>
        <v>应收账款（港币）</v>
      </c>
      <c r="H5408" s="309"/>
      <c r="I5408" s="422"/>
      <c r="J5408" s="388"/>
      <c r="K5408" s="1604"/>
      <c r="L5408" s="1604"/>
      <c r="M5408" s="1604"/>
      <c r="N5408" s="1604"/>
      <c r="O5408" s="1604"/>
      <c r="P5408" s="1604"/>
      <c r="Q5408" s="1604"/>
      <c r="R5408" s="1604"/>
      <c r="S5408" s="364"/>
      <c r="Z5408" s="609" t="s">
        <v>2105</v>
      </c>
      <c r="AA5408" s="609" t="s">
        <v>19</v>
      </c>
    </row>
    <row r="5409" spans="1:27" ht="18">
      <c r="A5409" s="2714"/>
      <c r="B5409" s="371">
        <v>110</v>
      </c>
      <c r="C5409" s="371" t="s">
        <v>2791</v>
      </c>
      <c r="D5409" s="2716">
        <f t="shared" si="583"/>
        <v>0</v>
      </c>
      <c r="E5409" s="2721">
        <v>1</v>
      </c>
      <c r="F5409" s="293"/>
      <c r="G5409" s="1504" t="s">
        <v>2792</v>
      </c>
      <c r="H5409" s="309"/>
      <c r="I5409" s="422"/>
      <c r="J5409" s="388"/>
      <c r="K5409" s="1604"/>
      <c r="L5409" s="1604"/>
      <c r="M5409" s="1604"/>
      <c r="N5409" s="1604"/>
      <c r="O5409" s="1604"/>
      <c r="P5409" s="1604"/>
      <c r="Q5409" s="1604"/>
      <c r="R5409" s="1604"/>
      <c r="S5409" s="364"/>
      <c r="Z5409" s="609" t="s">
        <v>2105</v>
      </c>
      <c r="AA5409" s="609" t="s">
        <v>19</v>
      </c>
    </row>
    <row r="5410" spans="1:27" ht="18">
      <c r="A5410" s="2714"/>
      <c r="B5410" s="371">
        <v>111</v>
      </c>
      <c r="C5410" s="371"/>
      <c r="D5410" s="2716">
        <f t="shared" si="583"/>
        <v>1</v>
      </c>
      <c r="E5410" s="2721" t="s">
        <v>41</v>
      </c>
      <c r="F5410" s="293"/>
      <c r="G5410" s="308" t="s">
        <v>201</v>
      </c>
      <c r="H5410" s="309"/>
      <c r="I5410" s="422"/>
      <c r="J5410" s="388"/>
      <c r="K5410" s="1604"/>
      <c r="L5410" s="1604"/>
      <c r="M5410" s="1604"/>
      <c r="N5410" s="1604"/>
      <c r="O5410" s="1604"/>
      <c r="P5410" s="1604"/>
      <c r="Q5410" s="1604"/>
      <c r="R5410" s="1604"/>
      <c r="S5410" s="364"/>
      <c r="Z5410" s="609" t="s">
        <v>2105</v>
      </c>
      <c r="AA5410" s="609" t="s">
        <v>19</v>
      </c>
    </row>
    <row r="5411" spans="1:27" ht="18">
      <c r="A5411" s="2714"/>
      <c r="B5411" s="371">
        <v>112</v>
      </c>
      <c r="C5411" s="371" t="s">
        <v>2791</v>
      </c>
      <c r="D5411" s="2716">
        <f t="shared" si="583"/>
        <v>1</v>
      </c>
      <c r="E5411" s="2721">
        <v>1</v>
      </c>
      <c r="F5411" s="293"/>
      <c r="G5411" s="1591" t="str">
        <f>"其中："&amp;G5410&amp;"（美元）"</f>
        <v>其中：其他应收款（美元）</v>
      </c>
      <c r="H5411" s="309"/>
      <c r="I5411" s="422"/>
      <c r="J5411" s="388"/>
      <c r="K5411" s="1604"/>
      <c r="L5411" s="1604"/>
      <c r="M5411" s="1604"/>
      <c r="N5411" s="1604"/>
      <c r="O5411" s="1604"/>
      <c r="P5411" s="1604"/>
      <c r="Q5411" s="1604"/>
      <c r="R5411" s="1604"/>
      <c r="S5411" s="364"/>
      <c r="Z5411" s="609" t="s">
        <v>2105</v>
      </c>
      <c r="AA5411" s="609" t="s">
        <v>19</v>
      </c>
    </row>
    <row r="5412" spans="1:27" ht="18">
      <c r="A5412" s="2714"/>
      <c r="B5412" s="371">
        <v>113</v>
      </c>
      <c r="C5412" s="371" t="s">
        <v>2791</v>
      </c>
      <c r="D5412" s="2716">
        <f t="shared" si="583"/>
        <v>1</v>
      </c>
      <c r="E5412" s="2721">
        <v>1</v>
      </c>
      <c r="F5412" s="293"/>
      <c r="G5412" s="1591" t="str">
        <f>G5410&amp;"（欧元）"</f>
        <v>其他应收款（欧元）</v>
      </c>
      <c r="H5412" s="309"/>
      <c r="I5412" s="422"/>
      <c r="J5412" s="388"/>
      <c r="K5412" s="1604"/>
      <c r="L5412" s="1604"/>
      <c r="M5412" s="1604"/>
      <c r="N5412" s="1604"/>
      <c r="O5412" s="1604"/>
      <c r="P5412" s="1604"/>
      <c r="Q5412" s="1604"/>
      <c r="R5412" s="1604"/>
      <c r="S5412" s="364"/>
      <c r="Z5412" s="609" t="s">
        <v>2105</v>
      </c>
      <c r="AA5412" s="609" t="s">
        <v>19</v>
      </c>
    </row>
    <row r="5413" spans="1:27" ht="18">
      <c r="A5413" s="2714"/>
      <c r="B5413" s="371">
        <v>114</v>
      </c>
      <c r="C5413" s="371" t="s">
        <v>2791</v>
      </c>
      <c r="D5413" s="2716">
        <f t="shared" si="583"/>
        <v>1</v>
      </c>
      <c r="E5413" s="2721">
        <v>1</v>
      </c>
      <c r="F5413" s="293"/>
      <c r="G5413" s="1591" t="str">
        <f>G5410&amp;"（港币）"</f>
        <v>其他应收款（港币）</v>
      </c>
      <c r="H5413" s="309"/>
      <c r="I5413" s="422"/>
      <c r="J5413" s="388"/>
      <c r="K5413" s="1604"/>
      <c r="L5413" s="1604"/>
      <c r="M5413" s="1604"/>
      <c r="N5413" s="1604"/>
      <c r="O5413" s="1604"/>
      <c r="P5413" s="1604"/>
      <c r="Q5413" s="1604"/>
      <c r="R5413" s="1604"/>
      <c r="S5413" s="364"/>
      <c r="Z5413" s="609" t="s">
        <v>2105</v>
      </c>
      <c r="AA5413" s="609" t="s">
        <v>19</v>
      </c>
    </row>
    <row r="5414" spans="1:27" ht="18">
      <c r="A5414" s="2714"/>
      <c r="B5414" s="371">
        <v>115</v>
      </c>
      <c r="C5414" s="371" t="s">
        <v>2791</v>
      </c>
      <c r="D5414" s="2716">
        <f t="shared" si="583"/>
        <v>0</v>
      </c>
      <c r="E5414" s="2721">
        <v>1</v>
      </c>
      <c r="F5414" s="293"/>
      <c r="G5414" s="1504" t="s">
        <v>2792</v>
      </c>
      <c r="H5414" s="309"/>
      <c r="I5414" s="422"/>
      <c r="J5414" s="388"/>
      <c r="K5414" s="1604"/>
      <c r="L5414" s="1604"/>
      <c r="M5414" s="1604"/>
      <c r="N5414" s="1604"/>
      <c r="O5414" s="1604"/>
      <c r="P5414" s="1604"/>
      <c r="Q5414" s="1604"/>
      <c r="R5414" s="1604"/>
      <c r="S5414" s="364"/>
      <c r="Z5414" s="609" t="s">
        <v>2105</v>
      </c>
      <c r="AA5414" s="609" t="s">
        <v>19</v>
      </c>
    </row>
    <row r="5415" spans="1:27" ht="18">
      <c r="A5415" s="2714"/>
      <c r="B5415" s="371">
        <v>116</v>
      </c>
      <c r="C5415" s="371"/>
      <c r="D5415" s="2716">
        <f t="shared" si="583"/>
        <v>1</v>
      </c>
      <c r="E5415" s="2721" t="s">
        <v>41</v>
      </c>
      <c r="F5415" s="293"/>
      <c r="G5415" s="308" t="s">
        <v>546</v>
      </c>
      <c r="H5415" s="309"/>
      <c r="I5415" s="422"/>
      <c r="J5415" s="388"/>
      <c r="K5415" s="1604"/>
      <c r="L5415" s="1604"/>
      <c r="M5415" s="1604"/>
      <c r="N5415" s="1604"/>
      <c r="O5415" s="1604"/>
      <c r="P5415" s="1604"/>
      <c r="Q5415" s="1604"/>
      <c r="R5415" s="1604"/>
      <c r="S5415" s="364"/>
      <c r="Z5415" s="609" t="s">
        <v>2105</v>
      </c>
      <c r="AA5415" s="609" t="s">
        <v>19</v>
      </c>
    </row>
    <row r="5416" spans="1:27" ht="18">
      <c r="A5416" s="2714"/>
      <c r="B5416" s="371">
        <v>117</v>
      </c>
      <c r="C5416" s="371" t="s">
        <v>2791</v>
      </c>
      <c r="D5416" s="2716">
        <f t="shared" si="583"/>
        <v>1</v>
      </c>
      <c r="E5416" s="2721">
        <v>1</v>
      </c>
      <c r="F5416" s="293"/>
      <c r="G5416" s="1591" t="str">
        <f>"其中："&amp;G5415&amp;"（美元）"</f>
        <v>其中：长期借款（美元）</v>
      </c>
      <c r="H5416" s="309"/>
      <c r="I5416" s="422"/>
      <c r="J5416" s="388"/>
      <c r="K5416" s="1604"/>
      <c r="L5416" s="1604"/>
      <c r="M5416" s="1604"/>
      <c r="N5416" s="1604"/>
      <c r="O5416" s="1604"/>
      <c r="P5416" s="1604"/>
      <c r="Q5416" s="1604"/>
      <c r="R5416" s="1604"/>
      <c r="S5416" s="364"/>
      <c r="Z5416" s="609" t="s">
        <v>2105</v>
      </c>
      <c r="AA5416" s="609" t="s">
        <v>19</v>
      </c>
    </row>
    <row r="5417" spans="1:27" ht="18">
      <c r="A5417" s="2714"/>
      <c r="B5417" s="371">
        <v>118</v>
      </c>
      <c r="C5417" s="371" t="s">
        <v>2791</v>
      </c>
      <c r="D5417" s="2716">
        <f t="shared" si="583"/>
        <v>1</v>
      </c>
      <c r="E5417" s="2721">
        <v>1</v>
      </c>
      <c r="F5417" s="293"/>
      <c r="G5417" s="1591" t="str">
        <f>G5415&amp;"（欧元）"</f>
        <v>长期借款（欧元）</v>
      </c>
      <c r="H5417" s="309"/>
      <c r="I5417" s="422"/>
      <c r="J5417" s="388"/>
      <c r="K5417" s="1604"/>
      <c r="L5417" s="1604"/>
      <c r="M5417" s="1604"/>
      <c r="N5417" s="1604"/>
      <c r="O5417" s="1604"/>
      <c r="P5417" s="1604"/>
      <c r="Q5417" s="1604"/>
      <c r="R5417" s="1604"/>
      <c r="S5417" s="364"/>
      <c r="Z5417" s="609" t="s">
        <v>2105</v>
      </c>
      <c r="AA5417" s="609" t="s">
        <v>19</v>
      </c>
    </row>
    <row r="5418" spans="1:27" ht="18">
      <c r="A5418" s="2714"/>
      <c r="B5418" s="371">
        <v>119</v>
      </c>
      <c r="C5418" s="371" t="s">
        <v>2791</v>
      </c>
      <c r="D5418" s="2716">
        <f t="shared" si="583"/>
        <v>1</v>
      </c>
      <c r="E5418" s="2721">
        <v>1</v>
      </c>
      <c r="F5418" s="293"/>
      <c r="G5418" s="1591" t="str">
        <f>G5415&amp;"（港币）"</f>
        <v>长期借款（港币）</v>
      </c>
      <c r="H5418" s="309"/>
      <c r="I5418" s="422"/>
      <c r="J5418" s="388"/>
      <c r="K5418" s="1604"/>
      <c r="L5418" s="1604"/>
      <c r="M5418" s="1604"/>
      <c r="N5418" s="1604"/>
      <c r="O5418" s="1604"/>
      <c r="P5418" s="1604"/>
      <c r="Q5418" s="1604"/>
      <c r="R5418" s="1604"/>
      <c r="S5418" s="364"/>
      <c r="Z5418" s="609" t="s">
        <v>2105</v>
      </c>
      <c r="AA5418" s="609" t="s">
        <v>19</v>
      </c>
    </row>
    <row r="5419" spans="1:27" ht="18">
      <c r="A5419" s="2714"/>
      <c r="B5419" s="371">
        <v>120</v>
      </c>
      <c r="C5419" s="371" t="s">
        <v>2791</v>
      </c>
      <c r="D5419" s="2716">
        <f t="shared" si="583"/>
        <v>0</v>
      </c>
      <c r="E5419" s="2721">
        <v>1</v>
      </c>
      <c r="F5419" s="293"/>
      <c r="G5419" s="1504" t="s">
        <v>2792</v>
      </c>
      <c r="H5419" s="309"/>
      <c r="I5419" s="422"/>
      <c r="J5419" s="388"/>
      <c r="K5419" s="1604"/>
      <c r="L5419" s="1604"/>
      <c r="M5419" s="1604"/>
      <c r="N5419" s="1604"/>
      <c r="O5419" s="1604"/>
      <c r="P5419" s="1604"/>
      <c r="Q5419" s="1604"/>
      <c r="R5419" s="1604"/>
      <c r="S5419" s="364"/>
      <c r="Z5419" s="609" t="s">
        <v>2105</v>
      </c>
      <c r="AA5419" s="609" t="s">
        <v>19</v>
      </c>
    </row>
    <row r="5420" spans="1:27" ht="18">
      <c r="A5420" s="2714"/>
      <c r="B5420" s="371">
        <v>121</v>
      </c>
      <c r="C5420" s="371"/>
      <c r="D5420" s="2716">
        <f t="shared" si="583"/>
        <v>1</v>
      </c>
      <c r="E5420" s="2721" t="s">
        <v>41</v>
      </c>
      <c r="F5420" s="293"/>
      <c r="G5420" s="308" t="s">
        <v>550</v>
      </c>
      <c r="H5420" s="309"/>
      <c r="I5420" s="422"/>
      <c r="J5420" s="388"/>
      <c r="K5420" s="1604"/>
      <c r="L5420" s="1604"/>
      <c r="M5420" s="1604"/>
      <c r="N5420" s="1604"/>
      <c r="O5420" s="1604"/>
      <c r="P5420" s="1604"/>
      <c r="Q5420" s="1604"/>
      <c r="R5420" s="1604"/>
      <c r="S5420" s="364"/>
      <c r="Z5420" s="609" t="s">
        <v>2105</v>
      </c>
      <c r="AA5420" s="609" t="s">
        <v>19</v>
      </c>
    </row>
    <row r="5421" spans="1:27" ht="18">
      <c r="A5421" s="2714"/>
      <c r="B5421" s="371">
        <v>122</v>
      </c>
      <c r="C5421" s="371" t="s">
        <v>2791</v>
      </c>
      <c r="D5421" s="2716">
        <f t="shared" si="583"/>
        <v>1</v>
      </c>
      <c r="E5421" s="2721">
        <v>1</v>
      </c>
      <c r="F5421" s="293"/>
      <c r="G5421" s="1591" t="str">
        <f>"其中："&amp;G5420&amp;"（美元）"</f>
        <v>其中：应付债券（美元）</v>
      </c>
      <c r="H5421" s="309"/>
      <c r="I5421" s="422"/>
      <c r="J5421" s="388"/>
      <c r="K5421" s="1604"/>
      <c r="L5421" s="1604"/>
      <c r="M5421" s="1604"/>
      <c r="N5421" s="1604"/>
      <c r="O5421" s="1604"/>
      <c r="P5421" s="1604"/>
      <c r="Q5421" s="1604"/>
      <c r="R5421" s="1604"/>
      <c r="S5421" s="364"/>
      <c r="Z5421" s="609" t="s">
        <v>2105</v>
      </c>
      <c r="AA5421" s="609" t="s">
        <v>19</v>
      </c>
    </row>
    <row r="5422" spans="1:27" ht="18">
      <c r="A5422" s="2714"/>
      <c r="B5422" s="371">
        <v>123</v>
      </c>
      <c r="C5422" s="371" t="s">
        <v>2791</v>
      </c>
      <c r="D5422" s="2716">
        <f t="shared" si="583"/>
        <v>1</v>
      </c>
      <c r="E5422" s="2721">
        <v>1</v>
      </c>
      <c r="F5422" s="293"/>
      <c r="G5422" s="1591" t="str">
        <f>G5420&amp;"（欧元）"</f>
        <v>应付债券（欧元）</v>
      </c>
      <c r="H5422" s="309"/>
      <c r="I5422" s="422"/>
      <c r="J5422" s="388"/>
      <c r="K5422" s="1604"/>
      <c r="L5422" s="1604"/>
      <c r="M5422" s="1604"/>
      <c r="N5422" s="1604"/>
      <c r="O5422" s="1604"/>
      <c r="P5422" s="1604"/>
      <c r="Q5422" s="1604"/>
      <c r="R5422" s="1604"/>
      <c r="S5422" s="364"/>
      <c r="Z5422" s="609" t="s">
        <v>2105</v>
      </c>
      <c r="AA5422" s="609" t="s">
        <v>19</v>
      </c>
    </row>
    <row r="5423" spans="1:27" ht="18">
      <c r="A5423" s="2714"/>
      <c r="B5423" s="371">
        <v>124</v>
      </c>
      <c r="C5423" s="371" t="s">
        <v>2791</v>
      </c>
      <c r="D5423" s="2716">
        <f t="shared" si="583"/>
        <v>1</v>
      </c>
      <c r="E5423" s="2721">
        <v>1</v>
      </c>
      <c r="F5423" s="293"/>
      <c r="G5423" s="1591" t="str">
        <f>G5420&amp;"（港币）"</f>
        <v>应付债券（港币）</v>
      </c>
      <c r="H5423" s="309"/>
      <c r="I5423" s="422"/>
      <c r="J5423" s="388"/>
      <c r="K5423" s="1604"/>
      <c r="L5423" s="1604"/>
      <c r="M5423" s="1604"/>
      <c r="N5423" s="1604"/>
      <c r="O5423" s="1604"/>
      <c r="P5423" s="1604"/>
      <c r="Q5423" s="1604"/>
      <c r="R5423" s="1604"/>
      <c r="S5423" s="364"/>
      <c r="Z5423" s="609" t="s">
        <v>2105</v>
      </c>
      <c r="AA5423" s="609" t="s">
        <v>19</v>
      </c>
    </row>
    <row r="5424" spans="1:27" ht="18">
      <c r="A5424" s="2714"/>
      <c r="B5424" s="371">
        <v>125</v>
      </c>
      <c r="C5424" s="371" t="s">
        <v>2791</v>
      </c>
      <c r="D5424" s="2716">
        <f t="shared" si="583"/>
        <v>0</v>
      </c>
      <c r="E5424" s="2721">
        <v>1</v>
      </c>
      <c r="F5424" s="293"/>
      <c r="G5424" s="1504" t="s">
        <v>2792</v>
      </c>
      <c r="H5424" s="309"/>
      <c r="I5424" s="422"/>
      <c r="J5424" s="388"/>
      <c r="K5424" s="1604"/>
      <c r="L5424" s="1604"/>
      <c r="M5424" s="1604"/>
      <c r="N5424" s="1604"/>
      <c r="O5424" s="1604"/>
      <c r="P5424" s="1604"/>
      <c r="Q5424" s="1604"/>
      <c r="R5424" s="1604"/>
      <c r="S5424" s="364"/>
      <c r="Z5424" s="609" t="s">
        <v>2105</v>
      </c>
      <c r="AA5424" s="609" t="s">
        <v>19</v>
      </c>
    </row>
    <row r="5425" spans="1:27" ht="18">
      <c r="A5425" s="2714"/>
      <c r="B5425" s="371">
        <v>126</v>
      </c>
      <c r="C5425" s="371" t="s">
        <v>2791</v>
      </c>
      <c r="D5425" s="2716">
        <f t="shared" si="583"/>
        <v>0</v>
      </c>
      <c r="E5425" s="2721">
        <v>1</v>
      </c>
      <c r="F5425" s="293"/>
      <c r="G5425" s="1591" t="s">
        <v>2792</v>
      </c>
      <c r="H5425" s="309"/>
      <c r="I5425" s="422"/>
      <c r="J5425" s="388"/>
      <c r="K5425" s="1604"/>
      <c r="L5425" s="1604"/>
      <c r="M5425" s="1604"/>
      <c r="N5425" s="1604"/>
      <c r="O5425" s="1604"/>
      <c r="P5425" s="1604"/>
      <c r="Q5425" s="1604"/>
      <c r="R5425" s="1604"/>
      <c r="S5425" s="364"/>
      <c r="Z5425" s="609" t="s">
        <v>2105</v>
      </c>
      <c r="AA5425" s="609" t="s">
        <v>19</v>
      </c>
    </row>
    <row r="5426" spans="1:27" ht="18">
      <c r="A5426" s="2714"/>
      <c r="B5426" s="371">
        <v>127</v>
      </c>
      <c r="C5426" s="371" t="s">
        <v>6532</v>
      </c>
      <c r="D5426" s="2716">
        <f t="shared" si="583"/>
        <v>0</v>
      </c>
      <c r="E5426" s="2721">
        <v>1</v>
      </c>
      <c r="F5426" s="293"/>
      <c r="G5426" s="1591" t="s">
        <v>5146</v>
      </c>
      <c r="H5426" s="309"/>
      <c r="I5426" s="422"/>
      <c r="J5426" s="388"/>
      <c r="K5426" s="1604"/>
      <c r="L5426" s="1604"/>
      <c r="M5426" s="1604"/>
      <c r="N5426" s="1604"/>
      <c r="O5426" s="1604"/>
      <c r="P5426" s="1604"/>
      <c r="Q5426" s="1604"/>
      <c r="R5426" s="1604"/>
      <c r="S5426" s="364"/>
      <c r="Z5426" s="609" t="s">
        <v>2105</v>
      </c>
      <c r="AA5426" s="609" t="s">
        <v>19</v>
      </c>
    </row>
    <row r="5427" spans="1:27" ht="18.75" thickBot="1">
      <c r="A5427" s="2714"/>
      <c r="B5427" s="371"/>
      <c r="C5427" s="371"/>
      <c r="D5427" s="2716">
        <f t="shared" si="583"/>
        <v>1</v>
      </c>
      <c r="E5427" s="2721" t="s">
        <v>2751</v>
      </c>
      <c r="F5427" s="293"/>
      <c r="G5427" s="2234" t="s">
        <v>2752</v>
      </c>
      <c r="H5427" s="2430"/>
      <c r="I5427" s="2235">
        <f>SUMPRODUCT($E5399:$E5426,I5399:I5426)</f>
        <v>0</v>
      </c>
      <c r="J5427" s="2488"/>
      <c r="K5427" s="1604"/>
      <c r="L5427" s="1604"/>
      <c r="M5427" s="1604"/>
      <c r="N5427" s="1604"/>
      <c r="O5427" s="1604"/>
      <c r="P5427" s="1604"/>
      <c r="Q5427" s="1604"/>
      <c r="R5427" s="1604"/>
      <c r="S5427" s="364"/>
      <c r="Z5427" s="609" t="s">
        <v>2105</v>
      </c>
      <c r="AA5427" s="609" t="s">
        <v>19</v>
      </c>
    </row>
    <row r="5428" spans="1:27" ht="18">
      <c r="A5428" s="2714"/>
      <c r="B5428" s="371"/>
      <c r="C5428" s="371" t="s">
        <v>2755</v>
      </c>
      <c r="D5428" s="2716"/>
      <c r="F5428" s="293"/>
      <c r="G5428" s="376"/>
      <c r="H5428" s="315"/>
      <c r="I5428" s="396"/>
      <c r="J5428" s="427"/>
      <c r="K5428" s="1604"/>
      <c r="L5428" s="1604"/>
      <c r="M5428" s="1604"/>
      <c r="N5428" s="1604"/>
      <c r="O5428" s="1604"/>
      <c r="P5428" s="1604"/>
      <c r="Q5428" s="1604"/>
      <c r="R5428" s="1604"/>
      <c r="S5428" s="364"/>
      <c r="Z5428" s="609" t="s">
        <v>2105</v>
      </c>
      <c r="AA5428" s="609" t="s">
        <v>19</v>
      </c>
    </row>
    <row r="5429" spans="1:27" ht="24">
      <c r="A5429" s="2714" t="s">
        <v>2125</v>
      </c>
      <c r="B5429" s="371">
        <v>5</v>
      </c>
      <c r="C5429" s="371"/>
      <c r="D5429" s="2716" t="str">
        <f>VLOOKUP($A5429,Sheet_NoteList,2,0)</f>
        <v>上期末各外币资产负债项目的主要外汇风险敞口</v>
      </c>
      <c r="E5429" s="2716" t="s">
        <v>2742</v>
      </c>
      <c r="F5429" s="293"/>
      <c r="G5429" s="372" t="str">
        <f>"("&amp;B5429&amp;")"&amp;D5429</f>
        <v>(5)上期末各外币资产负债项目的主要外汇风险敞口</v>
      </c>
      <c r="H5429" s="1517" t="str">
        <f>$A5429</f>
        <v>9325m</v>
      </c>
      <c r="I5429" s="343" t="s">
        <v>2743</v>
      </c>
      <c r="J5429" s="301" t="s">
        <v>2744</v>
      </c>
      <c r="K5429" s="2210">
        <f>H5461</f>
        <v>0</v>
      </c>
      <c r="L5429" s="349"/>
      <c r="M5429" s="301" t="s">
        <v>2745</v>
      </c>
      <c r="N5429" s="2210">
        <f>I5461</f>
        <v>0</v>
      </c>
      <c r="O5429" s="349"/>
      <c r="P5429" s="301"/>
      <c r="S5429" s="364"/>
      <c r="Z5429" s="609" t="s">
        <v>2105</v>
      </c>
      <c r="AA5429" s="609" t="s">
        <v>19</v>
      </c>
    </row>
    <row r="5430" spans="1:27" ht="0.75" customHeight="1">
      <c r="A5430" s="2714"/>
      <c r="B5430" s="371"/>
      <c r="C5430" s="371"/>
      <c r="D5430" s="2716"/>
      <c r="F5430" s="371"/>
      <c r="G5430" s="405" t="s">
        <v>4519</v>
      </c>
      <c r="H5430" s="371" t="s">
        <v>5537</v>
      </c>
      <c r="I5430" s="371" t="s">
        <v>5534</v>
      </c>
      <c r="J5430" s="612" t="s">
        <v>5535</v>
      </c>
      <c r="K5430" s="428"/>
      <c r="L5430" s="428"/>
      <c r="M5430" s="433"/>
      <c r="N5430" s="428"/>
      <c r="O5430" s="428"/>
      <c r="P5430" s="433"/>
      <c r="Q5430" s="442"/>
      <c r="R5430" s="443"/>
      <c r="S5430" s="364"/>
      <c r="Z5430" s="609" t="s">
        <v>2105</v>
      </c>
      <c r="AA5430" s="609" t="s">
        <v>19</v>
      </c>
    </row>
    <row r="5431" spans="1:27" ht="0.75" customHeight="1" thickBot="1">
      <c r="A5431" s="2714"/>
      <c r="B5431" s="371"/>
      <c r="C5431" s="371"/>
      <c r="D5431" s="2716"/>
      <c r="F5431" s="371"/>
      <c r="G5431" s="405"/>
      <c r="H5431" s="371" t="s">
        <v>5526</v>
      </c>
      <c r="I5431" s="371" t="s">
        <v>5527</v>
      </c>
      <c r="J5431" s="612" t="s">
        <v>5533</v>
      </c>
      <c r="K5431" s="428"/>
      <c r="L5431" s="428"/>
      <c r="M5431" s="433"/>
      <c r="N5431" s="428"/>
      <c r="O5431" s="428"/>
      <c r="P5431" s="433"/>
      <c r="Q5431" s="442"/>
      <c r="R5431" s="443"/>
      <c r="S5431" s="364"/>
      <c r="Z5431" s="609" t="s">
        <v>2105</v>
      </c>
      <c r="AA5431" s="609" t="s">
        <v>19</v>
      </c>
    </row>
    <row r="5432" spans="1:27" ht="18" customHeight="1">
      <c r="A5432" s="2714"/>
      <c r="B5432" s="371"/>
      <c r="C5432" s="371"/>
      <c r="D5432" s="2716"/>
      <c r="E5432" s="2716" t="s">
        <v>2749</v>
      </c>
      <c r="F5432" s="293"/>
      <c r="G5432" s="3432" t="s">
        <v>47</v>
      </c>
      <c r="H5432" s="3431" t="str">
        <f>$W$3&amp;"余额"</f>
        <v>2018年12月31日余额</v>
      </c>
      <c r="I5432" s="3527"/>
      <c r="J5432" s="3527"/>
      <c r="K5432" s="355" t="s">
        <v>5348</v>
      </c>
      <c r="L5432" s="1512"/>
      <c r="M5432" s="1512"/>
      <c r="N5432" s="428"/>
      <c r="O5432" s="428"/>
      <c r="P5432" s="433"/>
      <c r="Q5432" s="442"/>
      <c r="R5432" s="443"/>
      <c r="S5432" s="364"/>
      <c r="Z5432" s="609" t="s">
        <v>2105</v>
      </c>
      <c r="AA5432" s="609" t="s">
        <v>19</v>
      </c>
    </row>
    <row r="5433" spans="1:27" ht="18">
      <c r="A5433" s="2714"/>
      <c r="B5433" s="371"/>
      <c r="C5433" s="371"/>
      <c r="D5433" s="2716"/>
      <c r="E5433" s="2716" t="s">
        <v>2749</v>
      </c>
      <c r="F5433" s="293"/>
      <c r="G5433" s="3471"/>
      <c r="H5433" s="2463" t="s">
        <v>4518</v>
      </c>
      <c r="I5433" s="2463" t="s">
        <v>2459</v>
      </c>
      <c r="J5433" s="1603" t="s">
        <v>5536</v>
      </c>
      <c r="K5433" s="355" t="s">
        <v>5532</v>
      </c>
      <c r="L5433" s="434"/>
      <c r="M5433" s="1511"/>
      <c r="N5433" s="434"/>
      <c r="O5433" s="434"/>
      <c r="P5433" s="435"/>
      <c r="Q5433" s="442"/>
      <c r="R5433" s="443"/>
      <c r="S5433" s="364"/>
      <c r="Z5433" s="609" t="s">
        <v>2105</v>
      </c>
      <c r="AA5433" s="609" t="s">
        <v>19</v>
      </c>
    </row>
    <row r="5434" spans="1:27" ht="18">
      <c r="A5434" s="2714"/>
      <c r="B5434" s="371">
        <v>101</v>
      </c>
      <c r="C5434" s="371"/>
      <c r="D5434" s="2716">
        <f t="shared" ref="D5434:D5461" si="584">IF(OR(G5434="*",G5434="",G5434=0),0,COUNTIF($G$5434:$G$5461,G5434))</f>
        <v>1</v>
      </c>
      <c r="E5434" s="2721" t="s">
        <v>41</v>
      </c>
      <c r="F5434" s="293"/>
      <c r="G5434" s="308" t="s">
        <v>10</v>
      </c>
      <c r="H5434" s="309"/>
      <c r="I5434" s="422"/>
      <c r="J5434" s="388"/>
      <c r="L5434" s="438"/>
      <c r="M5434" s="438"/>
      <c r="N5434" s="439"/>
      <c r="O5434" s="437"/>
      <c r="P5434" s="438"/>
      <c r="Q5434" s="442"/>
      <c r="R5434" s="443"/>
      <c r="S5434" s="364"/>
      <c r="Z5434" s="609" t="s">
        <v>2105</v>
      </c>
      <c r="AA5434" s="609" t="s">
        <v>19</v>
      </c>
    </row>
    <row r="5435" spans="1:27" ht="18">
      <c r="A5435" s="2714"/>
      <c r="B5435" s="371">
        <v>102</v>
      </c>
      <c r="C5435" s="371" t="s">
        <v>2791</v>
      </c>
      <c r="D5435" s="2716">
        <f t="shared" si="584"/>
        <v>1</v>
      </c>
      <c r="E5435" s="2721">
        <v>1</v>
      </c>
      <c r="F5435" s="293"/>
      <c r="G5435" s="1599" t="str">
        <f>"其中："&amp;G5434&amp;"（美元）"</f>
        <v>其中：货币资金（美元）</v>
      </c>
      <c r="H5435" s="309"/>
      <c r="I5435" s="422"/>
      <c r="J5435" s="388"/>
      <c r="K5435" s="520"/>
      <c r="L5435" s="438"/>
      <c r="M5435" s="438"/>
      <c r="N5435" s="439"/>
      <c r="O5435" s="437"/>
      <c r="P5435" s="438"/>
      <c r="Q5435" s="442"/>
      <c r="R5435" s="443"/>
      <c r="S5435" s="364"/>
      <c r="Z5435" s="609" t="s">
        <v>2105</v>
      </c>
      <c r="AA5435" s="609" t="s">
        <v>19</v>
      </c>
    </row>
    <row r="5436" spans="1:27" ht="18">
      <c r="A5436" s="2714"/>
      <c r="B5436" s="371">
        <v>103</v>
      </c>
      <c r="C5436" s="371" t="s">
        <v>2791</v>
      </c>
      <c r="D5436" s="2716">
        <f t="shared" si="584"/>
        <v>1</v>
      </c>
      <c r="E5436" s="2721">
        <v>1</v>
      </c>
      <c r="F5436" s="293"/>
      <c r="G5436" s="1599" t="str">
        <f>G5434&amp;"（欧元）"</f>
        <v>货币资金（欧元）</v>
      </c>
      <c r="H5436" s="309"/>
      <c r="I5436" s="422"/>
      <c r="J5436" s="388"/>
      <c r="K5436" s="520"/>
      <c r="L5436" s="438"/>
      <c r="M5436" s="438"/>
      <c r="N5436" s="439"/>
      <c r="O5436" s="437"/>
      <c r="P5436" s="438"/>
      <c r="Q5436" s="442"/>
      <c r="R5436" s="443"/>
      <c r="S5436" s="364"/>
      <c r="Z5436" s="609" t="s">
        <v>2105</v>
      </c>
      <c r="AA5436" s="609" t="s">
        <v>19</v>
      </c>
    </row>
    <row r="5437" spans="1:27" ht="18">
      <c r="A5437" s="2714"/>
      <c r="B5437" s="371">
        <v>104</v>
      </c>
      <c r="C5437" s="371" t="s">
        <v>2791</v>
      </c>
      <c r="D5437" s="2716">
        <f t="shared" si="584"/>
        <v>1</v>
      </c>
      <c r="E5437" s="2721">
        <v>1</v>
      </c>
      <c r="F5437" s="293"/>
      <c r="G5437" s="1599" t="str">
        <f>G5434&amp;"（港币）"</f>
        <v>货币资金（港币）</v>
      </c>
      <c r="H5437" s="309"/>
      <c r="I5437" s="422"/>
      <c r="J5437" s="388"/>
      <c r="K5437" s="520"/>
      <c r="L5437" s="438"/>
      <c r="M5437" s="438"/>
      <c r="N5437" s="439"/>
      <c r="O5437" s="437"/>
      <c r="P5437" s="438"/>
      <c r="Q5437" s="442"/>
      <c r="R5437" s="443"/>
      <c r="S5437" s="364"/>
      <c r="Z5437" s="609" t="s">
        <v>2105</v>
      </c>
      <c r="AA5437" s="609" t="s">
        <v>19</v>
      </c>
    </row>
    <row r="5438" spans="1:27" ht="18">
      <c r="A5438" s="2714"/>
      <c r="B5438" s="371">
        <v>105</v>
      </c>
      <c r="C5438" s="371" t="s">
        <v>2791</v>
      </c>
      <c r="D5438" s="2716">
        <f t="shared" si="584"/>
        <v>0</v>
      </c>
      <c r="E5438" s="2721">
        <v>1</v>
      </c>
      <c r="F5438" s="293"/>
      <c r="G5438" s="1504" t="s">
        <v>2792</v>
      </c>
      <c r="H5438" s="309"/>
      <c r="I5438" s="422"/>
      <c r="J5438" s="388"/>
      <c r="K5438" s="520"/>
      <c r="L5438" s="438"/>
      <c r="M5438" s="438"/>
      <c r="N5438" s="439"/>
      <c r="O5438" s="437"/>
      <c r="P5438" s="438"/>
      <c r="Q5438" s="442"/>
      <c r="R5438" s="443"/>
      <c r="S5438" s="364"/>
      <c r="Z5438" s="609" t="s">
        <v>2105</v>
      </c>
      <c r="AA5438" s="609" t="s">
        <v>19</v>
      </c>
    </row>
    <row r="5439" spans="1:27" ht="18">
      <c r="A5439" s="2714"/>
      <c r="B5439" s="371">
        <v>106</v>
      </c>
      <c r="C5439" s="371"/>
      <c r="D5439" s="2716">
        <f t="shared" si="584"/>
        <v>1</v>
      </c>
      <c r="E5439" s="2721" t="s">
        <v>41</v>
      </c>
      <c r="F5439" s="293"/>
      <c r="G5439" s="308" t="s">
        <v>124</v>
      </c>
      <c r="H5439" s="309"/>
      <c r="I5439" s="422"/>
      <c r="J5439" s="388"/>
      <c r="K5439" s="520"/>
      <c r="L5439" s="438"/>
      <c r="M5439" s="438"/>
      <c r="N5439" s="439"/>
      <c r="O5439" s="437"/>
      <c r="P5439" s="438"/>
      <c r="Q5439" s="442"/>
      <c r="R5439" s="443"/>
      <c r="S5439" s="364"/>
      <c r="Z5439" s="609" t="s">
        <v>2105</v>
      </c>
      <c r="AA5439" s="609" t="s">
        <v>19</v>
      </c>
    </row>
    <row r="5440" spans="1:27" ht="18">
      <c r="A5440" s="2714"/>
      <c r="B5440" s="371">
        <v>107</v>
      </c>
      <c r="C5440" s="371" t="s">
        <v>2791</v>
      </c>
      <c r="D5440" s="2716">
        <f t="shared" si="584"/>
        <v>1</v>
      </c>
      <c r="E5440" s="2721">
        <v>1</v>
      </c>
      <c r="F5440" s="293"/>
      <c r="G5440" s="1599" t="str">
        <f>"其中："&amp;G5439&amp;"（美元）"</f>
        <v>其中：应收账款（美元）</v>
      </c>
      <c r="H5440" s="309"/>
      <c r="I5440" s="422"/>
      <c r="J5440" s="388"/>
      <c r="K5440" s="520"/>
      <c r="L5440" s="438"/>
      <c r="M5440" s="438"/>
      <c r="N5440" s="439"/>
      <c r="O5440" s="437"/>
      <c r="P5440" s="438"/>
      <c r="Q5440" s="442"/>
      <c r="R5440" s="443"/>
      <c r="S5440" s="364"/>
      <c r="Z5440" s="609" t="s">
        <v>2105</v>
      </c>
      <c r="AA5440" s="609" t="s">
        <v>19</v>
      </c>
    </row>
    <row r="5441" spans="1:27" ht="18">
      <c r="A5441" s="2714"/>
      <c r="B5441" s="371">
        <v>108</v>
      </c>
      <c r="C5441" s="371" t="s">
        <v>2791</v>
      </c>
      <c r="D5441" s="2716">
        <f t="shared" si="584"/>
        <v>1</v>
      </c>
      <c r="E5441" s="2721">
        <v>1</v>
      </c>
      <c r="F5441" s="293"/>
      <c r="G5441" s="1599" t="str">
        <f>G5439&amp;"（欧元）"</f>
        <v>应收账款（欧元）</v>
      </c>
      <c r="H5441" s="309"/>
      <c r="I5441" s="422"/>
      <c r="J5441" s="388"/>
      <c r="K5441" s="520"/>
      <c r="L5441" s="438"/>
      <c r="M5441" s="438"/>
      <c r="N5441" s="439"/>
      <c r="O5441" s="437"/>
      <c r="P5441" s="438"/>
      <c r="Q5441" s="442"/>
      <c r="R5441" s="443"/>
      <c r="S5441" s="364"/>
      <c r="Z5441" s="609" t="s">
        <v>2105</v>
      </c>
      <c r="AA5441" s="609" t="s">
        <v>19</v>
      </c>
    </row>
    <row r="5442" spans="1:27" ht="18">
      <c r="A5442" s="2714"/>
      <c r="B5442" s="371">
        <v>109</v>
      </c>
      <c r="C5442" s="371" t="s">
        <v>2791</v>
      </c>
      <c r="D5442" s="2716">
        <f t="shared" si="584"/>
        <v>1</v>
      </c>
      <c r="E5442" s="2721">
        <v>1</v>
      </c>
      <c r="F5442" s="293"/>
      <c r="G5442" s="1599" t="str">
        <f>G5439&amp;"（港币）"</f>
        <v>应收账款（港币）</v>
      </c>
      <c r="H5442" s="309"/>
      <c r="I5442" s="422"/>
      <c r="J5442" s="388"/>
      <c r="K5442" s="520"/>
      <c r="L5442" s="438"/>
      <c r="M5442" s="438"/>
      <c r="N5442" s="439"/>
      <c r="O5442" s="437"/>
      <c r="P5442" s="438"/>
      <c r="Q5442" s="442"/>
      <c r="R5442" s="443"/>
      <c r="S5442" s="364"/>
      <c r="Z5442" s="609" t="s">
        <v>2105</v>
      </c>
      <c r="AA5442" s="609" t="s">
        <v>19</v>
      </c>
    </row>
    <row r="5443" spans="1:27" ht="18">
      <c r="A5443" s="2714"/>
      <c r="B5443" s="371">
        <v>110</v>
      </c>
      <c r="C5443" s="371" t="s">
        <v>2791</v>
      </c>
      <c r="D5443" s="2716">
        <f t="shared" si="584"/>
        <v>0</v>
      </c>
      <c r="E5443" s="2721">
        <v>1</v>
      </c>
      <c r="F5443" s="293"/>
      <c r="G5443" s="1504" t="s">
        <v>2792</v>
      </c>
      <c r="H5443" s="309"/>
      <c r="I5443" s="422"/>
      <c r="J5443" s="388"/>
      <c r="K5443" s="520"/>
      <c r="L5443" s="438"/>
      <c r="M5443" s="438"/>
      <c r="N5443" s="439"/>
      <c r="O5443" s="437"/>
      <c r="P5443" s="438"/>
      <c r="Q5443" s="442"/>
      <c r="R5443" s="443"/>
      <c r="S5443" s="364"/>
      <c r="Z5443" s="609" t="s">
        <v>2105</v>
      </c>
      <c r="AA5443" s="609" t="s">
        <v>19</v>
      </c>
    </row>
    <row r="5444" spans="1:27" ht="18">
      <c r="A5444" s="2714"/>
      <c r="B5444" s="371">
        <v>111</v>
      </c>
      <c r="C5444" s="371"/>
      <c r="D5444" s="2716">
        <f t="shared" si="584"/>
        <v>1</v>
      </c>
      <c r="E5444" s="2721" t="s">
        <v>41</v>
      </c>
      <c r="F5444" s="293"/>
      <c r="G5444" s="308" t="s">
        <v>201</v>
      </c>
      <c r="H5444" s="309"/>
      <c r="I5444" s="422"/>
      <c r="J5444" s="388"/>
      <c r="K5444" s="520"/>
      <c r="L5444" s="438"/>
      <c r="M5444" s="438"/>
      <c r="N5444" s="439"/>
      <c r="O5444" s="437"/>
      <c r="P5444" s="438"/>
      <c r="Q5444" s="442"/>
      <c r="R5444" s="443"/>
      <c r="S5444" s="364"/>
      <c r="Z5444" s="609" t="s">
        <v>2105</v>
      </c>
      <c r="AA5444" s="609" t="s">
        <v>19</v>
      </c>
    </row>
    <row r="5445" spans="1:27" ht="18">
      <c r="A5445" s="2714"/>
      <c r="B5445" s="371">
        <v>112</v>
      </c>
      <c r="C5445" s="371" t="s">
        <v>2791</v>
      </c>
      <c r="D5445" s="2716">
        <f t="shared" si="584"/>
        <v>1</v>
      </c>
      <c r="E5445" s="2721">
        <v>1</v>
      </c>
      <c r="F5445" s="293"/>
      <c r="G5445" s="1599" t="str">
        <f>"其中："&amp;G5444&amp;"（美元）"</f>
        <v>其中：其他应收款（美元）</v>
      </c>
      <c r="H5445" s="309"/>
      <c r="I5445" s="422"/>
      <c r="J5445" s="388"/>
      <c r="K5445" s="520"/>
      <c r="L5445" s="438"/>
      <c r="M5445" s="438"/>
      <c r="N5445" s="439"/>
      <c r="O5445" s="437"/>
      <c r="P5445" s="438"/>
      <c r="Q5445" s="442"/>
      <c r="R5445" s="443"/>
      <c r="S5445" s="364"/>
      <c r="Z5445" s="609" t="s">
        <v>2105</v>
      </c>
      <c r="AA5445" s="609" t="s">
        <v>19</v>
      </c>
    </row>
    <row r="5446" spans="1:27" ht="18">
      <c r="A5446" s="2714"/>
      <c r="B5446" s="371">
        <v>113</v>
      </c>
      <c r="C5446" s="371" t="s">
        <v>2791</v>
      </c>
      <c r="D5446" s="2716">
        <f t="shared" si="584"/>
        <v>1</v>
      </c>
      <c r="E5446" s="2721">
        <v>1</v>
      </c>
      <c r="F5446" s="293"/>
      <c r="G5446" s="1599" t="str">
        <f>G5444&amp;"（欧元）"</f>
        <v>其他应收款（欧元）</v>
      </c>
      <c r="H5446" s="309"/>
      <c r="I5446" s="422"/>
      <c r="J5446" s="388"/>
      <c r="K5446" s="520"/>
      <c r="L5446" s="438"/>
      <c r="M5446" s="438"/>
      <c r="N5446" s="439"/>
      <c r="O5446" s="437"/>
      <c r="P5446" s="438"/>
      <c r="Q5446" s="442"/>
      <c r="R5446" s="443"/>
      <c r="S5446" s="364"/>
      <c r="Z5446" s="609" t="s">
        <v>2105</v>
      </c>
      <c r="AA5446" s="609" t="s">
        <v>19</v>
      </c>
    </row>
    <row r="5447" spans="1:27" ht="18">
      <c r="A5447" s="2714"/>
      <c r="B5447" s="371">
        <v>114</v>
      </c>
      <c r="C5447" s="371" t="s">
        <v>2791</v>
      </c>
      <c r="D5447" s="2716">
        <f t="shared" si="584"/>
        <v>1</v>
      </c>
      <c r="E5447" s="2721">
        <v>1</v>
      </c>
      <c r="F5447" s="293"/>
      <c r="G5447" s="1599" t="str">
        <f>G5444&amp;"（港币）"</f>
        <v>其他应收款（港币）</v>
      </c>
      <c r="H5447" s="309"/>
      <c r="I5447" s="422"/>
      <c r="J5447" s="388"/>
      <c r="K5447" s="520"/>
      <c r="L5447" s="438"/>
      <c r="M5447" s="438"/>
      <c r="N5447" s="439"/>
      <c r="O5447" s="437"/>
      <c r="P5447" s="438"/>
      <c r="Q5447" s="442"/>
      <c r="R5447" s="443"/>
      <c r="S5447" s="364"/>
      <c r="Z5447" s="609" t="s">
        <v>2105</v>
      </c>
      <c r="AA5447" s="609" t="s">
        <v>19</v>
      </c>
    </row>
    <row r="5448" spans="1:27" ht="18">
      <c r="A5448" s="2714"/>
      <c r="B5448" s="371">
        <v>115</v>
      </c>
      <c r="C5448" s="371" t="s">
        <v>2791</v>
      </c>
      <c r="D5448" s="2716">
        <f t="shared" si="584"/>
        <v>0</v>
      </c>
      <c r="E5448" s="2721">
        <v>1</v>
      </c>
      <c r="F5448" s="293"/>
      <c r="G5448" s="1504" t="s">
        <v>2792</v>
      </c>
      <c r="H5448" s="309"/>
      <c r="I5448" s="422"/>
      <c r="J5448" s="388"/>
      <c r="K5448" s="520"/>
      <c r="L5448" s="438"/>
      <c r="M5448" s="438"/>
      <c r="N5448" s="439"/>
      <c r="O5448" s="437"/>
      <c r="P5448" s="438"/>
      <c r="Q5448" s="442"/>
      <c r="R5448" s="443"/>
      <c r="S5448" s="364"/>
      <c r="Z5448" s="609" t="s">
        <v>2105</v>
      </c>
      <c r="AA5448" s="609" t="s">
        <v>19</v>
      </c>
    </row>
    <row r="5449" spans="1:27" ht="18">
      <c r="A5449" s="2714"/>
      <c r="B5449" s="371">
        <v>116</v>
      </c>
      <c r="C5449" s="371"/>
      <c r="D5449" s="2716">
        <f t="shared" si="584"/>
        <v>1</v>
      </c>
      <c r="E5449" s="2721" t="s">
        <v>41</v>
      </c>
      <c r="F5449" s="293"/>
      <c r="G5449" s="308" t="s">
        <v>546</v>
      </c>
      <c r="H5449" s="309"/>
      <c r="I5449" s="422"/>
      <c r="J5449" s="388"/>
      <c r="K5449" s="520"/>
      <c r="L5449" s="438"/>
      <c r="M5449" s="438"/>
      <c r="N5449" s="439"/>
      <c r="O5449" s="437"/>
      <c r="P5449" s="438"/>
      <c r="Q5449" s="442"/>
      <c r="R5449" s="443"/>
      <c r="S5449" s="364"/>
      <c r="Z5449" s="609" t="s">
        <v>2105</v>
      </c>
      <c r="AA5449" s="609" t="s">
        <v>19</v>
      </c>
    </row>
    <row r="5450" spans="1:27" ht="18">
      <c r="A5450" s="2714"/>
      <c r="B5450" s="371">
        <v>117</v>
      </c>
      <c r="C5450" s="371" t="s">
        <v>2791</v>
      </c>
      <c r="D5450" s="2716">
        <f t="shared" si="584"/>
        <v>1</v>
      </c>
      <c r="E5450" s="2721">
        <v>1</v>
      </c>
      <c r="F5450" s="293"/>
      <c r="G5450" s="1599" t="str">
        <f>"其中："&amp;G5449&amp;"（美元）"</f>
        <v>其中：长期借款（美元）</v>
      </c>
      <c r="H5450" s="309"/>
      <c r="I5450" s="422"/>
      <c r="J5450" s="388"/>
      <c r="K5450" s="520"/>
      <c r="L5450" s="438"/>
      <c r="M5450" s="438"/>
      <c r="N5450" s="439"/>
      <c r="O5450" s="437"/>
      <c r="P5450" s="438"/>
      <c r="Q5450" s="442"/>
      <c r="R5450" s="443"/>
      <c r="S5450" s="364"/>
      <c r="Z5450" s="609" t="s">
        <v>2105</v>
      </c>
      <c r="AA5450" s="609" t="s">
        <v>19</v>
      </c>
    </row>
    <row r="5451" spans="1:27" ht="18">
      <c r="A5451" s="2714"/>
      <c r="B5451" s="371">
        <v>118</v>
      </c>
      <c r="C5451" s="371" t="s">
        <v>2791</v>
      </c>
      <c r="D5451" s="2716">
        <f t="shared" si="584"/>
        <v>1</v>
      </c>
      <c r="E5451" s="2721">
        <v>1</v>
      </c>
      <c r="F5451" s="293"/>
      <c r="G5451" s="1599" t="str">
        <f>G5449&amp;"（欧元）"</f>
        <v>长期借款（欧元）</v>
      </c>
      <c r="H5451" s="309"/>
      <c r="I5451" s="422"/>
      <c r="J5451" s="388"/>
      <c r="K5451" s="520"/>
      <c r="L5451" s="438"/>
      <c r="M5451" s="438"/>
      <c r="N5451" s="439"/>
      <c r="O5451" s="437"/>
      <c r="P5451" s="438"/>
      <c r="Q5451" s="442"/>
      <c r="R5451" s="443"/>
      <c r="S5451" s="364"/>
      <c r="Z5451" s="609" t="s">
        <v>2105</v>
      </c>
      <c r="AA5451" s="609" t="s">
        <v>19</v>
      </c>
    </row>
    <row r="5452" spans="1:27" ht="18">
      <c r="A5452" s="2714"/>
      <c r="B5452" s="371">
        <v>119</v>
      </c>
      <c r="C5452" s="371" t="s">
        <v>2791</v>
      </c>
      <c r="D5452" s="2716">
        <f t="shared" si="584"/>
        <v>1</v>
      </c>
      <c r="E5452" s="2721">
        <v>1</v>
      </c>
      <c r="F5452" s="293"/>
      <c r="G5452" s="1599" t="str">
        <f>G5449&amp;"（港币）"</f>
        <v>长期借款（港币）</v>
      </c>
      <c r="H5452" s="309"/>
      <c r="I5452" s="422"/>
      <c r="J5452" s="388"/>
      <c r="K5452" s="520"/>
      <c r="L5452" s="438"/>
      <c r="M5452" s="438"/>
      <c r="N5452" s="439"/>
      <c r="O5452" s="437"/>
      <c r="P5452" s="438"/>
      <c r="Q5452" s="442"/>
      <c r="R5452" s="443"/>
      <c r="S5452" s="364"/>
      <c r="Z5452" s="609" t="s">
        <v>2105</v>
      </c>
      <c r="AA5452" s="609" t="s">
        <v>19</v>
      </c>
    </row>
    <row r="5453" spans="1:27" ht="18">
      <c r="A5453" s="2714"/>
      <c r="B5453" s="371">
        <v>120</v>
      </c>
      <c r="C5453" s="371" t="s">
        <v>2791</v>
      </c>
      <c r="D5453" s="2716">
        <f t="shared" si="584"/>
        <v>0</v>
      </c>
      <c r="E5453" s="2721">
        <v>1</v>
      </c>
      <c r="F5453" s="293"/>
      <c r="G5453" s="1504" t="s">
        <v>2792</v>
      </c>
      <c r="H5453" s="309"/>
      <c r="I5453" s="422"/>
      <c r="J5453" s="388"/>
      <c r="K5453" s="520"/>
      <c r="L5453" s="438"/>
      <c r="M5453" s="438"/>
      <c r="N5453" s="439"/>
      <c r="O5453" s="437"/>
      <c r="P5453" s="438"/>
      <c r="Q5453" s="442"/>
      <c r="R5453" s="443"/>
      <c r="S5453" s="364"/>
      <c r="Z5453" s="609" t="s">
        <v>2105</v>
      </c>
      <c r="AA5453" s="609" t="s">
        <v>19</v>
      </c>
    </row>
    <row r="5454" spans="1:27" ht="18">
      <c r="A5454" s="2714"/>
      <c r="B5454" s="371">
        <v>121</v>
      </c>
      <c r="C5454" s="371"/>
      <c r="D5454" s="2716">
        <f t="shared" si="584"/>
        <v>1</v>
      </c>
      <c r="E5454" s="2721" t="s">
        <v>41</v>
      </c>
      <c r="F5454" s="293"/>
      <c r="G5454" s="308" t="s">
        <v>550</v>
      </c>
      <c r="H5454" s="309"/>
      <c r="I5454" s="422"/>
      <c r="J5454" s="388"/>
      <c r="K5454" s="520"/>
      <c r="L5454" s="438"/>
      <c r="M5454" s="438"/>
      <c r="N5454" s="439"/>
      <c r="O5454" s="437"/>
      <c r="P5454" s="438"/>
      <c r="Q5454" s="442"/>
      <c r="R5454" s="443"/>
      <c r="S5454" s="364"/>
      <c r="Z5454" s="609" t="s">
        <v>2105</v>
      </c>
      <c r="AA5454" s="609" t="s">
        <v>19</v>
      </c>
    </row>
    <row r="5455" spans="1:27" ht="18">
      <c r="A5455" s="2714"/>
      <c r="B5455" s="371">
        <v>122</v>
      </c>
      <c r="C5455" s="371" t="s">
        <v>2791</v>
      </c>
      <c r="D5455" s="2716">
        <f t="shared" si="584"/>
        <v>1</v>
      </c>
      <c r="E5455" s="2721">
        <v>1</v>
      </c>
      <c r="F5455" s="293"/>
      <c r="G5455" s="1599" t="str">
        <f>"其中："&amp;G5454&amp;"（美元）"</f>
        <v>其中：应付债券（美元）</v>
      </c>
      <c r="H5455" s="309"/>
      <c r="I5455" s="422"/>
      <c r="J5455" s="388"/>
      <c r="K5455" s="520"/>
      <c r="L5455" s="438"/>
      <c r="M5455" s="438"/>
      <c r="N5455" s="439"/>
      <c r="O5455" s="437"/>
      <c r="P5455" s="438"/>
      <c r="Q5455" s="442"/>
      <c r="R5455" s="443"/>
      <c r="S5455" s="364"/>
      <c r="Z5455" s="609" t="s">
        <v>2105</v>
      </c>
      <c r="AA5455" s="609" t="s">
        <v>19</v>
      </c>
    </row>
    <row r="5456" spans="1:27" ht="18">
      <c r="A5456" s="2714"/>
      <c r="B5456" s="371">
        <v>123</v>
      </c>
      <c r="C5456" s="371" t="s">
        <v>2791</v>
      </c>
      <c r="D5456" s="2716">
        <f t="shared" si="584"/>
        <v>1</v>
      </c>
      <c r="E5456" s="2721">
        <v>1</v>
      </c>
      <c r="F5456" s="293"/>
      <c r="G5456" s="1599" t="str">
        <f>G5454&amp;"（欧元）"</f>
        <v>应付债券（欧元）</v>
      </c>
      <c r="H5456" s="309"/>
      <c r="I5456" s="422"/>
      <c r="J5456" s="388"/>
      <c r="K5456" s="520"/>
      <c r="L5456" s="438"/>
      <c r="M5456" s="438"/>
      <c r="N5456" s="439"/>
      <c r="O5456" s="437"/>
      <c r="P5456" s="438"/>
      <c r="Q5456" s="442"/>
      <c r="R5456" s="443"/>
      <c r="S5456" s="364"/>
      <c r="Z5456" s="609" t="s">
        <v>2105</v>
      </c>
      <c r="AA5456" s="609" t="s">
        <v>19</v>
      </c>
    </row>
    <row r="5457" spans="1:27" ht="18">
      <c r="A5457" s="2714"/>
      <c r="B5457" s="371">
        <v>124</v>
      </c>
      <c r="C5457" s="371" t="s">
        <v>2791</v>
      </c>
      <c r="D5457" s="2716">
        <f t="shared" si="584"/>
        <v>1</v>
      </c>
      <c r="E5457" s="2721">
        <v>1</v>
      </c>
      <c r="F5457" s="293"/>
      <c r="G5457" s="1599" t="str">
        <f>G5454&amp;"（港币）"</f>
        <v>应付债券（港币）</v>
      </c>
      <c r="H5457" s="309"/>
      <c r="I5457" s="422"/>
      <c r="J5457" s="388"/>
      <c r="K5457" s="520"/>
      <c r="L5457" s="438"/>
      <c r="M5457" s="438"/>
      <c r="N5457" s="439"/>
      <c r="O5457" s="437"/>
      <c r="P5457" s="438"/>
      <c r="Q5457" s="442"/>
      <c r="R5457" s="443"/>
      <c r="S5457" s="364"/>
      <c r="Z5457" s="609" t="s">
        <v>2105</v>
      </c>
      <c r="AA5457" s="609" t="s">
        <v>19</v>
      </c>
    </row>
    <row r="5458" spans="1:27" ht="18">
      <c r="A5458" s="2714"/>
      <c r="B5458" s="371">
        <v>125</v>
      </c>
      <c r="C5458" s="371" t="s">
        <v>2791</v>
      </c>
      <c r="D5458" s="2716">
        <f t="shared" si="584"/>
        <v>0</v>
      </c>
      <c r="E5458" s="2721">
        <v>1</v>
      </c>
      <c r="F5458" s="293"/>
      <c r="G5458" s="1504" t="s">
        <v>2792</v>
      </c>
      <c r="H5458" s="309"/>
      <c r="I5458" s="422"/>
      <c r="J5458" s="388"/>
      <c r="K5458" s="520"/>
      <c r="L5458" s="438"/>
      <c r="M5458" s="438"/>
      <c r="N5458" s="439"/>
      <c r="O5458" s="437"/>
      <c r="P5458" s="438"/>
      <c r="Q5458" s="442"/>
      <c r="R5458" s="443"/>
      <c r="S5458" s="364"/>
      <c r="Z5458" s="609" t="s">
        <v>2105</v>
      </c>
      <c r="AA5458" s="609" t="s">
        <v>19</v>
      </c>
    </row>
    <row r="5459" spans="1:27" ht="18">
      <c r="A5459" s="2714"/>
      <c r="B5459" s="371">
        <v>126</v>
      </c>
      <c r="C5459" s="371" t="s">
        <v>2791</v>
      </c>
      <c r="D5459" s="2716">
        <f t="shared" si="584"/>
        <v>0</v>
      </c>
      <c r="E5459" s="2721">
        <v>1</v>
      </c>
      <c r="F5459" s="293"/>
      <c r="G5459" s="1599" t="s">
        <v>2792</v>
      </c>
      <c r="H5459" s="309"/>
      <c r="I5459" s="422"/>
      <c r="J5459" s="388"/>
      <c r="K5459" s="520"/>
      <c r="L5459" s="438"/>
      <c r="M5459" s="438"/>
      <c r="N5459" s="439"/>
      <c r="O5459" s="437"/>
      <c r="P5459" s="438"/>
      <c r="Q5459" s="442"/>
      <c r="R5459" s="443"/>
      <c r="S5459" s="364"/>
      <c r="Z5459" s="609" t="s">
        <v>2105</v>
      </c>
      <c r="AA5459" s="609" t="s">
        <v>19</v>
      </c>
    </row>
    <row r="5460" spans="1:27" ht="18">
      <c r="A5460" s="2714"/>
      <c r="B5460" s="371">
        <v>127</v>
      </c>
      <c r="C5460" s="371" t="s">
        <v>6532</v>
      </c>
      <c r="D5460" s="2716">
        <f t="shared" si="584"/>
        <v>0</v>
      </c>
      <c r="E5460" s="2721">
        <v>1</v>
      </c>
      <c r="F5460" s="293"/>
      <c r="G5460" s="1599" t="s">
        <v>5146</v>
      </c>
      <c r="H5460" s="309"/>
      <c r="I5460" s="422"/>
      <c r="J5460" s="388"/>
      <c r="K5460" s="520"/>
      <c r="L5460" s="438"/>
      <c r="M5460" s="438"/>
      <c r="N5460" s="439"/>
      <c r="O5460" s="437"/>
      <c r="P5460" s="438"/>
      <c r="Q5460" s="442"/>
      <c r="R5460" s="443"/>
      <c r="S5460" s="364"/>
      <c r="Z5460" s="609" t="s">
        <v>2105</v>
      </c>
      <c r="AA5460" s="609" t="s">
        <v>19</v>
      </c>
    </row>
    <row r="5461" spans="1:27" ht="18.75" thickBot="1">
      <c r="A5461" s="2714"/>
      <c r="B5461" s="371"/>
      <c r="C5461" s="371"/>
      <c r="D5461" s="2716">
        <f t="shared" si="584"/>
        <v>1</v>
      </c>
      <c r="E5461" s="2721" t="s">
        <v>2751</v>
      </c>
      <c r="F5461" s="293"/>
      <c r="G5461" s="2234" t="s">
        <v>2752</v>
      </c>
      <c r="H5461" s="2430"/>
      <c r="I5461" s="2235">
        <f>SUMPRODUCT($E5433:$E5460,I5433:I5460)</f>
        <v>0</v>
      </c>
      <c r="J5461" s="2489"/>
      <c r="K5461" s="1508"/>
      <c r="L5461" s="1508"/>
      <c r="M5461" s="1508"/>
      <c r="N5461" s="439"/>
      <c r="O5461" s="437"/>
      <c r="P5461" s="440"/>
      <c r="Q5461" s="442"/>
      <c r="R5461" s="443"/>
      <c r="S5461" s="364"/>
      <c r="Z5461" s="609" t="s">
        <v>2105</v>
      </c>
      <c r="AA5461" s="609" t="s">
        <v>19</v>
      </c>
    </row>
    <row r="5462" spans="1:27" ht="18">
      <c r="A5462" s="2714"/>
      <c r="B5462" s="371"/>
      <c r="C5462" s="371" t="s">
        <v>2755</v>
      </c>
      <c r="D5462" s="2716"/>
      <c r="F5462" s="293"/>
      <c r="G5462" s="376"/>
      <c r="H5462" s="315"/>
      <c r="I5462" s="396"/>
      <c r="J5462" s="427"/>
      <c r="K5462" s="577"/>
      <c r="L5462" s="425"/>
      <c r="M5462" s="425"/>
      <c r="N5462" s="426"/>
      <c r="O5462" s="427"/>
      <c r="P5462" s="425"/>
      <c r="Q5462" s="442"/>
      <c r="R5462" s="443"/>
      <c r="S5462" s="364"/>
      <c r="Z5462" s="609" t="s">
        <v>2105</v>
      </c>
      <c r="AA5462" s="609" t="s">
        <v>19</v>
      </c>
    </row>
    <row r="5463" spans="1:27" ht="18">
      <c r="A5463" s="2714">
        <v>9331</v>
      </c>
      <c r="B5463" s="371" t="s">
        <v>6569</v>
      </c>
      <c r="C5463" s="2716" t="str">
        <f>VLOOKUP($A5463,Sheet_Items,2,0)</f>
        <v>公允价值的披露</v>
      </c>
      <c r="D5463" s="371"/>
      <c r="E5463" s="2716" t="s">
        <v>2739</v>
      </c>
      <c r="F5463" s="294"/>
      <c r="G5463" s="305" t="str">
        <f>B5463&amp;" "&amp;C5463</f>
        <v>九 公允价值的披露</v>
      </c>
      <c r="H5463" s="306"/>
      <c r="I5463" s="306"/>
      <c r="J5463" s="306"/>
      <c r="K5463" s="539"/>
      <c r="L5463" s="342"/>
      <c r="M5463" s="306"/>
      <c r="N5463" s="539"/>
      <c r="O5463" s="306"/>
      <c r="P5463" s="301"/>
      <c r="S5463" s="364"/>
      <c r="Z5463" s="609" t="s">
        <v>2129</v>
      </c>
      <c r="AA5463" s="609"/>
    </row>
    <row r="5464" spans="1:27" ht="24">
      <c r="A5464" s="2714" t="s">
        <v>2127</v>
      </c>
      <c r="B5464" s="371">
        <v>1</v>
      </c>
      <c r="C5464" s="371"/>
      <c r="D5464" s="2716" t="str">
        <f>VLOOKUP($A5464,Sheet_NoteList,2,0)</f>
        <v>以公允价值计量的资产和负债的公允价值</v>
      </c>
      <c r="E5464" s="2716" t="s">
        <v>2742</v>
      </c>
      <c r="F5464" s="294"/>
      <c r="G5464" s="372" t="str">
        <f>"("&amp;B5464&amp;")"&amp;D5464</f>
        <v>(1)以公允价值计量的资产和负债的公允价值</v>
      </c>
      <c r="H5464" s="1517" t="str">
        <f>$A5464</f>
        <v>9331a</v>
      </c>
      <c r="I5464" s="343" t="s">
        <v>2743</v>
      </c>
      <c r="J5464" s="301"/>
      <c r="K5464" s="3083"/>
      <c r="L5464" s="315"/>
      <c r="M5464" s="301"/>
      <c r="N5464" s="3083"/>
      <c r="O5464" s="315"/>
      <c r="P5464" s="301"/>
      <c r="S5464" s="364"/>
      <c r="Z5464" s="609" t="s">
        <v>2129</v>
      </c>
      <c r="AA5464" s="609"/>
    </row>
    <row r="5465" spans="1:27" ht="0.75" customHeight="1">
      <c r="A5465" s="2714"/>
      <c r="B5465" s="371"/>
      <c r="C5465" s="371"/>
      <c r="D5465" s="371"/>
      <c r="E5465" s="586"/>
      <c r="F5465" s="586"/>
      <c r="G5465" s="586" t="s">
        <v>4523</v>
      </c>
      <c r="H5465" s="371" t="s">
        <v>2833</v>
      </c>
      <c r="I5465" s="371" t="s">
        <v>4524</v>
      </c>
      <c r="J5465" s="371" t="s">
        <v>4525</v>
      </c>
      <c r="K5465" s="371" t="s">
        <v>4526</v>
      </c>
      <c r="M5465" s="291"/>
      <c r="N5465" s="291"/>
      <c r="O5465" s="291"/>
      <c r="P5465" s="291"/>
      <c r="S5465" s="364"/>
      <c r="Z5465" s="609" t="s">
        <v>2129</v>
      </c>
      <c r="AA5465" s="609"/>
    </row>
    <row r="5466" spans="1:27" ht="0.75" customHeight="1" thickBot="1">
      <c r="A5466" s="2714"/>
      <c r="B5466" s="371"/>
      <c r="C5466" s="371"/>
      <c r="D5466" s="371"/>
      <c r="E5466" s="586"/>
      <c r="F5466" s="586"/>
      <c r="G5466" s="586"/>
      <c r="H5466" s="371" t="s">
        <v>4527</v>
      </c>
      <c r="I5466" s="371" t="s">
        <v>4528</v>
      </c>
      <c r="J5466" s="371" t="s">
        <v>4529</v>
      </c>
      <c r="K5466" s="371" t="s">
        <v>4530</v>
      </c>
      <c r="M5466" s="291"/>
      <c r="N5466" s="291"/>
      <c r="O5466" s="291"/>
      <c r="P5466" s="291"/>
      <c r="S5466" s="364"/>
      <c r="Z5466" s="609" t="s">
        <v>2129</v>
      </c>
      <c r="AA5466" s="609"/>
    </row>
    <row r="5467" spans="1:27" ht="24" customHeight="1">
      <c r="A5467" s="2714"/>
      <c r="B5467" s="371"/>
      <c r="C5467" s="371"/>
      <c r="D5467" s="371"/>
      <c r="E5467" s="586" t="s">
        <v>2749</v>
      </c>
      <c r="F5467" s="414"/>
      <c r="G5467" s="3472" t="s">
        <v>47</v>
      </c>
      <c r="H5467" s="3528" t="str">
        <f>$W$2&amp;"公允价值"</f>
        <v>2019年12月31日公允价值</v>
      </c>
      <c r="I5467" s="3528"/>
      <c r="J5467" s="3528"/>
      <c r="K5467" s="3529"/>
      <c r="L5467" s="355" t="s">
        <v>5349</v>
      </c>
      <c r="M5467" s="291"/>
      <c r="N5467" s="291"/>
      <c r="O5467" s="291"/>
      <c r="P5467" s="291"/>
      <c r="S5467" s="364"/>
      <c r="Z5467" s="609" t="s">
        <v>2129</v>
      </c>
      <c r="AA5467" s="609"/>
    </row>
    <row r="5468" spans="1:27" ht="24">
      <c r="A5468" s="2714"/>
      <c r="B5468" s="371"/>
      <c r="C5468" s="371"/>
      <c r="D5468" s="371"/>
      <c r="E5468" s="586" t="s">
        <v>2749</v>
      </c>
      <c r="F5468" s="363"/>
      <c r="G5468" s="3473"/>
      <c r="H5468" s="2584" t="s">
        <v>4531</v>
      </c>
      <c r="I5468" s="2584" t="s">
        <v>4532</v>
      </c>
      <c r="J5468" s="2584" t="s">
        <v>4533</v>
      </c>
      <c r="K5468" s="2588" t="s">
        <v>3351</v>
      </c>
      <c r="M5468" s="291"/>
      <c r="N5468" s="291"/>
      <c r="O5468" s="291"/>
      <c r="P5468" s="291"/>
      <c r="S5468" s="364"/>
      <c r="Z5468" s="609" t="s">
        <v>2129</v>
      </c>
      <c r="AA5468" s="609"/>
    </row>
    <row r="5469" spans="1:27" ht="18">
      <c r="A5469" s="2714"/>
      <c r="B5469" s="371">
        <v>101</v>
      </c>
      <c r="C5469" s="371"/>
      <c r="D5469" s="2716">
        <f t="shared" ref="D5469:D5508" si="585">IF(OR(G5469="*",G5469="",G5469=0),0,COUNTIF($G$5469:$G$5508,G5469))</f>
        <v>1</v>
      </c>
      <c r="E5469" s="2721" t="s">
        <v>41</v>
      </c>
      <c r="F5469" s="294"/>
      <c r="G5469" s="632" t="s">
        <v>4534</v>
      </c>
      <c r="H5469" s="2275"/>
      <c r="I5469" s="2275"/>
      <c r="J5469" s="2275"/>
      <c r="K5469" s="2296"/>
      <c r="M5469" s="291"/>
      <c r="N5469" s="291"/>
      <c r="O5469" s="291"/>
      <c r="P5469" s="291"/>
      <c r="S5469" s="364"/>
      <c r="Z5469" s="609" t="s">
        <v>2129</v>
      </c>
      <c r="AA5469" s="609"/>
    </row>
    <row r="5470" spans="1:27" ht="18">
      <c r="A5470" s="2714"/>
      <c r="B5470" s="371">
        <v>102</v>
      </c>
      <c r="C5470" s="371"/>
      <c r="D5470" s="2716">
        <f t="shared" si="585"/>
        <v>1</v>
      </c>
      <c r="E5470" s="2721">
        <v>1</v>
      </c>
      <c r="F5470" s="294"/>
      <c r="G5470" s="1474" t="s">
        <v>4535</v>
      </c>
      <c r="H5470" s="1476">
        <f>SUM(H5471,H5476)</f>
        <v>0</v>
      </c>
      <c r="I5470" s="1476">
        <f>SUM(I5471,I5476)</f>
        <v>0</v>
      </c>
      <c r="J5470" s="1476">
        <f>SUM(J5471,J5476)</f>
        <v>0</v>
      </c>
      <c r="K5470" s="1477">
        <f>SUM(H5470:J5470)</f>
        <v>0</v>
      </c>
      <c r="M5470" s="291"/>
      <c r="N5470" s="291"/>
      <c r="O5470" s="291"/>
      <c r="P5470" s="291"/>
      <c r="S5470" s="364"/>
      <c r="Z5470" s="609" t="s">
        <v>2129</v>
      </c>
      <c r="AA5470" s="609"/>
    </row>
    <row r="5471" spans="1:27" ht="24">
      <c r="A5471" s="2714"/>
      <c r="B5471" s="371">
        <v>103</v>
      </c>
      <c r="C5471" s="371"/>
      <c r="D5471" s="2716">
        <f t="shared" si="585"/>
        <v>1</v>
      </c>
      <c r="E5471" s="2721">
        <v>1</v>
      </c>
      <c r="F5471" s="294"/>
      <c r="G5471" s="1474" t="s">
        <v>4536</v>
      </c>
      <c r="H5471" s="1476">
        <f>SUM(H5472:H5475)</f>
        <v>0</v>
      </c>
      <c r="I5471" s="1476">
        <f>SUM(I5472:I5475)</f>
        <v>0</v>
      </c>
      <c r="J5471" s="1476">
        <f>SUM(J5472:J5475)</f>
        <v>0</v>
      </c>
      <c r="K5471" s="1477">
        <f t="shared" ref="K5471:K5507" si="586">SUM(H5471:J5471)</f>
        <v>0</v>
      </c>
      <c r="M5471" s="291"/>
      <c r="N5471" s="291"/>
      <c r="O5471" s="291"/>
      <c r="P5471" s="291"/>
      <c r="S5471" s="364"/>
      <c r="Z5471" s="609" t="s">
        <v>2129</v>
      </c>
      <c r="AA5471" s="609"/>
    </row>
    <row r="5472" spans="1:27" ht="18">
      <c r="A5472" s="2714"/>
      <c r="B5472" s="371">
        <v>104</v>
      </c>
      <c r="C5472" s="371"/>
      <c r="D5472" s="2716">
        <f t="shared" si="585"/>
        <v>1</v>
      </c>
      <c r="E5472" s="2721">
        <v>1</v>
      </c>
      <c r="F5472" s="294"/>
      <c r="G5472" s="1474" t="s">
        <v>6161</v>
      </c>
      <c r="H5472" s="2275"/>
      <c r="I5472" s="2275"/>
      <c r="J5472" s="2275"/>
      <c r="K5472" s="1477">
        <f t="shared" si="586"/>
        <v>0</v>
      </c>
      <c r="M5472" s="291"/>
      <c r="N5472" s="291"/>
      <c r="O5472" s="291"/>
      <c r="P5472" s="291"/>
      <c r="S5472" s="364"/>
      <c r="Z5472" s="609" t="s">
        <v>2129</v>
      </c>
      <c r="AA5472" s="609"/>
    </row>
    <row r="5473" spans="1:27" ht="18">
      <c r="A5473" s="2714"/>
      <c r="B5473" s="371">
        <v>105</v>
      </c>
      <c r="C5473" s="371"/>
      <c r="D5473" s="2716">
        <f t="shared" si="585"/>
        <v>1</v>
      </c>
      <c r="E5473" s="2721">
        <v>1</v>
      </c>
      <c r="F5473" s="294"/>
      <c r="G5473" s="1474" t="s">
        <v>4537</v>
      </c>
      <c r="H5473" s="2275"/>
      <c r="I5473" s="2275"/>
      <c r="J5473" s="2275"/>
      <c r="K5473" s="1477">
        <f t="shared" si="586"/>
        <v>0</v>
      </c>
      <c r="M5473" s="291"/>
      <c r="N5473" s="291"/>
      <c r="O5473" s="291"/>
      <c r="P5473" s="291"/>
      <c r="S5473" s="364"/>
      <c r="Z5473" s="609" t="s">
        <v>2129</v>
      </c>
      <c r="AA5473" s="609"/>
    </row>
    <row r="5474" spans="1:27" ht="18">
      <c r="A5474" s="2714"/>
      <c r="B5474" s="371">
        <v>106</v>
      </c>
      <c r="C5474" s="371"/>
      <c r="D5474" s="2716">
        <f t="shared" si="585"/>
        <v>1</v>
      </c>
      <c r="E5474" s="2721">
        <v>1</v>
      </c>
      <c r="F5474" s="294"/>
      <c r="G5474" s="1474" t="s">
        <v>4538</v>
      </c>
      <c r="H5474" s="2275"/>
      <c r="I5474" s="2275"/>
      <c r="J5474" s="2275"/>
      <c r="K5474" s="1477">
        <f t="shared" ref="K5474" si="587">SUM(H5474:J5474)</f>
        <v>0</v>
      </c>
      <c r="M5474" s="291"/>
      <c r="N5474" s="291"/>
      <c r="O5474" s="291"/>
      <c r="P5474" s="291"/>
      <c r="S5474" s="364"/>
      <c r="Z5474" s="609" t="s">
        <v>2129</v>
      </c>
      <c r="AA5474" s="609"/>
    </row>
    <row r="5475" spans="1:27" ht="18">
      <c r="A5475" s="2714"/>
      <c r="B5475" s="371">
        <v>107</v>
      </c>
      <c r="C5475" s="371" t="s">
        <v>2791</v>
      </c>
      <c r="D5475" s="2716">
        <f t="shared" si="585"/>
        <v>0</v>
      </c>
      <c r="E5475" s="2721">
        <v>1</v>
      </c>
      <c r="F5475" s="294"/>
      <c r="G5475" s="2589" t="s">
        <v>6168</v>
      </c>
      <c r="H5475" s="2275"/>
      <c r="I5475" s="2275"/>
      <c r="J5475" s="2275"/>
      <c r="K5475" s="1477">
        <f t="shared" si="586"/>
        <v>0</v>
      </c>
      <c r="M5475" s="291"/>
      <c r="N5475" s="291"/>
      <c r="O5475" s="291"/>
      <c r="P5475" s="291"/>
      <c r="S5475" s="364"/>
      <c r="Z5475" s="609" t="s">
        <v>2129</v>
      </c>
      <c r="AA5475" s="609"/>
    </row>
    <row r="5476" spans="1:27" ht="24">
      <c r="A5476" s="2714"/>
      <c r="B5476" s="371">
        <v>108</v>
      </c>
      <c r="C5476" s="371"/>
      <c r="D5476" s="2716">
        <f t="shared" si="585"/>
        <v>1</v>
      </c>
      <c r="E5476" s="2721">
        <v>1</v>
      </c>
      <c r="F5476" s="294"/>
      <c r="G5476" s="1474" t="s">
        <v>4539</v>
      </c>
      <c r="H5476" s="1476">
        <f>SUM(H5477:H5479)</f>
        <v>0</v>
      </c>
      <c r="I5476" s="1476">
        <f>SUM(I5477:I5479)</f>
        <v>0</v>
      </c>
      <c r="J5476" s="1476">
        <f>SUM(J5477:J5479)</f>
        <v>0</v>
      </c>
      <c r="K5476" s="1477">
        <f t="shared" si="586"/>
        <v>0</v>
      </c>
      <c r="M5476" s="291"/>
      <c r="N5476" s="291"/>
      <c r="O5476" s="291"/>
      <c r="P5476" s="291"/>
      <c r="S5476" s="364"/>
      <c r="Z5476" s="609" t="s">
        <v>2129</v>
      </c>
      <c r="AA5476" s="609"/>
    </row>
    <row r="5477" spans="1:27" ht="18">
      <c r="A5477" s="2714"/>
      <c r="B5477" s="371">
        <v>109</v>
      </c>
      <c r="C5477" s="371"/>
      <c r="D5477" s="2716">
        <f t="shared" si="585"/>
        <v>1</v>
      </c>
      <c r="E5477" s="2721">
        <v>1</v>
      </c>
      <c r="F5477" s="294"/>
      <c r="G5477" s="1474" t="s">
        <v>6162</v>
      </c>
      <c r="H5477" s="2275"/>
      <c r="I5477" s="2275"/>
      <c r="J5477" s="2275"/>
      <c r="K5477" s="1477">
        <f t="shared" si="586"/>
        <v>0</v>
      </c>
      <c r="M5477" s="291"/>
      <c r="N5477" s="291"/>
      <c r="O5477" s="291"/>
      <c r="P5477" s="291"/>
      <c r="S5477" s="364"/>
      <c r="Z5477" s="609" t="s">
        <v>2129</v>
      </c>
      <c r="AA5477" s="609"/>
    </row>
    <row r="5478" spans="1:27" ht="18">
      <c r="A5478" s="2714"/>
      <c r="B5478" s="371">
        <v>110</v>
      </c>
      <c r="C5478" s="371"/>
      <c r="D5478" s="2716">
        <f t="shared" si="585"/>
        <v>1</v>
      </c>
      <c r="E5478" s="2721">
        <v>1</v>
      </c>
      <c r="F5478" s="294"/>
      <c r="G5478" s="1474" t="s">
        <v>4540</v>
      </c>
      <c r="H5478" s="2275"/>
      <c r="I5478" s="2275"/>
      <c r="J5478" s="2275"/>
      <c r="K5478" s="1477">
        <f t="shared" ref="K5478" si="588">SUM(H5478:J5478)</f>
        <v>0</v>
      </c>
      <c r="M5478" s="291"/>
      <c r="N5478" s="291"/>
      <c r="O5478" s="291"/>
      <c r="P5478" s="291"/>
      <c r="S5478" s="364"/>
      <c r="Z5478" s="609" t="s">
        <v>2129</v>
      </c>
      <c r="AA5478" s="609"/>
    </row>
    <row r="5479" spans="1:27" ht="18">
      <c r="A5479" s="2714"/>
      <c r="B5479" s="371">
        <v>111</v>
      </c>
      <c r="C5479" s="371" t="s">
        <v>2791</v>
      </c>
      <c r="D5479" s="2716">
        <f t="shared" si="585"/>
        <v>0</v>
      </c>
      <c r="E5479" s="2721">
        <v>1</v>
      </c>
      <c r="F5479" s="294"/>
      <c r="G5479" s="2589" t="s">
        <v>6168</v>
      </c>
      <c r="H5479" s="2275"/>
      <c r="I5479" s="2275"/>
      <c r="J5479" s="2275"/>
      <c r="K5479" s="1477">
        <f t="shared" si="586"/>
        <v>0</v>
      </c>
      <c r="M5479" s="291"/>
      <c r="N5479" s="291"/>
      <c r="O5479" s="291"/>
      <c r="P5479" s="291"/>
      <c r="S5479" s="364"/>
      <c r="Z5479" s="609" t="s">
        <v>2129</v>
      </c>
      <c r="AA5479" s="609"/>
    </row>
    <row r="5480" spans="1:27" ht="18">
      <c r="A5480" s="2714"/>
      <c r="B5480" s="371">
        <v>112</v>
      </c>
      <c r="C5480" s="371"/>
      <c r="D5480" s="2716">
        <f t="shared" si="585"/>
        <v>1</v>
      </c>
      <c r="E5480" s="2721">
        <v>1</v>
      </c>
      <c r="F5480" s="294"/>
      <c r="G5480" s="1474" t="s">
        <v>4541</v>
      </c>
      <c r="H5480" s="2275"/>
      <c r="I5480" s="2275"/>
      <c r="J5480" s="2275"/>
      <c r="K5480" s="1477">
        <f t="shared" si="586"/>
        <v>0</v>
      </c>
      <c r="M5480" s="291"/>
      <c r="N5480" s="291"/>
      <c r="O5480" s="291"/>
      <c r="P5480" s="291"/>
      <c r="S5480" s="364"/>
      <c r="Z5480" s="609" t="s">
        <v>2129</v>
      </c>
      <c r="AA5480" s="609"/>
    </row>
    <row r="5481" spans="1:27" ht="18">
      <c r="A5481" s="2714"/>
      <c r="B5481" s="371">
        <v>113</v>
      </c>
      <c r="C5481" s="371"/>
      <c r="D5481" s="2716">
        <f t="shared" si="585"/>
        <v>1</v>
      </c>
      <c r="E5481" s="2721">
        <v>1</v>
      </c>
      <c r="F5481" s="294"/>
      <c r="G5481" s="1474" t="s">
        <v>4542</v>
      </c>
      <c r="H5481" s="2275"/>
      <c r="I5481" s="2275"/>
      <c r="J5481" s="2275"/>
      <c r="K5481" s="1477">
        <f t="shared" si="586"/>
        <v>0</v>
      </c>
      <c r="M5481" s="291"/>
      <c r="N5481" s="291"/>
      <c r="O5481" s="291"/>
      <c r="P5481" s="291"/>
      <c r="S5481" s="364"/>
      <c r="Z5481" s="609" t="s">
        <v>2129</v>
      </c>
      <c r="AA5481" s="609"/>
    </row>
    <row r="5482" spans="1:27" ht="18">
      <c r="A5482" s="2714"/>
      <c r="B5482" s="371">
        <v>114</v>
      </c>
      <c r="C5482" s="371"/>
      <c r="D5482" s="2716">
        <f t="shared" si="585"/>
        <v>1</v>
      </c>
      <c r="E5482" s="2721">
        <v>1</v>
      </c>
      <c r="F5482" s="294"/>
      <c r="G5482" s="1474" t="s">
        <v>4543</v>
      </c>
      <c r="H5482" s="2275"/>
      <c r="I5482" s="2275"/>
      <c r="J5482" s="2275"/>
      <c r="K5482" s="1477">
        <f t="shared" si="586"/>
        <v>0</v>
      </c>
      <c r="M5482" s="291"/>
      <c r="N5482" s="291"/>
      <c r="O5482" s="291"/>
      <c r="P5482" s="291"/>
      <c r="S5482" s="364"/>
      <c r="Z5482" s="609" t="s">
        <v>2129</v>
      </c>
      <c r="AA5482" s="609"/>
    </row>
    <row r="5483" spans="1:27" ht="18">
      <c r="A5483" s="2714"/>
      <c r="B5483" s="371">
        <v>115</v>
      </c>
      <c r="C5483" s="371"/>
      <c r="D5483" s="2716">
        <f t="shared" si="585"/>
        <v>1</v>
      </c>
      <c r="E5483" s="2721">
        <v>1</v>
      </c>
      <c r="F5483" s="294"/>
      <c r="G5483" s="1474" t="s">
        <v>4544</v>
      </c>
      <c r="H5483" s="1476">
        <f>SUM(H5484:H5487)</f>
        <v>0</v>
      </c>
      <c r="I5483" s="1476">
        <f t="shared" ref="I5483:J5483" si="589">SUM(I5484:I5487)</f>
        <v>0</v>
      </c>
      <c r="J5483" s="1476">
        <f t="shared" si="589"/>
        <v>0</v>
      </c>
      <c r="K5483" s="1477">
        <f t="shared" si="586"/>
        <v>0</v>
      </c>
      <c r="M5483" s="291"/>
      <c r="N5483" s="291"/>
      <c r="O5483" s="291"/>
      <c r="P5483" s="291"/>
      <c r="S5483" s="364"/>
      <c r="Z5483" s="609" t="s">
        <v>2129</v>
      </c>
      <c r="AA5483" s="609"/>
    </row>
    <row r="5484" spans="1:27" ht="18">
      <c r="A5484" s="2714"/>
      <c r="B5484" s="371">
        <v>116</v>
      </c>
      <c r="C5484" s="371"/>
      <c r="D5484" s="2716">
        <f t="shared" si="585"/>
        <v>1</v>
      </c>
      <c r="E5484" s="2721">
        <v>1</v>
      </c>
      <c r="F5484" s="294"/>
      <c r="G5484" s="1474" t="s">
        <v>4545</v>
      </c>
      <c r="H5484" s="2275"/>
      <c r="I5484" s="2275"/>
      <c r="J5484" s="2275"/>
      <c r="K5484" s="1477">
        <f t="shared" si="586"/>
        <v>0</v>
      </c>
      <c r="M5484" s="291"/>
      <c r="N5484" s="291"/>
      <c r="O5484" s="291"/>
      <c r="P5484" s="291"/>
      <c r="S5484" s="364"/>
      <c r="Z5484" s="609" t="s">
        <v>2129</v>
      </c>
      <c r="AA5484" s="609"/>
    </row>
    <row r="5485" spans="1:27" ht="18">
      <c r="A5485" s="2714"/>
      <c r="B5485" s="371">
        <v>117</v>
      </c>
      <c r="C5485" s="371"/>
      <c r="D5485" s="2716">
        <f t="shared" si="585"/>
        <v>1</v>
      </c>
      <c r="E5485" s="2721">
        <v>1</v>
      </c>
      <c r="F5485" s="294"/>
      <c r="G5485" s="1474" t="s">
        <v>4546</v>
      </c>
      <c r="H5485" s="2275"/>
      <c r="I5485" s="2275"/>
      <c r="J5485" s="2275"/>
      <c r="K5485" s="1477">
        <f t="shared" si="586"/>
        <v>0</v>
      </c>
      <c r="M5485" s="291"/>
      <c r="N5485" s="291"/>
      <c r="O5485" s="291"/>
      <c r="P5485" s="291"/>
      <c r="S5485" s="364"/>
      <c r="Z5485" s="609" t="s">
        <v>2129</v>
      </c>
      <c r="AA5485" s="609"/>
    </row>
    <row r="5486" spans="1:27" ht="24">
      <c r="A5486" s="2714"/>
      <c r="B5486" s="371">
        <v>118</v>
      </c>
      <c r="C5486" s="371"/>
      <c r="D5486" s="2716">
        <f t="shared" si="585"/>
        <v>1</v>
      </c>
      <c r="E5486" s="2721">
        <v>1</v>
      </c>
      <c r="F5486" s="294"/>
      <c r="G5486" s="1474" t="s">
        <v>4547</v>
      </c>
      <c r="H5486" s="2275"/>
      <c r="I5486" s="2275"/>
      <c r="J5486" s="2275"/>
      <c r="K5486" s="1477">
        <f t="shared" ref="K5486" si="590">SUM(H5486:J5486)</f>
        <v>0</v>
      </c>
      <c r="M5486" s="291"/>
      <c r="N5486" s="291"/>
      <c r="O5486" s="291"/>
      <c r="P5486" s="291"/>
      <c r="S5486" s="364"/>
      <c r="Z5486" s="609" t="s">
        <v>2129</v>
      </c>
      <c r="AA5486" s="609"/>
    </row>
    <row r="5487" spans="1:27" ht="18">
      <c r="A5487" s="2714"/>
      <c r="B5487" s="371">
        <v>119</v>
      </c>
      <c r="C5487" s="371" t="s">
        <v>2791</v>
      </c>
      <c r="D5487" s="2716">
        <f t="shared" si="585"/>
        <v>0</v>
      </c>
      <c r="E5487" s="2721">
        <v>1</v>
      </c>
      <c r="F5487" s="294"/>
      <c r="G5487" s="2589" t="s">
        <v>6168</v>
      </c>
      <c r="H5487" s="2275"/>
      <c r="I5487" s="2275"/>
      <c r="J5487" s="2275"/>
      <c r="K5487" s="1477">
        <f t="shared" si="586"/>
        <v>0</v>
      </c>
      <c r="M5487" s="291"/>
      <c r="N5487" s="291"/>
      <c r="O5487" s="291"/>
      <c r="P5487" s="291"/>
      <c r="S5487" s="364"/>
      <c r="Z5487" s="609" t="s">
        <v>2129</v>
      </c>
      <c r="AA5487" s="609"/>
    </row>
    <row r="5488" spans="1:27" ht="18">
      <c r="A5488" s="2714"/>
      <c r="B5488" s="371">
        <v>120</v>
      </c>
      <c r="C5488" s="371"/>
      <c r="D5488" s="2716">
        <f t="shared" si="585"/>
        <v>1</v>
      </c>
      <c r="E5488" s="2721">
        <v>1</v>
      </c>
      <c r="F5488" s="294"/>
      <c r="G5488" s="1474" t="s">
        <v>4548</v>
      </c>
      <c r="H5488" s="1476">
        <f>SUM(H5489:H5490)</f>
        <v>0</v>
      </c>
      <c r="I5488" s="1476">
        <f t="shared" ref="I5488:J5488" si="591">SUM(I5489:I5490)</f>
        <v>0</v>
      </c>
      <c r="J5488" s="1476">
        <f t="shared" si="591"/>
        <v>0</v>
      </c>
      <c r="K5488" s="1477">
        <f t="shared" si="586"/>
        <v>0</v>
      </c>
      <c r="M5488" s="291"/>
      <c r="N5488" s="291"/>
      <c r="O5488" s="291"/>
      <c r="P5488" s="291"/>
      <c r="S5488" s="364"/>
      <c r="Z5488" s="609" t="s">
        <v>2129</v>
      </c>
      <c r="AA5488" s="609"/>
    </row>
    <row r="5489" spans="1:27" ht="18">
      <c r="A5489" s="2714"/>
      <c r="B5489" s="371">
        <v>121</v>
      </c>
      <c r="C5489" s="371"/>
      <c r="D5489" s="2716">
        <f t="shared" si="585"/>
        <v>1</v>
      </c>
      <c r="E5489" s="2721">
        <v>1</v>
      </c>
      <c r="F5489" s="294"/>
      <c r="G5489" s="1474" t="s">
        <v>4549</v>
      </c>
      <c r="H5489" s="2275"/>
      <c r="I5489" s="2275"/>
      <c r="J5489" s="2275"/>
      <c r="K5489" s="1477">
        <f t="shared" si="586"/>
        <v>0</v>
      </c>
      <c r="M5489" s="291"/>
      <c r="N5489" s="291"/>
      <c r="O5489" s="291"/>
      <c r="P5489" s="291"/>
      <c r="S5489" s="364"/>
      <c r="Z5489" s="609" t="s">
        <v>2129</v>
      </c>
      <c r="AA5489" s="609"/>
    </row>
    <row r="5490" spans="1:27" ht="18">
      <c r="A5490" s="2714"/>
      <c r="B5490" s="371">
        <v>122</v>
      </c>
      <c r="C5490" s="371"/>
      <c r="D5490" s="2716">
        <f t="shared" si="585"/>
        <v>1</v>
      </c>
      <c r="E5490" s="2721">
        <v>1</v>
      </c>
      <c r="F5490" s="294"/>
      <c r="G5490" s="1474" t="s">
        <v>4550</v>
      </c>
      <c r="H5490" s="2275"/>
      <c r="I5490" s="2275"/>
      <c r="J5490" s="2275"/>
      <c r="K5490" s="1477">
        <f t="shared" si="586"/>
        <v>0</v>
      </c>
      <c r="M5490" s="291"/>
      <c r="N5490" s="291"/>
      <c r="O5490" s="291"/>
      <c r="P5490" s="291"/>
      <c r="S5490" s="364"/>
      <c r="Z5490" s="609" t="s">
        <v>2129</v>
      </c>
      <c r="AA5490" s="609"/>
    </row>
    <row r="5491" spans="1:27" ht="18">
      <c r="A5491" s="2714"/>
      <c r="B5491" s="371">
        <v>123</v>
      </c>
      <c r="C5491" s="371" t="s">
        <v>2791</v>
      </c>
      <c r="D5491" s="2716">
        <f t="shared" si="585"/>
        <v>0</v>
      </c>
      <c r="E5491" s="2721">
        <v>1</v>
      </c>
      <c r="F5491" s="294"/>
      <c r="G5491" s="2589" t="s">
        <v>2792</v>
      </c>
      <c r="H5491" s="2275"/>
      <c r="I5491" s="2275"/>
      <c r="J5491" s="2275"/>
      <c r="K5491" s="1477">
        <f t="shared" si="586"/>
        <v>0</v>
      </c>
      <c r="M5491" s="291"/>
      <c r="N5491" s="291"/>
      <c r="O5491" s="291"/>
      <c r="P5491" s="291"/>
      <c r="S5491" s="364"/>
      <c r="Z5491" s="609" t="s">
        <v>2129</v>
      </c>
      <c r="AA5491" s="609"/>
    </row>
    <row r="5492" spans="1:27" ht="24">
      <c r="A5492" s="2714"/>
      <c r="B5492" s="371">
        <v>124</v>
      </c>
      <c r="C5492" s="371"/>
      <c r="D5492" s="2716">
        <f t="shared" si="585"/>
        <v>1</v>
      </c>
      <c r="E5492" s="2721">
        <v>1</v>
      </c>
      <c r="F5492" s="294"/>
      <c r="G5492" s="1474" t="s">
        <v>4551</v>
      </c>
      <c r="H5492" s="1476">
        <f>SUM(H5488,H5483,H5470,H5480,H5481,H5482)</f>
        <v>0</v>
      </c>
      <c r="I5492" s="1476">
        <f t="shared" ref="I5492:J5492" si="592">SUM(I5488,I5483,I5470,I5480,I5481,I5482)</f>
        <v>0</v>
      </c>
      <c r="J5492" s="1476">
        <f t="shared" si="592"/>
        <v>0</v>
      </c>
      <c r="K5492" s="1477">
        <f t="shared" si="586"/>
        <v>0</v>
      </c>
      <c r="M5492" s="291"/>
      <c r="N5492" s="291"/>
      <c r="O5492" s="291"/>
      <c r="P5492" s="291"/>
      <c r="S5492" s="364"/>
      <c r="Z5492" s="609" t="s">
        <v>2129</v>
      </c>
      <c r="AA5492" s="609"/>
    </row>
    <row r="5493" spans="1:27" ht="18">
      <c r="A5493" s="2714"/>
      <c r="B5493" s="371">
        <v>125</v>
      </c>
      <c r="C5493" s="371"/>
      <c r="D5493" s="2716">
        <f t="shared" si="585"/>
        <v>1</v>
      </c>
      <c r="E5493" s="2721">
        <v>1</v>
      </c>
      <c r="F5493" s="294"/>
      <c r="G5493" s="1474" t="s">
        <v>4552</v>
      </c>
      <c r="H5493" s="1476">
        <f>SUM(H5494:H5497)</f>
        <v>0</v>
      </c>
      <c r="I5493" s="1476">
        <f t="shared" ref="I5493:J5493" si="593">SUM(I5494:I5497)</f>
        <v>0</v>
      </c>
      <c r="J5493" s="1476">
        <f t="shared" si="593"/>
        <v>0</v>
      </c>
      <c r="K5493" s="1477">
        <f t="shared" si="586"/>
        <v>0</v>
      </c>
      <c r="M5493" s="291"/>
      <c r="N5493" s="291"/>
      <c r="O5493" s="291"/>
      <c r="P5493" s="291"/>
      <c r="S5493" s="364"/>
      <c r="Z5493" s="609" t="s">
        <v>2129</v>
      </c>
      <c r="AA5493" s="609"/>
    </row>
    <row r="5494" spans="1:27" ht="18">
      <c r="A5494" s="2714"/>
      <c r="B5494" s="371">
        <v>126</v>
      </c>
      <c r="C5494" s="371"/>
      <c r="D5494" s="2716">
        <f t="shared" si="585"/>
        <v>1</v>
      </c>
      <c r="E5494" s="2721">
        <v>1</v>
      </c>
      <c r="F5494" s="294"/>
      <c r="G5494" s="1474" t="s">
        <v>4553</v>
      </c>
      <c r="H5494" s="2275"/>
      <c r="I5494" s="2275"/>
      <c r="J5494" s="2275"/>
      <c r="K5494" s="1477">
        <f t="shared" si="586"/>
        <v>0</v>
      </c>
      <c r="M5494" s="291"/>
      <c r="N5494" s="291"/>
      <c r="O5494" s="291"/>
      <c r="P5494" s="291"/>
      <c r="S5494" s="364"/>
      <c r="Z5494" s="609" t="s">
        <v>2129</v>
      </c>
      <c r="AA5494" s="609"/>
    </row>
    <row r="5495" spans="1:27" ht="18">
      <c r="A5495" s="2714"/>
      <c r="B5495" s="371">
        <v>127</v>
      </c>
      <c r="C5495" s="371"/>
      <c r="D5495" s="2716">
        <f t="shared" si="585"/>
        <v>1</v>
      </c>
      <c r="E5495" s="2721">
        <v>1</v>
      </c>
      <c r="F5495" s="294"/>
      <c r="G5495" s="1474" t="s">
        <v>4554</v>
      </c>
      <c r="H5495" s="2275"/>
      <c r="I5495" s="2275"/>
      <c r="J5495" s="2275"/>
      <c r="K5495" s="1477">
        <f t="shared" si="586"/>
        <v>0</v>
      </c>
      <c r="M5495" s="291"/>
      <c r="N5495" s="291"/>
      <c r="O5495" s="291"/>
      <c r="P5495" s="291"/>
      <c r="S5495" s="364"/>
      <c r="Z5495" s="609" t="s">
        <v>2129</v>
      </c>
      <c r="AA5495" s="609"/>
    </row>
    <row r="5496" spans="1:27" ht="18">
      <c r="A5496" s="2714"/>
      <c r="B5496" s="371">
        <v>128</v>
      </c>
      <c r="C5496" s="371"/>
      <c r="D5496" s="2716">
        <f t="shared" si="585"/>
        <v>1</v>
      </c>
      <c r="E5496" s="2721">
        <v>1</v>
      </c>
      <c r="F5496" s="294"/>
      <c r="G5496" s="1474" t="s">
        <v>4555</v>
      </c>
      <c r="H5496" s="2275"/>
      <c r="I5496" s="2275"/>
      <c r="J5496" s="2275"/>
      <c r="K5496" s="1477">
        <f t="shared" ref="K5496" si="594">SUM(H5496:J5496)</f>
        <v>0</v>
      </c>
      <c r="M5496" s="291"/>
      <c r="N5496" s="291"/>
      <c r="O5496" s="291"/>
      <c r="P5496" s="291"/>
      <c r="S5496" s="364"/>
      <c r="Z5496" s="609" t="s">
        <v>2129</v>
      </c>
      <c r="AA5496" s="609"/>
    </row>
    <row r="5497" spans="1:27" ht="18">
      <c r="A5497" s="2714"/>
      <c r="B5497" s="371">
        <v>129</v>
      </c>
      <c r="C5497" s="371" t="s">
        <v>2791</v>
      </c>
      <c r="D5497" s="2716">
        <f t="shared" si="585"/>
        <v>0</v>
      </c>
      <c r="E5497" s="2721">
        <v>1</v>
      </c>
      <c r="F5497" s="294"/>
      <c r="G5497" s="2589" t="s">
        <v>2792</v>
      </c>
      <c r="H5497" s="2275"/>
      <c r="I5497" s="2275"/>
      <c r="J5497" s="2275"/>
      <c r="K5497" s="1477">
        <f t="shared" si="586"/>
        <v>0</v>
      </c>
      <c r="M5497" s="291"/>
      <c r="N5497" s="291"/>
      <c r="O5497" s="291"/>
      <c r="P5497" s="291"/>
      <c r="S5497" s="364"/>
      <c r="Z5497" s="609" t="s">
        <v>2129</v>
      </c>
      <c r="AA5497" s="609"/>
    </row>
    <row r="5498" spans="1:27" ht="36">
      <c r="A5498" s="2714"/>
      <c r="B5498" s="371">
        <v>130</v>
      </c>
      <c r="C5498" s="371"/>
      <c r="D5498" s="2716">
        <f t="shared" si="585"/>
        <v>1</v>
      </c>
      <c r="E5498" s="2721">
        <v>1</v>
      </c>
      <c r="F5498" s="294"/>
      <c r="G5498" s="1474" t="s">
        <v>4556</v>
      </c>
      <c r="H5498" s="2275"/>
      <c r="I5498" s="2275"/>
      <c r="J5498" s="2275"/>
      <c r="K5498" s="1477">
        <f t="shared" si="586"/>
        <v>0</v>
      </c>
      <c r="M5498" s="291"/>
      <c r="N5498" s="291"/>
      <c r="O5498" s="291"/>
      <c r="P5498" s="291"/>
      <c r="S5498" s="364"/>
      <c r="Z5498" s="609" t="s">
        <v>2129</v>
      </c>
      <c r="AA5498" s="609"/>
    </row>
    <row r="5499" spans="1:27" ht="18">
      <c r="A5499" s="2714"/>
      <c r="B5499" s="371">
        <v>131</v>
      </c>
      <c r="C5499" s="371" t="s">
        <v>2791</v>
      </c>
      <c r="D5499" s="2716">
        <f t="shared" si="585"/>
        <v>0</v>
      </c>
      <c r="E5499" s="2721">
        <v>1</v>
      </c>
      <c r="F5499" s="294"/>
      <c r="G5499" s="2589" t="s">
        <v>2792</v>
      </c>
      <c r="H5499" s="2275"/>
      <c r="I5499" s="2275"/>
      <c r="J5499" s="2275"/>
      <c r="K5499" s="1477">
        <f t="shared" si="586"/>
        <v>0</v>
      </c>
      <c r="M5499" s="291"/>
      <c r="N5499" s="291"/>
      <c r="O5499" s="291"/>
      <c r="P5499" s="291"/>
      <c r="S5499" s="364"/>
      <c r="Z5499" s="609" t="s">
        <v>2129</v>
      </c>
      <c r="AA5499" s="609"/>
    </row>
    <row r="5500" spans="1:27" ht="24">
      <c r="A5500" s="2714"/>
      <c r="B5500" s="371">
        <v>132</v>
      </c>
      <c r="C5500" s="371"/>
      <c r="D5500" s="2716">
        <f t="shared" si="585"/>
        <v>1</v>
      </c>
      <c r="E5500" s="2721">
        <v>1</v>
      </c>
      <c r="F5500" s="294"/>
      <c r="G5500" s="1474" t="s">
        <v>4557</v>
      </c>
      <c r="H5500" s="1476">
        <f>SUM(H5493,H5498,H5499)</f>
        <v>0</v>
      </c>
      <c r="I5500" s="1476">
        <f t="shared" ref="I5500:J5500" si="595">SUM(I5493,I5498,I5499)</f>
        <v>0</v>
      </c>
      <c r="J5500" s="1476">
        <f t="shared" si="595"/>
        <v>0</v>
      </c>
      <c r="K5500" s="1477">
        <f t="shared" si="586"/>
        <v>0</v>
      </c>
      <c r="M5500" s="291"/>
      <c r="N5500" s="291"/>
      <c r="O5500" s="291"/>
      <c r="P5500" s="291"/>
      <c r="S5500" s="364"/>
      <c r="Z5500" s="609" t="s">
        <v>2129</v>
      </c>
      <c r="AA5500" s="609"/>
    </row>
    <row r="5501" spans="1:27" ht="18">
      <c r="A5501" s="2714"/>
      <c r="B5501" s="371">
        <v>133</v>
      </c>
      <c r="C5501" s="371"/>
      <c r="D5501" s="2716">
        <f t="shared" si="585"/>
        <v>1</v>
      </c>
      <c r="E5501" s="2721" t="s">
        <v>41</v>
      </c>
      <c r="F5501" s="294"/>
      <c r="G5501" s="632" t="s">
        <v>4558</v>
      </c>
      <c r="H5501" s="2275"/>
      <c r="I5501" s="2275"/>
      <c r="J5501" s="2275"/>
      <c r="K5501" s="2296"/>
      <c r="M5501" s="291"/>
      <c r="N5501" s="291"/>
      <c r="O5501" s="291"/>
      <c r="P5501" s="291"/>
      <c r="S5501" s="364"/>
      <c r="Z5501" s="609" t="s">
        <v>2129</v>
      </c>
      <c r="AA5501" s="609"/>
    </row>
    <row r="5502" spans="1:27" ht="18">
      <c r="A5502" s="2714"/>
      <c r="B5502" s="371">
        <v>134</v>
      </c>
      <c r="C5502" s="371"/>
      <c r="D5502" s="2716">
        <f t="shared" si="585"/>
        <v>1</v>
      </c>
      <c r="E5502" s="2721">
        <v>1</v>
      </c>
      <c r="F5502" s="294"/>
      <c r="G5502" s="1474" t="s">
        <v>4559</v>
      </c>
      <c r="H5502" s="2275"/>
      <c r="I5502" s="2275"/>
      <c r="J5502" s="2275"/>
      <c r="K5502" s="1477">
        <f t="shared" si="586"/>
        <v>0</v>
      </c>
      <c r="M5502" s="291"/>
      <c r="N5502" s="291"/>
      <c r="O5502" s="291"/>
      <c r="P5502" s="291"/>
      <c r="S5502" s="364"/>
      <c r="Z5502" s="609" t="s">
        <v>2129</v>
      </c>
      <c r="AA5502" s="609"/>
    </row>
    <row r="5503" spans="1:27" ht="18">
      <c r="A5503" s="2714"/>
      <c r="B5503" s="371">
        <v>135</v>
      </c>
      <c r="C5503" s="371" t="s">
        <v>2791</v>
      </c>
      <c r="D5503" s="2716">
        <f t="shared" si="585"/>
        <v>0</v>
      </c>
      <c r="E5503" s="2721">
        <v>1</v>
      </c>
      <c r="F5503" s="294"/>
      <c r="G5503" s="2589" t="s">
        <v>2792</v>
      </c>
      <c r="H5503" s="2275"/>
      <c r="I5503" s="2275"/>
      <c r="J5503" s="2275"/>
      <c r="K5503" s="1477">
        <f t="shared" si="586"/>
        <v>0</v>
      </c>
      <c r="M5503" s="291"/>
      <c r="N5503" s="291"/>
      <c r="O5503" s="291"/>
      <c r="P5503" s="291"/>
      <c r="S5503" s="364"/>
      <c r="Z5503" s="609" t="s">
        <v>2129</v>
      </c>
      <c r="AA5503" s="609"/>
    </row>
    <row r="5504" spans="1:27" ht="24">
      <c r="A5504" s="2714"/>
      <c r="B5504" s="371">
        <v>136</v>
      </c>
      <c r="C5504" s="371"/>
      <c r="D5504" s="2716">
        <f t="shared" si="585"/>
        <v>1</v>
      </c>
      <c r="E5504" s="2721">
        <v>1</v>
      </c>
      <c r="F5504" s="294"/>
      <c r="G5504" s="1474" t="s">
        <v>4560</v>
      </c>
      <c r="H5504" s="1476">
        <f>SUM(H5502:H5503)</f>
        <v>0</v>
      </c>
      <c r="I5504" s="1476">
        <f>SUM(I5502:I5503)</f>
        <v>0</v>
      </c>
      <c r="J5504" s="1476">
        <f>SUM(J5502:J5503)</f>
        <v>0</v>
      </c>
      <c r="K5504" s="1477">
        <f t="shared" si="586"/>
        <v>0</v>
      </c>
      <c r="M5504" s="291"/>
      <c r="N5504" s="291"/>
      <c r="O5504" s="291"/>
      <c r="P5504" s="291"/>
      <c r="S5504" s="364"/>
      <c r="Z5504" s="609" t="s">
        <v>2129</v>
      </c>
      <c r="AA5504" s="609"/>
    </row>
    <row r="5505" spans="1:31" ht="18">
      <c r="A5505" s="2714"/>
      <c r="B5505" s="371">
        <v>137</v>
      </c>
      <c r="C5505" s="371" t="s">
        <v>2791</v>
      </c>
      <c r="D5505" s="2716">
        <f t="shared" si="585"/>
        <v>0</v>
      </c>
      <c r="E5505" s="2721">
        <v>1</v>
      </c>
      <c r="F5505" s="294"/>
      <c r="G5505" s="2589" t="s">
        <v>2792</v>
      </c>
      <c r="H5505" s="2275"/>
      <c r="I5505" s="2275"/>
      <c r="J5505" s="2275"/>
      <c r="K5505" s="1477">
        <f t="shared" si="586"/>
        <v>0</v>
      </c>
      <c r="M5505" s="291"/>
      <c r="N5505" s="291"/>
      <c r="O5505" s="291"/>
      <c r="P5505" s="291"/>
      <c r="S5505" s="364"/>
      <c r="Z5505" s="609" t="s">
        <v>2129</v>
      </c>
      <c r="AA5505" s="609"/>
    </row>
    <row r="5506" spans="1:31" ht="18">
      <c r="A5506" s="2714"/>
      <c r="B5506" s="371">
        <v>138</v>
      </c>
      <c r="C5506" s="371" t="s">
        <v>2791</v>
      </c>
      <c r="D5506" s="2716">
        <f t="shared" si="585"/>
        <v>0</v>
      </c>
      <c r="E5506" s="2721">
        <v>1</v>
      </c>
      <c r="F5506" s="294"/>
      <c r="G5506" s="2589" t="s">
        <v>2792</v>
      </c>
      <c r="H5506" s="2275"/>
      <c r="I5506" s="2275"/>
      <c r="J5506" s="2275"/>
      <c r="K5506" s="1477">
        <f t="shared" si="586"/>
        <v>0</v>
      </c>
      <c r="M5506" s="291"/>
      <c r="N5506" s="291"/>
      <c r="O5506" s="291"/>
      <c r="P5506" s="291"/>
      <c r="S5506" s="364"/>
      <c r="Z5506" s="609" t="s">
        <v>2129</v>
      </c>
      <c r="AA5506" s="609"/>
    </row>
    <row r="5507" spans="1:31" ht="24">
      <c r="A5507" s="2714"/>
      <c r="B5507" s="371">
        <v>139</v>
      </c>
      <c r="C5507" s="371"/>
      <c r="D5507" s="2716">
        <f t="shared" si="585"/>
        <v>1</v>
      </c>
      <c r="E5507" s="2721">
        <v>1</v>
      </c>
      <c r="F5507" s="294"/>
      <c r="G5507" s="1474" t="s">
        <v>4561</v>
      </c>
      <c r="H5507" s="1476">
        <f>SUM(H5505:H5506)</f>
        <v>0</v>
      </c>
      <c r="I5507" s="1476">
        <f>SUM(I5505:I5506)</f>
        <v>0</v>
      </c>
      <c r="J5507" s="1476">
        <f>SUM(J5505:J5506)</f>
        <v>0</v>
      </c>
      <c r="K5507" s="1477">
        <f t="shared" si="586"/>
        <v>0</v>
      </c>
      <c r="M5507" s="291"/>
      <c r="N5507" s="291"/>
      <c r="O5507" s="291"/>
      <c r="P5507" s="291"/>
      <c r="S5507" s="364"/>
      <c r="Z5507" s="609" t="s">
        <v>2129</v>
      </c>
      <c r="AA5507" s="609"/>
    </row>
    <row r="5508" spans="1:31" ht="18.75" thickBot="1">
      <c r="A5508" s="2714"/>
      <c r="B5508" s="371"/>
      <c r="C5508" s="371"/>
      <c r="D5508" s="2716">
        <f t="shared" si="585"/>
        <v>0</v>
      </c>
      <c r="E5508" s="2721" t="s">
        <v>3595</v>
      </c>
      <c r="F5508" s="294"/>
      <c r="G5508" s="2429"/>
      <c r="H5508" s="2308"/>
      <c r="I5508" s="2308"/>
      <c r="J5508" s="2308"/>
      <c r="K5508" s="2309"/>
      <c r="M5508" s="291"/>
      <c r="N5508" s="291"/>
      <c r="O5508" s="291"/>
      <c r="P5508" s="291"/>
      <c r="S5508" s="364"/>
      <c r="Z5508" s="609" t="s">
        <v>2129</v>
      </c>
      <c r="AA5508" s="609"/>
    </row>
    <row r="5509" spans="1:31" ht="18">
      <c r="A5509" s="2714"/>
      <c r="B5509" s="371"/>
      <c r="C5509" s="371" t="s">
        <v>2755</v>
      </c>
      <c r="D5509" s="371"/>
      <c r="F5509" s="294"/>
      <c r="G5509" s="301"/>
      <c r="H5509" s="315"/>
      <c r="I5509" s="315"/>
      <c r="J5509" s="315"/>
      <c r="K5509" s="315"/>
      <c r="L5509" s="350"/>
      <c r="M5509" s="291"/>
      <c r="N5509" s="291"/>
      <c r="O5509" s="291"/>
      <c r="P5509" s="291"/>
      <c r="S5509" s="364"/>
      <c r="Z5509" s="609" t="s">
        <v>2129</v>
      </c>
      <c r="AA5509" s="609"/>
    </row>
    <row r="5510" spans="1:31" ht="24" hidden="1">
      <c r="A5510" s="2714" t="s">
        <v>6149</v>
      </c>
      <c r="B5510" s="371">
        <v>1</v>
      </c>
      <c r="C5510" s="371"/>
      <c r="D5510" s="2716" t="str">
        <f>VLOOKUP($A5510,Sheet_NoteList,2,0)</f>
        <v>以公允价值计量的资产和负债的期末公允价值</v>
      </c>
      <c r="E5510" s="2716" t="s">
        <v>6613</v>
      </c>
      <c r="F5510" s="293"/>
      <c r="G5510" s="372" t="str">
        <f>"("&amp;B5510&amp;")"&amp;D5510</f>
        <v>(1)以公允价值计量的资产和负债的期末公允价值</v>
      </c>
      <c r="H5510" s="1517" t="str">
        <f>$A5510</f>
        <v>9331k</v>
      </c>
      <c r="I5510" s="343" t="s">
        <v>6616</v>
      </c>
      <c r="J5510" s="301" t="s">
        <v>6614</v>
      </c>
      <c r="K5510" s="391">
        <f>H5556</f>
        <v>0</v>
      </c>
      <c r="L5510" s="349"/>
      <c r="M5510" s="301" t="s">
        <v>6618</v>
      </c>
      <c r="N5510" s="391">
        <f>I5556</f>
        <v>0</v>
      </c>
      <c r="O5510" s="349"/>
      <c r="P5510" s="301"/>
      <c r="S5510" s="364"/>
      <c r="Z5510" s="609" t="s">
        <v>2129</v>
      </c>
      <c r="AA5510" s="609" t="s">
        <v>19</v>
      </c>
      <c r="AE5510" s="369" t="s">
        <v>2761</v>
      </c>
    </row>
    <row r="5511" spans="1:31" ht="0.75" hidden="1" customHeight="1">
      <c r="A5511" s="2714"/>
      <c r="B5511" s="371"/>
      <c r="C5511" s="371"/>
      <c r="D5511" s="2716"/>
      <c r="E5511" s="586"/>
      <c r="F5511" s="586"/>
      <c r="G5511" s="2224" t="s">
        <v>6151</v>
      </c>
      <c r="H5511" s="371" t="s">
        <v>2833</v>
      </c>
      <c r="I5511" s="371" t="s">
        <v>4524</v>
      </c>
      <c r="J5511" s="371" t="s">
        <v>4525</v>
      </c>
      <c r="K5511" s="371" t="s">
        <v>4526</v>
      </c>
      <c r="L5511" s="2211"/>
      <c r="M5511" s="2212"/>
      <c r="N5511" s="2210"/>
      <c r="O5511" s="2211"/>
      <c r="P5511" s="2212"/>
      <c r="Q5511" s="442"/>
      <c r="R5511" s="442"/>
      <c r="S5511" s="364"/>
      <c r="Z5511" s="609" t="s">
        <v>2129</v>
      </c>
      <c r="AA5511" s="609" t="s">
        <v>19</v>
      </c>
      <c r="AE5511" s="369" t="s">
        <v>2761</v>
      </c>
    </row>
    <row r="5512" spans="1:31" ht="0.75" hidden="1" customHeight="1" thickBot="1">
      <c r="A5512" s="2714"/>
      <c r="B5512" s="371"/>
      <c r="C5512" s="371"/>
      <c r="D5512" s="2716"/>
      <c r="E5512" s="586"/>
      <c r="F5512" s="586"/>
      <c r="G5512" s="2224"/>
      <c r="H5512" s="371" t="s">
        <v>4527</v>
      </c>
      <c r="I5512" s="371" t="s">
        <v>4528</v>
      </c>
      <c r="J5512" s="371" t="s">
        <v>4529</v>
      </c>
      <c r="K5512" s="371" t="s">
        <v>4530</v>
      </c>
      <c r="L5512" s="2211"/>
      <c r="M5512" s="2212"/>
      <c r="N5512" s="2210"/>
      <c r="O5512" s="2211"/>
      <c r="P5512" s="2212"/>
      <c r="Q5512" s="442"/>
      <c r="R5512" s="442"/>
      <c r="S5512" s="364"/>
      <c r="Z5512" s="609" t="s">
        <v>2129</v>
      </c>
      <c r="AA5512" s="609" t="s">
        <v>19</v>
      </c>
      <c r="AE5512" s="369" t="s">
        <v>2761</v>
      </c>
    </row>
    <row r="5513" spans="1:31" ht="18" hidden="1" customHeight="1">
      <c r="A5513" s="2714"/>
      <c r="B5513" s="371"/>
      <c r="C5513" s="371"/>
      <c r="D5513" s="2716"/>
      <c r="E5513" s="586" t="s">
        <v>2749</v>
      </c>
      <c r="F5513" s="414"/>
      <c r="G5513" s="3474" t="s">
        <v>47</v>
      </c>
      <c r="H5513" s="3458" t="s">
        <v>6152</v>
      </c>
      <c r="I5513" s="3458"/>
      <c r="J5513" s="3458"/>
      <c r="K5513" s="3459"/>
      <c r="L5513" s="2621" t="s">
        <v>5990</v>
      </c>
      <c r="M5513" s="2212"/>
      <c r="N5513" s="2210"/>
      <c r="O5513" s="2211"/>
      <c r="P5513" s="2212"/>
      <c r="Q5513" s="442"/>
      <c r="R5513" s="442"/>
      <c r="S5513" s="364"/>
      <c r="Z5513" s="609" t="s">
        <v>2129</v>
      </c>
      <c r="AA5513" s="609" t="s">
        <v>19</v>
      </c>
      <c r="AE5513" s="369" t="s">
        <v>2761</v>
      </c>
    </row>
    <row r="5514" spans="1:31" ht="24" hidden="1">
      <c r="A5514" s="2714"/>
      <c r="B5514" s="371"/>
      <c r="C5514" s="371"/>
      <c r="D5514" s="2716"/>
      <c r="E5514" s="586" t="s">
        <v>2749</v>
      </c>
      <c r="F5514" s="414"/>
      <c r="G5514" s="3475"/>
      <c r="H5514" s="2587" t="s">
        <v>4531</v>
      </c>
      <c r="I5514" s="2587" t="s">
        <v>4532</v>
      </c>
      <c r="J5514" s="2587" t="s">
        <v>4533</v>
      </c>
      <c r="K5514" s="2576" t="s">
        <v>3351</v>
      </c>
      <c r="L5514" s="2211"/>
      <c r="M5514" s="2212"/>
      <c r="N5514" s="2210"/>
      <c r="O5514" s="2211"/>
      <c r="P5514" s="2212"/>
      <c r="Q5514" s="442"/>
      <c r="R5514" s="442"/>
      <c r="S5514" s="364"/>
      <c r="Z5514" s="609" t="s">
        <v>2129</v>
      </c>
      <c r="AA5514" s="609" t="s">
        <v>19</v>
      </c>
      <c r="AE5514" s="369" t="s">
        <v>2761</v>
      </c>
    </row>
    <row r="5515" spans="1:31" ht="18" hidden="1">
      <c r="A5515" s="2714"/>
      <c r="B5515" s="371">
        <v>101</v>
      </c>
      <c r="C5515" s="371"/>
      <c r="D5515" s="2716">
        <f t="shared" ref="D5515:D5556" si="596">IF(OR(G5515="*",G5515="",G5515=0),0,COUNTIF($G$5515:$G$5556,G5515))</f>
        <v>1</v>
      </c>
      <c r="E5515" s="2721" t="s">
        <v>41</v>
      </c>
      <c r="F5515" s="293"/>
      <c r="G5515" s="1474" t="s">
        <v>4534</v>
      </c>
      <c r="H5515" s="2275"/>
      <c r="I5515" s="2275"/>
      <c r="J5515" s="2275"/>
      <c r="K5515" s="2296"/>
      <c r="L5515" s="2211"/>
      <c r="M5515" s="2212"/>
      <c r="N5515" s="2210"/>
      <c r="O5515" s="2211"/>
      <c r="P5515" s="2212"/>
      <c r="Q5515" s="442"/>
      <c r="R5515" s="442"/>
      <c r="S5515" s="364"/>
      <c r="Z5515" s="609" t="s">
        <v>2129</v>
      </c>
      <c r="AA5515" s="609" t="s">
        <v>19</v>
      </c>
      <c r="AE5515" s="369" t="s">
        <v>2761</v>
      </c>
    </row>
    <row r="5516" spans="1:31" ht="24" hidden="1">
      <c r="A5516" s="2714"/>
      <c r="B5516" s="371">
        <v>102</v>
      </c>
      <c r="C5516" s="371"/>
      <c r="D5516" s="2716">
        <f t="shared" si="596"/>
        <v>1</v>
      </c>
      <c r="E5516" s="2721">
        <v>1</v>
      </c>
      <c r="F5516" s="293"/>
      <c r="G5516" s="1474" t="s">
        <v>6153</v>
      </c>
      <c r="H5516" s="1476">
        <f>SUM(H5517,H5522)</f>
        <v>0</v>
      </c>
      <c r="I5516" s="1476">
        <f t="shared" ref="I5516:J5516" si="597">SUM(I5517,I5522)</f>
        <v>0</v>
      </c>
      <c r="J5516" s="1476">
        <f t="shared" si="597"/>
        <v>0</v>
      </c>
      <c r="K5516" s="1477">
        <f>SUM(H5516:J5516)</f>
        <v>0</v>
      </c>
      <c r="L5516" s="2211"/>
      <c r="M5516" s="2212"/>
      <c r="N5516" s="2210"/>
      <c r="O5516" s="2211"/>
      <c r="P5516" s="2212"/>
      <c r="Q5516" s="442"/>
      <c r="R5516" s="442"/>
      <c r="S5516" s="364"/>
      <c r="Z5516" s="609" t="s">
        <v>2129</v>
      </c>
      <c r="AA5516" s="609" t="s">
        <v>19</v>
      </c>
      <c r="AE5516" s="369" t="s">
        <v>2761</v>
      </c>
    </row>
    <row r="5517" spans="1:31" ht="18" hidden="1">
      <c r="A5517" s="2714"/>
      <c r="B5517" s="371">
        <v>103</v>
      </c>
      <c r="C5517" s="371"/>
      <c r="D5517" s="2716">
        <f t="shared" si="596"/>
        <v>1</v>
      </c>
      <c r="E5517" s="2721">
        <v>1</v>
      </c>
      <c r="F5517" s="293"/>
      <c r="G5517" s="1474" t="s">
        <v>6159</v>
      </c>
      <c r="H5517" s="1476">
        <f>SUM(H5518:H5521)</f>
        <v>0</v>
      </c>
      <c r="I5517" s="1476">
        <f t="shared" ref="I5517:J5517" si="598">SUM(I5518:I5521)</f>
        <v>0</v>
      </c>
      <c r="J5517" s="1476">
        <f t="shared" si="598"/>
        <v>0</v>
      </c>
      <c r="K5517" s="1477">
        <f t="shared" ref="K5517:K5555" si="599">SUM(H5517:J5517)</f>
        <v>0</v>
      </c>
      <c r="L5517" s="2211"/>
      <c r="M5517" s="2212"/>
      <c r="N5517" s="2210"/>
      <c r="O5517" s="2211"/>
      <c r="P5517" s="2212"/>
      <c r="Q5517" s="442"/>
      <c r="R5517" s="442"/>
      <c r="S5517" s="364"/>
      <c r="Z5517" s="609" t="s">
        <v>2129</v>
      </c>
      <c r="AA5517" s="609" t="s">
        <v>19</v>
      </c>
      <c r="AE5517" s="369" t="s">
        <v>2761</v>
      </c>
    </row>
    <row r="5518" spans="1:31" ht="18" hidden="1">
      <c r="A5518" s="2714"/>
      <c r="B5518" s="371">
        <v>104</v>
      </c>
      <c r="C5518" s="371"/>
      <c r="D5518" s="2716">
        <f t="shared" si="596"/>
        <v>1</v>
      </c>
      <c r="E5518" s="2721">
        <v>1</v>
      </c>
      <c r="F5518" s="293"/>
      <c r="G5518" s="1474" t="s">
        <v>6161</v>
      </c>
      <c r="H5518" s="2275"/>
      <c r="I5518" s="2275"/>
      <c r="J5518" s="2275"/>
      <c r="K5518" s="1477">
        <f t="shared" si="599"/>
        <v>0</v>
      </c>
      <c r="L5518" s="2211"/>
      <c r="M5518" s="2212"/>
      <c r="N5518" s="2210"/>
      <c r="O5518" s="2211"/>
      <c r="P5518" s="2212"/>
      <c r="Q5518" s="442"/>
      <c r="R5518" s="442"/>
      <c r="S5518" s="364"/>
      <c r="Z5518" s="609" t="s">
        <v>2129</v>
      </c>
      <c r="AA5518" s="609" t="s">
        <v>19</v>
      </c>
      <c r="AE5518" s="369" t="s">
        <v>2761</v>
      </c>
    </row>
    <row r="5519" spans="1:31" ht="18" hidden="1">
      <c r="A5519" s="2714"/>
      <c r="B5519" s="371">
        <v>105</v>
      </c>
      <c r="C5519" s="371"/>
      <c r="D5519" s="2716">
        <f t="shared" si="596"/>
        <v>1</v>
      </c>
      <c r="E5519" s="2721">
        <v>1</v>
      </c>
      <c r="F5519" s="293"/>
      <c r="G5519" s="1474" t="s">
        <v>6163</v>
      </c>
      <c r="H5519" s="2275"/>
      <c r="I5519" s="2275"/>
      <c r="J5519" s="2275"/>
      <c r="K5519" s="1477">
        <f t="shared" si="599"/>
        <v>0</v>
      </c>
      <c r="L5519" s="2211"/>
      <c r="M5519" s="2212"/>
      <c r="N5519" s="2210"/>
      <c r="O5519" s="2211"/>
      <c r="P5519" s="2212"/>
      <c r="Q5519" s="442"/>
      <c r="R5519" s="442"/>
      <c r="S5519" s="364"/>
      <c r="Z5519" s="609" t="s">
        <v>2129</v>
      </c>
      <c r="AA5519" s="609" t="s">
        <v>19</v>
      </c>
      <c r="AE5519" s="369" t="s">
        <v>2761</v>
      </c>
    </row>
    <row r="5520" spans="1:31" ht="18" hidden="1">
      <c r="A5520" s="2714"/>
      <c r="B5520" s="371">
        <v>106</v>
      </c>
      <c r="C5520" s="371"/>
      <c r="D5520" s="2716">
        <f t="shared" si="596"/>
        <v>1</v>
      </c>
      <c r="E5520" s="2721">
        <v>1</v>
      </c>
      <c r="F5520" s="293"/>
      <c r="G5520" s="1474" t="s">
        <v>4538</v>
      </c>
      <c r="H5520" s="2275"/>
      <c r="I5520" s="2275"/>
      <c r="J5520" s="2275"/>
      <c r="K5520" s="1477">
        <f t="shared" si="599"/>
        <v>0</v>
      </c>
      <c r="L5520" s="2211"/>
      <c r="M5520" s="2212"/>
      <c r="N5520" s="2210"/>
      <c r="O5520" s="2211"/>
      <c r="P5520" s="2212"/>
      <c r="Q5520" s="442"/>
      <c r="R5520" s="442"/>
      <c r="S5520" s="364"/>
      <c r="Z5520" s="609" t="s">
        <v>2129</v>
      </c>
      <c r="AA5520" s="609" t="s">
        <v>19</v>
      </c>
      <c r="AE5520" s="369" t="s">
        <v>2761</v>
      </c>
    </row>
    <row r="5521" spans="1:31" ht="18" hidden="1">
      <c r="A5521" s="2714"/>
      <c r="B5521" s="371">
        <v>107</v>
      </c>
      <c r="C5521" s="371" t="s">
        <v>6535</v>
      </c>
      <c r="D5521" s="2716">
        <f t="shared" si="596"/>
        <v>0</v>
      </c>
      <c r="E5521" s="2721">
        <v>1</v>
      </c>
      <c r="F5521" s="293"/>
      <c r="G5521" s="2589" t="s">
        <v>2792</v>
      </c>
      <c r="H5521" s="2275"/>
      <c r="I5521" s="2275"/>
      <c r="J5521" s="2275"/>
      <c r="K5521" s="1477">
        <f t="shared" si="599"/>
        <v>0</v>
      </c>
      <c r="L5521" s="2211"/>
      <c r="M5521" s="2212"/>
      <c r="N5521" s="2210"/>
      <c r="O5521" s="2211"/>
      <c r="P5521" s="2212"/>
      <c r="Q5521" s="442"/>
      <c r="R5521" s="442"/>
      <c r="S5521" s="364"/>
      <c r="Z5521" s="609" t="s">
        <v>2129</v>
      </c>
      <c r="AA5521" s="609" t="s">
        <v>19</v>
      </c>
      <c r="AE5521" s="369" t="s">
        <v>2761</v>
      </c>
    </row>
    <row r="5522" spans="1:31" ht="24" hidden="1">
      <c r="A5522" s="2714"/>
      <c r="B5522" s="371">
        <v>108</v>
      </c>
      <c r="C5522" s="371"/>
      <c r="D5522" s="2716">
        <f t="shared" si="596"/>
        <v>1</v>
      </c>
      <c r="E5522" s="2721">
        <v>1</v>
      </c>
      <c r="F5522" s="293"/>
      <c r="G5522" s="1474" t="s">
        <v>4539</v>
      </c>
      <c r="H5522" s="1476">
        <f>SUM(H5523:H5525)</f>
        <v>0</v>
      </c>
      <c r="I5522" s="1476">
        <f t="shared" ref="I5522:J5522" si="600">SUM(I5523:I5525)</f>
        <v>0</v>
      </c>
      <c r="J5522" s="1476">
        <f t="shared" si="600"/>
        <v>0</v>
      </c>
      <c r="K5522" s="1477">
        <f t="shared" si="599"/>
        <v>0</v>
      </c>
      <c r="L5522" s="2211"/>
      <c r="M5522" s="2212"/>
      <c r="N5522" s="2210"/>
      <c r="O5522" s="2211"/>
      <c r="P5522" s="2212"/>
      <c r="Q5522" s="442"/>
      <c r="R5522" s="442"/>
      <c r="S5522" s="364"/>
      <c r="Z5522" s="609" t="s">
        <v>2129</v>
      </c>
      <c r="AA5522" s="609" t="s">
        <v>19</v>
      </c>
      <c r="AE5522" s="369" t="s">
        <v>2761</v>
      </c>
    </row>
    <row r="5523" spans="1:31" ht="18" hidden="1">
      <c r="A5523" s="2714"/>
      <c r="B5523" s="371">
        <v>109</v>
      </c>
      <c r="C5523" s="371"/>
      <c r="D5523" s="2716">
        <f t="shared" si="596"/>
        <v>1</v>
      </c>
      <c r="E5523" s="2721">
        <v>1</v>
      </c>
      <c r="F5523" s="293"/>
      <c r="G5523" s="1474" t="s">
        <v>6162</v>
      </c>
      <c r="H5523" s="2275"/>
      <c r="I5523" s="2275"/>
      <c r="J5523" s="2275"/>
      <c r="K5523" s="1477">
        <f t="shared" si="599"/>
        <v>0</v>
      </c>
      <c r="L5523" s="2211"/>
      <c r="M5523" s="2212"/>
      <c r="N5523" s="2210"/>
      <c r="O5523" s="2211"/>
      <c r="P5523" s="2212"/>
      <c r="Q5523" s="442"/>
      <c r="R5523" s="442"/>
      <c r="S5523" s="364"/>
      <c r="Z5523" s="609" t="s">
        <v>2129</v>
      </c>
      <c r="AA5523" s="609" t="s">
        <v>19</v>
      </c>
      <c r="AE5523" s="369" t="s">
        <v>2761</v>
      </c>
    </row>
    <row r="5524" spans="1:31" ht="18" hidden="1">
      <c r="A5524" s="2714"/>
      <c r="B5524" s="371">
        <v>110</v>
      </c>
      <c r="C5524" s="371"/>
      <c r="D5524" s="2716">
        <f t="shared" si="596"/>
        <v>1</v>
      </c>
      <c r="E5524" s="2721">
        <v>1</v>
      </c>
      <c r="F5524" s="293"/>
      <c r="G5524" s="1474" t="s">
        <v>6164</v>
      </c>
      <c r="H5524" s="2275"/>
      <c r="I5524" s="2275"/>
      <c r="J5524" s="2275"/>
      <c r="K5524" s="1477">
        <f t="shared" si="599"/>
        <v>0</v>
      </c>
      <c r="L5524" s="2211"/>
      <c r="M5524" s="2212"/>
      <c r="N5524" s="2210"/>
      <c r="O5524" s="2211"/>
      <c r="P5524" s="2212"/>
      <c r="Q5524" s="442"/>
      <c r="R5524" s="442"/>
      <c r="S5524" s="364"/>
      <c r="Z5524" s="609" t="s">
        <v>2129</v>
      </c>
      <c r="AA5524" s="609" t="s">
        <v>19</v>
      </c>
      <c r="AE5524" s="369" t="s">
        <v>2761</v>
      </c>
    </row>
    <row r="5525" spans="1:31" ht="18" hidden="1">
      <c r="A5525" s="2714"/>
      <c r="B5525" s="371">
        <v>111</v>
      </c>
      <c r="C5525" s="371" t="s">
        <v>6535</v>
      </c>
      <c r="D5525" s="2716">
        <f t="shared" si="596"/>
        <v>0</v>
      </c>
      <c r="E5525" s="2721">
        <v>1</v>
      </c>
      <c r="F5525" s="293"/>
      <c r="G5525" s="2589" t="s">
        <v>2792</v>
      </c>
      <c r="H5525" s="2275"/>
      <c r="I5525" s="2275"/>
      <c r="J5525" s="2275"/>
      <c r="K5525" s="1477">
        <f t="shared" si="599"/>
        <v>0</v>
      </c>
      <c r="L5525" s="2211"/>
      <c r="M5525" s="2212"/>
      <c r="N5525" s="2210"/>
      <c r="O5525" s="2211"/>
      <c r="P5525" s="2212"/>
      <c r="Q5525" s="442"/>
      <c r="R5525" s="442"/>
      <c r="S5525" s="364"/>
      <c r="Z5525" s="609" t="s">
        <v>2129</v>
      </c>
      <c r="AA5525" s="609" t="s">
        <v>19</v>
      </c>
      <c r="AE5525" s="369" t="s">
        <v>2761</v>
      </c>
    </row>
    <row r="5526" spans="1:31" ht="18" hidden="1">
      <c r="A5526" s="2714"/>
      <c r="B5526" s="371">
        <v>112</v>
      </c>
      <c r="C5526" s="371"/>
      <c r="D5526" s="2716">
        <f t="shared" si="596"/>
        <v>1</v>
      </c>
      <c r="E5526" s="2721">
        <v>1</v>
      </c>
      <c r="F5526" s="293"/>
      <c r="G5526" s="1474" t="s">
        <v>6154</v>
      </c>
      <c r="H5526" s="1476">
        <f>SUM(H5527:H5530)</f>
        <v>0</v>
      </c>
      <c r="I5526" s="1476">
        <f t="shared" ref="I5526:J5526" si="601">SUM(I5527:I5530)</f>
        <v>0</v>
      </c>
      <c r="J5526" s="1476">
        <f t="shared" si="601"/>
        <v>0</v>
      </c>
      <c r="K5526" s="1477">
        <f t="shared" si="599"/>
        <v>0</v>
      </c>
      <c r="L5526" s="2211"/>
      <c r="M5526" s="2212"/>
      <c r="N5526" s="2210"/>
      <c r="O5526" s="2211"/>
      <c r="P5526" s="2212"/>
      <c r="Q5526" s="442"/>
      <c r="R5526" s="442"/>
      <c r="S5526" s="364"/>
      <c r="Z5526" s="609" t="s">
        <v>2129</v>
      </c>
      <c r="AA5526" s="609" t="s">
        <v>19</v>
      </c>
      <c r="AE5526" s="369" t="s">
        <v>2761</v>
      </c>
    </row>
    <row r="5527" spans="1:31" ht="18" hidden="1">
      <c r="A5527" s="2714"/>
      <c r="B5527" s="371">
        <v>113</v>
      </c>
      <c r="C5527" s="371"/>
      <c r="D5527" s="2716">
        <f t="shared" si="596"/>
        <v>1</v>
      </c>
      <c r="E5527" s="2721">
        <v>1</v>
      </c>
      <c r="F5527" s="293"/>
      <c r="G5527" s="1474" t="s">
        <v>6165</v>
      </c>
      <c r="H5527" s="2275"/>
      <c r="I5527" s="2275"/>
      <c r="J5527" s="2275"/>
      <c r="K5527" s="1477">
        <f>SUM(H5527:J5527)</f>
        <v>0</v>
      </c>
      <c r="L5527" s="2211"/>
      <c r="M5527" s="2212"/>
      <c r="N5527" s="2210"/>
      <c r="O5527" s="2211"/>
      <c r="P5527" s="2212"/>
      <c r="Q5527" s="442"/>
      <c r="R5527" s="442"/>
      <c r="S5527" s="364"/>
      <c r="Z5527" s="609" t="s">
        <v>2129</v>
      </c>
      <c r="AA5527" s="609" t="s">
        <v>19</v>
      </c>
      <c r="AE5527" s="369" t="s">
        <v>2761</v>
      </c>
    </row>
    <row r="5528" spans="1:31" ht="18" hidden="1">
      <c r="A5528" s="2714"/>
      <c r="B5528" s="371">
        <v>114</v>
      </c>
      <c r="C5528" s="371"/>
      <c r="D5528" s="2716">
        <f t="shared" si="596"/>
        <v>1</v>
      </c>
      <c r="E5528" s="2721">
        <v>1</v>
      </c>
      <c r="F5528" s="293"/>
      <c r="G5528" s="1474" t="s">
        <v>6166</v>
      </c>
      <c r="H5528" s="2275"/>
      <c r="I5528" s="2275"/>
      <c r="J5528" s="2275"/>
      <c r="K5528" s="1477">
        <f t="shared" si="599"/>
        <v>0</v>
      </c>
      <c r="L5528" s="2211"/>
      <c r="M5528" s="2212"/>
      <c r="N5528" s="2210"/>
      <c r="O5528" s="2211"/>
      <c r="P5528" s="2212"/>
      <c r="Q5528" s="442"/>
      <c r="R5528" s="442"/>
      <c r="S5528" s="364"/>
      <c r="Z5528" s="609" t="s">
        <v>2129</v>
      </c>
      <c r="AA5528" s="609" t="s">
        <v>19</v>
      </c>
      <c r="AE5528" s="369" t="s">
        <v>2761</v>
      </c>
    </row>
    <row r="5529" spans="1:31" ht="18" hidden="1">
      <c r="A5529" s="2714"/>
      <c r="B5529" s="371">
        <v>115</v>
      </c>
      <c r="C5529" s="371"/>
      <c r="D5529" s="2716">
        <f t="shared" si="596"/>
        <v>1</v>
      </c>
      <c r="E5529" s="2721">
        <v>1</v>
      </c>
      <c r="F5529" s="293"/>
      <c r="G5529" s="1474" t="s">
        <v>6160</v>
      </c>
      <c r="H5529" s="2275"/>
      <c r="I5529" s="2275"/>
      <c r="J5529" s="2275"/>
      <c r="K5529" s="1477">
        <f t="shared" si="599"/>
        <v>0</v>
      </c>
      <c r="L5529" s="2211"/>
      <c r="M5529" s="2212"/>
      <c r="N5529" s="2210"/>
      <c r="O5529" s="2211"/>
      <c r="P5529" s="2212"/>
      <c r="Q5529" s="442"/>
      <c r="R5529" s="442"/>
      <c r="S5529" s="364"/>
      <c r="Z5529" s="609" t="s">
        <v>2129</v>
      </c>
      <c r="AA5529" s="609" t="s">
        <v>19</v>
      </c>
      <c r="AE5529" s="369" t="s">
        <v>2761</v>
      </c>
    </row>
    <row r="5530" spans="1:31" ht="18" hidden="1">
      <c r="A5530" s="2714"/>
      <c r="B5530" s="371">
        <v>116</v>
      </c>
      <c r="C5530" s="371" t="s">
        <v>6535</v>
      </c>
      <c r="D5530" s="2716">
        <f t="shared" si="596"/>
        <v>0</v>
      </c>
      <c r="E5530" s="2721">
        <v>1</v>
      </c>
      <c r="F5530" s="293"/>
      <c r="G5530" s="2589" t="s">
        <v>2792</v>
      </c>
      <c r="H5530" s="2275"/>
      <c r="I5530" s="2275"/>
      <c r="J5530" s="2275"/>
      <c r="K5530" s="1477">
        <f t="shared" si="599"/>
        <v>0</v>
      </c>
      <c r="L5530" s="2211"/>
      <c r="M5530" s="2212"/>
      <c r="N5530" s="2210"/>
      <c r="O5530" s="2211"/>
      <c r="P5530" s="2212"/>
      <c r="Q5530" s="442"/>
      <c r="R5530" s="442"/>
      <c r="S5530" s="364"/>
      <c r="Z5530" s="609" t="s">
        <v>2129</v>
      </c>
      <c r="AA5530" s="609" t="s">
        <v>19</v>
      </c>
      <c r="AE5530" s="369" t="s">
        <v>2761</v>
      </c>
    </row>
    <row r="5531" spans="1:31" ht="18" hidden="1">
      <c r="A5531" s="2714"/>
      <c r="B5531" s="371">
        <v>117</v>
      </c>
      <c r="C5531" s="371"/>
      <c r="D5531" s="2716">
        <f t="shared" si="596"/>
        <v>1</v>
      </c>
      <c r="E5531" s="2721">
        <v>1</v>
      </c>
      <c r="F5531" s="293"/>
      <c r="G5531" s="1474" t="s">
        <v>6155</v>
      </c>
      <c r="H5531" s="1476">
        <f>SUM(H5532:H5535)</f>
        <v>0</v>
      </c>
      <c r="I5531" s="1476">
        <f t="shared" ref="I5531:J5531" si="602">SUM(I5532:I5535)</f>
        <v>0</v>
      </c>
      <c r="J5531" s="1476">
        <f t="shared" si="602"/>
        <v>0</v>
      </c>
      <c r="K5531" s="1477">
        <f t="shared" si="599"/>
        <v>0</v>
      </c>
      <c r="L5531" s="2211"/>
      <c r="M5531" s="2212"/>
      <c r="N5531" s="2210"/>
      <c r="O5531" s="2211"/>
      <c r="P5531" s="2212"/>
      <c r="Q5531" s="442"/>
      <c r="R5531" s="442"/>
      <c r="S5531" s="364"/>
      <c r="Z5531" s="609" t="s">
        <v>2129</v>
      </c>
      <c r="AA5531" s="609" t="s">
        <v>19</v>
      </c>
      <c r="AE5531" s="369" t="s">
        <v>2761</v>
      </c>
    </row>
    <row r="5532" spans="1:31" ht="18" hidden="1">
      <c r="A5532" s="2714"/>
      <c r="B5532" s="371">
        <v>118</v>
      </c>
      <c r="C5532" s="371"/>
      <c r="D5532" s="2716">
        <f t="shared" si="596"/>
        <v>1</v>
      </c>
      <c r="E5532" s="2721">
        <v>1</v>
      </c>
      <c r="F5532" s="293"/>
      <c r="G5532" s="1474" t="s">
        <v>4545</v>
      </c>
      <c r="H5532" s="2275"/>
      <c r="I5532" s="2275"/>
      <c r="J5532" s="2275"/>
      <c r="K5532" s="1477">
        <f t="shared" si="599"/>
        <v>0</v>
      </c>
      <c r="L5532" s="2211"/>
      <c r="M5532" s="2212"/>
      <c r="N5532" s="2210"/>
      <c r="O5532" s="2211"/>
      <c r="P5532" s="2212"/>
      <c r="Q5532" s="442"/>
      <c r="R5532" s="442"/>
      <c r="S5532" s="364"/>
      <c r="Z5532" s="609" t="s">
        <v>2129</v>
      </c>
      <c r="AA5532" s="609" t="s">
        <v>19</v>
      </c>
      <c r="AE5532" s="369" t="s">
        <v>2761</v>
      </c>
    </row>
    <row r="5533" spans="1:31" ht="18" hidden="1">
      <c r="A5533" s="2714"/>
      <c r="B5533" s="371">
        <v>119</v>
      </c>
      <c r="C5533" s="371"/>
      <c r="D5533" s="2716">
        <f t="shared" si="596"/>
        <v>1</v>
      </c>
      <c r="E5533" s="2721">
        <v>1</v>
      </c>
      <c r="F5533" s="293"/>
      <c r="G5533" s="1474" t="s">
        <v>4546</v>
      </c>
      <c r="H5533" s="2275"/>
      <c r="I5533" s="2275"/>
      <c r="J5533" s="2275"/>
      <c r="K5533" s="1477">
        <f t="shared" si="599"/>
        <v>0</v>
      </c>
      <c r="L5533" s="2211"/>
      <c r="M5533" s="2212"/>
      <c r="N5533" s="2210"/>
      <c r="O5533" s="2211"/>
      <c r="P5533" s="2212"/>
      <c r="Q5533" s="442"/>
      <c r="R5533" s="442"/>
      <c r="S5533" s="364"/>
      <c r="Z5533" s="609" t="s">
        <v>2129</v>
      </c>
      <c r="AA5533" s="609" t="s">
        <v>19</v>
      </c>
      <c r="AE5533" s="369" t="s">
        <v>2761</v>
      </c>
    </row>
    <row r="5534" spans="1:31" ht="24" hidden="1">
      <c r="A5534" s="2714"/>
      <c r="B5534" s="371">
        <v>120</v>
      </c>
      <c r="C5534" s="371"/>
      <c r="D5534" s="2716">
        <f t="shared" si="596"/>
        <v>1</v>
      </c>
      <c r="E5534" s="2721">
        <v>1</v>
      </c>
      <c r="F5534" s="293"/>
      <c r="G5534" s="1474" t="s">
        <v>4547</v>
      </c>
      <c r="H5534" s="2275"/>
      <c r="I5534" s="2275"/>
      <c r="J5534" s="2275"/>
      <c r="K5534" s="1477">
        <f t="shared" si="599"/>
        <v>0</v>
      </c>
      <c r="L5534" s="2211"/>
      <c r="M5534" s="2212"/>
      <c r="N5534" s="2210"/>
      <c r="O5534" s="2211"/>
      <c r="P5534" s="2212"/>
      <c r="Q5534" s="442"/>
      <c r="R5534" s="442"/>
      <c r="S5534" s="364"/>
      <c r="Z5534" s="609" t="s">
        <v>2129</v>
      </c>
      <c r="AA5534" s="609" t="s">
        <v>19</v>
      </c>
      <c r="AE5534" s="369" t="s">
        <v>2761</v>
      </c>
    </row>
    <row r="5535" spans="1:31" ht="18" hidden="1">
      <c r="A5535" s="2714"/>
      <c r="B5535" s="371">
        <v>121</v>
      </c>
      <c r="C5535" s="371" t="s">
        <v>6535</v>
      </c>
      <c r="D5535" s="2716">
        <f t="shared" si="596"/>
        <v>0</v>
      </c>
      <c r="E5535" s="2721">
        <v>1</v>
      </c>
      <c r="F5535" s="293"/>
      <c r="G5535" s="2589" t="s">
        <v>2792</v>
      </c>
      <c r="H5535" s="2275"/>
      <c r="I5535" s="2275"/>
      <c r="J5535" s="2275"/>
      <c r="K5535" s="1477">
        <f>SUM(H5535:J5535)</f>
        <v>0</v>
      </c>
      <c r="L5535" s="2211"/>
      <c r="M5535" s="2212"/>
      <c r="N5535" s="2210"/>
      <c r="O5535" s="2211"/>
      <c r="P5535" s="2212"/>
      <c r="Q5535" s="442"/>
      <c r="R5535" s="442"/>
      <c r="S5535" s="364"/>
      <c r="Z5535" s="609" t="s">
        <v>2129</v>
      </c>
      <c r="AA5535" s="609" t="s">
        <v>19</v>
      </c>
      <c r="AE5535" s="369" t="s">
        <v>2761</v>
      </c>
    </row>
    <row r="5536" spans="1:31" ht="18" hidden="1">
      <c r="A5536" s="2714"/>
      <c r="B5536" s="371">
        <v>122</v>
      </c>
      <c r="C5536" s="371"/>
      <c r="D5536" s="2716">
        <f t="shared" si="596"/>
        <v>1</v>
      </c>
      <c r="E5536" s="2721">
        <v>1</v>
      </c>
      <c r="F5536" s="293"/>
      <c r="G5536" s="1474" t="s">
        <v>6156</v>
      </c>
      <c r="H5536" s="1476">
        <f>SUM(H5537:H5538)</f>
        <v>0</v>
      </c>
      <c r="I5536" s="1476">
        <f t="shared" ref="I5536:J5536" si="603">SUM(I5537:I5538)</f>
        <v>0</v>
      </c>
      <c r="J5536" s="1476">
        <f t="shared" si="603"/>
        <v>0</v>
      </c>
      <c r="K5536" s="1477">
        <f t="shared" si="599"/>
        <v>0</v>
      </c>
      <c r="L5536" s="2211"/>
      <c r="M5536" s="2212"/>
      <c r="N5536" s="2210"/>
      <c r="O5536" s="2211"/>
      <c r="P5536" s="2212"/>
      <c r="Q5536" s="442"/>
      <c r="R5536" s="442"/>
      <c r="S5536" s="364"/>
      <c r="Z5536" s="609" t="s">
        <v>2129</v>
      </c>
      <c r="AA5536" s="609" t="s">
        <v>19</v>
      </c>
      <c r="AE5536" s="369" t="s">
        <v>2761</v>
      </c>
    </row>
    <row r="5537" spans="1:31" ht="18" hidden="1">
      <c r="A5537" s="2714"/>
      <c r="B5537" s="371">
        <v>123</v>
      </c>
      <c r="C5537" s="371"/>
      <c r="D5537" s="2716">
        <f t="shared" si="596"/>
        <v>1</v>
      </c>
      <c r="E5537" s="2721">
        <v>1</v>
      </c>
      <c r="F5537" s="293"/>
      <c r="G5537" s="1474" t="s">
        <v>4549</v>
      </c>
      <c r="H5537" s="2275"/>
      <c r="I5537" s="2275"/>
      <c r="J5537" s="2275"/>
      <c r="K5537" s="1477">
        <f t="shared" si="599"/>
        <v>0</v>
      </c>
      <c r="L5537" s="2211"/>
      <c r="M5537" s="2212"/>
      <c r="N5537" s="2210"/>
      <c r="O5537" s="2211"/>
      <c r="P5537" s="2212"/>
      <c r="Q5537" s="442"/>
      <c r="R5537" s="442"/>
      <c r="S5537" s="364"/>
      <c r="Z5537" s="609" t="s">
        <v>2129</v>
      </c>
      <c r="AA5537" s="609" t="s">
        <v>19</v>
      </c>
      <c r="AE5537" s="369" t="s">
        <v>2761</v>
      </c>
    </row>
    <row r="5538" spans="1:31" ht="18" hidden="1">
      <c r="A5538" s="2714"/>
      <c r="B5538" s="371">
        <v>124</v>
      </c>
      <c r="C5538" s="371"/>
      <c r="D5538" s="2716">
        <f t="shared" si="596"/>
        <v>1</v>
      </c>
      <c r="E5538" s="2721">
        <v>1</v>
      </c>
      <c r="F5538" s="293"/>
      <c r="G5538" s="1474" t="s">
        <v>4550</v>
      </c>
      <c r="H5538" s="2275"/>
      <c r="I5538" s="2275"/>
      <c r="J5538" s="2275"/>
      <c r="K5538" s="1477">
        <f t="shared" si="599"/>
        <v>0</v>
      </c>
      <c r="L5538" s="2211"/>
      <c r="M5538" s="2212"/>
      <c r="N5538" s="2210"/>
      <c r="O5538" s="2211"/>
      <c r="P5538" s="2212"/>
      <c r="Q5538" s="442"/>
      <c r="R5538" s="442"/>
      <c r="S5538" s="364"/>
      <c r="Z5538" s="609" t="s">
        <v>2129</v>
      </c>
      <c r="AA5538" s="609" t="s">
        <v>19</v>
      </c>
      <c r="AE5538" s="369" t="s">
        <v>2761</v>
      </c>
    </row>
    <row r="5539" spans="1:31" ht="18" hidden="1">
      <c r="A5539" s="2714"/>
      <c r="B5539" s="371">
        <v>125</v>
      </c>
      <c r="C5539" s="371" t="s">
        <v>2791</v>
      </c>
      <c r="D5539" s="2716">
        <f t="shared" si="596"/>
        <v>0</v>
      </c>
      <c r="E5539" s="2721">
        <v>1</v>
      </c>
      <c r="F5539" s="293"/>
      <c r="G5539" s="2589" t="s">
        <v>2792</v>
      </c>
      <c r="H5539" s="2275"/>
      <c r="I5539" s="2275"/>
      <c r="J5539" s="2275"/>
      <c r="K5539" s="1477">
        <f t="shared" si="599"/>
        <v>0</v>
      </c>
      <c r="L5539" s="2211"/>
      <c r="M5539" s="2212"/>
      <c r="N5539" s="2210"/>
      <c r="O5539" s="2211"/>
      <c r="P5539" s="2212"/>
      <c r="Q5539" s="442"/>
      <c r="R5539" s="442"/>
      <c r="S5539" s="364"/>
      <c r="Z5539" s="609" t="s">
        <v>2129</v>
      </c>
      <c r="AA5539" s="609" t="s">
        <v>19</v>
      </c>
      <c r="AE5539" s="369" t="s">
        <v>2761</v>
      </c>
    </row>
    <row r="5540" spans="1:31" ht="24" hidden="1">
      <c r="A5540" s="2714"/>
      <c r="B5540" s="371">
        <v>126</v>
      </c>
      <c r="C5540" s="371"/>
      <c r="D5540" s="2716">
        <f t="shared" si="596"/>
        <v>1</v>
      </c>
      <c r="E5540" s="2721">
        <v>1</v>
      </c>
      <c r="F5540" s="293"/>
      <c r="G5540" s="1474" t="s">
        <v>4551</v>
      </c>
      <c r="H5540" s="1476">
        <f>SUM(H5516,H5526,H5531,H5536,H5539)</f>
        <v>0</v>
      </c>
      <c r="I5540" s="1476">
        <f t="shared" ref="I5540:J5540" si="604">SUM(I5516,I5526,I5531,I5536,I5539)</f>
        <v>0</v>
      </c>
      <c r="J5540" s="1476">
        <f t="shared" si="604"/>
        <v>0</v>
      </c>
      <c r="K5540" s="1477">
        <f t="shared" si="599"/>
        <v>0</v>
      </c>
      <c r="L5540" s="2211"/>
      <c r="M5540" s="2212"/>
      <c r="N5540" s="2210"/>
      <c r="O5540" s="2211"/>
      <c r="P5540" s="2212"/>
      <c r="Q5540" s="442"/>
      <c r="R5540" s="442"/>
      <c r="S5540" s="364"/>
      <c r="Z5540" s="609" t="s">
        <v>2129</v>
      </c>
      <c r="AA5540" s="609" t="s">
        <v>19</v>
      </c>
      <c r="AE5540" s="369" t="s">
        <v>2761</v>
      </c>
    </row>
    <row r="5541" spans="1:31" ht="18" hidden="1">
      <c r="A5541" s="2714"/>
      <c r="B5541" s="371">
        <v>127</v>
      </c>
      <c r="C5541" s="371"/>
      <c r="D5541" s="2716">
        <f t="shared" si="596"/>
        <v>1</v>
      </c>
      <c r="E5541" s="2721">
        <v>1</v>
      </c>
      <c r="F5541" s="293"/>
      <c r="G5541" s="1474" t="s">
        <v>6157</v>
      </c>
      <c r="H5541" s="1476">
        <f>SUM(H5542:H5545)</f>
        <v>0</v>
      </c>
      <c r="I5541" s="1476">
        <f t="shared" ref="I5541:J5541" si="605">SUM(I5542:I5545)</f>
        <v>0</v>
      </c>
      <c r="J5541" s="1476">
        <f t="shared" si="605"/>
        <v>0</v>
      </c>
      <c r="K5541" s="1477">
        <f>SUM(H5541:J5541)</f>
        <v>0</v>
      </c>
      <c r="L5541" s="2211"/>
      <c r="M5541" s="2212"/>
      <c r="N5541" s="2210"/>
      <c r="O5541" s="2211"/>
      <c r="P5541" s="2212"/>
      <c r="Q5541" s="442"/>
      <c r="R5541" s="442"/>
      <c r="S5541" s="364"/>
      <c r="Z5541" s="609" t="s">
        <v>2129</v>
      </c>
      <c r="AA5541" s="609" t="s">
        <v>19</v>
      </c>
      <c r="AE5541" s="369" t="s">
        <v>2761</v>
      </c>
    </row>
    <row r="5542" spans="1:31" ht="18" hidden="1">
      <c r="A5542" s="2714"/>
      <c r="B5542" s="371">
        <v>128</v>
      </c>
      <c r="C5542" s="371"/>
      <c r="D5542" s="2716">
        <f t="shared" si="596"/>
        <v>1</v>
      </c>
      <c r="E5542" s="2721">
        <v>1</v>
      </c>
      <c r="F5542" s="293"/>
      <c r="G5542" s="1474" t="s">
        <v>6167</v>
      </c>
      <c r="H5542" s="2275"/>
      <c r="I5542" s="2275"/>
      <c r="J5542" s="2275"/>
      <c r="K5542" s="1477">
        <f t="shared" si="599"/>
        <v>0</v>
      </c>
      <c r="L5542" s="2211"/>
      <c r="M5542" s="2212"/>
      <c r="N5542" s="2210"/>
      <c r="O5542" s="2211"/>
      <c r="P5542" s="2212"/>
      <c r="Q5542" s="442"/>
      <c r="R5542" s="442"/>
      <c r="S5542" s="364"/>
      <c r="Z5542" s="609" t="s">
        <v>2129</v>
      </c>
      <c r="AA5542" s="609" t="s">
        <v>19</v>
      </c>
      <c r="AE5542" s="369" t="s">
        <v>2761</v>
      </c>
    </row>
    <row r="5543" spans="1:31" ht="18" hidden="1">
      <c r="A5543" s="2714"/>
      <c r="B5543" s="371">
        <v>129</v>
      </c>
      <c r="C5543" s="371"/>
      <c r="D5543" s="2716">
        <f t="shared" si="596"/>
        <v>1</v>
      </c>
      <c r="E5543" s="2721">
        <v>1</v>
      </c>
      <c r="F5543" s="293"/>
      <c r="G5543" s="1474" t="s">
        <v>467</v>
      </c>
      <c r="H5543" s="2275"/>
      <c r="I5543" s="2275"/>
      <c r="J5543" s="2275"/>
      <c r="K5543" s="1477">
        <f t="shared" si="599"/>
        <v>0</v>
      </c>
      <c r="L5543" s="2211"/>
      <c r="M5543" s="2212"/>
      <c r="N5543" s="2210"/>
      <c r="O5543" s="2211"/>
      <c r="P5543" s="2212"/>
      <c r="Q5543" s="442"/>
      <c r="R5543" s="442"/>
      <c r="S5543" s="364"/>
      <c r="Z5543" s="609" t="s">
        <v>2129</v>
      </c>
      <c r="AA5543" s="609" t="s">
        <v>19</v>
      </c>
      <c r="AE5543" s="369" t="s">
        <v>2761</v>
      </c>
    </row>
    <row r="5544" spans="1:31" ht="18" hidden="1">
      <c r="A5544" s="2714"/>
      <c r="B5544" s="371">
        <v>130</v>
      </c>
      <c r="C5544" s="371"/>
      <c r="D5544" s="2716">
        <f t="shared" si="596"/>
        <v>1</v>
      </c>
      <c r="E5544" s="2721">
        <v>1</v>
      </c>
      <c r="F5544" s="293"/>
      <c r="G5544" s="1474" t="s">
        <v>932</v>
      </c>
      <c r="H5544" s="2275"/>
      <c r="I5544" s="2275"/>
      <c r="J5544" s="2275"/>
      <c r="K5544" s="1477">
        <f t="shared" si="599"/>
        <v>0</v>
      </c>
      <c r="L5544" s="2211"/>
      <c r="M5544" s="2212"/>
      <c r="N5544" s="2210"/>
      <c r="O5544" s="2211"/>
      <c r="P5544" s="2212"/>
      <c r="Q5544" s="442"/>
      <c r="R5544" s="442"/>
      <c r="S5544" s="364"/>
      <c r="Z5544" s="609" t="s">
        <v>2129</v>
      </c>
      <c r="AA5544" s="609" t="s">
        <v>19</v>
      </c>
      <c r="AE5544" s="369" t="s">
        <v>2761</v>
      </c>
    </row>
    <row r="5545" spans="1:31" ht="18" hidden="1">
      <c r="A5545" s="2714"/>
      <c r="B5545" s="371">
        <v>131</v>
      </c>
      <c r="C5545" s="371" t="s">
        <v>6532</v>
      </c>
      <c r="D5545" s="2716">
        <f t="shared" si="596"/>
        <v>0</v>
      </c>
      <c r="E5545" s="2721">
        <v>1</v>
      </c>
      <c r="F5545" s="293"/>
      <c r="G5545" s="2589" t="s">
        <v>2792</v>
      </c>
      <c r="H5545" s="2275"/>
      <c r="I5545" s="2275"/>
      <c r="J5545" s="2275"/>
      <c r="K5545" s="1477">
        <f t="shared" si="599"/>
        <v>0</v>
      </c>
      <c r="L5545" s="2211"/>
      <c r="M5545" s="2212"/>
      <c r="N5545" s="2210"/>
      <c r="O5545" s="2211"/>
      <c r="P5545" s="2212"/>
      <c r="Q5545" s="442"/>
      <c r="R5545" s="442"/>
      <c r="S5545" s="364"/>
      <c r="Z5545" s="609" t="s">
        <v>2129</v>
      </c>
      <c r="AA5545" s="609" t="s">
        <v>19</v>
      </c>
      <c r="AE5545" s="369" t="s">
        <v>2761</v>
      </c>
    </row>
    <row r="5546" spans="1:31" ht="36" hidden="1">
      <c r="A5546" s="2714"/>
      <c r="B5546" s="371">
        <v>132</v>
      </c>
      <c r="C5546" s="371"/>
      <c r="D5546" s="2716">
        <f t="shared" si="596"/>
        <v>1</v>
      </c>
      <c r="E5546" s="2721">
        <v>1</v>
      </c>
      <c r="F5546" s="293"/>
      <c r="G5546" s="1474" t="s">
        <v>6158</v>
      </c>
      <c r="H5546" s="2275"/>
      <c r="I5546" s="2275"/>
      <c r="J5546" s="2275"/>
      <c r="K5546" s="1477">
        <f t="shared" si="599"/>
        <v>0</v>
      </c>
      <c r="L5546" s="2211"/>
      <c r="M5546" s="2212"/>
      <c r="N5546" s="2210"/>
      <c r="O5546" s="2211"/>
      <c r="P5546" s="2212"/>
      <c r="Q5546" s="442"/>
      <c r="R5546" s="442"/>
      <c r="S5546" s="364"/>
      <c r="Z5546" s="609" t="s">
        <v>2129</v>
      </c>
      <c r="AA5546" s="609" t="s">
        <v>19</v>
      </c>
      <c r="AE5546" s="369" t="s">
        <v>2761</v>
      </c>
    </row>
    <row r="5547" spans="1:31" ht="18" hidden="1">
      <c r="A5547" s="2714"/>
      <c r="B5547" s="371">
        <v>133</v>
      </c>
      <c r="C5547" s="371" t="s">
        <v>2791</v>
      </c>
      <c r="D5547" s="2716">
        <f t="shared" si="596"/>
        <v>0</v>
      </c>
      <c r="E5547" s="2721">
        <v>1</v>
      </c>
      <c r="F5547" s="293"/>
      <c r="G5547" s="2589" t="s">
        <v>2792</v>
      </c>
      <c r="H5547" s="2275"/>
      <c r="I5547" s="2275"/>
      <c r="J5547" s="2275"/>
      <c r="K5547" s="1477">
        <f t="shared" si="599"/>
        <v>0</v>
      </c>
      <c r="L5547" s="2211"/>
      <c r="M5547" s="2212"/>
      <c r="N5547" s="2210"/>
      <c r="O5547" s="2211"/>
      <c r="P5547" s="2212"/>
      <c r="Q5547" s="442"/>
      <c r="R5547" s="442"/>
      <c r="S5547" s="364"/>
      <c r="Z5547" s="609" t="s">
        <v>2129</v>
      </c>
      <c r="AA5547" s="609" t="s">
        <v>19</v>
      </c>
      <c r="AE5547" s="369" t="s">
        <v>2761</v>
      </c>
    </row>
    <row r="5548" spans="1:31" ht="24" hidden="1">
      <c r="A5548" s="2714"/>
      <c r="B5548" s="371">
        <v>134</v>
      </c>
      <c r="C5548" s="371"/>
      <c r="D5548" s="2716">
        <f t="shared" si="596"/>
        <v>1</v>
      </c>
      <c r="E5548" s="2721">
        <v>1</v>
      </c>
      <c r="F5548" s="293"/>
      <c r="G5548" s="1474" t="s">
        <v>4557</v>
      </c>
      <c r="H5548" s="1476">
        <f>SUM(H5541,H5546,H5547)</f>
        <v>0</v>
      </c>
      <c r="I5548" s="1476">
        <f t="shared" ref="I5548:J5548" si="606">SUM(I5541,I5546,I5547)</f>
        <v>0</v>
      </c>
      <c r="J5548" s="1476">
        <f t="shared" si="606"/>
        <v>0</v>
      </c>
      <c r="K5548" s="1477">
        <f t="shared" si="599"/>
        <v>0</v>
      </c>
      <c r="L5548" s="2211"/>
      <c r="M5548" s="2212"/>
      <c r="N5548" s="2210"/>
      <c r="O5548" s="2211"/>
      <c r="P5548" s="2212"/>
      <c r="Q5548" s="442"/>
      <c r="R5548" s="442"/>
      <c r="S5548" s="364"/>
      <c r="Z5548" s="609" t="s">
        <v>2129</v>
      </c>
      <c r="AA5548" s="609" t="s">
        <v>19</v>
      </c>
      <c r="AE5548" s="369" t="s">
        <v>2761</v>
      </c>
    </row>
    <row r="5549" spans="1:31" ht="18" hidden="1">
      <c r="A5549" s="2714"/>
      <c r="B5549" s="371">
        <v>135</v>
      </c>
      <c r="C5549" s="371"/>
      <c r="D5549" s="2716">
        <f t="shared" si="596"/>
        <v>1</v>
      </c>
      <c r="E5549" s="2721" t="s">
        <v>41</v>
      </c>
      <c r="F5549" s="293"/>
      <c r="G5549" s="1474" t="s">
        <v>4558</v>
      </c>
      <c r="H5549" s="2275"/>
      <c r="I5549" s="2275"/>
      <c r="J5549" s="2275"/>
      <c r="K5549" s="2296"/>
      <c r="L5549" s="2211"/>
      <c r="M5549" s="2212"/>
      <c r="N5549" s="2210"/>
      <c r="O5549" s="2211"/>
      <c r="P5549" s="2212"/>
      <c r="Q5549" s="442"/>
      <c r="R5549" s="442"/>
      <c r="S5549" s="364"/>
      <c r="Z5549" s="609" t="s">
        <v>2129</v>
      </c>
      <c r="AA5549" s="609" t="s">
        <v>19</v>
      </c>
      <c r="AE5549" s="369" t="s">
        <v>2761</v>
      </c>
    </row>
    <row r="5550" spans="1:31" ht="18" hidden="1">
      <c r="A5550" s="2714"/>
      <c r="B5550" s="371">
        <v>136</v>
      </c>
      <c r="C5550" s="371"/>
      <c r="D5550" s="2716">
        <f t="shared" si="596"/>
        <v>1</v>
      </c>
      <c r="E5550" s="2721">
        <v>1</v>
      </c>
      <c r="F5550" s="293"/>
      <c r="G5550" s="1474" t="s">
        <v>4559</v>
      </c>
      <c r="H5550" s="2275"/>
      <c r="I5550" s="2275"/>
      <c r="J5550" s="2275"/>
      <c r="K5550" s="1477">
        <f t="shared" si="599"/>
        <v>0</v>
      </c>
      <c r="L5550" s="2211"/>
      <c r="M5550" s="2212"/>
      <c r="N5550" s="2210"/>
      <c r="O5550" s="2211"/>
      <c r="P5550" s="2212"/>
      <c r="Q5550" s="442"/>
      <c r="R5550" s="442"/>
      <c r="S5550" s="364"/>
      <c r="Z5550" s="609" t="s">
        <v>2129</v>
      </c>
      <c r="AA5550" s="609" t="s">
        <v>19</v>
      </c>
      <c r="AE5550" s="369" t="s">
        <v>2761</v>
      </c>
    </row>
    <row r="5551" spans="1:31" ht="18" hidden="1">
      <c r="A5551" s="2714"/>
      <c r="B5551" s="371">
        <v>137</v>
      </c>
      <c r="C5551" s="371" t="s">
        <v>2791</v>
      </c>
      <c r="D5551" s="2716">
        <f t="shared" si="596"/>
        <v>0</v>
      </c>
      <c r="E5551" s="2721">
        <v>1</v>
      </c>
      <c r="F5551" s="293"/>
      <c r="G5551" s="2589" t="s">
        <v>2792</v>
      </c>
      <c r="H5551" s="2275"/>
      <c r="I5551" s="2275"/>
      <c r="J5551" s="2275"/>
      <c r="K5551" s="1477">
        <f t="shared" si="599"/>
        <v>0</v>
      </c>
      <c r="L5551" s="2211"/>
      <c r="M5551" s="2212"/>
      <c r="N5551" s="2210"/>
      <c r="O5551" s="2211"/>
      <c r="P5551" s="2212"/>
      <c r="Q5551" s="442"/>
      <c r="R5551" s="442"/>
      <c r="S5551" s="364"/>
      <c r="Z5551" s="609" t="s">
        <v>2129</v>
      </c>
      <c r="AA5551" s="609" t="s">
        <v>19</v>
      </c>
      <c r="AE5551" s="369" t="s">
        <v>2761</v>
      </c>
    </row>
    <row r="5552" spans="1:31" ht="24" hidden="1">
      <c r="A5552" s="2714"/>
      <c r="B5552" s="371">
        <v>138</v>
      </c>
      <c r="C5552" s="371"/>
      <c r="D5552" s="2716">
        <f t="shared" si="596"/>
        <v>1</v>
      </c>
      <c r="E5552" s="2721">
        <v>1</v>
      </c>
      <c r="F5552" s="293"/>
      <c r="G5552" s="1474" t="s">
        <v>4560</v>
      </c>
      <c r="H5552" s="1476">
        <f>SUM(H5550:H5551)</f>
        <v>0</v>
      </c>
      <c r="I5552" s="1476">
        <f t="shared" ref="I5552:J5552" si="607">SUM(I5550:I5551)</f>
        <v>0</v>
      </c>
      <c r="J5552" s="1476">
        <f t="shared" si="607"/>
        <v>0</v>
      </c>
      <c r="K5552" s="1477">
        <f t="shared" si="599"/>
        <v>0</v>
      </c>
      <c r="L5552" s="2211"/>
      <c r="M5552" s="2212"/>
      <c r="N5552" s="2210"/>
      <c r="O5552" s="2211"/>
      <c r="P5552" s="2212"/>
      <c r="Q5552" s="442"/>
      <c r="R5552" s="442"/>
      <c r="S5552" s="364"/>
      <c r="Z5552" s="609" t="s">
        <v>2129</v>
      </c>
      <c r="AA5552" s="609" t="s">
        <v>19</v>
      </c>
      <c r="AE5552" s="369" t="s">
        <v>2761</v>
      </c>
    </row>
    <row r="5553" spans="1:31" ht="18" hidden="1">
      <c r="A5553" s="2714"/>
      <c r="B5553" s="371">
        <v>139</v>
      </c>
      <c r="C5553" s="371" t="s">
        <v>2791</v>
      </c>
      <c r="D5553" s="2716">
        <f t="shared" si="596"/>
        <v>0</v>
      </c>
      <c r="E5553" s="2721">
        <v>1</v>
      </c>
      <c r="F5553" s="293"/>
      <c r="G5553" s="2589" t="s">
        <v>2792</v>
      </c>
      <c r="H5553" s="2275"/>
      <c r="I5553" s="2275"/>
      <c r="J5553" s="2275"/>
      <c r="K5553" s="1477">
        <f t="shared" si="599"/>
        <v>0</v>
      </c>
      <c r="L5553" s="2211"/>
      <c r="M5553" s="2212"/>
      <c r="N5553" s="2210"/>
      <c r="O5553" s="2211"/>
      <c r="P5553" s="2212"/>
      <c r="Q5553" s="442"/>
      <c r="R5553" s="442"/>
      <c r="S5553" s="364"/>
      <c r="Z5553" s="609" t="s">
        <v>2129</v>
      </c>
      <c r="AA5553" s="609" t="s">
        <v>19</v>
      </c>
      <c r="AE5553" s="369" t="s">
        <v>2761</v>
      </c>
    </row>
    <row r="5554" spans="1:31" ht="18" hidden="1">
      <c r="A5554" s="2714"/>
      <c r="B5554" s="371">
        <v>140</v>
      </c>
      <c r="C5554" s="371" t="s">
        <v>6532</v>
      </c>
      <c r="D5554" s="2716">
        <f t="shared" si="596"/>
        <v>0</v>
      </c>
      <c r="E5554" s="2721">
        <v>1</v>
      </c>
      <c r="F5554" s="293"/>
      <c r="G5554" s="2589" t="s">
        <v>2792</v>
      </c>
      <c r="H5554" s="2275"/>
      <c r="I5554" s="2275"/>
      <c r="J5554" s="2275"/>
      <c r="K5554" s="1477">
        <f t="shared" si="599"/>
        <v>0</v>
      </c>
      <c r="L5554" s="2211"/>
      <c r="M5554" s="2212"/>
      <c r="N5554" s="2210"/>
      <c r="O5554" s="2211"/>
      <c r="P5554" s="2212"/>
      <c r="Q5554" s="442"/>
      <c r="R5554" s="442"/>
      <c r="S5554" s="364"/>
      <c r="Z5554" s="609" t="s">
        <v>2129</v>
      </c>
      <c r="AA5554" s="609" t="s">
        <v>19</v>
      </c>
      <c r="AE5554" s="369" t="s">
        <v>2761</v>
      </c>
    </row>
    <row r="5555" spans="1:31" ht="24" hidden="1">
      <c r="A5555" s="2714"/>
      <c r="B5555" s="371">
        <v>141</v>
      </c>
      <c r="C5555" s="371"/>
      <c r="D5555" s="2716">
        <f t="shared" si="596"/>
        <v>1</v>
      </c>
      <c r="E5555" s="2721">
        <v>1</v>
      </c>
      <c r="F5555" s="293"/>
      <c r="G5555" s="1474" t="s">
        <v>4561</v>
      </c>
      <c r="H5555" s="1476">
        <f>SUM(H5553:H5554)</f>
        <v>0</v>
      </c>
      <c r="I5555" s="1476">
        <f t="shared" ref="I5555:J5555" si="608">SUM(I5553:I5554)</f>
        <v>0</v>
      </c>
      <c r="J5555" s="1476">
        <f t="shared" si="608"/>
        <v>0</v>
      </c>
      <c r="K5555" s="1477">
        <f t="shared" si="599"/>
        <v>0</v>
      </c>
      <c r="L5555" s="2211"/>
      <c r="M5555" s="2212"/>
      <c r="N5555" s="2210"/>
      <c r="O5555" s="2211"/>
      <c r="P5555" s="2212"/>
      <c r="Q5555" s="442"/>
      <c r="R5555" s="442"/>
      <c r="S5555" s="364"/>
      <c r="Z5555" s="609" t="s">
        <v>2129</v>
      </c>
      <c r="AA5555" s="609" t="s">
        <v>19</v>
      </c>
      <c r="AE5555" s="369" t="s">
        <v>2761</v>
      </c>
    </row>
    <row r="5556" spans="1:31" ht="18.75" hidden="1" thickBot="1">
      <c r="A5556" s="2714"/>
      <c r="B5556" s="371"/>
      <c r="C5556" s="371"/>
      <c r="D5556" s="2716">
        <f t="shared" si="596"/>
        <v>0</v>
      </c>
      <c r="E5556" s="2721" t="s">
        <v>3595</v>
      </c>
      <c r="F5556" s="293"/>
      <c r="G5556" s="2622"/>
      <c r="H5556" s="2624"/>
      <c r="I5556" s="2624"/>
      <c r="J5556" s="2624"/>
      <c r="K5556" s="2623"/>
      <c r="L5556" s="2211"/>
      <c r="M5556" s="2212"/>
      <c r="N5556" s="2210"/>
      <c r="O5556" s="2211"/>
      <c r="P5556" s="2212"/>
      <c r="Q5556" s="442"/>
      <c r="R5556" s="442"/>
      <c r="S5556" s="364"/>
      <c r="Z5556" s="609" t="s">
        <v>2129</v>
      </c>
      <c r="AA5556" s="609" t="s">
        <v>19</v>
      </c>
      <c r="AE5556" s="369" t="s">
        <v>2761</v>
      </c>
    </row>
    <row r="5557" spans="1:31" ht="18" hidden="1">
      <c r="A5557" s="2714"/>
      <c r="B5557" s="371"/>
      <c r="C5557" s="371" t="s">
        <v>2755</v>
      </c>
      <c r="D5557" s="2716"/>
      <c r="F5557" s="293"/>
      <c r="G5557" s="376"/>
      <c r="H5557" s="1576"/>
      <c r="I5557" s="396"/>
      <c r="J5557" s="315"/>
      <c r="K5557" s="423"/>
      <c r="L5557" s="2211"/>
      <c r="M5557" s="2212"/>
      <c r="N5557" s="2210"/>
      <c r="O5557" s="2211"/>
      <c r="P5557" s="2212"/>
      <c r="Q5557" s="442"/>
      <c r="R5557" s="442"/>
      <c r="S5557" s="364"/>
      <c r="Z5557" s="609" t="s">
        <v>2129</v>
      </c>
      <c r="AA5557" s="609" t="s">
        <v>19</v>
      </c>
      <c r="AE5557" s="369" t="s">
        <v>2761</v>
      </c>
    </row>
    <row r="5558" spans="1:31" ht="48">
      <c r="A5558" s="2714" t="s">
        <v>2149</v>
      </c>
      <c r="B5558" s="371">
        <v>2</v>
      </c>
      <c r="C5558" s="371"/>
      <c r="D5558" s="2716" t="str">
        <f>VLOOKUP($A5558,Sheet_NoteList,2,0)</f>
        <v>持续和非持续第二层次公允价值计量项目采用的估值技术和重要参数的定性及定量信息</v>
      </c>
      <c r="E5558" s="2716" t="s">
        <v>2742</v>
      </c>
      <c r="F5558" s="293"/>
      <c r="G5558" s="372" t="str">
        <f>"("&amp;B5558&amp;")"&amp;D5558</f>
        <v>(2)持续和非持续第二层次公允价值计量项目采用的估值技术和重要参数的定性及定量信息</v>
      </c>
      <c r="H5558" s="1517" t="str">
        <f>$A5558</f>
        <v>9331i</v>
      </c>
      <c r="I5558" s="343" t="s">
        <v>2743</v>
      </c>
      <c r="J5558" s="301" t="s">
        <v>2744</v>
      </c>
      <c r="K5558" s="2210">
        <f>H5565</f>
        <v>0</v>
      </c>
      <c r="L5558" s="349"/>
      <c r="M5558" s="301"/>
      <c r="N5558" s="391"/>
      <c r="O5558" s="349"/>
      <c r="P5558" s="301"/>
      <c r="S5558" s="364"/>
      <c r="Z5558" s="609" t="s">
        <v>2129</v>
      </c>
      <c r="AA5558" s="609" t="s">
        <v>19</v>
      </c>
    </row>
    <row r="5559" spans="1:31" ht="0.75" customHeight="1" thickBot="1">
      <c r="A5559" s="2714"/>
      <c r="B5559" s="371"/>
      <c r="C5559" s="371"/>
      <c r="D5559" s="2716"/>
      <c r="E5559" s="586"/>
      <c r="F5559" s="586"/>
      <c r="G5559" s="2224" t="s">
        <v>4562</v>
      </c>
      <c r="H5559" s="371" t="s">
        <v>2747</v>
      </c>
      <c r="I5559" s="371" t="s">
        <v>4563</v>
      </c>
      <c r="J5559" s="371" t="s">
        <v>4564</v>
      </c>
      <c r="K5559" s="428"/>
      <c r="L5559" s="428"/>
      <c r="M5559" s="433"/>
      <c r="N5559" s="428"/>
      <c r="O5559" s="428"/>
      <c r="P5559" s="433"/>
      <c r="Q5559" s="442"/>
      <c r="R5559" s="443"/>
      <c r="S5559" s="364"/>
      <c r="Z5559" s="609" t="s">
        <v>2129</v>
      </c>
      <c r="AA5559" s="609" t="s">
        <v>19</v>
      </c>
    </row>
    <row r="5560" spans="1:31" ht="24">
      <c r="A5560" s="2714"/>
      <c r="B5560" s="371"/>
      <c r="C5560" s="371"/>
      <c r="D5560" s="2716"/>
      <c r="E5560" s="586" t="s">
        <v>2749</v>
      </c>
      <c r="F5560" s="414"/>
      <c r="G5560" s="2453" t="s">
        <v>4565</v>
      </c>
      <c r="H5560" s="2461" t="str">
        <f>$W$2&amp;"公允价值"</f>
        <v>2019年12月31日公允价值</v>
      </c>
      <c r="I5560" s="2461" t="s">
        <v>4566</v>
      </c>
      <c r="J5560" s="2462" t="s">
        <v>4567</v>
      </c>
      <c r="K5560" s="355" t="s">
        <v>5349</v>
      </c>
      <c r="L5560" s="434"/>
      <c r="M5560" s="435"/>
      <c r="N5560" s="434"/>
      <c r="O5560" s="434"/>
      <c r="P5560" s="435"/>
      <c r="Q5560" s="442"/>
      <c r="R5560" s="443"/>
      <c r="S5560" s="364"/>
      <c r="Z5560" s="609" t="s">
        <v>2129</v>
      </c>
      <c r="AA5560" s="609" t="s">
        <v>19</v>
      </c>
    </row>
    <row r="5561" spans="1:31" ht="18">
      <c r="A5561" s="2714"/>
      <c r="B5561" s="371">
        <v>101</v>
      </c>
      <c r="C5561" s="371"/>
      <c r="D5561" s="2716">
        <f>IF(OR(G5561="*",G5561="",G5561=0),0,COUNTIF($G$5561:$G$5565,G5561))</f>
        <v>1</v>
      </c>
      <c r="E5561" s="2721" t="s">
        <v>41</v>
      </c>
      <c r="F5561" s="293"/>
      <c r="G5561" s="1474" t="s">
        <v>4568</v>
      </c>
      <c r="H5561" s="2275"/>
      <c r="I5561" s="2298"/>
      <c r="J5561" s="2276"/>
      <c r="K5561" s="439"/>
      <c r="L5561" s="437"/>
      <c r="M5561" s="438"/>
      <c r="N5561" s="439"/>
      <c r="O5561" s="437"/>
      <c r="P5561" s="438"/>
      <c r="Q5561" s="442"/>
      <c r="R5561" s="443"/>
      <c r="S5561" s="364"/>
      <c r="Z5561" s="609" t="s">
        <v>2129</v>
      </c>
      <c r="AA5561" s="609" t="s">
        <v>19</v>
      </c>
    </row>
    <row r="5562" spans="1:31" ht="38.25">
      <c r="A5562" s="2714"/>
      <c r="B5562" s="371">
        <v>102</v>
      </c>
      <c r="C5562" s="371"/>
      <c r="D5562" s="2716">
        <f>IF(OR(G5562="*",G5562="",G5562=0),0,COUNTIF($G$5561:$G$5565,G5562))</f>
        <v>1</v>
      </c>
      <c r="E5562" s="2721">
        <v>1</v>
      </c>
      <c r="F5562" s="293"/>
      <c r="G5562" s="1474" t="s">
        <v>90</v>
      </c>
      <c r="H5562" s="2275"/>
      <c r="I5562" s="2298" t="s">
        <v>4569</v>
      </c>
      <c r="J5562" s="2494" t="s">
        <v>4570</v>
      </c>
      <c r="K5562" s="439"/>
      <c r="L5562" s="437"/>
      <c r="M5562" s="438"/>
      <c r="N5562" s="439"/>
      <c r="O5562" s="437"/>
      <c r="P5562" s="438"/>
      <c r="Q5562" s="442"/>
      <c r="R5562" s="443"/>
      <c r="S5562" s="364"/>
      <c r="Z5562" s="609" t="s">
        <v>2129</v>
      </c>
      <c r="AA5562" s="609" t="s">
        <v>19</v>
      </c>
    </row>
    <row r="5563" spans="1:31" ht="38.25">
      <c r="A5563" s="2714"/>
      <c r="B5563" s="371">
        <v>103</v>
      </c>
      <c r="C5563" s="371"/>
      <c r="D5563" s="2716">
        <f>IF(OR(G5563="*",G5563="",G5563=0),0,COUNTIF($G$5561:$G$5565,G5563))</f>
        <v>1</v>
      </c>
      <c r="E5563" s="2721">
        <v>1</v>
      </c>
      <c r="F5563" s="293"/>
      <c r="G5563" s="1474" t="s">
        <v>467</v>
      </c>
      <c r="H5563" s="2275"/>
      <c r="I5563" s="2298" t="s">
        <v>4569</v>
      </c>
      <c r="J5563" s="2494" t="s">
        <v>4570</v>
      </c>
      <c r="K5563" s="439"/>
      <c r="L5563" s="437"/>
      <c r="M5563" s="438"/>
      <c r="N5563" s="439"/>
      <c r="O5563" s="437"/>
      <c r="P5563" s="438"/>
      <c r="Q5563" s="442"/>
      <c r="R5563" s="443"/>
      <c r="S5563" s="364"/>
      <c r="Z5563" s="609" t="s">
        <v>2129</v>
      </c>
      <c r="AA5563" s="609" t="s">
        <v>19</v>
      </c>
    </row>
    <row r="5564" spans="1:31" ht="18">
      <c r="A5564" s="2714"/>
      <c r="B5564" s="371">
        <v>104</v>
      </c>
      <c r="C5564" s="371" t="s">
        <v>2791</v>
      </c>
      <c r="D5564" s="2716">
        <f>IF(OR(G5564="*",G5564="",G5564=0),0,COUNTIF($G$5561:$G$5565,G5564))</f>
        <v>0</v>
      </c>
      <c r="E5564" s="2721">
        <v>1</v>
      </c>
      <c r="F5564" s="293"/>
      <c r="G5564" s="2467" t="s">
        <v>2792</v>
      </c>
      <c r="H5564" s="2275"/>
      <c r="I5564" s="2298"/>
      <c r="J5564" s="2276"/>
      <c r="K5564" s="439"/>
      <c r="L5564" s="437"/>
      <c r="M5564" s="438"/>
      <c r="N5564" s="439"/>
      <c r="O5564" s="437"/>
      <c r="P5564" s="438"/>
      <c r="Q5564" s="442"/>
      <c r="R5564" s="443"/>
      <c r="S5564" s="364"/>
      <c r="Z5564" s="609" t="s">
        <v>2129</v>
      </c>
      <c r="AA5564" s="609" t="s">
        <v>19</v>
      </c>
    </row>
    <row r="5565" spans="1:31" ht="18.75" thickBot="1">
      <c r="A5565" s="2714"/>
      <c r="B5565" s="371"/>
      <c r="C5565" s="371"/>
      <c r="D5565" s="2716">
        <f>IF(OR(G5565="*",G5565="",G5565=0),0,COUNTIF($G$5561:$G$5565,G5565))</f>
        <v>0</v>
      </c>
      <c r="E5565" s="2721" t="s">
        <v>6555</v>
      </c>
      <c r="F5565" s="293"/>
      <c r="G5565" s="2429"/>
      <c r="H5565" s="2308"/>
      <c r="I5565" s="2241"/>
      <c r="J5565" s="2244"/>
      <c r="K5565" s="439"/>
      <c r="L5565" s="437"/>
      <c r="M5565" s="440"/>
      <c r="N5565" s="439"/>
      <c r="O5565" s="437"/>
      <c r="P5565" s="440"/>
      <c r="Q5565" s="442"/>
      <c r="R5565" s="443"/>
      <c r="S5565" s="364"/>
      <c r="Z5565" s="609" t="s">
        <v>2129</v>
      </c>
      <c r="AA5565" s="609" t="s">
        <v>19</v>
      </c>
    </row>
    <row r="5566" spans="1:31" ht="18">
      <c r="A5566" s="2714"/>
      <c r="B5566" s="371"/>
      <c r="C5566" s="371" t="s">
        <v>2755</v>
      </c>
      <c r="D5566" s="2716"/>
      <c r="F5566" s="293"/>
      <c r="G5566" s="376"/>
      <c r="H5566" s="315"/>
      <c r="I5566" s="432"/>
      <c r="J5566" s="393"/>
      <c r="K5566" s="426"/>
      <c r="L5566" s="427"/>
      <c r="M5566" s="425"/>
      <c r="N5566" s="426"/>
      <c r="O5566" s="427"/>
      <c r="P5566" s="425"/>
      <c r="Q5566" s="442"/>
      <c r="R5566" s="443"/>
      <c r="S5566" s="364"/>
      <c r="Z5566" s="609" t="s">
        <v>2129</v>
      </c>
      <c r="AA5566" s="609" t="s">
        <v>19</v>
      </c>
    </row>
    <row r="5567" spans="1:31" ht="48">
      <c r="A5567" s="2714" t="s">
        <v>2160</v>
      </c>
      <c r="B5567" s="371">
        <v>3</v>
      </c>
      <c r="C5567" s="371"/>
      <c r="D5567" s="2716" t="str">
        <f>VLOOKUP($A5567,Sheet_NoteList,2,0)</f>
        <v>持续和非持续第三层次公允价值计量项目采用的估值技术和重要参数的定性及定量信息</v>
      </c>
      <c r="E5567" s="2716" t="s">
        <v>2742</v>
      </c>
      <c r="F5567" s="293"/>
      <c r="G5567" s="372" t="str">
        <f>"("&amp;B5567&amp;")"&amp;D5567</f>
        <v>(3)持续和非持续第三层次公允价值计量项目采用的估值技术和重要参数的定性及定量信息</v>
      </c>
      <c r="H5567" s="1517" t="str">
        <f>$A5567</f>
        <v>9331j</v>
      </c>
      <c r="I5567" s="343" t="s">
        <v>2743</v>
      </c>
      <c r="J5567" s="368" t="s">
        <v>2744</v>
      </c>
      <c r="K5567" s="2210">
        <f>H5583</f>
        <v>0</v>
      </c>
      <c r="L5567" s="349"/>
      <c r="M5567" s="301"/>
      <c r="N5567" s="391"/>
      <c r="O5567" s="349"/>
      <c r="P5567" s="301"/>
      <c r="S5567" s="364"/>
      <c r="Z5567" s="609" t="s">
        <v>2129</v>
      </c>
      <c r="AA5567" s="609" t="s">
        <v>19</v>
      </c>
    </row>
    <row r="5568" spans="1:31" ht="0.75" customHeight="1" thickBot="1">
      <c r="A5568" s="2714"/>
      <c r="B5568" s="371"/>
      <c r="C5568" s="371"/>
      <c r="D5568" s="2716"/>
      <c r="F5568" s="371"/>
      <c r="G5568" s="405" t="s">
        <v>4571</v>
      </c>
      <c r="H5568" s="371" t="s">
        <v>2747</v>
      </c>
      <c r="I5568" s="371" t="s">
        <v>4572</v>
      </c>
      <c r="J5568" s="371" t="s">
        <v>3671</v>
      </c>
      <c r="K5568" s="547" t="s">
        <v>4472</v>
      </c>
      <c r="L5568" s="428"/>
      <c r="M5568" s="433"/>
      <c r="N5568" s="428"/>
      <c r="O5568" s="428"/>
      <c r="P5568" s="433"/>
      <c r="Q5568" s="442"/>
      <c r="R5568" s="443"/>
      <c r="S5568" s="364"/>
      <c r="Z5568" s="609" t="s">
        <v>2129</v>
      </c>
      <c r="AA5568" s="609" t="s">
        <v>19</v>
      </c>
    </row>
    <row r="5569" spans="1:27" ht="25.5">
      <c r="A5569" s="2714"/>
      <c r="B5569" s="371"/>
      <c r="C5569" s="371"/>
      <c r="D5569" s="2716"/>
      <c r="E5569" s="2716" t="s">
        <v>2749</v>
      </c>
      <c r="F5569" s="293"/>
      <c r="G5569" s="2454" t="s">
        <v>4573</v>
      </c>
      <c r="H5569" s="2461" t="str">
        <f>$W$2&amp;"公允价值"</f>
        <v>2019年12月31日公允价值</v>
      </c>
      <c r="I5569" s="2461" t="s">
        <v>4566</v>
      </c>
      <c r="J5569" s="2461" t="s">
        <v>4574</v>
      </c>
      <c r="K5569" s="2470" t="s">
        <v>4575</v>
      </c>
      <c r="L5569" s="355" t="s">
        <v>5349</v>
      </c>
      <c r="M5569" s="435"/>
      <c r="N5569" s="434"/>
      <c r="O5569" s="434"/>
      <c r="P5569" s="435"/>
      <c r="Q5569" s="442"/>
      <c r="R5569" s="443"/>
      <c r="S5569" s="364"/>
      <c r="Z5569" s="609" t="s">
        <v>2129</v>
      </c>
      <c r="AA5569" s="609" t="s">
        <v>19</v>
      </c>
    </row>
    <row r="5570" spans="1:27" ht="18">
      <c r="A5570" s="2714"/>
      <c r="B5570" s="371">
        <v>101</v>
      </c>
      <c r="C5570" s="371"/>
      <c r="D5570" s="2716">
        <f t="shared" ref="D5570:D5583" si="609">IF(OR(G5570="*",G5570="",G5570=0),0,COUNTIF($G$5570:$G$5583,G5570))</f>
        <v>1</v>
      </c>
      <c r="E5570" s="2721">
        <v>1</v>
      </c>
      <c r="F5570" s="293"/>
      <c r="G5570" s="319" t="s">
        <v>3479</v>
      </c>
      <c r="H5570" s="309"/>
      <c r="I5570" s="430"/>
      <c r="J5570" s="360"/>
      <c r="K5570" s="436"/>
      <c r="L5570" s="437"/>
      <c r="M5570" s="438"/>
      <c r="N5570" s="439"/>
      <c r="O5570" s="437"/>
      <c r="P5570" s="438"/>
      <c r="Q5570" s="442"/>
      <c r="R5570" s="443"/>
      <c r="S5570" s="364"/>
      <c r="Z5570" s="609" t="s">
        <v>2129</v>
      </c>
      <c r="AA5570" s="609" t="s">
        <v>19</v>
      </c>
    </row>
    <row r="5571" spans="1:27" ht="51">
      <c r="A5571" s="2714"/>
      <c r="B5571" s="371">
        <v>102</v>
      </c>
      <c r="C5571" s="371"/>
      <c r="D5571" s="2716">
        <f t="shared" si="609"/>
        <v>1</v>
      </c>
      <c r="E5571" s="2721">
        <v>1</v>
      </c>
      <c r="F5571" s="293"/>
      <c r="G5571" s="1518" t="s">
        <v>4576</v>
      </c>
      <c r="H5571" s="309"/>
      <c r="I5571" s="624" t="s">
        <v>4577</v>
      </c>
      <c r="J5571" s="624" t="s">
        <v>4578</v>
      </c>
      <c r="K5571" s="623" t="s">
        <v>4579</v>
      </c>
      <c r="L5571" s="437"/>
      <c r="M5571" s="438"/>
      <c r="N5571" s="439"/>
      <c r="O5571" s="437"/>
      <c r="P5571" s="438"/>
      <c r="Q5571" s="442"/>
      <c r="R5571" s="443"/>
      <c r="S5571" s="364"/>
      <c r="Z5571" s="609" t="s">
        <v>2129</v>
      </c>
      <c r="AA5571" s="609" t="s">
        <v>19</v>
      </c>
    </row>
    <row r="5572" spans="1:27" ht="76.5">
      <c r="A5572" s="2714"/>
      <c r="B5572" s="371">
        <v>103</v>
      </c>
      <c r="C5572" s="371"/>
      <c r="D5572" s="2716">
        <f t="shared" si="609"/>
        <v>1</v>
      </c>
      <c r="E5572" s="2721">
        <v>1</v>
      </c>
      <c r="F5572" s="293"/>
      <c r="G5572" s="1518" t="s">
        <v>5360</v>
      </c>
      <c r="H5572" s="309"/>
      <c r="I5572" s="624" t="s">
        <v>4580</v>
      </c>
      <c r="J5572" s="624" t="s">
        <v>4581</v>
      </c>
      <c r="K5572" s="623" t="s">
        <v>4582</v>
      </c>
      <c r="L5572" s="437"/>
      <c r="M5572" s="438"/>
      <c r="N5572" s="439"/>
      <c r="O5572" s="437"/>
      <c r="P5572" s="438"/>
      <c r="Q5572" s="442"/>
      <c r="R5572" s="443"/>
      <c r="S5572" s="364"/>
      <c r="Z5572" s="609" t="s">
        <v>2129</v>
      </c>
      <c r="AA5572" s="609" t="s">
        <v>19</v>
      </c>
    </row>
    <row r="5573" spans="1:27" ht="18">
      <c r="A5573" s="2714"/>
      <c r="B5573" s="371">
        <v>104</v>
      </c>
      <c r="C5573" s="371"/>
      <c r="D5573" s="2716">
        <f t="shared" si="609"/>
        <v>1</v>
      </c>
      <c r="E5573" s="2721">
        <v>1</v>
      </c>
      <c r="F5573" s="293"/>
      <c r="G5573" s="319" t="s">
        <v>4583</v>
      </c>
      <c r="H5573" s="309"/>
      <c r="I5573" s="624" t="s">
        <v>4584</v>
      </c>
      <c r="J5573" s="624" t="s">
        <v>2760</v>
      </c>
      <c r="K5573" s="623" t="s">
        <v>4585</v>
      </c>
      <c r="L5573" s="437"/>
      <c r="M5573" s="438"/>
      <c r="N5573" s="439"/>
      <c r="O5573" s="437"/>
      <c r="P5573" s="438"/>
      <c r="Q5573" s="442"/>
      <c r="R5573" s="443"/>
      <c r="S5573" s="364"/>
      <c r="Z5573" s="609" t="s">
        <v>2129</v>
      </c>
      <c r="AA5573" s="609" t="s">
        <v>19</v>
      </c>
    </row>
    <row r="5574" spans="1:27" ht="18">
      <c r="A5574" s="2714"/>
      <c r="B5574" s="371">
        <v>105</v>
      </c>
      <c r="C5574" s="371"/>
      <c r="D5574" s="2716">
        <f t="shared" si="609"/>
        <v>1</v>
      </c>
      <c r="E5574" s="2721" t="s">
        <v>41</v>
      </c>
      <c r="F5574" s="293"/>
      <c r="G5574" s="319" t="s">
        <v>4586</v>
      </c>
      <c r="H5574" s="309"/>
      <c r="I5574" s="624"/>
      <c r="J5574" s="624"/>
      <c r="K5574" s="623"/>
      <c r="L5574" s="437"/>
      <c r="M5574" s="438"/>
      <c r="N5574" s="439"/>
      <c r="O5574" s="437"/>
      <c r="P5574" s="438"/>
      <c r="Q5574" s="442"/>
      <c r="R5574" s="443"/>
      <c r="S5574" s="364"/>
      <c r="Z5574" s="609" t="s">
        <v>2129</v>
      </c>
      <c r="AA5574" s="609" t="s">
        <v>19</v>
      </c>
    </row>
    <row r="5575" spans="1:27" ht="51">
      <c r="A5575" s="2714"/>
      <c r="B5575" s="371">
        <v>106</v>
      </c>
      <c r="C5575" s="371"/>
      <c r="D5575" s="2716">
        <f t="shared" si="609"/>
        <v>1</v>
      </c>
      <c r="E5575" s="2721">
        <v>1</v>
      </c>
      <c r="F5575" s="293"/>
      <c r="G5575" s="319" t="s">
        <v>4587</v>
      </c>
      <c r="H5575" s="309"/>
      <c r="I5575" s="624" t="s">
        <v>4580</v>
      </c>
      <c r="J5575" s="624" t="s">
        <v>4588</v>
      </c>
      <c r="K5575" s="623" t="s">
        <v>4589</v>
      </c>
      <c r="L5575" s="437"/>
      <c r="M5575" s="438"/>
      <c r="N5575" s="439"/>
      <c r="O5575" s="437"/>
      <c r="P5575" s="438"/>
      <c r="Q5575" s="442"/>
      <c r="R5575" s="443"/>
      <c r="S5575" s="364"/>
      <c r="Z5575" s="609" t="s">
        <v>2129</v>
      </c>
      <c r="AA5575" s="609" t="s">
        <v>19</v>
      </c>
    </row>
    <row r="5576" spans="1:27" ht="25.5">
      <c r="A5576" s="2714"/>
      <c r="B5576" s="371">
        <v>107</v>
      </c>
      <c r="C5576" s="371"/>
      <c r="D5576" s="2716">
        <f t="shared" si="609"/>
        <v>1</v>
      </c>
      <c r="E5576" s="2721">
        <v>1</v>
      </c>
      <c r="F5576" s="293"/>
      <c r="G5576" s="319" t="s">
        <v>4590</v>
      </c>
      <c r="H5576" s="309"/>
      <c r="I5576" s="624" t="s">
        <v>4591</v>
      </c>
      <c r="J5576" s="624" t="s">
        <v>4592</v>
      </c>
      <c r="K5576" s="623" t="s">
        <v>4593</v>
      </c>
      <c r="L5576" s="437"/>
      <c r="M5576" s="438"/>
      <c r="N5576" s="439"/>
      <c r="O5576" s="437"/>
      <c r="P5576" s="438"/>
      <c r="Q5576" s="442"/>
      <c r="R5576" s="443"/>
      <c r="S5576" s="364"/>
      <c r="Z5576" s="609" t="s">
        <v>2129</v>
      </c>
      <c r="AA5576" s="609" t="s">
        <v>19</v>
      </c>
    </row>
    <row r="5577" spans="1:27" ht="18">
      <c r="A5577" s="2714"/>
      <c r="B5577" s="371">
        <v>108</v>
      </c>
      <c r="C5577" s="371"/>
      <c r="D5577" s="2716">
        <f t="shared" si="609"/>
        <v>1</v>
      </c>
      <c r="E5577" s="2721" t="s">
        <v>41</v>
      </c>
      <c r="F5577" s="293"/>
      <c r="G5577" s="319" t="s">
        <v>4568</v>
      </c>
      <c r="H5577" s="309"/>
      <c r="I5577" s="624"/>
      <c r="J5577" s="624"/>
      <c r="K5577" s="623"/>
      <c r="L5577" s="437"/>
      <c r="M5577" s="438"/>
      <c r="N5577" s="439"/>
      <c r="O5577" s="437"/>
      <c r="P5577" s="438"/>
      <c r="Q5577" s="442"/>
      <c r="R5577" s="443"/>
      <c r="S5577" s="364"/>
      <c r="Z5577" s="609" t="s">
        <v>2129</v>
      </c>
      <c r="AA5577" s="609" t="s">
        <v>19</v>
      </c>
    </row>
    <row r="5578" spans="1:27" ht="38.25">
      <c r="A5578" s="2714"/>
      <c r="B5578" s="371">
        <v>109</v>
      </c>
      <c r="C5578" s="371"/>
      <c r="D5578" s="2716">
        <f t="shared" si="609"/>
        <v>1</v>
      </c>
      <c r="E5578" s="2721">
        <v>1</v>
      </c>
      <c r="F5578" s="293"/>
      <c r="G5578" s="319" t="s">
        <v>4594</v>
      </c>
      <c r="H5578" s="309"/>
      <c r="I5578" s="624" t="s">
        <v>4595</v>
      </c>
      <c r="J5578" s="624" t="s">
        <v>4596</v>
      </c>
      <c r="K5578" s="623" t="s">
        <v>4597</v>
      </c>
      <c r="L5578" s="437"/>
      <c r="M5578" s="438"/>
      <c r="N5578" s="439"/>
      <c r="O5578" s="437"/>
      <c r="P5578" s="438"/>
      <c r="Q5578" s="442"/>
      <c r="R5578" s="443"/>
      <c r="S5578" s="364"/>
      <c r="Z5578" s="609" t="s">
        <v>2129</v>
      </c>
      <c r="AA5578" s="609" t="s">
        <v>19</v>
      </c>
    </row>
    <row r="5579" spans="1:27" ht="18">
      <c r="A5579" s="2714"/>
      <c r="B5579" s="371">
        <v>110</v>
      </c>
      <c r="C5579" s="371"/>
      <c r="D5579" s="2716">
        <f t="shared" si="609"/>
        <v>1</v>
      </c>
      <c r="E5579" s="2721" t="s">
        <v>41</v>
      </c>
      <c r="F5579" s="293"/>
      <c r="G5579" s="319" t="s">
        <v>4598</v>
      </c>
      <c r="H5579" s="309"/>
      <c r="I5579" s="624"/>
      <c r="J5579" s="624"/>
      <c r="K5579" s="623"/>
      <c r="L5579" s="437"/>
      <c r="M5579" s="438"/>
      <c r="N5579" s="439"/>
      <c r="O5579" s="437"/>
      <c r="P5579" s="438"/>
      <c r="Q5579" s="442"/>
      <c r="R5579" s="443"/>
      <c r="S5579" s="364"/>
      <c r="Z5579" s="609" t="s">
        <v>2129</v>
      </c>
      <c r="AA5579" s="609" t="s">
        <v>19</v>
      </c>
    </row>
    <row r="5580" spans="1:27" ht="51">
      <c r="A5580" s="2714"/>
      <c r="B5580" s="371">
        <v>111</v>
      </c>
      <c r="C5580" s="371"/>
      <c r="D5580" s="2716">
        <f t="shared" si="609"/>
        <v>1</v>
      </c>
      <c r="E5580" s="2721">
        <v>1</v>
      </c>
      <c r="F5580" s="293"/>
      <c r="G5580" s="3470" t="s">
        <v>4599</v>
      </c>
      <c r="H5580" s="309"/>
      <c r="I5580" s="624" t="s">
        <v>4580</v>
      </c>
      <c r="J5580" s="624" t="s">
        <v>4600</v>
      </c>
      <c r="K5580" s="623" t="s">
        <v>4601</v>
      </c>
      <c r="L5580" s="437"/>
      <c r="M5580" s="438"/>
      <c r="N5580" s="439"/>
      <c r="O5580" s="437"/>
      <c r="P5580" s="438"/>
      <c r="Q5580" s="442"/>
      <c r="R5580" s="443"/>
      <c r="S5580" s="364"/>
      <c r="Z5580" s="609" t="s">
        <v>2129</v>
      </c>
      <c r="AA5580" s="609" t="s">
        <v>19</v>
      </c>
    </row>
    <row r="5581" spans="1:27" ht="25.5">
      <c r="A5581" s="2714"/>
      <c r="B5581" s="371">
        <v>112</v>
      </c>
      <c r="C5581" s="371"/>
      <c r="D5581" s="2716">
        <f t="shared" si="609"/>
        <v>0</v>
      </c>
      <c r="E5581" s="2721">
        <v>1</v>
      </c>
      <c r="F5581" s="293"/>
      <c r="G5581" s="3470"/>
      <c r="H5581" s="309"/>
      <c r="I5581" s="624" t="s">
        <v>4602</v>
      </c>
      <c r="J5581" s="624" t="s">
        <v>4603</v>
      </c>
      <c r="K5581" s="623">
        <v>60000</v>
      </c>
      <c r="L5581" s="437"/>
      <c r="M5581" s="438"/>
      <c r="N5581" s="439"/>
      <c r="O5581" s="437"/>
      <c r="P5581" s="438"/>
      <c r="Q5581" s="442"/>
      <c r="R5581" s="443"/>
      <c r="S5581" s="364"/>
      <c r="Z5581" s="609" t="s">
        <v>2129</v>
      </c>
      <c r="AA5581" s="609" t="s">
        <v>19</v>
      </c>
    </row>
    <row r="5582" spans="1:27" ht="18">
      <c r="A5582" s="2714"/>
      <c r="B5582" s="371">
        <v>113</v>
      </c>
      <c r="C5582" s="371" t="s">
        <v>2791</v>
      </c>
      <c r="D5582" s="2716">
        <f t="shared" si="609"/>
        <v>0</v>
      </c>
      <c r="E5582" s="2721">
        <v>1</v>
      </c>
      <c r="F5582" s="293"/>
      <c r="G5582" s="319" t="s">
        <v>2792</v>
      </c>
      <c r="H5582" s="309"/>
      <c r="I5582" s="430"/>
      <c r="J5582" s="360"/>
      <c r="K5582" s="436"/>
      <c r="L5582" s="437"/>
      <c r="M5582" s="438"/>
      <c r="N5582" s="439"/>
      <c r="O5582" s="437"/>
      <c r="P5582" s="438"/>
      <c r="Q5582" s="442"/>
      <c r="R5582" s="443"/>
      <c r="S5582" s="364"/>
      <c r="Z5582" s="609" t="s">
        <v>2129</v>
      </c>
      <c r="AA5582" s="609" t="s">
        <v>19</v>
      </c>
    </row>
    <row r="5583" spans="1:27" ht="18.75" thickBot="1">
      <c r="A5583" s="2714"/>
      <c r="B5583" s="371"/>
      <c r="C5583" s="371"/>
      <c r="D5583" s="2716">
        <f t="shared" si="609"/>
        <v>0</v>
      </c>
      <c r="E5583" s="2721" t="s">
        <v>6555</v>
      </c>
      <c r="F5583" s="293"/>
      <c r="G5583" s="2234"/>
      <c r="H5583" s="2325"/>
      <c r="I5583" s="2495"/>
      <c r="J5583" s="2495"/>
      <c r="K5583" s="2496"/>
      <c r="L5583" s="437"/>
      <c r="M5583" s="440"/>
      <c r="N5583" s="439"/>
      <c r="O5583" s="437"/>
      <c r="P5583" s="440"/>
      <c r="Q5583" s="442"/>
      <c r="R5583" s="443"/>
      <c r="S5583" s="364"/>
      <c r="Z5583" s="609" t="s">
        <v>2129</v>
      </c>
      <c r="AA5583" s="609" t="s">
        <v>19</v>
      </c>
    </row>
    <row r="5584" spans="1:27" ht="18">
      <c r="A5584" s="2714"/>
      <c r="B5584" s="371"/>
      <c r="C5584" s="371" t="s">
        <v>2755</v>
      </c>
      <c r="D5584" s="2716"/>
      <c r="F5584" s="293"/>
      <c r="G5584" s="376"/>
      <c r="H5584" s="315"/>
      <c r="I5584" s="432"/>
      <c r="J5584" s="393"/>
      <c r="K5584" s="392"/>
      <c r="L5584" s="427"/>
      <c r="M5584" s="425"/>
      <c r="N5584" s="426"/>
      <c r="O5584" s="427"/>
      <c r="P5584" s="425"/>
      <c r="Q5584" s="442"/>
      <c r="R5584" s="443"/>
      <c r="S5584" s="364"/>
      <c r="Z5584" s="609" t="s">
        <v>2129</v>
      </c>
      <c r="AA5584" s="609" t="s">
        <v>19</v>
      </c>
    </row>
    <row r="5585" spans="1:27" ht="48">
      <c r="A5585" s="2714" t="s">
        <v>2144</v>
      </c>
      <c r="B5585" s="371">
        <v>4</v>
      </c>
      <c r="C5585" s="371"/>
      <c r="D5585" s="2716" t="str">
        <f>VLOOKUP($A5585,Sheet_NoteList,2,0)</f>
        <v>持续的第三层次公允价值计量项目期初与期末账面价值之间的调节信息及不可观察参数的敏感性分析</v>
      </c>
      <c r="E5585" s="2716" t="s">
        <v>2742</v>
      </c>
      <c r="F5585" s="294"/>
      <c r="G5585" s="372" t="str">
        <f>"("&amp;B5585&amp;")"&amp;D5585</f>
        <v>(4)持续的第三层次公允价值计量项目期初与期末账面价值之间的调节信息及不可观察参数的敏感性分析</v>
      </c>
      <c r="H5585" s="1517" t="str">
        <f>$A5585</f>
        <v>9331g</v>
      </c>
      <c r="I5585" s="343" t="s">
        <v>2743</v>
      </c>
      <c r="J5585" s="301"/>
      <c r="K5585" s="3083"/>
      <c r="L5585" s="315"/>
      <c r="M5585" s="301"/>
      <c r="N5585" s="3083"/>
      <c r="O5585" s="315"/>
      <c r="P5585" s="301"/>
      <c r="S5585" s="364"/>
      <c r="Z5585" s="609" t="s">
        <v>2129</v>
      </c>
      <c r="AA5585" s="609"/>
    </row>
    <row r="5586" spans="1:27" ht="0.75" customHeight="1">
      <c r="A5586" s="2714"/>
      <c r="B5586" s="371"/>
      <c r="C5586" s="371"/>
      <c r="D5586" s="371"/>
      <c r="F5586" s="371"/>
      <c r="G5586" s="371" t="s">
        <v>4634</v>
      </c>
      <c r="H5586" s="371" t="s">
        <v>4635</v>
      </c>
      <c r="I5586" s="371" t="s">
        <v>4636</v>
      </c>
      <c r="J5586" s="371" t="s">
        <v>4637</v>
      </c>
      <c r="K5586" s="371" t="s">
        <v>4638</v>
      </c>
      <c r="L5586" s="371" t="s">
        <v>4639</v>
      </c>
      <c r="M5586" s="371" t="s">
        <v>4640</v>
      </c>
      <c r="N5586" s="371" t="s">
        <v>4641</v>
      </c>
      <c r="O5586" s="371" t="s">
        <v>4642</v>
      </c>
      <c r="P5586" s="371" t="s">
        <v>4643</v>
      </c>
      <c r="Q5586" s="543" t="s">
        <v>4644</v>
      </c>
      <c r="R5586" s="543" t="s">
        <v>4645</v>
      </c>
      <c r="S5586" s="364"/>
      <c r="Z5586" s="609" t="s">
        <v>2129</v>
      </c>
      <c r="AA5586" s="609"/>
    </row>
    <row r="5587" spans="1:27" ht="0.75" customHeight="1" thickBot="1">
      <c r="A5587" s="2714"/>
      <c r="B5587" s="371"/>
      <c r="C5587" s="371"/>
      <c r="D5587" s="371"/>
      <c r="F5587" s="371"/>
      <c r="G5587" s="371"/>
      <c r="H5587" s="371" t="s">
        <v>4646</v>
      </c>
      <c r="I5587" s="371" t="s">
        <v>4610</v>
      </c>
      <c r="J5587" s="371" t="s">
        <v>4611</v>
      </c>
      <c r="K5587" s="371" t="s">
        <v>4612</v>
      </c>
      <c r="L5587" s="371" t="s">
        <v>4613</v>
      </c>
      <c r="M5587" s="371" t="s">
        <v>4614</v>
      </c>
      <c r="N5587" s="371" t="s">
        <v>4615</v>
      </c>
      <c r="O5587" s="371" t="s">
        <v>4616</v>
      </c>
      <c r="P5587" s="371" t="s">
        <v>4617</v>
      </c>
      <c r="Q5587" s="543" t="s">
        <v>4647</v>
      </c>
      <c r="R5587" s="543" t="s">
        <v>4618</v>
      </c>
      <c r="S5587" s="364"/>
      <c r="Z5587" s="609" t="s">
        <v>2129</v>
      </c>
      <c r="AA5587" s="609"/>
    </row>
    <row r="5588" spans="1:27" ht="36" customHeight="1">
      <c r="A5588" s="2714"/>
      <c r="B5588" s="371"/>
      <c r="C5588" s="371"/>
      <c r="D5588" s="371"/>
      <c r="E5588" s="2716" t="s">
        <v>2749</v>
      </c>
      <c r="F5588" s="293"/>
      <c r="G5588" s="3432" t="s">
        <v>47</v>
      </c>
      <c r="H5588" s="3413" t="str">
        <f>$V$3</f>
        <v>2018年12月31日</v>
      </c>
      <c r="I5588" s="3415" t="s">
        <v>4619</v>
      </c>
      <c r="J5588" s="3415" t="s">
        <v>4620</v>
      </c>
      <c r="K5588" s="3415" t="s">
        <v>4621</v>
      </c>
      <c r="L5588" s="3415"/>
      <c r="M5588" s="3530" t="s">
        <v>4622</v>
      </c>
      <c r="N5588" s="3530"/>
      <c r="O5588" s="3530"/>
      <c r="P5588" s="3530"/>
      <c r="Q5588" s="3434" t="str">
        <f>$V$2</f>
        <v>2019年12月31日</v>
      </c>
      <c r="R5588" s="3436" t="s">
        <v>4623</v>
      </c>
      <c r="S5588" s="355" t="s">
        <v>5349</v>
      </c>
      <c r="Z5588" s="609" t="s">
        <v>2129</v>
      </c>
      <c r="AA5588" s="609"/>
    </row>
    <row r="5589" spans="1:27" ht="36" customHeight="1">
      <c r="A5589" s="2714"/>
      <c r="B5589" s="371"/>
      <c r="C5589" s="371"/>
      <c r="D5589" s="371"/>
      <c r="E5589" s="2716" t="s">
        <v>2749</v>
      </c>
      <c r="F5589" s="294"/>
      <c r="G5589" s="3471"/>
      <c r="H5589" s="3414"/>
      <c r="I5589" s="3416"/>
      <c r="J5589" s="3416"/>
      <c r="K5589" s="2463" t="s">
        <v>4624</v>
      </c>
      <c r="L5589" s="2463" t="s">
        <v>4625</v>
      </c>
      <c r="M5589" s="2497" t="s">
        <v>4626</v>
      </c>
      <c r="N5589" s="2497" t="s">
        <v>4627</v>
      </c>
      <c r="O5589" s="2497" t="s">
        <v>3300</v>
      </c>
      <c r="P5589" s="2497" t="s">
        <v>4628</v>
      </c>
      <c r="Q5589" s="3435"/>
      <c r="R5589" s="3437"/>
      <c r="S5589" s="364"/>
      <c r="Z5589" s="609" t="s">
        <v>2129</v>
      </c>
      <c r="AA5589" s="609"/>
    </row>
    <row r="5590" spans="1:27" ht="18">
      <c r="A5590" s="2714"/>
      <c r="B5590" s="371">
        <v>101</v>
      </c>
      <c r="C5590" s="371"/>
      <c r="D5590" s="2716">
        <f t="shared" ref="D5590:D5609" si="610">IF(OR(G5590="*",G5590="",G5590=0),0,COUNTIF($G$5590:$G$5609,G5590))</f>
        <v>1</v>
      </c>
      <c r="E5590" s="2721" t="s">
        <v>41</v>
      </c>
      <c r="F5590" s="294"/>
      <c r="G5590" s="308" t="s">
        <v>4629</v>
      </c>
      <c r="H5590" s="309"/>
      <c r="I5590" s="309"/>
      <c r="J5590" s="309"/>
      <c r="K5590" s="309"/>
      <c r="L5590" s="309"/>
      <c r="M5590" s="309"/>
      <c r="N5590" s="309"/>
      <c r="O5590" s="309"/>
      <c r="P5590" s="309"/>
      <c r="Q5590" s="309"/>
      <c r="R5590" s="346"/>
      <c r="S5590" s="364"/>
      <c r="Z5590" s="609" t="s">
        <v>2129</v>
      </c>
      <c r="AA5590" s="609"/>
    </row>
    <row r="5591" spans="1:27" ht="18">
      <c r="A5591" s="2714"/>
      <c r="B5591" s="371">
        <v>102</v>
      </c>
      <c r="C5591" s="371"/>
      <c r="D5591" s="2716">
        <f t="shared" si="610"/>
        <v>1</v>
      </c>
      <c r="E5591" s="2721">
        <v>1</v>
      </c>
      <c r="F5591" s="294"/>
      <c r="G5591" s="603" t="s">
        <v>3480</v>
      </c>
      <c r="H5591" s="309"/>
      <c r="I5591" s="309"/>
      <c r="J5591" s="309"/>
      <c r="K5591" s="309"/>
      <c r="L5591" s="309"/>
      <c r="M5591" s="309"/>
      <c r="N5591" s="309"/>
      <c r="O5591" s="309"/>
      <c r="P5591" s="309"/>
      <c r="Q5591" s="309"/>
      <c r="R5591" s="346"/>
      <c r="S5591" s="364"/>
      <c r="Z5591" s="609" t="s">
        <v>2129</v>
      </c>
      <c r="AA5591" s="609"/>
    </row>
    <row r="5592" spans="1:27" ht="18">
      <c r="A5592" s="2714"/>
      <c r="B5592" s="371">
        <v>103</v>
      </c>
      <c r="C5592" s="371"/>
      <c r="D5592" s="2716">
        <f t="shared" si="610"/>
        <v>1</v>
      </c>
      <c r="E5592" s="2721">
        <v>1</v>
      </c>
      <c r="F5592" s="294"/>
      <c r="G5592" s="603" t="s">
        <v>3479</v>
      </c>
      <c r="H5592" s="309"/>
      <c r="I5592" s="309"/>
      <c r="J5592" s="309"/>
      <c r="K5592" s="309"/>
      <c r="L5592" s="309"/>
      <c r="M5592" s="309"/>
      <c r="N5592" s="309"/>
      <c r="O5592" s="309"/>
      <c r="P5592" s="309"/>
      <c r="Q5592" s="309"/>
      <c r="R5592" s="346"/>
      <c r="S5592" s="364"/>
      <c r="Z5592" s="609" t="s">
        <v>2129</v>
      </c>
      <c r="AA5592" s="609"/>
    </row>
    <row r="5593" spans="1:27" ht="36">
      <c r="A5593" s="2714"/>
      <c r="B5593" s="371">
        <v>104</v>
      </c>
      <c r="C5593" s="371"/>
      <c r="D5593" s="2716">
        <f t="shared" si="610"/>
        <v>1</v>
      </c>
      <c r="E5593" s="2721">
        <v>1</v>
      </c>
      <c r="F5593" s="294"/>
      <c r="G5593" s="603" t="s">
        <v>2840</v>
      </c>
      <c r="H5593" s="309"/>
      <c r="I5593" s="309"/>
      <c r="J5593" s="309"/>
      <c r="K5593" s="309"/>
      <c r="L5593" s="309"/>
      <c r="M5593" s="309"/>
      <c r="N5593" s="309"/>
      <c r="O5593" s="309"/>
      <c r="P5593" s="309"/>
      <c r="Q5593" s="309"/>
      <c r="R5593" s="346"/>
      <c r="S5593" s="364"/>
      <c r="Z5593" s="609" t="s">
        <v>2129</v>
      </c>
      <c r="AA5593" s="609"/>
    </row>
    <row r="5594" spans="1:27" ht="18">
      <c r="A5594" s="2714"/>
      <c r="B5594" s="371">
        <v>105</v>
      </c>
      <c r="C5594" s="371"/>
      <c r="D5594" s="2716">
        <f t="shared" si="610"/>
        <v>1</v>
      </c>
      <c r="E5594" s="2721">
        <v>1</v>
      </c>
      <c r="F5594" s="294"/>
      <c r="G5594" s="578" t="s">
        <v>932</v>
      </c>
      <c r="H5594" s="309"/>
      <c r="I5594" s="309"/>
      <c r="J5594" s="309"/>
      <c r="K5594" s="309"/>
      <c r="L5594" s="309"/>
      <c r="M5594" s="309"/>
      <c r="N5594" s="309"/>
      <c r="O5594" s="309"/>
      <c r="P5594" s="309"/>
      <c r="Q5594" s="309"/>
      <c r="R5594" s="346"/>
      <c r="S5594" s="364"/>
      <c r="Z5594" s="609" t="s">
        <v>2129</v>
      </c>
      <c r="AA5594" s="609"/>
    </row>
    <row r="5595" spans="1:27" ht="18">
      <c r="A5595" s="2714"/>
      <c r="B5595" s="371">
        <v>106</v>
      </c>
      <c r="C5595" s="371"/>
      <c r="D5595" s="2716">
        <f t="shared" si="610"/>
        <v>1</v>
      </c>
      <c r="E5595" s="2721">
        <v>1</v>
      </c>
      <c r="F5595" s="294"/>
      <c r="G5595" s="319" t="s">
        <v>90</v>
      </c>
      <c r="H5595" s="309"/>
      <c r="I5595" s="309"/>
      <c r="J5595" s="309"/>
      <c r="K5595" s="309"/>
      <c r="L5595" s="309"/>
      <c r="M5595" s="309"/>
      <c r="N5595" s="309"/>
      <c r="O5595" s="309"/>
      <c r="P5595" s="309"/>
      <c r="Q5595" s="309"/>
      <c r="R5595" s="346"/>
      <c r="S5595" s="364"/>
      <c r="Z5595" s="609" t="s">
        <v>2129</v>
      </c>
      <c r="AA5595" s="609"/>
    </row>
    <row r="5596" spans="1:27" ht="18">
      <c r="A5596" s="2714"/>
      <c r="B5596" s="371">
        <v>107</v>
      </c>
      <c r="C5596" s="371"/>
      <c r="D5596" s="2716">
        <f t="shared" si="610"/>
        <v>1</v>
      </c>
      <c r="E5596" s="2721">
        <v>1</v>
      </c>
      <c r="F5596" s="294"/>
      <c r="G5596" s="319" t="s">
        <v>282</v>
      </c>
      <c r="H5596" s="309"/>
      <c r="I5596" s="309"/>
      <c r="J5596" s="309"/>
      <c r="K5596" s="309"/>
      <c r="L5596" s="309"/>
      <c r="M5596" s="309"/>
      <c r="N5596" s="309"/>
      <c r="O5596" s="309"/>
      <c r="P5596" s="309"/>
      <c r="Q5596" s="309"/>
      <c r="R5596" s="346"/>
      <c r="S5596" s="364"/>
      <c r="Z5596" s="609" t="s">
        <v>2129</v>
      </c>
      <c r="AA5596" s="609"/>
    </row>
    <row r="5597" spans="1:27" ht="18">
      <c r="A5597" s="2714"/>
      <c r="B5597" s="371">
        <v>108</v>
      </c>
      <c r="C5597" s="371"/>
      <c r="D5597" s="2716">
        <f t="shared" si="610"/>
        <v>1</v>
      </c>
      <c r="E5597" s="2721">
        <v>1</v>
      </c>
      <c r="F5597" s="294"/>
      <c r="G5597" s="319" t="s">
        <v>323</v>
      </c>
      <c r="H5597" s="309"/>
      <c r="I5597" s="309"/>
      <c r="J5597" s="309"/>
      <c r="K5597" s="309"/>
      <c r="L5597" s="309"/>
      <c r="M5597" s="309"/>
      <c r="N5597" s="309"/>
      <c r="O5597" s="309"/>
      <c r="P5597" s="309"/>
      <c r="Q5597" s="309"/>
      <c r="R5597" s="346"/>
      <c r="S5597" s="364"/>
      <c r="Z5597" s="609" t="s">
        <v>2129</v>
      </c>
      <c r="AA5597" s="609"/>
    </row>
    <row r="5598" spans="1:27" ht="18">
      <c r="A5598" s="2714"/>
      <c r="B5598" s="371">
        <v>109</v>
      </c>
      <c r="C5598" s="371"/>
      <c r="D5598" s="2716">
        <f t="shared" si="610"/>
        <v>1</v>
      </c>
      <c r="E5598" s="2721">
        <v>1</v>
      </c>
      <c r="F5598" s="294"/>
      <c r="G5598" s="308" t="s">
        <v>329</v>
      </c>
      <c r="H5598" s="377"/>
      <c r="I5598" s="377"/>
      <c r="J5598" s="377"/>
      <c r="K5598" s="377"/>
      <c r="L5598" s="377"/>
      <c r="M5598" s="377"/>
      <c r="N5598" s="377"/>
      <c r="O5598" s="377"/>
      <c r="P5598" s="377"/>
      <c r="Q5598" s="377">
        <f>SUMIF($E$5589:$E$5608,$G5598,Q$5589:Q$5608)</f>
        <v>0</v>
      </c>
      <c r="R5598" s="397">
        <f>SUMIF($E$5589:$E$5608,$G5598,R$5589:R$5608)</f>
        <v>0</v>
      </c>
      <c r="S5598" s="364"/>
      <c r="Z5598" s="609" t="s">
        <v>2129</v>
      </c>
      <c r="AA5598" s="609"/>
    </row>
    <row r="5599" spans="1:27" ht="18">
      <c r="A5599" s="2714"/>
      <c r="B5599" s="371">
        <v>110</v>
      </c>
      <c r="C5599" s="371"/>
      <c r="D5599" s="2716">
        <f t="shared" si="610"/>
        <v>1</v>
      </c>
      <c r="E5599" s="2721" t="s">
        <v>41</v>
      </c>
      <c r="F5599" s="294"/>
      <c r="G5599" s="308" t="s">
        <v>4598</v>
      </c>
      <c r="H5599" s="309"/>
      <c r="I5599" s="309"/>
      <c r="J5599" s="309"/>
      <c r="K5599" s="309"/>
      <c r="L5599" s="309"/>
      <c r="M5599" s="309"/>
      <c r="N5599" s="309"/>
      <c r="O5599" s="309"/>
      <c r="P5599" s="309"/>
      <c r="Q5599" s="309"/>
      <c r="R5599" s="346"/>
      <c r="S5599" s="364"/>
      <c r="Z5599" s="609" t="s">
        <v>2129</v>
      </c>
      <c r="AA5599" s="609"/>
    </row>
    <row r="5600" spans="1:27" ht="18">
      <c r="A5600" s="2714"/>
      <c r="B5600" s="371">
        <v>111</v>
      </c>
      <c r="C5600" s="371"/>
      <c r="D5600" s="2716">
        <f t="shared" si="610"/>
        <v>1</v>
      </c>
      <c r="E5600" s="2721">
        <v>1</v>
      </c>
      <c r="F5600" s="294"/>
      <c r="G5600" s="603" t="s">
        <v>4630</v>
      </c>
      <c r="H5600" s="309"/>
      <c r="I5600" s="309"/>
      <c r="J5600" s="309"/>
      <c r="K5600" s="309"/>
      <c r="L5600" s="309"/>
      <c r="M5600" s="309"/>
      <c r="N5600" s="309"/>
      <c r="O5600" s="309"/>
      <c r="P5600" s="309"/>
      <c r="Q5600" s="309"/>
      <c r="R5600" s="346"/>
      <c r="S5600" s="364"/>
      <c r="Z5600" s="609" t="s">
        <v>2129</v>
      </c>
      <c r="AA5600" s="609"/>
    </row>
    <row r="5601" spans="1:27" ht="18">
      <c r="A5601" s="2714"/>
      <c r="B5601" s="371">
        <v>112</v>
      </c>
      <c r="C5601" s="371"/>
      <c r="D5601" s="2716">
        <f t="shared" si="610"/>
        <v>1</v>
      </c>
      <c r="E5601" s="2721">
        <v>1</v>
      </c>
      <c r="F5601" s="294"/>
      <c r="G5601" s="603" t="s">
        <v>4631</v>
      </c>
      <c r="H5601" s="309"/>
      <c r="I5601" s="309"/>
      <c r="J5601" s="309"/>
      <c r="K5601" s="309"/>
      <c r="L5601" s="309"/>
      <c r="M5601" s="309"/>
      <c r="N5601" s="309"/>
      <c r="O5601" s="309"/>
      <c r="P5601" s="309"/>
      <c r="Q5601" s="309"/>
      <c r="R5601" s="346"/>
      <c r="S5601" s="364"/>
      <c r="Z5601" s="609" t="s">
        <v>2129</v>
      </c>
      <c r="AA5601" s="609"/>
    </row>
    <row r="5602" spans="1:27" ht="24">
      <c r="A5602" s="2714"/>
      <c r="B5602" s="371">
        <v>113</v>
      </c>
      <c r="C5602" s="371"/>
      <c r="D5602" s="2716">
        <f t="shared" si="610"/>
        <v>1</v>
      </c>
      <c r="E5602" s="2721">
        <v>1</v>
      </c>
      <c r="F5602" s="294"/>
      <c r="G5602" s="578" t="s">
        <v>4632</v>
      </c>
      <c r="H5602" s="309"/>
      <c r="I5602" s="309"/>
      <c r="J5602" s="309"/>
      <c r="K5602" s="309"/>
      <c r="L5602" s="309"/>
      <c r="M5602" s="309"/>
      <c r="N5602" s="309"/>
      <c r="O5602" s="309"/>
      <c r="P5602" s="309"/>
      <c r="Q5602" s="309"/>
      <c r="R5602" s="346"/>
      <c r="S5602" s="364"/>
      <c r="Z5602" s="609" t="s">
        <v>2129</v>
      </c>
      <c r="AA5602" s="609"/>
    </row>
    <row r="5603" spans="1:27" ht="18">
      <c r="A5603" s="2714"/>
      <c r="B5603" s="371">
        <v>114</v>
      </c>
      <c r="C5603" s="371"/>
      <c r="D5603" s="2716">
        <f t="shared" si="610"/>
        <v>1</v>
      </c>
      <c r="E5603" s="2721" t="s">
        <v>41</v>
      </c>
      <c r="F5603" s="294"/>
      <c r="G5603" s="308" t="s">
        <v>4633</v>
      </c>
      <c r="H5603" s="377"/>
      <c r="I5603" s="377"/>
      <c r="J5603" s="377"/>
      <c r="K5603" s="377"/>
      <c r="L5603" s="377"/>
      <c r="M5603" s="377"/>
      <c r="N5603" s="377"/>
      <c r="O5603" s="377"/>
      <c r="P5603" s="377"/>
      <c r="Q5603" s="377">
        <f>SUMIF($E$5589:$E$5608,$G5603,Q$5589:Q$5608)</f>
        <v>0</v>
      </c>
      <c r="R5603" s="397">
        <f>SUMIF($E$5589:$E$5608,$G5603,R$5589:R$5608)</f>
        <v>0</v>
      </c>
      <c r="S5603" s="364"/>
      <c r="Z5603" s="609" t="s">
        <v>2129</v>
      </c>
      <c r="AA5603" s="609"/>
    </row>
    <row r="5604" spans="1:27" ht="18">
      <c r="A5604" s="2714"/>
      <c r="B5604" s="371">
        <v>115</v>
      </c>
      <c r="C5604" s="371"/>
      <c r="D5604" s="2716">
        <f t="shared" si="610"/>
        <v>1</v>
      </c>
      <c r="E5604" s="2721">
        <v>1</v>
      </c>
      <c r="F5604" s="294"/>
      <c r="G5604" s="603" t="s">
        <v>346</v>
      </c>
      <c r="H5604" s="309"/>
      <c r="I5604" s="309"/>
      <c r="J5604" s="309"/>
      <c r="K5604" s="309"/>
      <c r="L5604" s="309"/>
      <c r="M5604" s="309"/>
      <c r="N5604" s="309"/>
      <c r="O5604" s="309"/>
      <c r="P5604" s="309"/>
      <c r="Q5604" s="309"/>
      <c r="R5604" s="346"/>
      <c r="S5604" s="364"/>
      <c r="Z5604" s="609" t="s">
        <v>2129</v>
      </c>
      <c r="AA5604" s="609"/>
    </row>
    <row r="5605" spans="1:27" ht="18">
      <c r="A5605" s="2714"/>
      <c r="B5605" s="371">
        <v>116</v>
      </c>
      <c r="C5605" s="371"/>
      <c r="D5605" s="2716">
        <f t="shared" si="610"/>
        <v>1</v>
      </c>
      <c r="E5605" s="2721">
        <v>1</v>
      </c>
      <c r="F5605" s="294"/>
      <c r="G5605" s="603" t="s">
        <v>381</v>
      </c>
      <c r="H5605" s="309"/>
      <c r="I5605" s="309"/>
      <c r="J5605" s="309"/>
      <c r="K5605" s="309"/>
      <c r="L5605" s="309"/>
      <c r="M5605" s="309"/>
      <c r="N5605" s="309"/>
      <c r="O5605" s="309"/>
      <c r="P5605" s="309"/>
      <c r="Q5605" s="309"/>
      <c r="R5605" s="346"/>
      <c r="S5605" s="364"/>
      <c r="Z5605" s="609" t="s">
        <v>2129</v>
      </c>
      <c r="AA5605" s="609"/>
    </row>
    <row r="5606" spans="1:27" ht="18">
      <c r="A5606" s="2714"/>
      <c r="B5606" s="371">
        <v>117</v>
      </c>
      <c r="C5606" s="371" t="s">
        <v>2791</v>
      </c>
      <c r="D5606" s="2716">
        <f t="shared" si="610"/>
        <v>0</v>
      </c>
      <c r="E5606" s="2721">
        <v>1</v>
      </c>
      <c r="F5606" s="294"/>
      <c r="G5606" s="625" t="s">
        <v>2792</v>
      </c>
      <c r="H5606" s="309"/>
      <c r="I5606" s="309"/>
      <c r="J5606" s="309"/>
      <c r="K5606" s="309"/>
      <c r="L5606" s="309"/>
      <c r="M5606" s="309"/>
      <c r="N5606" s="309"/>
      <c r="O5606" s="309"/>
      <c r="P5606" s="309"/>
      <c r="Q5606" s="309"/>
      <c r="R5606" s="346"/>
      <c r="S5606" s="364"/>
      <c r="Z5606" s="609" t="s">
        <v>2129</v>
      </c>
      <c r="AA5606" s="609"/>
    </row>
    <row r="5607" spans="1:27" ht="18">
      <c r="A5607" s="2714"/>
      <c r="B5607" s="371">
        <v>118</v>
      </c>
      <c r="C5607" s="371" t="s">
        <v>2791</v>
      </c>
      <c r="D5607" s="2716">
        <f t="shared" si="610"/>
        <v>0</v>
      </c>
      <c r="E5607" s="2721">
        <v>1</v>
      </c>
      <c r="F5607" s="294"/>
      <c r="G5607" s="625" t="s">
        <v>2792</v>
      </c>
      <c r="H5607" s="309"/>
      <c r="I5607" s="309"/>
      <c r="J5607" s="309"/>
      <c r="K5607" s="309"/>
      <c r="L5607" s="309"/>
      <c r="M5607" s="309"/>
      <c r="N5607" s="309"/>
      <c r="O5607" s="309"/>
      <c r="P5607" s="309"/>
      <c r="Q5607" s="309"/>
      <c r="R5607" s="346"/>
      <c r="S5607" s="364"/>
      <c r="Z5607" s="609" t="s">
        <v>2129</v>
      </c>
      <c r="AA5607" s="609"/>
    </row>
    <row r="5608" spans="1:27" ht="18">
      <c r="A5608" s="2714"/>
      <c r="B5608" s="371">
        <v>119</v>
      </c>
      <c r="C5608" s="371" t="s">
        <v>2791</v>
      </c>
      <c r="D5608" s="2716">
        <f t="shared" si="610"/>
        <v>0</v>
      </c>
      <c r="E5608" s="2721">
        <v>1</v>
      </c>
      <c r="F5608" s="294"/>
      <c r="G5608" s="625" t="s">
        <v>2792</v>
      </c>
      <c r="H5608" s="309"/>
      <c r="I5608" s="309"/>
      <c r="J5608" s="309"/>
      <c r="K5608" s="309"/>
      <c r="L5608" s="309"/>
      <c r="M5608" s="309"/>
      <c r="N5608" s="309"/>
      <c r="O5608" s="309"/>
      <c r="P5608" s="309"/>
      <c r="Q5608" s="309"/>
      <c r="R5608" s="346"/>
      <c r="S5608" s="364"/>
      <c r="Z5608" s="609" t="s">
        <v>2129</v>
      </c>
      <c r="AA5608" s="609"/>
    </row>
    <row r="5609" spans="1:27" ht="18.75" thickBot="1">
      <c r="A5609" s="2714"/>
      <c r="B5609" s="371"/>
      <c r="C5609" s="371"/>
      <c r="D5609" s="2716">
        <f t="shared" si="610"/>
        <v>1</v>
      </c>
      <c r="E5609" s="2721" t="s">
        <v>3032</v>
      </c>
      <c r="F5609" s="294"/>
      <c r="G5609" s="2234" t="s">
        <v>2752</v>
      </c>
      <c r="H5609" s="2325">
        <f t="shared" ref="H5609:R5609" si="611">SUMPRODUCT($E5589:$E5608,H5589:H5608)</f>
        <v>0</v>
      </c>
      <c r="I5609" s="2325">
        <f t="shared" si="611"/>
        <v>0</v>
      </c>
      <c r="J5609" s="2325">
        <f t="shared" si="611"/>
        <v>0</v>
      </c>
      <c r="K5609" s="2325">
        <f t="shared" si="611"/>
        <v>0</v>
      </c>
      <c r="L5609" s="2325">
        <f t="shared" si="611"/>
        <v>0</v>
      </c>
      <c r="M5609" s="2325">
        <f t="shared" si="611"/>
        <v>0</v>
      </c>
      <c r="N5609" s="2325">
        <f t="shared" si="611"/>
        <v>0</v>
      </c>
      <c r="O5609" s="2325">
        <f t="shared" si="611"/>
        <v>0</v>
      </c>
      <c r="P5609" s="2325">
        <f t="shared" si="611"/>
        <v>0</v>
      </c>
      <c r="Q5609" s="2325">
        <f t="shared" si="611"/>
        <v>0</v>
      </c>
      <c r="R5609" s="2342">
        <f t="shared" si="611"/>
        <v>0</v>
      </c>
      <c r="S5609" s="364"/>
      <c r="Z5609" s="609" t="s">
        <v>2129</v>
      </c>
      <c r="AA5609" s="609"/>
    </row>
    <row r="5610" spans="1:27" ht="18">
      <c r="A5610" s="2714"/>
      <c r="B5610" s="371"/>
      <c r="C5610" s="371" t="s">
        <v>2755</v>
      </c>
      <c r="D5610" s="371"/>
      <c r="F5610" s="294"/>
      <c r="G5610" s="301"/>
      <c r="H5610" s="315"/>
      <c r="I5610" s="315"/>
      <c r="J5610" s="315"/>
      <c r="K5610" s="315"/>
      <c r="L5610" s="315"/>
      <c r="M5610" s="315"/>
      <c r="N5610" s="315"/>
      <c r="O5610" s="315"/>
      <c r="P5610" s="315"/>
      <c r="Q5610" s="566"/>
      <c r="R5610" s="566"/>
      <c r="S5610" s="364"/>
      <c r="Z5610" s="609" t="s">
        <v>2129</v>
      </c>
      <c r="AA5610" s="609"/>
    </row>
    <row r="5611" spans="1:27" ht="36">
      <c r="A5611" s="2714" t="s">
        <v>2130</v>
      </c>
      <c r="B5611" s="371">
        <v>5</v>
      </c>
      <c r="C5611" s="371"/>
      <c r="D5611" s="2716" t="str">
        <f>VLOOKUP($A5611,Sheet_NoteList,2,0)</f>
        <v>不以公允价值计量的金融资产和金融负债的公允价值情况</v>
      </c>
      <c r="E5611" s="2716" t="s">
        <v>2742</v>
      </c>
      <c r="F5611" s="294"/>
      <c r="G5611" s="372" t="str">
        <f>"("&amp;B5611&amp;")"&amp;D5611</f>
        <v>(5)不以公允价值计量的金融资产和金融负债的公允价值情况</v>
      </c>
      <c r="H5611" s="1517" t="str">
        <f>$A5611</f>
        <v>9331b</v>
      </c>
      <c r="I5611" s="343" t="s">
        <v>2743</v>
      </c>
      <c r="J5611" s="301"/>
      <c r="K5611" s="3083"/>
      <c r="L5611" s="315"/>
      <c r="M5611" s="301"/>
      <c r="N5611" s="3083"/>
      <c r="O5611" s="315"/>
      <c r="P5611" s="301"/>
      <c r="S5611" s="364"/>
      <c r="Z5611" s="609" t="s">
        <v>2129</v>
      </c>
      <c r="AA5611" s="609"/>
    </row>
    <row r="5612" spans="1:27" ht="0.75" customHeight="1" thickBot="1">
      <c r="A5612" s="2714"/>
      <c r="B5612" s="371"/>
      <c r="C5612" s="371"/>
      <c r="D5612" s="371"/>
      <c r="F5612" s="371"/>
      <c r="G5612" s="371" t="s">
        <v>4604</v>
      </c>
      <c r="H5612" s="371" t="s">
        <v>3287</v>
      </c>
      <c r="I5612" s="371" t="s">
        <v>2845</v>
      </c>
      <c r="J5612" s="371" t="s">
        <v>4605</v>
      </c>
      <c r="K5612" s="371" t="s">
        <v>4606</v>
      </c>
      <c r="L5612" s="1604"/>
      <c r="M5612" s="1604"/>
      <c r="N5612" s="1604"/>
      <c r="O5612" s="1604"/>
      <c r="P5612" s="1604"/>
      <c r="Q5612" s="1604"/>
      <c r="R5612" s="1604"/>
      <c r="S5612" s="364"/>
      <c r="Z5612" s="609" t="s">
        <v>2129</v>
      </c>
      <c r="AA5612" s="609"/>
    </row>
    <row r="5613" spans="1:27" ht="24">
      <c r="A5613" s="2714"/>
      <c r="B5613" s="371"/>
      <c r="C5613" s="371"/>
      <c r="D5613" s="371"/>
      <c r="E5613" s="2716" t="s">
        <v>2749</v>
      </c>
      <c r="F5613" s="294"/>
      <c r="G5613" s="2498" t="s">
        <v>47</v>
      </c>
      <c r="H5613" s="2483" t="str">
        <f>$W$2&amp;"账面价值"</f>
        <v>2019年12月31日账面价值</v>
      </c>
      <c r="I5613" s="2499" t="s">
        <v>4531</v>
      </c>
      <c r="J5613" s="2499" t="s">
        <v>4532</v>
      </c>
      <c r="K5613" s="2590" t="s">
        <v>4533</v>
      </c>
      <c r="L5613" s="355" t="s">
        <v>5349</v>
      </c>
      <c r="M5613" s="1604"/>
      <c r="N5613" s="1604"/>
      <c r="O5613" s="1604"/>
      <c r="P5613" s="1604"/>
      <c r="Q5613" s="1604"/>
      <c r="R5613" s="1604"/>
      <c r="S5613" s="364"/>
      <c r="Z5613" s="609" t="s">
        <v>2129</v>
      </c>
      <c r="AA5613" s="609"/>
    </row>
    <row r="5614" spans="1:27" ht="18">
      <c r="A5614" s="2714"/>
      <c r="B5614" s="371">
        <v>101</v>
      </c>
      <c r="C5614" s="371"/>
      <c r="D5614" s="2716">
        <f t="shared" ref="D5614:D5628" si="612">IF(OR(G5614="*",G5614="",G5614=0),0,COUNTIF($G$5614:$G$5628,G5614))</f>
        <v>1</v>
      </c>
      <c r="E5614" s="2721" t="s">
        <v>41</v>
      </c>
      <c r="F5614" s="294"/>
      <c r="G5614" s="308" t="s">
        <v>4520</v>
      </c>
      <c r="H5614" s="309"/>
      <c r="I5614" s="309"/>
      <c r="J5614" s="309"/>
      <c r="K5614" s="346"/>
      <c r="L5614" s="355" t="s">
        <v>6101</v>
      </c>
      <c r="M5614" s="1604"/>
      <c r="N5614" s="1604"/>
      <c r="O5614" s="1604"/>
      <c r="P5614" s="1604"/>
      <c r="Q5614" s="1604"/>
      <c r="R5614" s="1604"/>
      <c r="S5614" s="364"/>
      <c r="Z5614" s="609" t="s">
        <v>2129</v>
      </c>
      <c r="AA5614" s="609"/>
    </row>
    <row r="5615" spans="1:27" ht="18">
      <c r="A5615" s="2714"/>
      <c r="B5615" s="371">
        <v>101.001</v>
      </c>
      <c r="C5615" s="371" t="s">
        <v>2791</v>
      </c>
      <c r="D5615" s="2716">
        <f t="shared" si="612"/>
        <v>1</v>
      </c>
      <c r="E5615" s="2721" t="s">
        <v>4607</v>
      </c>
      <c r="F5615" s="294"/>
      <c r="G5615" s="578" t="s">
        <v>274</v>
      </c>
      <c r="H5615" s="309"/>
      <c r="I5615" s="309"/>
      <c r="J5615" s="309"/>
      <c r="K5615" s="346"/>
      <c r="L5615" s="1604"/>
      <c r="M5615" s="1604"/>
      <c r="N5615" s="1604"/>
      <c r="O5615" s="1604"/>
      <c r="P5615" s="1604"/>
      <c r="Q5615" s="1604"/>
      <c r="R5615" s="1604"/>
      <c r="S5615" s="364"/>
      <c r="Z5615" s="609" t="s">
        <v>2129</v>
      </c>
      <c r="AA5615" s="609"/>
    </row>
    <row r="5616" spans="1:27" ht="18">
      <c r="A5616" s="2714"/>
      <c r="B5616" s="371">
        <v>101.002</v>
      </c>
      <c r="C5616" s="371" t="s">
        <v>2791</v>
      </c>
      <c r="D5616" s="2716">
        <f t="shared" si="612"/>
        <v>1</v>
      </c>
      <c r="E5616" s="2721" t="s">
        <v>4607</v>
      </c>
      <c r="F5616" s="294"/>
      <c r="G5616" s="578" t="s">
        <v>317</v>
      </c>
      <c r="H5616" s="309"/>
      <c r="I5616" s="309"/>
      <c r="J5616" s="309"/>
      <c r="K5616" s="346"/>
      <c r="L5616" s="1604"/>
      <c r="M5616" s="1604"/>
      <c r="N5616" s="1604"/>
      <c r="O5616" s="1604"/>
      <c r="P5616" s="1604"/>
      <c r="Q5616" s="1604"/>
      <c r="R5616" s="1604"/>
      <c r="S5616" s="364"/>
      <c r="Z5616" s="609" t="s">
        <v>2129</v>
      </c>
      <c r="AA5616" s="609"/>
    </row>
    <row r="5617" spans="1:27" ht="36">
      <c r="A5617" s="2714"/>
      <c r="B5617" s="371">
        <v>101.003</v>
      </c>
      <c r="C5617" s="371" t="s">
        <v>2791</v>
      </c>
      <c r="D5617" s="2716">
        <f t="shared" si="612"/>
        <v>1</v>
      </c>
      <c r="E5617" s="2721" t="s">
        <v>4607</v>
      </c>
      <c r="F5617" s="294"/>
      <c r="G5617" s="578" t="s">
        <v>4608</v>
      </c>
      <c r="H5617" s="309"/>
      <c r="I5617" s="309"/>
      <c r="J5617" s="309"/>
      <c r="K5617" s="346"/>
      <c r="L5617" s="1604"/>
      <c r="M5617" s="1604"/>
      <c r="N5617" s="1604"/>
      <c r="O5617" s="1604"/>
      <c r="P5617" s="1604"/>
      <c r="Q5617" s="1604"/>
      <c r="R5617" s="1604"/>
      <c r="S5617" s="364"/>
      <c r="Z5617" s="609" t="s">
        <v>2129</v>
      </c>
      <c r="AA5617" s="609"/>
    </row>
    <row r="5618" spans="1:27" ht="18">
      <c r="A5618" s="2714"/>
      <c r="B5618" s="371">
        <v>101.004</v>
      </c>
      <c r="C5618" s="371" t="s">
        <v>2791</v>
      </c>
      <c r="D5618" s="2716">
        <f t="shared" si="612"/>
        <v>0</v>
      </c>
      <c r="E5618" s="2721" t="s">
        <v>4607</v>
      </c>
      <c r="F5618" s="294"/>
      <c r="G5618" s="578" t="s">
        <v>2792</v>
      </c>
      <c r="H5618" s="309"/>
      <c r="I5618" s="309"/>
      <c r="J5618" s="309"/>
      <c r="K5618" s="346"/>
      <c r="L5618" s="1604"/>
      <c r="M5618" s="1604"/>
      <c r="N5618" s="1604"/>
      <c r="O5618" s="1604"/>
      <c r="P5618" s="1604"/>
      <c r="Q5618" s="1604"/>
      <c r="R5618" s="1604"/>
      <c r="S5618" s="364"/>
      <c r="Z5618" s="609" t="s">
        <v>2129</v>
      </c>
      <c r="AA5618" s="609"/>
    </row>
    <row r="5619" spans="1:27" ht="18">
      <c r="A5619" s="2714"/>
      <c r="B5619" s="371">
        <v>101.005</v>
      </c>
      <c r="C5619" s="371" t="s">
        <v>2791</v>
      </c>
      <c r="D5619" s="2716">
        <f t="shared" si="612"/>
        <v>0</v>
      </c>
      <c r="E5619" s="2721" t="s">
        <v>4607</v>
      </c>
      <c r="F5619" s="294"/>
      <c r="G5619" s="578" t="s">
        <v>2792</v>
      </c>
      <c r="H5619" s="309"/>
      <c r="I5619" s="309"/>
      <c r="J5619" s="309"/>
      <c r="K5619" s="346"/>
      <c r="L5619" s="1604"/>
      <c r="M5619" s="1604"/>
      <c r="N5619" s="1604"/>
      <c r="O5619" s="1604"/>
      <c r="P5619" s="1604"/>
      <c r="Q5619" s="1604"/>
      <c r="R5619" s="1604"/>
      <c r="S5619" s="364"/>
      <c r="Z5619" s="609" t="s">
        <v>2129</v>
      </c>
      <c r="AA5619" s="609"/>
    </row>
    <row r="5620" spans="1:27" ht="18">
      <c r="A5620" s="2714"/>
      <c r="B5620" s="371">
        <v>101.999</v>
      </c>
      <c r="C5620" s="371" t="s">
        <v>2793</v>
      </c>
      <c r="D5620" s="2716">
        <f t="shared" si="612"/>
        <v>1</v>
      </c>
      <c r="E5620" s="2721">
        <v>0</v>
      </c>
      <c r="F5620" s="294"/>
      <c r="G5620" s="308" t="s">
        <v>4607</v>
      </c>
      <c r="H5620" s="377">
        <f>SUMIF($E$5613:$E$5627,$G5620,H$5613:H$5627)</f>
        <v>0</v>
      </c>
      <c r="I5620" s="377">
        <f>SUMIF($E$5613:$E$5627,$G5620,I$5613:I$5627)</f>
        <v>0</v>
      </c>
      <c r="J5620" s="377">
        <f>SUMIF($E$5613:$E$5627,$G5620,J$5613:J$5627)</f>
        <v>0</v>
      </c>
      <c r="K5620" s="397">
        <f>SUMIF($E$5613:$E$5627,$G5620,K$5613:K$5627)</f>
        <v>0</v>
      </c>
      <c r="L5620" s="1604"/>
      <c r="M5620" s="1604"/>
      <c r="N5620" s="1604"/>
      <c r="O5620" s="1604"/>
      <c r="P5620" s="1604"/>
      <c r="Q5620" s="1604"/>
      <c r="R5620" s="1604"/>
      <c r="S5620" s="364"/>
      <c r="Z5620" s="609" t="s">
        <v>2129</v>
      </c>
      <c r="AA5620" s="609"/>
    </row>
    <row r="5621" spans="1:27" ht="18">
      <c r="A5621" s="2714"/>
      <c r="B5621" s="371">
        <v>102</v>
      </c>
      <c r="C5621" s="371"/>
      <c r="D5621" s="2716">
        <f t="shared" si="612"/>
        <v>1</v>
      </c>
      <c r="E5621" s="2721" t="s">
        <v>41</v>
      </c>
      <c r="F5621" s="294"/>
      <c r="G5621" s="308" t="s">
        <v>4521</v>
      </c>
      <c r="H5621" s="309"/>
      <c r="I5621" s="309"/>
      <c r="J5621" s="309"/>
      <c r="K5621" s="346"/>
      <c r="L5621" s="1604"/>
      <c r="M5621" s="1604"/>
      <c r="N5621" s="1604"/>
      <c r="O5621" s="1604"/>
      <c r="P5621" s="1604"/>
      <c r="Q5621" s="1604"/>
      <c r="R5621" s="1604"/>
      <c r="S5621" s="364"/>
      <c r="Z5621" s="609" t="s">
        <v>2129</v>
      </c>
      <c r="AA5621" s="609"/>
    </row>
    <row r="5622" spans="1:27" ht="24">
      <c r="A5622" s="2714"/>
      <c r="B5622" s="371">
        <v>103</v>
      </c>
      <c r="C5622" s="371" t="s">
        <v>2791</v>
      </c>
      <c r="D5622" s="2716">
        <f t="shared" si="612"/>
        <v>1</v>
      </c>
      <c r="E5622" s="2721">
        <v>1</v>
      </c>
      <c r="F5622" s="294"/>
      <c r="G5622" s="578" t="s">
        <v>4522</v>
      </c>
      <c r="H5622" s="309"/>
      <c r="I5622" s="309"/>
      <c r="J5622" s="309"/>
      <c r="K5622" s="346"/>
      <c r="L5622" s="1604"/>
      <c r="M5622" s="1604"/>
      <c r="N5622" s="1604"/>
      <c r="O5622" s="1604"/>
      <c r="P5622" s="1604"/>
      <c r="Q5622" s="1604"/>
      <c r="R5622" s="1604"/>
      <c r="S5622" s="364"/>
      <c r="Z5622" s="609" t="s">
        <v>2129</v>
      </c>
      <c r="AA5622" s="609"/>
    </row>
    <row r="5623" spans="1:27" ht="18">
      <c r="A5623" s="2714"/>
      <c r="B5623" s="371">
        <v>104</v>
      </c>
      <c r="C5623" s="371" t="s">
        <v>2791</v>
      </c>
      <c r="D5623" s="2716">
        <f t="shared" si="612"/>
        <v>1</v>
      </c>
      <c r="E5623" s="2721">
        <v>1</v>
      </c>
      <c r="F5623" s="294"/>
      <c r="G5623" s="578" t="s">
        <v>546</v>
      </c>
      <c r="H5623" s="309"/>
      <c r="I5623" s="309"/>
      <c r="J5623" s="309"/>
      <c r="K5623" s="346"/>
      <c r="L5623" s="1604"/>
      <c r="M5623" s="1604"/>
      <c r="N5623" s="1604"/>
      <c r="O5623" s="1604"/>
      <c r="P5623" s="1604"/>
      <c r="Q5623" s="1604"/>
      <c r="R5623" s="1604"/>
      <c r="S5623" s="364"/>
      <c r="Z5623" s="609" t="s">
        <v>2129</v>
      </c>
      <c r="AA5623" s="609"/>
    </row>
    <row r="5624" spans="1:27" ht="18">
      <c r="A5624" s="2714"/>
      <c r="B5624" s="371">
        <v>105</v>
      </c>
      <c r="C5624" s="371" t="s">
        <v>2791</v>
      </c>
      <c r="D5624" s="2716">
        <f t="shared" si="612"/>
        <v>1</v>
      </c>
      <c r="E5624" s="2721">
        <v>1</v>
      </c>
      <c r="F5624" s="294"/>
      <c r="G5624" s="578" t="s">
        <v>550</v>
      </c>
      <c r="H5624" s="309"/>
      <c r="I5624" s="309"/>
      <c r="J5624" s="309"/>
      <c r="K5624" s="346"/>
      <c r="L5624" s="1604"/>
      <c r="M5624" s="1604"/>
      <c r="N5624" s="1604"/>
      <c r="O5624" s="1604"/>
      <c r="P5624" s="1604"/>
      <c r="Q5624" s="1604"/>
      <c r="R5624" s="1604"/>
      <c r="S5624" s="364"/>
      <c r="Z5624" s="609" t="s">
        <v>2129</v>
      </c>
      <c r="AA5624" s="609"/>
    </row>
    <row r="5625" spans="1:27" ht="18">
      <c r="A5625" s="2714"/>
      <c r="B5625" s="371">
        <v>106</v>
      </c>
      <c r="C5625" s="371" t="s">
        <v>2791</v>
      </c>
      <c r="D5625" s="2716">
        <f t="shared" si="612"/>
        <v>1</v>
      </c>
      <c r="E5625" s="2721">
        <v>1</v>
      </c>
      <c r="F5625" s="294"/>
      <c r="G5625" s="578" t="s">
        <v>554</v>
      </c>
      <c r="H5625" s="309"/>
      <c r="I5625" s="309"/>
      <c r="J5625" s="309"/>
      <c r="K5625" s="346"/>
      <c r="L5625" s="1604"/>
      <c r="M5625" s="1604"/>
      <c r="N5625" s="1604"/>
      <c r="O5625" s="1604"/>
      <c r="P5625" s="1604"/>
      <c r="Q5625" s="1604"/>
      <c r="R5625" s="1604"/>
      <c r="S5625" s="364"/>
      <c r="Z5625" s="609" t="s">
        <v>2129</v>
      </c>
      <c r="AA5625" s="609"/>
    </row>
    <row r="5626" spans="1:27" ht="18">
      <c r="A5626" s="2714"/>
      <c r="B5626" s="371">
        <v>107</v>
      </c>
      <c r="C5626" s="371" t="s">
        <v>2791</v>
      </c>
      <c r="D5626" s="2716">
        <f t="shared" si="612"/>
        <v>0</v>
      </c>
      <c r="E5626" s="2721">
        <v>1</v>
      </c>
      <c r="F5626" s="294"/>
      <c r="G5626" s="578" t="s">
        <v>2792</v>
      </c>
      <c r="H5626" s="309"/>
      <c r="I5626" s="309"/>
      <c r="J5626" s="309"/>
      <c r="K5626" s="346"/>
      <c r="L5626" s="1604"/>
      <c r="M5626" s="1604"/>
      <c r="N5626" s="1604"/>
      <c r="O5626" s="1604"/>
      <c r="P5626" s="1604"/>
      <c r="Q5626" s="1604"/>
      <c r="R5626" s="1604"/>
      <c r="S5626" s="364"/>
      <c r="Z5626" s="609" t="s">
        <v>2129</v>
      </c>
      <c r="AA5626" s="609"/>
    </row>
    <row r="5627" spans="1:27" ht="18">
      <c r="A5627" s="2714"/>
      <c r="B5627" s="371">
        <v>108</v>
      </c>
      <c r="C5627" s="371"/>
      <c r="D5627" s="2716">
        <f t="shared" si="612"/>
        <v>1</v>
      </c>
      <c r="E5627" s="2721">
        <v>1</v>
      </c>
      <c r="F5627" s="294"/>
      <c r="G5627" s="308" t="s">
        <v>4609</v>
      </c>
      <c r="H5627" s="309">
        <f>SUM(H5622:H5626)</f>
        <v>0</v>
      </c>
      <c r="I5627" s="309">
        <f>SUM(I5622:I5626)</f>
        <v>0</v>
      </c>
      <c r="J5627" s="309">
        <f>SUM(J5622:J5626)</f>
        <v>0</v>
      </c>
      <c r="K5627" s="346">
        <f>SUM(K5622:K5626)</f>
        <v>0</v>
      </c>
      <c r="L5627" s="1604"/>
      <c r="M5627" s="1604"/>
      <c r="N5627" s="1604"/>
      <c r="O5627" s="1604"/>
      <c r="P5627" s="1604"/>
      <c r="Q5627" s="1604"/>
      <c r="R5627" s="1604"/>
      <c r="S5627" s="364"/>
      <c r="Z5627" s="609" t="s">
        <v>2129</v>
      </c>
      <c r="AA5627" s="609"/>
    </row>
    <row r="5628" spans="1:27" ht="18.75" thickBot="1">
      <c r="A5628" s="2714"/>
      <c r="B5628" s="371"/>
      <c r="C5628" s="371"/>
      <c r="D5628" s="2716">
        <f t="shared" si="612"/>
        <v>0</v>
      </c>
      <c r="E5628" s="2721" t="s">
        <v>3595</v>
      </c>
      <c r="F5628" s="294"/>
      <c r="G5628" s="2429"/>
      <c r="H5628" s="2501"/>
      <c r="I5628" s="2485"/>
      <c r="J5628" s="2501"/>
      <c r="K5628" s="2487"/>
      <c r="L5628" s="1604"/>
      <c r="M5628" s="1604"/>
      <c r="N5628" s="1604"/>
      <c r="O5628" s="1604"/>
      <c r="P5628" s="1604"/>
      <c r="Q5628" s="1604"/>
      <c r="R5628" s="1604"/>
      <c r="S5628" s="364"/>
      <c r="Z5628" s="609" t="s">
        <v>2129</v>
      </c>
      <c r="AA5628" s="609"/>
    </row>
    <row r="5629" spans="1:27" ht="18">
      <c r="A5629" s="2714"/>
      <c r="B5629" s="371"/>
      <c r="C5629" s="371" t="s">
        <v>2755</v>
      </c>
      <c r="D5629" s="371"/>
      <c r="F5629" s="294"/>
      <c r="G5629" s="301"/>
      <c r="H5629" s="315"/>
      <c r="I5629" s="315"/>
      <c r="J5629" s="315"/>
      <c r="K5629" s="315"/>
      <c r="L5629" s="1604"/>
      <c r="M5629" s="1604"/>
      <c r="N5629" s="1604"/>
      <c r="O5629" s="1604"/>
      <c r="P5629" s="1604"/>
      <c r="Q5629" s="1604"/>
      <c r="R5629" s="1604"/>
      <c r="S5629" s="364"/>
      <c r="Z5629" s="609" t="s">
        <v>2129</v>
      </c>
      <c r="AA5629" s="609"/>
    </row>
    <row r="5630" spans="1:27" ht="18">
      <c r="A5630" s="2714">
        <v>9120</v>
      </c>
      <c r="B5630" s="371" t="s">
        <v>6570</v>
      </c>
      <c r="C5630" s="2716" t="str">
        <f>VLOOKUP($A5630,Sheet_Items,2,0)</f>
        <v>关联方交易</v>
      </c>
      <c r="D5630" s="371"/>
      <c r="E5630" s="2716" t="s">
        <v>2739</v>
      </c>
      <c r="F5630" s="294"/>
      <c r="G5630" s="305" t="str">
        <f>B5630&amp;" "&amp;C5630</f>
        <v>十 关联方交易</v>
      </c>
      <c r="H5630" s="306"/>
      <c r="I5630" s="306"/>
      <c r="J5630" s="306"/>
      <c r="K5630" s="539"/>
      <c r="L5630" s="342"/>
      <c r="M5630" s="306"/>
      <c r="N5630" s="539"/>
      <c r="O5630" s="306"/>
      <c r="P5630" s="301"/>
      <c r="S5630" s="364"/>
      <c r="Z5630" s="609" t="s">
        <v>2066</v>
      </c>
      <c r="AA5630" s="609"/>
    </row>
    <row r="5631" spans="1:27" ht="24">
      <c r="A5631" s="2714" t="s">
        <v>2064</v>
      </c>
      <c r="B5631" s="371">
        <v>5.1100000000000003</v>
      </c>
      <c r="C5631" s="371"/>
      <c r="D5631" s="2716" t="str">
        <f>VLOOKUP($A5631,Sheet_NoteList,2,0)</f>
        <v>采购商品、接受劳务的关联交易情况</v>
      </c>
      <c r="E5631" s="2716" t="s">
        <v>2742</v>
      </c>
      <c r="F5631" s="293"/>
      <c r="G5631" s="372" t="str">
        <f>"("&amp;B5631&amp;")"&amp;D5631</f>
        <v>(5.11)采购商品、接受劳务的关联交易情况</v>
      </c>
      <c r="H5631" s="1517" t="str">
        <f>$A5631</f>
        <v>9120m</v>
      </c>
      <c r="I5631" s="343" t="s">
        <v>2743</v>
      </c>
      <c r="J5631" s="301" t="s">
        <v>2744</v>
      </c>
      <c r="K5631" s="2210">
        <f>H5642</f>
        <v>0</v>
      </c>
      <c r="L5631" s="349"/>
      <c r="M5631" s="301" t="s">
        <v>2745</v>
      </c>
      <c r="N5631" s="2210">
        <f>I5642</f>
        <v>0</v>
      </c>
      <c r="O5631" s="349"/>
      <c r="P5631" s="301"/>
      <c r="S5631" s="364"/>
      <c r="Z5631" s="609" t="s">
        <v>2066</v>
      </c>
      <c r="AA5631" s="609" t="s">
        <v>19</v>
      </c>
    </row>
    <row r="5632" spans="1:27" ht="0.75" customHeight="1" thickBot="1">
      <c r="A5632" s="2714"/>
      <c r="B5632" s="371"/>
      <c r="C5632" s="371"/>
      <c r="D5632" s="2716"/>
      <c r="E5632" s="586"/>
      <c r="F5632" s="586"/>
      <c r="G5632" s="2224" t="s">
        <v>4435</v>
      </c>
      <c r="H5632" s="371" t="s">
        <v>3067</v>
      </c>
      <c r="I5632" s="371" t="s">
        <v>2748</v>
      </c>
      <c r="J5632" s="371" t="s">
        <v>2948</v>
      </c>
      <c r="K5632" s="428"/>
      <c r="L5632" s="428"/>
      <c r="M5632" s="433"/>
      <c r="N5632" s="428"/>
      <c r="O5632" s="428"/>
      <c r="P5632" s="433"/>
      <c r="Q5632" s="442"/>
      <c r="R5632" s="443"/>
      <c r="S5632" s="364"/>
      <c r="Z5632" s="609" t="s">
        <v>2066</v>
      </c>
      <c r="AA5632" s="609" t="s">
        <v>19</v>
      </c>
    </row>
    <row r="5633" spans="1:27" ht="18">
      <c r="A5633" s="2714"/>
      <c r="B5633" s="371"/>
      <c r="C5633" s="371"/>
      <c r="D5633" s="2716"/>
      <c r="E5633" s="586" t="s">
        <v>2749</v>
      </c>
      <c r="F5633" s="414"/>
      <c r="G5633" s="2457" t="s">
        <v>4436</v>
      </c>
      <c r="H5633" s="2464" t="s">
        <v>4437</v>
      </c>
      <c r="I5633" s="2464" t="str">
        <f>$W$4&amp;"发生额"</f>
        <v>2019年度发生额</v>
      </c>
      <c r="J5633" s="2469" t="str">
        <f>$W$5&amp;"发生额"</f>
        <v>2018年度发生额</v>
      </c>
      <c r="K5633" s="355" t="s">
        <v>5350</v>
      </c>
      <c r="L5633" s="434"/>
      <c r="M5633" s="435"/>
      <c r="N5633" s="434"/>
      <c r="O5633" s="434"/>
      <c r="P5633" s="435"/>
      <c r="Q5633" s="442"/>
      <c r="R5633" s="443"/>
      <c r="S5633" s="364"/>
      <c r="Z5633" s="609" t="s">
        <v>2066</v>
      </c>
      <c r="AA5633" s="609" t="s">
        <v>19</v>
      </c>
    </row>
    <row r="5634" spans="1:27" ht="18">
      <c r="A5634" s="2714"/>
      <c r="B5634" s="371">
        <v>101</v>
      </c>
      <c r="C5634" s="371" t="s">
        <v>2791</v>
      </c>
      <c r="D5634" s="2716">
        <f t="shared" ref="D5634:D5642" si="613">IF(OR(G5634="*",G5634="",G5634=0),0,COUNTIF($G$5634:$G$5642,G5634))</f>
        <v>0</v>
      </c>
      <c r="E5634" s="2721">
        <v>1</v>
      </c>
      <c r="F5634" s="293"/>
      <c r="G5634" s="2467" t="s">
        <v>2792</v>
      </c>
      <c r="H5634" s="2298"/>
      <c r="I5634" s="2275"/>
      <c r="J5634" s="2296"/>
      <c r="K5634" s="439"/>
      <c r="L5634" s="437"/>
      <c r="M5634" s="438"/>
      <c r="N5634" s="439"/>
      <c r="O5634" s="437"/>
      <c r="P5634" s="438"/>
      <c r="Q5634" s="442"/>
      <c r="R5634" s="443"/>
      <c r="S5634" s="364"/>
      <c r="Z5634" s="609" t="s">
        <v>2066</v>
      </c>
      <c r="AA5634" s="609" t="s">
        <v>19</v>
      </c>
    </row>
    <row r="5635" spans="1:27" ht="18">
      <c r="A5635" s="2714"/>
      <c r="B5635" s="371">
        <v>102</v>
      </c>
      <c r="C5635" s="371" t="s">
        <v>2791</v>
      </c>
      <c r="D5635" s="2716">
        <f t="shared" si="613"/>
        <v>0</v>
      </c>
      <c r="E5635" s="2721">
        <v>1</v>
      </c>
      <c r="F5635" s="293"/>
      <c r="G5635" s="2467" t="s">
        <v>2792</v>
      </c>
      <c r="H5635" s="2298"/>
      <c r="I5635" s="2275"/>
      <c r="J5635" s="2296"/>
      <c r="L5635" s="437"/>
      <c r="M5635" s="438"/>
      <c r="N5635" s="439"/>
      <c r="O5635" s="437"/>
      <c r="P5635" s="438"/>
      <c r="Q5635" s="442"/>
      <c r="R5635" s="443"/>
      <c r="S5635" s="364"/>
      <c r="Z5635" s="609" t="s">
        <v>2066</v>
      </c>
      <c r="AA5635" s="609" t="s">
        <v>19</v>
      </c>
    </row>
    <row r="5636" spans="1:27" ht="18">
      <c r="A5636" s="2714"/>
      <c r="B5636" s="371">
        <v>103</v>
      </c>
      <c r="C5636" s="371" t="s">
        <v>2791</v>
      </c>
      <c r="D5636" s="2716">
        <f t="shared" si="613"/>
        <v>0</v>
      </c>
      <c r="E5636" s="2721">
        <v>1</v>
      </c>
      <c r="F5636" s="293"/>
      <c r="G5636" s="2467" t="s">
        <v>2792</v>
      </c>
      <c r="H5636" s="2298"/>
      <c r="I5636" s="2275"/>
      <c r="J5636" s="2296"/>
      <c r="L5636" s="437"/>
      <c r="M5636" s="438"/>
      <c r="N5636" s="439"/>
      <c r="O5636" s="437"/>
      <c r="P5636" s="438"/>
      <c r="Q5636" s="442"/>
      <c r="R5636" s="443"/>
      <c r="S5636" s="364"/>
      <c r="Z5636" s="609" t="s">
        <v>2066</v>
      </c>
      <c r="AA5636" s="609" t="s">
        <v>19</v>
      </c>
    </row>
    <row r="5637" spans="1:27" ht="18">
      <c r="A5637" s="2714"/>
      <c r="B5637" s="371">
        <v>104</v>
      </c>
      <c r="C5637" s="371" t="s">
        <v>2791</v>
      </c>
      <c r="D5637" s="2716">
        <f t="shared" si="613"/>
        <v>0</v>
      </c>
      <c r="E5637" s="2721">
        <v>1</v>
      </c>
      <c r="F5637" s="293"/>
      <c r="G5637" s="2467" t="s">
        <v>2792</v>
      </c>
      <c r="H5637" s="2298"/>
      <c r="I5637" s="2275"/>
      <c r="J5637" s="2296"/>
      <c r="K5637" s="439"/>
      <c r="L5637" s="437"/>
      <c r="M5637" s="438"/>
      <c r="N5637" s="439"/>
      <c r="O5637" s="437"/>
      <c r="P5637" s="438"/>
      <c r="Q5637" s="442"/>
      <c r="R5637" s="443"/>
      <c r="S5637" s="364"/>
      <c r="Z5637" s="609" t="s">
        <v>2066</v>
      </c>
      <c r="AA5637" s="609" t="s">
        <v>19</v>
      </c>
    </row>
    <row r="5638" spans="1:27" ht="18">
      <c r="A5638" s="2714"/>
      <c r="B5638" s="371">
        <v>105</v>
      </c>
      <c r="C5638" s="371" t="s">
        <v>2791</v>
      </c>
      <c r="D5638" s="2716">
        <f t="shared" si="613"/>
        <v>0</v>
      </c>
      <c r="E5638" s="2721">
        <v>1</v>
      </c>
      <c r="F5638" s="293"/>
      <c r="G5638" s="2467" t="s">
        <v>2792</v>
      </c>
      <c r="H5638" s="2298"/>
      <c r="I5638" s="2275"/>
      <c r="J5638" s="2296"/>
      <c r="K5638" s="439"/>
      <c r="L5638" s="437"/>
      <c r="M5638" s="438"/>
      <c r="N5638" s="439"/>
      <c r="O5638" s="437"/>
      <c r="P5638" s="438"/>
      <c r="Q5638" s="442"/>
      <c r="R5638" s="443"/>
      <c r="S5638" s="364"/>
      <c r="Z5638" s="609" t="s">
        <v>2066</v>
      </c>
      <c r="AA5638" s="609" t="s">
        <v>19</v>
      </c>
    </row>
    <row r="5639" spans="1:27" ht="18">
      <c r="A5639" s="2714"/>
      <c r="B5639" s="371">
        <v>106</v>
      </c>
      <c r="C5639" s="371" t="s">
        <v>2791</v>
      </c>
      <c r="D5639" s="2716">
        <f t="shared" si="613"/>
        <v>0</v>
      </c>
      <c r="E5639" s="2721">
        <v>1</v>
      </c>
      <c r="F5639" s="293"/>
      <c r="G5639" s="2467" t="s">
        <v>2792</v>
      </c>
      <c r="H5639" s="2298"/>
      <c r="I5639" s="2275"/>
      <c r="J5639" s="2296"/>
      <c r="K5639" s="439"/>
      <c r="L5639" s="437"/>
      <c r="M5639" s="438"/>
      <c r="N5639" s="439"/>
      <c r="O5639" s="437"/>
      <c r="P5639" s="438"/>
      <c r="Q5639" s="442"/>
      <c r="R5639" s="443"/>
      <c r="S5639" s="364"/>
      <c r="Z5639" s="609" t="s">
        <v>2066</v>
      </c>
      <c r="AA5639" s="609" t="s">
        <v>19</v>
      </c>
    </row>
    <row r="5640" spans="1:27" ht="18">
      <c r="A5640" s="2714"/>
      <c r="B5640" s="371">
        <v>107</v>
      </c>
      <c r="C5640" s="371" t="s">
        <v>2791</v>
      </c>
      <c r="D5640" s="2716">
        <f t="shared" si="613"/>
        <v>0</v>
      </c>
      <c r="E5640" s="2721">
        <v>1</v>
      </c>
      <c r="F5640" s="293"/>
      <c r="G5640" s="2467" t="s">
        <v>2792</v>
      </c>
      <c r="H5640" s="2298"/>
      <c r="I5640" s="2275"/>
      <c r="J5640" s="2296"/>
      <c r="K5640" s="439"/>
      <c r="L5640" s="437"/>
      <c r="M5640" s="438"/>
      <c r="N5640" s="439"/>
      <c r="O5640" s="437"/>
      <c r="P5640" s="438"/>
      <c r="Q5640" s="442"/>
      <c r="R5640" s="443"/>
      <c r="S5640" s="364"/>
      <c r="Z5640" s="609" t="s">
        <v>2066</v>
      </c>
      <c r="AA5640" s="609" t="s">
        <v>19</v>
      </c>
    </row>
    <row r="5641" spans="1:27" ht="18">
      <c r="A5641" s="2714"/>
      <c r="B5641" s="371">
        <v>108</v>
      </c>
      <c r="C5641" s="371" t="s">
        <v>2791</v>
      </c>
      <c r="D5641" s="2716">
        <f t="shared" si="613"/>
        <v>0</v>
      </c>
      <c r="E5641" s="2721">
        <v>1</v>
      </c>
      <c r="F5641" s="293"/>
      <c r="G5641" s="2467" t="s">
        <v>2792</v>
      </c>
      <c r="H5641" s="2298"/>
      <c r="I5641" s="2275"/>
      <c r="J5641" s="2296"/>
      <c r="K5641" s="439"/>
      <c r="L5641" s="437"/>
      <c r="M5641" s="438"/>
      <c r="N5641" s="439"/>
      <c r="O5641" s="437"/>
      <c r="P5641" s="438"/>
      <c r="Q5641" s="442"/>
      <c r="R5641" s="443"/>
      <c r="S5641" s="364"/>
      <c r="Z5641" s="609" t="s">
        <v>2066</v>
      </c>
      <c r="AA5641" s="609" t="s">
        <v>19</v>
      </c>
    </row>
    <row r="5642" spans="1:27" ht="18.75" thickBot="1">
      <c r="A5642" s="2714"/>
      <c r="B5642" s="371"/>
      <c r="C5642" s="371"/>
      <c r="D5642" s="2716">
        <f t="shared" si="613"/>
        <v>1</v>
      </c>
      <c r="E5642" s="2721" t="s">
        <v>2751</v>
      </c>
      <c r="F5642" s="293"/>
      <c r="G5642" s="374" t="s">
        <v>2752</v>
      </c>
      <c r="H5642" s="2261"/>
      <c r="I5642" s="1478">
        <f>SUMPRODUCT($E5633:$E5641,I5633:I5641)</f>
        <v>0</v>
      </c>
      <c r="J5642" s="1479">
        <f>SUMPRODUCT($E5633:$E5641,J5633:J5641)</f>
        <v>0</v>
      </c>
      <c r="K5642" s="439"/>
      <c r="L5642" s="437"/>
      <c r="M5642" s="440"/>
      <c r="N5642" s="439"/>
      <c r="O5642" s="437"/>
      <c r="P5642" s="440"/>
      <c r="Q5642" s="442"/>
      <c r="R5642" s="443"/>
      <c r="S5642" s="364"/>
      <c r="Z5642" s="609" t="s">
        <v>2066</v>
      </c>
      <c r="AA5642" s="609" t="s">
        <v>19</v>
      </c>
    </row>
    <row r="5643" spans="1:27" ht="18">
      <c r="A5643" s="2714"/>
      <c r="B5643" s="371"/>
      <c r="C5643" s="371" t="s">
        <v>2755</v>
      </c>
      <c r="D5643" s="2716"/>
      <c r="F5643" s="293"/>
      <c r="G5643" s="376"/>
      <c r="H5643" s="393"/>
      <c r="I5643" s="396"/>
      <c r="J5643" s="315"/>
      <c r="K5643" s="426"/>
      <c r="L5643" s="427"/>
      <c r="M5643" s="425"/>
      <c r="N5643" s="426"/>
      <c r="O5643" s="427"/>
      <c r="P5643" s="425"/>
      <c r="Q5643" s="442"/>
      <c r="R5643" s="443"/>
      <c r="S5643" s="364"/>
      <c r="Z5643" s="609" t="s">
        <v>2066</v>
      </c>
      <c r="AA5643" s="609" t="s">
        <v>19</v>
      </c>
    </row>
    <row r="5644" spans="1:27" ht="24">
      <c r="A5644" s="2714" t="s">
        <v>2067</v>
      </c>
      <c r="B5644" s="371">
        <v>5.12</v>
      </c>
      <c r="C5644" s="371"/>
      <c r="D5644" s="2716" t="str">
        <f>VLOOKUP($A5644,Sheet_NoteList,2,0)</f>
        <v>出售商品、提供劳务的关联交易情况</v>
      </c>
      <c r="E5644" s="2716" t="s">
        <v>2742</v>
      </c>
      <c r="F5644" s="293"/>
      <c r="G5644" s="372" t="str">
        <f>"("&amp;B5644&amp;")"&amp;D5644</f>
        <v>(5.12)出售商品、提供劳务的关联交易情况</v>
      </c>
      <c r="H5644" s="1517" t="str">
        <f>$A5644</f>
        <v>9120n</v>
      </c>
      <c r="I5644" s="343" t="s">
        <v>2743</v>
      </c>
      <c r="J5644" s="301" t="s">
        <v>2744</v>
      </c>
      <c r="K5644" s="2210">
        <f>I5655</f>
        <v>0</v>
      </c>
      <c r="L5644" s="349"/>
      <c r="M5644" s="301" t="s">
        <v>2745</v>
      </c>
      <c r="N5644" s="2210">
        <f>J5655</f>
        <v>0</v>
      </c>
      <c r="O5644" s="349"/>
      <c r="P5644" s="301"/>
      <c r="S5644" s="364"/>
      <c r="Z5644" s="609" t="s">
        <v>2066</v>
      </c>
      <c r="AA5644" s="609" t="s">
        <v>19</v>
      </c>
    </row>
    <row r="5645" spans="1:27" ht="0.75" customHeight="1" thickBot="1">
      <c r="A5645" s="2714"/>
      <c r="B5645" s="371"/>
      <c r="C5645" s="371"/>
      <c r="D5645" s="2716"/>
      <c r="E5645" s="586"/>
      <c r="F5645" s="586"/>
      <c r="G5645" s="2224" t="s">
        <v>4438</v>
      </c>
      <c r="H5645" s="371" t="s">
        <v>3067</v>
      </c>
      <c r="I5645" s="371" t="s">
        <v>2748</v>
      </c>
      <c r="J5645" s="371" t="s">
        <v>2948</v>
      </c>
      <c r="K5645" s="428"/>
      <c r="L5645" s="428"/>
      <c r="M5645" s="433"/>
      <c r="N5645" s="428"/>
      <c r="O5645" s="428"/>
      <c r="P5645" s="433"/>
      <c r="Q5645" s="442"/>
      <c r="R5645" s="443"/>
      <c r="S5645" s="364"/>
      <c r="Z5645" s="609" t="s">
        <v>2066</v>
      </c>
      <c r="AA5645" s="609" t="s">
        <v>19</v>
      </c>
    </row>
    <row r="5646" spans="1:27" ht="18">
      <c r="A5646" s="2714"/>
      <c r="B5646" s="371"/>
      <c r="C5646" s="371"/>
      <c r="D5646" s="2716"/>
      <c r="E5646" s="586" t="s">
        <v>2749</v>
      </c>
      <c r="F5646" s="414"/>
      <c r="G5646" s="2457" t="s">
        <v>4436</v>
      </c>
      <c r="H5646" s="2464" t="s">
        <v>4437</v>
      </c>
      <c r="I5646" s="2464" t="str">
        <f>$W$4&amp;"发生额"</f>
        <v>2019年度发生额</v>
      </c>
      <c r="J5646" s="2469" t="str">
        <f>$W$5&amp;"发生额"</f>
        <v>2018年度发生额</v>
      </c>
      <c r="K5646" s="355" t="s">
        <v>5350</v>
      </c>
      <c r="L5646" s="434"/>
      <c r="M5646" s="435"/>
      <c r="N5646" s="434"/>
      <c r="O5646" s="434"/>
      <c r="P5646" s="435"/>
      <c r="Q5646" s="442"/>
      <c r="R5646" s="443"/>
      <c r="S5646" s="364"/>
      <c r="Z5646" s="609" t="s">
        <v>2066</v>
      </c>
      <c r="AA5646" s="609" t="s">
        <v>19</v>
      </c>
    </row>
    <row r="5647" spans="1:27" ht="18">
      <c r="A5647" s="2714"/>
      <c r="B5647" s="371">
        <v>101</v>
      </c>
      <c r="C5647" s="371" t="s">
        <v>2791</v>
      </c>
      <c r="D5647" s="2716">
        <f t="shared" ref="D5647:D5655" si="614">IF(OR(G5647="*",G5647="",G5647=0),0,COUNTIF($G$5647:$G$5655,G5647))</f>
        <v>0</v>
      </c>
      <c r="E5647" s="2721">
        <v>1</v>
      </c>
      <c r="F5647" s="293"/>
      <c r="G5647" s="2467" t="s">
        <v>2792</v>
      </c>
      <c r="H5647" s="2298"/>
      <c r="I5647" s="2275"/>
      <c r="J5647" s="2296"/>
      <c r="K5647" s="439"/>
      <c r="L5647" s="437"/>
      <c r="M5647" s="438"/>
      <c r="N5647" s="439"/>
      <c r="O5647" s="437"/>
      <c r="P5647" s="438"/>
      <c r="Q5647" s="442"/>
      <c r="R5647" s="443"/>
      <c r="S5647" s="364"/>
      <c r="Z5647" s="609" t="s">
        <v>2066</v>
      </c>
      <c r="AA5647" s="609" t="s">
        <v>19</v>
      </c>
    </row>
    <row r="5648" spans="1:27" ht="18">
      <c r="A5648" s="2714"/>
      <c r="B5648" s="371">
        <v>102</v>
      </c>
      <c r="C5648" s="371" t="s">
        <v>2791</v>
      </c>
      <c r="D5648" s="2716">
        <f t="shared" si="614"/>
        <v>0</v>
      </c>
      <c r="E5648" s="2721">
        <v>1</v>
      </c>
      <c r="F5648" s="293"/>
      <c r="G5648" s="2467" t="s">
        <v>2792</v>
      </c>
      <c r="H5648" s="2298"/>
      <c r="I5648" s="2275"/>
      <c r="J5648" s="2296"/>
      <c r="K5648" s="439"/>
      <c r="L5648" s="437"/>
      <c r="M5648" s="438"/>
      <c r="N5648" s="439"/>
      <c r="O5648" s="437"/>
      <c r="P5648" s="438"/>
      <c r="Q5648" s="442"/>
      <c r="R5648" s="443"/>
      <c r="S5648" s="364"/>
      <c r="Z5648" s="609" t="s">
        <v>2066</v>
      </c>
      <c r="AA5648" s="609" t="s">
        <v>19</v>
      </c>
    </row>
    <row r="5649" spans="1:27" ht="18">
      <c r="A5649" s="2714"/>
      <c r="B5649" s="371">
        <v>103</v>
      </c>
      <c r="C5649" s="371" t="s">
        <v>2791</v>
      </c>
      <c r="D5649" s="2716">
        <f t="shared" si="614"/>
        <v>0</v>
      </c>
      <c r="E5649" s="2721">
        <v>1</v>
      </c>
      <c r="F5649" s="293"/>
      <c r="G5649" s="2467" t="s">
        <v>2792</v>
      </c>
      <c r="H5649" s="2298"/>
      <c r="I5649" s="2275"/>
      <c r="J5649" s="2296"/>
      <c r="K5649" s="439"/>
      <c r="L5649" s="437"/>
      <c r="M5649" s="438"/>
      <c r="N5649" s="439"/>
      <c r="O5649" s="437"/>
      <c r="P5649" s="438"/>
      <c r="Q5649" s="442"/>
      <c r="R5649" s="443"/>
      <c r="S5649" s="364"/>
      <c r="Z5649" s="609" t="s">
        <v>2066</v>
      </c>
      <c r="AA5649" s="609" t="s">
        <v>19</v>
      </c>
    </row>
    <row r="5650" spans="1:27" ht="18">
      <c r="A5650" s="2714"/>
      <c r="B5650" s="371">
        <v>104</v>
      </c>
      <c r="C5650" s="371" t="s">
        <v>2791</v>
      </c>
      <c r="D5650" s="2716">
        <f t="shared" si="614"/>
        <v>0</v>
      </c>
      <c r="E5650" s="2721">
        <v>1</v>
      </c>
      <c r="F5650" s="293"/>
      <c r="G5650" s="2467" t="s">
        <v>2792</v>
      </c>
      <c r="H5650" s="2298"/>
      <c r="I5650" s="2275"/>
      <c r="J5650" s="2296"/>
      <c r="K5650" s="439"/>
      <c r="L5650" s="437"/>
      <c r="M5650" s="438"/>
      <c r="N5650" s="439"/>
      <c r="O5650" s="437"/>
      <c r="P5650" s="438"/>
      <c r="Q5650" s="442"/>
      <c r="R5650" s="443"/>
      <c r="S5650" s="364"/>
      <c r="Z5650" s="609" t="s">
        <v>2066</v>
      </c>
      <c r="AA5650" s="609" t="s">
        <v>19</v>
      </c>
    </row>
    <row r="5651" spans="1:27" ht="18">
      <c r="A5651" s="2714"/>
      <c r="B5651" s="371">
        <v>105</v>
      </c>
      <c r="C5651" s="371" t="s">
        <v>2791</v>
      </c>
      <c r="D5651" s="2716">
        <f t="shared" si="614"/>
        <v>0</v>
      </c>
      <c r="E5651" s="2721">
        <v>1</v>
      </c>
      <c r="F5651" s="293"/>
      <c r="G5651" s="2467" t="s">
        <v>2792</v>
      </c>
      <c r="H5651" s="2298"/>
      <c r="I5651" s="2275"/>
      <c r="J5651" s="2296"/>
      <c r="K5651" s="439"/>
      <c r="L5651" s="437"/>
      <c r="M5651" s="438"/>
      <c r="N5651" s="439"/>
      <c r="O5651" s="437"/>
      <c r="P5651" s="438"/>
      <c r="Q5651" s="442"/>
      <c r="R5651" s="443"/>
      <c r="S5651" s="364"/>
      <c r="Z5651" s="609" t="s">
        <v>2066</v>
      </c>
      <c r="AA5651" s="609" t="s">
        <v>19</v>
      </c>
    </row>
    <row r="5652" spans="1:27" ht="18">
      <c r="A5652" s="2714"/>
      <c r="B5652" s="371">
        <v>106</v>
      </c>
      <c r="C5652" s="371" t="s">
        <v>2791</v>
      </c>
      <c r="D5652" s="2716">
        <f t="shared" si="614"/>
        <v>0</v>
      </c>
      <c r="E5652" s="2721">
        <v>1</v>
      </c>
      <c r="F5652" s="293"/>
      <c r="G5652" s="2467" t="s">
        <v>2792</v>
      </c>
      <c r="H5652" s="2298"/>
      <c r="I5652" s="2275"/>
      <c r="J5652" s="2296"/>
      <c r="K5652" s="439"/>
      <c r="L5652" s="437"/>
      <c r="M5652" s="438"/>
      <c r="N5652" s="439"/>
      <c r="O5652" s="437"/>
      <c r="P5652" s="438"/>
      <c r="Q5652" s="442"/>
      <c r="R5652" s="443"/>
      <c r="S5652" s="364"/>
      <c r="Z5652" s="609" t="s">
        <v>2066</v>
      </c>
      <c r="AA5652" s="609" t="s">
        <v>19</v>
      </c>
    </row>
    <row r="5653" spans="1:27" ht="18">
      <c r="A5653" s="2714"/>
      <c r="B5653" s="371">
        <v>107</v>
      </c>
      <c r="C5653" s="371" t="s">
        <v>2791</v>
      </c>
      <c r="D5653" s="2716">
        <f t="shared" si="614"/>
        <v>0</v>
      </c>
      <c r="E5653" s="2721">
        <v>1</v>
      </c>
      <c r="F5653" s="293"/>
      <c r="G5653" s="2467" t="s">
        <v>2792</v>
      </c>
      <c r="H5653" s="2298"/>
      <c r="I5653" s="2275"/>
      <c r="J5653" s="2296"/>
      <c r="K5653" s="439"/>
      <c r="L5653" s="437"/>
      <c r="M5653" s="438"/>
      <c r="N5653" s="439"/>
      <c r="O5653" s="437"/>
      <c r="P5653" s="438"/>
      <c r="Q5653" s="442"/>
      <c r="R5653" s="443"/>
      <c r="S5653" s="364"/>
      <c r="Z5653" s="609" t="s">
        <v>2066</v>
      </c>
      <c r="AA5653" s="609" t="s">
        <v>19</v>
      </c>
    </row>
    <row r="5654" spans="1:27" ht="18">
      <c r="A5654" s="2714"/>
      <c r="B5654" s="371">
        <v>108</v>
      </c>
      <c r="C5654" s="371" t="s">
        <v>2791</v>
      </c>
      <c r="D5654" s="2716">
        <f t="shared" si="614"/>
        <v>0</v>
      </c>
      <c r="E5654" s="2721">
        <v>1</v>
      </c>
      <c r="F5654" s="293"/>
      <c r="G5654" s="2467" t="s">
        <v>2792</v>
      </c>
      <c r="H5654" s="2298"/>
      <c r="I5654" s="2275"/>
      <c r="J5654" s="2296"/>
      <c r="K5654" s="439"/>
      <c r="L5654" s="437"/>
      <c r="M5654" s="438"/>
      <c r="N5654" s="439"/>
      <c r="O5654" s="437"/>
      <c r="P5654" s="438"/>
      <c r="Q5654" s="442"/>
      <c r="R5654" s="443"/>
      <c r="S5654" s="364"/>
      <c r="Z5654" s="609" t="s">
        <v>2066</v>
      </c>
      <c r="AA5654" s="609" t="s">
        <v>19</v>
      </c>
    </row>
    <row r="5655" spans="1:27" ht="18.75" thickBot="1">
      <c r="A5655" s="2714"/>
      <c r="B5655" s="371"/>
      <c r="C5655" s="371"/>
      <c r="D5655" s="2716">
        <f t="shared" si="614"/>
        <v>1</v>
      </c>
      <c r="E5655" s="2721" t="s">
        <v>2751</v>
      </c>
      <c r="F5655" s="293"/>
      <c r="G5655" s="374" t="s">
        <v>2752</v>
      </c>
      <c r="H5655" s="2261"/>
      <c r="I5655" s="1478">
        <f>SUMPRODUCT($E5646:$E5654,I5646:I5654)</f>
        <v>0</v>
      </c>
      <c r="J5655" s="1479">
        <f>SUMPRODUCT($E5646:$E5654,J5646:J5654)</f>
        <v>0</v>
      </c>
      <c r="K5655" s="439"/>
      <c r="L5655" s="437"/>
      <c r="M5655" s="440"/>
      <c r="N5655" s="439"/>
      <c r="O5655" s="437"/>
      <c r="P5655" s="440"/>
      <c r="Q5655" s="442"/>
      <c r="R5655" s="443"/>
      <c r="S5655" s="364"/>
      <c r="Z5655" s="609" t="s">
        <v>2066</v>
      </c>
      <c r="AA5655" s="609" t="s">
        <v>19</v>
      </c>
    </row>
    <row r="5656" spans="1:27" ht="18">
      <c r="A5656" s="2714"/>
      <c r="B5656" s="371"/>
      <c r="C5656" s="371" t="s">
        <v>2755</v>
      </c>
      <c r="D5656" s="2716"/>
      <c r="F5656" s="293"/>
      <c r="G5656" s="376"/>
      <c r="H5656" s="393"/>
      <c r="I5656" s="396"/>
      <c r="J5656" s="315"/>
      <c r="K5656" s="426"/>
      <c r="L5656" s="427"/>
      <c r="M5656" s="425"/>
      <c r="N5656" s="426"/>
      <c r="O5656" s="427"/>
      <c r="P5656" s="425"/>
      <c r="Q5656" s="442"/>
      <c r="R5656" s="443"/>
      <c r="S5656" s="364"/>
      <c r="Z5656" s="609" t="s">
        <v>2066</v>
      </c>
      <c r="AA5656" s="609" t="s">
        <v>19</v>
      </c>
    </row>
    <row r="5657" spans="1:27" ht="24">
      <c r="A5657" s="2714" t="s">
        <v>2069</v>
      </c>
      <c r="B5657" s="371">
        <v>5.21</v>
      </c>
      <c r="C5657" s="371"/>
      <c r="D5657" s="2716" t="str">
        <f>VLOOKUP($A5657,Sheet_NoteList,2,0)</f>
        <v>受托管理或承包情况表</v>
      </c>
      <c r="E5657" s="2716" t="s">
        <v>2742</v>
      </c>
      <c r="F5657" s="294"/>
      <c r="G5657" s="483" t="str">
        <f>"("&amp;B5657&amp;")"&amp;D5657</f>
        <v>(5.21)受托管理或承包情况表</v>
      </c>
      <c r="H5657" s="1517" t="str">
        <f>$A5657</f>
        <v>9120c</v>
      </c>
      <c r="I5657" s="343" t="s">
        <v>2743</v>
      </c>
      <c r="J5657" s="301"/>
      <c r="K5657" s="3083"/>
      <c r="L5657" s="315"/>
      <c r="M5657" s="301"/>
      <c r="N5657" s="3083"/>
      <c r="O5657" s="315"/>
      <c r="P5657" s="301"/>
      <c r="S5657" s="364"/>
      <c r="Z5657" s="609" t="s">
        <v>2066</v>
      </c>
      <c r="AA5657" s="609"/>
    </row>
    <row r="5658" spans="1:27" ht="0.75" customHeight="1" thickBot="1">
      <c r="A5658" s="2714"/>
      <c r="B5658" s="371"/>
      <c r="C5658" s="371"/>
      <c r="D5658" s="371"/>
      <c r="E5658" s="586"/>
      <c r="F5658" s="586"/>
      <c r="G5658" s="586" t="s">
        <v>4439</v>
      </c>
      <c r="H5658" s="371" t="s">
        <v>4440</v>
      </c>
      <c r="I5658" s="371" t="s">
        <v>4441</v>
      </c>
      <c r="J5658" s="371" t="s">
        <v>4442</v>
      </c>
      <c r="K5658" s="371" t="s">
        <v>4443</v>
      </c>
      <c r="L5658" s="371" t="s">
        <v>4444</v>
      </c>
      <c r="M5658" s="371" t="s">
        <v>4445</v>
      </c>
      <c r="N5658" s="291"/>
      <c r="O5658" s="291"/>
      <c r="P5658" s="291"/>
      <c r="S5658" s="364"/>
      <c r="Z5658" s="609" t="s">
        <v>2066</v>
      </c>
      <c r="AA5658" s="609"/>
    </row>
    <row r="5659" spans="1:27" ht="24">
      <c r="A5659" s="2714"/>
      <c r="B5659" s="371"/>
      <c r="C5659" s="371"/>
      <c r="D5659" s="371"/>
      <c r="E5659" s="586" t="s">
        <v>2749</v>
      </c>
      <c r="F5659" s="363"/>
      <c r="G5659" s="2457" t="s">
        <v>5238</v>
      </c>
      <c r="H5659" s="2464" t="s">
        <v>5239</v>
      </c>
      <c r="I5659" s="2464" t="s">
        <v>5240</v>
      </c>
      <c r="J5659" s="2464" t="s">
        <v>5241</v>
      </c>
      <c r="K5659" s="2464" t="s">
        <v>5242</v>
      </c>
      <c r="L5659" s="2464" t="s">
        <v>5243</v>
      </c>
      <c r="M5659" s="2469" t="s">
        <v>5244</v>
      </c>
      <c r="N5659" s="355" t="s">
        <v>5350</v>
      </c>
      <c r="O5659" s="291"/>
      <c r="P5659" s="291"/>
      <c r="S5659" s="364"/>
      <c r="Z5659" s="609" t="s">
        <v>2066</v>
      </c>
      <c r="AA5659" s="609"/>
    </row>
    <row r="5660" spans="1:27" ht="18">
      <c r="A5660" s="2714"/>
      <c r="B5660" s="371">
        <v>101</v>
      </c>
      <c r="C5660" s="371" t="s">
        <v>2791</v>
      </c>
      <c r="D5660" s="2716">
        <f t="shared" ref="D5660:D5665" si="615">IF(OR(G5660="*",G5660="",G5660=0),0,COUNTIF($G$5660:$G$5665,G5660))</f>
        <v>0</v>
      </c>
      <c r="E5660" s="2721">
        <v>1</v>
      </c>
      <c r="F5660" s="294"/>
      <c r="G5660" s="2467"/>
      <c r="H5660" s="2298"/>
      <c r="I5660" s="2298"/>
      <c r="J5660" s="2298"/>
      <c r="K5660" s="2298"/>
      <c r="L5660" s="2298"/>
      <c r="M5660" s="2296"/>
      <c r="N5660" s="291"/>
      <c r="O5660" s="291"/>
      <c r="P5660" s="291"/>
      <c r="S5660" s="364"/>
      <c r="Z5660" s="609" t="s">
        <v>2066</v>
      </c>
      <c r="AA5660" s="609"/>
    </row>
    <row r="5661" spans="1:27" ht="18">
      <c r="A5661" s="2714"/>
      <c r="B5661" s="371">
        <v>102</v>
      </c>
      <c r="C5661" s="371" t="s">
        <v>2791</v>
      </c>
      <c r="D5661" s="2716">
        <f t="shared" si="615"/>
        <v>0</v>
      </c>
      <c r="E5661" s="2721">
        <v>1</v>
      </c>
      <c r="F5661" s="294"/>
      <c r="G5661" s="2467" t="s">
        <v>2792</v>
      </c>
      <c r="H5661" s="2298"/>
      <c r="I5661" s="2298"/>
      <c r="J5661" s="2298"/>
      <c r="K5661" s="2298"/>
      <c r="L5661" s="2298"/>
      <c r="M5661" s="2296"/>
      <c r="N5661" s="291"/>
      <c r="O5661" s="291"/>
      <c r="P5661" s="291"/>
      <c r="S5661" s="364"/>
      <c r="Z5661" s="609" t="s">
        <v>2066</v>
      </c>
      <c r="AA5661" s="609"/>
    </row>
    <row r="5662" spans="1:27" ht="18">
      <c r="A5662" s="2714"/>
      <c r="B5662" s="371">
        <v>103</v>
      </c>
      <c r="C5662" s="371" t="s">
        <v>2791</v>
      </c>
      <c r="D5662" s="2716">
        <f t="shared" si="615"/>
        <v>0</v>
      </c>
      <c r="E5662" s="2721">
        <v>1</v>
      </c>
      <c r="F5662" s="294"/>
      <c r="G5662" s="2467" t="s">
        <v>2792</v>
      </c>
      <c r="H5662" s="2298"/>
      <c r="I5662" s="2298"/>
      <c r="J5662" s="2298"/>
      <c r="K5662" s="2298"/>
      <c r="L5662" s="2298"/>
      <c r="M5662" s="2296"/>
      <c r="N5662" s="291"/>
      <c r="O5662" s="291"/>
      <c r="P5662" s="291"/>
      <c r="S5662" s="364"/>
      <c r="Z5662" s="609" t="s">
        <v>2066</v>
      </c>
      <c r="AA5662" s="609"/>
    </row>
    <row r="5663" spans="1:27" ht="18">
      <c r="A5663" s="2714"/>
      <c r="B5663" s="371">
        <v>104</v>
      </c>
      <c r="C5663" s="371" t="s">
        <v>2791</v>
      </c>
      <c r="D5663" s="2716">
        <f t="shared" si="615"/>
        <v>0</v>
      </c>
      <c r="E5663" s="2721">
        <v>1</v>
      </c>
      <c r="F5663" s="294"/>
      <c r="G5663" s="2467" t="s">
        <v>2792</v>
      </c>
      <c r="H5663" s="2298"/>
      <c r="I5663" s="2298"/>
      <c r="J5663" s="2298"/>
      <c r="K5663" s="2298"/>
      <c r="L5663" s="2298"/>
      <c r="M5663" s="2296"/>
      <c r="N5663" s="291"/>
      <c r="O5663" s="291"/>
      <c r="P5663" s="291"/>
      <c r="S5663" s="364"/>
      <c r="Z5663" s="609" t="s">
        <v>2066</v>
      </c>
      <c r="AA5663" s="609"/>
    </row>
    <row r="5664" spans="1:27" ht="18">
      <c r="A5664" s="2714"/>
      <c r="B5664" s="371">
        <v>105</v>
      </c>
      <c r="C5664" s="371" t="s">
        <v>2791</v>
      </c>
      <c r="D5664" s="2716">
        <f t="shared" si="615"/>
        <v>0</v>
      </c>
      <c r="E5664" s="2721">
        <v>1</v>
      </c>
      <c r="F5664" s="294"/>
      <c r="G5664" s="2467" t="s">
        <v>2792</v>
      </c>
      <c r="H5664" s="2298"/>
      <c r="I5664" s="2298"/>
      <c r="J5664" s="2298"/>
      <c r="K5664" s="2298"/>
      <c r="L5664" s="2298"/>
      <c r="M5664" s="2296"/>
      <c r="N5664" s="291"/>
      <c r="O5664" s="291"/>
      <c r="P5664" s="291"/>
      <c r="S5664" s="364"/>
      <c r="Z5664" s="609" t="s">
        <v>2066</v>
      </c>
      <c r="AA5664" s="609"/>
    </row>
    <row r="5665" spans="1:27" ht="18.75" thickBot="1">
      <c r="A5665" s="2714"/>
      <c r="B5665" s="371"/>
      <c r="C5665" s="371"/>
      <c r="D5665" s="2716">
        <f t="shared" si="615"/>
        <v>1</v>
      </c>
      <c r="E5665" s="2721" t="s">
        <v>3032</v>
      </c>
      <c r="F5665" s="294"/>
      <c r="G5665" s="374" t="s">
        <v>2752</v>
      </c>
      <c r="H5665" s="2261"/>
      <c r="I5665" s="2261"/>
      <c r="J5665" s="2261"/>
      <c r="K5665" s="2261"/>
      <c r="L5665" s="2261"/>
      <c r="M5665" s="1479">
        <f>SUMPRODUCT($E5659:$E5664,M5659:M5664)</f>
        <v>0</v>
      </c>
      <c r="N5665" s="291"/>
      <c r="O5665" s="291"/>
      <c r="P5665" s="291"/>
      <c r="S5665" s="364"/>
      <c r="Z5665" s="609" t="s">
        <v>2066</v>
      </c>
      <c r="AA5665" s="609"/>
    </row>
    <row r="5666" spans="1:27" ht="18">
      <c r="A5666" s="2714"/>
      <c r="B5666" s="371"/>
      <c r="C5666" s="371" t="s">
        <v>2755</v>
      </c>
      <c r="D5666" s="371"/>
      <c r="F5666" s="294"/>
      <c r="G5666" s="301"/>
      <c r="H5666" s="393"/>
      <c r="I5666" s="393"/>
      <c r="J5666" s="393"/>
      <c r="K5666" s="393"/>
      <c r="L5666" s="393"/>
      <c r="M5666" s="315"/>
      <c r="N5666" s="291"/>
      <c r="O5666" s="291"/>
      <c r="P5666" s="291"/>
      <c r="S5666" s="364"/>
      <c r="Z5666" s="609" t="s">
        <v>2066</v>
      </c>
      <c r="AA5666" s="609"/>
    </row>
    <row r="5667" spans="1:27" ht="24">
      <c r="A5667" s="2714" t="s">
        <v>2072</v>
      </c>
      <c r="B5667" s="371">
        <v>5.22</v>
      </c>
      <c r="C5667" s="371"/>
      <c r="D5667" s="2716" t="str">
        <f>VLOOKUP($A5667,Sheet_NoteList,2,0)</f>
        <v>委托管理或出包情况表</v>
      </c>
      <c r="E5667" s="2716" t="s">
        <v>2742</v>
      </c>
      <c r="F5667" s="294"/>
      <c r="G5667" s="483" t="str">
        <f>"("&amp;B5667&amp;")"&amp;D5667</f>
        <v>(5.22)委托管理或出包情况表</v>
      </c>
      <c r="H5667" s="1517" t="str">
        <f>$A5667</f>
        <v>9120d</v>
      </c>
      <c r="I5667" s="343" t="s">
        <v>2743</v>
      </c>
      <c r="J5667" s="301"/>
      <c r="K5667" s="3083"/>
      <c r="L5667" s="315"/>
      <c r="M5667" s="301"/>
      <c r="N5667" s="3083"/>
      <c r="O5667" s="315"/>
      <c r="P5667" s="301"/>
      <c r="S5667" s="364"/>
      <c r="Z5667" s="609" t="s">
        <v>2066</v>
      </c>
      <c r="AA5667" s="609"/>
    </row>
    <row r="5668" spans="1:27" ht="0.75" customHeight="1" thickBot="1">
      <c r="A5668" s="2714"/>
      <c r="B5668" s="371"/>
      <c r="C5668" s="371"/>
      <c r="D5668" s="371"/>
      <c r="E5668" s="586"/>
      <c r="F5668" s="586"/>
      <c r="G5668" s="586" t="s">
        <v>4446</v>
      </c>
      <c r="H5668" s="371" t="s">
        <v>4440</v>
      </c>
      <c r="I5668" s="371" t="s">
        <v>4441</v>
      </c>
      <c r="J5668" s="371" t="s">
        <v>4442</v>
      </c>
      <c r="K5668" s="371" t="s">
        <v>4443</v>
      </c>
      <c r="L5668" s="371" t="s">
        <v>4444</v>
      </c>
      <c r="M5668" s="371" t="s">
        <v>4447</v>
      </c>
      <c r="N5668" s="291"/>
      <c r="O5668" s="291"/>
      <c r="P5668" s="291"/>
      <c r="S5668" s="364"/>
      <c r="Z5668" s="609" t="s">
        <v>2066</v>
      </c>
      <c r="AA5668" s="609"/>
    </row>
    <row r="5669" spans="1:27" ht="24">
      <c r="A5669" s="2714"/>
      <c r="B5669" s="371"/>
      <c r="C5669" s="371"/>
      <c r="D5669" s="371"/>
      <c r="E5669" s="586" t="s">
        <v>2749</v>
      </c>
      <c r="F5669" s="363"/>
      <c r="G5669" s="2457" t="s">
        <v>5238</v>
      </c>
      <c r="H5669" s="2464" t="s">
        <v>5239</v>
      </c>
      <c r="I5669" s="2464" t="s">
        <v>5245</v>
      </c>
      <c r="J5669" s="2464" t="s">
        <v>5246</v>
      </c>
      <c r="K5669" s="2464" t="s">
        <v>5247</v>
      </c>
      <c r="L5669" s="2464" t="s">
        <v>5248</v>
      </c>
      <c r="M5669" s="2469" t="s">
        <v>5249</v>
      </c>
      <c r="N5669" s="355" t="s">
        <v>5350</v>
      </c>
      <c r="O5669" s="291"/>
      <c r="P5669" s="291"/>
      <c r="S5669" s="364"/>
      <c r="Z5669" s="609" t="s">
        <v>2066</v>
      </c>
      <c r="AA5669" s="609"/>
    </row>
    <row r="5670" spans="1:27" ht="18">
      <c r="A5670" s="2714"/>
      <c r="B5670" s="371">
        <v>101</v>
      </c>
      <c r="C5670" s="371" t="s">
        <v>2791</v>
      </c>
      <c r="D5670" s="2716">
        <f t="shared" ref="D5670:D5675" si="616">IF(OR(G5670="*",G5670="",G5670=0),0,COUNTIF($G$5670:$G$5675,G5670))</f>
        <v>0</v>
      </c>
      <c r="E5670" s="2721">
        <v>1</v>
      </c>
      <c r="F5670" s="294"/>
      <c r="G5670" s="2467"/>
      <c r="H5670" s="2298"/>
      <c r="I5670" s="2298"/>
      <c r="J5670" s="2298"/>
      <c r="K5670" s="2298"/>
      <c r="L5670" s="2298"/>
      <c r="M5670" s="2296"/>
      <c r="N5670" s="291"/>
      <c r="O5670" s="291"/>
      <c r="P5670" s="291"/>
      <c r="S5670" s="364"/>
      <c r="Z5670" s="609" t="s">
        <v>2066</v>
      </c>
      <c r="AA5670" s="609"/>
    </row>
    <row r="5671" spans="1:27" ht="18">
      <c r="A5671" s="2714"/>
      <c r="B5671" s="371">
        <v>102</v>
      </c>
      <c r="C5671" s="371" t="s">
        <v>2791</v>
      </c>
      <c r="D5671" s="2716">
        <f t="shared" si="616"/>
        <v>0</v>
      </c>
      <c r="E5671" s="2721">
        <v>1</v>
      </c>
      <c r="F5671" s="294"/>
      <c r="G5671" s="2467" t="s">
        <v>2792</v>
      </c>
      <c r="H5671" s="2298"/>
      <c r="I5671" s="2298"/>
      <c r="J5671" s="2298"/>
      <c r="K5671" s="2298"/>
      <c r="L5671" s="2298"/>
      <c r="M5671" s="2296"/>
      <c r="N5671" s="291"/>
      <c r="O5671" s="291"/>
      <c r="P5671" s="291"/>
      <c r="S5671" s="364"/>
      <c r="Z5671" s="609" t="s">
        <v>2066</v>
      </c>
      <c r="AA5671" s="609"/>
    </row>
    <row r="5672" spans="1:27" ht="18">
      <c r="A5672" s="2714"/>
      <c r="B5672" s="371">
        <v>103</v>
      </c>
      <c r="C5672" s="371" t="s">
        <v>2791</v>
      </c>
      <c r="D5672" s="2716">
        <f t="shared" si="616"/>
        <v>0</v>
      </c>
      <c r="E5672" s="2721">
        <v>1</v>
      </c>
      <c r="F5672" s="294"/>
      <c r="G5672" s="2467" t="s">
        <v>2792</v>
      </c>
      <c r="H5672" s="2298"/>
      <c r="I5672" s="2298"/>
      <c r="J5672" s="2298"/>
      <c r="K5672" s="2298"/>
      <c r="L5672" s="2298"/>
      <c r="M5672" s="2296"/>
      <c r="N5672" s="291"/>
      <c r="O5672" s="291"/>
      <c r="P5672" s="291"/>
      <c r="S5672" s="364"/>
      <c r="Z5672" s="609" t="s">
        <v>2066</v>
      </c>
      <c r="AA5672" s="609"/>
    </row>
    <row r="5673" spans="1:27" ht="18">
      <c r="A5673" s="2714"/>
      <c r="B5673" s="371">
        <v>104</v>
      </c>
      <c r="C5673" s="371" t="s">
        <v>2791</v>
      </c>
      <c r="D5673" s="2716">
        <f t="shared" si="616"/>
        <v>0</v>
      </c>
      <c r="E5673" s="2721">
        <v>1</v>
      </c>
      <c r="F5673" s="294"/>
      <c r="G5673" s="2467" t="s">
        <v>2792</v>
      </c>
      <c r="H5673" s="2298"/>
      <c r="I5673" s="2298"/>
      <c r="J5673" s="2298"/>
      <c r="K5673" s="2298"/>
      <c r="L5673" s="2298"/>
      <c r="M5673" s="2296"/>
      <c r="N5673" s="291"/>
      <c r="O5673" s="291"/>
      <c r="P5673" s="291"/>
      <c r="S5673" s="364"/>
      <c r="Z5673" s="609" t="s">
        <v>2066</v>
      </c>
      <c r="AA5673" s="609"/>
    </row>
    <row r="5674" spans="1:27" ht="18">
      <c r="A5674" s="2714"/>
      <c r="B5674" s="371">
        <v>105</v>
      </c>
      <c r="C5674" s="371" t="s">
        <v>2791</v>
      </c>
      <c r="D5674" s="2716">
        <f t="shared" si="616"/>
        <v>0</v>
      </c>
      <c r="E5674" s="2721">
        <v>1</v>
      </c>
      <c r="F5674" s="294"/>
      <c r="G5674" s="2467" t="s">
        <v>2792</v>
      </c>
      <c r="H5674" s="2298"/>
      <c r="I5674" s="2298"/>
      <c r="J5674" s="2298"/>
      <c r="K5674" s="2298"/>
      <c r="L5674" s="2298"/>
      <c r="M5674" s="2296"/>
      <c r="N5674" s="291"/>
      <c r="O5674" s="291"/>
      <c r="P5674" s="291"/>
      <c r="S5674" s="364"/>
      <c r="Z5674" s="609" t="s">
        <v>2066</v>
      </c>
      <c r="AA5674" s="609"/>
    </row>
    <row r="5675" spans="1:27" ht="18.75" thickBot="1">
      <c r="A5675" s="2714"/>
      <c r="B5675" s="371"/>
      <c r="C5675" s="371"/>
      <c r="D5675" s="2716">
        <f t="shared" si="616"/>
        <v>1</v>
      </c>
      <c r="E5675" s="2721" t="s">
        <v>3032</v>
      </c>
      <c r="F5675" s="294"/>
      <c r="G5675" s="374" t="s">
        <v>2752</v>
      </c>
      <c r="H5675" s="2261"/>
      <c r="I5675" s="2261"/>
      <c r="J5675" s="2261"/>
      <c r="K5675" s="2261"/>
      <c r="L5675" s="2261"/>
      <c r="M5675" s="1479">
        <f>SUMPRODUCT($E5669:$E5674,M5669:M5674)</f>
        <v>0</v>
      </c>
      <c r="N5675" s="291"/>
      <c r="O5675" s="291"/>
      <c r="P5675" s="291"/>
      <c r="S5675" s="364"/>
      <c r="Z5675" s="609" t="s">
        <v>2066</v>
      </c>
      <c r="AA5675" s="609"/>
    </row>
    <row r="5676" spans="1:27" ht="18">
      <c r="A5676" s="2714"/>
      <c r="B5676" s="371"/>
      <c r="C5676" s="371" t="s">
        <v>2755</v>
      </c>
      <c r="D5676" s="371"/>
      <c r="F5676" s="294"/>
      <c r="G5676" s="301"/>
      <c r="H5676" s="393"/>
      <c r="I5676" s="393"/>
      <c r="J5676" s="393"/>
      <c r="K5676" s="393"/>
      <c r="L5676" s="393"/>
      <c r="M5676" s="315"/>
      <c r="N5676" s="291"/>
      <c r="O5676" s="291"/>
      <c r="P5676" s="291"/>
      <c r="S5676" s="364"/>
      <c r="Z5676" s="609" t="s">
        <v>2066</v>
      </c>
      <c r="AA5676" s="609"/>
    </row>
    <row r="5677" spans="1:27" ht="24">
      <c r="A5677" s="2714" t="s">
        <v>2075</v>
      </c>
      <c r="B5677" s="371">
        <v>5.31</v>
      </c>
      <c r="C5677" s="371"/>
      <c r="D5677" s="2716" t="str">
        <f>VLOOKUP($A5677,Sheet_NoteList,2,0)</f>
        <v>关联租赁情况——公司出租</v>
      </c>
      <c r="E5677" s="2716" t="s">
        <v>2742</v>
      </c>
      <c r="F5677" s="294"/>
      <c r="G5677" s="483" t="str">
        <f>"("&amp;B5677&amp;")"&amp;D5677</f>
        <v>(5.31)关联租赁情况——公司出租</v>
      </c>
      <c r="H5677" s="1517" t="str">
        <f>$A5677</f>
        <v>9120e</v>
      </c>
      <c r="I5677" s="343" t="s">
        <v>2743</v>
      </c>
      <c r="J5677" s="301"/>
      <c r="K5677" s="3083"/>
      <c r="L5677" s="315"/>
      <c r="M5677" s="301"/>
      <c r="N5677" s="3083"/>
      <c r="O5677" s="315"/>
      <c r="P5677" s="301"/>
      <c r="S5677" s="364"/>
      <c r="Z5677" s="609" t="s">
        <v>2066</v>
      </c>
      <c r="AA5677" s="609"/>
    </row>
    <row r="5678" spans="1:27" ht="0.75" customHeight="1" thickBot="1">
      <c r="A5678" s="2714"/>
      <c r="B5678" s="371"/>
      <c r="C5678" s="371"/>
      <c r="D5678" s="371"/>
      <c r="E5678" s="586"/>
      <c r="F5678" s="586"/>
      <c r="G5678" s="586" t="s">
        <v>4448</v>
      </c>
      <c r="H5678" s="371" t="s">
        <v>4449</v>
      </c>
      <c r="I5678" s="371" t="s">
        <v>4450</v>
      </c>
      <c r="J5678" s="371" t="s">
        <v>4451</v>
      </c>
      <c r="K5678" s="301"/>
      <c r="L5678" s="301"/>
      <c r="M5678" s="301"/>
      <c r="N5678" s="291"/>
      <c r="O5678" s="291"/>
      <c r="P5678" s="291"/>
      <c r="S5678" s="364"/>
      <c r="Z5678" s="609" t="s">
        <v>2066</v>
      </c>
      <c r="AA5678" s="609"/>
    </row>
    <row r="5679" spans="1:27" ht="24">
      <c r="A5679" s="2714"/>
      <c r="B5679" s="371"/>
      <c r="C5679" s="371"/>
      <c r="D5679" s="371"/>
      <c r="E5679" s="586" t="s">
        <v>2749</v>
      </c>
      <c r="F5679" s="363"/>
      <c r="G5679" s="2457" t="s">
        <v>4452</v>
      </c>
      <c r="H5679" s="2464" t="s">
        <v>4453</v>
      </c>
      <c r="I5679" s="2464" t="str">
        <f>$W$4&amp;"确认的租赁收入"</f>
        <v>2019年度确认的租赁收入</v>
      </c>
      <c r="J5679" s="2469" t="str">
        <f>$W$5&amp;"确认的租赁收入"</f>
        <v>2018年度确认的租赁收入</v>
      </c>
      <c r="K5679" s="355" t="s">
        <v>5350</v>
      </c>
      <c r="L5679" s="301"/>
      <c r="M5679" s="301"/>
      <c r="N5679" s="291"/>
      <c r="O5679" s="291"/>
      <c r="P5679" s="291"/>
      <c r="S5679" s="364"/>
      <c r="Z5679" s="609" t="s">
        <v>2066</v>
      </c>
      <c r="AA5679" s="609"/>
    </row>
    <row r="5680" spans="1:27" ht="18">
      <c r="A5680" s="2714"/>
      <c r="B5680" s="371">
        <v>101</v>
      </c>
      <c r="C5680" s="371" t="s">
        <v>2791</v>
      </c>
      <c r="D5680" s="2716">
        <f t="shared" ref="D5680:D5685" si="617">IF(OR(G5680="*",G5680="",G5680=0),0,COUNTIF($G$5680:$G$5685,G5680))</f>
        <v>0</v>
      </c>
      <c r="E5680" s="2721">
        <v>1</v>
      </c>
      <c r="F5680" s="294"/>
      <c r="G5680" s="2467" t="s">
        <v>2792</v>
      </c>
      <c r="H5680" s="2298"/>
      <c r="I5680" s="2275"/>
      <c r="J5680" s="2296"/>
      <c r="K5680" s="301"/>
      <c r="L5680" s="301"/>
      <c r="M5680" s="301"/>
      <c r="N5680" s="291"/>
      <c r="O5680" s="291"/>
      <c r="P5680" s="291"/>
      <c r="S5680" s="364"/>
      <c r="Z5680" s="609" t="s">
        <v>2066</v>
      </c>
      <c r="AA5680" s="609"/>
    </row>
    <row r="5681" spans="1:27" ht="18">
      <c r="A5681" s="2714"/>
      <c r="B5681" s="371">
        <v>102</v>
      </c>
      <c r="C5681" s="371" t="s">
        <v>2791</v>
      </c>
      <c r="D5681" s="2716">
        <f t="shared" si="617"/>
        <v>0</v>
      </c>
      <c r="E5681" s="2721">
        <v>1</v>
      </c>
      <c r="F5681" s="294"/>
      <c r="G5681" s="2467" t="s">
        <v>2792</v>
      </c>
      <c r="H5681" s="2298"/>
      <c r="I5681" s="2275"/>
      <c r="J5681" s="2296"/>
      <c r="K5681" s="301"/>
      <c r="L5681" s="301"/>
      <c r="M5681" s="301"/>
      <c r="N5681" s="291"/>
      <c r="O5681" s="291"/>
      <c r="P5681" s="291"/>
      <c r="S5681" s="364"/>
      <c r="Z5681" s="609" t="s">
        <v>2066</v>
      </c>
      <c r="AA5681" s="609"/>
    </row>
    <row r="5682" spans="1:27" ht="18">
      <c r="A5682" s="2714"/>
      <c r="B5682" s="371">
        <v>103</v>
      </c>
      <c r="C5682" s="371" t="s">
        <v>2791</v>
      </c>
      <c r="D5682" s="2716">
        <f t="shared" si="617"/>
        <v>0</v>
      </c>
      <c r="E5682" s="2721">
        <v>1</v>
      </c>
      <c r="F5682" s="294"/>
      <c r="G5682" s="2467" t="s">
        <v>2792</v>
      </c>
      <c r="H5682" s="2298"/>
      <c r="I5682" s="2275"/>
      <c r="J5682" s="2296"/>
      <c r="K5682" s="301"/>
      <c r="L5682" s="301"/>
      <c r="M5682" s="301"/>
      <c r="N5682" s="291"/>
      <c r="O5682" s="291"/>
      <c r="P5682" s="291"/>
      <c r="S5682" s="364"/>
      <c r="Z5682" s="609" t="s">
        <v>2066</v>
      </c>
      <c r="AA5682" s="609"/>
    </row>
    <row r="5683" spans="1:27" ht="18">
      <c r="A5683" s="2714"/>
      <c r="B5683" s="371">
        <v>104</v>
      </c>
      <c r="C5683" s="371" t="s">
        <v>2791</v>
      </c>
      <c r="D5683" s="2716">
        <f t="shared" si="617"/>
        <v>0</v>
      </c>
      <c r="E5683" s="2721">
        <v>1</v>
      </c>
      <c r="F5683" s="294"/>
      <c r="G5683" s="2467" t="s">
        <v>2792</v>
      </c>
      <c r="H5683" s="2298"/>
      <c r="I5683" s="2275"/>
      <c r="J5683" s="2296"/>
      <c r="K5683" s="301"/>
      <c r="L5683" s="301"/>
      <c r="M5683" s="301"/>
      <c r="N5683" s="291"/>
      <c r="O5683" s="291"/>
      <c r="P5683" s="291"/>
      <c r="S5683" s="364"/>
      <c r="Z5683" s="609" t="s">
        <v>2066</v>
      </c>
      <c r="AA5683" s="609"/>
    </row>
    <row r="5684" spans="1:27" ht="18">
      <c r="A5684" s="2714"/>
      <c r="B5684" s="371">
        <v>105</v>
      </c>
      <c r="C5684" s="371" t="s">
        <v>2791</v>
      </c>
      <c r="D5684" s="2716">
        <f t="shared" si="617"/>
        <v>0</v>
      </c>
      <c r="E5684" s="2721">
        <v>1</v>
      </c>
      <c r="F5684" s="294"/>
      <c r="G5684" s="2467" t="s">
        <v>2792</v>
      </c>
      <c r="H5684" s="2298"/>
      <c r="I5684" s="2275"/>
      <c r="J5684" s="2296"/>
      <c r="K5684" s="301"/>
      <c r="L5684" s="301"/>
      <c r="M5684" s="301"/>
      <c r="N5684" s="291"/>
      <c r="O5684" s="291"/>
      <c r="P5684" s="291"/>
      <c r="S5684" s="364"/>
      <c r="Z5684" s="609" t="s">
        <v>2066</v>
      </c>
      <c r="AA5684" s="609"/>
    </row>
    <row r="5685" spans="1:27" ht="18.75" thickBot="1">
      <c r="A5685" s="2714"/>
      <c r="B5685" s="371"/>
      <c r="C5685" s="371"/>
      <c r="D5685" s="2716">
        <f t="shared" si="617"/>
        <v>1</v>
      </c>
      <c r="E5685" s="2721" t="s">
        <v>3032</v>
      </c>
      <c r="F5685" s="294"/>
      <c r="G5685" s="374" t="s">
        <v>2752</v>
      </c>
      <c r="H5685" s="2261"/>
      <c r="I5685" s="1478">
        <f>SUMPRODUCT($E5679:$E5684,I5679:I5684)</f>
        <v>0</v>
      </c>
      <c r="J5685" s="1479">
        <f>SUMPRODUCT($E5679:$E5684,J5679:J5684)</f>
        <v>0</v>
      </c>
      <c r="K5685" s="301"/>
      <c r="L5685" s="301"/>
      <c r="M5685" s="301"/>
      <c r="N5685" s="291"/>
      <c r="O5685" s="291"/>
      <c r="P5685" s="291"/>
      <c r="S5685" s="364"/>
      <c r="Z5685" s="609" t="s">
        <v>2066</v>
      </c>
      <c r="AA5685" s="609"/>
    </row>
    <row r="5686" spans="1:27" ht="18">
      <c r="A5686" s="2714"/>
      <c r="B5686" s="371"/>
      <c r="C5686" s="371" t="s">
        <v>2755</v>
      </c>
      <c r="D5686" s="371"/>
      <c r="F5686" s="294"/>
      <c r="G5686" s="301"/>
      <c r="H5686" s="393"/>
      <c r="I5686" s="315"/>
      <c r="J5686" s="315"/>
      <c r="K5686" s="301"/>
      <c r="L5686" s="301"/>
      <c r="M5686" s="301"/>
      <c r="N5686" s="291"/>
      <c r="O5686" s="291"/>
      <c r="P5686" s="291"/>
      <c r="S5686" s="364"/>
      <c r="Z5686" s="609" t="s">
        <v>2066</v>
      </c>
      <c r="AA5686" s="609"/>
    </row>
    <row r="5687" spans="1:27" ht="24">
      <c r="A5687" s="2714" t="s">
        <v>2077</v>
      </c>
      <c r="B5687" s="371">
        <v>5.32</v>
      </c>
      <c r="C5687" s="371"/>
      <c r="D5687" s="2716" t="str">
        <f>VLOOKUP($A5687,Sheet_NoteList,2,0)</f>
        <v>关联租赁情况——公司承租</v>
      </c>
      <c r="E5687" s="2716" t="s">
        <v>2742</v>
      </c>
      <c r="F5687" s="294"/>
      <c r="G5687" s="483" t="str">
        <f>"("&amp;B5687&amp;")"&amp;D5687</f>
        <v>(5.32)关联租赁情况——公司承租</v>
      </c>
      <c r="H5687" s="1517" t="str">
        <f>$A5687</f>
        <v>9120f</v>
      </c>
      <c r="I5687" s="343" t="s">
        <v>2743</v>
      </c>
      <c r="J5687" s="301"/>
      <c r="K5687" s="3083"/>
      <c r="L5687" s="315"/>
      <c r="M5687" s="301"/>
      <c r="N5687" s="3083"/>
      <c r="O5687" s="315"/>
      <c r="P5687" s="301"/>
      <c r="S5687" s="364"/>
      <c r="Z5687" s="609" t="s">
        <v>2066</v>
      </c>
      <c r="AA5687" s="609"/>
    </row>
    <row r="5688" spans="1:27" ht="0.75" customHeight="1" thickBot="1">
      <c r="A5688" s="2714"/>
      <c r="B5688" s="371"/>
      <c r="C5688" s="371"/>
      <c r="D5688" s="371"/>
      <c r="E5688" s="586"/>
      <c r="F5688" s="586"/>
      <c r="G5688" s="586" t="s">
        <v>4454</v>
      </c>
      <c r="H5688" s="371" t="s">
        <v>4449</v>
      </c>
      <c r="I5688" s="371" t="s">
        <v>4455</v>
      </c>
      <c r="J5688" s="371" t="s">
        <v>4456</v>
      </c>
      <c r="K5688" s="301"/>
      <c r="L5688" s="301"/>
      <c r="M5688" s="301"/>
      <c r="N5688" s="291"/>
      <c r="O5688" s="291"/>
      <c r="P5688" s="291"/>
      <c r="S5688" s="364"/>
      <c r="Z5688" s="609" t="s">
        <v>2066</v>
      </c>
      <c r="AA5688" s="609"/>
    </row>
    <row r="5689" spans="1:27" ht="24">
      <c r="A5689" s="2714"/>
      <c r="B5689" s="371"/>
      <c r="C5689" s="371"/>
      <c r="D5689" s="371"/>
      <c r="E5689" s="586" t="s">
        <v>2749</v>
      </c>
      <c r="F5689" s="363"/>
      <c r="G5689" s="2457" t="s">
        <v>4457</v>
      </c>
      <c r="H5689" s="2464" t="s">
        <v>4453</v>
      </c>
      <c r="I5689" s="2464" t="str">
        <f>$W$4&amp;"确认的租赁费"</f>
        <v>2019年度确认的租赁费</v>
      </c>
      <c r="J5689" s="2469" t="str">
        <f>$W$5&amp;"确认的租赁费"</f>
        <v>2018年度确认的租赁费</v>
      </c>
      <c r="K5689" s="355" t="s">
        <v>5350</v>
      </c>
      <c r="L5689" s="301"/>
      <c r="M5689" s="301"/>
      <c r="N5689" s="291"/>
      <c r="O5689" s="291"/>
      <c r="P5689" s="291"/>
      <c r="S5689" s="364"/>
      <c r="Z5689" s="609" t="s">
        <v>2066</v>
      </c>
      <c r="AA5689" s="609"/>
    </row>
    <row r="5690" spans="1:27" ht="18">
      <c r="A5690" s="2714"/>
      <c r="B5690" s="371">
        <v>101</v>
      </c>
      <c r="C5690" s="371" t="s">
        <v>2791</v>
      </c>
      <c r="D5690" s="2716">
        <f t="shared" ref="D5690:D5695" si="618">IF(OR(G5690="*",G5690="",G5690=0),0,COUNTIF($G$5690:$G$5695,G5690))</f>
        <v>0</v>
      </c>
      <c r="E5690" s="2721">
        <v>1</v>
      </c>
      <c r="F5690" s="294"/>
      <c r="G5690" s="2467" t="s">
        <v>2792</v>
      </c>
      <c r="H5690" s="2298"/>
      <c r="I5690" s="2275"/>
      <c r="J5690" s="2296"/>
      <c r="K5690" s="301"/>
      <c r="L5690" s="301"/>
      <c r="M5690" s="301"/>
      <c r="N5690" s="291"/>
      <c r="O5690" s="291"/>
      <c r="P5690" s="291"/>
      <c r="S5690" s="364"/>
      <c r="Z5690" s="609" t="s">
        <v>2066</v>
      </c>
      <c r="AA5690" s="609"/>
    </row>
    <row r="5691" spans="1:27" ht="18">
      <c r="A5691" s="2714"/>
      <c r="B5691" s="371">
        <v>102</v>
      </c>
      <c r="C5691" s="371" t="s">
        <v>2791</v>
      </c>
      <c r="D5691" s="2716">
        <f t="shared" si="618"/>
        <v>0</v>
      </c>
      <c r="E5691" s="2721">
        <v>1</v>
      </c>
      <c r="F5691" s="294"/>
      <c r="G5691" s="2467" t="s">
        <v>2792</v>
      </c>
      <c r="H5691" s="2298"/>
      <c r="I5691" s="2275"/>
      <c r="J5691" s="2296"/>
      <c r="K5691" s="301"/>
      <c r="L5691" s="301"/>
      <c r="M5691" s="301"/>
      <c r="N5691" s="291"/>
      <c r="O5691" s="291"/>
      <c r="P5691" s="291"/>
      <c r="S5691" s="364"/>
      <c r="Z5691" s="609" t="s">
        <v>2066</v>
      </c>
      <c r="AA5691" s="609"/>
    </row>
    <row r="5692" spans="1:27" ht="18">
      <c r="A5692" s="2714"/>
      <c r="B5692" s="371">
        <v>103</v>
      </c>
      <c r="C5692" s="371" t="s">
        <v>2791</v>
      </c>
      <c r="D5692" s="2716">
        <f t="shared" si="618"/>
        <v>0</v>
      </c>
      <c r="E5692" s="2721">
        <v>1</v>
      </c>
      <c r="F5692" s="294"/>
      <c r="G5692" s="2467" t="s">
        <v>2792</v>
      </c>
      <c r="H5692" s="2298"/>
      <c r="I5692" s="2275"/>
      <c r="J5692" s="2296"/>
      <c r="K5692" s="301"/>
      <c r="L5692" s="301"/>
      <c r="M5692" s="301"/>
      <c r="N5692" s="291"/>
      <c r="O5692" s="291"/>
      <c r="P5692" s="291"/>
      <c r="S5692" s="364"/>
      <c r="Z5692" s="609" t="s">
        <v>2066</v>
      </c>
      <c r="AA5692" s="609"/>
    </row>
    <row r="5693" spans="1:27" ht="18">
      <c r="A5693" s="2714"/>
      <c r="B5693" s="371">
        <v>104</v>
      </c>
      <c r="C5693" s="371" t="s">
        <v>2791</v>
      </c>
      <c r="D5693" s="2716">
        <f t="shared" si="618"/>
        <v>0</v>
      </c>
      <c r="E5693" s="2721">
        <v>1</v>
      </c>
      <c r="F5693" s="294"/>
      <c r="G5693" s="2467" t="s">
        <v>2792</v>
      </c>
      <c r="H5693" s="2298"/>
      <c r="I5693" s="2275"/>
      <c r="J5693" s="2296"/>
      <c r="K5693" s="301"/>
      <c r="L5693" s="301"/>
      <c r="M5693" s="301"/>
      <c r="N5693" s="291"/>
      <c r="O5693" s="291"/>
      <c r="P5693" s="291"/>
      <c r="S5693" s="364"/>
      <c r="Z5693" s="609" t="s">
        <v>2066</v>
      </c>
      <c r="AA5693" s="609"/>
    </row>
    <row r="5694" spans="1:27" ht="18">
      <c r="A5694" s="2714"/>
      <c r="B5694" s="371">
        <v>105</v>
      </c>
      <c r="C5694" s="371" t="s">
        <v>2791</v>
      </c>
      <c r="D5694" s="2716">
        <f t="shared" si="618"/>
        <v>0</v>
      </c>
      <c r="E5694" s="2721">
        <v>1</v>
      </c>
      <c r="F5694" s="294"/>
      <c r="G5694" s="2467" t="s">
        <v>2792</v>
      </c>
      <c r="H5694" s="2298"/>
      <c r="I5694" s="2275"/>
      <c r="J5694" s="2296"/>
      <c r="K5694" s="301"/>
      <c r="L5694" s="301"/>
      <c r="M5694" s="301"/>
      <c r="N5694" s="291"/>
      <c r="O5694" s="291"/>
      <c r="P5694" s="291"/>
      <c r="S5694" s="364"/>
      <c r="Z5694" s="609" t="s">
        <v>2066</v>
      </c>
      <c r="AA5694" s="609"/>
    </row>
    <row r="5695" spans="1:27" ht="18.75" thickBot="1">
      <c r="A5695" s="2714"/>
      <c r="B5695" s="371"/>
      <c r="C5695" s="371"/>
      <c r="D5695" s="2716">
        <f t="shared" si="618"/>
        <v>1</v>
      </c>
      <c r="E5695" s="2721" t="s">
        <v>3032</v>
      </c>
      <c r="F5695" s="294"/>
      <c r="G5695" s="374" t="s">
        <v>2752</v>
      </c>
      <c r="H5695" s="2261"/>
      <c r="I5695" s="1478">
        <f>SUMPRODUCT($E5689:$E5694,I5689:I5694)</f>
        <v>0</v>
      </c>
      <c r="J5695" s="1479">
        <f>SUMPRODUCT($E5689:$E5694,J5689:J5694)</f>
        <v>0</v>
      </c>
      <c r="K5695" s="301"/>
      <c r="L5695" s="301"/>
      <c r="M5695" s="301"/>
      <c r="N5695" s="291"/>
      <c r="O5695" s="291"/>
      <c r="P5695" s="291"/>
      <c r="S5695" s="364"/>
      <c r="Z5695" s="609" t="s">
        <v>2066</v>
      </c>
      <c r="AA5695" s="609"/>
    </row>
    <row r="5696" spans="1:27" ht="18">
      <c r="A5696" s="2714"/>
      <c r="B5696" s="371"/>
      <c r="C5696" s="371" t="s">
        <v>2755</v>
      </c>
      <c r="D5696" s="371"/>
      <c r="F5696" s="294"/>
      <c r="G5696" s="301"/>
      <c r="H5696" s="393"/>
      <c r="I5696" s="315"/>
      <c r="J5696" s="315"/>
      <c r="K5696" s="301"/>
      <c r="L5696" s="301"/>
      <c r="M5696" s="301"/>
      <c r="N5696" s="291"/>
      <c r="O5696" s="291"/>
      <c r="P5696" s="291"/>
      <c r="S5696" s="364"/>
      <c r="Z5696" s="609" t="s">
        <v>2066</v>
      </c>
      <c r="AA5696" s="609"/>
    </row>
    <row r="5697" spans="1:27" ht="24">
      <c r="A5697" s="2714" t="s">
        <v>2079</v>
      </c>
      <c r="B5697" s="371">
        <v>5.41</v>
      </c>
      <c r="C5697" s="371"/>
      <c r="D5697" s="2716" t="str">
        <f>VLOOKUP($A5697,Sheet_NoteList,2,0)</f>
        <v>关联担保情况——作为担保方</v>
      </c>
      <c r="E5697" s="2716" t="s">
        <v>2742</v>
      </c>
      <c r="F5697" s="294"/>
      <c r="G5697" s="483" t="str">
        <f>"("&amp;B5697&amp;")"&amp;D5697</f>
        <v>(5.41)关联担保情况——作为担保方</v>
      </c>
      <c r="H5697" s="1517" t="str">
        <f>$A5697</f>
        <v>9120g</v>
      </c>
      <c r="I5697" s="343" t="s">
        <v>2743</v>
      </c>
      <c r="J5697" s="301"/>
      <c r="K5697" s="3083"/>
      <c r="L5697" s="315"/>
      <c r="M5697" s="301"/>
      <c r="N5697" s="3083"/>
      <c r="O5697" s="315"/>
      <c r="P5697" s="301"/>
      <c r="S5697" s="364"/>
      <c r="Z5697" s="609" t="s">
        <v>2066</v>
      </c>
      <c r="AA5697" s="609"/>
    </row>
    <row r="5698" spans="1:27" ht="0.75" customHeight="1" thickBot="1">
      <c r="A5698" s="2714"/>
      <c r="B5698" s="371"/>
      <c r="C5698" s="371"/>
      <c r="D5698" s="371"/>
      <c r="F5698" s="371"/>
      <c r="G5698" s="371" t="s">
        <v>4458</v>
      </c>
      <c r="H5698" s="371" t="s">
        <v>4459</v>
      </c>
      <c r="I5698" s="371" t="s">
        <v>4460</v>
      </c>
      <c r="J5698" s="371" t="s">
        <v>4461</v>
      </c>
      <c r="K5698" s="371" t="s">
        <v>4462</v>
      </c>
      <c r="L5698" s="301"/>
      <c r="M5698" s="301"/>
      <c r="N5698" s="291"/>
      <c r="O5698" s="291"/>
      <c r="P5698" s="291"/>
      <c r="S5698" s="364"/>
      <c r="Z5698" s="609" t="s">
        <v>2066</v>
      </c>
      <c r="AA5698" s="609"/>
    </row>
    <row r="5699" spans="1:27" ht="24">
      <c r="A5699" s="2714"/>
      <c r="B5699" s="371"/>
      <c r="C5699" s="371"/>
      <c r="D5699" s="371"/>
      <c r="E5699" s="2716" t="s">
        <v>2749</v>
      </c>
      <c r="F5699" s="294"/>
      <c r="G5699" s="410" t="s">
        <v>4463</v>
      </c>
      <c r="H5699" s="506" t="s">
        <v>4464</v>
      </c>
      <c r="I5699" s="412" t="s">
        <v>4465</v>
      </c>
      <c r="J5699" s="506" t="s">
        <v>4466</v>
      </c>
      <c r="K5699" s="507" t="s">
        <v>4467</v>
      </c>
      <c r="L5699" s="355" t="s">
        <v>5350</v>
      </c>
      <c r="M5699" s="301"/>
      <c r="N5699" s="291"/>
      <c r="O5699" s="291"/>
      <c r="P5699" s="291"/>
      <c r="S5699" s="364"/>
      <c r="Z5699" s="609" t="s">
        <v>2066</v>
      </c>
      <c r="AA5699" s="609"/>
    </row>
    <row r="5700" spans="1:27" ht="18">
      <c r="A5700" s="2714"/>
      <c r="B5700" s="371">
        <v>101</v>
      </c>
      <c r="C5700" s="371" t="s">
        <v>2791</v>
      </c>
      <c r="D5700" s="2716">
        <f t="shared" ref="D5700:D5705" si="619">IF(OR(G5700="*",G5700="",G5700=0),0,COUNTIF($G$5700:$G$5705,G5700))</f>
        <v>0</v>
      </c>
      <c r="E5700" s="2721">
        <v>1</v>
      </c>
      <c r="F5700" s="294"/>
      <c r="G5700" s="319" t="s">
        <v>2792</v>
      </c>
      <c r="H5700" s="309"/>
      <c r="I5700" s="360"/>
      <c r="J5700" s="360"/>
      <c r="K5700" s="388"/>
      <c r="L5700" s="301"/>
      <c r="M5700" s="301"/>
      <c r="N5700" s="291"/>
      <c r="O5700" s="291"/>
      <c r="P5700" s="291"/>
      <c r="S5700" s="364"/>
      <c r="Z5700" s="609" t="s">
        <v>2066</v>
      </c>
      <c r="AA5700" s="609"/>
    </row>
    <row r="5701" spans="1:27" ht="18">
      <c r="A5701" s="2714"/>
      <c r="B5701" s="371">
        <v>102</v>
      </c>
      <c r="C5701" s="371" t="s">
        <v>2791</v>
      </c>
      <c r="D5701" s="2716">
        <f t="shared" si="619"/>
        <v>0</v>
      </c>
      <c r="E5701" s="2721">
        <v>1</v>
      </c>
      <c r="F5701" s="294"/>
      <c r="G5701" s="319" t="s">
        <v>2792</v>
      </c>
      <c r="H5701" s="309"/>
      <c r="I5701" s="360"/>
      <c r="J5701" s="360"/>
      <c r="K5701" s="388"/>
      <c r="L5701" s="301"/>
      <c r="M5701" s="301"/>
      <c r="N5701" s="291"/>
      <c r="O5701" s="291"/>
      <c r="P5701" s="291"/>
      <c r="S5701" s="364"/>
      <c r="Z5701" s="609" t="s">
        <v>2066</v>
      </c>
      <c r="AA5701" s="609"/>
    </row>
    <row r="5702" spans="1:27" ht="18">
      <c r="A5702" s="2714"/>
      <c r="B5702" s="371">
        <v>103</v>
      </c>
      <c r="C5702" s="371" t="s">
        <v>2791</v>
      </c>
      <c r="D5702" s="2716">
        <f t="shared" si="619"/>
        <v>0</v>
      </c>
      <c r="E5702" s="2721">
        <v>1</v>
      </c>
      <c r="F5702" s="294"/>
      <c r="G5702" s="319" t="s">
        <v>2792</v>
      </c>
      <c r="H5702" s="309"/>
      <c r="I5702" s="360"/>
      <c r="J5702" s="360"/>
      <c r="K5702" s="388"/>
      <c r="L5702" s="301"/>
      <c r="M5702" s="301"/>
      <c r="N5702" s="291"/>
      <c r="O5702" s="291"/>
      <c r="P5702" s="291"/>
      <c r="S5702" s="364"/>
      <c r="Z5702" s="609" t="s">
        <v>2066</v>
      </c>
      <c r="AA5702" s="609"/>
    </row>
    <row r="5703" spans="1:27" ht="18">
      <c r="A5703" s="2714"/>
      <c r="B5703" s="371">
        <v>104</v>
      </c>
      <c r="C5703" s="371" t="s">
        <v>2791</v>
      </c>
      <c r="D5703" s="2716">
        <f t="shared" si="619"/>
        <v>0</v>
      </c>
      <c r="E5703" s="2721">
        <v>1</v>
      </c>
      <c r="F5703" s="294"/>
      <c r="G5703" s="319" t="s">
        <v>2792</v>
      </c>
      <c r="H5703" s="309"/>
      <c r="I5703" s="360"/>
      <c r="J5703" s="360"/>
      <c r="K5703" s="388"/>
      <c r="L5703" s="301"/>
      <c r="M5703" s="301"/>
      <c r="N5703" s="291"/>
      <c r="O5703" s="291"/>
      <c r="P5703" s="291"/>
      <c r="S5703" s="364"/>
      <c r="Z5703" s="609" t="s">
        <v>2066</v>
      </c>
      <c r="AA5703" s="609"/>
    </row>
    <row r="5704" spans="1:27" ht="18">
      <c r="A5704" s="2714"/>
      <c r="B5704" s="371">
        <v>105</v>
      </c>
      <c r="C5704" s="371" t="s">
        <v>2791</v>
      </c>
      <c r="D5704" s="2716">
        <f t="shared" si="619"/>
        <v>0</v>
      </c>
      <c r="E5704" s="2721">
        <v>1</v>
      </c>
      <c r="F5704" s="294"/>
      <c r="G5704" s="319" t="s">
        <v>2792</v>
      </c>
      <c r="H5704" s="309"/>
      <c r="I5704" s="360"/>
      <c r="J5704" s="360"/>
      <c r="K5704" s="388"/>
      <c r="L5704" s="301"/>
      <c r="M5704" s="301"/>
      <c r="N5704" s="291"/>
      <c r="O5704" s="291"/>
      <c r="P5704" s="291"/>
      <c r="S5704" s="364"/>
      <c r="Z5704" s="609" t="s">
        <v>2066</v>
      </c>
      <c r="AA5704" s="609"/>
    </row>
    <row r="5705" spans="1:27" ht="18.75" thickBot="1">
      <c r="A5705" s="2714"/>
      <c r="B5705" s="371"/>
      <c r="C5705" s="371"/>
      <c r="D5705" s="2716">
        <f t="shared" si="619"/>
        <v>1</v>
      </c>
      <c r="E5705" s="2721" t="s">
        <v>3032</v>
      </c>
      <c r="F5705" s="294"/>
      <c r="G5705" s="374" t="s">
        <v>2752</v>
      </c>
      <c r="H5705" s="375">
        <f>SUMPRODUCT($E5699:$E5704,H5699:H5704)</f>
        <v>0</v>
      </c>
      <c r="I5705" s="567"/>
      <c r="J5705" s="567"/>
      <c r="K5705" s="550"/>
      <c r="L5705" s="301"/>
      <c r="M5705" s="301"/>
      <c r="N5705" s="291"/>
      <c r="O5705" s="291"/>
      <c r="P5705" s="291"/>
      <c r="S5705" s="364"/>
      <c r="Z5705" s="609" t="s">
        <v>2066</v>
      </c>
      <c r="AA5705" s="609"/>
    </row>
    <row r="5706" spans="1:27" ht="18">
      <c r="A5706" s="2714"/>
      <c r="B5706" s="371"/>
      <c r="C5706" s="371" t="s">
        <v>2755</v>
      </c>
      <c r="D5706" s="371"/>
      <c r="F5706" s="294"/>
      <c r="G5706" s="301"/>
      <c r="H5706" s="315"/>
      <c r="I5706" s="393"/>
      <c r="J5706" s="393"/>
      <c r="K5706" s="393"/>
      <c r="L5706" s="301"/>
      <c r="M5706" s="301"/>
      <c r="N5706" s="291"/>
      <c r="O5706" s="291"/>
      <c r="P5706" s="291"/>
      <c r="S5706" s="364"/>
      <c r="Z5706" s="609" t="s">
        <v>2066</v>
      </c>
      <c r="AA5706" s="609"/>
    </row>
    <row r="5707" spans="1:27" ht="24">
      <c r="A5707" s="2714" t="s">
        <v>2081</v>
      </c>
      <c r="B5707" s="371">
        <v>5.42</v>
      </c>
      <c r="C5707" s="371"/>
      <c r="D5707" s="2716" t="str">
        <f>VLOOKUP($A5707,Sheet_NoteList,2,0)</f>
        <v>关联担保情况——作为被担保方</v>
      </c>
      <c r="E5707" s="2716" t="s">
        <v>2742</v>
      </c>
      <c r="F5707" s="294"/>
      <c r="G5707" s="483" t="str">
        <f>"("&amp;B5707&amp;")"&amp;D5707</f>
        <v>(5.42)关联担保情况——作为被担保方</v>
      </c>
      <c r="H5707" s="1517" t="str">
        <f>$A5707</f>
        <v>9120h</v>
      </c>
      <c r="I5707" s="343" t="s">
        <v>2743</v>
      </c>
      <c r="J5707" s="301"/>
      <c r="K5707" s="3083"/>
      <c r="L5707" s="315"/>
      <c r="M5707" s="301"/>
      <c r="N5707" s="3083"/>
      <c r="O5707" s="315"/>
      <c r="P5707" s="301"/>
      <c r="S5707" s="364"/>
      <c r="Z5707" s="609" t="s">
        <v>2066</v>
      </c>
      <c r="AA5707" s="609"/>
    </row>
    <row r="5708" spans="1:27" ht="0.75" customHeight="1" thickBot="1">
      <c r="A5708" s="2714"/>
      <c r="B5708" s="371"/>
      <c r="C5708" s="371"/>
      <c r="D5708" s="371"/>
      <c r="E5708" s="586"/>
      <c r="F5708" s="586"/>
      <c r="G5708" s="586" t="s">
        <v>4468</v>
      </c>
      <c r="H5708" s="371" t="s">
        <v>4459</v>
      </c>
      <c r="I5708" s="371" t="s">
        <v>4460</v>
      </c>
      <c r="J5708" s="371" t="s">
        <v>4461</v>
      </c>
      <c r="K5708" s="371" t="s">
        <v>4462</v>
      </c>
      <c r="L5708" s="301"/>
      <c r="M5708" s="301"/>
      <c r="N5708" s="291"/>
      <c r="O5708" s="291"/>
      <c r="P5708" s="291"/>
      <c r="S5708" s="364"/>
      <c r="Z5708" s="609" t="s">
        <v>2066</v>
      </c>
      <c r="AA5708" s="609"/>
    </row>
    <row r="5709" spans="1:27" ht="24">
      <c r="A5709" s="2714"/>
      <c r="B5709" s="371"/>
      <c r="C5709" s="371"/>
      <c r="D5709" s="371"/>
      <c r="E5709" s="586" t="s">
        <v>2749</v>
      </c>
      <c r="F5709" s="363"/>
      <c r="G5709" s="2457" t="s">
        <v>4469</v>
      </c>
      <c r="H5709" s="2464" t="s">
        <v>4464</v>
      </c>
      <c r="I5709" s="2464" t="s">
        <v>4465</v>
      </c>
      <c r="J5709" s="2464" t="s">
        <v>4466</v>
      </c>
      <c r="K5709" s="2469" t="s">
        <v>4467</v>
      </c>
      <c r="L5709" s="355" t="s">
        <v>5350</v>
      </c>
      <c r="M5709" s="301"/>
      <c r="N5709" s="291"/>
      <c r="O5709" s="291"/>
      <c r="P5709" s="291"/>
      <c r="S5709" s="364"/>
      <c r="Z5709" s="609" t="s">
        <v>2066</v>
      </c>
      <c r="AA5709" s="609"/>
    </row>
    <row r="5710" spans="1:27" ht="18">
      <c r="A5710" s="2714"/>
      <c r="B5710" s="371">
        <v>101</v>
      </c>
      <c r="C5710" s="371" t="s">
        <v>2791</v>
      </c>
      <c r="D5710" s="2716">
        <f t="shared" ref="D5710:D5715" si="620">IF(OR(G5710="*",G5710="",G5710=0),0,COUNTIF($G$5710:$G$5715,G5710))</f>
        <v>0</v>
      </c>
      <c r="E5710" s="2721">
        <v>1</v>
      </c>
      <c r="F5710" s="294"/>
      <c r="G5710" s="2467" t="s">
        <v>2792</v>
      </c>
      <c r="H5710" s="2275"/>
      <c r="I5710" s="2298"/>
      <c r="J5710" s="2298"/>
      <c r="K5710" s="2276"/>
      <c r="L5710" s="301"/>
      <c r="M5710" s="301"/>
      <c r="N5710" s="291"/>
      <c r="O5710" s="291"/>
      <c r="P5710" s="291"/>
      <c r="S5710" s="364"/>
      <c r="Z5710" s="609" t="s">
        <v>2066</v>
      </c>
      <c r="AA5710" s="609"/>
    </row>
    <row r="5711" spans="1:27" ht="18">
      <c r="A5711" s="2714"/>
      <c r="B5711" s="371">
        <v>102</v>
      </c>
      <c r="C5711" s="371" t="s">
        <v>2791</v>
      </c>
      <c r="D5711" s="2716">
        <f t="shared" si="620"/>
        <v>0</v>
      </c>
      <c r="E5711" s="2721">
        <v>1</v>
      </c>
      <c r="F5711" s="294"/>
      <c r="G5711" s="2467" t="s">
        <v>2792</v>
      </c>
      <c r="H5711" s="2275"/>
      <c r="I5711" s="2298"/>
      <c r="J5711" s="2298"/>
      <c r="K5711" s="2276"/>
      <c r="L5711" s="301"/>
      <c r="M5711" s="301"/>
      <c r="N5711" s="291"/>
      <c r="O5711" s="291"/>
      <c r="P5711" s="291"/>
      <c r="S5711" s="364"/>
      <c r="Z5711" s="609" t="s">
        <v>2066</v>
      </c>
      <c r="AA5711" s="609"/>
    </row>
    <row r="5712" spans="1:27" ht="18">
      <c r="A5712" s="2714"/>
      <c r="B5712" s="371">
        <v>103</v>
      </c>
      <c r="C5712" s="371" t="s">
        <v>2791</v>
      </c>
      <c r="D5712" s="2716">
        <f t="shared" si="620"/>
        <v>0</v>
      </c>
      <c r="E5712" s="2721">
        <v>1</v>
      </c>
      <c r="F5712" s="294"/>
      <c r="G5712" s="2467" t="s">
        <v>2792</v>
      </c>
      <c r="H5712" s="2275"/>
      <c r="I5712" s="2298"/>
      <c r="J5712" s="2298"/>
      <c r="K5712" s="2276"/>
      <c r="L5712" s="301"/>
      <c r="M5712" s="301"/>
      <c r="N5712" s="291"/>
      <c r="O5712" s="291"/>
      <c r="P5712" s="291"/>
      <c r="S5712" s="364"/>
      <c r="Z5712" s="609" t="s">
        <v>2066</v>
      </c>
      <c r="AA5712" s="609"/>
    </row>
    <row r="5713" spans="1:27" ht="18">
      <c r="A5713" s="2714"/>
      <c r="B5713" s="371">
        <v>104</v>
      </c>
      <c r="C5713" s="371" t="s">
        <v>2791</v>
      </c>
      <c r="D5713" s="2716">
        <f t="shared" si="620"/>
        <v>0</v>
      </c>
      <c r="E5713" s="2721">
        <v>1</v>
      </c>
      <c r="F5713" s="294"/>
      <c r="G5713" s="2467" t="s">
        <v>2792</v>
      </c>
      <c r="H5713" s="2275"/>
      <c r="I5713" s="2298"/>
      <c r="J5713" s="2298"/>
      <c r="K5713" s="2276"/>
      <c r="L5713" s="301"/>
      <c r="M5713" s="301"/>
      <c r="N5713" s="291"/>
      <c r="O5713" s="291"/>
      <c r="P5713" s="291"/>
      <c r="S5713" s="364"/>
      <c r="Z5713" s="609" t="s">
        <v>2066</v>
      </c>
      <c r="AA5713" s="609"/>
    </row>
    <row r="5714" spans="1:27" ht="18">
      <c r="A5714" s="2714"/>
      <c r="B5714" s="371">
        <v>105</v>
      </c>
      <c r="C5714" s="371" t="s">
        <v>2791</v>
      </c>
      <c r="D5714" s="2716">
        <f t="shared" si="620"/>
        <v>0</v>
      </c>
      <c r="E5714" s="2721">
        <v>1</v>
      </c>
      <c r="F5714" s="294"/>
      <c r="G5714" s="2467" t="s">
        <v>2792</v>
      </c>
      <c r="H5714" s="2275"/>
      <c r="I5714" s="2298"/>
      <c r="J5714" s="2298"/>
      <c r="K5714" s="2276"/>
      <c r="L5714" s="301"/>
      <c r="M5714" s="301"/>
      <c r="N5714" s="291"/>
      <c r="O5714" s="291"/>
      <c r="P5714" s="291"/>
      <c r="S5714" s="364"/>
      <c r="Z5714" s="609" t="s">
        <v>2066</v>
      </c>
      <c r="AA5714" s="609"/>
    </row>
    <row r="5715" spans="1:27" ht="18.75" thickBot="1">
      <c r="A5715" s="2714"/>
      <c r="B5715" s="371"/>
      <c r="C5715" s="371"/>
      <c r="D5715" s="2716">
        <f t="shared" si="620"/>
        <v>1</v>
      </c>
      <c r="E5715" s="2721" t="s">
        <v>3032</v>
      </c>
      <c r="F5715" s="294"/>
      <c r="G5715" s="374" t="s">
        <v>2752</v>
      </c>
      <c r="H5715" s="1478">
        <f>SUMPRODUCT($E5709:$E5714,H5709:H5714)</f>
        <v>0</v>
      </c>
      <c r="I5715" s="2261"/>
      <c r="J5715" s="2261"/>
      <c r="K5715" s="2260"/>
      <c r="L5715" s="301"/>
      <c r="M5715" s="301"/>
      <c r="N5715" s="291"/>
      <c r="O5715" s="291"/>
      <c r="P5715" s="291"/>
      <c r="S5715" s="364"/>
      <c r="Z5715" s="609" t="s">
        <v>2066</v>
      </c>
      <c r="AA5715" s="609"/>
    </row>
    <row r="5716" spans="1:27" ht="18">
      <c r="A5716" s="2714"/>
      <c r="B5716" s="371"/>
      <c r="C5716" s="371" t="s">
        <v>2755</v>
      </c>
      <c r="D5716" s="371"/>
      <c r="F5716" s="294"/>
      <c r="G5716" s="301"/>
      <c r="H5716" s="315"/>
      <c r="I5716" s="393"/>
      <c r="J5716" s="393"/>
      <c r="K5716" s="393"/>
      <c r="L5716" s="301"/>
      <c r="M5716" s="301"/>
      <c r="N5716" s="291"/>
      <c r="O5716" s="291"/>
      <c r="P5716" s="291"/>
      <c r="S5716" s="364"/>
      <c r="Z5716" s="609" t="s">
        <v>2066</v>
      </c>
      <c r="AA5716" s="609"/>
    </row>
    <row r="5717" spans="1:27" ht="24">
      <c r="A5717" s="2714" t="s">
        <v>2083</v>
      </c>
      <c r="B5717" s="371">
        <v>5.51</v>
      </c>
      <c r="C5717" s="371"/>
      <c r="D5717" s="2716" t="str">
        <f>VLOOKUP($A5717,Sheet_NoteList,2,0)</f>
        <v>关联方资金拆借情况——拆入</v>
      </c>
      <c r="E5717" s="2716" t="s">
        <v>2742</v>
      </c>
      <c r="F5717" s="294"/>
      <c r="G5717" s="483" t="str">
        <f>"("&amp;B5717&amp;")"&amp;D5717</f>
        <v>(5.51)关联方资金拆借情况——拆入</v>
      </c>
      <c r="H5717" s="1517" t="str">
        <f>$A5717</f>
        <v>9120i</v>
      </c>
      <c r="I5717" s="343" t="s">
        <v>2743</v>
      </c>
      <c r="J5717" s="301"/>
      <c r="K5717" s="3083"/>
      <c r="L5717" s="315"/>
      <c r="M5717" s="301"/>
      <c r="N5717" s="3083"/>
      <c r="O5717" s="315"/>
      <c r="P5717" s="301"/>
      <c r="S5717" s="364"/>
      <c r="Z5717" s="609" t="s">
        <v>2066</v>
      </c>
      <c r="AA5717" s="609"/>
    </row>
    <row r="5718" spans="1:27" ht="0.75" customHeight="1" thickBot="1">
      <c r="A5718" s="2714"/>
      <c r="B5718" s="371"/>
      <c r="C5718" s="371"/>
      <c r="D5718" s="371"/>
      <c r="F5718" s="371"/>
      <c r="G5718" s="371" t="s">
        <v>4470</v>
      </c>
      <c r="H5718" s="371" t="s">
        <v>4471</v>
      </c>
      <c r="I5718" s="371" t="s">
        <v>4460</v>
      </c>
      <c r="J5718" s="371" t="s">
        <v>4461</v>
      </c>
      <c r="K5718" s="371" t="s">
        <v>4472</v>
      </c>
      <c r="L5718" s="301"/>
      <c r="M5718" s="301"/>
      <c r="N5718" s="291"/>
      <c r="O5718" s="291"/>
      <c r="P5718" s="291"/>
      <c r="S5718" s="364"/>
      <c r="Z5718" s="609" t="s">
        <v>2066</v>
      </c>
      <c r="AA5718" s="609"/>
    </row>
    <row r="5719" spans="1:27" ht="18">
      <c r="A5719" s="2714"/>
      <c r="B5719" s="371"/>
      <c r="C5719" s="371"/>
      <c r="D5719" s="371"/>
      <c r="E5719" s="2716" t="s">
        <v>2749</v>
      </c>
      <c r="F5719" s="294"/>
      <c r="G5719" s="410" t="s">
        <v>1423</v>
      </c>
      <c r="H5719" s="506" t="s">
        <v>4473</v>
      </c>
      <c r="I5719" s="412" t="s">
        <v>4474</v>
      </c>
      <c r="J5719" s="506" t="s">
        <v>3322</v>
      </c>
      <c r="K5719" s="507" t="s">
        <v>2758</v>
      </c>
      <c r="L5719" s="355" t="s">
        <v>5350</v>
      </c>
      <c r="M5719" s="301"/>
      <c r="N5719" s="291"/>
      <c r="O5719" s="291"/>
      <c r="P5719" s="291"/>
      <c r="S5719" s="364"/>
      <c r="Z5719" s="609" t="s">
        <v>2066</v>
      </c>
      <c r="AA5719" s="609"/>
    </row>
    <row r="5720" spans="1:27" ht="18">
      <c r="A5720" s="2714"/>
      <c r="B5720" s="371">
        <v>101</v>
      </c>
      <c r="C5720" s="371" t="s">
        <v>2791</v>
      </c>
      <c r="D5720" s="2716">
        <f t="shared" ref="D5720:D5725" si="621">IF(OR(G5720="*",G5720="",G5720=0),0,COUNTIF($G$5720:$G$5725,G5720))</f>
        <v>0</v>
      </c>
      <c r="E5720" s="2721">
        <v>1</v>
      </c>
      <c r="F5720" s="294"/>
      <c r="G5720" s="319" t="s">
        <v>2792</v>
      </c>
      <c r="H5720" s="309"/>
      <c r="I5720" s="360"/>
      <c r="J5720" s="360"/>
      <c r="K5720" s="388"/>
      <c r="L5720" s="301"/>
      <c r="M5720" s="301"/>
      <c r="N5720" s="291"/>
      <c r="O5720" s="291"/>
      <c r="P5720" s="291"/>
      <c r="S5720" s="364"/>
      <c r="Z5720" s="609" t="s">
        <v>2066</v>
      </c>
      <c r="AA5720" s="609"/>
    </row>
    <row r="5721" spans="1:27" ht="18">
      <c r="A5721" s="2714"/>
      <c r="B5721" s="371">
        <v>102</v>
      </c>
      <c r="C5721" s="371" t="s">
        <v>2791</v>
      </c>
      <c r="D5721" s="2716">
        <f t="shared" si="621"/>
        <v>0</v>
      </c>
      <c r="E5721" s="2721">
        <v>1</v>
      </c>
      <c r="F5721" s="294"/>
      <c r="G5721" s="319" t="s">
        <v>2792</v>
      </c>
      <c r="H5721" s="309"/>
      <c r="I5721" s="360"/>
      <c r="J5721" s="360"/>
      <c r="K5721" s="388"/>
      <c r="L5721" s="301"/>
      <c r="M5721" s="301"/>
      <c r="N5721" s="291"/>
      <c r="O5721" s="291"/>
      <c r="P5721" s="291"/>
      <c r="S5721" s="364"/>
      <c r="Z5721" s="609" t="s">
        <v>2066</v>
      </c>
      <c r="AA5721" s="609"/>
    </row>
    <row r="5722" spans="1:27" ht="18">
      <c r="A5722" s="2714"/>
      <c r="B5722" s="371">
        <v>103</v>
      </c>
      <c r="C5722" s="371" t="s">
        <v>2791</v>
      </c>
      <c r="D5722" s="2716">
        <f t="shared" si="621"/>
        <v>0</v>
      </c>
      <c r="E5722" s="2721">
        <v>1</v>
      </c>
      <c r="F5722" s="294"/>
      <c r="G5722" s="319" t="s">
        <v>2792</v>
      </c>
      <c r="H5722" s="309"/>
      <c r="I5722" s="360"/>
      <c r="J5722" s="360"/>
      <c r="K5722" s="388"/>
      <c r="L5722" s="301"/>
      <c r="M5722" s="301"/>
      <c r="N5722" s="291"/>
      <c r="O5722" s="291"/>
      <c r="P5722" s="291"/>
      <c r="S5722" s="364"/>
      <c r="Z5722" s="609" t="s">
        <v>2066</v>
      </c>
      <c r="AA5722" s="609"/>
    </row>
    <row r="5723" spans="1:27" ht="18">
      <c r="A5723" s="2714"/>
      <c r="B5723" s="371">
        <v>104</v>
      </c>
      <c r="C5723" s="371" t="s">
        <v>2791</v>
      </c>
      <c r="D5723" s="2716">
        <f t="shared" si="621"/>
        <v>0</v>
      </c>
      <c r="E5723" s="2721">
        <v>1</v>
      </c>
      <c r="F5723" s="294"/>
      <c r="G5723" s="319" t="s">
        <v>2792</v>
      </c>
      <c r="H5723" s="309"/>
      <c r="I5723" s="360"/>
      <c r="J5723" s="360"/>
      <c r="K5723" s="388"/>
      <c r="L5723" s="301"/>
      <c r="M5723" s="301"/>
      <c r="N5723" s="291"/>
      <c r="O5723" s="291"/>
      <c r="P5723" s="291"/>
      <c r="S5723" s="364"/>
      <c r="Z5723" s="609" t="s">
        <v>2066</v>
      </c>
      <c r="AA5723" s="609"/>
    </row>
    <row r="5724" spans="1:27" ht="18">
      <c r="A5724" s="2714"/>
      <c r="B5724" s="371">
        <v>105</v>
      </c>
      <c r="C5724" s="371" t="s">
        <v>2791</v>
      </c>
      <c r="D5724" s="2716">
        <f t="shared" si="621"/>
        <v>0</v>
      </c>
      <c r="E5724" s="2721">
        <v>1</v>
      </c>
      <c r="F5724" s="294"/>
      <c r="G5724" s="319" t="s">
        <v>2792</v>
      </c>
      <c r="H5724" s="309"/>
      <c r="I5724" s="360"/>
      <c r="J5724" s="360"/>
      <c r="K5724" s="388"/>
      <c r="L5724" s="301"/>
      <c r="M5724" s="301"/>
      <c r="N5724" s="291"/>
      <c r="O5724" s="291"/>
      <c r="P5724" s="291"/>
      <c r="S5724" s="364"/>
      <c r="Z5724" s="609" t="s">
        <v>2066</v>
      </c>
      <c r="AA5724" s="609"/>
    </row>
    <row r="5725" spans="1:27" ht="18.75" thickBot="1">
      <c r="A5725" s="2714"/>
      <c r="B5725" s="371"/>
      <c r="C5725" s="371"/>
      <c r="D5725" s="2716">
        <f t="shared" si="621"/>
        <v>1</v>
      </c>
      <c r="E5725" s="2721" t="s">
        <v>3032</v>
      </c>
      <c r="F5725" s="294"/>
      <c r="G5725" s="374" t="s">
        <v>2752</v>
      </c>
      <c r="H5725" s="375">
        <f>SUMPRODUCT($E5719:$E5724,H5719:H5724)</f>
        <v>0</v>
      </c>
      <c r="I5725" s="567"/>
      <c r="J5725" s="567"/>
      <c r="K5725" s="550"/>
      <c r="L5725" s="301"/>
      <c r="M5725" s="301"/>
      <c r="N5725" s="291"/>
      <c r="O5725" s="291"/>
      <c r="P5725" s="291"/>
      <c r="S5725" s="364"/>
      <c r="Z5725" s="609" t="s">
        <v>2066</v>
      </c>
      <c r="AA5725" s="609"/>
    </row>
    <row r="5726" spans="1:27" ht="18">
      <c r="A5726" s="2714"/>
      <c r="B5726" s="371"/>
      <c r="C5726" s="371" t="s">
        <v>2755</v>
      </c>
      <c r="D5726" s="371"/>
      <c r="F5726" s="294"/>
      <c r="G5726" s="301"/>
      <c r="H5726" s="315"/>
      <c r="I5726" s="393"/>
      <c r="J5726" s="393"/>
      <c r="K5726" s="393"/>
      <c r="L5726" s="301"/>
      <c r="M5726" s="301"/>
      <c r="N5726" s="291"/>
      <c r="O5726" s="291"/>
      <c r="P5726" s="291"/>
      <c r="S5726" s="364"/>
      <c r="Z5726" s="609" t="s">
        <v>2066</v>
      </c>
      <c r="AA5726" s="609"/>
    </row>
    <row r="5727" spans="1:27" ht="24">
      <c r="A5727" s="2714" t="s">
        <v>2085</v>
      </c>
      <c r="B5727" s="371">
        <v>5.52</v>
      </c>
      <c r="C5727" s="371"/>
      <c r="D5727" s="2716" t="str">
        <f>VLOOKUP($A5727,Sheet_NoteList,2,0)</f>
        <v>关联方资金拆借情况——拆出</v>
      </c>
      <c r="E5727" s="2716" t="s">
        <v>2742</v>
      </c>
      <c r="F5727" s="294"/>
      <c r="G5727" s="483" t="str">
        <f>"("&amp;B5727&amp;")"&amp;D5727</f>
        <v>(5.52)关联方资金拆借情况——拆出</v>
      </c>
      <c r="H5727" s="1517" t="str">
        <f>$A5727</f>
        <v>9120j</v>
      </c>
      <c r="I5727" s="343" t="s">
        <v>2743</v>
      </c>
      <c r="J5727" s="301"/>
      <c r="K5727" s="3083"/>
      <c r="L5727" s="315"/>
      <c r="M5727" s="301"/>
      <c r="N5727" s="3083"/>
      <c r="O5727" s="315"/>
      <c r="P5727" s="301"/>
      <c r="S5727" s="364"/>
      <c r="Z5727" s="609" t="s">
        <v>2066</v>
      </c>
      <c r="AA5727" s="609"/>
    </row>
    <row r="5728" spans="1:27" ht="0.75" customHeight="1" thickBot="1">
      <c r="A5728" s="2714"/>
      <c r="B5728" s="371"/>
      <c r="C5728" s="371"/>
      <c r="D5728" s="371"/>
      <c r="E5728" s="586"/>
      <c r="F5728" s="586"/>
      <c r="G5728" s="586" t="s">
        <v>4475</v>
      </c>
      <c r="H5728" s="371" t="s">
        <v>4471</v>
      </c>
      <c r="I5728" s="371" t="s">
        <v>4460</v>
      </c>
      <c r="J5728" s="371" t="s">
        <v>4461</v>
      </c>
      <c r="K5728" s="371" t="s">
        <v>4472</v>
      </c>
      <c r="L5728" s="301"/>
      <c r="M5728" s="301"/>
      <c r="N5728" s="291"/>
      <c r="O5728" s="291"/>
      <c r="P5728" s="291"/>
      <c r="S5728" s="364"/>
      <c r="Z5728" s="609" t="s">
        <v>2066</v>
      </c>
      <c r="AA5728" s="609"/>
    </row>
    <row r="5729" spans="1:27" ht="18">
      <c r="A5729" s="2714"/>
      <c r="B5729" s="371"/>
      <c r="C5729" s="371"/>
      <c r="D5729" s="371"/>
      <c r="E5729" s="586" t="s">
        <v>2749</v>
      </c>
      <c r="F5729" s="363"/>
      <c r="G5729" s="2457" t="s">
        <v>1423</v>
      </c>
      <c r="H5729" s="2464" t="s">
        <v>4473</v>
      </c>
      <c r="I5729" s="2464" t="s">
        <v>4474</v>
      </c>
      <c r="J5729" s="2464" t="s">
        <v>3322</v>
      </c>
      <c r="K5729" s="2469" t="s">
        <v>2758</v>
      </c>
      <c r="L5729" s="355" t="s">
        <v>5350</v>
      </c>
      <c r="M5729" s="301"/>
      <c r="N5729" s="291"/>
      <c r="O5729" s="291"/>
      <c r="P5729" s="291"/>
      <c r="S5729" s="364"/>
      <c r="Z5729" s="609" t="s">
        <v>2066</v>
      </c>
      <c r="AA5729" s="609"/>
    </row>
    <row r="5730" spans="1:27" ht="18">
      <c r="A5730" s="2714"/>
      <c r="B5730" s="371">
        <v>101</v>
      </c>
      <c r="C5730" s="371" t="s">
        <v>2791</v>
      </c>
      <c r="D5730" s="2716">
        <f t="shared" ref="D5730:D5735" si="622">IF(OR(G5730="*",G5730="",G5730=0),0,COUNTIF($G$5730:$G$5735,G5730))</f>
        <v>0</v>
      </c>
      <c r="E5730" s="2721">
        <v>1</v>
      </c>
      <c r="F5730" s="294"/>
      <c r="G5730" s="2467" t="s">
        <v>2792</v>
      </c>
      <c r="H5730" s="2275"/>
      <c r="I5730" s="2298"/>
      <c r="J5730" s="2298"/>
      <c r="K5730" s="2276"/>
      <c r="L5730" s="301"/>
      <c r="M5730" s="301"/>
      <c r="N5730" s="291"/>
      <c r="O5730" s="291"/>
      <c r="P5730" s="291"/>
      <c r="S5730" s="364"/>
      <c r="Z5730" s="609" t="s">
        <v>2066</v>
      </c>
      <c r="AA5730" s="609"/>
    </row>
    <row r="5731" spans="1:27" ht="18">
      <c r="A5731" s="2714"/>
      <c r="B5731" s="371">
        <v>102</v>
      </c>
      <c r="C5731" s="371" t="s">
        <v>2791</v>
      </c>
      <c r="D5731" s="2716">
        <f t="shared" si="622"/>
        <v>0</v>
      </c>
      <c r="E5731" s="2721">
        <v>1</v>
      </c>
      <c r="F5731" s="294"/>
      <c r="G5731" s="2467" t="s">
        <v>2792</v>
      </c>
      <c r="H5731" s="2275"/>
      <c r="I5731" s="2298"/>
      <c r="J5731" s="2298"/>
      <c r="K5731" s="2276"/>
      <c r="L5731" s="301"/>
      <c r="M5731" s="301"/>
      <c r="N5731" s="291"/>
      <c r="O5731" s="291"/>
      <c r="P5731" s="291"/>
      <c r="S5731" s="364"/>
      <c r="Z5731" s="609" t="s">
        <v>2066</v>
      </c>
      <c r="AA5731" s="609"/>
    </row>
    <row r="5732" spans="1:27" ht="18">
      <c r="A5732" s="2714"/>
      <c r="B5732" s="371">
        <v>103</v>
      </c>
      <c r="C5732" s="371" t="s">
        <v>2791</v>
      </c>
      <c r="D5732" s="2716">
        <f t="shared" si="622"/>
        <v>0</v>
      </c>
      <c r="E5732" s="2721">
        <v>1</v>
      </c>
      <c r="F5732" s="294"/>
      <c r="G5732" s="2467" t="s">
        <v>2792</v>
      </c>
      <c r="H5732" s="2275"/>
      <c r="I5732" s="2298"/>
      <c r="J5732" s="2298"/>
      <c r="K5732" s="2276"/>
      <c r="L5732" s="301"/>
      <c r="M5732" s="301"/>
      <c r="N5732" s="291"/>
      <c r="O5732" s="291"/>
      <c r="P5732" s="291"/>
      <c r="S5732" s="364"/>
      <c r="Z5732" s="609" t="s">
        <v>2066</v>
      </c>
      <c r="AA5732" s="609"/>
    </row>
    <row r="5733" spans="1:27" ht="18">
      <c r="A5733" s="2714"/>
      <c r="B5733" s="371">
        <v>104</v>
      </c>
      <c r="C5733" s="371" t="s">
        <v>2791</v>
      </c>
      <c r="D5733" s="2716">
        <f t="shared" si="622"/>
        <v>0</v>
      </c>
      <c r="E5733" s="2721">
        <v>1</v>
      </c>
      <c r="F5733" s="294"/>
      <c r="G5733" s="2467" t="s">
        <v>2792</v>
      </c>
      <c r="H5733" s="2275"/>
      <c r="I5733" s="2298"/>
      <c r="J5733" s="2298"/>
      <c r="K5733" s="2276"/>
      <c r="L5733" s="301"/>
      <c r="M5733" s="301"/>
      <c r="N5733" s="291"/>
      <c r="O5733" s="291"/>
      <c r="P5733" s="291"/>
      <c r="S5733" s="364"/>
      <c r="Z5733" s="609" t="s">
        <v>2066</v>
      </c>
      <c r="AA5733" s="609"/>
    </row>
    <row r="5734" spans="1:27" ht="18">
      <c r="A5734" s="2714"/>
      <c r="B5734" s="371">
        <v>105</v>
      </c>
      <c r="C5734" s="371" t="s">
        <v>2791</v>
      </c>
      <c r="D5734" s="2716">
        <f t="shared" si="622"/>
        <v>0</v>
      </c>
      <c r="E5734" s="2721">
        <v>1</v>
      </c>
      <c r="F5734" s="294"/>
      <c r="G5734" s="2467" t="s">
        <v>2792</v>
      </c>
      <c r="H5734" s="2275"/>
      <c r="I5734" s="2298"/>
      <c r="J5734" s="2298"/>
      <c r="K5734" s="2276"/>
      <c r="L5734" s="301"/>
      <c r="M5734" s="301"/>
      <c r="N5734" s="291"/>
      <c r="O5734" s="291"/>
      <c r="P5734" s="291"/>
      <c r="S5734" s="364"/>
      <c r="Z5734" s="609" t="s">
        <v>2066</v>
      </c>
      <c r="AA5734" s="609"/>
    </row>
    <row r="5735" spans="1:27" ht="18.75" thickBot="1">
      <c r="A5735" s="2714"/>
      <c r="B5735" s="371"/>
      <c r="C5735" s="371"/>
      <c r="D5735" s="2716">
        <f t="shared" si="622"/>
        <v>1</v>
      </c>
      <c r="E5735" s="2721" t="s">
        <v>3032</v>
      </c>
      <c r="F5735" s="294"/>
      <c r="G5735" s="374" t="s">
        <v>2752</v>
      </c>
      <c r="H5735" s="1478">
        <f>SUMPRODUCT($E5729:$E5734,H5729:H5734)</f>
        <v>0</v>
      </c>
      <c r="I5735" s="2261"/>
      <c r="J5735" s="2261"/>
      <c r="K5735" s="2260"/>
      <c r="L5735" s="301"/>
      <c r="M5735" s="301"/>
      <c r="N5735" s="291"/>
      <c r="O5735" s="291"/>
      <c r="P5735" s="291"/>
      <c r="S5735" s="364"/>
      <c r="Z5735" s="609" t="s">
        <v>2066</v>
      </c>
      <c r="AA5735" s="609"/>
    </row>
    <row r="5736" spans="1:27" ht="18">
      <c r="A5736" s="2714"/>
      <c r="B5736" s="371"/>
      <c r="C5736" s="371" t="s">
        <v>2755</v>
      </c>
      <c r="D5736" s="371"/>
      <c r="F5736" s="294"/>
      <c r="G5736" s="301"/>
      <c r="H5736" s="315"/>
      <c r="I5736" s="393"/>
      <c r="J5736" s="393"/>
      <c r="K5736" s="393"/>
      <c r="L5736" s="301"/>
      <c r="M5736" s="301"/>
      <c r="N5736" s="291"/>
      <c r="O5736" s="291"/>
      <c r="P5736" s="291"/>
      <c r="S5736" s="364"/>
      <c r="Z5736" s="609" t="s">
        <v>2066</v>
      </c>
      <c r="AA5736" s="609"/>
    </row>
    <row r="5737" spans="1:27" ht="24">
      <c r="A5737" s="2714" t="s">
        <v>2088</v>
      </c>
      <c r="B5737" s="371">
        <v>5.6</v>
      </c>
      <c r="C5737" s="371"/>
      <c r="D5737" s="2716" t="str">
        <f>VLOOKUP($A5737,Sheet_NoteList,2,0)</f>
        <v>关联方资产转让、债务重组情况</v>
      </c>
      <c r="E5737" s="2716" t="s">
        <v>2742</v>
      </c>
      <c r="F5737" s="294"/>
      <c r="G5737" s="483" t="str">
        <f>"("&amp;B5737&amp;")"&amp;D5737</f>
        <v>(5.6)关联方资产转让、债务重组情况</v>
      </c>
      <c r="H5737" s="1517" t="str">
        <f>$A5737</f>
        <v>9120k</v>
      </c>
      <c r="I5737" s="343" t="s">
        <v>2743</v>
      </c>
      <c r="J5737" s="301"/>
      <c r="K5737" s="3083"/>
      <c r="L5737" s="315"/>
      <c r="M5737" s="301"/>
      <c r="N5737" s="3083"/>
      <c r="O5737" s="315"/>
      <c r="P5737" s="301"/>
      <c r="S5737" s="364"/>
      <c r="Z5737" s="609" t="s">
        <v>2066</v>
      </c>
      <c r="AA5737" s="609"/>
    </row>
    <row r="5738" spans="1:27" ht="0.75" customHeight="1" thickBot="1">
      <c r="A5738" s="2714"/>
      <c r="B5738" s="371"/>
      <c r="C5738" s="371"/>
      <c r="D5738" s="371"/>
      <c r="F5738" s="371"/>
      <c r="G5738" s="371" t="s">
        <v>4476</v>
      </c>
      <c r="H5738" s="371" t="s">
        <v>4477</v>
      </c>
      <c r="I5738" s="371" t="s">
        <v>4478</v>
      </c>
      <c r="J5738" s="371" t="s">
        <v>4479</v>
      </c>
      <c r="K5738" s="301"/>
      <c r="L5738" s="301"/>
      <c r="M5738" s="301"/>
      <c r="N5738" s="291"/>
      <c r="O5738" s="291"/>
      <c r="P5738" s="291"/>
      <c r="S5738" s="364"/>
      <c r="Z5738" s="609" t="s">
        <v>2066</v>
      </c>
      <c r="AA5738" s="609"/>
    </row>
    <row r="5739" spans="1:27" ht="18">
      <c r="A5739" s="2714"/>
      <c r="B5739" s="371"/>
      <c r="C5739" s="371"/>
      <c r="D5739" s="371"/>
      <c r="E5739" s="2716" t="s">
        <v>2749</v>
      </c>
      <c r="F5739" s="294"/>
      <c r="G5739" s="410" t="s">
        <v>1423</v>
      </c>
      <c r="H5739" s="506" t="s">
        <v>4437</v>
      </c>
      <c r="I5739" s="501" t="str">
        <f>$W$4&amp;"发生额"</f>
        <v>2019年度发生额</v>
      </c>
      <c r="J5739" s="593" t="str">
        <f>$W$5&amp;"发生额"</f>
        <v>2018年度发生额</v>
      </c>
      <c r="K5739" s="355" t="s">
        <v>5350</v>
      </c>
      <c r="L5739" s="301"/>
      <c r="M5739" s="301"/>
      <c r="N5739" s="291"/>
      <c r="O5739" s="291"/>
      <c r="P5739" s="291"/>
      <c r="S5739" s="364"/>
      <c r="Z5739" s="609" t="s">
        <v>2066</v>
      </c>
      <c r="AA5739" s="609"/>
    </row>
    <row r="5740" spans="1:27" ht="18">
      <c r="A5740" s="2714"/>
      <c r="B5740" s="371">
        <v>101</v>
      </c>
      <c r="C5740" s="371" t="s">
        <v>2791</v>
      </c>
      <c r="D5740" s="2716">
        <f t="shared" ref="D5740:D5745" si="623">IF(OR(G5740="*",G5740="",G5740=0),0,COUNTIF($G$5740:$G$5745,G5740))</f>
        <v>0</v>
      </c>
      <c r="E5740" s="2721">
        <v>1</v>
      </c>
      <c r="F5740" s="294"/>
      <c r="G5740" s="319" t="s">
        <v>2792</v>
      </c>
      <c r="H5740" s="360"/>
      <c r="I5740" s="309"/>
      <c r="J5740" s="346"/>
      <c r="K5740" s="301"/>
      <c r="L5740" s="301"/>
      <c r="M5740" s="301"/>
      <c r="N5740" s="291"/>
      <c r="O5740" s="291"/>
      <c r="P5740" s="291"/>
      <c r="S5740" s="364"/>
      <c r="Z5740" s="609" t="s">
        <v>2066</v>
      </c>
      <c r="AA5740" s="609"/>
    </row>
    <row r="5741" spans="1:27" ht="18">
      <c r="A5741" s="2714"/>
      <c r="B5741" s="371">
        <v>102</v>
      </c>
      <c r="C5741" s="371" t="s">
        <v>2791</v>
      </c>
      <c r="D5741" s="2716">
        <f t="shared" si="623"/>
        <v>0</v>
      </c>
      <c r="E5741" s="2721">
        <v>1</v>
      </c>
      <c r="F5741" s="294"/>
      <c r="G5741" s="319" t="s">
        <v>2792</v>
      </c>
      <c r="H5741" s="360"/>
      <c r="I5741" s="309"/>
      <c r="J5741" s="346"/>
      <c r="K5741" s="301"/>
      <c r="L5741" s="301"/>
      <c r="M5741" s="301"/>
      <c r="N5741" s="291"/>
      <c r="O5741" s="291"/>
      <c r="P5741" s="291"/>
      <c r="S5741" s="364"/>
      <c r="Z5741" s="609" t="s">
        <v>2066</v>
      </c>
      <c r="AA5741" s="609"/>
    </row>
    <row r="5742" spans="1:27" ht="18">
      <c r="A5742" s="2714"/>
      <c r="B5742" s="371">
        <v>103</v>
      </c>
      <c r="C5742" s="371" t="s">
        <v>2791</v>
      </c>
      <c r="D5742" s="2716">
        <f t="shared" si="623"/>
        <v>0</v>
      </c>
      <c r="E5742" s="2721">
        <v>1</v>
      </c>
      <c r="F5742" s="294"/>
      <c r="G5742" s="319" t="s">
        <v>2792</v>
      </c>
      <c r="H5742" s="360"/>
      <c r="I5742" s="309"/>
      <c r="J5742" s="346"/>
      <c r="K5742" s="301"/>
      <c r="L5742" s="301"/>
      <c r="M5742" s="301"/>
      <c r="N5742" s="291"/>
      <c r="O5742" s="291"/>
      <c r="P5742" s="291"/>
      <c r="S5742" s="364"/>
      <c r="Z5742" s="609" t="s">
        <v>2066</v>
      </c>
      <c r="AA5742" s="609"/>
    </row>
    <row r="5743" spans="1:27" ht="18">
      <c r="A5743" s="2714"/>
      <c r="B5743" s="371">
        <v>104</v>
      </c>
      <c r="C5743" s="371" t="s">
        <v>2791</v>
      </c>
      <c r="D5743" s="2716">
        <f t="shared" si="623"/>
        <v>0</v>
      </c>
      <c r="E5743" s="2721">
        <v>1</v>
      </c>
      <c r="F5743" s="294"/>
      <c r="G5743" s="319" t="s">
        <v>2792</v>
      </c>
      <c r="H5743" s="360"/>
      <c r="I5743" s="309"/>
      <c r="J5743" s="346"/>
      <c r="K5743" s="301"/>
      <c r="L5743" s="301"/>
      <c r="M5743" s="301"/>
      <c r="N5743" s="291"/>
      <c r="O5743" s="291"/>
      <c r="P5743" s="291"/>
      <c r="S5743" s="364"/>
      <c r="Z5743" s="609" t="s">
        <v>2066</v>
      </c>
      <c r="AA5743" s="609"/>
    </row>
    <row r="5744" spans="1:27" ht="18">
      <c r="A5744" s="2714"/>
      <c r="B5744" s="371">
        <v>105</v>
      </c>
      <c r="C5744" s="371" t="s">
        <v>2791</v>
      </c>
      <c r="D5744" s="2716">
        <f t="shared" si="623"/>
        <v>0</v>
      </c>
      <c r="E5744" s="2721">
        <v>1</v>
      </c>
      <c r="F5744" s="294"/>
      <c r="G5744" s="319" t="s">
        <v>2792</v>
      </c>
      <c r="H5744" s="360"/>
      <c r="I5744" s="309"/>
      <c r="J5744" s="346"/>
      <c r="K5744" s="301"/>
      <c r="L5744" s="301"/>
      <c r="M5744" s="301"/>
      <c r="N5744" s="291"/>
      <c r="O5744" s="291"/>
      <c r="P5744" s="291"/>
      <c r="S5744" s="364"/>
      <c r="Z5744" s="609" t="s">
        <v>2066</v>
      </c>
      <c r="AA5744" s="609"/>
    </row>
    <row r="5745" spans="1:27" ht="18.75" thickBot="1">
      <c r="A5745" s="2714"/>
      <c r="B5745" s="371"/>
      <c r="C5745" s="371"/>
      <c r="D5745" s="2716">
        <f t="shared" si="623"/>
        <v>1</v>
      </c>
      <c r="E5745" s="2721" t="s">
        <v>3032</v>
      </c>
      <c r="F5745" s="294"/>
      <c r="G5745" s="374" t="s">
        <v>2752</v>
      </c>
      <c r="H5745" s="581"/>
      <c r="I5745" s="375">
        <f>SUMPRODUCT($E5739:$E5744,I5739:I5744)</f>
        <v>0</v>
      </c>
      <c r="J5745" s="395">
        <f>SUMPRODUCT($E5739:$E5744,J5739:J5744)</f>
        <v>0</v>
      </c>
      <c r="K5745" s="301"/>
      <c r="L5745" s="301"/>
      <c r="M5745" s="301"/>
      <c r="N5745" s="291"/>
      <c r="O5745" s="291"/>
      <c r="P5745" s="291"/>
      <c r="S5745" s="364"/>
      <c r="Z5745" s="609" t="s">
        <v>2066</v>
      </c>
      <c r="AA5745" s="609"/>
    </row>
    <row r="5746" spans="1:27" ht="18">
      <c r="A5746" s="2714"/>
      <c r="B5746" s="371"/>
      <c r="C5746" s="371" t="s">
        <v>2755</v>
      </c>
      <c r="D5746" s="371"/>
      <c r="F5746" s="294"/>
      <c r="G5746" s="301"/>
      <c r="H5746" s="393"/>
      <c r="I5746" s="315"/>
      <c r="J5746" s="315"/>
      <c r="K5746" s="301"/>
      <c r="L5746" s="301"/>
      <c r="M5746" s="301"/>
      <c r="N5746" s="291"/>
      <c r="O5746" s="291"/>
      <c r="P5746" s="291"/>
      <c r="S5746" s="364"/>
      <c r="Z5746" s="609" t="s">
        <v>2066</v>
      </c>
      <c r="AA5746" s="609"/>
    </row>
    <row r="5747" spans="1:27" ht="24">
      <c r="A5747" s="2714" t="s">
        <v>2091</v>
      </c>
      <c r="B5747" s="371">
        <v>5.7</v>
      </c>
      <c r="C5747" s="371"/>
      <c r="D5747" s="2716" t="str">
        <f>VLOOKUP($A5747,Sheet_NoteList,2,0)</f>
        <v>关键管理人员报酬情况</v>
      </c>
      <c r="E5747" s="2716" t="s">
        <v>2742</v>
      </c>
      <c r="F5747" s="294"/>
      <c r="G5747" s="483" t="str">
        <f>"("&amp;B5747&amp;")"&amp;D5747</f>
        <v>(5.7)关键管理人员报酬情况</v>
      </c>
      <c r="H5747" s="1517" t="str">
        <f>$A5747</f>
        <v>9120l</v>
      </c>
      <c r="I5747" s="343" t="s">
        <v>2743</v>
      </c>
      <c r="J5747" s="301"/>
      <c r="K5747" s="3083"/>
      <c r="L5747" s="315"/>
      <c r="M5747" s="301"/>
      <c r="N5747" s="3083"/>
      <c r="O5747" s="315"/>
      <c r="P5747" s="301"/>
      <c r="S5747" s="364"/>
      <c r="Z5747" s="609" t="s">
        <v>2066</v>
      </c>
      <c r="AA5747" s="609"/>
    </row>
    <row r="5748" spans="1:27" ht="0.75" customHeight="1" thickBot="1">
      <c r="A5748" s="2714"/>
      <c r="B5748" s="371"/>
      <c r="C5748" s="371"/>
      <c r="D5748" s="371"/>
      <c r="F5748" s="371"/>
      <c r="G5748" s="371" t="s">
        <v>4480</v>
      </c>
      <c r="H5748" s="371" t="s">
        <v>4223</v>
      </c>
      <c r="I5748" s="371" t="s">
        <v>4224</v>
      </c>
      <c r="K5748" s="301"/>
      <c r="L5748" s="301"/>
      <c r="M5748" s="301"/>
      <c r="N5748" s="291"/>
      <c r="O5748" s="291"/>
      <c r="P5748" s="291"/>
      <c r="S5748" s="364"/>
      <c r="Z5748" s="609" t="s">
        <v>2066</v>
      </c>
      <c r="AA5748" s="609"/>
    </row>
    <row r="5749" spans="1:27" ht="18">
      <c r="A5749" s="2714"/>
      <c r="B5749" s="371"/>
      <c r="C5749" s="371"/>
      <c r="D5749" s="371"/>
      <c r="E5749" s="2716" t="s">
        <v>2749</v>
      </c>
      <c r="F5749" s="294"/>
      <c r="G5749" s="410" t="s">
        <v>1423</v>
      </c>
      <c r="H5749" s="412" t="str">
        <f>$W$4&amp;"发生额"</f>
        <v>2019年度发生额</v>
      </c>
      <c r="I5749" s="507" t="str">
        <f>$W$5&amp;"发生额"</f>
        <v>2018年度发生额</v>
      </c>
      <c r="J5749" s="355" t="s">
        <v>5350</v>
      </c>
      <c r="K5749" s="301"/>
      <c r="L5749" s="301"/>
      <c r="M5749" s="301"/>
      <c r="N5749" s="291"/>
      <c r="O5749" s="291"/>
      <c r="P5749" s="291"/>
      <c r="S5749" s="364"/>
      <c r="Z5749" s="609" t="s">
        <v>2066</v>
      </c>
      <c r="AA5749" s="609"/>
    </row>
    <row r="5750" spans="1:27" ht="18">
      <c r="A5750" s="2714"/>
      <c r="B5750" s="371">
        <v>101</v>
      </c>
      <c r="C5750" s="371"/>
      <c r="D5750" s="2716">
        <f>IF(OR(G5750="*",G5750="",G5750=0),0,COUNTIF($G$5750:$G$5752,G5750))</f>
        <v>1</v>
      </c>
      <c r="E5750" s="2721">
        <v>1</v>
      </c>
      <c r="F5750" s="294"/>
      <c r="G5750" s="308" t="s">
        <v>4481</v>
      </c>
      <c r="H5750" s="309"/>
      <c r="I5750" s="346"/>
      <c r="K5750" s="301"/>
      <c r="L5750" s="301"/>
      <c r="M5750" s="301"/>
      <c r="N5750" s="291"/>
      <c r="O5750" s="291"/>
      <c r="P5750" s="291"/>
      <c r="S5750" s="364"/>
      <c r="Z5750" s="609" t="s">
        <v>2066</v>
      </c>
      <c r="AA5750" s="609"/>
    </row>
    <row r="5751" spans="1:27" ht="18">
      <c r="A5751" s="2714"/>
      <c r="B5751" s="371">
        <v>102</v>
      </c>
      <c r="C5751" s="371" t="s">
        <v>2791</v>
      </c>
      <c r="D5751" s="2716">
        <f>IF(OR(G5751="*",G5751="",G5751=0),0,COUNTIF($G$5750:$G$5752,G5751))</f>
        <v>0</v>
      </c>
      <c r="E5751" s="2721">
        <v>1</v>
      </c>
      <c r="F5751" s="294"/>
      <c r="G5751" s="319" t="s">
        <v>2792</v>
      </c>
      <c r="H5751" s="309"/>
      <c r="I5751" s="346"/>
      <c r="K5751" s="301"/>
      <c r="L5751" s="301"/>
      <c r="M5751" s="301"/>
      <c r="N5751" s="291"/>
      <c r="O5751" s="291"/>
      <c r="P5751" s="291"/>
      <c r="S5751" s="364"/>
      <c r="Z5751" s="609" t="s">
        <v>2066</v>
      </c>
      <c r="AA5751" s="609"/>
    </row>
    <row r="5752" spans="1:27" ht="18.75" thickBot="1">
      <c r="A5752" s="2714"/>
      <c r="B5752" s="371"/>
      <c r="C5752" s="371"/>
      <c r="D5752" s="2716">
        <f>IF(OR(G5752="*",G5752="",G5752=0),0,COUNTIF($G$5750:$G$5752,G5752))</f>
        <v>1</v>
      </c>
      <c r="E5752" s="2721" t="s">
        <v>3032</v>
      </c>
      <c r="F5752" s="294"/>
      <c r="G5752" s="374" t="s">
        <v>2752</v>
      </c>
      <c r="H5752" s="375">
        <f>SUMPRODUCT($E5749:$E5751,H5749:H5751)</f>
        <v>0</v>
      </c>
      <c r="I5752" s="395">
        <f>SUMPRODUCT($E5749:$E5751,I5749:I5751)</f>
        <v>0</v>
      </c>
      <c r="K5752" s="301"/>
      <c r="L5752" s="301"/>
      <c r="M5752" s="301"/>
      <c r="N5752" s="291"/>
      <c r="O5752" s="291"/>
      <c r="P5752" s="291"/>
      <c r="S5752" s="364"/>
      <c r="Z5752" s="609" t="s">
        <v>2066</v>
      </c>
      <c r="AA5752" s="609"/>
    </row>
    <row r="5753" spans="1:27" ht="18.75" thickBot="1">
      <c r="A5753" s="2714"/>
      <c r="B5753" s="371">
        <v>901</v>
      </c>
      <c r="C5753" s="371"/>
      <c r="D5753" s="2716"/>
      <c r="E5753" s="2716" t="s">
        <v>2753</v>
      </c>
      <c r="F5753" s="294"/>
      <c r="G5753" s="1602" t="s">
        <v>5524</v>
      </c>
      <c r="H5753" s="1600"/>
      <c r="I5753" s="1601"/>
      <c r="J5753" s="315"/>
      <c r="K5753" s="301"/>
      <c r="L5753" s="301"/>
      <c r="M5753" s="301"/>
      <c r="N5753" s="291"/>
      <c r="O5753" s="291"/>
      <c r="P5753" s="291"/>
      <c r="S5753" s="364"/>
      <c r="Z5753" s="609" t="s">
        <v>2066</v>
      </c>
      <c r="AA5753" s="609"/>
    </row>
    <row r="5754" spans="1:27" ht="18">
      <c r="A5754" s="2714"/>
      <c r="B5754" s="371"/>
      <c r="C5754" s="371" t="s">
        <v>2755</v>
      </c>
      <c r="D5754" s="371"/>
      <c r="F5754" s="294"/>
      <c r="G5754" s="301"/>
      <c r="H5754" s="393"/>
      <c r="I5754" s="315"/>
      <c r="J5754" s="315"/>
      <c r="K5754" s="301"/>
      <c r="L5754" s="301"/>
      <c r="M5754" s="301"/>
      <c r="N5754" s="291"/>
      <c r="O5754" s="291"/>
      <c r="P5754" s="291"/>
      <c r="S5754" s="364"/>
      <c r="Z5754" s="609" t="s">
        <v>2066</v>
      </c>
      <c r="AA5754" s="609"/>
    </row>
    <row r="5755" spans="1:27" ht="24">
      <c r="A5755" s="2714" t="s">
        <v>2094</v>
      </c>
      <c r="B5755" s="371">
        <v>6.1</v>
      </c>
      <c r="C5755" s="371"/>
      <c r="D5755" s="2716" t="str">
        <f>VLOOKUP($A5755,Sheet_NoteList,2,0)</f>
        <v>关联方应收应付款项——应收项目</v>
      </c>
      <c r="E5755" s="2716" t="s">
        <v>2742</v>
      </c>
      <c r="F5755" s="293"/>
      <c r="G5755" s="372" t="str">
        <f>"("&amp;B5755&amp;")"&amp;D5755</f>
        <v>(6.1)关联方应收应付款项——应收项目</v>
      </c>
      <c r="H5755" s="1517" t="str">
        <f>$A5755</f>
        <v>9120o</v>
      </c>
      <c r="I5755" s="343" t="s">
        <v>2743</v>
      </c>
      <c r="J5755" s="301" t="s">
        <v>2744</v>
      </c>
      <c r="K5755" s="2210">
        <f>H5768</f>
        <v>0</v>
      </c>
      <c r="L5755" s="349"/>
      <c r="M5755" s="301" t="s">
        <v>2745</v>
      </c>
      <c r="N5755" s="2210">
        <f>I5768</f>
        <v>0</v>
      </c>
      <c r="O5755" s="349"/>
      <c r="P5755" s="301"/>
      <c r="S5755" s="364"/>
      <c r="Z5755" s="609" t="s">
        <v>2066</v>
      </c>
      <c r="AA5755" s="609" t="s">
        <v>19</v>
      </c>
    </row>
    <row r="5756" spans="1:27" ht="0.75" customHeight="1">
      <c r="A5756" s="2714"/>
      <c r="B5756" s="371"/>
      <c r="C5756" s="371"/>
      <c r="D5756" s="2716"/>
      <c r="E5756" s="586"/>
      <c r="F5756" s="586"/>
      <c r="G5756" s="2224" t="s">
        <v>4482</v>
      </c>
      <c r="H5756" s="371" t="s">
        <v>2747</v>
      </c>
      <c r="I5756" s="371" t="s">
        <v>2748</v>
      </c>
      <c r="J5756" s="371" t="s">
        <v>2948</v>
      </c>
      <c r="K5756" s="547" t="s">
        <v>3034</v>
      </c>
      <c r="L5756" s="547" t="s">
        <v>3035</v>
      </c>
      <c r="M5756" s="433"/>
      <c r="N5756" s="428"/>
      <c r="O5756" s="428"/>
      <c r="P5756" s="433"/>
      <c r="Q5756" s="442"/>
      <c r="R5756" s="443"/>
      <c r="S5756" s="364"/>
      <c r="Z5756" s="609" t="s">
        <v>2066</v>
      </c>
      <c r="AA5756" s="609" t="s">
        <v>19</v>
      </c>
    </row>
    <row r="5757" spans="1:27" ht="0.75" customHeight="1" thickBot="1">
      <c r="A5757" s="2714"/>
      <c r="B5757" s="371"/>
      <c r="C5757" s="371"/>
      <c r="D5757" s="2716"/>
      <c r="E5757" s="586"/>
      <c r="F5757" s="586"/>
      <c r="G5757" s="2224"/>
      <c r="H5757" s="371" t="s">
        <v>4483</v>
      </c>
      <c r="I5757" s="371" t="s">
        <v>2855</v>
      </c>
      <c r="J5757" s="371" t="s">
        <v>2856</v>
      </c>
      <c r="K5757" s="547" t="s">
        <v>2858</v>
      </c>
      <c r="L5757" s="547" t="s">
        <v>2859</v>
      </c>
      <c r="M5757" s="433"/>
      <c r="N5757" s="428"/>
      <c r="O5757" s="428"/>
      <c r="P5757" s="433"/>
      <c r="Q5757" s="442"/>
      <c r="R5757" s="443"/>
      <c r="S5757" s="364"/>
      <c r="Z5757" s="609" t="s">
        <v>2066</v>
      </c>
      <c r="AA5757" s="609" t="s">
        <v>19</v>
      </c>
    </row>
    <row r="5758" spans="1:27" ht="18" customHeight="1">
      <c r="A5758" s="2714"/>
      <c r="B5758" s="371"/>
      <c r="C5758" s="371"/>
      <c r="D5758" s="2716"/>
      <c r="E5758" s="586" t="s">
        <v>2749</v>
      </c>
      <c r="F5758" s="414"/>
      <c r="G5758" s="3465" t="s">
        <v>1476</v>
      </c>
      <c r="H5758" s="3433" t="s">
        <v>1423</v>
      </c>
      <c r="I5758" s="3525" t="str">
        <f>$V$2</f>
        <v>2019年12月31日</v>
      </c>
      <c r="J5758" s="3526"/>
      <c r="K5758" s="3521" t="str">
        <f>$V$3</f>
        <v>2018年12月31日</v>
      </c>
      <c r="L5758" s="3522"/>
      <c r="M5758" s="355" t="s">
        <v>5351</v>
      </c>
      <c r="N5758" s="428"/>
      <c r="O5758" s="428"/>
      <c r="P5758" s="433"/>
      <c r="Q5758" s="442"/>
      <c r="R5758" s="443"/>
      <c r="S5758" s="364"/>
      <c r="Z5758" s="609" t="s">
        <v>2066</v>
      </c>
      <c r="AA5758" s="609" t="s">
        <v>19</v>
      </c>
    </row>
    <row r="5759" spans="1:27" ht="18">
      <c r="A5759" s="2714"/>
      <c r="B5759" s="371"/>
      <c r="C5759" s="371"/>
      <c r="D5759" s="2716"/>
      <c r="E5759" s="586" t="s">
        <v>2749</v>
      </c>
      <c r="F5759" s="414"/>
      <c r="G5759" s="3466"/>
      <c r="H5759" s="3486"/>
      <c r="I5759" s="2465" t="s">
        <v>2861</v>
      </c>
      <c r="J5759" s="2465" t="s">
        <v>2862</v>
      </c>
      <c r="K5759" s="419" t="s">
        <v>2861</v>
      </c>
      <c r="L5759" s="2468" t="s">
        <v>2862</v>
      </c>
      <c r="M5759" s="435"/>
      <c r="N5759" s="434"/>
      <c r="O5759" s="434"/>
      <c r="P5759" s="435"/>
      <c r="Q5759" s="442"/>
      <c r="R5759" s="443"/>
      <c r="S5759" s="364"/>
      <c r="Z5759" s="609" t="s">
        <v>2066</v>
      </c>
      <c r="AA5759" s="609" t="s">
        <v>19</v>
      </c>
    </row>
    <row r="5760" spans="1:27" ht="18">
      <c r="A5760" s="2714"/>
      <c r="B5760" s="371">
        <v>101</v>
      </c>
      <c r="C5760" s="371" t="s">
        <v>2791</v>
      </c>
      <c r="D5760" s="2716">
        <f t="shared" ref="D5760:D5768" si="624">IF(OR(G5760="*",G5760="",G5760=0),0,COUNTIF($G$5760:$G$5768,G5760))</f>
        <v>1</v>
      </c>
      <c r="E5760" s="2721">
        <v>1</v>
      </c>
      <c r="F5760" s="293"/>
      <c r="G5760" s="2568" t="s">
        <v>124</v>
      </c>
      <c r="H5760" s="2275"/>
      <c r="I5760" s="2275"/>
      <c r="J5760" s="2275"/>
      <c r="K5760" s="2275"/>
      <c r="L5760" s="2296"/>
      <c r="M5760" s="438"/>
      <c r="N5760" s="439"/>
      <c r="O5760" s="437"/>
      <c r="P5760" s="438"/>
      <c r="Q5760" s="442"/>
      <c r="R5760" s="443"/>
      <c r="S5760" s="364"/>
      <c r="Z5760" s="609" t="s">
        <v>2066</v>
      </c>
      <c r="AA5760" s="609" t="s">
        <v>19</v>
      </c>
    </row>
    <row r="5761" spans="1:27" ht="18">
      <c r="A5761" s="2714"/>
      <c r="B5761" s="371">
        <v>102</v>
      </c>
      <c r="C5761" s="371" t="s">
        <v>2791</v>
      </c>
      <c r="D5761" s="2716">
        <f t="shared" si="624"/>
        <v>1</v>
      </c>
      <c r="E5761" s="2721">
        <v>1</v>
      </c>
      <c r="F5761" s="293"/>
      <c r="G5761" s="2568" t="s">
        <v>109</v>
      </c>
      <c r="H5761" s="2275"/>
      <c r="I5761" s="2275"/>
      <c r="J5761" s="2275"/>
      <c r="K5761" s="2275"/>
      <c r="L5761" s="2296"/>
      <c r="M5761" s="438"/>
      <c r="N5761" s="439"/>
      <c r="O5761" s="437"/>
      <c r="P5761" s="438"/>
      <c r="Q5761" s="442"/>
      <c r="R5761" s="443"/>
      <c r="S5761" s="364"/>
      <c r="Z5761" s="609" t="s">
        <v>2066</v>
      </c>
      <c r="AA5761" s="609" t="s">
        <v>19</v>
      </c>
    </row>
    <row r="5762" spans="1:27" ht="18">
      <c r="A5762" s="2714"/>
      <c r="B5762" s="371">
        <v>103</v>
      </c>
      <c r="C5762" s="371" t="s">
        <v>2791</v>
      </c>
      <c r="D5762" s="2716">
        <f t="shared" si="624"/>
        <v>1</v>
      </c>
      <c r="E5762" s="2721">
        <v>1</v>
      </c>
      <c r="F5762" s="293"/>
      <c r="G5762" s="2568" t="s">
        <v>162</v>
      </c>
      <c r="H5762" s="2275"/>
      <c r="I5762" s="2275"/>
      <c r="J5762" s="2275"/>
      <c r="K5762" s="2275"/>
      <c r="L5762" s="2296"/>
      <c r="M5762" s="438"/>
      <c r="N5762" s="439"/>
      <c r="O5762" s="437"/>
      <c r="P5762" s="438"/>
      <c r="Q5762" s="442"/>
      <c r="R5762" s="443"/>
      <c r="S5762" s="364"/>
      <c r="Z5762" s="609" t="s">
        <v>2066</v>
      </c>
      <c r="AA5762" s="609" t="s">
        <v>19</v>
      </c>
    </row>
    <row r="5763" spans="1:27" ht="18">
      <c r="A5763" s="2714"/>
      <c r="B5763" s="371">
        <v>104</v>
      </c>
      <c r="C5763" s="371" t="s">
        <v>2791</v>
      </c>
      <c r="D5763" s="2716">
        <f t="shared" si="624"/>
        <v>1</v>
      </c>
      <c r="E5763" s="2721">
        <v>1</v>
      </c>
      <c r="F5763" s="293"/>
      <c r="G5763" s="2568" t="s">
        <v>201</v>
      </c>
      <c r="H5763" s="2275"/>
      <c r="I5763" s="2275"/>
      <c r="J5763" s="2275"/>
      <c r="K5763" s="2275"/>
      <c r="L5763" s="2296"/>
      <c r="M5763" s="438"/>
      <c r="N5763" s="439"/>
      <c r="O5763" s="437"/>
      <c r="P5763" s="438"/>
      <c r="Q5763" s="442"/>
      <c r="R5763" s="443"/>
      <c r="S5763" s="364"/>
      <c r="Z5763" s="609" t="s">
        <v>2066</v>
      </c>
      <c r="AA5763" s="609" t="s">
        <v>19</v>
      </c>
    </row>
    <row r="5764" spans="1:27" ht="18">
      <c r="A5764" s="2714"/>
      <c r="B5764" s="371">
        <v>105</v>
      </c>
      <c r="C5764" s="371" t="s">
        <v>2791</v>
      </c>
      <c r="D5764" s="2716">
        <f t="shared" si="624"/>
        <v>0</v>
      </c>
      <c r="E5764" s="2721">
        <v>1</v>
      </c>
      <c r="F5764" s="293"/>
      <c r="G5764" s="2467" t="s">
        <v>2792</v>
      </c>
      <c r="H5764" s="2275"/>
      <c r="I5764" s="2275"/>
      <c r="J5764" s="2275"/>
      <c r="K5764" s="2275"/>
      <c r="L5764" s="2296"/>
      <c r="M5764" s="438"/>
      <c r="N5764" s="439"/>
      <c r="O5764" s="437"/>
      <c r="P5764" s="438"/>
      <c r="Q5764" s="442"/>
      <c r="R5764" s="443"/>
      <c r="S5764" s="364"/>
      <c r="Z5764" s="609" t="s">
        <v>2066</v>
      </c>
      <c r="AA5764" s="609" t="s">
        <v>19</v>
      </c>
    </row>
    <row r="5765" spans="1:27" ht="18">
      <c r="A5765" s="2714"/>
      <c r="B5765" s="371">
        <v>106</v>
      </c>
      <c r="C5765" s="371" t="s">
        <v>2791</v>
      </c>
      <c r="D5765" s="2716">
        <f t="shared" si="624"/>
        <v>0</v>
      </c>
      <c r="E5765" s="2721">
        <v>1</v>
      </c>
      <c r="F5765" s="293"/>
      <c r="G5765" s="2467" t="s">
        <v>2792</v>
      </c>
      <c r="H5765" s="2275"/>
      <c r="I5765" s="2275"/>
      <c r="J5765" s="2275"/>
      <c r="K5765" s="2275"/>
      <c r="L5765" s="2296"/>
      <c r="M5765" s="438"/>
      <c r="N5765" s="439"/>
      <c r="O5765" s="437"/>
      <c r="P5765" s="438"/>
      <c r="Q5765" s="442"/>
      <c r="R5765" s="443"/>
      <c r="S5765" s="364"/>
      <c r="Z5765" s="609" t="s">
        <v>2066</v>
      </c>
      <c r="AA5765" s="609" t="s">
        <v>19</v>
      </c>
    </row>
    <row r="5766" spans="1:27" ht="18">
      <c r="A5766" s="2714"/>
      <c r="B5766" s="371">
        <v>107</v>
      </c>
      <c r="C5766" s="371" t="s">
        <v>2791</v>
      </c>
      <c r="D5766" s="2716">
        <f t="shared" si="624"/>
        <v>0</v>
      </c>
      <c r="E5766" s="2721">
        <v>1</v>
      </c>
      <c r="F5766" s="293"/>
      <c r="G5766" s="2467" t="s">
        <v>2792</v>
      </c>
      <c r="H5766" s="2275"/>
      <c r="I5766" s="2275"/>
      <c r="J5766" s="2275"/>
      <c r="K5766" s="2275"/>
      <c r="L5766" s="2296"/>
      <c r="M5766" s="438"/>
      <c r="N5766" s="439"/>
      <c r="O5766" s="437"/>
      <c r="P5766" s="438"/>
      <c r="Q5766" s="442"/>
      <c r="R5766" s="443"/>
      <c r="S5766" s="364"/>
      <c r="Z5766" s="609" t="s">
        <v>2066</v>
      </c>
      <c r="AA5766" s="609" t="s">
        <v>19</v>
      </c>
    </row>
    <row r="5767" spans="1:27" ht="18">
      <c r="A5767" s="2714"/>
      <c r="B5767" s="371">
        <v>108</v>
      </c>
      <c r="C5767" s="371" t="s">
        <v>2791</v>
      </c>
      <c r="D5767" s="2716">
        <f t="shared" si="624"/>
        <v>0</v>
      </c>
      <c r="E5767" s="2721">
        <v>1</v>
      </c>
      <c r="F5767" s="293"/>
      <c r="G5767" s="2467" t="s">
        <v>2792</v>
      </c>
      <c r="H5767" s="2275"/>
      <c r="I5767" s="2275"/>
      <c r="J5767" s="2275"/>
      <c r="K5767" s="2275"/>
      <c r="L5767" s="2296"/>
      <c r="M5767" s="438"/>
      <c r="N5767" s="439"/>
      <c r="O5767" s="437"/>
      <c r="P5767" s="438"/>
      <c r="Q5767" s="442"/>
      <c r="R5767" s="443"/>
      <c r="S5767" s="364"/>
      <c r="Z5767" s="609" t="s">
        <v>2066</v>
      </c>
      <c r="AA5767" s="609" t="s">
        <v>19</v>
      </c>
    </row>
    <row r="5768" spans="1:27" ht="18.75" thickBot="1">
      <c r="A5768" s="2714"/>
      <c r="B5768" s="371"/>
      <c r="C5768" s="371"/>
      <c r="D5768" s="2716">
        <f t="shared" si="624"/>
        <v>1</v>
      </c>
      <c r="E5768" s="2721" t="s">
        <v>2751</v>
      </c>
      <c r="F5768" s="293"/>
      <c r="G5768" s="374" t="s">
        <v>2752</v>
      </c>
      <c r="H5768" s="1478">
        <f>SUMPRODUCT($E5759:$E5767,H5759:H5767)</f>
        <v>0</v>
      </c>
      <c r="I5768" s="1478">
        <f>SUMPRODUCT($E5759:$E5767,I5759:I5767)</f>
        <v>0</v>
      </c>
      <c r="J5768" s="1478">
        <f>SUMPRODUCT($E5759:$E5767,J5759:J5767)</f>
        <v>0</v>
      </c>
      <c r="K5768" s="2377"/>
      <c r="L5768" s="2481"/>
      <c r="M5768" s="440"/>
      <c r="N5768" s="439"/>
      <c r="O5768" s="437"/>
      <c r="P5768" s="440"/>
      <c r="Q5768" s="442"/>
      <c r="R5768" s="443"/>
      <c r="S5768" s="364"/>
      <c r="Z5768" s="609" t="s">
        <v>2066</v>
      </c>
      <c r="AA5768" s="609" t="s">
        <v>19</v>
      </c>
    </row>
    <row r="5769" spans="1:27" ht="18">
      <c r="A5769" s="2714"/>
      <c r="B5769" s="371"/>
      <c r="C5769" s="371" t="s">
        <v>2755</v>
      </c>
      <c r="D5769" s="2716"/>
      <c r="F5769" s="293"/>
      <c r="G5769" s="376"/>
      <c r="H5769" s="315"/>
      <c r="I5769" s="396"/>
      <c r="J5769" s="315"/>
      <c r="K5769" s="423"/>
      <c r="L5769" s="315"/>
      <c r="M5769" s="425"/>
      <c r="N5769" s="426"/>
      <c r="O5769" s="427"/>
      <c r="P5769" s="425"/>
      <c r="Q5769" s="442"/>
      <c r="R5769" s="443"/>
      <c r="S5769" s="364"/>
      <c r="Z5769" s="609" t="s">
        <v>2066</v>
      </c>
      <c r="AA5769" s="609" t="s">
        <v>19</v>
      </c>
    </row>
    <row r="5770" spans="1:27" ht="24">
      <c r="A5770" s="2714" t="s">
        <v>2096</v>
      </c>
      <c r="B5770" s="371">
        <v>6.2</v>
      </c>
      <c r="C5770" s="371"/>
      <c r="D5770" s="2716" t="str">
        <f>VLOOKUP($A5770,Sheet_NoteList,2,0)</f>
        <v>关联方应收应付款项——应付项目</v>
      </c>
      <c r="E5770" s="2716" t="s">
        <v>2742</v>
      </c>
      <c r="F5770" s="293"/>
      <c r="G5770" s="372" t="str">
        <f>"("&amp;B5770&amp;")"&amp;D5770</f>
        <v>(6.2)关联方应收应付款项——应付项目</v>
      </c>
      <c r="H5770" s="1517" t="str">
        <f>$A5770</f>
        <v>9120p</v>
      </c>
      <c r="I5770" s="343" t="s">
        <v>2743</v>
      </c>
      <c r="J5770" s="301" t="s">
        <v>2744</v>
      </c>
      <c r="K5770" s="2210">
        <f>I5781</f>
        <v>0</v>
      </c>
      <c r="L5770" s="349"/>
      <c r="M5770" s="301" t="s">
        <v>2745</v>
      </c>
      <c r="N5770" s="2210">
        <f>J5781</f>
        <v>0</v>
      </c>
      <c r="O5770" s="349"/>
      <c r="P5770" s="301"/>
      <c r="S5770" s="364"/>
      <c r="Z5770" s="609" t="s">
        <v>2066</v>
      </c>
      <c r="AA5770" s="609" t="s">
        <v>19</v>
      </c>
    </row>
    <row r="5771" spans="1:27" ht="0.75" customHeight="1" thickBot="1">
      <c r="A5771" s="2714"/>
      <c r="B5771" s="371"/>
      <c r="C5771" s="371"/>
      <c r="D5771" s="2716"/>
      <c r="E5771" s="586"/>
      <c r="F5771" s="586"/>
      <c r="G5771" s="2224" t="s">
        <v>4484</v>
      </c>
      <c r="H5771" s="371" t="s">
        <v>3067</v>
      </c>
      <c r="I5771" s="371" t="s">
        <v>2748</v>
      </c>
      <c r="J5771" s="371" t="s">
        <v>2948</v>
      </c>
      <c r="K5771" s="428"/>
      <c r="L5771" s="428"/>
      <c r="M5771" s="433"/>
      <c r="N5771" s="428"/>
      <c r="O5771" s="428"/>
      <c r="P5771" s="433"/>
      <c r="Q5771" s="442"/>
      <c r="R5771" s="443"/>
      <c r="S5771" s="364"/>
      <c r="Z5771" s="609" t="s">
        <v>2066</v>
      </c>
      <c r="AA5771" s="609" t="s">
        <v>19</v>
      </c>
    </row>
    <row r="5772" spans="1:27" ht="18">
      <c r="A5772" s="2714"/>
      <c r="B5772" s="371"/>
      <c r="C5772" s="371"/>
      <c r="D5772" s="2716"/>
      <c r="E5772" s="586" t="s">
        <v>2749</v>
      </c>
      <c r="F5772" s="414"/>
      <c r="G5772" s="2457" t="s">
        <v>1476</v>
      </c>
      <c r="H5772" s="2464" t="s">
        <v>1423</v>
      </c>
      <c r="I5772" s="2503" t="str">
        <f>$V$2</f>
        <v>2019年12月31日</v>
      </c>
      <c r="J5772" s="2504" t="str">
        <f>$V$3</f>
        <v>2018年12月31日</v>
      </c>
      <c r="K5772" s="355" t="s">
        <v>5351</v>
      </c>
      <c r="L5772" s="434"/>
      <c r="M5772" s="435"/>
      <c r="N5772" s="434"/>
      <c r="O5772" s="434"/>
      <c r="P5772" s="435"/>
      <c r="Q5772" s="442"/>
      <c r="R5772" s="443"/>
      <c r="S5772" s="364"/>
      <c r="Z5772" s="609" t="s">
        <v>2066</v>
      </c>
      <c r="AA5772" s="609" t="s">
        <v>19</v>
      </c>
    </row>
    <row r="5773" spans="1:27" ht="18">
      <c r="A5773" s="2714"/>
      <c r="B5773" s="371">
        <v>101</v>
      </c>
      <c r="C5773" s="371" t="s">
        <v>2791</v>
      </c>
      <c r="D5773" s="2716">
        <f t="shared" ref="D5773:D5781" si="625">IF(OR(G5773="*",G5773="",G5773=0),0,COUNTIF($G$5773:$G$5781,G5773))</f>
        <v>1</v>
      </c>
      <c r="E5773" s="2721">
        <v>1</v>
      </c>
      <c r="F5773" s="293"/>
      <c r="G5773" s="2568" t="s">
        <v>476</v>
      </c>
      <c r="H5773" s="2298"/>
      <c r="I5773" s="2275"/>
      <c r="J5773" s="2296"/>
      <c r="K5773" s="439"/>
      <c r="L5773" s="437"/>
      <c r="M5773" s="438"/>
      <c r="N5773" s="439"/>
      <c r="O5773" s="437"/>
      <c r="P5773" s="438"/>
      <c r="Q5773" s="442"/>
      <c r="R5773" s="443"/>
      <c r="S5773" s="364"/>
      <c r="Z5773" s="609" t="s">
        <v>2066</v>
      </c>
      <c r="AA5773" s="609" t="s">
        <v>19</v>
      </c>
    </row>
    <row r="5774" spans="1:27" ht="18">
      <c r="A5774" s="2714"/>
      <c r="B5774" s="371">
        <v>102</v>
      </c>
      <c r="C5774" s="371" t="s">
        <v>2791</v>
      </c>
      <c r="D5774" s="2716">
        <f t="shared" si="625"/>
        <v>1</v>
      </c>
      <c r="E5774" s="2721">
        <v>1</v>
      </c>
      <c r="F5774" s="293"/>
      <c r="G5774" s="2568" t="s">
        <v>471</v>
      </c>
      <c r="H5774" s="2298"/>
      <c r="I5774" s="2275"/>
      <c r="J5774" s="2296"/>
      <c r="K5774" s="439"/>
      <c r="L5774" s="437"/>
      <c r="M5774" s="438"/>
      <c r="N5774" s="439"/>
      <c r="O5774" s="437"/>
      <c r="P5774" s="438"/>
      <c r="Q5774" s="442"/>
      <c r="R5774" s="443"/>
      <c r="S5774" s="364"/>
      <c r="Z5774" s="609" t="s">
        <v>2066</v>
      </c>
      <c r="AA5774" s="609" t="s">
        <v>19</v>
      </c>
    </row>
    <row r="5775" spans="1:27" ht="18">
      <c r="A5775" s="2714"/>
      <c r="B5775" s="371">
        <v>103</v>
      </c>
      <c r="C5775" s="371" t="s">
        <v>2791</v>
      </c>
      <c r="D5775" s="2716">
        <f t="shared" si="625"/>
        <v>1</v>
      </c>
      <c r="E5775" s="2721">
        <v>1</v>
      </c>
      <c r="F5775" s="293"/>
      <c r="G5775" s="2568" t="s">
        <v>484</v>
      </c>
      <c r="H5775" s="2298"/>
      <c r="I5775" s="2275"/>
      <c r="J5775" s="2296"/>
      <c r="K5775" s="439"/>
      <c r="L5775" s="437"/>
      <c r="M5775" s="438"/>
      <c r="N5775" s="439"/>
      <c r="O5775" s="437"/>
      <c r="P5775" s="438"/>
      <c r="Q5775" s="442"/>
      <c r="R5775" s="443"/>
      <c r="S5775" s="364"/>
      <c r="Z5775" s="609" t="s">
        <v>2066</v>
      </c>
      <c r="AA5775" s="609" t="s">
        <v>19</v>
      </c>
    </row>
    <row r="5776" spans="1:27" ht="18">
      <c r="A5776" s="2714"/>
      <c r="B5776" s="371">
        <v>104</v>
      </c>
      <c r="C5776" s="371" t="s">
        <v>2791</v>
      </c>
      <c r="D5776" s="2716">
        <f t="shared" si="625"/>
        <v>1</v>
      </c>
      <c r="E5776" s="2721">
        <v>1</v>
      </c>
      <c r="F5776" s="293"/>
      <c r="G5776" s="2568" t="s">
        <v>513</v>
      </c>
      <c r="H5776" s="2298"/>
      <c r="I5776" s="2275"/>
      <c r="J5776" s="2296"/>
      <c r="K5776" s="439"/>
      <c r="L5776" s="437"/>
      <c r="M5776" s="438"/>
      <c r="N5776" s="439"/>
      <c r="O5776" s="437"/>
      <c r="P5776" s="438"/>
      <c r="Q5776" s="442"/>
      <c r="R5776" s="443"/>
      <c r="S5776" s="364"/>
      <c r="Z5776" s="609" t="s">
        <v>2066</v>
      </c>
      <c r="AA5776" s="609" t="s">
        <v>19</v>
      </c>
    </row>
    <row r="5777" spans="1:27" ht="18">
      <c r="A5777" s="2714"/>
      <c r="B5777" s="371">
        <v>105</v>
      </c>
      <c r="C5777" s="371" t="s">
        <v>2791</v>
      </c>
      <c r="D5777" s="2716">
        <f t="shared" si="625"/>
        <v>0</v>
      </c>
      <c r="E5777" s="2721">
        <v>1</v>
      </c>
      <c r="F5777" s="293"/>
      <c r="G5777" s="2467" t="s">
        <v>2792</v>
      </c>
      <c r="H5777" s="2298"/>
      <c r="I5777" s="2275"/>
      <c r="J5777" s="2296"/>
      <c r="K5777" s="439"/>
      <c r="L5777" s="437"/>
      <c r="M5777" s="438"/>
      <c r="N5777" s="439"/>
      <c r="O5777" s="437"/>
      <c r="P5777" s="438"/>
      <c r="Q5777" s="442"/>
      <c r="R5777" s="443"/>
      <c r="S5777" s="364"/>
      <c r="Z5777" s="609" t="s">
        <v>2066</v>
      </c>
      <c r="AA5777" s="609" t="s">
        <v>19</v>
      </c>
    </row>
    <row r="5778" spans="1:27" ht="18">
      <c r="A5778" s="2714"/>
      <c r="B5778" s="371">
        <v>106</v>
      </c>
      <c r="C5778" s="371" t="s">
        <v>2791</v>
      </c>
      <c r="D5778" s="2716">
        <f t="shared" si="625"/>
        <v>0</v>
      </c>
      <c r="E5778" s="2721">
        <v>1</v>
      </c>
      <c r="F5778" s="293"/>
      <c r="G5778" s="2467" t="s">
        <v>2792</v>
      </c>
      <c r="H5778" s="2298"/>
      <c r="I5778" s="2275"/>
      <c r="J5778" s="2296"/>
      <c r="K5778" s="439"/>
      <c r="L5778" s="437"/>
      <c r="M5778" s="438"/>
      <c r="N5778" s="439"/>
      <c r="O5778" s="437"/>
      <c r="P5778" s="438"/>
      <c r="Q5778" s="442"/>
      <c r="R5778" s="443"/>
      <c r="S5778" s="364"/>
      <c r="Z5778" s="609" t="s">
        <v>2066</v>
      </c>
      <c r="AA5778" s="609" t="s">
        <v>19</v>
      </c>
    </row>
    <row r="5779" spans="1:27" ht="18">
      <c r="A5779" s="2714"/>
      <c r="B5779" s="371">
        <v>107</v>
      </c>
      <c r="C5779" s="371" t="s">
        <v>2791</v>
      </c>
      <c r="D5779" s="2716">
        <f t="shared" si="625"/>
        <v>0</v>
      </c>
      <c r="E5779" s="2721">
        <v>1</v>
      </c>
      <c r="F5779" s="293"/>
      <c r="G5779" s="2467" t="s">
        <v>2792</v>
      </c>
      <c r="H5779" s="2298"/>
      <c r="I5779" s="2275"/>
      <c r="J5779" s="2296"/>
      <c r="K5779" s="439"/>
      <c r="L5779" s="437"/>
      <c r="M5779" s="438"/>
      <c r="N5779" s="439"/>
      <c r="O5779" s="437"/>
      <c r="P5779" s="438"/>
      <c r="Q5779" s="442"/>
      <c r="R5779" s="443"/>
      <c r="S5779" s="364"/>
      <c r="Z5779" s="609" t="s">
        <v>2066</v>
      </c>
      <c r="AA5779" s="609" t="s">
        <v>19</v>
      </c>
    </row>
    <row r="5780" spans="1:27" ht="18">
      <c r="A5780" s="2714"/>
      <c r="B5780" s="371">
        <v>108</v>
      </c>
      <c r="C5780" s="371" t="s">
        <v>2791</v>
      </c>
      <c r="D5780" s="2716">
        <f t="shared" si="625"/>
        <v>0</v>
      </c>
      <c r="E5780" s="2721">
        <v>1</v>
      </c>
      <c r="F5780" s="293"/>
      <c r="G5780" s="2467" t="s">
        <v>2792</v>
      </c>
      <c r="H5780" s="2298"/>
      <c r="I5780" s="2275"/>
      <c r="J5780" s="2296"/>
      <c r="K5780" s="439"/>
      <c r="L5780" s="437"/>
      <c r="M5780" s="438"/>
      <c r="N5780" s="439"/>
      <c r="O5780" s="437"/>
      <c r="P5780" s="438"/>
      <c r="Q5780" s="442"/>
      <c r="R5780" s="443"/>
      <c r="S5780" s="364"/>
      <c r="Z5780" s="609" t="s">
        <v>2066</v>
      </c>
      <c r="AA5780" s="609" t="s">
        <v>19</v>
      </c>
    </row>
    <row r="5781" spans="1:27" ht="18.75" thickBot="1">
      <c r="A5781" s="2714"/>
      <c r="B5781" s="371"/>
      <c r="C5781" s="371"/>
      <c r="D5781" s="2716">
        <f t="shared" si="625"/>
        <v>1</v>
      </c>
      <c r="E5781" s="2721" t="s">
        <v>2751</v>
      </c>
      <c r="F5781" s="293"/>
      <c r="G5781" s="374" t="s">
        <v>2752</v>
      </c>
      <c r="H5781" s="2378">
        <f>SUMPRODUCT($E5772:$E5780,H5772:H5780)</f>
        <v>0</v>
      </c>
      <c r="I5781" s="1478">
        <f>SUMPRODUCT($E5772:$E5780,I5772:I5780)</f>
        <v>0</v>
      </c>
      <c r="J5781" s="1479">
        <f>SUMPRODUCT($E5772:$E5780,J5772:J5780)</f>
        <v>0</v>
      </c>
      <c r="K5781" s="439"/>
      <c r="L5781" s="437"/>
      <c r="M5781" s="440"/>
      <c r="N5781" s="439"/>
      <c r="O5781" s="437"/>
      <c r="P5781" s="440"/>
      <c r="Q5781" s="442"/>
      <c r="R5781" s="443"/>
      <c r="S5781" s="364"/>
      <c r="Z5781" s="609" t="s">
        <v>2066</v>
      </c>
      <c r="AA5781" s="609" t="s">
        <v>19</v>
      </c>
    </row>
    <row r="5782" spans="1:27" ht="18">
      <c r="A5782" s="2714"/>
      <c r="B5782" s="371"/>
      <c r="C5782" s="371" t="s">
        <v>2755</v>
      </c>
      <c r="D5782" s="2716"/>
      <c r="F5782" s="293"/>
      <c r="G5782" s="376"/>
      <c r="H5782" s="393"/>
      <c r="I5782" s="396"/>
      <c r="J5782" s="315"/>
      <c r="K5782" s="426"/>
      <c r="L5782" s="427"/>
      <c r="M5782" s="425"/>
      <c r="N5782" s="426"/>
      <c r="O5782" s="427"/>
      <c r="P5782" s="425"/>
      <c r="Q5782" s="442"/>
      <c r="R5782" s="443"/>
      <c r="S5782" s="364"/>
      <c r="Z5782" s="609" t="s">
        <v>2066</v>
      </c>
      <c r="AA5782" s="609" t="s">
        <v>19</v>
      </c>
    </row>
    <row r="5783" spans="1:27" ht="17.25">
      <c r="A5783" s="2715">
        <v>9367</v>
      </c>
      <c r="B5783" s="371" t="s">
        <v>6571</v>
      </c>
      <c r="C5783" s="2716" t="str">
        <f>VLOOKUP($A5783,Sheet_Items,2,0)</f>
        <v>终止经营</v>
      </c>
      <c r="D5783" s="371"/>
      <c r="E5783" s="2716" t="s">
        <v>2739</v>
      </c>
      <c r="F5783" s="371"/>
      <c r="G5783" s="305" t="str">
        <f>B5783&amp;" "&amp;C5783</f>
        <v>十四 5. 终止经营</v>
      </c>
      <c r="H5783" s="306"/>
      <c r="I5783" s="306"/>
      <c r="J5783" s="306"/>
      <c r="K5783" s="341"/>
      <c r="L5783" s="342"/>
      <c r="M5783" s="306"/>
      <c r="N5783" s="341"/>
      <c r="O5783" s="342"/>
      <c r="P5783" s="301"/>
      <c r="S5783" s="364"/>
      <c r="Z5783" s="609" t="s">
        <v>2155</v>
      </c>
      <c r="AA5783" s="609" t="s">
        <v>19</v>
      </c>
    </row>
    <row r="5784" spans="1:27" ht="24">
      <c r="A5784" s="2714" t="s">
        <v>2153</v>
      </c>
      <c r="B5784" s="371">
        <v>1</v>
      </c>
      <c r="C5784" s="371"/>
      <c r="D5784" s="2716" t="str">
        <f>VLOOKUP($A5784,Sheet_NoteList,2,0)</f>
        <v>其他重要事项（终止经营）</v>
      </c>
      <c r="E5784" s="2716" t="s">
        <v>2742</v>
      </c>
      <c r="F5784" s="371"/>
      <c r="G5784" s="372" t="str">
        <f>"("&amp;B5784&amp;")"&amp;D5784</f>
        <v>(1)其他重要事项（终止经营）</v>
      </c>
      <c r="H5784" s="1517" t="str">
        <f>$A5784</f>
        <v>9367a</v>
      </c>
      <c r="I5784" s="343" t="s">
        <v>2743</v>
      </c>
      <c r="J5784" s="301" t="s">
        <v>2744</v>
      </c>
      <c r="K5784" s="391"/>
      <c r="L5784" s="349"/>
      <c r="M5784" s="301" t="s">
        <v>2745</v>
      </c>
      <c r="N5784" s="391"/>
      <c r="O5784" s="349"/>
      <c r="P5784" s="301"/>
      <c r="S5784" s="364"/>
      <c r="Z5784" s="609" t="s">
        <v>2155</v>
      </c>
      <c r="AA5784" s="609" t="s">
        <v>19</v>
      </c>
    </row>
    <row r="5785" spans="1:27" ht="0.75" customHeight="1" thickBot="1">
      <c r="A5785" s="2714"/>
      <c r="B5785" s="371"/>
      <c r="C5785" s="371"/>
      <c r="D5785" s="2716"/>
      <c r="F5785" s="371"/>
      <c r="G5785" s="405" t="s">
        <v>4661</v>
      </c>
      <c r="H5785" s="371" t="s">
        <v>4223</v>
      </c>
      <c r="I5785" s="371" t="s">
        <v>4224</v>
      </c>
      <c r="J5785" s="301"/>
      <c r="K5785" s="391"/>
      <c r="L5785" s="349"/>
      <c r="M5785" s="301"/>
      <c r="N5785" s="391"/>
      <c r="O5785" s="349"/>
      <c r="P5785" s="301"/>
      <c r="S5785" s="364"/>
      <c r="Z5785" s="609" t="s">
        <v>2155</v>
      </c>
      <c r="AA5785" s="609" t="s">
        <v>19</v>
      </c>
    </row>
    <row r="5786" spans="1:27" ht="18">
      <c r="A5786" s="2714"/>
      <c r="B5786" s="371"/>
      <c r="C5786" s="371"/>
      <c r="D5786" s="2716"/>
      <c r="E5786" s="2716" t="s">
        <v>2749</v>
      </c>
      <c r="F5786" s="371"/>
      <c r="G5786" s="2563" t="s">
        <v>47</v>
      </c>
      <c r="H5786" s="2558" t="str">
        <f>$V$4</f>
        <v>2019年度</v>
      </c>
      <c r="I5786" s="2562" t="str">
        <f>$V$5</f>
        <v>2018年度</v>
      </c>
      <c r="J5786" s="355" t="s">
        <v>5352</v>
      </c>
      <c r="K5786" s="391"/>
      <c r="L5786" s="349"/>
      <c r="M5786" s="301"/>
      <c r="N5786" s="391"/>
      <c r="O5786" s="349"/>
      <c r="P5786" s="301"/>
      <c r="S5786" s="364"/>
      <c r="Z5786" s="609" t="s">
        <v>2155</v>
      </c>
      <c r="AA5786" s="609" t="s">
        <v>19</v>
      </c>
    </row>
    <row r="5787" spans="1:27" ht="18">
      <c r="A5787" s="2714"/>
      <c r="B5787" s="371">
        <v>103</v>
      </c>
      <c r="C5787" s="371"/>
      <c r="D5787" s="2716">
        <f t="shared" ref="D5787:D5803" si="626">IF(OR(G5787="*",G5787="",G5787=0),0,COUNTIF($G$5787:$G$5803,G5787))</f>
        <v>1</v>
      </c>
      <c r="E5787" s="2721">
        <v>1</v>
      </c>
      <c r="F5787" s="371"/>
      <c r="G5787" s="308" t="s">
        <v>4662</v>
      </c>
      <c r="H5787" s="309"/>
      <c r="I5787" s="346"/>
      <c r="J5787" s="301"/>
      <c r="K5787" s="391"/>
      <c r="L5787" s="349"/>
      <c r="M5787" s="301"/>
      <c r="N5787" s="391"/>
      <c r="O5787" s="349"/>
      <c r="P5787" s="301"/>
      <c r="S5787" s="364"/>
      <c r="Z5787" s="609" t="s">
        <v>2155</v>
      </c>
      <c r="AA5787" s="609" t="s">
        <v>19</v>
      </c>
    </row>
    <row r="5788" spans="1:27" ht="18">
      <c r="A5788" s="2714"/>
      <c r="B5788" s="371">
        <v>104</v>
      </c>
      <c r="C5788" s="371"/>
      <c r="D5788" s="2716">
        <f t="shared" si="626"/>
        <v>1</v>
      </c>
      <c r="E5788" s="2721">
        <v>1</v>
      </c>
      <c r="F5788" s="371"/>
      <c r="G5788" s="308" t="s">
        <v>4663</v>
      </c>
      <c r="H5788" s="309"/>
      <c r="I5788" s="346"/>
      <c r="J5788" s="301"/>
      <c r="K5788" s="391"/>
      <c r="L5788" s="349"/>
      <c r="M5788" s="301"/>
      <c r="N5788" s="391"/>
      <c r="O5788" s="349"/>
      <c r="P5788" s="301"/>
      <c r="S5788" s="364"/>
      <c r="Z5788" s="609" t="s">
        <v>2155</v>
      </c>
      <c r="AA5788" s="609" t="s">
        <v>19</v>
      </c>
    </row>
    <row r="5789" spans="1:27" ht="18">
      <c r="A5789" s="2714"/>
      <c r="B5789" s="371">
        <v>105</v>
      </c>
      <c r="C5789" s="371"/>
      <c r="D5789" s="2716">
        <f t="shared" si="626"/>
        <v>1</v>
      </c>
      <c r="E5789" s="2721">
        <v>1</v>
      </c>
      <c r="F5789" s="371"/>
      <c r="G5789" s="308" t="s">
        <v>4664</v>
      </c>
      <c r="H5789" s="309"/>
      <c r="I5789" s="346"/>
      <c r="J5789" s="301"/>
      <c r="K5789" s="391"/>
      <c r="L5789" s="349"/>
      <c r="M5789" s="301"/>
      <c r="N5789" s="391"/>
      <c r="O5789" s="349"/>
      <c r="P5789" s="301"/>
      <c r="S5789" s="364"/>
      <c r="Z5789" s="609" t="s">
        <v>2155</v>
      </c>
      <c r="AA5789" s="609" t="s">
        <v>19</v>
      </c>
    </row>
    <row r="5790" spans="1:27" ht="18">
      <c r="A5790" s="2714"/>
      <c r="B5790" s="371">
        <v>106</v>
      </c>
      <c r="C5790" s="371"/>
      <c r="D5790" s="2716">
        <f t="shared" si="626"/>
        <v>1</v>
      </c>
      <c r="E5790" s="2721">
        <v>1</v>
      </c>
      <c r="F5790" s="371"/>
      <c r="G5790" s="308" t="s">
        <v>4665</v>
      </c>
      <c r="H5790" s="309"/>
      <c r="I5790" s="346"/>
      <c r="J5790" s="301"/>
      <c r="K5790" s="391"/>
      <c r="L5790" s="349"/>
      <c r="M5790" s="301"/>
      <c r="N5790" s="391"/>
      <c r="O5790" s="349"/>
      <c r="P5790" s="301"/>
      <c r="S5790" s="364"/>
      <c r="Z5790" s="609" t="s">
        <v>2155</v>
      </c>
      <c r="AA5790" s="609" t="s">
        <v>19</v>
      </c>
    </row>
    <row r="5791" spans="1:27" ht="18">
      <c r="A5791" s="2714"/>
      <c r="B5791" s="371">
        <v>107</v>
      </c>
      <c r="C5791" s="371"/>
      <c r="D5791" s="2716">
        <f t="shared" si="626"/>
        <v>1</v>
      </c>
      <c r="E5791" s="2721">
        <v>1</v>
      </c>
      <c r="F5791" s="371"/>
      <c r="G5791" s="308" t="s">
        <v>4666</v>
      </c>
      <c r="H5791" s="309">
        <f>H5789-H5790</f>
        <v>0</v>
      </c>
      <c r="I5791" s="346">
        <f>I5789-I5790</f>
        <v>0</v>
      </c>
      <c r="J5791" s="301"/>
      <c r="K5791" s="391"/>
      <c r="L5791" s="349"/>
      <c r="M5791" s="301"/>
      <c r="N5791" s="391"/>
      <c r="O5791" s="349"/>
      <c r="P5791" s="301"/>
      <c r="S5791" s="364"/>
      <c r="Z5791" s="609" t="s">
        <v>2155</v>
      </c>
      <c r="AA5791" s="609" t="s">
        <v>19</v>
      </c>
    </row>
    <row r="5792" spans="1:27" ht="18">
      <c r="A5792" s="2714"/>
      <c r="B5792" s="371">
        <v>108</v>
      </c>
      <c r="C5792" s="371"/>
      <c r="D5792" s="2716">
        <f t="shared" si="626"/>
        <v>1</v>
      </c>
      <c r="E5792" s="2721">
        <v>1</v>
      </c>
      <c r="F5792" s="371"/>
      <c r="G5792" s="308" t="s">
        <v>5250</v>
      </c>
      <c r="H5792" s="309"/>
      <c r="I5792" s="346"/>
      <c r="J5792" s="301"/>
      <c r="K5792" s="391"/>
      <c r="L5792" s="349"/>
      <c r="M5792" s="301"/>
      <c r="N5792" s="391"/>
      <c r="O5792" s="349"/>
      <c r="P5792" s="301"/>
      <c r="S5792" s="364"/>
      <c r="Z5792" s="609" t="s">
        <v>2155</v>
      </c>
      <c r="AA5792" s="609" t="s">
        <v>19</v>
      </c>
    </row>
    <row r="5793" spans="1:31" ht="18">
      <c r="A5793" s="2714"/>
      <c r="B5793" s="371">
        <v>109</v>
      </c>
      <c r="C5793" s="371"/>
      <c r="D5793" s="2716">
        <f t="shared" si="626"/>
        <v>1</v>
      </c>
      <c r="E5793" s="2721">
        <v>1</v>
      </c>
      <c r="F5793" s="371"/>
      <c r="G5793" s="308" t="s">
        <v>4667</v>
      </c>
      <c r="H5793" s="309"/>
      <c r="I5793" s="346"/>
      <c r="J5793" s="301"/>
      <c r="K5793" s="391"/>
      <c r="L5793" s="349"/>
      <c r="M5793" s="301"/>
      <c r="N5793" s="391"/>
      <c r="O5793" s="349"/>
      <c r="P5793" s="301"/>
      <c r="S5793" s="364"/>
      <c r="Z5793" s="609" t="s">
        <v>2155</v>
      </c>
      <c r="AA5793" s="609" t="s">
        <v>19</v>
      </c>
    </row>
    <row r="5794" spans="1:31" ht="18">
      <c r="A5794" s="2714"/>
      <c r="B5794" s="371">
        <v>110</v>
      </c>
      <c r="C5794" s="371"/>
      <c r="D5794" s="2716">
        <f t="shared" si="626"/>
        <v>1</v>
      </c>
      <c r="E5794" s="2721">
        <v>1</v>
      </c>
      <c r="F5794" s="371"/>
      <c r="G5794" s="308" t="s">
        <v>4668</v>
      </c>
      <c r="H5794" s="309"/>
      <c r="I5794" s="346"/>
      <c r="J5794" s="301"/>
      <c r="K5794" s="391"/>
      <c r="L5794" s="349"/>
      <c r="M5794" s="301"/>
      <c r="N5794" s="391"/>
      <c r="O5794" s="349"/>
      <c r="P5794" s="301"/>
      <c r="S5794" s="364"/>
      <c r="Z5794" s="609" t="s">
        <v>2155</v>
      </c>
      <c r="AA5794" s="609" t="s">
        <v>19</v>
      </c>
    </row>
    <row r="5795" spans="1:31" ht="18">
      <c r="A5795" s="2714"/>
      <c r="B5795" s="371">
        <v>111</v>
      </c>
      <c r="C5795" s="371"/>
      <c r="D5795" s="2716">
        <f t="shared" si="626"/>
        <v>1</v>
      </c>
      <c r="E5795" s="2721">
        <v>1</v>
      </c>
      <c r="F5795" s="371"/>
      <c r="G5795" s="308" t="s">
        <v>4669</v>
      </c>
      <c r="H5795" s="309">
        <f>H5793-H5794</f>
        <v>0</v>
      </c>
      <c r="I5795" s="346">
        <f>I5793-I5794</f>
        <v>0</v>
      </c>
      <c r="J5795" s="301"/>
      <c r="K5795" s="391"/>
      <c r="L5795" s="349"/>
      <c r="M5795" s="301"/>
      <c r="N5795" s="391"/>
      <c r="O5795" s="349"/>
      <c r="P5795" s="301"/>
      <c r="S5795" s="364"/>
      <c r="Z5795" s="609" t="s">
        <v>2155</v>
      </c>
      <c r="AA5795" s="609" t="s">
        <v>19</v>
      </c>
    </row>
    <row r="5796" spans="1:31" ht="18">
      <c r="A5796" s="2714"/>
      <c r="B5796" s="371">
        <v>112</v>
      </c>
      <c r="C5796" s="371"/>
      <c r="D5796" s="2716">
        <f t="shared" si="626"/>
        <v>1</v>
      </c>
      <c r="E5796" s="2721">
        <v>1</v>
      </c>
      <c r="F5796" s="371"/>
      <c r="G5796" s="308" t="s">
        <v>4670</v>
      </c>
      <c r="H5796" s="309">
        <f>H5791+H5792+H5795</f>
        <v>0</v>
      </c>
      <c r="I5796" s="346">
        <f>I5791+I5792+I5795</f>
        <v>0</v>
      </c>
      <c r="J5796" s="301"/>
      <c r="K5796" s="391"/>
      <c r="L5796" s="349"/>
      <c r="M5796" s="301"/>
      <c r="N5796" s="391"/>
      <c r="O5796" s="349"/>
      <c r="P5796" s="301"/>
      <c r="S5796" s="364"/>
      <c r="Z5796" s="609" t="s">
        <v>2155</v>
      </c>
      <c r="AA5796" s="609" t="s">
        <v>19</v>
      </c>
    </row>
    <row r="5797" spans="1:31" ht="24">
      <c r="A5797" s="2714"/>
      <c r="B5797" s="371">
        <v>113</v>
      </c>
      <c r="C5797" s="371"/>
      <c r="D5797" s="2716">
        <f t="shared" si="626"/>
        <v>1</v>
      </c>
      <c r="E5797" s="2721">
        <v>1</v>
      </c>
      <c r="F5797" s="371"/>
      <c r="G5797" s="308" t="s">
        <v>4671</v>
      </c>
      <c r="H5797" s="309"/>
      <c r="I5797" s="346"/>
      <c r="J5797" s="301"/>
      <c r="K5797" s="391"/>
      <c r="L5797" s="349"/>
      <c r="M5797" s="301"/>
      <c r="N5797" s="391"/>
      <c r="O5797" s="349"/>
      <c r="P5797" s="301"/>
      <c r="S5797" s="364"/>
      <c r="Z5797" s="609" t="s">
        <v>2155</v>
      </c>
      <c r="AA5797" s="609" t="s">
        <v>19</v>
      </c>
    </row>
    <row r="5798" spans="1:31" ht="24">
      <c r="A5798" s="2714"/>
      <c r="B5798" s="371">
        <v>114</v>
      </c>
      <c r="C5798" s="371"/>
      <c r="D5798" s="2716">
        <f t="shared" si="626"/>
        <v>1</v>
      </c>
      <c r="E5798" s="2721">
        <v>1</v>
      </c>
      <c r="F5798" s="371"/>
      <c r="G5798" s="308" t="s">
        <v>4672</v>
      </c>
      <c r="H5798" s="309"/>
      <c r="I5798" s="346"/>
      <c r="J5798" s="301"/>
      <c r="K5798" s="391"/>
      <c r="L5798" s="349"/>
      <c r="M5798" s="301"/>
      <c r="N5798" s="391"/>
      <c r="O5798" s="349"/>
      <c r="P5798" s="301"/>
      <c r="S5798" s="364"/>
      <c r="Z5798" s="609" t="s">
        <v>2155</v>
      </c>
      <c r="AA5798" s="609" t="s">
        <v>19</v>
      </c>
    </row>
    <row r="5799" spans="1:31" ht="18">
      <c r="A5799" s="2714"/>
      <c r="B5799" s="371">
        <v>115</v>
      </c>
      <c r="C5799" s="371"/>
      <c r="D5799" s="2716">
        <f t="shared" si="626"/>
        <v>1</v>
      </c>
      <c r="E5799" s="2721">
        <v>1</v>
      </c>
      <c r="F5799" s="371"/>
      <c r="G5799" s="308" t="s">
        <v>4673</v>
      </c>
      <c r="H5799" s="309"/>
      <c r="I5799" s="346"/>
      <c r="J5799" s="301"/>
      <c r="K5799" s="391"/>
      <c r="L5799" s="349"/>
      <c r="M5799" s="301"/>
      <c r="N5799" s="391"/>
      <c r="O5799" s="349"/>
      <c r="P5799" s="301"/>
      <c r="S5799" s="364"/>
      <c r="Z5799" s="609" t="s">
        <v>2155</v>
      </c>
      <c r="AA5799" s="609" t="s">
        <v>19</v>
      </c>
    </row>
    <row r="5800" spans="1:31" ht="18">
      <c r="A5800" s="2714"/>
      <c r="B5800" s="371">
        <v>116</v>
      </c>
      <c r="C5800" s="371"/>
      <c r="D5800" s="2716">
        <f t="shared" si="626"/>
        <v>1</v>
      </c>
      <c r="E5800" s="2721">
        <v>1</v>
      </c>
      <c r="F5800" s="371"/>
      <c r="G5800" s="308" t="s">
        <v>4674</v>
      </c>
      <c r="H5800" s="309"/>
      <c r="I5800" s="346"/>
      <c r="J5800" s="301"/>
      <c r="K5800" s="391"/>
      <c r="L5800" s="349"/>
      <c r="M5800" s="301"/>
      <c r="N5800" s="391"/>
      <c r="O5800" s="349"/>
      <c r="P5800" s="301"/>
      <c r="S5800" s="364"/>
      <c r="Z5800" s="609" t="s">
        <v>2155</v>
      </c>
      <c r="AA5800" s="609" t="s">
        <v>19</v>
      </c>
    </row>
    <row r="5801" spans="1:31" ht="18">
      <c r="A5801" s="2714"/>
      <c r="B5801" s="371">
        <v>117</v>
      </c>
      <c r="C5801" s="371"/>
      <c r="D5801" s="2716">
        <f t="shared" si="626"/>
        <v>1</v>
      </c>
      <c r="E5801" s="2721">
        <v>1</v>
      </c>
      <c r="F5801" s="371"/>
      <c r="G5801" s="308" t="s">
        <v>4675</v>
      </c>
      <c r="H5801" s="309"/>
      <c r="I5801" s="346"/>
      <c r="J5801" s="301"/>
      <c r="K5801" s="391"/>
      <c r="L5801" s="349"/>
      <c r="M5801" s="301"/>
      <c r="N5801" s="391"/>
      <c r="O5801" s="349"/>
      <c r="P5801" s="301"/>
      <c r="S5801" s="364"/>
      <c r="Z5801" s="609" t="s">
        <v>2155</v>
      </c>
      <c r="AA5801" s="609" t="s">
        <v>19</v>
      </c>
    </row>
    <row r="5802" spans="1:31" ht="18">
      <c r="A5802" s="2714"/>
      <c r="B5802" s="371">
        <v>118</v>
      </c>
      <c r="C5802" s="371" t="s">
        <v>2791</v>
      </c>
      <c r="D5802" s="2716">
        <f t="shared" si="626"/>
        <v>0</v>
      </c>
      <c r="E5802" s="2721">
        <v>1</v>
      </c>
      <c r="F5802" s="371"/>
      <c r="G5802" s="319" t="s">
        <v>2792</v>
      </c>
      <c r="H5802" s="309"/>
      <c r="I5802" s="346"/>
      <c r="J5802" s="301"/>
      <c r="K5802" s="391"/>
      <c r="L5802" s="349"/>
      <c r="M5802" s="301"/>
      <c r="N5802" s="391"/>
      <c r="O5802" s="349"/>
      <c r="P5802" s="301"/>
      <c r="S5802" s="364"/>
      <c r="Z5802" s="609" t="s">
        <v>2155</v>
      </c>
      <c r="AA5802" s="609" t="s">
        <v>19</v>
      </c>
    </row>
    <row r="5803" spans="1:31" ht="18.75" thickBot="1">
      <c r="A5803" s="2714"/>
      <c r="B5803" s="371"/>
      <c r="C5803" s="371"/>
      <c r="D5803" s="2716">
        <f t="shared" si="626"/>
        <v>0</v>
      </c>
      <c r="E5803" s="2721" t="s">
        <v>3595</v>
      </c>
      <c r="F5803" s="371"/>
      <c r="G5803" s="2617"/>
      <c r="H5803" s="2485"/>
      <c r="I5803" s="2502"/>
      <c r="J5803" s="301"/>
      <c r="K5803" s="391"/>
      <c r="L5803" s="349"/>
      <c r="M5803" s="301"/>
      <c r="N5803" s="391"/>
      <c r="O5803" s="349"/>
      <c r="P5803" s="301"/>
      <c r="S5803" s="364"/>
      <c r="Z5803" s="609" t="s">
        <v>2155</v>
      </c>
      <c r="AA5803" s="609" t="s">
        <v>19</v>
      </c>
    </row>
    <row r="5804" spans="1:31" ht="18">
      <c r="A5804" s="2714"/>
      <c r="B5804" s="371"/>
      <c r="C5804" s="371" t="s">
        <v>2755</v>
      </c>
      <c r="D5804" s="2716"/>
      <c r="F5804" s="371"/>
      <c r="G5804" s="376"/>
      <c r="H5804" s="315"/>
      <c r="I5804" s="396"/>
      <c r="J5804" s="301"/>
      <c r="K5804" s="391"/>
      <c r="L5804" s="349"/>
      <c r="M5804" s="301"/>
      <c r="N5804" s="391"/>
      <c r="O5804" s="349"/>
      <c r="P5804" s="301"/>
      <c r="S5804" s="364"/>
      <c r="Z5804" s="609" t="s">
        <v>2155</v>
      </c>
      <c r="AA5804" s="609" t="s">
        <v>19</v>
      </c>
    </row>
    <row r="5805" spans="1:31" ht="24" hidden="1">
      <c r="A5805" s="2714" t="s">
        <v>6103</v>
      </c>
      <c r="B5805" s="371">
        <v>1</v>
      </c>
      <c r="C5805" s="371"/>
      <c r="D5805" s="2716" t="str">
        <f>VLOOKUP($A5805,Sheet_NoteList,2,0)</f>
        <v>其他重要事项——终止经营</v>
      </c>
      <c r="E5805" s="2716" t="s">
        <v>6613</v>
      </c>
      <c r="F5805" s="293"/>
      <c r="G5805" s="372" t="str">
        <f>"("&amp;B5805&amp;")"&amp;D5805</f>
        <v>(1)其他重要事项——终止经营</v>
      </c>
      <c r="H5805" s="1517" t="str">
        <f>$A5805</f>
        <v>9367b</v>
      </c>
      <c r="I5805" s="343" t="s">
        <v>6616</v>
      </c>
      <c r="J5805" s="301" t="s">
        <v>6614</v>
      </c>
      <c r="K5805" s="2210">
        <f>H5811</f>
        <v>0</v>
      </c>
      <c r="L5805" s="349"/>
      <c r="M5805" s="301" t="s">
        <v>6618</v>
      </c>
      <c r="N5805" s="2210">
        <f>I5811</f>
        <v>0</v>
      </c>
      <c r="O5805" s="349"/>
      <c r="P5805" s="301"/>
      <c r="S5805" s="364"/>
      <c r="Z5805" s="609" t="s">
        <v>2155</v>
      </c>
      <c r="AA5805" s="609" t="s">
        <v>19</v>
      </c>
      <c r="AE5805" s="369" t="s">
        <v>2761</v>
      </c>
    </row>
    <row r="5806" spans="1:31" ht="0.75" hidden="1" customHeight="1" thickBot="1">
      <c r="A5806" s="2714"/>
      <c r="B5806" s="371"/>
      <c r="C5806" s="371"/>
      <c r="D5806" s="2716"/>
      <c r="E5806" s="586"/>
      <c r="F5806" s="586"/>
      <c r="G5806" s="2224" t="s">
        <v>6104</v>
      </c>
      <c r="H5806" s="1617" t="s">
        <v>6283</v>
      </c>
      <c r="I5806" s="371" t="s">
        <v>6284</v>
      </c>
      <c r="J5806" s="371" t="s">
        <v>6285</v>
      </c>
      <c r="K5806" s="371" t="s">
        <v>6106</v>
      </c>
      <c r="L5806" s="371" t="s">
        <v>6107</v>
      </c>
      <c r="M5806" s="371" t="s">
        <v>6108</v>
      </c>
      <c r="N5806" s="391"/>
      <c r="O5806" s="349"/>
      <c r="P5806" s="301"/>
      <c r="S5806" s="364"/>
      <c r="Z5806" s="609" t="s">
        <v>2155</v>
      </c>
      <c r="AA5806" s="609" t="s">
        <v>19</v>
      </c>
      <c r="AE5806" s="369" t="s">
        <v>2761</v>
      </c>
    </row>
    <row r="5807" spans="1:31" ht="36" hidden="1">
      <c r="A5807" s="2714"/>
      <c r="B5807" s="371"/>
      <c r="C5807" s="371"/>
      <c r="D5807" s="2716"/>
      <c r="E5807" s="586" t="s">
        <v>2749</v>
      </c>
      <c r="F5807" s="414"/>
      <c r="G5807" s="2466" t="s">
        <v>47</v>
      </c>
      <c r="H5807" s="2455" t="s">
        <v>4218</v>
      </c>
      <c r="I5807" s="2455" t="s">
        <v>6105</v>
      </c>
      <c r="J5807" s="2455" t="s">
        <v>861</v>
      </c>
      <c r="K5807" s="2455" t="s">
        <v>717</v>
      </c>
      <c r="L5807" s="2455" t="s">
        <v>871</v>
      </c>
      <c r="M5807" s="2456" t="s">
        <v>6109</v>
      </c>
      <c r="N5807" s="2452" t="s">
        <v>5990</v>
      </c>
      <c r="O5807" s="349"/>
      <c r="P5807" s="301"/>
      <c r="S5807" s="364"/>
      <c r="Z5807" s="609" t="s">
        <v>2155</v>
      </c>
      <c r="AA5807" s="609" t="s">
        <v>19</v>
      </c>
      <c r="AE5807" s="369" t="s">
        <v>2761</v>
      </c>
    </row>
    <row r="5808" spans="1:31" ht="18" hidden="1">
      <c r="A5808" s="2714"/>
      <c r="B5808" s="371">
        <v>101</v>
      </c>
      <c r="C5808" s="371" t="s">
        <v>2791</v>
      </c>
      <c r="D5808" s="2716">
        <f t="shared" ref="D5808:D5811" si="627">IF(OR(G5808="*",G5808="",G5808=0),0,COUNTIF($G$5808:$G$5811,G5808))</f>
        <v>0</v>
      </c>
      <c r="E5808" s="2721">
        <v>1</v>
      </c>
      <c r="F5808" s="293"/>
      <c r="G5808" s="2467" t="s">
        <v>2792</v>
      </c>
      <c r="H5808" s="2275"/>
      <c r="I5808" s="2275"/>
      <c r="J5808" s="2275"/>
      <c r="K5808" s="2275"/>
      <c r="L5808" s="2275"/>
      <c r="M5808" s="2296"/>
      <c r="N5808" s="391"/>
      <c r="O5808" s="349"/>
      <c r="P5808" s="301"/>
      <c r="S5808" s="364"/>
      <c r="Z5808" s="609" t="s">
        <v>2155</v>
      </c>
      <c r="AA5808" s="609" t="s">
        <v>19</v>
      </c>
      <c r="AE5808" s="369" t="s">
        <v>2761</v>
      </c>
    </row>
    <row r="5809" spans="1:31" ht="18" hidden="1">
      <c r="A5809" s="2714"/>
      <c r="B5809" s="371">
        <v>102</v>
      </c>
      <c r="C5809" s="371" t="s">
        <v>2791</v>
      </c>
      <c r="D5809" s="2716">
        <f t="shared" si="627"/>
        <v>0</v>
      </c>
      <c r="E5809" s="2721">
        <v>1</v>
      </c>
      <c r="F5809" s="293"/>
      <c r="G5809" s="2467" t="s">
        <v>2792</v>
      </c>
      <c r="H5809" s="2275"/>
      <c r="I5809" s="2275"/>
      <c r="J5809" s="2275"/>
      <c r="K5809" s="2275"/>
      <c r="L5809" s="2275"/>
      <c r="M5809" s="2296"/>
      <c r="N5809" s="391"/>
      <c r="O5809" s="349"/>
      <c r="P5809" s="301"/>
      <c r="S5809" s="364"/>
      <c r="Z5809" s="609" t="s">
        <v>2155</v>
      </c>
      <c r="AA5809" s="609" t="s">
        <v>19</v>
      </c>
      <c r="AE5809" s="369" t="s">
        <v>2761</v>
      </c>
    </row>
    <row r="5810" spans="1:31" ht="18" hidden="1">
      <c r="A5810" s="2714"/>
      <c r="B5810" s="371">
        <v>103</v>
      </c>
      <c r="C5810" s="371" t="s">
        <v>2791</v>
      </c>
      <c r="D5810" s="2716">
        <f t="shared" si="627"/>
        <v>0</v>
      </c>
      <c r="E5810" s="2721">
        <v>1</v>
      </c>
      <c r="F5810" s="293"/>
      <c r="G5810" s="2467" t="s">
        <v>2792</v>
      </c>
      <c r="H5810" s="2275"/>
      <c r="I5810" s="2275"/>
      <c r="J5810" s="2275"/>
      <c r="K5810" s="2275"/>
      <c r="L5810" s="2275"/>
      <c r="M5810" s="2296"/>
      <c r="N5810" s="391"/>
      <c r="O5810" s="349"/>
      <c r="P5810" s="301"/>
      <c r="S5810" s="364"/>
      <c r="Z5810" s="609" t="s">
        <v>2155</v>
      </c>
      <c r="AA5810" s="609" t="s">
        <v>19</v>
      </c>
      <c r="AE5810" s="369" t="s">
        <v>2761</v>
      </c>
    </row>
    <row r="5811" spans="1:31" ht="18.75" hidden="1" thickBot="1">
      <c r="A5811" s="2714"/>
      <c r="B5811" s="371"/>
      <c r="C5811" s="371"/>
      <c r="D5811" s="2716">
        <f t="shared" si="627"/>
        <v>1</v>
      </c>
      <c r="E5811" s="2721" t="s">
        <v>2751</v>
      </c>
      <c r="F5811" s="293"/>
      <c r="G5811" s="310" t="s">
        <v>2752</v>
      </c>
      <c r="H5811" s="1481">
        <f t="shared" ref="H5811:M5811" si="628">SUMPRODUCT($E5807:$E5810,H5807:H5810)</f>
        <v>0</v>
      </c>
      <c r="I5811" s="1481">
        <f t="shared" si="628"/>
        <v>0</v>
      </c>
      <c r="J5811" s="1481">
        <f t="shared" si="628"/>
        <v>0</v>
      </c>
      <c r="K5811" s="1481">
        <f t="shared" si="628"/>
        <v>0</v>
      </c>
      <c r="L5811" s="1481">
        <f t="shared" si="628"/>
        <v>0</v>
      </c>
      <c r="M5811" s="1482">
        <f t="shared" si="628"/>
        <v>0</v>
      </c>
      <c r="N5811" s="391"/>
      <c r="O5811" s="349"/>
      <c r="P5811" s="301"/>
      <c r="S5811" s="364"/>
      <c r="Z5811" s="609" t="s">
        <v>2155</v>
      </c>
      <c r="AA5811" s="609" t="s">
        <v>19</v>
      </c>
      <c r="AE5811" s="369" t="s">
        <v>2761</v>
      </c>
    </row>
    <row r="5812" spans="1:31" ht="18" hidden="1">
      <c r="A5812" s="2714"/>
      <c r="B5812" s="371"/>
      <c r="C5812" s="371" t="s">
        <v>2755</v>
      </c>
      <c r="D5812" s="2716"/>
      <c r="F5812" s="293"/>
      <c r="G5812" s="376"/>
      <c r="H5812" s="1576"/>
      <c r="I5812" s="396"/>
      <c r="J5812" s="315"/>
      <c r="K5812" s="423"/>
      <c r="L5812" s="315"/>
      <c r="M5812" s="315"/>
      <c r="N5812" s="391"/>
      <c r="O5812" s="349"/>
      <c r="P5812" s="301"/>
      <c r="S5812" s="364"/>
      <c r="Z5812" s="609" t="s">
        <v>2155</v>
      </c>
      <c r="AA5812" s="609" t="s">
        <v>19</v>
      </c>
      <c r="AE5812" s="369" t="s">
        <v>2761</v>
      </c>
    </row>
    <row r="5813" spans="1:31" ht="24">
      <c r="A5813" s="2714">
        <v>9601</v>
      </c>
      <c r="B5813" s="371" t="s">
        <v>6572</v>
      </c>
      <c r="C5813" s="2716" t="str">
        <f>VLOOKUP($A5813,Sheet_Items,2,0)</f>
        <v>当期非经常性损益明细表</v>
      </c>
      <c r="D5813" s="371"/>
      <c r="E5813" s="2716" t="s">
        <v>2739</v>
      </c>
      <c r="F5813" s="294"/>
      <c r="G5813" s="305" t="str">
        <f>B5813&amp;" "&amp;C5813</f>
        <v>十六 1. 当期非经常性损益明细表</v>
      </c>
      <c r="H5813" s="306"/>
      <c r="I5813" s="306"/>
      <c r="J5813" s="306"/>
      <c r="K5813" s="539"/>
      <c r="L5813" s="342"/>
      <c r="M5813" s="306"/>
      <c r="N5813" s="539"/>
      <c r="O5813" s="306"/>
      <c r="P5813" s="301"/>
      <c r="S5813" s="364"/>
      <c r="Z5813" s="609" t="s">
        <v>2182</v>
      </c>
      <c r="AA5813" s="609"/>
    </row>
    <row r="5814" spans="1:31" ht="18">
      <c r="A5814" s="2714" t="s">
        <v>2181</v>
      </c>
      <c r="B5814" s="371">
        <v>1</v>
      </c>
      <c r="C5814" s="371"/>
      <c r="D5814" s="2716" t="str">
        <f>VLOOKUP($A5814,Sheet_NoteList,2,0)</f>
        <v>当期非经常性损益明细表</v>
      </c>
      <c r="E5814" s="2716" t="s">
        <v>2742</v>
      </c>
      <c r="F5814" s="294"/>
      <c r="G5814" s="307" t="str">
        <f>"("&amp;B5814&amp;")"&amp;D5814</f>
        <v>(1)当期非经常性损益明细表</v>
      </c>
      <c r="H5814" s="1517" t="str">
        <f>$A5814</f>
        <v>9601a</v>
      </c>
      <c r="I5814" s="343" t="s">
        <v>2743</v>
      </c>
      <c r="J5814" s="301"/>
      <c r="K5814" s="3086">
        <f>H5844</f>
        <v>0</v>
      </c>
      <c r="L5814" s="315"/>
      <c r="M5814" s="301"/>
      <c r="N5814" s="3086">
        <f>I5844</f>
        <v>0</v>
      </c>
      <c r="O5814" s="315"/>
      <c r="P5814" s="301"/>
      <c r="S5814" s="364"/>
      <c r="Z5814" s="609" t="s">
        <v>2182</v>
      </c>
      <c r="AA5814" s="609"/>
    </row>
    <row r="5815" spans="1:31" ht="0.75" customHeight="1" thickBot="1">
      <c r="A5815" s="2714"/>
      <c r="B5815" s="371"/>
      <c r="C5815" s="371"/>
      <c r="D5815" s="371"/>
      <c r="F5815" s="371"/>
      <c r="G5815" s="371" t="s">
        <v>4676</v>
      </c>
      <c r="H5815" s="371" t="s">
        <v>4223</v>
      </c>
      <c r="I5815" s="371" t="s">
        <v>2928</v>
      </c>
      <c r="J5815" s="371" t="s">
        <v>6321</v>
      </c>
      <c r="M5815" s="291"/>
      <c r="N5815" s="291"/>
      <c r="O5815" s="291"/>
      <c r="P5815" s="291"/>
      <c r="S5815" s="364"/>
      <c r="Z5815" s="609" t="s">
        <v>2182</v>
      </c>
      <c r="AA5815" s="609"/>
    </row>
    <row r="5816" spans="1:31" ht="18">
      <c r="A5816" s="2714"/>
      <c r="B5816" s="371"/>
      <c r="C5816" s="371"/>
      <c r="D5816" s="371"/>
      <c r="E5816" s="2716" t="s">
        <v>2749</v>
      </c>
      <c r="F5816" s="294"/>
      <c r="G5816" s="2498" t="s">
        <v>47</v>
      </c>
      <c r="H5816" s="2499" t="str">
        <f>$V$4</f>
        <v>2019年度</v>
      </c>
      <c r="I5816" s="2499" t="str">
        <f>$V$5</f>
        <v>2018年度</v>
      </c>
      <c r="J5816" s="2500" t="s">
        <v>2758</v>
      </c>
      <c r="K5816" s="355" t="s">
        <v>5353</v>
      </c>
      <c r="M5816" s="291"/>
      <c r="N5816" s="291"/>
      <c r="O5816" s="291"/>
      <c r="P5816" s="291"/>
      <c r="S5816" s="364"/>
      <c r="Z5816" s="609" t="s">
        <v>2182</v>
      </c>
      <c r="AA5816" s="609"/>
    </row>
    <row r="5817" spans="1:31" ht="18">
      <c r="A5817" s="2714"/>
      <c r="B5817" s="371">
        <v>101</v>
      </c>
      <c r="C5817" s="371"/>
      <c r="D5817" s="2716">
        <f t="shared" ref="D5817:D5844" si="629">IF(OR(G5817="*",G5817="",G5817=0),0,COUNTIF($G$5817:$G$5844,G5817))</f>
        <v>1</v>
      </c>
      <c r="E5817" s="2721">
        <v>1</v>
      </c>
      <c r="F5817" s="294"/>
      <c r="G5817" s="308" t="s">
        <v>4677</v>
      </c>
      <c r="H5817" s="309"/>
      <c r="I5817" s="309"/>
      <c r="J5817" s="388"/>
      <c r="K5817" s="626"/>
      <c r="M5817" s="291"/>
      <c r="N5817" s="291"/>
      <c r="O5817" s="291"/>
      <c r="P5817" s="291"/>
      <c r="S5817" s="364"/>
      <c r="Z5817" s="609" t="s">
        <v>2182</v>
      </c>
      <c r="AA5817" s="609"/>
    </row>
    <row r="5818" spans="1:31" ht="36">
      <c r="A5818" s="2714"/>
      <c r="B5818" s="371">
        <v>102</v>
      </c>
      <c r="C5818" s="371"/>
      <c r="D5818" s="2716">
        <f t="shared" si="629"/>
        <v>1</v>
      </c>
      <c r="E5818" s="2721">
        <v>1</v>
      </c>
      <c r="F5818" s="294"/>
      <c r="G5818" s="308" t="s">
        <v>4678</v>
      </c>
      <c r="H5818" s="309"/>
      <c r="I5818" s="309"/>
      <c r="J5818" s="388"/>
      <c r="K5818" s="626"/>
      <c r="M5818" s="291"/>
      <c r="N5818" s="291"/>
      <c r="O5818" s="291"/>
      <c r="P5818" s="291"/>
      <c r="S5818" s="364"/>
      <c r="Z5818" s="609" t="s">
        <v>2182</v>
      </c>
      <c r="AA5818" s="609"/>
    </row>
    <row r="5819" spans="1:31" ht="60">
      <c r="A5819" s="2714"/>
      <c r="B5819" s="371">
        <v>103</v>
      </c>
      <c r="C5819" s="371"/>
      <c r="D5819" s="2716">
        <f t="shared" si="629"/>
        <v>1</v>
      </c>
      <c r="E5819" s="2721">
        <v>1</v>
      </c>
      <c r="F5819" s="294"/>
      <c r="G5819" s="308" t="s">
        <v>4679</v>
      </c>
      <c r="H5819" s="309"/>
      <c r="I5819" s="309"/>
      <c r="J5819" s="388"/>
      <c r="K5819" s="626"/>
      <c r="M5819" s="291"/>
      <c r="N5819" s="291"/>
      <c r="O5819" s="291"/>
      <c r="P5819" s="291"/>
      <c r="S5819" s="364"/>
      <c r="Z5819" s="609" t="s">
        <v>2182</v>
      </c>
      <c r="AA5819" s="609"/>
    </row>
    <row r="5820" spans="1:31" ht="24">
      <c r="A5820" s="2714"/>
      <c r="B5820" s="371">
        <v>104</v>
      </c>
      <c r="C5820" s="371"/>
      <c r="D5820" s="2716">
        <f t="shared" si="629"/>
        <v>1</v>
      </c>
      <c r="E5820" s="2721">
        <v>1</v>
      </c>
      <c r="F5820" s="294"/>
      <c r="G5820" s="308" t="s">
        <v>4680</v>
      </c>
      <c r="H5820" s="309"/>
      <c r="I5820" s="309"/>
      <c r="J5820" s="388"/>
      <c r="K5820" s="626"/>
      <c r="M5820" s="291"/>
      <c r="N5820" s="291"/>
      <c r="O5820" s="291"/>
      <c r="P5820" s="291"/>
      <c r="S5820" s="364"/>
      <c r="Z5820" s="609" t="s">
        <v>2182</v>
      </c>
      <c r="AA5820" s="609"/>
    </row>
    <row r="5821" spans="1:31" ht="48">
      <c r="A5821" s="2714"/>
      <c r="B5821" s="371">
        <v>105</v>
      </c>
      <c r="C5821" s="371"/>
      <c r="D5821" s="2716">
        <f t="shared" si="629"/>
        <v>1</v>
      </c>
      <c r="E5821" s="2721">
        <v>1</v>
      </c>
      <c r="F5821" s="294"/>
      <c r="G5821" s="308" t="s">
        <v>4681</v>
      </c>
      <c r="H5821" s="309"/>
      <c r="I5821" s="309"/>
      <c r="J5821" s="388"/>
      <c r="K5821" s="626"/>
      <c r="M5821" s="291"/>
      <c r="N5821" s="291"/>
      <c r="O5821" s="291"/>
      <c r="P5821" s="291"/>
      <c r="S5821" s="364"/>
      <c r="Z5821" s="609" t="s">
        <v>2182</v>
      </c>
      <c r="AA5821" s="609"/>
    </row>
    <row r="5822" spans="1:31" ht="18">
      <c r="A5822" s="2714"/>
      <c r="B5822" s="371">
        <v>106</v>
      </c>
      <c r="C5822" s="371"/>
      <c r="D5822" s="2716">
        <f t="shared" si="629"/>
        <v>1</v>
      </c>
      <c r="E5822" s="2721">
        <v>1</v>
      </c>
      <c r="F5822" s="294"/>
      <c r="G5822" s="308" t="s">
        <v>4682</v>
      </c>
      <c r="H5822" s="309"/>
      <c r="I5822" s="309"/>
      <c r="J5822" s="388"/>
      <c r="K5822" s="626"/>
      <c r="M5822" s="291"/>
      <c r="N5822" s="291"/>
      <c r="O5822" s="291"/>
      <c r="P5822" s="291"/>
      <c r="S5822" s="364"/>
      <c r="Z5822" s="609" t="s">
        <v>2182</v>
      </c>
      <c r="AA5822" s="609"/>
    </row>
    <row r="5823" spans="1:31" ht="24">
      <c r="A5823" s="2714"/>
      <c r="B5823" s="371">
        <v>107</v>
      </c>
      <c r="C5823" s="371"/>
      <c r="D5823" s="2716">
        <f t="shared" si="629"/>
        <v>1</v>
      </c>
      <c r="E5823" s="2721">
        <v>1</v>
      </c>
      <c r="F5823" s="294"/>
      <c r="G5823" s="308" t="s">
        <v>4683</v>
      </c>
      <c r="H5823" s="309"/>
      <c r="I5823" s="309"/>
      <c r="J5823" s="388"/>
      <c r="K5823" s="626"/>
      <c r="M5823" s="291"/>
      <c r="N5823" s="291"/>
      <c r="O5823" s="291"/>
      <c r="P5823" s="291"/>
      <c r="S5823" s="364"/>
      <c r="Z5823" s="609" t="s">
        <v>2182</v>
      </c>
      <c r="AA5823" s="609"/>
    </row>
    <row r="5824" spans="1:31" ht="36">
      <c r="A5824" s="2714"/>
      <c r="B5824" s="371">
        <v>108</v>
      </c>
      <c r="C5824" s="371"/>
      <c r="D5824" s="2716">
        <f t="shared" si="629"/>
        <v>1</v>
      </c>
      <c r="E5824" s="2721">
        <v>1</v>
      </c>
      <c r="F5824" s="294"/>
      <c r="G5824" s="308" t="s">
        <v>4684</v>
      </c>
      <c r="H5824" s="309"/>
      <c r="I5824" s="309"/>
      <c r="J5824" s="388"/>
      <c r="K5824" s="626"/>
      <c r="M5824" s="291"/>
      <c r="N5824" s="291"/>
      <c r="O5824" s="291"/>
      <c r="P5824" s="291"/>
      <c r="S5824" s="364"/>
      <c r="Z5824" s="609" t="s">
        <v>2182</v>
      </c>
      <c r="AA5824" s="609"/>
    </row>
    <row r="5825" spans="1:27" ht="18">
      <c r="A5825" s="2714"/>
      <c r="B5825" s="371">
        <v>109</v>
      </c>
      <c r="C5825" s="371"/>
      <c r="D5825" s="2716">
        <f t="shared" si="629"/>
        <v>1</v>
      </c>
      <c r="E5825" s="2721">
        <v>1</v>
      </c>
      <c r="F5825" s="294"/>
      <c r="G5825" s="308" t="s">
        <v>4685</v>
      </c>
      <c r="H5825" s="309"/>
      <c r="I5825" s="309"/>
      <c r="J5825" s="388"/>
      <c r="K5825" s="626"/>
      <c r="M5825" s="291"/>
      <c r="N5825" s="291"/>
      <c r="O5825" s="291"/>
      <c r="P5825" s="291"/>
      <c r="S5825" s="364"/>
      <c r="Z5825" s="609" t="s">
        <v>2182</v>
      </c>
      <c r="AA5825" s="609"/>
    </row>
    <row r="5826" spans="1:27" ht="24">
      <c r="A5826" s="2714"/>
      <c r="B5826" s="371">
        <v>110</v>
      </c>
      <c r="C5826" s="371"/>
      <c r="D5826" s="2716">
        <f t="shared" si="629"/>
        <v>1</v>
      </c>
      <c r="E5826" s="2721">
        <v>1</v>
      </c>
      <c r="F5826" s="294"/>
      <c r="G5826" s="308" t="s">
        <v>4686</v>
      </c>
      <c r="H5826" s="309"/>
      <c r="I5826" s="309"/>
      <c r="J5826" s="388"/>
      <c r="K5826" s="626"/>
      <c r="M5826" s="291"/>
      <c r="N5826" s="291"/>
      <c r="O5826" s="291"/>
      <c r="P5826" s="291"/>
      <c r="S5826" s="364"/>
      <c r="Z5826" s="609" t="s">
        <v>2182</v>
      </c>
      <c r="AA5826" s="609"/>
    </row>
    <row r="5827" spans="1:27" ht="24">
      <c r="A5827" s="2714"/>
      <c r="B5827" s="371">
        <v>111</v>
      </c>
      <c r="C5827" s="371"/>
      <c r="D5827" s="2716">
        <f t="shared" si="629"/>
        <v>1</v>
      </c>
      <c r="E5827" s="2721">
        <v>1</v>
      </c>
      <c r="F5827" s="294"/>
      <c r="G5827" s="308" t="s">
        <v>4687</v>
      </c>
      <c r="H5827" s="309"/>
      <c r="I5827" s="309"/>
      <c r="J5827" s="388"/>
      <c r="K5827" s="626"/>
      <c r="M5827" s="291"/>
      <c r="N5827" s="291"/>
      <c r="O5827" s="291"/>
      <c r="P5827" s="291"/>
      <c r="S5827" s="364"/>
      <c r="Z5827" s="609" t="s">
        <v>2182</v>
      </c>
      <c r="AA5827" s="609"/>
    </row>
    <row r="5828" spans="1:27" ht="36">
      <c r="A5828" s="2714"/>
      <c r="B5828" s="371">
        <v>112</v>
      </c>
      <c r="C5828" s="371"/>
      <c r="D5828" s="2716">
        <f t="shared" si="629"/>
        <v>1</v>
      </c>
      <c r="E5828" s="2721">
        <v>1</v>
      </c>
      <c r="F5828" s="294"/>
      <c r="G5828" s="308" t="s">
        <v>4688</v>
      </c>
      <c r="H5828" s="309"/>
      <c r="I5828" s="309"/>
      <c r="J5828" s="388"/>
      <c r="K5828" s="626"/>
      <c r="M5828" s="291"/>
      <c r="N5828" s="291"/>
      <c r="O5828" s="291"/>
      <c r="P5828" s="291"/>
      <c r="S5828" s="364"/>
      <c r="Z5828" s="609" t="s">
        <v>2182</v>
      </c>
      <c r="AA5828" s="609"/>
    </row>
    <row r="5829" spans="1:27" ht="24">
      <c r="A5829" s="2714"/>
      <c r="B5829" s="371">
        <v>113</v>
      </c>
      <c r="C5829" s="371"/>
      <c r="D5829" s="2716">
        <f t="shared" si="629"/>
        <v>1</v>
      </c>
      <c r="E5829" s="2721">
        <v>1</v>
      </c>
      <c r="F5829" s="294"/>
      <c r="G5829" s="308" t="s">
        <v>4689</v>
      </c>
      <c r="H5829" s="309"/>
      <c r="I5829" s="309"/>
      <c r="J5829" s="388"/>
      <c r="K5829" s="626"/>
      <c r="M5829" s="291"/>
      <c r="N5829" s="291"/>
      <c r="O5829" s="291"/>
      <c r="P5829" s="291"/>
      <c r="S5829" s="364"/>
      <c r="Z5829" s="609" t="s">
        <v>2182</v>
      </c>
      <c r="AA5829" s="609"/>
    </row>
    <row r="5830" spans="1:27" ht="108">
      <c r="A5830" s="2714"/>
      <c r="B5830" s="371">
        <v>114</v>
      </c>
      <c r="C5830" s="371"/>
      <c r="D5830" s="2716">
        <f t="shared" si="629"/>
        <v>1</v>
      </c>
      <c r="E5830" s="2721">
        <v>1</v>
      </c>
      <c r="F5830" s="294"/>
      <c r="G5830" s="1474" t="s">
        <v>6148</v>
      </c>
      <c r="H5830" s="309"/>
      <c r="I5830" s="2277">
        <v>0</v>
      </c>
      <c r="J5830" s="388"/>
      <c r="K5830" s="626"/>
      <c r="M5830" s="291"/>
      <c r="N5830" s="291"/>
      <c r="O5830" s="291"/>
      <c r="P5830" s="291"/>
      <c r="S5830" s="364"/>
      <c r="Z5830" s="609" t="s">
        <v>2182</v>
      </c>
      <c r="AA5830" s="609"/>
    </row>
    <row r="5831" spans="1:27" ht="84">
      <c r="A5831" s="2714"/>
      <c r="B5831" s="371">
        <v>115</v>
      </c>
      <c r="C5831" s="371"/>
      <c r="D5831" s="2716">
        <f t="shared" si="629"/>
        <v>1</v>
      </c>
      <c r="E5831" s="2721">
        <v>1</v>
      </c>
      <c r="F5831" s="294"/>
      <c r="G5831" s="308" t="s">
        <v>4690</v>
      </c>
      <c r="H5831" s="2277">
        <v>0</v>
      </c>
      <c r="I5831" s="309"/>
      <c r="J5831" s="388"/>
      <c r="K5831" s="626"/>
      <c r="M5831" s="291"/>
      <c r="N5831" s="291"/>
      <c r="O5831" s="291"/>
      <c r="P5831" s="291"/>
      <c r="S5831" s="364"/>
      <c r="Z5831" s="609" t="s">
        <v>2182</v>
      </c>
      <c r="AA5831" s="609"/>
    </row>
    <row r="5832" spans="1:27" ht="24">
      <c r="A5832" s="2714"/>
      <c r="B5832" s="371">
        <v>116</v>
      </c>
      <c r="C5832" s="371"/>
      <c r="D5832" s="2716">
        <f t="shared" si="629"/>
        <v>1</v>
      </c>
      <c r="E5832" s="2721">
        <v>1</v>
      </c>
      <c r="F5832" s="294"/>
      <c r="G5832" s="308" t="s">
        <v>4691</v>
      </c>
      <c r="H5832" s="309"/>
      <c r="I5832" s="309"/>
      <c r="J5832" s="388"/>
      <c r="K5832" s="626"/>
      <c r="M5832" s="291"/>
      <c r="N5832" s="291"/>
      <c r="O5832" s="291"/>
      <c r="P5832" s="291"/>
      <c r="S5832" s="364"/>
      <c r="Z5832" s="609" t="s">
        <v>2182</v>
      </c>
      <c r="AA5832" s="609"/>
    </row>
    <row r="5833" spans="1:27" ht="18">
      <c r="A5833" s="2714"/>
      <c r="B5833" s="371">
        <v>117</v>
      </c>
      <c r="C5833" s="371"/>
      <c r="D5833" s="2716">
        <f t="shared" si="629"/>
        <v>1</v>
      </c>
      <c r="E5833" s="2721">
        <v>1</v>
      </c>
      <c r="F5833" s="294"/>
      <c r="G5833" s="308" t="s">
        <v>4692</v>
      </c>
      <c r="H5833" s="309"/>
      <c r="I5833" s="309"/>
      <c r="J5833" s="388"/>
      <c r="K5833" s="626"/>
      <c r="M5833" s="291"/>
      <c r="N5833" s="291"/>
      <c r="O5833" s="291"/>
      <c r="P5833" s="291"/>
      <c r="S5833" s="364"/>
      <c r="Z5833" s="609" t="s">
        <v>2182</v>
      </c>
      <c r="AA5833" s="609"/>
    </row>
    <row r="5834" spans="1:27" ht="36">
      <c r="A5834" s="2714"/>
      <c r="B5834" s="371">
        <v>118</v>
      </c>
      <c r="C5834" s="371"/>
      <c r="D5834" s="2716">
        <f t="shared" si="629"/>
        <v>1</v>
      </c>
      <c r="E5834" s="2721">
        <v>1</v>
      </c>
      <c r="F5834" s="294"/>
      <c r="G5834" s="308" t="s">
        <v>4693</v>
      </c>
      <c r="H5834" s="309"/>
      <c r="I5834" s="309"/>
      <c r="J5834" s="388"/>
      <c r="K5834" s="626"/>
      <c r="M5834" s="291"/>
      <c r="N5834" s="291"/>
      <c r="O5834" s="291"/>
      <c r="P5834" s="291"/>
      <c r="S5834" s="364"/>
      <c r="Z5834" s="609" t="s">
        <v>2182</v>
      </c>
      <c r="AA5834" s="609"/>
    </row>
    <row r="5835" spans="1:27" ht="36">
      <c r="A5835" s="2714"/>
      <c r="B5835" s="371">
        <v>119</v>
      </c>
      <c r="C5835" s="371"/>
      <c r="D5835" s="2716">
        <f t="shared" si="629"/>
        <v>1</v>
      </c>
      <c r="E5835" s="2721">
        <v>1</v>
      </c>
      <c r="F5835" s="294"/>
      <c r="G5835" s="308" t="s">
        <v>4694</v>
      </c>
      <c r="H5835" s="309"/>
      <c r="I5835" s="309"/>
      <c r="J5835" s="388"/>
      <c r="K5835" s="626"/>
      <c r="M5835" s="291"/>
      <c r="N5835" s="291"/>
      <c r="O5835" s="291"/>
      <c r="P5835" s="291"/>
      <c r="S5835" s="364"/>
      <c r="Z5835" s="609" t="s">
        <v>2182</v>
      </c>
      <c r="AA5835" s="609"/>
    </row>
    <row r="5836" spans="1:27" ht="18">
      <c r="A5836" s="2714"/>
      <c r="B5836" s="371">
        <v>120</v>
      </c>
      <c r="C5836" s="371"/>
      <c r="D5836" s="2716">
        <f t="shared" si="629"/>
        <v>1</v>
      </c>
      <c r="E5836" s="2721">
        <v>1</v>
      </c>
      <c r="F5836" s="294"/>
      <c r="G5836" s="308" t="s">
        <v>4695</v>
      </c>
      <c r="H5836" s="309"/>
      <c r="I5836" s="309"/>
      <c r="J5836" s="388"/>
      <c r="K5836" s="626"/>
      <c r="M5836" s="291"/>
      <c r="N5836" s="291"/>
      <c r="O5836" s="291"/>
      <c r="P5836" s="291"/>
      <c r="S5836" s="364"/>
      <c r="Z5836" s="609" t="s">
        <v>2182</v>
      </c>
      <c r="AA5836" s="609"/>
    </row>
    <row r="5837" spans="1:27" ht="24">
      <c r="A5837" s="2714"/>
      <c r="B5837" s="371">
        <v>121</v>
      </c>
      <c r="C5837" s="371"/>
      <c r="D5837" s="2716">
        <f t="shared" si="629"/>
        <v>1</v>
      </c>
      <c r="E5837" s="2721">
        <v>1</v>
      </c>
      <c r="F5837" s="294"/>
      <c r="G5837" s="308" t="s">
        <v>4696</v>
      </c>
      <c r="H5837" s="309"/>
      <c r="I5837" s="309"/>
      <c r="J5837" s="388"/>
      <c r="K5837" s="626"/>
      <c r="M5837" s="291"/>
      <c r="N5837" s="291"/>
      <c r="O5837" s="291"/>
      <c r="P5837" s="291"/>
      <c r="S5837" s="364"/>
      <c r="Z5837" s="609" t="s">
        <v>2182</v>
      </c>
      <c r="AA5837" s="609"/>
    </row>
    <row r="5838" spans="1:27" ht="24">
      <c r="A5838" s="2714"/>
      <c r="B5838" s="371">
        <v>122</v>
      </c>
      <c r="C5838" s="371"/>
      <c r="D5838" s="2716">
        <f t="shared" si="629"/>
        <v>1</v>
      </c>
      <c r="E5838" s="2721">
        <v>1</v>
      </c>
      <c r="F5838" s="294"/>
      <c r="G5838" s="308" t="s">
        <v>2185</v>
      </c>
      <c r="H5838" s="309"/>
      <c r="I5838" s="309"/>
      <c r="J5838" s="388"/>
      <c r="K5838" s="626"/>
      <c r="M5838" s="291"/>
      <c r="N5838" s="291"/>
      <c r="O5838" s="291"/>
      <c r="P5838" s="291"/>
      <c r="S5838" s="364"/>
      <c r="Z5838" s="609" t="s">
        <v>2182</v>
      </c>
      <c r="AA5838" s="609"/>
    </row>
    <row r="5839" spans="1:27" ht="18">
      <c r="A5839" s="2714"/>
      <c r="B5839" s="371">
        <v>123</v>
      </c>
      <c r="C5839" s="371" t="s">
        <v>2791</v>
      </c>
      <c r="D5839" s="2716">
        <f t="shared" si="629"/>
        <v>0</v>
      </c>
      <c r="E5839" s="2721">
        <v>1</v>
      </c>
      <c r="F5839" s="294"/>
      <c r="G5839" s="319" t="s">
        <v>2792</v>
      </c>
      <c r="H5839" s="309"/>
      <c r="I5839" s="309"/>
      <c r="J5839" s="388"/>
      <c r="K5839" s="626"/>
      <c r="M5839" s="291"/>
      <c r="N5839" s="291"/>
      <c r="O5839" s="291"/>
      <c r="P5839" s="291"/>
      <c r="S5839" s="364"/>
      <c r="Z5839" s="609" t="s">
        <v>2182</v>
      </c>
      <c r="AA5839" s="609"/>
    </row>
    <row r="5840" spans="1:27" ht="18">
      <c r="A5840" s="2714"/>
      <c r="B5840" s="371">
        <v>124</v>
      </c>
      <c r="C5840" s="371"/>
      <c r="D5840" s="2716">
        <f t="shared" si="629"/>
        <v>1</v>
      </c>
      <c r="E5840" s="2721">
        <v>0</v>
      </c>
      <c r="F5840" s="294"/>
      <c r="G5840" s="308" t="s">
        <v>4697</v>
      </c>
      <c r="H5840" s="309">
        <f>SUM(H5817:H5839)</f>
        <v>0</v>
      </c>
      <c r="I5840" s="309">
        <f>SUM(I5817:I5839)</f>
        <v>0</v>
      </c>
      <c r="J5840" s="388"/>
      <c r="K5840" s="626"/>
      <c r="M5840" s="291"/>
      <c r="N5840" s="291"/>
      <c r="O5840" s="291"/>
      <c r="P5840" s="291"/>
      <c r="S5840" s="364"/>
      <c r="Z5840" s="609" t="s">
        <v>2182</v>
      </c>
      <c r="AA5840" s="609"/>
    </row>
    <row r="5841" spans="1:27" ht="24">
      <c r="A5841" s="2714"/>
      <c r="B5841" s="371">
        <v>126</v>
      </c>
      <c r="C5841" s="371"/>
      <c r="D5841" s="2716">
        <f t="shared" si="629"/>
        <v>1</v>
      </c>
      <c r="E5841" s="2721">
        <v>-1</v>
      </c>
      <c r="F5841" s="294"/>
      <c r="G5841" s="308" t="s">
        <v>4698</v>
      </c>
      <c r="H5841" s="309"/>
      <c r="I5841" s="309"/>
      <c r="J5841" s="388"/>
      <c r="K5841" s="626"/>
      <c r="M5841" s="291"/>
      <c r="N5841" s="291"/>
      <c r="O5841" s="291"/>
      <c r="P5841" s="291"/>
      <c r="S5841" s="364"/>
      <c r="Z5841" s="609" t="s">
        <v>2182</v>
      </c>
      <c r="AA5841" s="609"/>
    </row>
    <row r="5842" spans="1:27" ht="18">
      <c r="A5842" s="2714"/>
      <c r="B5842" s="371">
        <v>127</v>
      </c>
      <c r="C5842" s="371"/>
      <c r="D5842" s="2716">
        <f t="shared" si="629"/>
        <v>1</v>
      </c>
      <c r="E5842" s="2721">
        <v>0</v>
      </c>
      <c r="F5842" s="294"/>
      <c r="G5842" s="308" t="s">
        <v>4699</v>
      </c>
      <c r="H5842" s="309">
        <f>SUM(H5840,-H5841)</f>
        <v>0</v>
      </c>
      <c r="I5842" s="309">
        <f>SUM(I5840,-I5841)</f>
        <v>0</v>
      </c>
      <c r="J5842" s="388"/>
      <c r="K5842" s="626"/>
      <c r="M5842" s="291"/>
      <c r="N5842" s="291"/>
      <c r="O5842" s="291"/>
      <c r="P5842" s="291"/>
      <c r="S5842" s="364"/>
      <c r="Z5842" s="609" t="s">
        <v>2182</v>
      </c>
      <c r="AA5842" s="609"/>
    </row>
    <row r="5843" spans="1:27" ht="24">
      <c r="A5843" s="2714"/>
      <c r="B5843" s="371">
        <v>128</v>
      </c>
      <c r="C5843" s="371"/>
      <c r="D5843" s="2716">
        <f t="shared" si="629"/>
        <v>1</v>
      </c>
      <c r="E5843" s="2721">
        <v>-1</v>
      </c>
      <c r="F5843" s="294"/>
      <c r="G5843" s="308" t="s">
        <v>4700</v>
      </c>
      <c r="H5843" s="309"/>
      <c r="I5843" s="309"/>
      <c r="J5843" s="388"/>
      <c r="K5843" s="626"/>
      <c r="M5843" s="291"/>
      <c r="N5843" s="291"/>
      <c r="O5843" s="291"/>
      <c r="P5843" s="291"/>
      <c r="S5843" s="364"/>
      <c r="Z5843" s="609" t="s">
        <v>2182</v>
      </c>
      <c r="AA5843" s="609"/>
    </row>
    <row r="5844" spans="1:27" ht="24.75" thickBot="1">
      <c r="A5844" s="2714"/>
      <c r="B5844" s="371"/>
      <c r="C5844" s="371"/>
      <c r="D5844" s="2716">
        <f t="shared" si="629"/>
        <v>1</v>
      </c>
      <c r="E5844" s="2721" t="s">
        <v>3032</v>
      </c>
      <c r="F5844" s="294"/>
      <c r="G5844" s="2234" t="s">
        <v>4701</v>
      </c>
      <c r="H5844" s="2325">
        <f>SUMPRODUCT($E5816:$E5843,H5816:H5843)</f>
        <v>0</v>
      </c>
      <c r="I5844" s="2325">
        <f>SUMPRODUCT($E5816:$E5843,I5816:I5843)</f>
        <v>0</v>
      </c>
      <c r="J5844" s="2505"/>
      <c r="M5844" s="291"/>
      <c r="N5844" s="291"/>
      <c r="O5844" s="291"/>
      <c r="P5844" s="291"/>
      <c r="S5844" s="364"/>
      <c r="Z5844" s="609" t="s">
        <v>2182</v>
      </c>
      <c r="AA5844" s="609"/>
    </row>
    <row r="5845" spans="1:27" ht="18">
      <c r="A5845" s="2714"/>
      <c r="B5845" s="371"/>
      <c r="C5845" s="371" t="s">
        <v>2755</v>
      </c>
      <c r="D5845" s="371"/>
      <c r="F5845" s="294"/>
      <c r="G5845" s="301"/>
      <c r="H5845" s="315"/>
      <c r="I5845" s="315"/>
      <c r="J5845" s="393"/>
      <c r="K5845" s="349"/>
      <c r="L5845" s="350"/>
      <c r="M5845" s="291"/>
      <c r="N5845" s="291"/>
      <c r="O5845" s="291"/>
      <c r="P5845" s="291"/>
      <c r="S5845" s="364"/>
      <c r="Z5845" s="609" t="s">
        <v>2182</v>
      </c>
      <c r="AA5845" s="609"/>
    </row>
    <row r="5846" spans="1:27" ht="60">
      <c r="A5846" s="2714" t="s">
        <v>2187</v>
      </c>
      <c r="B5846" s="371">
        <v>2</v>
      </c>
      <c r="C5846" s="371"/>
      <c r="D5846" s="2716" t="str">
        <f>VLOOKUP($A5846,Sheet_NoteList,2,0)</f>
        <v>将《公开发行证券的公司信息披露解释性公告第1号——非经常性损益》中列举的非经常性损益项目界定为经常性损益的项目及原因</v>
      </c>
      <c r="E5846" s="2716" t="s">
        <v>2742</v>
      </c>
      <c r="F5846" s="294"/>
      <c r="G5846" s="372" t="str">
        <f>"("&amp;B5846&amp;")"&amp;D5846</f>
        <v>(2)将《公开发行证券的公司信息披露解释性公告第1号——非经常性损益》中列举的非经常性损益项目界定为经常性损益的项目及原因</v>
      </c>
      <c r="H5846" s="1517" t="str">
        <f>$A5846</f>
        <v>9601c</v>
      </c>
      <c r="I5846" s="343" t="s">
        <v>2743</v>
      </c>
      <c r="J5846" s="301"/>
      <c r="K5846" s="3083"/>
      <c r="L5846" s="315"/>
      <c r="M5846" s="301"/>
      <c r="N5846" s="3083"/>
      <c r="O5846" s="315"/>
      <c r="P5846" s="301"/>
      <c r="S5846" s="364"/>
      <c r="Z5846" s="609" t="s">
        <v>2182</v>
      </c>
      <c r="AA5846" s="609"/>
    </row>
    <row r="5847" spans="1:27" ht="0.75" customHeight="1" thickBot="1">
      <c r="A5847" s="2714"/>
      <c r="B5847" s="371"/>
      <c r="C5847" s="371"/>
      <c r="D5847" s="371"/>
      <c r="F5847" s="371"/>
      <c r="G5847" s="371" t="s">
        <v>4702</v>
      </c>
      <c r="H5847" s="371" t="s">
        <v>4703</v>
      </c>
      <c r="I5847" s="371" t="s">
        <v>4704</v>
      </c>
      <c r="M5847" s="291"/>
      <c r="N5847" s="291"/>
      <c r="O5847" s="291"/>
      <c r="P5847" s="291"/>
      <c r="S5847" s="364"/>
      <c r="Z5847" s="609" t="s">
        <v>2182</v>
      </c>
      <c r="AA5847" s="609"/>
    </row>
    <row r="5848" spans="1:27" ht="18">
      <c r="A5848" s="2714"/>
      <c r="B5848" s="371"/>
      <c r="C5848" s="371"/>
      <c r="D5848" s="371"/>
      <c r="E5848" s="2716" t="s">
        <v>2749</v>
      </c>
      <c r="F5848" s="294"/>
      <c r="G5848" s="2498" t="s">
        <v>47</v>
      </c>
      <c r="H5848" s="2499" t="s">
        <v>4705</v>
      </c>
      <c r="I5848" s="2500" t="s">
        <v>4660</v>
      </c>
      <c r="J5848" s="355" t="s">
        <v>5353</v>
      </c>
      <c r="M5848" s="291"/>
      <c r="N5848" s="291"/>
      <c r="O5848" s="291"/>
      <c r="P5848" s="291"/>
      <c r="S5848" s="364"/>
      <c r="Z5848" s="609" t="s">
        <v>2182</v>
      </c>
      <c r="AA5848" s="609"/>
    </row>
    <row r="5849" spans="1:27" ht="18">
      <c r="A5849" s="2714"/>
      <c r="B5849" s="371">
        <v>101</v>
      </c>
      <c r="C5849" s="371" t="s">
        <v>2791</v>
      </c>
      <c r="D5849" s="2716">
        <f t="shared" ref="D5849:D5854" si="630">IF(OR(G5849="*",G5849="",G5849=0),0,COUNTIF($G$5849:$G$5854,G5849))</f>
        <v>0</v>
      </c>
      <c r="E5849" s="2721">
        <v>1</v>
      </c>
      <c r="F5849" s="294"/>
      <c r="G5849" s="319" t="s">
        <v>2792</v>
      </c>
      <c r="H5849" s="309"/>
      <c r="I5849" s="388"/>
      <c r="M5849" s="291"/>
      <c r="N5849" s="291"/>
      <c r="O5849" s="291"/>
      <c r="P5849" s="291"/>
      <c r="S5849" s="364"/>
      <c r="Z5849" s="609" t="s">
        <v>2182</v>
      </c>
      <c r="AA5849" s="609"/>
    </row>
    <row r="5850" spans="1:27" ht="18">
      <c r="A5850" s="2714"/>
      <c r="B5850" s="371">
        <v>102</v>
      </c>
      <c r="C5850" s="371" t="s">
        <v>2791</v>
      </c>
      <c r="D5850" s="2716">
        <f t="shared" si="630"/>
        <v>0</v>
      </c>
      <c r="E5850" s="2721">
        <v>1</v>
      </c>
      <c r="F5850" s="294"/>
      <c r="G5850" s="319" t="s">
        <v>2792</v>
      </c>
      <c r="H5850" s="309"/>
      <c r="I5850" s="388"/>
      <c r="M5850" s="291"/>
      <c r="N5850" s="291"/>
      <c r="O5850" s="291"/>
      <c r="P5850" s="291"/>
      <c r="S5850" s="364"/>
      <c r="Z5850" s="609" t="s">
        <v>2182</v>
      </c>
      <c r="AA5850" s="609"/>
    </row>
    <row r="5851" spans="1:27" ht="18">
      <c r="A5851" s="2714"/>
      <c r="B5851" s="371">
        <v>103</v>
      </c>
      <c r="C5851" s="371" t="s">
        <v>2791</v>
      </c>
      <c r="D5851" s="2716">
        <f t="shared" si="630"/>
        <v>0</v>
      </c>
      <c r="E5851" s="2721">
        <v>1</v>
      </c>
      <c r="F5851" s="294"/>
      <c r="G5851" s="319" t="s">
        <v>2792</v>
      </c>
      <c r="H5851" s="309"/>
      <c r="I5851" s="388"/>
      <c r="M5851" s="291"/>
      <c r="N5851" s="291"/>
      <c r="O5851" s="291"/>
      <c r="P5851" s="291"/>
      <c r="S5851" s="364"/>
      <c r="Z5851" s="609" t="s">
        <v>2182</v>
      </c>
      <c r="AA5851" s="609"/>
    </row>
    <row r="5852" spans="1:27" ht="18">
      <c r="A5852" s="2714"/>
      <c r="B5852" s="371">
        <v>104</v>
      </c>
      <c r="C5852" s="371" t="s">
        <v>2791</v>
      </c>
      <c r="D5852" s="2716">
        <f t="shared" si="630"/>
        <v>0</v>
      </c>
      <c r="E5852" s="2721">
        <v>1</v>
      </c>
      <c r="F5852" s="294"/>
      <c r="G5852" s="319" t="s">
        <v>2792</v>
      </c>
      <c r="H5852" s="309"/>
      <c r="I5852" s="388"/>
      <c r="M5852" s="291"/>
      <c r="N5852" s="291"/>
      <c r="O5852" s="291"/>
      <c r="P5852" s="291"/>
      <c r="S5852" s="364"/>
      <c r="Z5852" s="609" t="s">
        <v>2182</v>
      </c>
      <c r="AA5852" s="609"/>
    </row>
    <row r="5853" spans="1:27" ht="18">
      <c r="A5853" s="2714"/>
      <c r="B5853" s="371">
        <v>105</v>
      </c>
      <c r="C5853" s="371" t="s">
        <v>2791</v>
      </c>
      <c r="D5853" s="2716">
        <f t="shared" si="630"/>
        <v>0</v>
      </c>
      <c r="E5853" s="2721">
        <v>1</v>
      </c>
      <c r="F5853" s="294"/>
      <c r="G5853" s="319" t="s">
        <v>2792</v>
      </c>
      <c r="H5853" s="309"/>
      <c r="I5853" s="388"/>
      <c r="M5853" s="291"/>
      <c r="N5853" s="291"/>
      <c r="O5853" s="291"/>
      <c r="P5853" s="291"/>
      <c r="S5853" s="364"/>
      <c r="Z5853" s="609" t="s">
        <v>2182</v>
      </c>
      <c r="AA5853" s="609"/>
    </row>
    <row r="5854" spans="1:27" ht="18.75" thickBot="1">
      <c r="A5854" s="2714"/>
      <c r="B5854" s="371"/>
      <c r="C5854" s="371"/>
      <c r="D5854" s="2716">
        <f t="shared" si="630"/>
        <v>1</v>
      </c>
      <c r="E5854" s="2721" t="s">
        <v>3032</v>
      </c>
      <c r="F5854" s="294"/>
      <c r="G5854" s="2506" t="s">
        <v>2752</v>
      </c>
      <c r="H5854" s="2485">
        <f>SUMPRODUCT($E5848:$E5853,H5848:H5853)</f>
        <v>0</v>
      </c>
      <c r="I5854" s="2505"/>
      <c r="M5854" s="291"/>
      <c r="N5854" s="291"/>
      <c r="O5854" s="291"/>
      <c r="P5854" s="291"/>
      <c r="S5854" s="364"/>
      <c r="Z5854" s="609" t="s">
        <v>2182</v>
      </c>
      <c r="AA5854" s="609"/>
    </row>
    <row r="5855" spans="1:27" ht="18">
      <c r="A5855" s="2714"/>
      <c r="B5855" s="371"/>
      <c r="C5855" s="371" t="s">
        <v>2755</v>
      </c>
      <c r="D5855" s="371"/>
      <c r="F5855" s="294"/>
      <c r="G5855" s="301"/>
      <c r="H5855" s="315"/>
      <c r="I5855" s="393"/>
      <c r="J5855" s="349"/>
      <c r="K5855" s="349"/>
      <c r="L5855" s="350"/>
      <c r="M5855" s="291"/>
      <c r="N5855" s="291"/>
      <c r="O5855" s="291"/>
      <c r="P5855" s="291"/>
      <c r="S5855" s="364"/>
      <c r="Z5855" s="609" t="s">
        <v>2182</v>
      </c>
      <c r="AA5855" s="609"/>
    </row>
    <row r="5856" spans="1:27" ht="24">
      <c r="A5856" s="2714" t="s">
        <v>2184</v>
      </c>
      <c r="B5856" s="371">
        <v>3</v>
      </c>
      <c r="C5856" s="371"/>
      <c r="D5856" s="2716" t="str">
        <f>VLOOKUP($A5856,Sheet_NoteList,2,0)</f>
        <v>其他符合非经常性损益定义的损益项目</v>
      </c>
      <c r="E5856" s="2716" t="s">
        <v>6531</v>
      </c>
      <c r="F5856" s="294"/>
      <c r="G5856" s="372" t="str">
        <f>"("&amp;B5856&amp;")"&amp;D5856</f>
        <v>(3)其他符合非经常性损益定义的损益项目</v>
      </c>
      <c r="H5856" s="1517" t="str">
        <f>$A5856</f>
        <v>9601b</v>
      </c>
      <c r="I5856" s="343" t="s">
        <v>5980</v>
      </c>
      <c r="J5856" s="301"/>
      <c r="K5856" s="3083"/>
      <c r="L5856" s="315"/>
      <c r="M5856" s="301"/>
      <c r="N5856" s="3083"/>
      <c r="O5856" s="315"/>
      <c r="P5856" s="301"/>
      <c r="S5856" s="364"/>
      <c r="Z5856" s="609" t="s">
        <v>2182</v>
      </c>
      <c r="AA5856" s="609"/>
    </row>
    <row r="5857" spans="1:27" ht="0.75" customHeight="1" thickBot="1">
      <c r="A5857" s="2714"/>
      <c r="B5857" s="371"/>
      <c r="C5857" s="371"/>
      <c r="D5857" s="371"/>
      <c r="E5857" s="586"/>
      <c r="F5857" s="586"/>
      <c r="G5857" s="586" t="s">
        <v>4706</v>
      </c>
      <c r="H5857" s="371" t="s">
        <v>4703</v>
      </c>
      <c r="I5857" s="371" t="s">
        <v>4704</v>
      </c>
      <c r="M5857" s="291"/>
      <c r="N5857" s="291"/>
      <c r="O5857" s="291"/>
      <c r="P5857" s="291"/>
      <c r="S5857" s="364"/>
      <c r="Z5857" s="609" t="s">
        <v>2182</v>
      </c>
      <c r="AA5857" s="609"/>
    </row>
    <row r="5858" spans="1:27" ht="18">
      <c r="A5858" s="2714"/>
      <c r="B5858" s="371"/>
      <c r="C5858" s="371"/>
      <c r="D5858" s="371"/>
      <c r="E5858" s="586" t="s">
        <v>2749</v>
      </c>
      <c r="F5858" s="363"/>
      <c r="G5858" s="2458" t="s">
        <v>47</v>
      </c>
      <c r="H5858" s="2459" t="s">
        <v>4705</v>
      </c>
      <c r="I5858" s="2460" t="s">
        <v>4660</v>
      </c>
      <c r="M5858" s="291"/>
      <c r="N5858" s="291"/>
      <c r="O5858" s="291"/>
      <c r="P5858" s="291"/>
      <c r="S5858" s="364"/>
      <c r="Z5858" s="609" t="s">
        <v>2182</v>
      </c>
      <c r="AA5858" s="609"/>
    </row>
    <row r="5859" spans="1:27" ht="18">
      <c r="A5859" s="2714"/>
      <c r="B5859" s="371">
        <v>101</v>
      </c>
      <c r="C5859" s="371" t="s">
        <v>2791</v>
      </c>
      <c r="D5859" s="2716">
        <f t="shared" ref="D5859:D5864" si="631">IF(OR(G5859="*",G5859="",G5859=0),0,COUNTIF($G$5859:$G$5864,G5859))</f>
        <v>0</v>
      </c>
      <c r="E5859" s="2721">
        <v>1</v>
      </c>
      <c r="F5859" s="294"/>
      <c r="G5859" s="2467" t="s">
        <v>2792</v>
      </c>
      <c r="H5859" s="2275"/>
      <c r="I5859" s="2276"/>
      <c r="M5859" s="291"/>
      <c r="N5859" s="291"/>
      <c r="O5859" s="291"/>
      <c r="P5859" s="291"/>
      <c r="S5859" s="364"/>
      <c r="Z5859" s="609" t="s">
        <v>2182</v>
      </c>
      <c r="AA5859" s="609"/>
    </row>
    <row r="5860" spans="1:27" ht="18">
      <c r="A5860" s="2714"/>
      <c r="B5860" s="371">
        <v>102</v>
      </c>
      <c r="C5860" s="371" t="s">
        <v>2791</v>
      </c>
      <c r="D5860" s="2716">
        <f t="shared" si="631"/>
        <v>0</v>
      </c>
      <c r="E5860" s="2721">
        <v>1</v>
      </c>
      <c r="F5860" s="294"/>
      <c r="G5860" s="2467" t="s">
        <v>2792</v>
      </c>
      <c r="H5860" s="2275"/>
      <c r="I5860" s="2276"/>
      <c r="M5860" s="291"/>
      <c r="N5860" s="291"/>
      <c r="O5860" s="291"/>
      <c r="P5860" s="291"/>
      <c r="S5860" s="364"/>
      <c r="Z5860" s="609" t="s">
        <v>2182</v>
      </c>
      <c r="AA5860" s="609"/>
    </row>
    <row r="5861" spans="1:27" ht="18">
      <c r="A5861" s="2714"/>
      <c r="B5861" s="371">
        <v>103</v>
      </c>
      <c r="C5861" s="371" t="s">
        <v>2791</v>
      </c>
      <c r="D5861" s="2716">
        <f t="shared" si="631"/>
        <v>0</v>
      </c>
      <c r="E5861" s="2721">
        <v>1</v>
      </c>
      <c r="F5861" s="294"/>
      <c r="G5861" s="2467" t="s">
        <v>2792</v>
      </c>
      <c r="H5861" s="2275"/>
      <c r="I5861" s="2276"/>
      <c r="M5861" s="291"/>
      <c r="N5861" s="291"/>
      <c r="O5861" s="291"/>
      <c r="P5861" s="291"/>
      <c r="S5861" s="364"/>
      <c r="Z5861" s="609" t="s">
        <v>2182</v>
      </c>
      <c r="AA5861" s="609"/>
    </row>
    <row r="5862" spans="1:27" ht="18">
      <c r="A5862" s="2714"/>
      <c r="B5862" s="371">
        <v>104</v>
      </c>
      <c r="C5862" s="371" t="s">
        <v>2791</v>
      </c>
      <c r="D5862" s="2716">
        <f t="shared" si="631"/>
        <v>0</v>
      </c>
      <c r="E5862" s="2721">
        <v>1</v>
      </c>
      <c r="F5862" s="294"/>
      <c r="G5862" s="2467" t="s">
        <v>2792</v>
      </c>
      <c r="H5862" s="2275"/>
      <c r="I5862" s="2276"/>
      <c r="M5862" s="291"/>
      <c r="N5862" s="291"/>
      <c r="O5862" s="291"/>
      <c r="P5862" s="291"/>
      <c r="S5862" s="364"/>
      <c r="Z5862" s="609" t="s">
        <v>2182</v>
      </c>
      <c r="AA5862" s="609"/>
    </row>
    <row r="5863" spans="1:27" ht="18">
      <c r="A5863" s="2714"/>
      <c r="B5863" s="371">
        <v>105</v>
      </c>
      <c r="C5863" s="371" t="s">
        <v>2791</v>
      </c>
      <c r="D5863" s="2716">
        <f t="shared" si="631"/>
        <v>0</v>
      </c>
      <c r="E5863" s="2721">
        <v>1</v>
      </c>
      <c r="F5863" s="294"/>
      <c r="G5863" s="2467" t="s">
        <v>2792</v>
      </c>
      <c r="H5863" s="2275"/>
      <c r="I5863" s="2276"/>
      <c r="M5863" s="291"/>
      <c r="N5863" s="291"/>
      <c r="O5863" s="291"/>
      <c r="P5863" s="291"/>
      <c r="S5863" s="364"/>
      <c r="Z5863" s="609" t="s">
        <v>2182</v>
      </c>
      <c r="AA5863" s="609"/>
    </row>
    <row r="5864" spans="1:27" ht="18.75" thickBot="1">
      <c r="A5864" s="2714"/>
      <c r="B5864" s="371"/>
      <c r="C5864" s="371"/>
      <c r="D5864" s="2716">
        <f t="shared" si="631"/>
        <v>1</v>
      </c>
      <c r="E5864" s="2721" t="s">
        <v>3032</v>
      </c>
      <c r="F5864" s="294"/>
      <c r="G5864" s="1529" t="s">
        <v>2752</v>
      </c>
      <c r="H5864" s="1527">
        <f>SUMPRODUCT($E5858:$E5863,H5858:H5863)</f>
        <v>0</v>
      </c>
      <c r="I5864" s="2266"/>
      <c r="M5864" s="291"/>
      <c r="N5864" s="291"/>
      <c r="O5864" s="291"/>
      <c r="P5864" s="291"/>
      <c r="S5864" s="364"/>
      <c r="Z5864" s="609" t="s">
        <v>2182</v>
      </c>
      <c r="AA5864" s="609"/>
    </row>
    <row r="5865" spans="1:27" ht="18">
      <c r="A5865" s="2714"/>
      <c r="B5865" s="371"/>
      <c r="C5865" s="371" t="s">
        <v>2755</v>
      </c>
      <c r="D5865" s="371"/>
      <c r="F5865" s="294"/>
      <c r="G5865" s="301"/>
      <c r="H5865" s="315"/>
      <c r="I5865" s="393"/>
      <c r="J5865" s="349"/>
      <c r="K5865" s="349"/>
      <c r="L5865" s="350"/>
      <c r="M5865" s="291"/>
      <c r="N5865" s="291"/>
      <c r="O5865" s="291"/>
      <c r="P5865" s="291"/>
      <c r="S5865" s="364"/>
      <c r="Z5865" s="609" t="s">
        <v>2182</v>
      </c>
      <c r="AA5865" s="609"/>
    </row>
    <row r="5866" spans="1:27" ht="24">
      <c r="A5866" s="2714" t="s">
        <v>2190</v>
      </c>
      <c r="B5866" s="371">
        <v>4</v>
      </c>
      <c r="C5866" s="371"/>
      <c r="D5866" s="2716" t="str">
        <f>VLOOKUP($A5866,Sheet_NoteList,2,0)</f>
        <v>报告年度不再作为非经常性损益列报的项目</v>
      </c>
      <c r="E5866" s="2716" t="s">
        <v>6531</v>
      </c>
      <c r="F5866" s="294"/>
      <c r="G5866" s="372" t="str">
        <f>"("&amp;B5866&amp;")"&amp;D5866</f>
        <v>(4)报告年度不再作为非经常性损益列报的项目</v>
      </c>
      <c r="H5866" s="1517" t="str">
        <f>$A5866</f>
        <v>9601d</v>
      </c>
      <c r="I5866" s="343" t="s">
        <v>5977</v>
      </c>
      <c r="J5866" s="301"/>
      <c r="K5866" s="3083"/>
      <c r="L5866" s="315"/>
      <c r="M5866" s="301"/>
      <c r="N5866" s="3083"/>
      <c r="O5866" s="315"/>
      <c r="P5866" s="301"/>
      <c r="S5866" s="364"/>
      <c r="Z5866" s="609" t="s">
        <v>2182</v>
      </c>
      <c r="AA5866" s="609"/>
    </row>
    <row r="5867" spans="1:27" ht="0.75" customHeight="1" thickBot="1">
      <c r="A5867" s="2714"/>
      <c r="B5867" s="371"/>
      <c r="C5867" s="371"/>
      <c r="D5867" s="371"/>
      <c r="E5867" s="586"/>
      <c r="F5867" s="586"/>
      <c r="G5867" s="586" t="s">
        <v>4707</v>
      </c>
      <c r="H5867" s="371" t="s">
        <v>4703</v>
      </c>
      <c r="I5867" s="371" t="s">
        <v>4704</v>
      </c>
      <c r="M5867" s="291"/>
      <c r="N5867" s="291"/>
      <c r="O5867" s="291"/>
      <c r="P5867" s="291"/>
      <c r="S5867" s="364"/>
      <c r="Z5867" s="609" t="s">
        <v>2182</v>
      </c>
      <c r="AA5867" s="609"/>
    </row>
    <row r="5868" spans="1:27" ht="18">
      <c r="A5868" s="2714"/>
      <c r="B5868" s="371"/>
      <c r="C5868" s="371"/>
      <c r="D5868" s="371"/>
      <c r="E5868" s="586" t="s">
        <v>2749</v>
      </c>
      <c r="F5868" s="363"/>
      <c r="G5868" s="2458" t="s">
        <v>47</v>
      </c>
      <c r="H5868" s="2459" t="s">
        <v>4705</v>
      </c>
      <c r="I5868" s="2460" t="s">
        <v>4660</v>
      </c>
      <c r="M5868" s="291"/>
      <c r="N5868" s="291"/>
      <c r="O5868" s="291"/>
      <c r="P5868" s="291"/>
      <c r="S5868" s="364"/>
      <c r="Z5868" s="609" t="s">
        <v>2182</v>
      </c>
      <c r="AA5868" s="609"/>
    </row>
    <row r="5869" spans="1:27" ht="18">
      <c r="A5869" s="2714"/>
      <c r="B5869" s="371">
        <v>101</v>
      </c>
      <c r="C5869" s="371" t="s">
        <v>2791</v>
      </c>
      <c r="D5869" s="2716">
        <f t="shared" ref="D5869:D5874" si="632">IF(OR(G5869="*",G5869="",G5869=0),0,COUNTIF($G$5869:$G$5874,G5869))</f>
        <v>0</v>
      </c>
      <c r="E5869" s="2721">
        <v>1</v>
      </c>
      <c r="F5869" s="294"/>
      <c r="G5869" s="2467" t="s">
        <v>2792</v>
      </c>
      <c r="H5869" s="2275"/>
      <c r="I5869" s="2276"/>
      <c r="M5869" s="291"/>
      <c r="N5869" s="291"/>
      <c r="O5869" s="291"/>
      <c r="P5869" s="291"/>
      <c r="S5869" s="364"/>
      <c r="Z5869" s="609" t="s">
        <v>2182</v>
      </c>
      <c r="AA5869" s="609"/>
    </row>
    <row r="5870" spans="1:27" ht="18">
      <c r="A5870" s="2714"/>
      <c r="B5870" s="371">
        <v>102</v>
      </c>
      <c r="C5870" s="371" t="s">
        <v>2791</v>
      </c>
      <c r="D5870" s="2716">
        <f t="shared" si="632"/>
        <v>0</v>
      </c>
      <c r="E5870" s="2721">
        <v>1</v>
      </c>
      <c r="F5870" s="294"/>
      <c r="G5870" s="2467" t="s">
        <v>2792</v>
      </c>
      <c r="H5870" s="2275"/>
      <c r="I5870" s="2276"/>
      <c r="M5870" s="291"/>
      <c r="N5870" s="291"/>
      <c r="O5870" s="291"/>
      <c r="P5870" s="291"/>
      <c r="S5870" s="364"/>
      <c r="Z5870" s="609" t="s">
        <v>2182</v>
      </c>
      <c r="AA5870" s="609"/>
    </row>
    <row r="5871" spans="1:27" ht="18">
      <c r="A5871" s="2714"/>
      <c r="B5871" s="371">
        <v>103</v>
      </c>
      <c r="C5871" s="371" t="s">
        <v>2791</v>
      </c>
      <c r="D5871" s="2716">
        <f t="shared" si="632"/>
        <v>0</v>
      </c>
      <c r="E5871" s="2721">
        <v>1</v>
      </c>
      <c r="F5871" s="294"/>
      <c r="G5871" s="2467" t="s">
        <v>2792</v>
      </c>
      <c r="H5871" s="2275"/>
      <c r="I5871" s="2276"/>
      <c r="M5871" s="291"/>
      <c r="N5871" s="291"/>
      <c r="O5871" s="291"/>
      <c r="P5871" s="291"/>
      <c r="S5871" s="364"/>
      <c r="Z5871" s="609" t="s">
        <v>2182</v>
      </c>
      <c r="AA5871" s="609"/>
    </row>
    <row r="5872" spans="1:27" ht="18">
      <c r="A5872" s="2714"/>
      <c r="B5872" s="371">
        <v>104</v>
      </c>
      <c r="C5872" s="371" t="s">
        <v>2791</v>
      </c>
      <c r="D5872" s="2716">
        <f t="shared" si="632"/>
        <v>0</v>
      </c>
      <c r="E5872" s="2721">
        <v>1</v>
      </c>
      <c r="F5872" s="294"/>
      <c r="G5872" s="2467" t="s">
        <v>2792</v>
      </c>
      <c r="H5872" s="2275"/>
      <c r="I5872" s="2276"/>
      <c r="M5872" s="291"/>
      <c r="N5872" s="291"/>
      <c r="O5872" s="291"/>
      <c r="P5872" s="291"/>
      <c r="S5872" s="364"/>
      <c r="Z5872" s="609" t="s">
        <v>2182</v>
      </c>
      <c r="AA5872" s="609"/>
    </row>
    <row r="5873" spans="1:27" ht="18">
      <c r="A5873" s="2714"/>
      <c r="B5873" s="371">
        <v>105</v>
      </c>
      <c r="C5873" s="371" t="s">
        <v>2791</v>
      </c>
      <c r="D5873" s="2716">
        <f t="shared" si="632"/>
        <v>0</v>
      </c>
      <c r="E5873" s="2721">
        <v>1</v>
      </c>
      <c r="F5873" s="294"/>
      <c r="G5873" s="2467" t="s">
        <v>2792</v>
      </c>
      <c r="H5873" s="2275"/>
      <c r="I5873" s="2276"/>
      <c r="M5873" s="291"/>
      <c r="N5873" s="291"/>
      <c r="O5873" s="291"/>
      <c r="P5873" s="291"/>
      <c r="S5873" s="364"/>
      <c r="Z5873" s="609" t="s">
        <v>2182</v>
      </c>
      <c r="AA5873" s="609"/>
    </row>
    <row r="5874" spans="1:27" ht="18.75" thickBot="1">
      <c r="A5874" s="2714"/>
      <c r="B5874" s="371"/>
      <c r="C5874" s="371"/>
      <c r="D5874" s="2716">
        <f t="shared" si="632"/>
        <v>1</v>
      </c>
      <c r="E5874" s="2721" t="s">
        <v>3032</v>
      </c>
      <c r="F5874" s="294"/>
      <c r="G5874" s="1529" t="s">
        <v>2752</v>
      </c>
      <c r="H5874" s="1527">
        <f>SUMPRODUCT($E5868:$E5873,H5868:H5873)</f>
        <v>0</v>
      </c>
      <c r="I5874" s="2266"/>
      <c r="M5874" s="291"/>
      <c r="N5874" s="291"/>
      <c r="O5874" s="291"/>
      <c r="P5874" s="291"/>
      <c r="S5874" s="364"/>
      <c r="Z5874" s="609" t="s">
        <v>2182</v>
      </c>
      <c r="AA5874" s="609"/>
    </row>
    <row r="5875" spans="1:27" ht="18.75" thickBot="1">
      <c r="A5875" s="2714"/>
      <c r="B5875" s="371"/>
      <c r="C5875" s="371" t="s">
        <v>2755</v>
      </c>
      <c r="D5875" s="371"/>
      <c r="F5875" s="294"/>
      <c r="G5875" s="301"/>
      <c r="H5875" s="315"/>
      <c r="I5875" s="393"/>
      <c r="J5875" s="349"/>
      <c r="K5875" s="349"/>
      <c r="L5875" s="350"/>
      <c r="M5875" s="291"/>
      <c r="N5875" s="291"/>
      <c r="O5875" s="291"/>
      <c r="P5875" s="291"/>
      <c r="S5875" s="364"/>
      <c r="Z5875" s="609" t="s">
        <v>2182</v>
      </c>
      <c r="AA5875" s="609"/>
    </row>
    <row r="5876" spans="1:27" ht="18.75" thickBot="1">
      <c r="A5876" s="2714"/>
      <c r="B5876" s="371"/>
      <c r="C5876" s="371"/>
      <c r="D5876" s="371"/>
      <c r="F5876" s="294"/>
      <c r="G5876" s="627" t="s">
        <v>4708</v>
      </c>
      <c r="H5876" s="628" t="s">
        <v>4709</v>
      </c>
      <c r="I5876" s="629"/>
      <c r="J5876" s="630"/>
      <c r="K5876" s="630"/>
      <c r="L5876" s="630"/>
      <c r="M5876" s="630"/>
      <c r="N5876" s="631"/>
      <c r="S5876" s="364"/>
      <c r="Z5876" s="609" t="s">
        <v>4710</v>
      </c>
      <c r="AA5876" s="609"/>
    </row>
    <row r="5877" spans="1:27" ht="18">
      <c r="A5877" s="2714">
        <v>7001</v>
      </c>
      <c r="B5877" s="371">
        <v>78.709999999999994</v>
      </c>
      <c r="C5877" s="2716" t="str">
        <f>VLOOKUP($A5877,Sheet_Items,2,0)</f>
        <v>销售商品提供劳务收到的现金</v>
      </c>
      <c r="D5877" s="371"/>
      <c r="E5877" s="2716" t="s">
        <v>2739</v>
      </c>
      <c r="F5877" s="294"/>
      <c r="G5877" s="536" t="str">
        <f>B5877&amp;" "&amp;C5877</f>
        <v>78.71 销售商品提供劳务收到的现金</v>
      </c>
      <c r="H5877" s="322"/>
      <c r="I5877" s="322"/>
      <c r="J5877" s="306" t="s">
        <v>4206</v>
      </c>
      <c r="K5877" s="341">
        <f>VLOOKUP($A5877,Sheet_Trialbal,6,0)</f>
        <v>36631011.609999999</v>
      </c>
      <c r="L5877" s="342"/>
      <c r="M5877" s="306"/>
      <c r="N5877" s="341"/>
      <c r="O5877" s="306"/>
      <c r="P5877" s="301"/>
      <c r="S5877" s="364"/>
      <c r="Z5877" s="609" t="s">
        <v>4711</v>
      </c>
      <c r="AA5877" s="609"/>
    </row>
    <row r="5878" spans="1:27" ht="24">
      <c r="A5878" s="2714" t="s">
        <v>1944</v>
      </c>
      <c r="B5878" s="371">
        <v>1</v>
      </c>
      <c r="C5878" s="371"/>
      <c r="D5878" s="2716" t="str">
        <f>VLOOKUP($A5878,Sheet_NoteList,2,0)</f>
        <v>销售商品提供劳务收到的现金计算表</v>
      </c>
      <c r="E5878" s="2716" t="s">
        <v>2742</v>
      </c>
      <c r="F5878" s="294"/>
      <c r="G5878" s="483" t="str">
        <f>"("&amp;B5878&amp;")"&amp;D5878</f>
        <v>(1)销售商品提供劳务收到的现金计算表</v>
      </c>
      <c r="H5878" s="1517" t="str">
        <f>$A5878</f>
        <v>7001x</v>
      </c>
      <c r="I5878" s="343" t="s">
        <v>2743</v>
      </c>
      <c r="J5878" s="301" t="s">
        <v>4712</v>
      </c>
      <c r="K5878" s="2210">
        <f>I5886</f>
        <v>0</v>
      </c>
      <c r="L5878" s="345">
        <f>IF(ROUND(K5877-K5878,2)=0,"F/S",ROUND(K5877-K5878,2))</f>
        <v>36631011.609999999</v>
      </c>
      <c r="M5878" s="532" t="s">
        <v>4713</v>
      </c>
      <c r="N5878" s="3083"/>
      <c r="O5878" s="315"/>
      <c r="P5878" s="301"/>
      <c r="S5878" s="364"/>
      <c r="Z5878" s="609" t="s">
        <v>4711</v>
      </c>
      <c r="AA5878" s="609"/>
    </row>
    <row r="5879" spans="1:27" ht="0.75" customHeight="1" thickBot="1">
      <c r="A5879" s="2714"/>
      <c r="B5879" s="371"/>
      <c r="C5879" s="371"/>
      <c r="D5879" s="371"/>
      <c r="F5879" s="371"/>
      <c r="G5879" s="371" t="s">
        <v>4714</v>
      </c>
      <c r="H5879" s="371" t="s">
        <v>4715</v>
      </c>
      <c r="I5879" s="371" t="s">
        <v>4716</v>
      </c>
      <c r="J5879" s="371" t="s">
        <v>3671</v>
      </c>
      <c r="K5879" s="291"/>
      <c r="L5879" s="291"/>
      <c r="M5879" s="291"/>
      <c r="S5879" s="364"/>
      <c r="Z5879" s="609" t="s">
        <v>4711</v>
      </c>
      <c r="AA5879" s="609"/>
    </row>
    <row r="5880" spans="1:27" ht="18">
      <c r="A5880" s="2714"/>
      <c r="B5880" s="371"/>
      <c r="C5880" s="371"/>
      <c r="D5880" s="371"/>
      <c r="E5880" s="2716" t="s">
        <v>2749</v>
      </c>
      <c r="F5880" s="294"/>
      <c r="G5880" s="1564" t="s">
        <v>47</v>
      </c>
      <c r="H5880" s="1565" t="s">
        <v>4717</v>
      </c>
      <c r="I5880" s="1565" t="s">
        <v>2887</v>
      </c>
      <c r="J5880" s="1566" t="s">
        <v>2758</v>
      </c>
      <c r="K5880" s="575"/>
      <c r="L5880" s="291"/>
      <c r="M5880" s="291"/>
      <c r="S5880" s="364"/>
      <c r="Z5880" s="609" t="s">
        <v>4711</v>
      </c>
      <c r="AA5880" s="609"/>
    </row>
    <row r="5881" spans="1:27" ht="18">
      <c r="A5881" s="2714"/>
      <c r="B5881" s="371">
        <v>101</v>
      </c>
      <c r="C5881" s="371" t="s">
        <v>2791</v>
      </c>
      <c r="D5881" s="2716">
        <f t="shared" ref="D5881:D5886" si="633">IF(OR(G5881="*",G5881="",G5881=0),0,COUNTIF($G$5881:$G$5886,G5881))</f>
        <v>0</v>
      </c>
      <c r="E5881" s="2721">
        <v>1</v>
      </c>
      <c r="F5881" s="294"/>
      <c r="G5881" s="1563" t="s">
        <v>2792</v>
      </c>
      <c r="H5881" s="360"/>
      <c r="I5881" s="309"/>
      <c r="J5881" s="388"/>
      <c r="K5881" s="291"/>
      <c r="L5881" s="291"/>
      <c r="M5881" s="291"/>
      <c r="S5881" s="364"/>
      <c r="Z5881" s="609" t="s">
        <v>4711</v>
      </c>
      <c r="AA5881" s="609"/>
    </row>
    <row r="5882" spans="1:27" ht="18">
      <c r="A5882" s="2714"/>
      <c r="B5882" s="371">
        <v>102</v>
      </c>
      <c r="C5882" s="371" t="s">
        <v>2791</v>
      </c>
      <c r="D5882" s="2716">
        <f t="shared" si="633"/>
        <v>0</v>
      </c>
      <c r="E5882" s="2721">
        <v>1</v>
      </c>
      <c r="F5882" s="294"/>
      <c r="G5882" s="1563" t="s">
        <v>2792</v>
      </c>
      <c r="H5882" s="360"/>
      <c r="I5882" s="309"/>
      <c r="J5882" s="388"/>
      <c r="K5882" s="291"/>
      <c r="L5882" s="291"/>
      <c r="M5882" s="291"/>
      <c r="S5882" s="364"/>
      <c r="Z5882" s="609" t="s">
        <v>4711</v>
      </c>
      <c r="AA5882" s="609"/>
    </row>
    <row r="5883" spans="1:27" ht="18">
      <c r="A5883" s="2714"/>
      <c r="B5883" s="371">
        <v>103</v>
      </c>
      <c r="C5883" s="371" t="s">
        <v>2791</v>
      </c>
      <c r="D5883" s="2716">
        <f t="shared" si="633"/>
        <v>0</v>
      </c>
      <c r="E5883" s="2721">
        <v>1</v>
      </c>
      <c r="F5883" s="294"/>
      <c r="G5883" s="1563" t="s">
        <v>2792</v>
      </c>
      <c r="H5883" s="360"/>
      <c r="I5883" s="309"/>
      <c r="J5883" s="388"/>
      <c r="K5883" s="291"/>
      <c r="L5883" s="291"/>
      <c r="M5883" s="291"/>
      <c r="S5883" s="364"/>
      <c r="Z5883" s="609" t="s">
        <v>4711</v>
      </c>
      <c r="AA5883" s="609"/>
    </row>
    <row r="5884" spans="1:27" ht="18">
      <c r="A5884" s="2714"/>
      <c r="B5884" s="371">
        <v>104</v>
      </c>
      <c r="C5884" s="371" t="s">
        <v>2791</v>
      </c>
      <c r="D5884" s="2716">
        <f t="shared" si="633"/>
        <v>0</v>
      </c>
      <c r="E5884" s="2721">
        <v>1</v>
      </c>
      <c r="F5884" s="294"/>
      <c r="G5884" s="1563" t="s">
        <v>2792</v>
      </c>
      <c r="H5884" s="360"/>
      <c r="I5884" s="309"/>
      <c r="J5884" s="388"/>
      <c r="K5884" s="291"/>
      <c r="L5884" s="291"/>
      <c r="M5884" s="291"/>
      <c r="S5884" s="364"/>
      <c r="Z5884" s="609" t="s">
        <v>4711</v>
      </c>
      <c r="AA5884" s="609"/>
    </row>
    <row r="5885" spans="1:27" ht="18">
      <c r="A5885" s="2714"/>
      <c r="B5885" s="371">
        <v>105</v>
      </c>
      <c r="C5885" s="371" t="s">
        <v>2791</v>
      </c>
      <c r="D5885" s="2716">
        <f t="shared" si="633"/>
        <v>0</v>
      </c>
      <c r="E5885" s="2721">
        <v>1</v>
      </c>
      <c r="F5885" s="294"/>
      <c r="G5885" s="1563" t="s">
        <v>2792</v>
      </c>
      <c r="H5885" s="360"/>
      <c r="I5885" s="309"/>
      <c r="J5885" s="388"/>
      <c r="K5885" s="291"/>
      <c r="L5885" s="291"/>
      <c r="M5885" s="291"/>
      <c r="S5885" s="364"/>
      <c r="Z5885" s="609" t="s">
        <v>4711</v>
      </c>
      <c r="AA5885" s="609"/>
    </row>
    <row r="5886" spans="1:27" ht="18.75" thickBot="1">
      <c r="A5886" s="2714"/>
      <c r="B5886" s="371"/>
      <c r="C5886" s="371"/>
      <c r="D5886" s="2716">
        <f t="shared" si="633"/>
        <v>1</v>
      </c>
      <c r="E5886" s="2721" t="s">
        <v>2751</v>
      </c>
      <c r="F5886" s="294"/>
      <c r="G5886" s="1529" t="s">
        <v>2752</v>
      </c>
      <c r="H5886" s="1570"/>
      <c r="I5886" s="1527">
        <f>SUMPRODUCT($E5880:$E5885,I5880:I5885)</f>
        <v>0</v>
      </c>
      <c r="J5886" s="1571"/>
      <c r="K5886" s="291"/>
      <c r="L5886" s="291"/>
      <c r="M5886" s="291"/>
      <c r="S5886" s="364"/>
      <c r="Z5886" s="609" t="s">
        <v>4711</v>
      </c>
      <c r="AA5886" s="609"/>
    </row>
    <row r="5887" spans="1:27" ht="18">
      <c r="A5887" s="2714"/>
      <c r="B5887" s="371"/>
      <c r="C5887" s="371" t="s">
        <v>2755</v>
      </c>
      <c r="D5887" s="371"/>
      <c r="F5887" s="294"/>
      <c r="G5887" s="301"/>
      <c r="H5887" s="393"/>
      <c r="I5887" s="315"/>
      <c r="J5887" s="393"/>
      <c r="K5887" s="291"/>
      <c r="L5887" s="291"/>
      <c r="M5887" s="291"/>
      <c r="S5887" s="364"/>
      <c r="Z5887" s="609" t="s">
        <v>4711</v>
      </c>
      <c r="AA5887" s="609"/>
    </row>
    <row r="5888" spans="1:27" ht="18">
      <c r="A5888" s="2714">
        <v>7046</v>
      </c>
      <c r="B5888" s="371">
        <v>78.099999999999994</v>
      </c>
      <c r="C5888" s="2716" t="str">
        <f>VLOOKUP($A5888,Sheet_Items,2,0)</f>
        <v>收到其他与经营活动有关的现金</v>
      </c>
      <c r="D5888" s="371"/>
      <c r="E5888" s="2716" t="s">
        <v>2739</v>
      </c>
      <c r="F5888" s="294"/>
      <c r="G5888" s="536" t="str">
        <f>B5888&amp;" "&amp;C5888</f>
        <v>78.1 收到其他与经营活动有关的现金</v>
      </c>
      <c r="H5888" s="322"/>
      <c r="I5888" s="322"/>
      <c r="J5888" s="306" t="s">
        <v>4206</v>
      </c>
      <c r="K5888" s="341">
        <f>VLOOKUP($A5888,Sheet_Trialbal,6,0)</f>
        <v>872175.39</v>
      </c>
      <c r="L5888" s="342"/>
      <c r="M5888" s="306"/>
      <c r="N5888" s="341"/>
      <c r="O5888" s="306"/>
      <c r="P5888" s="301"/>
      <c r="S5888" s="364"/>
      <c r="Z5888" s="609" t="s">
        <v>4384</v>
      </c>
      <c r="AA5888" s="609"/>
    </row>
    <row r="5889" spans="1:27" ht="24">
      <c r="A5889" s="2714" t="s">
        <v>1948</v>
      </c>
      <c r="B5889" s="371">
        <v>1</v>
      </c>
      <c r="C5889" s="371"/>
      <c r="D5889" s="2716" t="str">
        <f>VLOOKUP($A5889,Sheet_NoteList,2,0)</f>
        <v>收到其他与经营活动有关的现金计算表</v>
      </c>
      <c r="E5889" s="2716" t="s">
        <v>2742</v>
      </c>
      <c r="F5889" s="294"/>
      <c r="G5889" s="483" t="str">
        <f>"("&amp;B5889&amp;")"&amp;D5889</f>
        <v>(1)收到其他与经营活动有关的现金计算表</v>
      </c>
      <c r="H5889" s="1517" t="str">
        <f>$A5889</f>
        <v>7046x</v>
      </c>
      <c r="I5889" s="343" t="s">
        <v>2743</v>
      </c>
      <c r="J5889" s="301" t="s">
        <v>4712</v>
      </c>
      <c r="K5889" s="2210">
        <f>I5897</f>
        <v>0</v>
      </c>
      <c r="L5889" s="345">
        <f>IF(ROUND(K5888-K5889,2)=0,"F/S",ROUND(K5888-K5889,2))</f>
        <v>872175.39</v>
      </c>
      <c r="M5889" s="532" t="s">
        <v>4713</v>
      </c>
      <c r="N5889" s="3083"/>
      <c r="O5889" s="315"/>
      <c r="P5889" s="301"/>
      <c r="S5889" s="364"/>
      <c r="Z5889" s="609" t="s">
        <v>4384</v>
      </c>
      <c r="AA5889" s="609"/>
    </row>
    <row r="5890" spans="1:27" ht="0.75" customHeight="1" thickBot="1">
      <c r="A5890" s="2714"/>
      <c r="B5890" s="371"/>
      <c r="C5890" s="371"/>
      <c r="D5890" s="371"/>
      <c r="F5890" s="371"/>
      <c r="G5890" s="371" t="s">
        <v>4718</v>
      </c>
      <c r="H5890" s="371" t="s">
        <v>4715</v>
      </c>
      <c r="I5890" s="371" t="s">
        <v>4716</v>
      </c>
      <c r="J5890" s="371" t="s">
        <v>3671</v>
      </c>
      <c r="K5890" s="291"/>
      <c r="L5890" s="291"/>
      <c r="M5890" s="291"/>
      <c r="S5890" s="364"/>
      <c r="Z5890" s="609" t="s">
        <v>4384</v>
      </c>
      <c r="AA5890" s="609"/>
    </row>
    <row r="5891" spans="1:27" ht="18">
      <c r="A5891" s="2714"/>
      <c r="B5891" s="371"/>
      <c r="C5891" s="371"/>
      <c r="D5891" s="371"/>
      <c r="E5891" s="2716" t="s">
        <v>2749</v>
      </c>
      <c r="F5891" s="294"/>
      <c r="G5891" s="1564" t="s">
        <v>47</v>
      </c>
      <c r="H5891" s="1565" t="s">
        <v>4717</v>
      </c>
      <c r="I5891" s="1565" t="s">
        <v>2887</v>
      </c>
      <c r="J5891" s="1566" t="s">
        <v>2758</v>
      </c>
      <c r="K5891" s="291"/>
      <c r="L5891" s="291"/>
      <c r="M5891" s="291"/>
      <c r="S5891" s="364"/>
      <c r="Z5891" s="609" t="s">
        <v>4384</v>
      </c>
      <c r="AA5891" s="609"/>
    </row>
    <row r="5892" spans="1:27" ht="18">
      <c r="A5892" s="2714"/>
      <c r="B5892" s="371">
        <v>101</v>
      </c>
      <c r="C5892" s="371" t="s">
        <v>2791</v>
      </c>
      <c r="D5892" s="2716">
        <f t="shared" ref="D5892:D5897" si="634">IF(OR(G5892="*",G5892="",G5892=0),0,COUNTIF($G$5892:$G$5897,G5892))</f>
        <v>0</v>
      </c>
      <c r="E5892" s="2721">
        <v>1</v>
      </c>
      <c r="F5892" s="294"/>
      <c r="G5892" s="1563" t="s">
        <v>2792</v>
      </c>
      <c r="H5892" s="360"/>
      <c r="I5892" s="309"/>
      <c r="J5892" s="388"/>
      <c r="K5892" s="291"/>
      <c r="L5892" s="291"/>
      <c r="M5892" s="291"/>
      <c r="S5892" s="364"/>
      <c r="Z5892" s="609" t="s">
        <v>4384</v>
      </c>
      <c r="AA5892" s="609"/>
    </row>
    <row r="5893" spans="1:27" ht="18">
      <c r="A5893" s="2714"/>
      <c r="B5893" s="371">
        <v>102</v>
      </c>
      <c r="C5893" s="371" t="s">
        <v>2791</v>
      </c>
      <c r="D5893" s="2716">
        <f t="shared" si="634"/>
        <v>0</v>
      </c>
      <c r="E5893" s="2721">
        <v>1</v>
      </c>
      <c r="F5893" s="294"/>
      <c r="G5893" s="1563" t="s">
        <v>2792</v>
      </c>
      <c r="H5893" s="360"/>
      <c r="I5893" s="309"/>
      <c r="J5893" s="388"/>
      <c r="K5893" s="291"/>
      <c r="L5893" s="291"/>
      <c r="M5893" s="291"/>
      <c r="S5893" s="364"/>
      <c r="Z5893" s="609" t="s">
        <v>4384</v>
      </c>
      <c r="AA5893" s="609"/>
    </row>
    <row r="5894" spans="1:27" ht="18">
      <c r="A5894" s="2714"/>
      <c r="B5894" s="371">
        <v>103</v>
      </c>
      <c r="C5894" s="371" t="s">
        <v>2791</v>
      </c>
      <c r="D5894" s="2716">
        <f t="shared" si="634"/>
        <v>0</v>
      </c>
      <c r="E5894" s="2721">
        <v>1</v>
      </c>
      <c r="F5894" s="294"/>
      <c r="G5894" s="1563" t="s">
        <v>2792</v>
      </c>
      <c r="H5894" s="360"/>
      <c r="I5894" s="309"/>
      <c r="J5894" s="388"/>
      <c r="K5894" s="291"/>
      <c r="L5894" s="291"/>
      <c r="M5894" s="291"/>
      <c r="S5894" s="364"/>
      <c r="Z5894" s="609" t="s">
        <v>4384</v>
      </c>
      <c r="AA5894" s="609"/>
    </row>
    <row r="5895" spans="1:27" ht="18">
      <c r="A5895" s="2714"/>
      <c r="B5895" s="371">
        <v>104</v>
      </c>
      <c r="C5895" s="371" t="s">
        <v>2791</v>
      </c>
      <c r="D5895" s="2716">
        <f t="shared" si="634"/>
        <v>0</v>
      </c>
      <c r="E5895" s="2721">
        <v>1</v>
      </c>
      <c r="F5895" s="294"/>
      <c r="G5895" s="1563" t="s">
        <v>2792</v>
      </c>
      <c r="H5895" s="360"/>
      <c r="I5895" s="309"/>
      <c r="J5895" s="388"/>
      <c r="K5895" s="291"/>
      <c r="L5895" s="291"/>
      <c r="M5895" s="291"/>
      <c r="S5895" s="364"/>
      <c r="Z5895" s="609" t="s">
        <v>4384</v>
      </c>
      <c r="AA5895" s="609"/>
    </row>
    <row r="5896" spans="1:27" ht="18">
      <c r="A5896" s="2714"/>
      <c r="B5896" s="371">
        <v>105</v>
      </c>
      <c r="C5896" s="371" t="s">
        <v>2791</v>
      </c>
      <c r="D5896" s="2716">
        <f t="shared" si="634"/>
        <v>0</v>
      </c>
      <c r="E5896" s="2721">
        <v>1</v>
      </c>
      <c r="F5896" s="294"/>
      <c r="G5896" s="1563" t="s">
        <v>2792</v>
      </c>
      <c r="H5896" s="360"/>
      <c r="I5896" s="309"/>
      <c r="J5896" s="388"/>
      <c r="K5896" s="291"/>
      <c r="L5896" s="291"/>
      <c r="M5896" s="291"/>
      <c r="S5896" s="364"/>
      <c r="Z5896" s="609" t="s">
        <v>4384</v>
      </c>
      <c r="AA5896" s="609"/>
    </row>
    <row r="5897" spans="1:27" ht="18.75" thickBot="1">
      <c r="A5897" s="2714"/>
      <c r="B5897" s="371"/>
      <c r="C5897" s="371"/>
      <c r="D5897" s="2716">
        <f t="shared" si="634"/>
        <v>1</v>
      </c>
      <c r="E5897" s="2721" t="s">
        <v>2751</v>
      </c>
      <c r="F5897" s="294"/>
      <c r="G5897" s="1529" t="s">
        <v>2752</v>
      </c>
      <c r="H5897" s="1570"/>
      <c r="I5897" s="1527">
        <f>SUMPRODUCT($E5891:$E5896,I5891:I5896)</f>
        <v>0</v>
      </c>
      <c r="J5897" s="1571"/>
      <c r="K5897" s="291"/>
      <c r="L5897" s="291"/>
      <c r="M5897" s="291"/>
      <c r="S5897" s="364"/>
      <c r="Z5897" s="609" t="s">
        <v>4384</v>
      </c>
      <c r="AA5897" s="609"/>
    </row>
    <row r="5898" spans="1:27" ht="18">
      <c r="A5898" s="2714"/>
      <c r="B5898" s="371"/>
      <c r="C5898" s="371" t="s">
        <v>2755</v>
      </c>
      <c r="D5898" s="371"/>
      <c r="F5898" s="294"/>
      <c r="G5898" s="301"/>
      <c r="H5898" s="393"/>
      <c r="I5898" s="315"/>
      <c r="J5898" s="393"/>
      <c r="K5898" s="291"/>
      <c r="L5898" s="291"/>
      <c r="M5898" s="291"/>
      <c r="S5898" s="364"/>
      <c r="Z5898" s="609" t="s">
        <v>4384</v>
      </c>
      <c r="AA5898" s="609"/>
    </row>
    <row r="5899" spans="1:27" ht="18">
      <c r="A5899" s="2714">
        <v>7051</v>
      </c>
      <c r="B5899" s="371">
        <v>78.72</v>
      </c>
      <c r="C5899" s="2716" t="str">
        <f>VLOOKUP($A5899,Sheet_Items,2,0)</f>
        <v>购买商品接受劳务支付的现金</v>
      </c>
      <c r="D5899" s="371"/>
      <c r="E5899" s="2716" t="s">
        <v>2739</v>
      </c>
      <c r="F5899" s="294"/>
      <c r="G5899" s="536" t="str">
        <f>B5899&amp;" "&amp;C5899</f>
        <v>78.72 购买商品接受劳务支付的现金</v>
      </c>
      <c r="H5899" s="322"/>
      <c r="I5899" s="322"/>
      <c r="J5899" s="306" t="s">
        <v>4206</v>
      </c>
      <c r="K5899" s="341">
        <f>VLOOKUP($A5899,Sheet_Trialbal,6,0)</f>
        <v>19308391.789999999</v>
      </c>
      <c r="L5899" s="342"/>
      <c r="M5899" s="306"/>
      <c r="N5899" s="341"/>
      <c r="O5899" s="306"/>
      <c r="P5899" s="301"/>
      <c r="S5899" s="364"/>
      <c r="Z5899" s="609" t="s">
        <v>4719</v>
      </c>
      <c r="AA5899" s="609"/>
    </row>
    <row r="5900" spans="1:27" ht="24">
      <c r="A5900" s="2714" t="s">
        <v>1951</v>
      </c>
      <c r="B5900" s="371">
        <v>1</v>
      </c>
      <c r="C5900" s="371"/>
      <c r="D5900" s="2716" t="str">
        <f>VLOOKUP($A5900,Sheet_NoteList,2,0)</f>
        <v>购买商品接受劳务支付的现金计算表</v>
      </c>
      <c r="E5900" s="2716" t="s">
        <v>2742</v>
      </c>
      <c r="F5900" s="294"/>
      <c r="G5900" s="483" t="str">
        <f>"("&amp;B5900&amp;")"&amp;D5900</f>
        <v>(1)购买商品接受劳务支付的现金计算表</v>
      </c>
      <c r="H5900" s="1517" t="str">
        <f>$A5900</f>
        <v>7051x</v>
      </c>
      <c r="I5900" s="343" t="s">
        <v>2743</v>
      </c>
      <c r="J5900" s="301" t="s">
        <v>4712</v>
      </c>
      <c r="K5900" s="2210">
        <f>I5908</f>
        <v>0</v>
      </c>
      <c r="L5900" s="345">
        <f>IF(ROUND(K5899-K5900,2)=0,"F/S",ROUND(K5899-K5900,2))</f>
        <v>19308391.789999999</v>
      </c>
      <c r="M5900" s="532" t="s">
        <v>4713</v>
      </c>
      <c r="N5900" s="3083"/>
      <c r="O5900" s="315"/>
      <c r="P5900" s="301"/>
      <c r="S5900" s="364"/>
      <c r="Z5900" s="609" t="s">
        <v>4719</v>
      </c>
      <c r="AA5900" s="609"/>
    </row>
    <row r="5901" spans="1:27" ht="0.75" customHeight="1" thickBot="1">
      <c r="A5901" s="2714"/>
      <c r="B5901" s="371"/>
      <c r="C5901" s="371"/>
      <c r="D5901" s="371"/>
      <c r="F5901" s="371"/>
      <c r="G5901" s="371" t="s">
        <v>4720</v>
      </c>
      <c r="H5901" s="371" t="s">
        <v>4715</v>
      </c>
      <c r="I5901" s="371" t="s">
        <v>4716</v>
      </c>
      <c r="J5901" s="371" t="s">
        <v>3671</v>
      </c>
      <c r="K5901" s="291"/>
      <c r="L5901" s="291"/>
      <c r="M5901" s="291"/>
      <c r="S5901" s="364"/>
      <c r="Z5901" s="609" t="s">
        <v>4719</v>
      </c>
      <c r="AA5901" s="609"/>
    </row>
    <row r="5902" spans="1:27" ht="18">
      <c r="A5902" s="2714"/>
      <c r="B5902" s="371"/>
      <c r="C5902" s="371"/>
      <c r="D5902" s="371"/>
      <c r="E5902" s="2716" t="s">
        <v>2749</v>
      </c>
      <c r="F5902" s="294"/>
      <c r="G5902" s="1564" t="s">
        <v>47</v>
      </c>
      <c r="H5902" s="1565" t="s">
        <v>4717</v>
      </c>
      <c r="I5902" s="1565" t="s">
        <v>2887</v>
      </c>
      <c r="J5902" s="1566" t="s">
        <v>2758</v>
      </c>
      <c r="K5902" s="291"/>
      <c r="L5902" s="291"/>
      <c r="M5902" s="291"/>
      <c r="S5902" s="364"/>
      <c r="Z5902" s="609" t="s">
        <v>4719</v>
      </c>
      <c r="AA5902" s="609"/>
    </row>
    <row r="5903" spans="1:27" ht="18">
      <c r="A5903" s="2714"/>
      <c r="B5903" s="371">
        <v>101</v>
      </c>
      <c r="C5903" s="371" t="s">
        <v>2791</v>
      </c>
      <c r="D5903" s="2716">
        <f t="shared" ref="D5903:D5908" si="635">IF(OR(G5903="*",G5903="",G5903=0),0,COUNTIF($G$5903:$G$5908,G5903))</f>
        <v>0</v>
      </c>
      <c r="E5903" s="2721">
        <v>1</v>
      </c>
      <c r="F5903" s="294"/>
      <c r="G5903" s="1563" t="s">
        <v>2792</v>
      </c>
      <c r="H5903" s="360"/>
      <c r="I5903" s="309"/>
      <c r="J5903" s="388"/>
      <c r="K5903" s="291"/>
      <c r="L5903" s="291"/>
      <c r="M5903" s="291"/>
      <c r="S5903" s="364"/>
      <c r="Z5903" s="609" t="s">
        <v>4719</v>
      </c>
      <c r="AA5903" s="609"/>
    </row>
    <row r="5904" spans="1:27" ht="18">
      <c r="A5904" s="2714"/>
      <c r="B5904" s="371">
        <v>102</v>
      </c>
      <c r="C5904" s="371" t="s">
        <v>2791</v>
      </c>
      <c r="D5904" s="2716">
        <f t="shared" si="635"/>
        <v>0</v>
      </c>
      <c r="E5904" s="2721">
        <v>1</v>
      </c>
      <c r="F5904" s="294"/>
      <c r="G5904" s="1563" t="s">
        <v>2792</v>
      </c>
      <c r="H5904" s="360"/>
      <c r="I5904" s="309"/>
      <c r="J5904" s="388"/>
      <c r="K5904" s="291"/>
      <c r="L5904" s="291"/>
      <c r="M5904" s="291"/>
      <c r="S5904" s="364"/>
      <c r="Z5904" s="609" t="s">
        <v>4719</v>
      </c>
      <c r="AA5904" s="609"/>
    </row>
    <row r="5905" spans="1:27" ht="18">
      <c r="A5905" s="2714"/>
      <c r="B5905" s="371">
        <v>103</v>
      </c>
      <c r="C5905" s="371" t="s">
        <v>2791</v>
      </c>
      <c r="D5905" s="2716">
        <f t="shared" si="635"/>
        <v>0</v>
      </c>
      <c r="E5905" s="2721">
        <v>1</v>
      </c>
      <c r="F5905" s="294"/>
      <c r="G5905" s="1563" t="s">
        <v>2792</v>
      </c>
      <c r="H5905" s="360"/>
      <c r="I5905" s="309"/>
      <c r="J5905" s="388"/>
      <c r="K5905" s="291"/>
      <c r="L5905" s="291"/>
      <c r="M5905" s="291"/>
      <c r="S5905" s="364"/>
      <c r="Z5905" s="609" t="s">
        <v>4719</v>
      </c>
      <c r="AA5905" s="609"/>
    </row>
    <row r="5906" spans="1:27" ht="18">
      <c r="A5906" s="2714"/>
      <c r="B5906" s="371">
        <v>104</v>
      </c>
      <c r="C5906" s="371" t="s">
        <v>2791</v>
      </c>
      <c r="D5906" s="2716">
        <f t="shared" si="635"/>
        <v>0</v>
      </c>
      <c r="E5906" s="2721">
        <v>1</v>
      </c>
      <c r="F5906" s="294"/>
      <c r="G5906" s="1563" t="s">
        <v>2792</v>
      </c>
      <c r="H5906" s="360"/>
      <c r="I5906" s="309"/>
      <c r="J5906" s="388"/>
      <c r="K5906" s="291"/>
      <c r="L5906" s="291"/>
      <c r="M5906" s="291"/>
      <c r="S5906" s="364"/>
      <c r="Z5906" s="609" t="s">
        <v>4719</v>
      </c>
      <c r="AA5906" s="609"/>
    </row>
    <row r="5907" spans="1:27" ht="18">
      <c r="A5907" s="2714"/>
      <c r="B5907" s="371">
        <v>105</v>
      </c>
      <c r="C5907" s="371" t="s">
        <v>2791</v>
      </c>
      <c r="D5907" s="2716">
        <f t="shared" si="635"/>
        <v>0</v>
      </c>
      <c r="E5907" s="2721">
        <v>1</v>
      </c>
      <c r="F5907" s="294"/>
      <c r="G5907" s="1563" t="s">
        <v>2792</v>
      </c>
      <c r="H5907" s="360"/>
      <c r="I5907" s="309"/>
      <c r="J5907" s="388"/>
      <c r="K5907" s="291"/>
      <c r="L5907" s="291"/>
      <c r="M5907" s="291"/>
      <c r="S5907" s="364"/>
      <c r="Z5907" s="609" t="s">
        <v>4719</v>
      </c>
      <c r="AA5907" s="609"/>
    </row>
    <row r="5908" spans="1:27" ht="18.75" thickBot="1">
      <c r="A5908" s="2714"/>
      <c r="B5908" s="371"/>
      <c r="C5908" s="371"/>
      <c r="D5908" s="2716">
        <f t="shared" si="635"/>
        <v>1</v>
      </c>
      <c r="E5908" s="2721" t="s">
        <v>2751</v>
      </c>
      <c r="F5908" s="294"/>
      <c r="G5908" s="1529" t="s">
        <v>2752</v>
      </c>
      <c r="H5908" s="1570"/>
      <c r="I5908" s="1527">
        <f>SUMPRODUCT($E5902:$E5907,I5902:I5907)</f>
        <v>0</v>
      </c>
      <c r="J5908" s="1571"/>
      <c r="K5908" s="291"/>
      <c r="L5908" s="291"/>
      <c r="M5908" s="291"/>
      <c r="S5908" s="364"/>
      <c r="Z5908" s="609" t="s">
        <v>4719</v>
      </c>
      <c r="AA5908" s="609"/>
    </row>
    <row r="5909" spans="1:27" ht="18">
      <c r="A5909" s="2714"/>
      <c r="B5909" s="371"/>
      <c r="C5909" s="371" t="s">
        <v>2755</v>
      </c>
      <c r="D5909" s="371"/>
      <c r="F5909" s="294"/>
      <c r="G5909" s="301"/>
      <c r="H5909" s="393"/>
      <c r="I5909" s="315"/>
      <c r="J5909" s="393"/>
      <c r="K5909" s="291"/>
      <c r="L5909" s="291"/>
      <c r="M5909" s="291"/>
      <c r="S5909" s="364"/>
      <c r="Z5909" s="609" t="s">
        <v>4719</v>
      </c>
      <c r="AA5909" s="609"/>
    </row>
    <row r="5910" spans="1:27" ht="18">
      <c r="A5910" s="2714">
        <v>7061</v>
      </c>
      <c r="B5910" s="371">
        <v>78.73</v>
      </c>
      <c r="C5910" s="2716" t="str">
        <f>VLOOKUP($A5910,Sheet_Items,2,0)</f>
        <v>支付给职工以及为职工支付的现金</v>
      </c>
      <c r="D5910" s="371"/>
      <c r="E5910" s="2716" t="s">
        <v>2739</v>
      </c>
      <c r="F5910" s="294"/>
      <c r="G5910" s="536" t="str">
        <f>B5910&amp;" "&amp;C5910</f>
        <v>78.73 支付给职工以及为职工支付的现金</v>
      </c>
      <c r="H5910" s="322"/>
      <c r="I5910" s="322"/>
      <c r="J5910" s="306" t="s">
        <v>4206</v>
      </c>
      <c r="K5910" s="341">
        <f>VLOOKUP($A5910,Sheet_Trialbal,6,0)</f>
        <v>8360207.9299999997</v>
      </c>
      <c r="L5910" s="342"/>
      <c r="M5910" s="306"/>
      <c r="N5910" s="341"/>
      <c r="O5910" s="306"/>
      <c r="P5910" s="301"/>
      <c r="S5910" s="364"/>
      <c r="Z5910" s="609">
        <v>7061</v>
      </c>
      <c r="AA5910" s="609"/>
    </row>
    <row r="5911" spans="1:27" ht="24">
      <c r="A5911" s="2714" t="s">
        <v>1953</v>
      </c>
      <c r="B5911" s="371">
        <v>1</v>
      </c>
      <c r="C5911" s="371"/>
      <c r="D5911" s="2716" t="str">
        <f>VLOOKUP($A5911,Sheet_NoteList,2,0)</f>
        <v>支付给职工以及为职工支付的现金计算表</v>
      </c>
      <c r="E5911" s="2716" t="s">
        <v>2742</v>
      </c>
      <c r="F5911" s="294"/>
      <c r="G5911" s="483" t="str">
        <f>"("&amp;B5911&amp;")"&amp;D5911</f>
        <v>(1)支付给职工以及为职工支付的现金计算表</v>
      </c>
      <c r="H5911" s="1517" t="str">
        <f>$A5911</f>
        <v>7061x</v>
      </c>
      <c r="I5911" s="343" t="s">
        <v>2743</v>
      </c>
      <c r="J5911" s="301" t="s">
        <v>4712</v>
      </c>
      <c r="K5911" s="2210">
        <f>I5919</f>
        <v>0</v>
      </c>
      <c r="L5911" s="345">
        <f>IF(ROUND(K5910-K5911,2)=0,"F/S",ROUND(K5910-K5911,2))</f>
        <v>8360207.9299999997</v>
      </c>
      <c r="M5911" s="532" t="s">
        <v>4713</v>
      </c>
      <c r="N5911" s="3083"/>
      <c r="O5911" s="315"/>
      <c r="P5911" s="301"/>
      <c r="S5911" s="364"/>
      <c r="Z5911" s="609">
        <v>7061</v>
      </c>
      <c r="AA5911" s="609"/>
    </row>
    <row r="5912" spans="1:27" ht="0.75" customHeight="1" thickBot="1">
      <c r="A5912" s="2714"/>
      <c r="B5912" s="371"/>
      <c r="C5912" s="371"/>
      <c r="D5912" s="371"/>
      <c r="F5912" s="371"/>
      <c r="G5912" s="371" t="s">
        <v>4721</v>
      </c>
      <c r="H5912" s="371" t="s">
        <v>4715</v>
      </c>
      <c r="I5912" s="371" t="s">
        <v>4716</v>
      </c>
      <c r="J5912" s="371" t="s">
        <v>3671</v>
      </c>
      <c r="K5912" s="291"/>
      <c r="L5912" s="291"/>
      <c r="M5912" s="291"/>
      <c r="S5912" s="364"/>
      <c r="Z5912" s="609">
        <v>7061</v>
      </c>
      <c r="AA5912" s="609"/>
    </row>
    <row r="5913" spans="1:27" ht="18">
      <c r="A5913" s="2714"/>
      <c r="B5913" s="371"/>
      <c r="C5913" s="371"/>
      <c r="D5913" s="371"/>
      <c r="E5913" s="2716" t="s">
        <v>2749</v>
      </c>
      <c r="F5913" s="294"/>
      <c r="G5913" s="1564" t="s">
        <v>47</v>
      </c>
      <c r="H5913" s="1565" t="s">
        <v>4717</v>
      </c>
      <c r="I5913" s="1565" t="s">
        <v>2887</v>
      </c>
      <c r="J5913" s="1566" t="s">
        <v>2758</v>
      </c>
      <c r="K5913" s="291"/>
      <c r="L5913" s="291"/>
      <c r="M5913" s="291"/>
      <c r="S5913" s="364"/>
      <c r="Z5913" s="609">
        <v>7061</v>
      </c>
      <c r="AA5913" s="609"/>
    </row>
    <row r="5914" spans="1:27" ht="18">
      <c r="A5914" s="2714"/>
      <c r="B5914" s="371">
        <v>101</v>
      </c>
      <c r="C5914" s="371" t="s">
        <v>2791</v>
      </c>
      <c r="D5914" s="2716">
        <f t="shared" ref="D5914:D5919" si="636">IF(OR(G5914="*",G5914="",G5914=0),0,COUNTIF($G$5914:$G$5919,G5914))</f>
        <v>0</v>
      </c>
      <c r="E5914" s="2721">
        <v>1</v>
      </c>
      <c r="F5914" s="294"/>
      <c r="G5914" s="1563" t="s">
        <v>2792</v>
      </c>
      <c r="H5914" s="360"/>
      <c r="I5914" s="309"/>
      <c r="J5914" s="388"/>
      <c r="K5914" s="291"/>
      <c r="L5914" s="291"/>
      <c r="M5914" s="291"/>
      <c r="S5914" s="364"/>
      <c r="Z5914" s="609">
        <v>7061</v>
      </c>
      <c r="AA5914" s="609"/>
    </row>
    <row r="5915" spans="1:27" ht="18">
      <c r="A5915" s="2714"/>
      <c r="B5915" s="371">
        <v>102</v>
      </c>
      <c r="C5915" s="371" t="s">
        <v>2791</v>
      </c>
      <c r="D5915" s="2716">
        <f t="shared" si="636"/>
        <v>0</v>
      </c>
      <c r="E5915" s="2721">
        <v>1</v>
      </c>
      <c r="F5915" s="294"/>
      <c r="G5915" s="1563" t="s">
        <v>2792</v>
      </c>
      <c r="H5915" s="360"/>
      <c r="I5915" s="309"/>
      <c r="J5915" s="388"/>
      <c r="K5915" s="291"/>
      <c r="L5915" s="291"/>
      <c r="M5915" s="291"/>
      <c r="S5915" s="364"/>
      <c r="Z5915" s="609">
        <v>7061</v>
      </c>
      <c r="AA5915" s="609"/>
    </row>
    <row r="5916" spans="1:27" ht="18">
      <c r="A5916" s="2714"/>
      <c r="B5916" s="371">
        <v>103</v>
      </c>
      <c r="C5916" s="371" t="s">
        <v>2791</v>
      </c>
      <c r="D5916" s="2716">
        <f t="shared" si="636"/>
        <v>0</v>
      </c>
      <c r="E5916" s="2721">
        <v>1</v>
      </c>
      <c r="F5916" s="294"/>
      <c r="G5916" s="1563" t="s">
        <v>2792</v>
      </c>
      <c r="H5916" s="360"/>
      <c r="I5916" s="309"/>
      <c r="J5916" s="388"/>
      <c r="K5916" s="291"/>
      <c r="L5916" s="291"/>
      <c r="M5916" s="291"/>
      <c r="S5916" s="364"/>
      <c r="Z5916" s="609">
        <v>7061</v>
      </c>
      <c r="AA5916" s="609"/>
    </row>
    <row r="5917" spans="1:27" ht="18">
      <c r="A5917" s="2714"/>
      <c r="B5917" s="371">
        <v>104</v>
      </c>
      <c r="C5917" s="371" t="s">
        <v>2791</v>
      </c>
      <c r="D5917" s="2716">
        <f t="shared" si="636"/>
        <v>0</v>
      </c>
      <c r="E5917" s="2721">
        <v>1</v>
      </c>
      <c r="F5917" s="294"/>
      <c r="G5917" s="1563" t="s">
        <v>2792</v>
      </c>
      <c r="H5917" s="360"/>
      <c r="I5917" s="309"/>
      <c r="J5917" s="388"/>
      <c r="K5917" s="291"/>
      <c r="L5917" s="291"/>
      <c r="M5917" s="291"/>
      <c r="S5917" s="364"/>
      <c r="Z5917" s="609">
        <v>7061</v>
      </c>
      <c r="AA5917" s="609"/>
    </row>
    <row r="5918" spans="1:27" ht="18">
      <c r="A5918" s="2714"/>
      <c r="B5918" s="371">
        <v>105</v>
      </c>
      <c r="C5918" s="371" t="s">
        <v>2791</v>
      </c>
      <c r="D5918" s="2716">
        <f t="shared" si="636"/>
        <v>0</v>
      </c>
      <c r="E5918" s="2721">
        <v>1</v>
      </c>
      <c r="F5918" s="294"/>
      <c r="G5918" s="1563" t="s">
        <v>2792</v>
      </c>
      <c r="H5918" s="360"/>
      <c r="I5918" s="309"/>
      <c r="J5918" s="388"/>
      <c r="K5918" s="291"/>
      <c r="L5918" s="291"/>
      <c r="M5918" s="291"/>
      <c r="S5918" s="364"/>
      <c r="Z5918" s="609">
        <v>7061</v>
      </c>
      <c r="AA5918" s="609"/>
    </row>
    <row r="5919" spans="1:27" ht="18.75" thickBot="1">
      <c r="A5919" s="2714"/>
      <c r="B5919" s="371"/>
      <c r="C5919" s="371"/>
      <c r="D5919" s="2716">
        <f t="shared" si="636"/>
        <v>1</v>
      </c>
      <c r="E5919" s="2721" t="s">
        <v>2751</v>
      </c>
      <c r="F5919" s="294"/>
      <c r="G5919" s="1529" t="s">
        <v>2752</v>
      </c>
      <c r="H5919" s="1570"/>
      <c r="I5919" s="1527">
        <f>SUMPRODUCT($E5913:$E5918,I5913:I5918)</f>
        <v>0</v>
      </c>
      <c r="J5919" s="1571"/>
      <c r="K5919" s="291"/>
      <c r="L5919" s="291"/>
      <c r="M5919" s="291"/>
      <c r="S5919" s="364"/>
      <c r="Z5919" s="609">
        <v>7061</v>
      </c>
      <c r="AA5919" s="609"/>
    </row>
    <row r="5920" spans="1:27" ht="18">
      <c r="A5920" s="2714"/>
      <c r="B5920" s="371"/>
      <c r="C5920" s="371" t="s">
        <v>2755</v>
      </c>
      <c r="D5920" s="371"/>
      <c r="F5920" s="294"/>
      <c r="G5920" s="301"/>
      <c r="H5920" s="393"/>
      <c r="I5920" s="315"/>
      <c r="J5920" s="393"/>
      <c r="K5920" s="291"/>
      <c r="L5920" s="291"/>
      <c r="M5920" s="291"/>
      <c r="S5920" s="364"/>
      <c r="Z5920" s="609">
        <v>7061</v>
      </c>
      <c r="AA5920" s="609"/>
    </row>
    <row r="5921" spans="1:27" ht="18">
      <c r="A5921" s="2714">
        <v>7071</v>
      </c>
      <c r="B5921" s="371">
        <v>78.739999999999995</v>
      </c>
      <c r="C5921" s="2716" t="str">
        <f>VLOOKUP($A5921,Sheet_Items,2,0)</f>
        <v>支付的各项税费</v>
      </c>
      <c r="D5921" s="371"/>
      <c r="E5921" s="2716" t="s">
        <v>2739</v>
      </c>
      <c r="F5921" s="294"/>
      <c r="G5921" s="536" t="str">
        <f>B5921&amp;" "&amp;C5921</f>
        <v>78.74 支付的各项税费</v>
      </c>
      <c r="H5921" s="322"/>
      <c r="I5921" s="322"/>
      <c r="J5921" s="306" t="s">
        <v>4206</v>
      </c>
      <c r="K5921" s="341">
        <f>VLOOKUP($A5921,Sheet_Trialbal,6,0)</f>
        <v>3106865.8</v>
      </c>
      <c r="L5921" s="342"/>
      <c r="M5921" s="306"/>
      <c r="N5921" s="341"/>
      <c r="O5921" s="306"/>
      <c r="P5921" s="301"/>
      <c r="S5921" s="364"/>
      <c r="Z5921" s="609">
        <v>7071</v>
      </c>
      <c r="AA5921" s="609"/>
    </row>
    <row r="5922" spans="1:27" ht="18">
      <c r="A5922" s="2714" t="s">
        <v>1955</v>
      </c>
      <c r="B5922" s="371">
        <v>1</v>
      </c>
      <c r="C5922" s="371"/>
      <c r="D5922" s="2716" t="str">
        <f>VLOOKUP($A5922,Sheet_NoteList,2,0)</f>
        <v>支付的各项税费计算表</v>
      </c>
      <c r="E5922" s="2716" t="s">
        <v>2742</v>
      </c>
      <c r="F5922" s="294"/>
      <c r="G5922" s="483" t="str">
        <f>"("&amp;B5922&amp;")"&amp;D5922</f>
        <v>(1)支付的各项税费计算表</v>
      </c>
      <c r="H5922" s="1517" t="str">
        <f>$A5922</f>
        <v>7071x</v>
      </c>
      <c r="I5922" s="343" t="s">
        <v>2743</v>
      </c>
      <c r="J5922" s="301" t="s">
        <v>4712</v>
      </c>
      <c r="K5922" s="2210">
        <f>I5930</f>
        <v>0</v>
      </c>
      <c r="L5922" s="345">
        <f>IF(ROUND(K5921-K5922,2)=0,"F/S",ROUND(K5921-K5922,2))</f>
        <v>3106865.8</v>
      </c>
      <c r="M5922" s="532" t="s">
        <v>4713</v>
      </c>
      <c r="N5922" s="3083"/>
      <c r="O5922" s="315"/>
      <c r="P5922" s="301"/>
      <c r="S5922" s="364"/>
      <c r="Z5922" s="609">
        <v>7071</v>
      </c>
      <c r="AA5922" s="609"/>
    </row>
    <row r="5923" spans="1:27" ht="0.75" customHeight="1" thickBot="1">
      <c r="A5923" s="2714"/>
      <c r="B5923" s="371"/>
      <c r="C5923" s="371"/>
      <c r="D5923" s="371"/>
      <c r="F5923" s="371"/>
      <c r="G5923" s="371" t="s">
        <v>4722</v>
      </c>
      <c r="H5923" s="371" t="s">
        <v>4715</v>
      </c>
      <c r="I5923" s="371" t="s">
        <v>4716</v>
      </c>
      <c r="J5923" s="371" t="s">
        <v>3671</v>
      </c>
      <c r="K5923" s="291"/>
      <c r="L5923" s="291"/>
      <c r="M5923" s="291"/>
      <c r="S5923" s="364"/>
      <c r="Z5923" s="609">
        <v>7071</v>
      </c>
      <c r="AA5923" s="609"/>
    </row>
    <row r="5924" spans="1:27" ht="18">
      <c r="A5924" s="2714"/>
      <c r="B5924" s="371"/>
      <c r="C5924" s="371"/>
      <c r="D5924" s="371"/>
      <c r="E5924" s="2716" t="s">
        <v>2749</v>
      </c>
      <c r="F5924" s="294"/>
      <c r="G5924" s="1564" t="s">
        <v>47</v>
      </c>
      <c r="H5924" s="1565" t="s">
        <v>4717</v>
      </c>
      <c r="I5924" s="1565" t="s">
        <v>2887</v>
      </c>
      <c r="J5924" s="1566" t="s">
        <v>2758</v>
      </c>
      <c r="K5924" s="291"/>
      <c r="L5924" s="291"/>
      <c r="M5924" s="291"/>
      <c r="S5924" s="364"/>
      <c r="Z5924" s="609">
        <v>7071</v>
      </c>
      <c r="AA5924" s="609"/>
    </row>
    <row r="5925" spans="1:27" ht="18">
      <c r="A5925" s="2714"/>
      <c r="B5925" s="371">
        <v>101</v>
      </c>
      <c r="C5925" s="371" t="s">
        <v>2791</v>
      </c>
      <c r="D5925" s="2716">
        <f t="shared" ref="D5925:D5930" si="637">IF(OR(G5925="*",G5925="",G5925=0),0,COUNTIF($G$5925:$G$5930,G5925))</f>
        <v>0</v>
      </c>
      <c r="E5925" s="2721">
        <v>1</v>
      </c>
      <c r="F5925" s="294"/>
      <c r="G5925" s="1563" t="s">
        <v>2792</v>
      </c>
      <c r="H5925" s="360"/>
      <c r="I5925" s="309"/>
      <c r="J5925" s="388"/>
      <c r="K5925" s="291"/>
      <c r="L5925" s="291"/>
      <c r="M5925" s="291"/>
      <c r="S5925" s="364"/>
      <c r="Z5925" s="609">
        <v>7071</v>
      </c>
      <c r="AA5925" s="609"/>
    </row>
    <row r="5926" spans="1:27" ht="18">
      <c r="A5926" s="2714"/>
      <c r="B5926" s="371">
        <v>102</v>
      </c>
      <c r="C5926" s="371" t="s">
        <v>2791</v>
      </c>
      <c r="D5926" s="2716">
        <f t="shared" si="637"/>
        <v>0</v>
      </c>
      <c r="E5926" s="2721">
        <v>1</v>
      </c>
      <c r="F5926" s="294"/>
      <c r="G5926" s="1563" t="s">
        <v>2792</v>
      </c>
      <c r="H5926" s="360"/>
      <c r="I5926" s="309"/>
      <c r="J5926" s="388"/>
      <c r="K5926" s="291"/>
      <c r="L5926" s="291"/>
      <c r="M5926" s="291"/>
      <c r="S5926" s="364"/>
      <c r="Z5926" s="609">
        <v>7071</v>
      </c>
      <c r="AA5926" s="609"/>
    </row>
    <row r="5927" spans="1:27" ht="18">
      <c r="A5927" s="2714"/>
      <c r="B5927" s="371">
        <v>103</v>
      </c>
      <c r="C5927" s="371" t="s">
        <v>2791</v>
      </c>
      <c r="D5927" s="2716">
        <f t="shared" si="637"/>
        <v>0</v>
      </c>
      <c r="E5927" s="2721">
        <v>1</v>
      </c>
      <c r="F5927" s="294"/>
      <c r="G5927" s="1563" t="s">
        <v>2792</v>
      </c>
      <c r="H5927" s="360"/>
      <c r="I5927" s="309"/>
      <c r="J5927" s="388"/>
      <c r="K5927" s="291"/>
      <c r="L5927" s="291"/>
      <c r="M5927" s="291"/>
      <c r="S5927" s="364"/>
      <c r="Z5927" s="609">
        <v>7071</v>
      </c>
      <c r="AA5927" s="609"/>
    </row>
    <row r="5928" spans="1:27" ht="18">
      <c r="A5928" s="2714"/>
      <c r="B5928" s="371">
        <v>104</v>
      </c>
      <c r="C5928" s="371" t="s">
        <v>2791</v>
      </c>
      <c r="D5928" s="2716">
        <f t="shared" si="637"/>
        <v>0</v>
      </c>
      <c r="E5928" s="2721">
        <v>1</v>
      </c>
      <c r="F5928" s="294"/>
      <c r="G5928" s="1563" t="s">
        <v>2792</v>
      </c>
      <c r="H5928" s="360"/>
      <c r="I5928" s="309"/>
      <c r="J5928" s="388"/>
      <c r="K5928" s="291"/>
      <c r="L5928" s="291"/>
      <c r="M5928" s="291"/>
      <c r="S5928" s="364"/>
      <c r="Z5928" s="609">
        <v>7071</v>
      </c>
      <c r="AA5928" s="609"/>
    </row>
    <row r="5929" spans="1:27" ht="18">
      <c r="A5929" s="2714"/>
      <c r="B5929" s="371">
        <v>105</v>
      </c>
      <c r="C5929" s="371" t="s">
        <v>2791</v>
      </c>
      <c r="D5929" s="2716">
        <f t="shared" si="637"/>
        <v>0</v>
      </c>
      <c r="E5929" s="2721">
        <v>1</v>
      </c>
      <c r="F5929" s="294"/>
      <c r="G5929" s="1563" t="s">
        <v>2792</v>
      </c>
      <c r="H5929" s="360"/>
      <c r="I5929" s="309"/>
      <c r="J5929" s="388"/>
      <c r="K5929" s="291"/>
      <c r="L5929" s="291"/>
      <c r="M5929" s="291"/>
      <c r="S5929" s="364"/>
      <c r="Z5929" s="609">
        <v>7071</v>
      </c>
      <c r="AA5929" s="609"/>
    </row>
    <row r="5930" spans="1:27" ht="18.75" thickBot="1">
      <c r="A5930" s="2714"/>
      <c r="B5930" s="371"/>
      <c r="C5930" s="371"/>
      <c r="D5930" s="2716">
        <f t="shared" si="637"/>
        <v>1</v>
      </c>
      <c r="E5930" s="2721" t="s">
        <v>2751</v>
      </c>
      <c r="F5930" s="294"/>
      <c r="G5930" s="1529" t="s">
        <v>2752</v>
      </c>
      <c r="H5930" s="1570"/>
      <c r="I5930" s="1527">
        <f>SUMPRODUCT($E5924:$E5929,I5924:I5929)</f>
        <v>0</v>
      </c>
      <c r="J5930" s="1571"/>
      <c r="K5930" s="291"/>
      <c r="L5930" s="291"/>
      <c r="M5930" s="291"/>
      <c r="S5930" s="364"/>
      <c r="Z5930" s="609">
        <v>7071</v>
      </c>
      <c r="AA5930" s="609"/>
    </row>
    <row r="5931" spans="1:27" ht="18">
      <c r="A5931" s="2714"/>
      <c r="B5931" s="371"/>
      <c r="C5931" s="371" t="s">
        <v>2755</v>
      </c>
      <c r="D5931" s="371"/>
      <c r="F5931" s="294"/>
      <c r="G5931" s="301"/>
      <c r="H5931" s="393"/>
      <c r="I5931" s="315"/>
      <c r="J5931" s="393"/>
      <c r="K5931" s="291"/>
      <c r="L5931" s="291"/>
      <c r="M5931" s="291"/>
      <c r="S5931" s="364"/>
      <c r="Z5931" s="609">
        <v>7071</v>
      </c>
      <c r="AA5931" s="609"/>
    </row>
    <row r="5932" spans="1:27" ht="18">
      <c r="A5932" s="2714">
        <v>7096</v>
      </c>
      <c r="B5932" s="371">
        <v>78.2</v>
      </c>
      <c r="C5932" s="2716" t="str">
        <f>VLOOKUP($A5932,Sheet_Items,2,0)</f>
        <v>支付其他与经营活动有关的现金</v>
      </c>
      <c r="D5932" s="371"/>
      <c r="E5932" s="2716" t="s">
        <v>2739</v>
      </c>
      <c r="F5932" s="294"/>
      <c r="G5932" s="536" t="str">
        <f>B5932&amp;" "&amp;C5932</f>
        <v>78.2 支付其他与经营活动有关的现金</v>
      </c>
      <c r="H5932" s="322"/>
      <c r="I5932" s="322"/>
      <c r="J5932" s="306" t="s">
        <v>4206</v>
      </c>
      <c r="K5932" s="341">
        <f>VLOOKUP($A5932,Sheet_Trialbal,6,0)</f>
        <v>5764273.5599999996</v>
      </c>
      <c r="L5932" s="342"/>
      <c r="M5932" s="306"/>
      <c r="N5932" s="341"/>
      <c r="O5932" s="306"/>
      <c r="P5932" s="301"/>
      <c r="S5932" s="364"/>
      <c r="Z5932" s="609">
        <v>7096</v>
      </c>
      <c r="AA5932" s="609"/>
    </row>
    <row r="5933" spans="1:27" ht="24">
      <c r="A5933" s="2714" t="s">
        <v>1960</v>
      </c>
      <c r="B5933" s="371">
        <v>1</v>
      </c>
      <c r="C5933" s="371"/>
      <c r="D5933" s="2716" t="str">
        <f>VLOOKUP($A5933,Sheet_NoteList,2,0)</f>
        <v>支付其他与经营活动有关的现金计算表</v>
      </c>
      <c r="E5933" s="2716" t="s">
        <v>2742</v>
      </c>
      <c r="F5933" s="294"/>
      <c r="G5933" s="483" t="str">
        <f>"("&amp;B5933&amp;")"&amp;D5933</f>
        <v>(1)支付其他与经营活动有关的现金计算表</v>
      </c>
      <c r="H5933" s="1517" t="str">
        <f>$A5933</f>
        <v>7096x</v>
      </c>
      <c r="I5933" s="343" t="s">
        <v>2743</v>
      </c>
      <c r="J5933" s="301" t="s">
        <v>4712</v>
      </c>
      <c r="K5933" s="2210">
        <f>I5941</f>
        <v>0</v>
      </c>
      <c r="L5933" s="345">
        <f>IF(ROUND(K5932-K5933,2)=0,"F/S",ROUND(K5932-K5933,2))</f>
        <v>5764273.5599999996</v>
      </c>
      <c r="M5933" s="532" t="s">
        <v>4713</v>
      </c>
      <c r="N5933" s="3083"/>
      <c r="O5933" s="315"/>
      <c r="P5933" s="301"/>
      <c r="S5933" s="364"/>
      <c r="Z5933" s="609">
        <v>7096</v>
      </c>
      <c r="AA5933" s="609"/>
    </row>
    <row r="5934" spans="1:27" ht="0.75" customHeight="1" thickBot="1">
      <c r="A5934" s="2714"/>
      <c r="B5934" s="371"/>
      <c r="C5934" s="371"/>
      <c r="D5934" s="371"/>
      <c r="F5934" s="371"/>
      <c r="G5934" s="371" t="s">
        <v>4723</v>
      </c>
      <c r="H5934" s="371" t="s">
        <v>4715</v>
      </c>
      <c r="I5934" s="371" t="s">
        <v>4716</v>
      </c>
      <c r="J5934" s="371" t="s">
        <v>3671</v>
      </c>
      <c r="K5934" s="291"/>
      <c r="L5934" s="291"/>
      <c r="M5934" s="291"/>
      <c r="S5934" s="364"/>
      <c r="Z5934" s="609">
        <v>7096</v>
      </c>
      <c r="AA5934" s="609"/>
    </row>
    <row r="5935" spans="1:27" ht="18">
      <c r="A5935" s="2714"/>
      <c r="B5935" s="371"/>
      <c r="C5935" s="371"/>
      <c r="D5935" s="371"/>
      <c r="E5935" s="2716" t="s">
        <v>2749</v>
      </c>
      <c r="F5935" s="294"/>
      <c r="G5935" s="1564" t="s">
        <v>47</v>
      </c>
      <c r="H5935" s="1565" t="s">
        <v>4717</v>
      </c>
      <c r="I5935" s="1565" t="s">
        <v>2887</v>
      </c>
      <c r="J5935" s="1566" t="s">
        <v>2758</v>
      </c>
      <c r="K5935" s="291"/>
      <c r="L5935" s="291"/>
      <c r="M5935" s="291"/>
      <c r="S5935" s="364"/>
      <c r="Z5935" s="609">
        <v>7096</v>
      </c>
      <c r="AA5935" s="609"/>
    </row>
    <row r="5936" spans="1:27" ht="18">
      <c r="A5936" s="2714"/>
      <c r="B5936" s="371">
        <v>101</v>
      </c>
      <c r="C5936" s="371" t="s">
        <v>2791</v>
      </c>
      <c r="D5936" s="2716">
        <f t="shared" ref="D5936:D5941" si="638">IF(OR(G5936="*",G5936="",G5936=0),0,COUNTIF($G$5936:$G$5941,G5936))</f>
        <v>0</v>
      </c>
      <c r="E5936" s="2721">
        <v>1</v>
      </c>
      <c r="F5936" s="294"/>
      <c r="G5936" s="1563" t="s">
        <v>2792</v>
      </c>
      <c r="H5936" s="360"/>
      <c r="I5936" s="309"/>
      <c r="J5936" s="388"/>
      <c r="K5936" s="291"/>
      <c r="L5936" s="291"/>
      <c r="M5936" s="291"/>
      <c r="S5936" s="364"/>
      <c r="Z5936" s="609">
        <v>7096</v>
      </c>
      <c r="AA5936" s="609"/>
    </row>
    <row r="5937" spans="1:27" ht="18">
      <c r="A5937" s="2714"/>
      <c r="B5937" s="371">
        <v>102</v>
      </c>
      <c r="C5937" s="371" t="s">
        <v>2791</v>
      </c>
      <c r="D5937" s="2716">
        <f t="shared" si="638"/>
        <v>0</v>
      </c>
      <c r="E5937" s="2721">
        <v>1</v>
      </c>
      <c r="F5937" s="294"/>
      <c r="G5937" s="1563" t="s">
        <v>2792</v>
      </c>
      <c r="H5937" s="360"/>
      <c r="I5937" s="309"/>
      <c r="J5937" s="388"/>
      <c r="K5937" s="291"/>
      <c r="L5937" s="291"/>
      <c r="M5937" s="291"/>
      <c r="S5937" s="364"/>
      <c r="Z5937" s="609">
        <v>7096</v>
      </c>
      <c r="AA5937" s="609"/>
    </row>
    <row r="5938" spans="1:27" ht="18">
      <c r="A5938" s="2714"/>
      <c r="B5938" s="371">
        <v>103</v>
      </c>
      <c r="C5938" s="371" t="s">
        <v>2791</v>
      </c>
      <c r="D5938" s="2716">
        <f t="shared" si="638"/>
        <v>0</v>
      </c>
      <c r="E5938" s="2721">
        <v>1</v>
      </c>
      <c r="F5938" s="294"/>
      <c r="G5938" s="1563" t="s">
        <v>2792</v>
      </c>
      <c r="H5938" s="360"/>
      <c r="I5938" s="309"/>
      <c r="J5938" s="388"/>
      <c r="K5938" s="291"/>
      <c r="L5938" s="291"/>
      <c r="M5938" s="291"/>
      <c r="S5938" s="364"/>
      <c r="Z5938" s="609">
        <v>7096</v>
      </c>
      <c r="AA5938" s="609"/>
    </row>
    <row r="5939" spans="1:27" ht="18">
      <c r="A5939" s="2714"/>
      <c r="B5939" s="371">
        <v>104</v>
      </c>
      <c r="C5939" s="371" t="s">
        <v>2791</v>
      </c>
      <c r="D5939" s="2716">
        <f t="shared" si="638"/>
        <v>0</v>
      </c>
      <c r="E5939" s="2721">
        <v>1</v>
      </c>
      <c r="F5939" s="294"/>
      <c r="G5939" s="1563" t="s">
        <v>2792</v>
      </c>
      <c r="H5939" s="360"/>
      <c r="I5939" s="309"/>
      <c r="J5939" s="388"/>
      <c r="K5939" s="291"/>
      <c r="L5939" s="291"/>
      <c r="M5939" s="291"/>
      <c r="S5939" s="364"/>
      <c r="Z5939" s="609">
        <v>7096</v>
      </c>
      <c r="AA5939" s="609"/>
    </row>
    <row r="5940" spans="1:27" ht="18">
      <c r="A5940" s="2714"/>
      <c r="B5940" s="371">
        <v>105</v>
      </c>
      <c r="C5940" s="371" t="s">
        <v>2791</v>
      </c>
      <c r="D5940" s="2716">
        <f t="shared" si="638"/>
        <v>0</v>
      </c>
      <c r="E5940" s="2721">
        <v>1</v>
      </c>
      <c r="F5940" s="294"/>
      <c r="G5940" s="1563" t="s">
        <v>2792</v>
      </c>
      <c r="H5940" s="360"/>
      <c r="I5940" s="309"/>
      <c r="J5940" s="388"/>
      <c r="K5940" s="291"/>
      <c r="L5940" s="291"/>
      <c r="M5940" s="291"/>
      <c r="S5940" s="364"/>
      <c r="Z5940" s="609">
        <v>7096</v>
      </c>
      <c r="AA5940" s="609"/>
    </row>
    <row r="5941" spans="1:27" ht="18.75" thickBot="1">
      <c r="A5941" s="2714"/>
      <c r="B5941" s="371"/>
      <c r="C5941" s="371"/>
      <c r="D5941" s="2716">
        <f t="shared" si="638"/>
        <v>1</v>
      </c>
      <c r="E5941" s="2721" t="s">
        <v>2751</v>
      </c>
      <c r="F5941" s="294"/>
      <c r="G5941" s="1529" t="s">
        <v>2752</v>
      </c>
      <c r="H5941" s="1570"/>
      <c r="I5941" s="1527">
        <f>SUMPRODUCT($E5935:$E5940,I5935:I5940)</f>
        <v>0</v>
      </c>
      <c r="J5941" s="1571"/>
      <c r="K5941" s="291"/>
      <c r="L5941" s="291"/>
      <c r="M5941" s="291"/>
      <c r="S5941" s="364"/>
      <c r="Z5941" s="609">
        <v>7096</v>
      </c>
      <c r="AA5941" s="609"/>
    </row>
    <row r="5942" spans="1:27" ht="18">
      <c r="A5942" s="2714"/>
      <c r="B5942" s="371"/>
      <c r="C5942" s="371" t="s">
        <v>2755</v>
      </c>
      <c r="D5942" s="371"/>
      <c r="F5942" s="294"/>
      <c r="G5942" s="301"/>
      <c r="H5942" s="393"/>
      <c r="I5942" s="315"/>
      <c r="J5942" s="393"/>
      <c r="K5942" s="291"/>
      <c r="L5942" s="291"/>
      <c r="M5942" s="291"/>
      <c r="S5942" s="364"/>
      <c r="Z5942" s="609">
        <v>7096</v>
      </c>
      <c r="AA5942" s="609"/>
    </row>
    <row r="5943" spans="1:27" ht="18">
      <c r="A5943" s="2714">
        <v>7101</v>
      </c>
      <c r="B5943" s="371">
        <v>78.75</v>
      </c>
      <c r="C5943" s="2716" t="str">
        <f>VLOOKUP($A5943,Sheet_Items,2,0)</f>
        <v>收回投资收到的现金</v>
      </c>
      <c r="D5943" s="371"/>
      <c r="E5943" s="2716" t="s">
        <v>2739</v>
      </c>
      <c r="F5943" s="294"/>
      <c r="G5943" s="536" t="str">
        <f>B5943&amp;" "&amp;C5943</f>
        <v>78.75 收回投资收到的现金</v>
      </c>
      <c r="H5943" s="322"/>
      <c r="I5943" s="322"/>
      <c r="J5943" s="306" t="s">
        <v>4206</v>
      </c>
      <c r="K5943" s="341">
        <f>VLOOKUP($A5943,Sheet_Trialbal,6,0)</f>
        <v>650000</v>
      </c>
      <c r="L5943" s="342"/>
      <c r="M5943" s="306"/>
      <c r="N5943" s="341"/>
      <c r="O5943" s="306"/>
      <c r="P5943" s="301"/>
      <c r="S5943" s="364"/>
      <c r="Z5943" s="609">
        <v>7101</v>
      </c>
      <c r="AA5943" s="609"/>
    </row>
    <row r="5944" spans="1:27" ht="24">
      <c r="A5944" s="2714" t="s">
        <v>1963</v>
      </c>
      <c r="B5944" s="371">
        <v>1</v>
      </c>
      <c r="C5944" s="371"/>
      <c r="D5944" s="2716" t="str">
        <f>VLOOKUP($A5944,Sheet_NoteList,2,0)</f>
        <v>收回投资收到的现金计算表</v>
      </c>
      <c r="E5944" s="2716" t="s">
        <v>2742</v>
      </c>
      <c r="F5944" s="294"/>
      <c r="G5944" s="483" t="str">
        <f>"("&amp;B5944&amp;")"&amp;D5944</f>
        <v>(1)收回投资收到的现金计算表</v>
      </c>
      <c r="H5944" s="1517" t="str">
        <f>$A5944</f>
        <v>7101x</v>
      </c>
      <c r="I5944" s="343" t="s">
        <v>2743</v>
      </c>
      <c r="J5944" s="301" t="s">
        <v>4712</v>
      </c>
      <c r="K5944" s="2210">
        <f>I5952</f>
        <v>0</v>
      </c>
      <c r="L5944" s="345">
        <f>IF(ROUND(K5943-K5944,2)=0,"F/S",ROUND(K5943-K5944,2))</f>
        <v>650000</v>
      </c>
      <c r="M5944" s="532" t="s">
        <v>4713</v>
      </c>
      <c r="N5944" s="3083"/>
      <c r="O5944" s="315"/>
      <c r="P5944" s="301"/>
      <c r="S5944" s="364"/>
      <c r="Z5944" s="609">
        <v>7101</v>
      </c>
      <c r="AA5944" s="609"/>
    </row>
    <row r="5945" spans="1:27" ht="0.75" customHeight="1" thickBot="1">
      <c r="A5945" s="2714"/>
      <c r="B5945" s="371"/>
      <c r="C5945" s="371"/>
      <c r="D5945" s="371"/>
      <c r="F5945" s="371"/>
      <c r="G5945" s="371" t="s">
        <v>4724</v>
      </c>
      <c r="H5945" s="371" t="s">
        <v>4715</v>
      </c>
      <c r="I5945" s="371" t="s">
        <v>4716</v>
      </c>
      <c r="J5945" s="371" t="s">
        <v>3671</v>
      </c>
      <c r="K5945" s="291"/>
      <c r="L5945" s="291"/>
      <c r="M5945" s="291"/>
      <c r="S5945" s="364"/>
      <c r="Z5945" s="609">
        <v>7101</v>
      </c>
      <c r="AA5945" s="609"/>
    </row>
    <row r="5946" spans="1:27" ht="18">
      <c r="A5946" s="2714"/>
      <c r="B5946" s="371"/>
      <c r="C5946" s="371"/>
      <c r="D5946" s="371"/>
      <c r="E5946" s="2716" t="s">
        <v>2749</v>
      </c>
      <c r="F5946" s="294"/>
      <c r="G5946" s="1564" t="s">
        <v>47</v>
      </c>
      <c r="H5946" s="1565" t="s">
        <v>4717</v>
      </c>
      <c r="I5946" s="1565" t="s">
        <v>2887</v>
      </c>
      <c r="J5946" s="1566" t="s">
        <v>2758</v>
      </c>
      <c r="K5946" s="291"/>
      <c r="L5946" s="291"/>
      <c r="M5946" s="291"/>
      <c r="S5946" s="364"/>
      <c r="Z5946" s="609">
        <v>7101</v>
      </c>
      <c r="AA5946" s="609"/>
    </row>
    <row r="5947" spans="1:27" ht="18">
      <c r="A5947" s="2714"/>
      <c r="B5947" s="371">
        <v>101</v>
      </c>
      <c r="C5947" s="371" t="s">
        <v>2791</v>
      </c>
      <c r="D5947" s="2716">
        <f t="shared" ref="D5947:D5952" si="639">IF(OR(G5947="*",G5947="",G5947=0),0,COUNTIF($G$5947:$G$5952,G5947))</f>
        <v>1</v>
      </c>
      <c r="E5947" s="2721">
        <v>1</v>
      </c>
      <c r="F5947" s="294"/>
      <c r="G5947" s="1563" t="s">
        <v>4725</v>
      </c>
      <c r="H5947" s="360" t="s">
        <v>4726</v>
      </c>
      <c r="I5947" s="309"/>
      <c r="J5947" s="388"/>
      <c r="K5947" s="291"/>
      <c r="L5947" s="291"/>
      <c r="M5947" s="291"/>
      <c r="S5947" s="364"/>
      <c r="Z5947" s="609">
        <v>7101</v>
      </c>
      <c r="AA5947" s="609"/>
    </row>
    <row r="5948" spans="1:27" ht="18">
      <c r="A5948" s="2714"/>
      <c r="B5948" s="371">
        <v>102</v>
      </c>
      <c r="C5948" s="371" t="s">
        <v>2791</v>
      </c>
      <c r="D5948" s="2716">
        <f t="shared" si="639"/>
        <v>1</v>
      </c>
      <c r="E5948" s="2721">
        <v>1</v>
      </c>
      <c r="F5948" s="294"/>
      <c r="G5948" s="1563" t="s">
        <v>4727</v>
      </c>
      <c r="H5948" s="360" t="s">
        <v>4726</v>
      </c>
      <c r="I5948" s="309"/>
      <c r="J5948" s="388"/>
      <c r="K5948" s="291"/>
      <c r="L5948" s="291"/>
      <c r="M5948" s="291"/>
      <c r="S5948" s="364"/>
      <c r="Z5948" s="609">
        <v>7101</v>
      </c>
      <c r="AA5948" s="609"/>
    </row>
    <row r="5949" spans="1:27" ht="18">
      <c r="A5949" s="2714"/>
      <c r="B5949" s="371">
        <v>103</v>
      </c>
      <c r="C5949" s="371" t="s">
        <v>2791</v>
      </c>
      <c r="D5949" s="2716">
        <f t="shared" si="639"/>
        <v>1</v>
      </c>
      <c r="E5949" s="2721">
        <v>1</v>
      </c>
      <c r="F5949" s="294"/>
      <c r="G5949" s="1563" t="s">
        <v>4728</v>
      </c>
      <c r="H5949" s="360" t="s">
        <v>4726</v>
      </c>
      <c r="I5949" s="309"/>
      <c r="J5949" s="388"/>
      <c r="K5949" s="291"/>
      <c r="L5949" s="291"/>
      <c r="M5949" s="291"/>
      <c r="S5949" s="364"/>
      <c r="Z5949" s="609">
        <v>7101</v>
      </c>
      <c r="AA5949" s="609"/>
    </row>
    <row r="5950" spans="1:27" ht="18">
      <c r="A5950" s="2714"/>
      <c r="B5950" s="371">
        <v>104</v>
      </c>
      <c r="C5950" s="371" t="s">
        <v>2791</v>
      </c>
      <c r="D5950" s="2716">
        <f t="shared" si="639"/>
        <v>1</v>
      </c>
      <c r="E5950" s="2721">
        <v>1</v>
      </c>
      <c r="F5950" s="294"/>
      <c r="G5950" s="1563" t="s">
        <v>4729</v>
      </c>
      <c r="H5950" s="360" t="s">
        <v>4726</v>
      </c>
      <c r="I5950" s="309"/>
      <c r="J5950" s="388"/>
      <c r="K5950" s="291"/>
      <c r="L5950" s="291"/>
      <c r="M5950" s="291"/>
      <c r="S5950" s="364"/>
      <c r="Z5950" s="609">
        <v>7101</v>
      </c>
      <c r="AA5950" s="609"/>
    </row>
    <row r="5951" spans="1:27" ht="18">
      <c r="A5951" s="2714"/>
      <c r="B5951" s="371">
        <v>105</v>
      </c>
      <c r="C5951" s="371" t="s">
        <v>2791</v>
      </c>
      <c r="D5951" s="2716">
        <f t="shared" si="639"/>
        <v>0</v>
      </c>
      <c r="E5951" s="2721">
        <v>1</v>
      </c>
      <c r="F5951" s="294"/>
      <c r="G5951" s="1563" t="s">
        <v>2792</v>
      </c>
      <c r="H5951" s="360"/>
      <c r="I5951" s="309"/>
      <c r="J5951" s="388"/>
      <c r="K5951" s="291"/>
      <c r="L5951" s="291"/>
      <c r="M5951" s="291"/>
      <c r="S5951" s="364"/>
      <c r="Z5951" s="609">
        <v>7101</v>
      </c>
      <c r="AA5951" s="609"/>
    </row>
    <row r="5952" spans="1:27" ht="18.75" thickBot="1">
      <c r="A5952" s="2714"/>
      <c r="B5952" s="371"/>
      <c r="C5952" s="371"/>
      <c r="D5952" s="2716">
        <f t="shared" si="639"/>
        <v>1</v>
      </c>
      <c r="E5952" s="2721" t="s">
        <v>2751</v>
      </c>
      <c r="F5952" s="294"/>
      <c r="G5952" s="1529" t="s">
        <v>2752</v>
      </c>
      <c r="H5952" s="1570"/>
      <c r="I5952" s="1527">
        <f>SUMPRODUCT($E5946:$E5951,I5946:I5951)</f>
        <v>0</v>
      </c>
      <c r="J5952" s="1571"/>
      <c r="K5952" s="291"/>
      <c r="L5952" s="291"/>
      <c r="M5952" s="291"/>
      <c r="S5952" s="364"/>
      <c r="Z5952" s="609">
        <v>7101</v>
      </c>
      <c r="AA5952" s="609"/>
    </row>
    <row r="5953" spans="1:27" ht="18">
      <c r="A5953" s="2714"/>
      <c r="B5953" s="371"/>
      <c r="C5953" s="371" t="s">
        <v>2755</v>
      </c>
      <c r="D5953" s="371"/>
      <c r="F5953" s="294"/>
      <c r="G5953" s="301"/>
      <c r="H5953" s="393"/>
      <c r="I5953" s="315"/>
      <c r="J5953" s="393"/>
      <c r="K5953" s="291"/>
      <c r="L5953" s="291"/>
      <c r="M5953" s="291"/>
      <c r="S5953" s="364"/>
      <c r="Z5953" s="609">
        <v>7101</v>
      </c>
      <c r="AA5953" s="609"/>
    </row>
    <row r="5954" spans="1:27" ht="18">
      <c r="A5954" s="2714">
        <v>7105</v>
      </c>
      <c r="B5954" s="371">
        <v>78.760000000000005</v>
      </c>
      <c r="C5954" s="2716" t="str">
        <f>VLOOKUP($A5954,Sheet_Items,2,0)</f>
        <v>取得投资收益收到的现金</v>
      </c>
      <c r="D5954" s="371"/>
      <c r="E5954" s="2716" t="s">
        <v>2739</v>
      </c>
      <c r="F5954" s="294"/>
      <c r="G5954" s="536" t="str">
        <f>B5954&amp;" "&amp;C5954</f>
        <v>78.76 取得投资收益收到的现金</v>
      </c>
      <c r="H5954" s="322"/>
      <c r="I5954" s="322"/>
      <c r="J5954" s="306" t="s">
        <v>4206</v>
      </c>
      <c r="K5954" s="341">
        <f>VLOOKUP($A5954,Sheet_Trialbal,6,0)</f>
        <v>41851.06</v>
      </c>
      <c r="L5954" s="342"/>
      <c r="M5954" s="306"/>
      <c r="N5954" s="341"/>
      <c r="O5954" s="306"/>
      <c r="P5954" s="301"/>
      <c r="S5954" s="364"/>
      <c r="Z5954" s="609">
        <v>7105</v>
      </c>
      <c r="AA5954" s="609"/>
    </row>
    <row r="5955" spans="1:27" ht="24">
      <c r="A5955" s="2714" t="s">
        <v>1965</v>
      </c>
      <c r="B5955" s="371">
        <v>1</v>
      </c>
      <c r="C5955" s="371"/>
      <c r="D5955" s="2716" t="str">
        <f>VLOOKUP($A5955,Sheet_NoteList,2,0)</f>
        <v>取得投资收益收到的现金计算表</v>
      </c>
      <c r="E5955" s="2716" t="s">
        <v>2742</v>
      </c>
      <c r="F5955" s="294"/>
      <c r="G5955" s="483" t="str">
        <f>"("&amp;B5955&amp;")"&amp;D5955</f>
        <v>(1)取得投资收益收到的现金计算表</v>
      </c>
      <c r="H5955" s="1517" t="str">
        <f>$A5955</f>
        <v>7105x</v>
      </c>
      <c r="I5955" s="343" t="s">
        <v>2743</v>
      </c>
      <c r="J5955" s="301" t="s">
        <v>4712</v>
      </c>
      <c r="K5955" s="2210">
        <f>I5963</f>
        <v>0</v>
      </c>
      <c r="L5955" s="345">
        <f>IF(ROUND(K5954-K5955,2)=0,"F/S",ROUND(K5954-K5955,2))</f>
        <v>41851.06</v>
      </c>
      <c r="M5955" s="532" t="s">
        <v>4713</v>
      </c>
      <c r="N5955" s="3083"/>
      <c r="O5955" s="315"/>
      <c r="P5955" s="301"/>
      <c r="S5955" s="364"/>
      <c r="Z5955" s="609">
        <v>7105</v>
      </c>
      <c r="AA5955" s="609"/>
    </row>
    <row r="5956" spans="1:27" ht="0.75" customHeight="1" thickBot="1">
      <c r="A5956" s="2714"/>
      <c r="B5956" s="371"/>
      <c r="C5956" s="371"/>
      <c r="D5956" s="371"/>
      <c r="F5956" s="371"/>
      <c r="G5956" s="371" t="s">
        <v>4730</v>
      </c>
      <c r="H5956" s="371" t="s">
        <v>4715</v>
      </c>
      <c r="I5956" s="371" t="s">
        <v>4716</v>
      </c>
      <c r="J5956" s="371" t="s">
        <v>3671</v>
      </c>
      <c r="K5956" s="291"/>
      <c r="L5956" s="291"/>
      <c r="M5956" s="291"/>
      <c r="S5956" s="364"/>
      <c r="Z5956" s="609">
        <v>7105</v>
      </c>
      <c r="AA5956" s="609"/>
    </row>
    <row r="5957" spans="1:27" ht="18">
      <c r="A5957" s="2714"/>
      <c r="B5957" s="371"/>
      <c r="C5957" s="371"/>
      <c r="D5957" s="371"/>
      <c r="E5957" s="2716" t="s">
        <v>2749</v>
      </c>
      <c r="F5957" s="294"/>
      <c r="G5957" s="1564" t="s">
        <v>47</v>
      </c>
      <c r="H5957" s="1565" t="s">
        <v>4717</v>
      </c>
      <c r="I5957" s="1565" t="s">
        <v>2887</v>
      </c>
      <c r="J5957" s="1566" t="s">
        <v>2758</v>
      </c>
      <c r="K5957" s="291"/>
      <c r="L5957" s="291"/>
      <c r="M5957" s="291"/>
      <c r="S5957" s="364"/>
      <c r="Z5957" s="609">
        <v>7105</v>
      </c>
      <c r="AA5957" s="609"/>
    </row>
    <row r="5958" spans="1:27" ht="18">
      <c r="A5958" s="2714"/>
      <c r="B5958" s="371">
        <v>101</v>
      </c>
      <c r="C5958" s="371" t="s">
        <v>2791</v>
      </c>
      <c r="D5958" s="2716">
        <f t="shared" ref="D5958:D5963" si="640">IF(OR(G5958="*",G5958="",G5958=0),0,COUNTIF($G$5958:$G$5963,G5958))</f>
        <v>1</v>
      </c>
      <c r="E5958" s="2721">
        <v>1</v>
      </c>
      <c r="F5958" s="294"/>
      <c r="G5958" s="1563" t="s">
        <v>4731</v>
      </c>
      <c r="H5958" s="360" t="s">
        <v>4726</v>
      </c>
      <c r="I5958" s="309"/>
      <c r="J5958" s="388"/>
      <c r="K5958" s="291"/>
      <c r="L5958" s="291"/>
      <c r="M5958" s="291"/>
      <c r="S5958" s="364"/>
      <c r="Z5958" s="609">
        <v>7105</v>
      </c>
      <c r="AA5958" s="609"/>
    </row>
    <row r="5959" spans="1:27" ht="18">
      <c r="A5959" s="2714"/>
      <c r="B5959" s="371">
        <v>102</v>
      </c>
      <c r="C5959" s="371" t="s">
        <v>2791</v>
      </c>
      <c r="D5959" s="2716">
        <f t="shared" si="640"/>
        <v>1</v>
      </c>
      <c r="E5959" s="2721">
        <v>1</v>
      </c>
      <c r="F5959" s="294"/>
      <c r="G5959" s="1563" t="s">
        <v>4732</v>
      </c>
      <c r="H5959" s="360" t="s">
        <v>4726</v>
      </c>
      <c r="I5959" s="309"/>
      <c r="J5959" s="388"/>
      <c r="K5959" s="291"/>
      <c r="L5959" s="291"/>
      <c r="M5959" s="291"/>
      <c r="S5959" s="364"/>
      <c r="Z5959" s="609">
        <v>7105</v>
      </c>
      <c r="AA5959" s="609"/>
    </row>
    <row r="5960" spans="1:27" ht="18">
      <c r="A5960" s="2714"/>
      <c r="B5960" s="371">
        <v>103</v>
      </c>
      <c r="C5960" s="371" t="s">
        <v>2791</v>
      </c>
      <c r="D5960" s="2716">
        <f t="shared" si="640"/>
        <v>1</v>
      </c>
      <c r="E5960" s="2721">
        <v>1</v>
      </c>
      <c r="F5960" s="294"/>
      <c r="G5960" s="1563" t="s">
        <v>4733</v>
      </c>
      <c r="H5960" s="360" t="s">
        <v>4726</v>
      </c>
      <c r="I5960" s="309"/>
      <c r="J5960" s="388"/>
      <c r="K5960" s="291"/>
      <c r="L5960" s="291"/>
      <c r="M5960" s="291"/>
      <c r="S5960" s="364"/>
      <c r="Z5960" s="609">
        <v>7105</v>
      </c>
      <c r="AA5960" s="609"/>
    </row>
    <row r="5961" spans="1:27" ht="18">
      <c r="A5961" s="2714"/>
      <c r="B5961" s="371">
        <v>104</v>
      </c>
      <c r="C5961" s="371" t="s">
        <v>2791</v>
      </c>
      <c r="D5961" s="2716">
        <f t="shared" si="640"/>
        <v>1</v>
      </c>
      <c r="E5961" s="2721">
        <v>1</v>
      </c>
      <c r="F5961" s="294"/>
      <c r="G5961" s="1563" t="s">
        <v>4729</v>
      </c>
      <c r="H5961" s="360" t="s">
        <v>4726</v>
      </c>
      <c r="I5961" s="309"/>
      <c r="J5961" s="388"/>
      <c r="K5961" s="291"/>
      <c r="L5961" s="291"/>
      <c r="M5961" s="291"/>
      <c r="S5961" s="364"/>
      <c r="Z5961" s="609">
        <v>7105</v>
      </c>
      <c r="AA5961" s="609"/>
    </row>
    <row r="5962" spans="1:27" ht="18">
      <c r="A5962" s="2714"/>
      <c r="B5962" s="371">
        <v>105</v>
      </c>
      <c r="C5962" s="371" t="s">
        <v>2791</v>
      </c>
      <c r="D5962" s="2716">
        <f t="shared" si="640"/>
        <v>0</v>
      </c>
      <c r="E5962" s="2721">
        <v>1</v>
      </c>
      <c r="F5962" s="294"/>
      <c r="G5962" s="1563" t="s">
        <v>2792</v>
      </c>
      <c r="H5962" s="360"/>
      <c r="I5962" s="309"/>
      <c r="J5962" s="388"/>
      <c r="K5962" s="291"/>
      <c r="L5962" s="291"/>
      <c r="M5962" s="291"/>
      <c r="S5962" s="364"/>
      <c r="Z5962" s="609">
        <v>7105</v>
      </c>
      <c r="AA5962" s="609"/>
    </row>
    <row r="5963" spans="1:27" ht="18.75" thickBot="1">
      <c r="A5963" s="2714"/>
      <c r="B5963" s="371"/>
      <c r="C5963" s="371"/>
      <c r="D5963" s="2716">
        <f t="shared" si="640"/>
        <v>1</v>
      </c>
      <c r="E5963" s="2721" t="s">
        <v>2751</v>
      </c>
      <c r="F5963" s="294"/>
      <c r="G5963" s="1529" t="s">
        <v>2752</v>
      </c>
      <c r="H5963" s="1570"/>
      <c r="I5963" s="1527">
        <f>SUMPRODUCT($E5957:$E5962,I5957:I5962)</f>
        <v>0</v>
      </c>
      <c r="J5963" s="1571"/>
      <c r="K5963" s="291"/>
      <c r="L5963" s="291"/>
      <c r="M5963" s="291"/>
      <c r="S5963" s="364"/>
      <c r="Z5963" s="609">
        <v>7105</v>
      </c>
      <c r="AA5963" s="609"/>
    </row>
    <row r="5964" spans="1:27" ht="18">
      <c r="A5964" s="2714"/>
      <c r="B5964" s="371"/>
      <c r="C5964" s="371" t="s">
        <v>2755</v>
      </c>
      <c r="D5964" s="371"/>
      <c r="F5964" s="294"/>
      <c r="G5964" s="301"/>
      <c r="H5964" s="393"/>
      <c r="I5964" s="315"/>
      <c r="J5964" s="393"/>
      <c r="K5964" s="291"/>
      <c r="L5964" s="291"/>
      <c r="M5964" s="291"/>
      <c r="S5964" s="364"/>
      <c r="Z5964" s="609">
        <v>7105</v>
      </c>
      <c r="AA5964" s="609"/>
    </row>
    <row r="5965" spans="1:27" ht="18">
      <c r="A5965" s="2714">
        <v>7111</v>
      </c>
      <c r="B5965" s="371">
        <v>78.77</v>
      </c>
      <c r="C5965" s="2716" t="str">
        <f>VLOOKUP($A5965,Sheet_Items,2,0)</f>
        <v>处置固定资产无形资产长期资产收回的现金</v>
      </c>
      <c r="D5965" s="371"/>
      <c r="E5965" s="2716" t="s">
        <v>2739</v>
      </c>
      <c r="F5965" s="294"/>
      <c r="G5965" s="536" t="str">
        <f>B5965&amp;" "&amp;C5965</f>
        <v>78.77 处置固定资产无形资产长期资产收回的现金</v>
      </c>
      <c r="H5965" s="322"/>
      <c r="I5965" s="322"/>
      <c r="J5965" s="306" t="s">
        <v>4206</v>
      </c>
      <c r="K5965" s="341">
        <f>VLOOKUP($A5965,Sheet_Trialbal,6,0)</f>
        <v>0</v>
      </c>
      <c r="L5965" s="342"/>
      <c r="M5965" s="306"/>
      <c r="N5965" s="341"/>
      <c r="O5965" s="306"/>
      <c r="P5965" s="301"/>
      <c r="S5965" s="364"/>
      <c r="Z5965" s="609">
        <v>7111</v>
      </c>
      <c r="AA5965" s="609"/>
    </row>
    <row r="5966" spans="1:27" ht="24">
      <c r="A5966" s="2714" t="s">
        <v>1967</v>
      </c>
      <c r="B5966" s="371">
        <v>1</v>
      </c>
      <c r="C5966" s="371"/>
      <c r="D5966" s="2716" t="str">
        <f>VLOOKUP($A5966,Sheet_NoteList,2,0)</f>
        <v>处置固定资产无形资产长期资产收回的现金计算表</v>
      </c>
      <c r="E5966" s="2716" t="s">
        <v>2742</v>
      </c>
      <c r="F5966" s="294"/>
      <c r="G5966" s="483" t="str">
        <f>"("&amp;B5966&amp;")"&amp;D5966</f>
        <v>(1)处置固定资产无形资产长期资产收回的现金计算表</v>
      </c>
      <c r="H5966" s="1517" t="str">
        <f>$A5966</f>
        <v>7111x</v>
      </c>
      <c r="I5966" s="343" t="s">
        <v>2743</v>
      </c>
      <c r="J5966" s="301" t="s">
        <v>4712</v>
      </c>
      <c r="K5966" s="2210">
        <f>I5982</f>
        <v>0</v>
      </c>
      <c r="L5966" s="345" t="str">
        <f>IF(ROUND(K5965-K5966,2)=0,"F/S",ROUND(K5965-K5966,2))</f>
        <v>F/S</v>
      </c>
      <c r="M5966" s="532" t="s">
        <v>4713</v>
      </c>
      <c r="N5966" s="3083"/>
      <c r="O5966" s="315"/>
      <c r="P5966" s="301"/>
      <c r="S5966" s="364"/>
      <c r="Z5966" s="609">
        <v>7111</v>
      </c>
      <c r="AA5966" s="609"/>
    </row>
    <row r="5967" spans="1:27" ht="0.75" customHeight="1" thickBot="1">
      <c r="A5967" s="2714"/>
      <c r="B5967" s="371"/>
      <c r="C5967" s="371"/>
      <c r="D5967" s="371"/>
      <c r="F5967" s="371"/>
      <c r="G5967" s="371" t="s">
        <v>4734</v>
      </c>
      <c r="H5967" s="371" t="s">
        <v>4715</v>
      </c>
      <c r="I5967" s="371" t="s">
        <v>4716</v>
      </c>
      <c r="J5967" s="371" t="s">
        <v>3671</v>
      </c>
      <c r="K5967" s="291"/>
      <c r="L5967" s="291"/>
      <c r="M5967" s="291"/>
      <c r="S5967" s="364"/>
      <c r="Z5967" s="609">
        <v>7111</v>
      </c>
      <c r="AA5967" s="609"/>
    </row>
    <row r="5968" spans="1:27" ht="18">
      <c r="A5968" s="2714"/>
      <c r="B5968" s="371"/>
      <c r="C5968" s="371"/>
      <c r="D5968" s="371"/>
      <c r="E5968" s="2716" t="s">
        <v>2749</v>
      </c>
      <c r="F5968" s="294"/>
      <c r="G5968" s="1564" t="s">
        <v>47</v>
      </c>
      <c r="H5968" s="1565" t="s">
        <v>4717</v>
      </c>
      <c r="I5968" s="1565" t="s">
        <v>2887</v>
      </c>
      <c r="J5968" s="1566" t="s">
        <v>2758</v>
      </c>
      <c r="K5968" s="291"/>
      <c r="L5968" s="291"/>
      <c r="M5968" s="291"/>
      <c r="S5968" s="364"/>
      <c r="Z5968" s="609">
        <v>7111</v>
      </c>
      <c r="AA5968" s="609"/>
    </row>
    <row r="5969" spans="1:27" ht="18">
      <c r="A5969" s="2714"/>
      <c r="B5969" s="371">
        <v>101</v>
      </c>
      <c r="C5969" s="371" t="s">
        <v>2791</v>
      </c>
      <c r="D5969" s="2716">
        <f t="shared" ref="D5969:D5982" si="641">IF(OR(G5969="*",G5969="",G5969=0),0,COUNTIF($G$5969:$G$5982,G5969))</f>
        <v>1</v>
      </c>
      <c r="E5969" s="2721">
        <v>1</v>
      </c>
      <c r="F5969" s="294"/>
      <c r="G5969" s="1563" t="s">
        <v>4735</v>
      </c>
      <c r="H5969" s="360" t="s">
        <v>4726</v>
      </c>
      <c r="I5969" s="309"/>
      <c r="J5969" s="388"/>
      <c r="K5969" s="291"/>
      <c r="L5969" s="291"/>
      <c r="M5969" s="291"/>
      <c r="S5969" s="364"/>
      <c r="Z5969" s="609">
        <v>7111</v>
      </c>
      <c r="AA5969" s="609"/>
    </row>
    <row r="5970" spans="1:27" ht="18">
      <c r="A5970" s="2714"/>
      <c r="B5970" s="371">
        <v>102</v>
      </c>
      <c r="C5970" s="371" t="s">
        <v>2791</v>
      </c>
      <c r="D5970" s="2716">
        <f t="shared" si="641"/>
        <v>1</v>
      </c>
      <c r="E5970" s="2721">
        <v>1</v>
      </c>
      <c r="F5970" s="294"/>
      <c r="G5970" s="1563" t="s">
        <v>4736</v>
      </c>
      <c r="H5970" s="360" t="s">
        <v>4726</v>
      </c>
      <c r="I5970" s="309"/>
      <c r="J5970" s="388"/>
      <c r="K5970" s="291"/>
      <c r="L5970" s="291"/>
      <c r="M5970" s="291"/>
      <c r="S5970" s="364"/>
      <c r="Z5970" s="609">
        <v>7111</v>
      </c>
      <c r="AA5970" s="609"/>
    </row>
    <row r="5971" spans="1:27" ht="18">
      <c r="A5971" s="2714"/>
      <c r="B5971" s="371">
        <v>103</v>
      </c>
      <c r="C5971" s="371" t="s">
        <v>2791</v>
      </c>
      <c r="D5971" s="2716">
        <f t="shared" si="641"/>
        <v>1</v>
      </c>
      <c r="E5971" s="2721">
        <v>1</v>
      </c>
      <c r="F5971" s="294"/>
      <c r="G5971" s="1563" t="s">
        <v>4737</v>
      </c>
      <c r="H5971" s="360" t="s">
        <v>4726</v>
      </c>
      <c r="I5971" s="309"/>
      <c r="J5971" s="388"/>
      <c r="K5971" s="291"/>
      <c r="L5971" s="291"/>
      <c r="M5971" s="291"/>
      <c r="S5971" s="364"/>
      <c r="Z5971" s="609">
        <v>7111</v>
      </c>
      <c r="AA5971" s="609"/>
    </row>
    <row r="5972" spans="1:27" ht="18">
      <c r="A5972" s="2714"/>
      <c r="B5972" s="371">
        <v>104</v>
      </c>
      <c r="C5972" s="371" t="s">
        <v>2791</v>
      </c>
      <c r="D5972" s="2716">
        <f t="shared" si="641"/>
        <v>1</v>
      </c>
      <c r="E5972" s="2721">
        <v>1</v>
      </c>
      <c r="F5972" s="294"/>
      <c r="G5972" s="1563" t="s">
        <v>4738</v>
      </c>
      <c r="H5972" s="360" t="s">
        <v>4726</v>
      </c>
      <c r="I5972" s="309"/>
      <c r="J5972" s="388"/>
      <c r="K5972" s="291"/>
      <c r="L5972" s="291"/>
      <c r="M5972" s="291"/>
      <c r="S5972" s="364"/>
      <c r="Z5972" s="609">
        <v>7111</v>
      </c>
      <c r="AA5972" s="609"/>
    </row>
    <row r="5973" spans="1:27" ht="18">
      <c r="A5973" s="2714"/>
      <c r="B5973" s="371">
        <v>105</v>
      </c>
      <c r="C5973" s="371" t="s">
        <v>2791</v>
      </c>
      <c r="D5973" s="2716">
        <f t="shared" si="641"/>
        <v>1</v>
      </c>
      <c r="E5973" s="2721">
        <v>1</v>
      </c>
      <c r="F5973" s="294"/>
      <c r="G5973" s="1563" t="s">
        <v>4739</v>
      </c>
      <c r="H5973" s="360" t="s">
        <v>4726</v>
      </c>
      <c r="I5973" s="309"/>
      <c r="J5973" s="388"/>
      <c r="K5973" s="291"/>
      <c r="L5973" s="291"/>
      <c r="M5973" s="291"/>
      <c r="S5973" s="364"/>
      <c r="Z5973" s="609">
        <v>7111</v>
      </c>
      <c r="AA5973" s="609"/>
    </row>
    <row r="5974" spans="1:27" ht="24">
      <c r="A5974" s="2714"/>
      <c r="B5974" s="371">
        <v>106</v>
      </c>
      <c r="C5974" s="371" t="s">
        <v>2791</v>
      </c>
      <c r="D5974" s="2716">
        <f t="shared" si="641"/>
        <v>1</v>
      </c>
      <c r="E5974" s="2721">
        <v>-1</v>
      </c>
      <c r="F5974" s="294"/>
      <c r="G5974" s="1563" t="s">
        <v>4740</v>
      </c>
      <c r="H5974" s="360" t="s">
        <v>4741</v>
      </c>
      <c r="I5974" s="309"/>
      <c r="J5974" s="388"/>
      <c r="K5974" s="291"/>
      <c r="L5974" s="291"/>
      <c r="M5974" s="291"/>
      <c r="S5974" s="364"/>
      <c r="Z5974" s="609">
        <v>7111</v>
      </c>
      <c r="AA5974" s="609"/>
    </row>
    <row r="5975" spans="1:27" ht="18">
      <c r="A5975" s="2714"/>
      <c r="B5975" s="371">
        <v>107</v>
      </c>
      <c r="C5975" s="371" t="s">
        <v>2791</v>
      </c>
      <c r="D5975" s="2716">
        <f t="shared" si="641"/>
        <v>1</v>
      </c>
      <c r="E5975" s="2721">
        <v>-1</v>
      </c>
      <c r="F5975" s="294"/>
      <c r="G5975" s="1563" t="s">
        <v>4742</v>
      </c>
      <c r="H5975" s="360" t="s">
        <v>4741</v>
      </c>
      <c r="I5975" s="309"/>
      <c r="J5975" s="388"/>
      <c r="K5975" s="291"/>
      <c r="L5975" s="291"/>
      <c r="M5975" s="291"/>
      <c r="S5975" s="364"/>
      <c r="Z5975" s="609">
        <v>7111</v>
      </c>
      <c r="AA5975" s="609"/>
    </row>
    <row r="5976" spans="1:27" ht="18">
      <c r="A5976" s="2714"/>
      <c r="B5976" s="371">
        <v>108</v>
      </c>
      <c r="C5976" s="371" t="s">
        <v>2791</v>
      </c>
      <c r="D5976" s="2716">
        <f t="shared" si="641"/>
        <v>1</v>
      </c>
      <c r="E5976" s="2721">
        <v>-1</v>
      </c>
      <c r="F5976" s="294"/>
      <c r="G5976" s="1563" t="s">
        <v>4743</v>
      </c>
      <c r="H5976" s="360" t="s">
        <v>4741</v>
      </c>
      <c r="I5976" s="309"/>
      <c r="J5976" s="388"/>
      <c r="K5976" s="291"/>
      <c r="L5976" s="291"/>
      <c r="M5976" s="291"/>
      <c r="S5976" s="364"/>
      <c r="Z5976" s="609">
        <v>7111</v>
      </c>
      <c r="AA5976" s="609"/>
    </row>
    <row r="5977" spans="1:27" ht="18">
      <c r="A5977" s="2714"/>
      <c r="B5977" s="371">
        <v>109</v>
      </c>
      <c r="C5977" s="371" t="s">
        <v>2791</v>
      </c>
      <c r="D5977" s="2716">
        <f t="shared" si="641"/>
        <v>1</v>
      </c>
      <c r="E5977" s="2721">
        <v>1</v>
      </c>
      <c r="F5977" s="294"/>
      <c r="G5977" s="1563" t="s">
        <v>4744</v>
      </c>
      <c r="H5977" s="360" t="s">
        <v>4726</v>
      </c>
      <c r="I5977" s="309"/>
      <c r="J5977" s="388"/>
      <c r="K5977" s="291"/>
      <c r="L5977" s="291"/>
      <c r="M5977" s="291"/>
      <c r="S5977" s="364"/>
      <c r="Z5977" s="609">
        <v>7111</v>
      </c>
      <c r="AA5977" s="609"/>
    </row>
    <row r="5978" spans="1:27" ht="18">
      <c r="A5978" s="2714"/>
      <c r="B5978" s="371">
        <v>110</v>
      </c>
      <c r="C5978" s="371" t="s">
        <v>2791</v>
      </c>
      <c r="D5978" s="2716">
        <f t="shared" si="641"/>
        <v>1</v>
      </c>
      <c r="E5978" s="2721">
        <v>-1</v>
      </c>
      <c r="F5978" s="294"/>
      <c r="G5978" s="1563" t="s">
        <v>4745</v>
      </c>
      <c r="H5978" s="360" t="s">
        <v>4741</v>
      </c>
      <c r="I5978" s="309"/>
      <c r="J5978" s="388"/>
      <c r="K5978" s="291"/>
      <c r="L5978" s="291"/>
      <c r="M5978" s="291"/>
      <c r="S5978" s="364"/>
      <c r="Z5978" s="609">
        <v>7111</v>
      </c>
      <c r="AA5978" s="609"/>
    </row>
    <row r="5979" spans="1:27" ht="24">
      <c r="A5979" s="2714"/>
      <c r="B5979" s="371">
        <v>111</v>
      </c>
      <c r="C5979" s="371" t="s">
        <v>2791</v>
      </c>
      <c r="D5979" s="2716">
        <f t="shared" si="641"/>
        <v>1</v>
      </c>
      <c r="E5979" s="2721">
        <v>1</v>
      </c>
      <c r="F5979" s="294"/>
      <c r="G5979" s="1563" t="s">
        <v>4746</v>
      </c>
      <c r="H5979" s="360" t="s">
        <v>4726</v>
      </c>
      <c r="I5979" s="309"/>
      <c r="J5979" s="388"/>
      <c r="K5979" s="291"/>
      <c r="L5979" s="291"/>
      <c r="M5979" s="291"/>
      <c r="S5979" s="364"/>
      <c r="Z5979" s="609">
        <v>7111</v>
      </c>
      <c r="AA5979" s="609"/>
    </row>
    <row r="5980" spans="1:27" ht="18">
      <c r="A5980" s="2714"/>
      <c r="B5980" s="371">
        <v>112</v>
      </c>
      <c r="C5980" s="371" t="s">
        <v>2791</v>
      </c>
      <c r="D5980" s="2716">
        <f t="shared" si="641"/>
        <v>1</v>
      </c>
      <c r="E5980" s="2721">
        <v>1</v>
      </c>
      <c r="F5980" s="294"/>
      <c r="G5980" s="1563" t="s">
        <v>932</v>
      </c>
      <c r="H5980" s="360" t="s">
        <v>4726</v>
      </c>
      <c r="I5980" s="309"/>
      <c r="J5980" s="388"/>
      <c r="K5980" s="291"/>
      <c r="L5980" s="291"/>
      <c r="M5980" s="291"/>
      <c r="S5980" s="364"/>
      <c r="Z5980" s="609">
        <v>7111</v>
      </c>
      <c r="AA5980" s="609"/>
    </row>
    <row r="5981" spans="1:27" ht="18">
      <c r="A5981" s="2714"/>
      <c r="B5981" s="371">
        <v>113</v>
      </c>
      <c r="C5981" s="371" t="s">
        <v>2791</v>
      </c>
      <c r="D5981" s="2716">
        <f t="shared" si="641"/>
        <v>0</v>
      </c>
      <c r="E5981" s="2721">
        <v>1</v>
      </c>
      <c r="F5981" s="294"/>
      <c r="G5981" s="1563" t="s">
        <v>2792</v>
      </c>
      <c r="H5981" s="360"/>
      <c r="I5981" s="309"/>
      <c r="J5981" s="388"/>
      <c r="K5981" s="291"/>
      <c r="L5981" s="291"/>
      <c r="M5981" s="291"/>
      <c r="S5981" s="364"/>
      <c r="Z5981" s="609">
        <v>7111</v>
      </c>
      <c r="AA5981" s="609"/>
    </row>
    <row r="5982" spans="1:27" ht="18.75" thickBot="1">
      <c r="A5982" s="2714"/>
      <c r="B5982" s="371"/>
      <c r="C5982" s="371"/>
      <c r="D5982" s="2716">
        <f t="shared" si="641"/>
        <v>1</v>
      </c>
      <c r="E5982" s="2721" t="s">
        <v>2751</v>
      </c>
      <c r="F5982" s="294"/>
      <c r="G5982" s="1529" t="s">
        <v>2752</v>
      </c>
      <c r="H5982" s="1570"/>
      <c r="I5982" s="1527">
        <f>SUMPRODUCT($E5968:$E5981,I5968:I5981)</f>
        <v>0</v>
      </c>
      <c r="J5982" s="1571"/>
      <c r="K5982" s="291"/>
      <c r="L5982" s="291"/>
      <c r="M5982" s="291"/>
      <c r="S5982" s="364"/>
      <c r="Z5982" s="609">
        <v>7111</v>
      </c>
      <c r="AA5982" s="609"/>
    </row>
    <row r="5983" spans="1:27" ht="18">
      <c r="A5983" s="2714"/>
      <c r="B5983" s="371"/>
      <c r="C5983" s="371" t="s">
        <v>2755</v>
      </c>
      <c r="D5983" s="371"/>
      <c r="F5983" s="294"/>
      <c r="G5983" s="301"/>
      <c r="H5983" s="393"/>
      <c r="I5983" s="315"/>
      <c r="J5983" s="393"/>
      <c r="K5983" s="291"/>
      <c r="L5983" s="291"/>
      <c r="M5983" s="291"/>
      <c r="S5983" s="364"/>
      <c r="Z5983" s="609">
        <v>7111</v>
      </c>
      <c r="AA5983" s="609"/>
    </row>
    <row r="5984" spans="1:27" ht="18">
      <c r="A5984" s="2714">
        <v>7151</v>
      </c>
      <c r="B5984" s="371">
        <v>78.78</v>
      </c>
      <c r="C5984" s="2716" t="str">
        <f>VLOOKUP($A5984,Sheet_Items,2,0)</f>
        <v>购置固定资产无形资产长期资产支付的现金</v>
      </c>
      <c r="D5984" s="371"/>
      <c r="E5984" s="2716" t="s">
        <v>2739</v>
      </c>
      <c r="F5984" s="294"/>
      <c r="G5984" s="536" t="str">
        <f>B5984&amp;" "&amp;C5984</f>
        <v>78.78 购置固定资产无形资产长期资产支付的现金</v>
      </c>
      <c r="H5984" s="322"/>
      <c r="I5984" s="322"/>
      <c r="J5984" s="306" t="s">
        <v>4206</v>
      </c>
      <c r="K5984" s="341">
        <f>VLOOKUP($A5984,Sheet_Trialbal,6,0)</f>
        <v>493144.53</v>
      </c>
      <c r="L5984" s="342"/>
      <c r="M5984" s="306"/>
      <c r="N5984" s="341"/>
      <c r="O5984" s="306"/>
      <c r="P5984" s="301"/>
      <c r="S5984" s="364"/>
      <c r="Z5984" s="609">
        <v>7151</v>
      </c>
      <c r="AA5984" s="609"/>
    </row>
    <row r="5985" spans="1:27" ht="24">
      <c r="A5985" s="2714" t="s">
        <v>1973</v>
      </c>
      <c r="B5985" s="371">
        <v>1</v>
      </c>
      <c r="C5985" s="371"/>
      <c r="D5985" s="2716" t="str">
        <f>VLOOKUP($A5985,Sheet_NoteList,2,0)</f>
        <v>购置固定资产无形资产长期资产支付的现金计算表</v>
      </c>
      <c r="E5985" s="2716" t="s">
        <v>2742</v>
      </c>
      <c r="F5985" s="294"/>
      <c r="G5985" s="483" t="str">
        <f>"("&amp;B5985&amp;")"&amp;D5985</f>
        <v>(1)购置固定资产无形资产长期资产支付的现金计算表</v>
      </c>
      <c r="H5985" s="1517" t="str">
        <f>$A5985</f>
        <v>7151x</v>
      </c>
      <c r="I5985" s="343" t="s">
        <v>2743</v>
      </c>
      <c r="J5985" s="301" t="s">
        <v>4712</v>
      </c>
      <c r="K5985" s="2210">
        <f>I6003</f>
        <v>0</v>
      </c>
      <c r="L5985" s="345">
        <f>IF(ROUND(K5984-K5985,2)=0,"F/S",ROUND(K5984-K5985,2))</f>
        <v>493144.53</v>
      </c>
      <c r="M5985" s="532" t="s">
        <v>4713</v>
      </c>
      <c r="N5985" s="3083"/>
      <c r="O5985" s="315"/>
      <c r="P5985" s="301"/>
      <c r="S5985" s="364"/>
      <c r="Z5985" s="609">
        <v>7151</v>
      </c>
      <c r="AA5985" s="609"/>
    </row>
    <row r="5986" spans="1:27" ht="0.75" customHeight="1" thickBot="1">
      <c r="A5986" s="2714"/>
      <c r="B5986" s="371"/>
      <c r="C5986" s="371"/>
      <c r="D5986" s="371"/>
      <c r="F5986" s="371"/>
      <c r="G5986" s="340" t="s">
        <v>4747</v>
      </c>
      <c r="H5986" s="340" t="s">
        <v>4715</v>
      </c>
      <c r="I5986" s="340" t="s">
        <v>4716</v>
      </c>
      <c r="J5986" s="340" t="s">
        <v>3671</v>
      </c>
      <c r="K5986" s="291"/>
      <c r="L5986" s="291"/>
      <c r="M5986" s="291"/>
      <c r="S5986" s="364"/>
      <c r="Z5986" s="609">
        <v>7151</v>
      </c>
      <c r="AA5986" s="609"/>
    </row>
    <row r="5987" spans="1:27" ht="18">
      <c r="A5987" s="2714"/>
      <c r="B5987" s="371"/>
      <c r="C5987" s="371"/>
      <c r="D5987" s="371"/>
      <c r="E5987" s="2716" t="s">
        <v>2749</v>
      </c>
      <c r="F5987" s="294"/>
      <c r="G5987" s="1564" t="s">
        <v>47</v>
      </c>
      <c r="H5987" s="1565" t="s">
        <v>4717</v>
      </c>
      <c r="I5987" s="1565" t="s">
        <v>2887</v>
      </c>
      <c r="J5987" s="1566" t="s">
        <v>2758</v>
      </c>
      <c r="K5987" s="291"/>
      <c r="L5987" s="291"/>
      <c r="M5987" s="291"/>
      <c r="S5987" s="364"/>
      <c r="Z5987" s="609">
        <v>7151</v>
      </c>
      <c r="AA5987" s="609"/>
    </row>
    <row r="5988" spans="1:27" ht="18">
      <c r="A5988" s="2714"/>
      <c r="B5988" s="371">
        <v>101</v>
      </c>
      <c r="C5988" s="371" t="s">
        <v>2791</v>
      </c>
      <c r="D5988" s="2716">
        <f t="shared" ref="D5988:D6003" si="642">IF(OR(G5988="*",G5988="",G5988=0),0,COUNTIF($G$5988:$G$6003,G5988))</f>
        <v>1</v>
      </c>
      <c r="E5988" s="2721">
        <v>1</v>
      </c>
      <c r="F5988" s="294"/>
      <c r="G5988" s="1563" t="s">
        <v>4748</v>
      </c>
      <c r="H5988" s="360" t="s">
        <v>4726</v>
      </c>
      <c r="I5988" s="309"/>
      <c r="J5988" s="388"/>
      <c r="K5988" s="291"/>
      <c r="L5988" s="291"/>
      <c r="M5988" s="291"/>
      <c r="S5988" s="364"/>
      <c r="Z5988" s="609">
        <v>7151</v>
      </c>
      <c r="AA5988" s="609"/>
    </row>
    <row r="5989" spans="1:27" ht="18">
      <c r="A5989" s="2714"/>
      <c r="B5989" s="371">
        <v>102</v>
      </c>
      <c r="C5989" s="371" t="s">
        <v>2791</v>
      </c>
      <c r="D5989" s="2716">
        <f t="shared" si="642"/>
        <v>1</v>
      </c>
      <c r="E5989" s="2721">
        <v>1</v>
      </c>
      <c r="F5989" s="294"/>
      <c r="G5989" s="1563" t="s">
        <v>4749</v>
      </c>
      <c r="H5989" s="360" t="s">
        <v>4726</v>
      </c>
      <c r="I5989" s="309"/>
      <c r="J5989" s="388"/>
      <c r="K5989" s="291"/>
      <c r="L5989" s="291"/>
      <c r="M5989" s="291"/>
      <c r="S5989" s="364"/>
      <c r="Z5989" s="609">
        <v>7151</v>
      </c>
      <c r="AA5989" s="609"/>
    </row>
    <row r="5990" spans="1:27" ht="18">
      <c r="A5990" s="2714"/>
      <c r="B5990" s="371">
        <v>103</v>
      </c>
      <c r="C5990" s="371" t="s">
        <v>2791</v>
      </c>
      <c r="D5990" s="2716">
        <f t="shared" si="642"/>
        <v>1</v>
      </c>
      <c r="E5990" s="2721">
        <v>1</v>
      </c>
      <c r="F5990" s="294"/>
      <c r="G5990" s="1563" t="s">
        <v>4750</v>
      </c>
      <c r="H5990" s="360" t="s">
        <v>4726</v>
      </c>
      <c r="I5990" s="309"/>
      <c r="J5990" s="388"/>
      <c r="K5990" s="291"/>
      <c r="L5990" s="291"/>
      <c r="M5990" s="291"/>
      <c r="S5990" s="364"/>
      <c r="Z5990" s="609">
        <v>7151</v>
      </c>
      <c r="AA5990" s="609"/>
    </row>
    <row r="5991" spans="1:27" ht="36">
      <c r="A5991" s="2714"/>
      <c r="B5991" s="371">
        <v>104</v>
      </c>
      <c r="C5991" s="371" t="s">
        <v>2791</v>
      </c>
      <c r="D5991" s="2716">
        <f t="shared" si="642"/>
        <v>1</v>
      </c>
      <c r="E5991" s="2721">
        <v>1</v>
      </c>
      <c r="F5991" s="294"/>
      <c r="G5991" s="1591" t="s">
        <v>5523</v>
      </c>
      <c r="H5991" s="360" t="s">
        <v>4726</v>
      </c>
      <c r="I5991" s="309"/>
      <c r="J5991" s="388"/>
      <c r="K5991" s="291"/>
      <c r="L5991" s="291"/>
      <c r="M5991" s="291"/>
      <c r="S5991" s="364"/>
      <c r="Z5991" s="609">
        <v>7151</v>
      </c>
      <c r="AA5991" s="609"/>
    </row>
    <row r="5992" spans="1:27" ht="18">
      <c r="A5992" s="2714"/>
      <c r="B5992" s="371">
        <v>105</v>
      </c>
      <c r="C5992" s="371" t="s">
        <v>2791</v>
      </c>
      <c r="D5992" s="2716">
        <f t="shared" si="642"/>
        <v>1</v>
      </c>
      <c r="E5992" s="2721">
        <v>1</v>
      </c>
      <c r="F5992" s="294"/>
      <c r="G5992" s="1563" t="s">
        <v>4751</v>
      </c>
      <c r="H5992" s="360" t="s">
        <v>4726</v>
      </c>
      <c r="I5992" s="309"/>
      <c r="J5992" s="388"/>
      <c r="K5992" s="291"/>
      <c r="L5992" s="291"/>
      <c r="M5992" s="291"/>
      <c r="S5992" s="364"/>
      <c r="Z5992" s="609">
        <v>7151</v>
      </c>
      <c r="AA5992" s="609"/>
    </row>
    <row r="5993" spans="1:27" ht="18">
      <c r="A5993" s="2714"/>
      <c r="B5993" s="371">
        <v>106</v>
      </c>
      <c r="C5993" s="371" t="s">
        <v>2791</v>
      </c>
      <c r="D5993" s="2716">
        <f t="shared" si="642"/>
        <v>1</v>
      </c>
      <c r="E5993" s="2721">
        <v>1</v>
      </c>
      <c r="F5993" s="294"/>
      <c r="G5993" s="1563" t="s">
        <v>4752</v>
      </c>
      <c r="H5993" s="360" t="s">
        <v>4726</v>
      </c>
      <c r="I5993" s="309"/>
      <c r="J5993" s="388"/>
      <c r="K5993" s="291"/>
      <c r="L5993" s="291"/>
      <c r="M5993" s="291"/>
      <c r="S5993" s="364"/>
      <c r="Z5993" s="609">
        <v>7151</v>
      </c>
      <c r="AA5993" s="609"/>
    </row>
    <row r="5994" spans="1:27" ht="18">
      <c r="A5994" s="2714"/>
      <c r="B5994" s="371">
        <v>107</v>
      </c>
      <c r="C5994" s="371" t="s">
        <v>2791</v>
      </c>
      <c r="D5994" s="2716">
        <f t="shared" si="642"/>
        <v>1</v>
      </c>
      <c r="E5994" s="2721">
        <v>1</v>
      </c>
      <c r="F5994" s="294"/>
      <c r="G5994" s="1563" t="s">
        <v>4753</v>
      </c>
      <c r="H5994" s="360" t="s">
        <v>4726</v>
      </c>
      <c r="I5994" s="309"/>
      <c r="J5994" s="388"/>
      <c r="K5994" s="291"/>
      <c r="L5994" s="291"/>
      <c r="M5994" s="291"/>
      <c r="S5994" s="364"/>
      <c r="Z5994" s="609">
        <v>7151</v>
      </c>
      <c r="AA5994" s="609"/>
    </row>
    <row r="5995" spans="1:27" ht="18">
      <c r="A5995" s="2714"/>
      <c r="B5995" s="371">
        <v>108</v>
      </c>
      <c r="C5995" s="371" t="s">
        <v>2791</v>
      </c>
      <c r="D5995" s="2716">
        <f t="shared" si="642"/>
        <v>1</v>
      </c>
      <c r="E5995" s="2721">
        <v>1</v>
      </c>
      <c r="F5995" s="294"/>
      <c r="G5995" s="1563" t="s">
        <v>4754</v>
      </c>
      <c r="H5995" s="360" t="s">
        <v>4726</v>
      </c>
      <c r="I5995" s="309"/>
      <c r="J5995" s="388"/>
      <c r="K5995" s="291"/>
      <c r="L5995" s="291"/>
      <c r="M5995" s="291"/>
      <c r="S5995" s="364"/>
      <c r="Z5995" s="609">
        <v>7151</v>
      </c>
      <c r="AA5995" s="609"/>
    </row>
    <row r="5996" spans="1:27" ht="24">
      <c r="A5996" s="2714"/>
      <c r="B5996" s="371">
        <v>109</v>
      </c>
      <c r="C5996" s="371" t="s">
        <v>2791</v>
      </c>
      <c r="D5996" s="2716">
        <f t="shared" si="642"/>
        <v>1</v>
      </c>
      <c r="E5996" s="2721">
        <v>-1</v>
      </c>
      <c r="F5996" s="294"/>
      <c r="G5996" s="1563" t="s">
        <v>4740</v>
      </c>
      <c r="H5996" s="360" t="s">
        <v>4741</v>
      </c>
      <c r="I5996" s="309"/>
      <c r="J5996" s="388"/>
      <c r="K5996" s="291"/>
      <c r="L5996" s="291"/>
      <c r="M5996" s="291"/>
      <c r="S5996" s="364"/>
      <c r="Z5996" s="609">
        <v>7151</v>
      </c>
      <c r="AA5996" s="609"/>
    </row>
    <row r="5997" spans="1:27" ht="24">
      <c r="A5997" s="2714"/>
      <c r="B5997" s="371">
        <v>110</v>
      </c>
      <c r="C5997" s="371" t="s">
        <v>2791</v>
      </c>
      <c r="D5997" s="2716">
        <f t="shared" si="642"/>
        <v>1</v>
      </c>
      <c r="E5997" s="2721">
        <v>-1</v>
      </c>
      <c r="F5997" s="294"/>
      <c r="G5997" s="1563" t="s">
        <v>4755</v>
      </c>
      <c r="H5997" s="360" t="s">
        <v>4741</v>
      </c>
      <c r="I5997" s="309"/>
      <c r="J5997" s="388"/>
      <c r="K5997" s="291"/>
      <c r="L5997" s="291"/>
      <c r="M5997" s="291"/>
      <c r="S5997" s="364"/>
      <c r="Z5997" s="609">
        <v>7151</v>
      </c>
      <c r="AA5997" s="609"/>
    </row>
    <row r="5998" spans="1:27" ht="24">
      <c r="A5998" s="2714"/>
      <c r="B5998" s="371">
        <v>111</v>
      </c>
      <c r="C5998" s="371" t="s">
        <v>2791</v>
      </c>
      <c r="D5998" s="2716">
        <f t="shared" si="642"/>
        <v>1</v>
      </c>
      <c r="E5998" s="2721">
        <v>-1</v>
      </c>
      <c r="F5998" s="294"/>
      <c r="G5998" s="1563" t="s">
        <v>4756</v>
      </c>
      <c r="H5998" s="360" t="s">
        <v>4741</v>
      </c>
      <c r="I5998" s="309"/>
      <c r="J5998" s="388"/>
      <c r="K5998" s="291"/>
      <c r="L5998" s="291"/>
      <c r="M5998" s="291"/>
      <c r="S5998" s="364"/>
      <c r="Z5998" s="609">
        <v>7151</v>
      </c>
      <c r="AA5998" s="609"/>
    </row>
    <row r="5999" spans="1:27" ht="24">
      <c r="A5999" s="2714"/>
      <c r="B5999" s="371">
        <v>112</v>
      </c>
      <c r="C5999" s="371" t="s">
        <v>2791</v>
      </c>
      <c r="D5999" s="2716">
        <f t="shared" si="642"/>
        <v>1</v>
      </c>
      <c r="E5999" s="2721">
        <v>-1</v>
      </c>
      <c r="F5999" s="294"/>
      <c r="G5999" s="1563" t="s">
        <v>4757</v>
      </c>
      <c r="H5999" s="360" t="s">
        <v>4741</v>
      </c>
      <c r="I5999" s="309"/>
      <c r="J5999" s="388"/>
      <c r="K5999" s="291"/>
      <c r="L5999" s="291"/>
      <c r="M5999" s="291"/>
      <c r="S5999" s="364"/>
      <c r="Z5999" s="609">
        <v>7151</v>
      </c>
      <c r="AA5999" s="609"/>
    </row>
    <row r="6000" spans="1:27" ht="24">
      <c r="A6000" s="2714"/>
      <c r="B6000" s="371">
        <v>113</v>
      </c>
      <c r="C6000" s="371" t="s">
        <v>2791</v>
      </c>
      <c r="D6000" s="2716">
        <f t="shared" si="642"/>
        <v>1</v>
      </c>
      <c r="E6000" s="2721">
        <v>-1</v>
      </c>
      <c r="F6000" s="294"/>
      <c r="G6000" s="1563" t="s">
        <v>4758</v>
      </c>
      <c r="H6000" s="360" t="s">
        <v>4741</v>
      </c>
      <c r="I6000" s="309"/>
      <c r="J6000" s="388"/>
      <c r="K6000" s="291"/>
      <c r="L6000" s="291"/>
      <c r="M6000" s="291"/>
      <c r="S6000" s="364"/>
      <c r="Z6000" s="609">
        <v>7151</v>
      </c>
      <c r="AA6000" s="609"/>
    </row>
    <row r="6001" spans="1:27" ht="18">
      <c r="A6001" s="2714"/>
      <c r="B6001" s="371">
        <v>114</v>
      </c>
      <c r="C6001" s="371" t="s">
        <v>2791</v>
      </c>
      <c r="D6001" s="2716">
        <f t="shared" si="642"/>
        <v>1</v>
      </c>
      <c r="E6001" s="2721">
        <v>1</v>
      </c>
      <c r="F6001" s="294"/>
      <c r="G6001" s="1563" t="s">
        <v>932</v>
      </c>
      <c r="H6001" s="360" t="s">
        <v>4726</v>
      </c>
      <c r="I6001" s="309"/>
      <c r="J6001" s="388"/>
      <c r="K6001" s="291"/>
      <c r="L6001" s="291"/>
      <c r="M6001" s="291"/>
      <c r="S6001" s="364"/>
      <c r="Z6001" s="609">
        <v>7151</v>
      </c>
      <c r="AA6001" s="609"/>
    </row>
    <row r="6002" spans="1:27" ht="18">
      <c r="A6002" s="2714"/>
      <c r="B6002" s="371">
        <v>115</v>
      </c>
      <c r="C6002" s="371" t="s">
        <v>2791</v>
      </c>
      <c r="D6002" s="2716">
        <f t="shared" si="642"/>
        <v>0</v>
      </c>
      <c r="E6002" s="2721">
        <v>1</v>
      </c>
      <c r="F6002" s="294"/>
      <c r="G6002" s="1563" t="s">
        <v>2792</v>
      </c>
      <c r="H6002" s="360"/>
      <c r="I6002" s="309"/>
      <c r="J6002" s="388"/>
      <c r="K6002" s="291"/>
      <c r="L6002" s="291"/>
      <c r="M6002" s="291"/>
      <c r="S6002" s="364"/>
      <c r="Z6002" s="609">
        <v>7151</v>
      </c>
      <c r="AA6002" s="609"/>
    </row>
    <row r="6003" spans="1:27" ht="18.75" thickBot="1">
      <c r="A6003" s="2714"/>
      <c r="B6003" s="371"/>
      <c r="C6003" s="371"/>
      <c r="D6003" s="2716">
        <f t="shared" si="642"/>
        <v>1</v>
      </c>
      <c r="E6003" s="2721" t="s">
        <v>2751</v>
      </c>
      <c r="F6003" s="294"/>
      <c r="G6003" s="1529" t="s">
        <v>2752</v>
      </c>
      <c r="H6003" s="1570"/>
      <c r="I6003" s="1527">
        <f>SUMPRODUCT($E5987:$E6002,I5987:I6002)</f>
        <v>0</v>
      </c>
      <c r="J6003" s="1571"/>
      <c r="K6003" s="291"/>
      <c r="L6003" s="291"/>
      <c r="M6003" s="291"/>
      <c r="S6003" s="364"/>
      <c r="Z6003" s="609">
        <v>7151</v>
      </c>
      <c r="AA6003" s="609"/>
    </row>
    <row r="6004" spans="1:27" ht="18">
      <c r="A6004" s="2714"/>
      <c r="B6004" s="371"/>
      <c r="C6004" s="371" t="s">
        <v>2755</v>
      </c>
      <c r="D6004" s="371"/>
      <c r="F6004" s="294"/>
      <c r="G6004" s="301"/>
      <c r="H6004" s="393"/>
      <c r="I6004" s="315"/>
      <c r="J6004" s="393"/>
      <c r="K6004" s="291"/>
      <c r="L6004" s="291"/>
      <c r="M6004" s="291"/>
      <c r="S6004" s="364"/>
      <c r="Z6004" s="609">
        <v>7151</v>
      </c>
      <c r="AA6004" s="609"/>
    </row>
    <row r="6005" spans="1:27" ht="18">
      <c r="A6005" s="2714">
        <v>7161</v>
      </c>
      <c r="B6005" s="371">
        <v>78.790000000000006</v>
      </c>
      <c r="C6005" s="2716" t="str">
        <f>VLOOKUP($A6005,Sheet_Items,2,0)</f>
        <v>投资支付的现金</v>
      </c>
      <c r="D6005" s="371"/>
      <c r="E6005" s="2716" t="s">
        <v>2739</v>
      </c>
      <c r="F6005" s="294"/>
      <c r="G6005" s="536" t="str">
        <f>B6005&amp;" "&amp;C6005</f>
        <v>78.79 投资支付的现金</v>
      </c>
      <c r="H6005" s="322"/>
      <c r="I6005" s="322"/>
      <c r="J6005" s="306" t="s">
        <v>4206</v>
      </c>
      <c r="K6005" s="341">
        <f>VLOOKUP($A6005,Sheet_Trialbal,6,0)</f>
        <v>0</v>
      </c>
      <c r="L6005" s="342"/>
      <c r="M6005" s="306"/>
      <c r="N6005" s="341"/>
      <c r="O6005" s="306"/>
      <c r="P6005" s="301"/>
      <c r="S6005" s="364"/>
      <c r="Z6005" s="609">
        <v>7161</v>
      </c>
      <c r="AA6005" s="609"/>
    </row>
    <row r="6006" spans="1:27" ht="18">
      <c r="A6006" s="2714" t="s">
        <v>1975</v>
      </c>
      <c r="B6006" s="371">
        <v>1</v>
      </c>
      <c r="C6006" s="371"/>
      <c r="D6006" s="2716" t="str">
        <f>VLOOKUP($A6006,Sheet_NoteList,2,0)</f>
        <v>投资支付的现金计算表</v>
      </c>
      <c r="E6006" s="2716" t="s">
        <v>2742</v>
      </c>
      <c r="F6006" s="294"/>
      <c r="G6006" s="483" t="str">
        <f>"("&amp;B6006&amp;")"&amp;D6006</f>
        <v>(1)投资支付的现金计算表</v>
      </c>
      <c r="H6006" s="1517" t="str">
        <f>$A6006</f>
        <v>7161x</v>
      </c>
      <c r="I6006" s="343" t="s">
        <v>2743</v>
      </c>
      <c r="J6006" s="301" t="s">
        <v>4712</v>
      </c>
      <c r="K6006" s="2210">
        <f>I6014</f>
        <v>0</v>
      </c>
      <c r="L6006" s="345" t="str">
        <f>IF(ROUND(K6005-K6006,2)=0,"F/S",ROUND(K6005-K6006,2))</f>
        <v>F/S</v>
      </c>
      <c r="M6006" s="532" t="s">
        <v>4713</v>
      </c>
      <c r="N6006" s="3083"/>
      <c r="O6006" s="315"/>
      <c r="P6006" s="301"/>
      <c r="S6006" s="364"/>
      <c r="Z6006" s="609">
        <v>7161</v>
      </c>
      <c r="AA6006" s="609"/>
    </row>
    <row r="6007" spans="1:27" ht="0.75" customHeight="1" thickBot="1">
      <c r="A6007" s="2714"/>
      <c r="B6007" s="371"/>
      <c r="C6007" s="371"/>
      <c r="D6007" s="371"/>
      <c r="F6007" s="371"/>
      <c r="G6007" s="371" t="s">
        <v>4759</v>
      </c>
      <c r="H6007" s="371" t="s">
        <v>4715</v>
      </c>
      <c r="I6007" s="371" t="s">
        <v>4716</v>
      </c>
      <c r="J6007" s="371" t="s">
        <v>3671</v>
      </c>
      <c r="K6007" s="291"/>
      <c r="L6007" s="291"/>
      <c r="M6007" s="291"/>
      <c r="S6007" s="364"/>
      <c r="Z6007" s="609">
        <v>7161</v>
      </c>
      <c r="AA6007" s="609"/>
    </row>
    <row r="6008" spans="1:27" ht="18">
      <c r="A6008" s="2714"/>
      <c r="B6008" s="371"/>
      <c r="C6008" s="371"/>
      <c r="D6008" s="371"/>
      <c r="E6008" s="2716" t="s">
        <v>2749</v>
      </c>
      <c r="F6008" s="294"/>
      <c r="G6008" s="1564" t="s">
        <v>47</v>
      </c>
      <c r="H6008" s="1565" t="s">
        <v>4717</v>
      </c>
      <c r="I6008" s="1565" t="s">
        <v>2887</v>
      </c>
      <c r="J6008" s="1566" t="s">
        <v>2758</v>
      </c>
      <c r="K6008" s="291"/>
      <c r="L6008" s="291"/>
      <c r="M6008" s="291"/>
      <c r="S6008" s="364"/>
      <c r="Z6008" s="609">
        <v>7161</v>
      </c>
      <c r="AA6008" s="609"/>
    </row>
    <row r="6009" spans="1:27" ht="18">
      <c r="A6009" s="2714"/>
      <c r="B6009" s="371">
        <v>101</v>
      </c>
      <c r="C6009" s="371" t="s">
        <v>2791</v>
      </c>
      <c r="D6009" s="2716">
        <f t="shared" ref="D6009:D6014" si="643">IF(OR(G6009="*",G6009="",G6009=0),0,COUNTIF($G$6009:$G$6014,G6009))</f>
        <v>1</v>
      </c>
      <c r="E6009" s="2721">
        <v>1</v>
      </c>
      <c r="F6009" s="294"/>
      <c r="G6009" s="1563" t="s">
        <v>4760</v>
      </c>
      <c r="H6009" s="360" t="s">
        <v>4726</v>
      </c>
      <c r="I6009" s="309"/>
      <c r="J6009" s="388"/>
      <c r="K6009" s="291"/>
      <c r="L6009" s="291"/>
      <c r="M6009" s="291"/>
      <c r="S6009" s="364"/>
      <c r="Z6009" s="609">
        <v>7161</v>
      </c>
      <c r="AA6009" s="609"/>
    </row>
    <row r="6010" spans="1:27" ht="18">
      <c r="A6010" s="2714"/>
      <c r="B6010" s="371">
        <v>102</v>
      </c>
      <c r="C6010" s="371" t="s">
        <v>2791</v>
      </c>
      <c r="D6010" s="2716">
        <f t="shared" si="643"/>
        <v>1</v>
      </c>
      <c r="E6010" s="2721">
        <v>1</v>
      </c>
      <c r="F6010" s="294"/>
      <c r="G6010" s="1563" t="s">
        <v>4761</v>
      </c>
      <c r="H6010" s="360" t="s">
        <v>4726</v>
      </c>
      <c r="I6010" s="309"/>
      <c r="J6010" s="388"/>
      <c r="K6010" s="291"/>
      <c r="L6010" s="291"/>
      <c r="M6010" s="291"/>
      <c r="S6010" s="364"/>
      <c r="Z6010" s="609">
        <v>7161</v>
      </c>
      <c r="AA6010" s="609"/>
    </row>
    <row r="6011" spans="1:27" ht="18">
      <c r="A6011" s="2714"/>
      <c r="B6011" s="371">
        <v>103</v>
      </c>
      <c r="C6011" s="371" t="s">
        <v>2791</v>
      </c>
      <c r="D6011" s="2716">
        <f t="shared" si="643"/>
        <v>1</v>
      </c>
      <c r="E6011" s="2721">
        <v>1</v>
      </c>
      <c r="F6011" s="294"/>
      <c r="G6011" s="1563" t="s">
        <v>4762</v>
      </c>
      <c r="H6011" s="360" t="s">
        <v>4726</v>
      </c>
      <c r="I6011" s="309"/>
      <c r="J6011" s="388"/>
      <c r="K6011" s="291"/>
      <c r="L6011" s="291"/>
      <c r="M6011" s="291"/>
      <c r="S6011" s="364"/>
      <c r="Z6011" s="609">
        <v>7161</v>
      </c>
      <c r="AA6011" s="609"/>
    </row>
    <row r="6012" spans="1:27" ht="18">
      <c r="A6012" s="2714"/>
      <c r="B6012" s="371">
        <v>104</v>
      </c>
      <c r="C6012" s="371" t="s">
        <v>2791</v>
      </c>
      <c r="D6012" s="2716">
        <f t="shared" si="643"/>
        <v>1</v>
      </c>
      <c r="E6012" s="2721">
        <v>1</v>
      </c>
      <c r="F6012" s="294"/>
      <c r="G6012" s="1563" t="s">
        <v>4729</v>
      </c>
      <c r="H6012" s="360" t="s">
        <v>4726</v>
      </c>
      <c r="I6012" s="309"/>
      <c r="J6012" s="388"/>
      <c r="K6012" s="291"/>
      <c r="L6012" s="291"/>
      <c r="M6012" s="291"/>
      <c r="S6012" s="364"/>
      <c r="Z6012" s="609">
        <v>7161</v>
      </c>
      <c r="AA6012" s="609"/>
    </row>
    <row r="6013" spans="1:27" ht="18">
      <c r="A6013" s="2714"/>
      <c r="B6013" s="371">
        <v>105</v>
      </c>
      <c r="C6013" s="371" t="s">
        <v>2791</v>
      </c>
      <c r="D6013" s="2716">
        <f t="shared" si="643"/>
        <v>0</v>
      </c>
      <c r="E6013" s="2721">
        <v>1</v>
      </c>
      <c r="F6013" s="294"/>
      <c r="G6013" s="1563" t="s">
        <v>2792</v>
      </c>
      <c r="H6013" s="360"/>
      <c r="I6013" s="309"/>
      <c r="J6013" s="388"/>
      <c r="K6013" s="291"/>
      <c r="L6013" s="291"/>
      <c r="M6013" s="291"/>
      <c r="S6013" s="364"/>
      <c r="Z6013" s="609">
        <v>7161</v>
      </c>
      <c r="AA6013" s="609"/>
    </row>
    <row r="6014" spans="1:27" ht="18.75" thickBot="1">
      <c r="A6014" s="2714"/>
      <c r="B6014" s="371"/>
      <c r="C6014" s="371"/>
      <c r="D6014" s="2716">
        <f t="shared" si="643"/>
        <v>1</v>
      </c>
      <c r="E6014" s="2721" t="s">
        <v>2751</v>
      </c>
      <c r="F6014" s="294"/>
      <c r="G6014" s="1529" t="s">
        <v>2752</v>
      </c>
      <c r="H6014" s="1570"/>
      <c r="I6014" s="1527">
        <f>SUMPRODUCT($E6008:$E6013,I6008:I6013)</f>
        <v>0</v>
      </c>
      <c r="J6014" s="1571"/>
      <c r="K6014" s="291"/>
      <c r="L6014" s="291"/>
      <c r="M6014" s="291"/>
      <c r="S6014" s="364"/>
      <c r="Z6014" s="609">
        <v>7161</v>
      </c>
      <c r="AA6014" s="609"/>
    </row>
    <row r="6015" spans="1:27" ht="18">
      <c r="A6015" s="2714"/>
      <c r="B6015" s="371"/>
      <c r="C6015" s="371" t="s">
        <v>2755</v>
      </c>
      <c r="D6015" s="371"/>
      <c r="F6015" s="294"/>
      <c r="G6015" s="301"/>
      <c r="H6015" s="393"/>
      <c r="I6015" s="315"/>
      <c r="J6015" s="393"/>
      <c r="K6015" s="291"/>
      <c r="L6015" s="291"/>
      <c r="M6015" s="291"/>
      <c r="S6015" s="364"/>
      <c r="Z6015" s="609">
        <v>7161</v>
      </c>
      <c r="AA6015" s="609"/>
    </row>
    <row r="6016" spans="1:27" ht="18">
      <c r="A6016" s="2714">
        <v>7211</v>
      </c>
      <c r="B6016" s="371">
        <v>78.81</v>
      </c>
      <c r="C6016" s="2716" t="str">
        <f>VLOOKUP($A6016,Sheet_Items,2,0)</f>
        <v>取得借款收到的现金</v>
      </c>
      <c r="D6016" s="371"/>
      <c r="E6016" s="2716" t="s">
        <v>2739</v>
      </c>
      <c r="F6016" s="294"/>
      <c r="G6016" s="536" t="str">
        <f>B6016&amp;" "&amp;C6016</f>
        <v>78.81 取得借款收到的现金</v>
      </c>
      <c r="H6016" s="322"/>
      <c r="I6016" s="322"/>
      <c r="J6016" s="306" t="s">
        <v>4206</v>
      </c>
      <c r="K6016" s="341">
        <f>VLOOKUP($A6016,Sheet_Trialbal,6,0)</f>
        <v>2000000</v>
      </c>
      <c r="L6016" s="342"/>
      <c r="M6016" s="306"/>
      <c r="N6016" s="341"/>
      <c r="O6016" s="306"/>
      <c r="P6016" s="301"/>
      <c r="S6016" s="364"/>
      <c r="Z6016" s="609">
        <v>7211</v>
      </c>
      <c r="AA6016" s="609"/>
    </row>
    <row r="6017" spans="1:27" ht="24">
      <c r="A6017" s="2714" t="s">
        <v>1980</v>
      </c>
      <c r="B6017" s="371">
        <v>1</v>
      </c>
      <c r="C6017" s="371"/>
      <c r="D6017" s="2716" t="str">
        <f>VLOOKUP($A6017,Sheet_NoteList,2,0)</f>
        <v>取得借款收到的现金计算表</v>
      </c>
      <c r="E6017" s="2716" t="s">
        <v>2742</v>
      </c>
      <c r="F6017" s="294"/>
      <c r="G6017" s="483" t="str">
        <f>"("&amp;B6017&amp;")"&amp;D6017</f>
        <v>(1)取得借款收到的现金计算表</v>
      </c>
      <c r="H6017" s="1517" t="str">
        <f>$A6017</f>
        <v>7211x</v>
      </c>
      <c r="I6017" s="343" t="s">
        <v>2743</v>
      </c>
      <c r="J6017" s="301" t="s">
        <v>4712</v>
      </c>
      <c r="K6017" s="2210">
        <f>I6026</f>
        <v>0</v>
      </c>
      <c r="L6017" s="345">
        <f>IF(ROUND(K6016-K6017,2)=0,"F/S",ROUND(K6016-K6017,2))</f>
        <v>2000000</v>
      </c>
      <c r="M6017" s="532" t="s">
        <v>4713</v>
      </c>
      <c r="N6017" s="3083"/>
      <c r="O6017" s="315"/>
      <c r="P6017" s="301"/>
      <c r="S6017" s="364"/>
      <c r="Z6017" s="609">
        <v>7211</v>
      </c>
      <c r="AA6017" s="609"/>
    </row>
    <row r="6018" spans="1:27" ht="0.75" customHeight="1" thickBot="1">
      <c r="A6018" s="2714"/>
      <c r="B6018" s="371"/>
      <c r="C6018" s="371"/>
      <c r="D6018" s="371"/>
      <c r="F6018" s="371"/>
      <c r="G6018" s="371" t="s">
        <v>4763</v>
      </c>
      <c r="H6018" s="371" t="s">
        <v>4715</v>
      </c>
      <c r="I6018" s="371" t="s">
        <v>4716</v>
      </c>
      <c r="J6018" s="371" t="s">
        <v>3671</v>
      </c>
      <c r="K6018" s="291"/>
      <c r="L6018" s="291"/>
      <c r="M6018" s="291"/>
      <c r="S6018" s="364"/>
      <c r="Z6018" s="609">
        <v>7211</v>
      </c>
      <c r="AA6018" s="609"/>
    </row>
    <row r="6019" spans="1:27" ht="18">
      <c r="A6019" s="2714"/>
      <c r="B6019" s="371"/>
      <c r="C6019" s="371"/>
      <c r="D6019" s="371"/>
      <c r="E6019" s="2716" t="s">
        <v>2749</v>
      </c>
      <c r="F6019" s="294"/>
      <c r="G6019" s="1564" t="s">
        <v>47</v>
      </c>
      <c r="H6019" s="1565" t="s">
        <v>4717</v>
      </c>
      <c r="I6019" s="1565" t="s">
        <v>2887</v>
      </c>
      <c r="J6019" s="1566" t="s">
        <v>2758</v>
      </c>
      <c r="K6019" s="291"/>
      <c r="L6019" s="291"/>
      <c r="M6019" s="291"/>
      <c r="S6019" s="364"/>
      <c r="Z6019" s="609">
        <v>7211</v>
      </c>
      <c r="AA6019" s="609"/>
    </row>
    <row r="6020" spans="1:27" ht="18">
      <c r="A6020" s="2714"/>
      <c r="B6020" s="371">
        <v>101</v>
      </c>
      <c r="C6020" s="371" t="s">
        <v>2791</v>
      </c>
      <c r="D6020" s="2716">
        <f t="shared" ref="D6020:D6026" si="644">IF(OR(G6020="*",G6020="",G6020=0),0,COUNTIF($G$6020:$G$6026,G6020))</f>
        <v>1</v>
      </c>
      <c r="E6020" s="2721">
        <v>1</v>
      </c>
      <c r="F6020" s="294"/>
      <c r="G6020" s="1563" t="s">
        <v>4764</v>
      </c>
      <c r="H6020" s="360" t="s">
        <v>4726</v>
      </c>
      <c r="I6020" s="309"/>
      <c r="J6020" s="388"/>
      <c r="K6020" s="291"/>
      <c r="L6020" s="291"/>
      <c r="M6020" s="291"/>
      <c r="S6020" s="364"/>
      <c r="Z6020" s="609">
        <v>7211</v>
      </c>
      <c r="AA6020" s="609"/>
    </row>
    <row r="6021" spans="1:27" ht="18">
      <c r="A6021" s="2714"/>
      <c r="B6021" s="371">
        <v>102</v>
      </c>
      <c r="C6021" s="371" t="s">
        <v>2791</v>
      </c>
      <c r="D6021" s="2716">
        <f t="shared" si="644"/>
        <v>1</v>
      </c>
      <c r="E6021" s="2721">
        <v>1</v>
      </c>
      <c r="F6021" s="294"/>
      <c r="G6021" s="1563" t="s">
        <v>4765</v>
      </c>
      <c r="H6021" s="360" t="s">
        <v>4726</v>
      </c>
      <c r="I6021" s="309"/>
      <c r="J6021" s="388"/>
      <c r="K6021" s="291"/>
      <c r="L6021" s="291"/>
      <c r="M6021" s="291"/>
      <c r="S6021" s="364"/>
      <c r="Z6021" s="609">
        <v>7211</v>
      </c>
      <c r="AA6021" s="609"/>
    </row>
    <row r="6022" spans="1:27" ht="18">
      <c r="A6022" s="2714"/>
      <c r="B6022" s="371">
        <v>103</v>
      </c>
      <c r="C6022" s="371" t="s">
        <v>2791</v>
      </c>
      <c r="D6022" s="2716">
        <f t="shared" si="644"/>
        <v>1</v>
      </c>
      <c r="E6022" s="2721">
        <v>1</v>
      </c>
      <c r="F6022" s="294"/>
      <c r="G6022" s="1563" t="s">
        <v>4766</v>
      </c>
      <c r="H6022" s="360" t="s">
        <v>4726</v>
      </c>
      <c r="I6022" s="309"/>
      <c r="J6022" s="388"/>
      <c r="K6022" s="291"/>
      <c r="L6022" s="291"/>
      <c r="M6022" s="291"/>
      <c r="S6022" s="364"/>
      <c r="Z6022" s="609">
        <v>7211</v>
      </c>
      <c r="AA6022" s="609"/>
    </row>
    <row r="6023" spans="1:27" ht="18">
      <c r="A6023" s="2714"/>
      <c r="B6023" s="371">
        <v>104</v>
      </c>
      <c r="C6023" s="371" t="s">
        <v>2791</v>
      </c>
      <c r="D6023" s="2716">
        <f t="shared" si="644"/>
        <v>1</v>
      </c>
      <c r="E6023" s="2721">
        <v>1</v>
      </c>
      <c r="F6023" s="294"/>
      <c r="G6023" s="1563" t="s">
        <v>4767</v>
      </c>
      <c r="H6023" s="360" t="s">
        <v>4726</v>
      </c>
      <c r="I6023" s="309"/>
      <c r="J6023" s="388"/>
      <c r="K6023" s="291"/>
      <c r="L6023" s="291"/>
      <c r="M6023" s="291"/>
      <c r="S6023" s="364"/>
      <c r="Z6023" s="609">
        <v>7211</v>
      </c>
      <c r="AA6023" s="609"/>
    </row>
    <row r="6024" spans="1:27" ht="24">
      <c r="A6024" s="2714"/>
      <c r="B6024" s="371">
        <v>105</v>
      </c>
      <c r="C6024" s="371" t="s">
        <v>2791</v>
      </c>
      <c r="D6024" s="2716">
        <f t="shared" si="644"/>
        <v>1</v>
      </c>
      <c r="E6024" s="2721">
        <v>1</v>
      </c>
      <c r="F6024" s="294"/>
      <c r="G6024" s="1563" t="s">
        <v>4768</v>
      </c>
      <c r="H6024" s="360" t="s">
        <v>4726</v>
      </c>
      <c r="I6024" s="309"/>
      <c r="J6024" s="388"/>
      <c r="K6024" s="291"/>
      <c r="L6024" s="291"/>
      <c r="M6024" s="291"/>
      <c r="S6024" s="364"/>
      <c r="Z6024" s="609">
        <v>7211</v>
      </c>
      <c r="AA6024" s="609"/>
    </row>
    <row r="6025" spans="1:27" ht="18">
      <c r="A6025" s="2714"/>
      <c r="B6025" s="371">
        <v>106</v>
      </c>
      <c r="C6025" s="371" t="s">
        <v>2791</v>
      </c>
      <c r="D6025" s="2716">
        <f t="shared" si="644"/>
        <v>0</v>
      </c>
      <c r="E6025" s="2721">
        <v>1</v>
      </c>
      <c r="F6025" s="294"/>
      <c r="G6025" s="1563" t="s">
        <v>2792</v>
      </c>
      <c r="H6025" s="360"/>
      <c r="I6025" s="309"/>
      <c r="J6025" s="388"/>
      <c r="K6025" s="291"/>
      <c r="L6025" s="291"/>
      <c r="M6025" s="291"/>
      <c r="S6025" s="364"/>
      <c r="Z6025" s="609">
        <v>7211</v>
      </c>
      <c r="AA6025" s="609"/>
    </row>
    <row r="6026" spans="1:27" ht="18.75" thickBot="1">
      <c r="A6026" s="2714"/>
      <c r="B6026" s="371"/>
      <c r="C6026" s="371"/>
      <c r="D6026" s="2716">
        <f t="shared" si="644"/>
        <v>1</v>
      </c>
      <c r="E6026" s="2721" t="s">
        <v>2751</v>
      </c>
      <c r="F6026" s="294"/>
      <c r="G6026" s="1529" t="s">
        <v>2752</v>
      </c>
      <c r="H6026" s="1570"/>
      <c r="I6026" s="1527">
        <f>SUMPRODUCT($E6019:$E6025,I6019:I6025)</f>
        <v>0</v>
      </c>
      <c r="J6026" s="1571"/>
      <c r="K6026" s="291"/>
      <c r="L6026" s="291"/>
      <c r="M6026" s="291"/>
      <c r="S6026" s="364"/>
      <c r="Z6026" s="609">
        <v>7211</v>
      </c>
      <c r="AA6026" s="609"/>
    </row>
    <row r="6027" spans="1:27" ht="18">
      <c r="A6027" s="2714"/>
      <c r="B6027" s="371"/>
      <c r="C6027" s="371" t="s">
        <v>2755</v>
      </c>
      <c r="D6027" s="371"/>
      <c r="F6027" s="294"/>
      <c r="G6027" s="301"/>
      <c r="H6027" s="393"/>
      <c r="I6027" s="315"/>
      <c r="J6027" s="393"/>
      <c r="K6027" s="291"/>
      <c r="L6027" s="291"/>
      <c r="M6027" s="291"/>
      <c r="S6027" s="364"/>
      <c r="Z6027" s="609">
        <v>7211</v>
      </c>
      <c r="AA6027" s="609"/>
    </row>
    <row r="6028" spans="1:27" ht="18">
      <c r="A6028" s="2714">
        <v>7251</v>
      </c>
      <c r="B6028" s="371">
        <v>78.819999999999993</v>
      </c>
      <c r="C6028" s="2716" t="str">
        <f>VLOOKUP($A6028,Sheet_Items,2,0)</f>
        <v>偿还债务支付的现金</v>
      </c>
      <c r="D6028" s="371"/>
      <c r="E6028" s="2716" t="s">
        <v>2739</v>
      </c>
      <c r="F6028" s="294"/>
      <c r="G6028" s="536" t="str">
        <f>B6028&amp;" "&amp;C6028</f>
        <v>78.82 偿还债务支付的现金</v>
      </c>
      <c r="H6028" s="322"/>
      <c r="I6028" s="322"/>
      <c r="J6028" s="306" t="s">
        <v>4206</v>
      </c>
      <c r="K6028" s="341">
        <f>VLOOKUP($A6028,Sheet_Trialbal,6,0)</f>
        <v>0</v>
      </c>
      <c r="L6028" s="342"/>
      <c r="M6028" s="306"/>
      <c r="N6028" s="341"/>
      <c r="O6028" s="306"/>
      <c r="P6028" s="301"/>
      <c r="S6028" s="364"/>
      <c r="Z6028" s="609">
        <v>7251</v>
      </c>
      <c r="AA6028" s="609"/>
    </row>
    <row r="6029" spans="1:27" ht="24">
      <c r="A6029" s="2714" t="s">
        <v>1986</v>
      </c>
      <c r="B6029" s="371">
        <v>1</v>
      </c>
      <c r="C6029" s="371"/>
      <c r="D6029" s="2716" t="str">
        <f>VLOOKUP($A6029,Sheet_NoteList,2,0)</f>
        <v>偿还债务支付的现金计算表</v>
      </c>
      <c r="E6029" s="2716" t="s">
        <v>2742</v>
      </c>
      <c r="F6029" s="294"/>
      <c r="G6029" s="483" t="str">
        <f>"("&amp;B6029&amp;")"&amp;D6029</f>
        <v>(1)偿还债务支付的现金计算表</v>
      </c>
      <c r="H6029" s="1517" t="str">
        <f>$A6029</f>
        <v>7251x</v>
      </c>
      <c r="I6029" s="343" t="s">
        <v>2743</v>
      </c>
      <c r="J6029" s="301" t="s">
        <v>4712</v>
      </c>
      <c r="K6029" s="2210">
        <f>I6038</f>
        <v>0</v>
      </c>
      <c r="L6029" s="345" t="str">
        <f>IF(ROUND(K6028-K6029,2)=0,"F/S",ROUND(K6028-K6029,2))</f>
        <v>F/S</v>
      </c>
      <c r="M6029" s="532" t="s">
        <v>4713</v>
      </c>
      <c r="N6029" s="3083"/>
      <c r="O6029" s="315"/>
      <c r="P6029" s="301"/>
      <c r="S6029" s="364"/>
      <c r="Z6029" s="609">
        <v>7251</v>
      </c>
      <c r="AA6029" s="609"/>
    </row>
    <row r="6030" spans="1:27" ht="0.75" customHeight="1" thickBot="1">
      <c r="A6030" s="2714"/>
      <c r="B6030" s="371"/>
      <c r="C6030" s="371"/>
      <c r="D6030" s="371"/>
      <c r="F6030" s="371"/>
      <c r="G6030" s="371" t="s">
        <v>4769</v>
      </c>
      <c r="H6030" s="371" t="s">
        <v>4715</v>
      </c>
      <c r="I6030" s="371" t="s">
        <v>4716</v>
      </c>
      <c r="J6030" s="371" t="s">
        <v>3671</v>
      </c>
      <c r="K6030" s="291"/>
      <c r="L6030" s="291"/>
      <c r="M6030" s="291"/>
      <c r="S6030" s="364"/>
      <c r="Z6030" s="609">
        <v>7251</v>
      </c>
      <c r="AA6030" s="609"/>
    </row>
    <row r="6031" spans="1:27" ht="18">
      <c r="A6031" s="2714"/>
      <c r="B6031" s="371"/>
      <c r="C6031" s="371"/>
      <c r="D6031" s="371"/>
      <c r="E6031" s="2716" t="s">
        <v>2749</v>
      </c>
      <c r="F6031" s="294"/>
      <c r="G6031" s="1564" t="s">
        <v>47</v>
      </c>
      <c r="H6031" s="1565" t="s">
        <v>4717</v>
      </c>
      <c r="I6031" s="1565" t="s">
        <v>2887</v>
      </c>
      <c r="J6031" s="1566" t="s">
        <v>2758</v>
      </c>
      <c r="K6031" s="291"/>
      <c r="L6031" s="291"/>
      <c r="M6031" s="291"/>
      <c r="S6031" s="364"/>
      <c r="Z6031" s="609">
        <v>7251</v>
      </c>
      <c r="AA6031" s="609"/>
    </row>
    <row r="6032" spans="1:27" ht="18">
      <c r="A6032" s="2714"/>
      <c r="B6032" s="371">
        <v>101</v>
      </c>
      <c r="C6032" s="371" t="s">
        <v>2791</v>
      </c>
      <c r="D6032" s="2716">
        <f t="shared" ref="D6032:D6038" si="645">IF(OR(G6032="*",G6032="",G6032=0),0,COUNTIF($G$6032:$G$6038,G6032))</f>
        <v>1</v>
      </c>
      <c r="E6032" s="2721">
        <v>1</v>
      </c>
      <c r="F6032" s="294"/>
      <c r="G6032" s="1563" t="s">
        <v>4770</v>
      </c>
      <c r="H6032" s="360" t="s">
        <v>4726</v>
      </c>
      <c r="I6032" s="309"/>
      <c r="J6032" s="388"/>
      <c r="K6032" s="291"/>
      <c r="L6032" s="291"/>
      <c r="M6032" s="291"/>
      <c r="S6032" s="364"/>
      <c r="Z6032" s="609">
        <v>7251</v>
      </c>
      <c r="AA6032" s="609"/>
    </row>
    <row r="6033" spans="1:27" ht="18">
      <c r="A6033" s="2714"/>
      <c r="B6033" s="371">
        <v>102</v>
      </c>
      <c r="C6033" s="371" t="s">
        <v>2791</v>
      </c>
      <c r="D6033" s="2716">
        <f t="shared" si="645"/>
        <v>1</v>
      </c>
      <c r="E6033" s="2721">
        <v>1</v>
      </c>
      <c r="F6033" s="294"/>
      <c r="G6033" s="1563" t="s">
        <v>4771</v>
      </c>
      <c r="H6033" s="360" t="s">
        <v>4726</v>
      </c>
      <c r="I6033" s="309"/>
      <c r="J6033" s="388"/>
      <c r="K6033" s="291"/>
      <c r="L6033" s="291"/>
      <c r="M6033" s="291"/>
      <c r="S6033" s="364"/>
      <c r="Z6033" s="609">
        <v>7251</v>
      </c>
      <c r="AA6033" s="609"/>
    </row>
    <row r="6034" spans="1:27" ht="18">
      <c r="A6034" s="2714"/>
      <c r="B6034" s="371">
        <v>103</v>
      </c>
      <c r="C6034" s="371" t="s">
        <v>2791</v>
      </c>
      <c r="D6034" s="2716">
        <f t="shared" si="645"/>
        <v>1</v>
      </c>
      <c r="E6034" s="2721">
        <v>1</v>
      </c>
      <c r="F6034" s="294"/>
      <c r="G6034" s="1563" t="s">
        <v>4772</v>
      </c>
      <c r="H6034" s="360" t="s">
        <v>4726</v>
      </c>
      <c r="I6034" s="309"/>
      <c r="J6034" s="388"/>
      <c r="K6034" s="291"/>
      <c r="L6034" s="291"/>
      <c r="M6034" s="291"/>
      <c r="S6034" s="364"/>
      <c r="Z6034" s="609">
        <v>7251</v>
      </c>
      <c r="AA6034" s="609"/>
    </row>
    <row r="6035" spans="1:27" ht="18">
      <c r="A6035" s="2714"/>
      <c r="B6035" s="371">
        <v>104</v>
      </c>
      <c r="C6035" s="371" t="s">
        <v>2791</v>
      </c>
      <c r="D6035" s="2716">
        <f t="shared" si="645"/>
        <v>1</v>
      </c>
      <c r="E6035" s="2721">
        <v>1</v>
      </c>
      <c r="F6035" s="294"/>
      <c r="G6035" s="1563" t="s">
        <v>4773</v>
      </c>
      <c r="H6035" s="360" t="s">
        <v>4726</v>
      </c>
      <c r="I6035" s="309"/>
      <c r="J6035" s="388"/>
      <c r="K6035" s="291"/>
      <c r="L6035" s="291"/>
      <c r="M6035" s="291"/>
      <c r="S6035" s="364"/>
      <c r="Z6035" s="609">
        <v>7251</v>
      </c>
      <c r="AA6035" s="609"/>
    </row>
    <row r="6036" spans="1:27" ht="24">
      <c r="A6036" s="2714"/>
      <c r="B6036" s="371">
        <v>105</v>
      </c>
      <c r="C6036" s="371" t="s">
        <v>2791</v>
      </c>
      <c r="D6036" s="2716">
        <f t="shared" si="645"/>
        <v>1</v>
      </c>
      <c r="E6036" s="2721">
        <v>1</v>
      </c>
      <c r="F6036" s="294"/>
      <c r="G6036" s="1563" t="s">
        <v>4774</v>
      </c>
      <c r="H6036" s="360" t="s">
        <v>4726</v>
      </c>
      <c r="I6036" s="309"/>
      <c r="J6036" s="388"/>
      <c r="K6036" s="291"/>
      <c r="L6036" s="291"/>
      <c r="M6036" s="291"/>
      <c r="S6036" s="364"/>
      <c r="Z6036" s="609">
        <v>7251</v>
      </c>
      <c r="AA6036" s="609"/>
    </row>
    <row r="6037" spans="1:27" ht="18">
      <c r="A6037" s="2714"/>
      <c r="B6037" s="371">
        <v>106</v>
      </c>
      <c r="C6037" s="371" t="s">
        <v>2791</v>
      </c>
      <c r="D6037" s="2716">
        <f t="shared" si="645"/>
        <v>0</v>
      </c>
      <c r="E6037" s="2721">
        <v>1</v>
      </c>
      <c r="F6037" s="294"/>
      <c r="G6037" s="1563" t="s">
        <v>2792</v>
      </c>
      <c r="H6037" s="360"/>
      <c r="I6037" s="309"/>
      <c r="J6037" s="388"/>
      <c r="K6037" s="291"/>
      <c r="L6037" s="291"/>
      <c r="M6037" s="291"/>
      <c r="S6037" s="364"/>
      <c r="Z6037" s="609">
        <v>7251</v>
      </c>
      <c r="AA6037" s="609"/>
    </row>
    <row r="6038" spans="1:27" ht="18.75" thickBot="1">
      <c r="A6038" s="2714"/>
      <c r="B6038" s="371"/>
      <c r="C6038" s="371"/>
      <c r="D6038" s="2716">
        <f t="shared" si="645"/>
        <v>1</v>
      </c>
      <c r="E6038" s="2721" t="s">
        <v>2751</v>
      </c>
      <c r="F6038" s="294"/>
      <c r="G6038" s="1529" t="s">
        <v>2752</v>
      </c>
      <c r="H6038" s="1570"/>
      <c r="I6038" s="1527">
        <f>SUMPRODUCT($E6031:$E6037,I6031:I6037)</f>
        <v>0</v>
      </c>
      <c r="J6038" s="1571"/>
      <c r="K6038" s="291"/>
      <c r="L6038" s="291"/>
      <c r="M6038" s="291"/>
      <c r="S6038" s="364"/>
      <c r="Z6038" s="609">
        <v>7251</v>
      </c>
      <c r="AA6038" s="609"/>
    </row>
    <row r="6039" spans="1:27" ht="18">
      <c r="A6039" s="2714"/>
      <c r="B6039" s="371"/>
      <c r="C6039" s="371" t="s">
        <v>2755</v>
      </c>
      <c r="D6039" s="371"/>
      <c r="F6039" s="294"/>
      <c r="G6039" s="301"/>
      <c r="H6039" s="393"/>
      <c r="I6039" s="315"/>
      <c r="J6039" s="393"/>
      <c r="K6039" s="291"/>
      <c r="L6039" s="291"/>
      <c r="M6039" s="291"/>
      <c r="S6039" s="364"/>
      <c r="Z6039" s="609">
        <v>7251</v>
      </c>
      <c r="AA6039" s="609"/>
    </row>
    <row r="6040" spans="1:27" ht="18">
      <c r="A6040" s="2714">
        <v>7261</v>
      </c>
      <c r="B6040" s="371">
        <v>78.83</v>
      </c>
      <c r="C6040" s="2716" t="str">
        <f>VLOOKUP($A6040,Sheet_Items,2,0)</f>
        <v>分配利润偿付利息支付的现金</v>
      </c>
      <c r="D6040" s="371"/>
      <c r="E6040" s="2716" t="s">
        <v>2739</v>
      </c>
      <c r="F6040" s="294"/>
      <c r="G6040" s="536" t="str">
        <f>B6040&amp;" "&amp;C6040</f>
        <v>78.83 分配利润偿付利息支付的现金</v>
      </c>
      <c r="H6040" s="322"/>
      <c r="I6040" s="322"/>
      <c r="J6040" s="306" t="s">
        <v>4206</v>
      </c>
      <c r="K6040" s="341">
        <f>VLOOKUP($A6040,Sheet_Trialbal,6,0)</f>
        <v>10499673.34</v>
      </c>
      <c r="L6040" s="342"/>
      <c r="M6040" s="306"/>
      <c r="N6040" s="341"/>
      <c r="O6040" s="306"/>
      <c r="P6040" s="301"/>
      <c r="S6040" s="364"/>
      <c r="Z6040" s="609">
        <v>7261</v>
      </c>
      <c r="AA6040" s="609"/>
    </row>
    <row r="6041" spans="1:27" ht="24">
      <c r="A6041" s="2714" t="s">
        <v>1988</v>
      </c>
      <c r="B6041" s="371">
        <v>1</v>
      </c>
      <c r="C6041" s="371"/>
      <c r="D6041" s="2716" t="str">
        <f>VLOOKUP($A6041,Sheet_NoteList,2,0)</f>
        <v>分配利润偿付利息支付的现金计算表</v>
      </c>
      <c r="E6041" s="2716" t="s">
        <v>2742</v>
      </c>
      <c r="F6041" s="294"/>
      <c r="G6041" s="483" t="str">
        <f>"("&amp;B6041&amp;")"&amp;D6041</f>
        <v>(1)分配利润偿付利息支付的现金计算表</v>
      </c>
      <c r="H6041" s="1517" t="str">
        <f>$A6041</f>
        <v>7261x</v>
      </c>
      <c r="I6041" s="343" t="s">
        <v>2743</v>
      </c>
      <c r="J6041" s="301" t="s">
        <v>4712</v>
      </c>
      <c r="K6041" s="2210">
        <f>I6060</f>
        <v>0</v>
      </c>
      <c r="L6041" s="345">
        <f>IF(ROUND(K6040-K6041,2)=0,"F/S",ROUND(K6040-K6041,2))</f>
        <v>10499673.34</v>
      </c>
      <c r="M6041" s="532" t="s">
        <v>4713</v>
      </c>
      <c r="N6041" s="3083"/>
      <c r="O6041" s="315"/>
      <c r="P6041" s="301"/>
      <c r="S6041" s="364"/>
      <c r="Z6041" s="609">
        <v>7261</v>
      </c>
      <c r="AA6041" s="609"/>
    </row>
    <row r="6042" spans="1:27" ht="0.75" customHeight="1" thickBot="1">
      <c r="A6042" s="2714"/>
      <c r="B6042" s="371"/>
      <c r="C6042" s="371"/>
      <c r="D6042" s="371"/>
      <c r="F6042" s="371"/>
      <c r="G6042" s="371" t="s">
        <v>4775</v>
      </c>
      <c r="H6042" s="371" t="s">
        <v>4715</v>
      </c>
      <c r="I6042" s="371" t="s">
        <v>4716</v>
      </c>
      <c r="J6042" s="371" t="s">
        <v>3671</v>
      </c>
      <c r="K6042" s="291"/>
      <c r="L6042" s="291"/>
      <c r="M6042" s="291"/>
      <c r="S6042" s="364"/>
      <c r="Z6042" s="609">
        <v>7261</v>
      </c>
      <c r="AA6042" s="609"/>
    </row>
    <row r="6043" spans="1:27" ht="18">
      <c r="A6043" s="2714"/>
      <c r="B6043" s="371"/>
      <c r="C6043" s="371"/>
      <c r="D6043" s="371"/>
      <c r="E6043" s="2716" t="s">
        <v>2749</v>
      </c>
      <c r="F6043" s="294"/>
      <c r="G6043" s="1564" t="s">
        <v>47</v>
      </c>
      <c r="H6043" s="1565" t="s">
        <v>4717</v>
      </c>
      <c r="I6043" s="1565" t="s">
        <v>2887</v>
      </c>
      <c r="J6043" s="1566" t="s">
        <v>2758</v>
      </c>
      <c r="K6043" s="291"/>
      <c r="L6043" s="291"/>
      <c r="M6043" s="291"/>
      <c r="S6043" s="364"/>
      <c r="Z6043" s="609">
        <v>7261</v>
      </c>
      <c r="AA6043" s="609"/>
    </row>
    <row r="6044" spans="1:27" ht="18">
      <c r="A6044" s="2714"/>
      <c r="B6044" s="371">
        <v>101</v>
      </c>
      <c r="C6044" s="371" t="s">
        <v>2791</v>
      </c>
      <c r="D6044" s="2716">
        <f t="shared" ref="D6044:D6060" si="646">IF(OR(G6044="*",G6044="",G6044=0),0,COUNTIF($G$6044:$G$6060,G6044))</f>
        <v>1</v>
      </c>
      <c r="E6044" s="2721">
        <v>0</v>
      </c>
      <c r="F6044" s="294"/>
      <c r="G6044" s="1563" t="s">
        <v>4776</v>
      </c>
      <c r="H6044" s="360"/>
      <c r="I6044" s="309"/>
      <c r="J6044" s="388"/>
      <c r="K6044" s="291"/>
      <c r="L6044" s="291"/>
      <c r="M6044" s="291"/>
      <c r="S6044" s="364"/>
      <c r="Z6044" s="609">
        <v>7261</v>
      </c>
      <c r="AA6044" s="609"/>
    </row>
    <row r="6045" spans="1:27" ht="18">
      <c r="A6045" s="2714"/>
      <c r="B6045" s="371">
        <v>102</v>
      </c>
      <c r="C6045" s="371" t="s">
        <v>2791</v>
      </c>
      <c r="D6045" s="2716">
        <f t="shared" si="646"/>
        <v>1</v>
      </c>
      <c r="E6045" s="2721">
        <v>0</v>
      </c>
      <c r="F6045" s="294"/>
      <c r="G6045" s="1563" t="s">
        <v>4777</v>
      </c>
      <c r="H6045" s="360"/>
      <c r="I6045" s="309"/>
      <c r="J6045" s="388"/>
      <c r="K6045" s="291"/>
      <c r="L6045" s="291"/>
      <c r="M6045" s="291"/>
      <c r="S6045" s="364"/>
      <c r="Z6045" s="609">
        <v>7261</v>
      </c>
      <c r="AA6045" s="609"/>
    </row>
    <row r="6046" spans="1:27" ht="18">
      <c r="A6046" s="2714"/>
      <c r="B6046" s="371">
        <v>103</v>
      </c>
      <c r="C6046" s="371" t="s">
        <v>2791</v>
      </c>
      <c r="D6046" s="2716">
        <f t="shared" si="646"/>
        <v>1</v>
      </c>
      <c r="E6046" s="2721">
        <v>1</v>
      </c>
      <c r="F6046" s="294"/>
      <c r="G6046" s="1521" t="s">
        <v>4778</v>
      </c>
      <c r="H6046" s="360" t="s">
        <v>4726</v>
      </c>
      <c r="I6046" s="1476">
        <f>I6044-I6045</f>
        <v>0</v>
      </c>
      <c r="J6046" s="388"/>
      <c r="K6046" s="291"/>
      <c r="L6046" s="291"/>
      <c r="M6046" s="291"/>
      <c r="S6046" s="364"/>
      <c r="Z6046" s="609">
        <v>7261</v>
      </c>
      <c r="AA6046" s="609"/>
    </row>
    <row r="6047" spans="1:27" ht="18">
      <c r="A6047" s="2714"/>
      <c r="B6047" s="371">
        <v>104</v>
      </c>
      <c r="C6047" s="371" t="s">
        <v>2791</v>
      </c>
      <c r="D6047" s="2716">
        <f t="shared" si="646"/>
        <v>1</v>
      </c>
      <c r="E6047" s="2721">
        <v>0</v>
      </c>
      <c r="F6047" s="294"/>
      <c r="G6047" s="1563" t="s">
        <v>4779</v>
      </c>
      <c r="H6047" s="360"/>
      <c r="I6047" s="309"/>
      <c r="J6047" s="388"/>
      <c r="K6047" s="291"/>
      <c r="L6047" s="291"/>
      <c r="M6047" s="291"/>
      <c r="S6047" s="364"/>
      <c r="Z6047" s="609">
        <v>7261</v>
      </c>
      <c r="AA6047" s="609"/>
    </row>
    <row r="6048" spans="1:27" ht="18">
      <c r="A6048" s="2714"/>
      <c r="B6048" s="371">
        <v>105</v>
      </c>
      <c r="C6048" s="371" t="s">
        <v>2791</v>
      </c>
      <c r="D6048" s="2716">
        <f t="shared" si="646"/>
        <v>1</v>
      </c>
      <c r="E6048" s="2721">
        <v>0</v>
      </c>
      <c r="F6048" s="294"/>
      <c r="G6048" s="1563" t="s">
        <v>4780</v>
      </c>
      <c r="H6048" s="360"/>
      <c r="I6048" s="309"/>
      <c r="J6048" s="388"/>
      <c r="K6048" s="291"/>
      <c r="L6048" s="291"/>
      <c r="M6048" s="291"/>
      <c r="S6048" s="364"/>
      <c r="Z6048" s="609">
        <v>7261</v>
      </c>
      <c r="AA6048" s="609"/>
    </row>
    <row r="6049" spans="1:27" ht="18">
      <c r="A6049" s="2714"/>
      <c r="B6049" s="371">
        <v>106</v>
      </c>
      <c r="C6049" s="371" t="s">
        <v>2791</v>
      </c>
      <c r="D6049" s="2716">
        <f t="shared" si="646"/>
        <v>1</v>
      </c>
      <c r="E6049" s="2721">
        <v>1</v>
      </c>
      <c r="F6049" s="294"/>
      <c r="G6049" s="1521" t="s">
        <v>4781</v>
      </c>
      <c r="H6049" s="360" t="s">
        <v>4726</v>
      </c>
      <c r="I6049" s="1476">
        <f>I6047-I6048</f>
        <v>0</v>
      </c>
      <c r="J6049" s="388"/>
      <c r="K6049" s="291"/>
      <c r="L6049" s="291"/>
      <c r="M6049" s="291"/>
      <c r="S6049" s="364"/>
      <c r="Z6049" s="609">
        <v>7261</v>
      </c>
      <c r="AA6049" s="609"/>
    </row>
    <row r="6050" spans="1:27" ht="18">
      <c r="A6050" s="2714"/>
      <c r="B6050" s="371">
        <v>107</v>
      </c>
      <c r="C6050" s="371" t="s">
        <v>2791</v>
      </c>
      <c r="D6050" s="2716">
        <f t="shared" si="646"/>
        <v>1</v>
      </c>
      <c r="E6050" s="2721">
        <v>1</v>
      </c>
      <c r="F6050" s="294"/>
      <c r="G6050" s="1563" t="s">
        <v>4782</v>
      </c>
      <c r="H6050" s="360" t="s">
        <v>4726</v>
      </c>
      <c r="I6050" s="309"/>
      <c r="J6050" s="388"/>
      <c r="K6050" s="291"/>
      <c r="L6050" s="291"/>
      <c r="M6050" s="291"/>
      <c r="S6050" s="364"/>
      <c r="Z6050" s="609">
        <v>7261</v>
      </c>
      <c r="AA6050" s="609"/>
    </row>
    <row r="6051" spans="1:27" ht="24">
      <c r="A6051" s="2714"/>
      <c r="B6051" s="371">
        <v>108</v>
      </c>
      <c r="C6051" s="371" t="s">
        <v>2791</v>
      </c>
      <c r="D6051" s="2716">
        <f t="shared" si="646"/>
        <v>1</v>
      </c>
      <c r="E6051" s="2721">
        <v>0</v>
      </c>
      <c r="F6051" s="294"/>
      <c r="G6051" s="1563" t="s">
        <v>4783</v>
      </c>
      <c r="H6051" s="360"/>
      <c r="I6051" s="309"/>
      <c r="J6051" s="388"/>
      <c r="K6051" s="291"/>
      <c r="L6051" s="291"/>
      <c r="M6051" s="291"/>
      <c r="S6051" s="364"/>
      <c r="Z6051" s="609">
        <v>7261</v>
      </c>
      <c r="AA6051" s="609"/>
    </row>
    <row r="6052" spans="1:27" ht="24">
      <c r="A6052" s="2714"/>
      <c r="B6052" s="371">
        <v>109</v>
      </c>
      <c r="C6052" s="371" t="s">
        <v>2791</v>
      </c>
      <c r="D6052" s="2716">
        <f t="shared" si="646"/>
        <v>1</v>
      </c>
      <c r="E6052" s="2721">
        <v>0</v>
      </c>
      <c r="F6052" s="294"/>
      <c r="G6052" s="1563" t="s">
        <v>4784</v>
      </c>
      <c r="H6052" s="360"/>
      <c r="I6052" s="309"/>
      <c r="J6052" s="388"/>
      <c r="K6052" s="291"/>
      <c r="L6052" s="291"/>
      <c r="M6052" s="291"/>
      <c r="S6052" s="364"/>
      <c r="Z6052" s="609">
        <v>7261</v>
      </c>
      <c r="AA6052" s="609"/>
    </row>
    <row r="6053" spans="1:27" ht="24">
      <c r="A6053" s="2714"/>
      <c r="B6053" s="371">
        <v>110</v>
      </c>
      <c r="C6053" s="371" t="s">
        <v>2791</v>
      </c>
      <c r="D6053" s="2716">
        <f t="shared" si="646"/>
        <v>1</v>
      </c>
      <c r="E6053" s="2721">
        <v>1</v>
      </c>
      <c r="F6053" s="294"/>
      <c r="G6053" s="1521" t="s">
        <v>4785</v>
      </c>
      <c r="H6053" s="360" t="s">
        <v>4726</v>
      </c>
      <c r="I6053" s="1476">
        <f>I6051-I6052</f>
        <v>0</v>
      </c>
      <c r="J6053" s="388"/>
      <c r="K6053" s="291"/>
      <c r="L6053" s="291"/>
      <c r="M6053" s="291"/>
      <c r="S6053" s="364"/>
      <c r="Z6053" s="609">
        <v>7261</v>
      </c>
      <c r="AA6053" s="609"/>
    </row>
    <row r="6054" spans="1:27" ht="18">
      <c r="A6054" s="2714"/>
      <c r="B6054" s="371">
        <v>111</v>
      </c>
      <c r="C6054" s="371" t="s">
        <v>2791</v>
      </c>
      <c r="D6054" s="2716">
        <f t="shared" si="646"/>
        <v>1</v>
      </c>
      <c r="E6054" s="2721">
        <v>1</v>
      </c>
      <c r="F6054" s="294"/>
      <c r="G6054" s="1563" t="s">
        <v>4786</v>
      </c>
      <c r="H6054" s="360" t="s">
        <v>4726</v>
      </c>
      <c r="I6054" s="309"/>
      <c r="J6054" s="388"/>
      <c r="K6054" s="291"/>
      <c r="L6054" s="291"/>
      <c r="M6054" s="291"/>
      <c r="S6054" s="364"/>
      <c r="Z6054" s="609">
        <v>7261</v>
      </c>
      <c r="AA6054" s="609"/>
    </row>
    <row r="6055" spans="1:27" ht="18">
      <c r="A6055" s="2714"/>
      <c r="B6055" s="371">
        <v>112</v>
      </c>
      <c r="C6055" s="371" t="s">
        <v>2791</v>
      </c>
      <c r="D6055" s="2716">
        <f t="shared" si="646"/>
        <v>1</v>
      </c>
      <c r="E6055" s="2721">
        <v>1</v>
      </c>
      <c r="F6055" s="294"/>
      <c r="G6055" s="1563" t="s">
        <v>4787</v>
      </c>
      <c r="H6055" s="360" t="s">
        <v>4726</v>
      </c>
      <c r="I6055" s="309"/>
      <c r="J6055" s="388"/>
      <c r="K6055" s="291"/>
      <c r="L6055" s="291"/>
      <c r="M6055" s="291"/>
      <c r="S6055" s="364"/>
      <c r="Z6055" s="609">
        <v>7261</v>
      </c>
      <c r="AA6055" s="609"/>
    </row>
    <row r="6056" spans="1:27" ht="18">
      <c r="A6056" s="2714"/>
      <c r="B6056" s="371">
        <v>113</v>
      </c>
      <c r="C6056" s="371" t="s">
        <v>2791</v>
      </c>
      <c r="D6056" s="2716">
        <f t="shared" si="646"/>
        <v>1</v>
      </c>
      <c r="E6056" s="2721">
        <v>1</v>
      </c>
      <c r="F6056" s="294"/>
      <c r="G6056" s="1563" t="s">
        <v>4788</v>
      </c>
      <c r="H6056" s="360" t="s">
        <v>4726</v>
      </c>
      <c r="I6056" s="309"/>
      <c r="J6056" s="388"/>
      <c r="K6056" s="291"/>
      <c r="L6056" s="291"/>
      <c r="M6056" s="291"/>
      <c r="S6056" s="364"/>
      <c r="Z6056" s="609">
        <v>7261</v>
      </c>
      <c r="AA6056" s="609"/>
    </row>
    <row r="6057" spans="1:27" ht="18">
      <c r="A6057" s="2714"/>
      <c r="B6057" s="371">
        <v>114</v>
      </c>
      <c r="C6057" s="371" t="s">
        <v>2791</v>
      </c>
      <c r="D6057" s="2716">
        <f t="shared" si="646"/>
        <v>1</v>
      </c>
      <c r="E6057" s="2721">
        <v>1</v>
      </c>
      <c r="F6057" s="294"/>
      <c r="G6057" s="1563" t="s">
        <v>4789</v>
      </c>
      <c r="H6057" s="360" t="s">
        <v>4726</v>
      </c>
      <c r="I6057" s="309"/>
      <c r="J6057" s="388"/>
      <c r="K6057" s="291"/>
      <c r="L6057" s="291"/>
      <c r="M6057" s="291"/>
      <c r="S6057" s="364"/>
      <c r="Z6057" s="609">
        <v>7261</v>
      </c>
      <c r="AA6057" s="609"/>
    </row>
    <row r="6058" spans="1:27" ht="18">
      <c r="A6058" s="2714"/>
      <c r="B6058" s="371">
        <v>115</v>
      </c>
      <c r="C6058" s="371" t="s">
        <v>2791</v>
      </c>
      <c r="D6058" s="2716">
        <f t="shared" si="646"/>
        <v>1</v>
      </c>
      <c r="E6058" s="2721">
        <v>1</v>
      </c>
      <c r="F6058" s="294"/>
      <c r="G6058" s="1563" t="s">
        <v>932</v>
      </c>
      <c r="H6058" s="360" t="s">
        <v>4726</v>
      </c>
      <c r="I6058" s="309"/>
      <c r="J6058" s="388"/>
      <c r="K6058" s="291"/>
      <c r="L6058" s="291"/>
      <c r="M6058" s="291"/>
      <c r="S6058" s="364"/>
      <c r="Z6058" s="609">
        <v>7261</v>
      </c>
      <c r="AA6058" s="609"/>
    </row>
    <row r="6059" spans="1:27" ht="18">
      <c r="A6059" s="2714"/>
      <c r="B6059" s="371">
        <v>116</v>
      </c>
      <c r="C6059" s="371" t="s">
        <v>2791</v>
      </c>
      <c r="D6059" s="2716">
        <f t="shared" si="646"/>
        <v>0</v>
      </c>
      <c r="E6059" s="2721">
        <v>1</v>
      </c>
      <c r="F6059" s="294"/>
      <c r="G6059" s="1563" t="s">
        <v>2792</v>
      </c>
      <c r="H6059" s="360"/>
      <c r="I6059" s="309"/>
      <c r="J6059" s="388"/>
      <c r="K6059" s="291"/>
      <c r="L6059" s="291"/>
      <c r="M6059" s="291"/>
      <c r="S6059" s="364"/>
      <c r="Z6059" s="609">
        <v>7261</v>
      </c>
      <c r="AA6059" s="609"/>
    </row>
    <row r="6060" spans="1:27" ht="18.75" thickBot="1">
      <c r="A6060" s="2714"/>
      <c r="B6060" s="371"/>
      <c r="C6060" s="371"/>
      <c r="D6060" s="2716">
        <f t="shared" si="646"/>
        <v>1</v>
      </c>
      <c r="E6060" s="2721" t="s">
        <v>2751</v>
      </c>
      <c r="F6060" s="294"/>
      <c r="G6060" s="1529" t="s">
        <v>2752</v>
      </c>
      <c r="H6060" s="1570"/>
      <c r="I6060" s="1527">
        <f>SUMPRODUCT($E6043:$E6059,I6043:I6059)</f>
        <v>0</v>
      </c>
      <c r="J6060" s="1571"/>
      <c r="K6060" s="291"/>
      <c r="L6060" s="291"/>
      <c r="M6060" s="291"/>
      <c r="S6060" s="364"/>
      <c r="Z6060" s="609">
        <v>7261</v>
      </c>
      <c r="AA6060" s="609"/>
    </row>
    <row r="6061" spans="1:27" ht="18.75" thickBot="1">
      <c r="A6061" s="2714"/>
      <c r="B6061" s="371"/>
      <c r="C6061" s="371" t="s">
        <v>2755</v>
      </c>
      <c r="D6061" s="371"/>
      <c r="F6061" s="294"/>
      <c r="G6061" s="301"/>
      <c r="H6061" s="393"/>
      <c r="I6061" s="315"/>
      <c r="J6061" s="393"/>
      <c r="K6061" s="291"/>
      <c r="L6061" s="291"/>
      <c r="M6061" s="291"/>
      <c r="S6061" s="364"/>
      <c r="Z6061" s="609">
        <v>7261</v>
      </c>
      <c r="AA6061" s="609"/>
    </row>
    <row r="6062" spans="1:27" ht="18.75" thickBot="1">
      <c r="A6062" s="2714"/>
      <c r="B6062" s="371"/>
      <c r="C6062" s="371"/>
      <c r="D6062" s="371"/>
      <c r="F6062" s="294"/>
      <c r="G6062" s="627" t="s">
        <v>4708</v>
      </c>
      <c r="H6062" s="628" t="s">
        <v>4790</v>
      </c>
      <c r="I6062" s="629"/>
      <c r="J6062" s="630"/>
      <c r="K6062" s="630"/>
      <c r="L6062" s="630"/>
      <c r="M6062" s="630"/>
      <c r="N6062" s="631"/>
      <c r="S6062" s="364"/>
      <c r="Z6062" s="609" t="s">
        <v>2014</v>
      </c>
      <c r="AA6062" s="609"/>
    </row>
    <row r="6063" spans="1:27" ht="18">
      <c r="A6063" s="2714">
        <v>7503</v>
      </c>
      <c r="B6063" s="371">
        <v>79.010000000000005</v>
      </c>
      <c r="C6063" s="2716" t="str">
        <f>VLOOKUP($A6063,Sheet_Items,2,0)</f>
        <v>资产减值准备金额</v>
      </c>
      <c r="D6063" s="371"/>
      <c r="E6063" s="2716" t="s">
        <v>2739</v>
      </c>
      <c r="F6063" s="294"/>
      <c r="G6063" s="536" t="str">
        <f>B6063&amp;" "&amp;C6063</f>
        <v>79.01 资产减值准备金额</v>
      </c>
      <c r="H6063" s="322"/>
      <c r="I6063" s="322"/>
      <c r="J6063" s="306" t="s">
        <v>4206</v>
      </c>
      <c r="K6063" s="341">
        <f>VLOOKUP($A6063,Sheet_Trialbal,6,0)</f>
        <v>864640.09</v>
      </c>
      <c r="L6063" s="342"/>
      <c r="M6063" s="306"/>
      <c r="N6063" s="341"/>
      <c r="O6063" s="306"/>
      <c r="P6063" s="301"/>
      <c r="S6063" s="364"/>
      <c r="Z6063" s="609" t="s">
        <v>2014</v>
      </c>
      <c r="AA6063" s="609"/>
    </row>
    <row r="6064" spans="1:27" ht="36">
      <c r="A6064" s="2714" t="s">
        <v>2012</v>
      </c>
      <c r="B6064" s="371">
        <v>1</v>
      </c>
      <c r="C6064" s="371"/>
      <c r="D6064" s="2716" t="str">
        <f>VLOOKUP($A6064,Sheet_NoteList,2,0)</f>
        <v>将净利润调节为经营活动现金流量：资产减值准备金额</v>
      </c>
      <c r="E6064" s="2716" t="s">
        <v>2742</v>
      </c>
      <c r="F6064" s="294"/>
      <c r="G6064" s="372" t="str">
        <f>"("&amp;B6064&amp;")"&amp;D6064</f>
        <v>(1)将净利润调节为经营活动现金流量：资产减值准备金额</v>
      </c>
      <c r="H6064" s="1517" t="str">
        <f>$A6064</f>
        <v>7503a</v>
      </c>
      <c r="I6064" s="343" t="s">
        <v>2743</v>
      </c>
      <c r="J6064" s="301" t="s">
        <v>4712</v>
      </c>
      <c r="K6064" s="2210">
        <f>H6070</f>
        <v>0</v>
      </c>
      <c r="L6064" s="345">
        <f>IF(ROUND(K6063-K6064,2)=0,"F/S",ROUND(K6063-K6064,2))</f>
        <v>864640.09</v>
      </c>
      <c r="M6064" s="532" t="s">
        <v>4713</v>
      </c>
      <c r="N6064" s="3083"/>
      <c r="O6064" s="315"/>
      <c r="P6064" s="301"/>
      <c r="S6064" s="364"/>
      <c r="Z6064" s="609" t="s">
        <v>2014</v>
      </c>
      <c r="AA6064" s="609"/>
    </row>
    <row r="6065" spans="1:27" ht="0.75" customHeight="1" thickBot="1">
      <c r="A6065" s="2714"/>
      <c r="B6065" s="371"/>
      <c r="C6065" s="371"/>
      <c r="D6065" s="371"/>
      <c r="F6065" s="294"/>
      <c r="G6065" s="294" t="s">
        <v>4791</v>
      </c>
      <c r="H6065" s="294" t="s">
        <v>3472</v>
      </c>
      <c r="I6065" s="294" t="s">
        <v>2821</v>
      </c>
      <c r="J6065" s="291"/>
      <c r="K6065" s="291"/>
      <c r="L6065" s="291"/>
      <c r="M6065" s="291"/>
      <c r="S6065" s="364"/>
      <c r="Z6065" s="609" t="s">
        <v>2014</v>
      </c>
      <c r="AA6065" s="609"/>
    </row>
    <row r="6066" spans="1:27" ht="18">
      <c r="A6066" s="2714"/>
      <c r="B6066" s="371"/>
      <c r="C6066" s="371"/>
      <c r="D6066" s="371"/>
      <c r="E6066" s="2716" t="s">
        <v>2749</v>
      </c>
      <c r="F6066" s="294"/>
      <c r="G6066" s="1564" t="s">
        <v>47</v>
      </c>
      <c r="H6066" s="1565" t="s">
        <v>2587</v>
      </c>
      <c r="I6066" s="1566" t="s">
        <v>2508</v>
      </c>
      <c r="J6066" s="575"/>
      <c r="K6066" s="291"/>
      <c r="L6066" s="291"/>
      <c r="M6066" s="291"/>
      <c r="S6066" s="364"/>
      <c r="Z6066" s="609" t="s">
        <v>2014</v>
      </c>
      <c r="AA6066" s="609"/>
    </row>
    <row r="6067" spans="1:27" ht="18">
      <c r="A6067" s="2714"/>
      <c r="B6067" s="371">
        <v>101</v>
      </c>
      <c r="C6067" s="371"/>
      <c r="D6067" s="2716">
        <f>IF(OR(G6067="*",G6067="",G6067=0),0,COUNTIF($G$6067:$G$6070,G6067))</f>
        <v>1</v>
      </c>
      <c r="E6067" s="2721">
        <v>1</v>
      </c>
      <c r="F6067" s="294"/>
      <c r="G6067" s="308" t="s">
        <v>697</v>
      </c>
      <c r="H6067" s="309"/>
      <c r="I6067" s="388"/>
      <c r="J6067" s="291"/>
      <c r="K6067" s="291"/>
      <c r="L6067" s="291"/>
      <c r="M6067" s="291"/>
      <c r="S6067" s="364"/>
      <c r="Z6067" s="609" t="s">
        <v>2014</v>
      </c>
      <c r="AA6067" s="609"/>
    </row>
    <row r="6068" spans="1:27" ht="18">
      <c r="A6068" s="2714"/>
      <c r="B6068" s="371">
        <v>102</v>
      </c>
      <c r="C6068" s="371" t="s">
        <v>2791</v>
      </c>
      <c r="D6068" s="2716">
        <f>IF(OR(G6068="*",G6068="",G6068=0),0,COUNTIF($G$6067:$G$6070,G6068))</f>
        <v>0</v>
      </c>
      <c r="E6068" s="2721">
        <v>1</v>
      </c>
      <c r="F6068" s="294"/>
      <c r="G6068" s="1563" t="s">
        <v>2792</v>
      </c>
      <c r="H6068" s="309"/>
      <c r="I6068" s="388"/>
      <c r="J6068" s="291"/>
      <c r="K6068" s="291"/>
      <c r="L6068" s="291"/>
      <c r="M6068" s="291"/>
      <c r="S6068" s="364"/>
      <c r="Z6068" s="609" t="s">
        <v>2014</v>
      </c>
      <c r="AA6068" s="609"/>
    </row>
    <row r="6069" spans="1:27" ht="18">
      <c r="A6069" s="2714"/>
      <c r="B6069" s="371">
        <v>103</v>
      </c>
      <c r="C6069" s="371" t="s">
        <v>2791</v>
      </c>
      <c r="D6069" s="2716">
        <f>IF(OR(G6069="*",G6069="",G6069=0),0,COUNTIF($G$6067:$G$6070,G6069))</f>
        <v>0</v>
      </c>
      <c r="E6069" s="2721">
        <v>1</v>
      </c>
      <c r="F6069" s="294"/>
      <c r="G6069" s="1563" t="s">
        <v>2792</v>
      </c>
      <c r="H6069" s="309"/>
      <c r="I6069" s="388"/>
      <c r="J6069" s="291"/>
      <c r="K6069" s="291"/>
      <c r="L6069" s="291"/>
      <c r="M6069" s="291"/>
      <c r="S6069" s="364"/>
      <c r="Z6069" s="609" t="s">
        <v>2014</v>
      </c>
      <c r="AA6069" s="609"/>
    </row>
    <row r="6070" spans="1:27" ht="18.75" thickBot="1">
      <c r="A6070" s="2714"/>
      <c r="B6070" s="371"/>
      <c r="C6070" s="371"/>
      <c r="D6070" s="2716">
        <f>IF(OR(G6070="*",G6070="",G6070=0),0,COUNTIF($G$6067:$G$6070,G6070))</f>
        <v>1</v>
      </c>
      <c r="E6070" s="2721" t="s">
        <v>2751</v>
      </c>
      <c r="F6070" s="294"/>
      <c r="G6070" s="1529" t="s">
        <v>2752</v>
      </c>
      <c r="H6070" s="1527">
        <f>SUMPRODUCT($E6066:$E6069,H6066:H6069)</f>
        <v>0</v>
      </c>
      <c r="I6070" s="1572"/>
      <c r="J6070" s="291"/>
      <c r="K6070" s="291"/>
      <c r="L6070" s="291"/>
      <c r="M6070" s="291"/>
      <c r="S6070" s="364"/>
      <c r="Z6070" s="609" t="s">
        <v>2014</v>
      </c>
      <c r="AA6070" s="609"/>
    </row>
    <row r="6071" spans="1:27" ht="18">
      <c r="A6071" s="2714"/>
      <c r="B6071" s="371"/>
      <c r="C6071" s="371" t="s">
        <v>2755</v>
      </c>
      <c r="D6071" s="371"/>
      <c r="F6071" s="294"/>
      <c r="G6071" s="301"/>
      <c r="H6071" s="315"/>
      <c r="I6071" s="393"/>
      <c r="J6071" s="291"/>
      <c r="K6071" s="291"/>
      <c r="L6071" s="291"/>
      <c r="M6071" s="291"/>
      <c r="S6071" s="364"/>
      <c r="Z6071" s="609" t="s">
        <v>2014</v>
      </c>
      <c r="AA6071" s="609"/>
    </row>
    <row r="6072" spans="1:27" ht="18">
      <c r="A6072" s="2714">
        <v>7505</v>
      </c>
      <c r="B6072" s="371">
        <v>79.02</v>
      </c>
      <c r="C6072" s="2716" t="str">
        <f>VLOOKUP($A6072,Sheet_Items,2,0)</f>
        <v>固定资产折旧、油气资产折耗、生产性生物资产折旧</v>
      </c>
      <c r="D6072" s="371"/>
      <c r="E6072" s="2716" t="s">
        <v>2739</v>
      </c>
      <c r="F6072" s="294"/>
      <c r="G6072" s="536" t="str">
        <f>B6072&amp;" "&amp;C6072</f>
        <v>79.02 固定资产折旧、油气资产折耗、生产性生物资产折旧</v>
      </c>
      <c r="H6072" s="322"/>
      <c r="I6072" s="322"/>
      <c r="J6072" s="306" t="s">
        <v>4206</v>
      </c>
      <c r="K6072" s="341">
        <f>VLOOKUP($A6072,Sheet_Trialbal,6,0)</f>
        <v>2332438.67</v>
      </c>
      <c r="L6072" s="342"/>
      <c r="M6072" s="306"/>
      <c r="N6072" s="341"/>
      <c r="O6072" s="306"/>
      <c r="P6072" s="301"/>
      <c r="S6072" s="364"/>
      <c r="Z6072" s="609" t="s">
        <v>2017</v>
      </c>
      <c r="AA6072" s="609"/>
    </row>
    <row r="6073" spans="1:27" ht="48">
      <c r="A6073" s="2714" t="s">
        <v>2015</v>
      </c>
      <c r="B6073" s="371">
        <v>1</v>
      </c>
      <c r="C6073" s="371"/>
      <c r="D6073" s="2716" t="str">
        <f>VLOOKUP($A6073,Sheet_NoteList,2,0)</f>
        <v>将净利润调节为经营活动现金流量：固定资产折旧、油气资产折耗、生产性生物资产折旧</v>
      </c>
      <c r="E6073" s="2716" t="s">
        <v>2742</v>
      </c>
      <c r="F6073" s="294"/>
      <c r="G6073" s="372" t="str">
        <f>"("&amp;B6073&amp;")"&amp;D6073</f>
        <v>(1)将净利润调节为经营活动现金流量：固定资产折旧、油气资产折耗、生产性生物资产折旧</v>
      </c>
      <c r="H6073" s="1517" t="str">
        <f>$A6073</f>
        <v>7505a</v>
      </c>
      <c r="I6073" s="343" t="s">
        <v>2743</v>
      </c>
      <c r="J6073" s="301" t="s">
        <v>4712</v>
      </c>
      <c r="K6073" s="2210">
        <f>H6081</f>
        <v>0</v>
      </c>
      <c r="L6073" s="345">
        <f>IF(ROUND(K6072-K6073,2)=0,"F/S",ROUND(K6072-K6073,2))</f>
        <v>2332438.67</v>
      </c>
      <c r="M6073" s="532" t="s">
        <v>4713</v>
      </c>
      <c r="N6073" s="3083"/>
      <c r="O6073" s="315"/>
      <c r="P6073" s="301"/>
      <c r="S6073" s="364"/>
      <c r="Z6073" s="609" t="s">
        <v>2017</v>
      </c>
      <c r="AA6073" s="609"/>
    </row>
    <row r="6074" spans="1:27" ht="0.75" customHeight="1" thickBot="1">
      <c r="A6074" s="2714"/>
      <c r="B6074" s="371"/>
      <c r="C6074" s="371"/>
      <c r="D6074" s="371"/>
      <c r="F6074" s="294"/>
      <c r="G6074" s="294" t="s">
        <v>4792</v>
      </c>
      <c r="H6074" s="294" t="s">
        <v>3472</v>
      </c>
      <c r="I6074" s="294" t="s">
        <v>2821</v>
      </c>
      <c r="J6074" s="291"/>
      <c r="K6074" s="291"/>
      <c r="L6074" s="291"/>
      <c r="M6074" s="291"/>
      <c r="S6074" s="364"/>
      <c r="Z6074" s="609" t="s">
        <v>2017</v>
      </c>
      <c r="AA6074" s="609"/>
    </row>
    <row r="6075" spans="1:27" ht="18">
      <c r="A6075" s="2714"/>
      <c r="B6075" s="371"/>
      <c r="C6075" s="371"/>
      <c r="D6075" s="371"/>
      <c r="E6075" s="2716" t="s">
        <v>2749</v>
      </c>
      <c r="F6075" s="294"/>
      <c r="G6075" s="1564" t="s">
        <v>47</v>
      </c>
      <c r="H6075" s="1565" t="s">
        <v>2587</v>
      </c>
      <c r="I6075" s="1566" t="s">
        <v>2508</v>
      </c>
      <c r="J6075" s="291"/>
      <c r="K6075" s="291"/>
      <c r="L6075" s="291"/>
      <c r="M6075" s="291"/>
      <c r="S6075" s="364"/>
      <c r="Z6075" s="609" t="s">
        <v>2017</v>
      </c>
      <c r="AA6075" s="609"/>
    </row>
    <row r="6076" spans="1:27" ht="18">
      <c r="A6076" s="2714"/>
      <c r="B6076" s="371">
        <v>101</v>
      </c>
      <c r="C6076" s="371"/>
      <c r="D6076" s="2716">
        <f t="shared" ref="D6076:D6081" si="647">IF(OR(G6076="*",G6076="",G6076=0),0,COUNTIF($G$6076:$G$6081,G6076))</f>
        <v>1</v>
      </c>
      <c r="E6076" s="2721">
        <v>1</v>
      </c>
      <c r="F6076" s="294"/>
      <c r="G6076" s="308" t="s">
        <v>4793</v>
      </c>
      <c r="H6076" s="309"/>
      <c r="I6076" s="388"/>
      <c r="J6076" s="291"/>
      <c r="K6076" s="291"/>
      <c r="L6076" s="291"/>
      <c r="M6076" s="291"/>
      <c r="S6076" s="364"/>
      <c r="Z6076" s="609" t="s">
        <v>2017</v>
      </c>
      <c r="AA6076" s="609"/>
    </row>
    <row r="6077" spans="1:27" ht="18">
      <c r="A6077" s="2714"/>
      <c r="B6077" s="371">
        <v>102</v>
      </c>
      <c r="C6077" s="371"/>
      <c r="D6077" s="2716">
        <f t="shared" si="647"/>
        <v>1</v>
      </c>
      <c r="E6077" s="2721">
        <v>1</v>
      </c>
      <c r="F6077" s="294"/>
      <c r="G6077" s="308" t="s">
        <v>4794</v>
      </c>
      <c r="H6077" s="309"/>
      <c r="I6077" s="388"/>
      <c r="J6077" s="291"/>
      <c r="K6077" s="291"/>
      <c r="L6077" s="291"/>
      <c r="M6077" s="291"/>
      <c r="S6077" s="364"/>
      <c r="Z6077" s="609" t="s">
        <v>2017</v>
      </c>
      <c r="AA6077" s="609"/>
    </row>
    <row r="6078" spans="1:27" ht="24">
      <c r="A6078" s="2714"/>
      <c r="B6078" s="371">
        <v>103</v>
      </c>
      <c r="C6078" s="371"/>
      <c r="D6078" s="2716">
        <f t="shared" si="647"/>
        <v>1</v>
      </c>
      <c r="E6078" s="2721">
        <v>1</v>
      </c>
      <c r="F6078" s="294"/>
      <c r="G6078" s="308" t="s">
        <v>4795</v>
      </c>
      <c r="H6078" s="309"/>
      <c r="I6078" s="388"/>
      <c r="J6078" s="291"/>
      <c r="K6078" s="291"/>
      <c r="L6078" s="291"/>
      <c r="M6078" s="291"/>
      <c r="S6078" s="364"/>
      <c r="Z6078" s="609" t="s">
        <v>2017</v>
      </c>
      <c r="AA6078" s="609"/>
    </row>
    <row r="6079" spans="1:27" ht="18">
      <c r="A6079" s="2714"/>
      <c r="B6079" s="371">
        <v>104</v>
      </c>
      <c r="C6079" s="371" t="s">
        <v>2791</v>
      </c>
      <c r="D6079" s="2716">
        <f t="shared" si="647"/>
        <v>0</v>
      </c>
      <c r="E6079" s="2721">
        <v>1</v>
      </c>
      <c r="F6079" s="294"/>
      <c r="G6079" s="1563" t="s">
        <v>2792</v>
      </c>
      <c r="H6079" s="309"/>
      <c r="I6079" s="388"/>
      <c r="J6079" s="291"/>
      <c r="K6079" s="291"/>
      <c r="L6079" s="291"/>
      <c r="M6079" s="291"/>
      <c r="S6079" s="364"/>
      <c r="Z6079" s="609" t="s">
        <v>2017</v>
      </c>
      <c r="AA6079" s="609"/>
    </row>
    <row r="6080" spans="1:27" ht="18">
      <c r="A6080" s="2714"/>
      <c r="B6080" s="371">
        <v>105</v>
      </c>
      <c r="C6080" s="371" t="s">
        <v>2791</v>
      </c>
      <c r="D6080" s="2716">
        <f t="shared" si="647"/>
        <v>0</v>
      </c>
      <c r="E6080" s="2721">
        <v>1</v>
      </c>
      <c r="F6080" s="294"/>
      <c r="G6080" s="1563" t="s">
        <v>2792</v>
      </c>
      <c r="H6080" s="309"/>
      <c r="I6080" s="388"/>
      <c r="J6080" s="291"/>
      <c r="K6080" s="291"/>
      <c r="L6080" s="291"/>
      <c r="M6080" s="291"/>
      <c r="S6080" s="364"/>
      <c r="Z6080" s="609" t="s">
        <v>2017</v>
      </c>
      <c r="AA6080" s="609"/>
    </row>
    <row r="6081" spans="1:27" ht="18.75" thickBot="1">
      <c r="A6081" s="2714"/>
      <c r="B6081" s="371"/>
      <c r="C6081" s="371"/>
      <c r="D6081" s="2716">
        <f t="shared" si="647"/>
        <v>1</v>
      </c>
      <c r="E6081" s="2721" t="s">
        <v>2751</v>
      </c>
      <c r="F6081" s="294"/>
      <c r="G6081" s="1529" t="s">
        <v>2752</v>
      </c>
      <c r="H6081" s="1527">
        <f>SUMPRODUCT($E6075:$E6080,H6075:H6080)</f>
        <v>0</v>
      </c>
      <c r="I6081" s="1571"/>
      <c r="J6081" s="291"/>
      <c r="K6081" s="291"/>
      <c r="L6081" s="291"/>
      <c r="M6081" s="291"/>
      <c r="S6081" s="364"/>
      <c r="Z6081" s="609" t="s">
        <v>2017</v>
      </c>
      <c r="AA6081" s="609"/>
    </row>
    <row r="6082" spans="1:27" ht="18">
      <c r="A6082" s="2714"/>
      <c r="B6082" s="371"/>
      <c r="C6082" s="371" t="s">
        <v>2755</v>
      </c>
      <c r="D6082" s="371"/>
      <c r="F6082" s="294"/>
      <c r="G6082" s="301"/>
      <c r="H6082" s="315"/>
      <c r="I6082" s="393"/>
      <c r="J6082" s="291"/>
      <c r="K6082" s="291"/>
      <c r="L6082" s="291"/>
      <c r="M6082" s="291"/>
      <c r="S6082" s="364"/>
      <c r="Z6082" s="609" t="s">
        <v>2017</v>
      </c>
      <c r="AA6082" s="609"/>
    </row>
    <row r="6083" spans="1:27" ht="18">
      <c r="A6083" s="2714">
        <v>7506</v>
      </c>
      <c r="B6083" s="371">
        <v>79.03</v>
      </c>
      <c r="C6083" s="2716" t="str">
        <f>VLOOKUP($A6083,Sheet_Items,2,0)</f>
        <v>无形资产摊销</v>
      </c>
      <c r="D6083" s="371"/>
      <c r="E6083" s="2716" t="s">
        <v>2739</v>
      </c>
      <c r="F6083" s="294"/>
      <c r="G6083" s="536" t="str">
        <f>B6083&amp;" "&amp;C6083</f>
        <v>79.03 无形资产摊销</v>
      </c>
      <c r="H6083" s="322"/>
      <c r="I6083" s="322"/>
      <c r="J6083" s="306" t="s">
        <v>4206</v>
      </c>
      <c r="K6083" s="341">
        <f>VLOOKUP($A6083,Sheet_Trialbal,6,0)</f>
        <v>102441.89</v>
      </c>
      <c r="L6083" s="342"/>
      <c r="M6083" s="306"/>
      <c r="N6083" s="341"/>
      <c r="O6083" s="306"/>
      <c r="P6083" s="301"/>
      <c r="S6083" s="364"/>
      <c r="Z6083" s="609" t="s">
        <v>2020</v>
      </c>
      <c r="AA6083" s="609"/>
    </row>
    <row r="6084" spans="1:27" ht="24">
      <c r="A6084" s="2714" t="s">
        <v>2018</v>
      </c>
      <c r="B6084" s="371">
        <v>1</v>
      </c>
      <c r="C6084" s="371"/>
      <c r="D6084" s="2716" t="str">
        <f>VLOOKUP($A6084,Sheet_NoteList,2,0)</f>
        <v>将净利润调节为经营活动现金流量：无形资产摊销</v>
      </c>
      <c r="E6084" s="2716" t="s">
        <v>2742</v>
      </c>
      <c r="F6084" s="294"/>
      <c r="G6084" s="372" t="str">
        <f>"("&amp;B6084&amp;")"&amp;D6084</f>
        <v>(1)将净利润调节为经营活动现金流量：无形资产摊销</v>
      </c>
      <c r="H6084" s="1517" t="str">
        <f>$A6084</f>
        <v>7506a</v>
      </c>
      <c r="I6084" s="343" t="s">
        <v>2743</v>
      </c>
      <c r="J6084" s="301" t="s">
        <v>4712</v>
      </c>
      <c r="K6084" s="2210">
        <f>H6090</f>
        <v>0</v>
      </c>
      <c r="L6084" s="345">
        <f>IF(ROUND(K6083-K6084,2)=0,"F/S",ROUND(K6083-K6084,2))</f>
        <v>102441.89</v>
      </c>
      <c r="M6084" s="532" t="s">
        <v>4713</v>
      </c>
      <c r="N6084" s="3083"/>
      <c r="O6084" s="315"/>
      <c r="P6084" s="301"/>
      <c r="S6084" s="364"/>
      <c r="Z6084" s="609" t="s">
        <v>2020</v>
      </c>
      <c r="AA6084" s="609"/>
    </row>
    <row r="6085" spans="1:27" ht="0.75" customHeight="1" thickBot="1">
      <c r="A6085" s="2714"/>
      <c r="B6085" s="371"/>
      <c r="C6085" s="371"/>
      <c r="D6085" s="371"/>
      <c r="F6085" s="294"/>
      <c r="G6085" s="294" t="s">
        <v>4796</v>
      </c>
      <c r="H6085" s="294" t="s">
        <v>3472</v>
      </c>
      <c r="I6085" s="294" t="s">
        <v>2821</v>
      </c>
      <c r="J6085" s="291"/>
      <c r="K6085" s="291"/>
      <c r="L6085" s="291"/>
      <c r="M6085" s="291"/>
      <c r="S6085" s="364"/>
      <c r="Z6085" s="609" t="s">
        <v>2020</v>
      </c>
      <c r="AA6085" s="609"/>
    </row>
    <row r="6086" spans="1:27" ht="18">
      <c r="A6086" s="2714"/>
      <c r="B6086" s="371"/>
      <c r="C6086" s="371"/>
      <c r="D6086" s="371"/>
      <c r="E6086" s="2716" t="s">
        <v>2749</v>
      </c>
      <c r="F6086" s="294"/>
      <c r="G6086" s="1564" t="s">
        <v>47</v>
      </c>
      <c r="H6086" s="1565" t="s">
        <v>2587</v>
      </c>
      <c r="I6086" s="1566" t="s">
        <v>2508</v>
      </c>
      <c r="J6086" s="291"/>
      <c r="K6086" s="291"/>
      <c r="L6086" s="291"/>
      <c r="M6086" s="291"/>
      <c r="S6086" s="364"/>
      <c r="Z6086" s="609" t="s">
        <v>2020</v>
      </c>
      <c r="AA6086" s="609"/>
    </row>
    <row r="6087" spans="1:27" ht="18">
      <c r="A6087" s="2714"/>
      <c r="B6087" s="371">
        <v>101</v>
      </c>
      <c r="C6087" s="371"/>
      <c r="D6087" s="2716">
        <f>IF(OR(G6087="*",G6087="",G6087=0),0,COUNTIF($G$6087:$G$6090,G6087))</f>
        <v>1</v>
      </c>
      <c r="E6087" s="2721">
        <v>1</v>
      </c>
      <c r="F6087" s="294"/>
      <c r="G6087" s="308" t="s">
        <v>4797</v>
      </c>
      <c r="H6087" s="309"/>
      <c r="I6087" s="388"/>
      <c r="J6087" s="291"/>
      <c r="K6087" s="291"/>
      <c r="L6087" s="291"/>
      <c r="M6087" s="291"/>
      <c r="S6087" s="364"/>
      <c r="Z6087" s="609" t="s">
        <v>2020</v>
      </c>
      <c r="AA6087" s="609"/>
    </row>
    <row r="6088" spans="1:27" ht="18">
      <c r="A6088" s="2714"/>
      <c r="B6088" s="371">
        <v>102</v>
      </c>
      <c r="C6088" s="371" t="s">
        <v>2791</v>
      </c>
      <c r="D6088" s="2716">
        <f>IF(OR(G6088="*",G6088="",G6088=0),0,COUNTIF($G$6087:$G$6090,G6088))</f>
        <v>0</v>
      </c>
      <c r="E6088" s="2721">
        <v>1</v>
      </c>
      <c r="F6088" s="294"/>
      <c r="G6088" s="1563" t="s">
        <v>2792</v>
      </c>
      <c r="H6088" s="309"/>
      <c r="I6088" s="388"/>
      <c r="J6088" s="291"/>
      <c r="K6088" s="291"/>
      <c r="L6088" s="291"/>
      <c r="M6088" s="291"/>
      <c r="S6088" s="364"/>
      <c r="Z6088" s="609" t="s">
        <v>2020</v>
      </c>
      <c r="AA6088" s="609"/>
    </row>
    <row r="6089" spans="1:27" ht="18">
      <c r="A6089" s="2714"/>
      <c r="B6089" s="371">
        <v>103</v>
      </c>
      <c r="C6089" s="371" t="s">
        <v>2791</v>
      </c>
      <c r="D6089" s="2716">
        <f>IF(OR(G6089="*",G6089="",G6089=0),0,COUNTIF($G$6087:$G$6090,G6089))</f>
        <v>0</v>
      </c>
      <c r="E6089" s="2721">
        <v>1</v>
      </c>
      <c r="F6089" s="294"/>
      <c r="G6089" s="1563" t="s">
        <v>2792</v>
      </c>
      <c r="H6089" s="309"/>
      <c r="I6089" s="388"/>
      <c r="J6089" s="291"/>
      <c r="K6089" s="291"/>
      <c r="L6089" s="291"/>
      <c r="M6089" s="291"/>
      <c r="S6089" s="364"/>
      <c r="Z6089" s="609" t="s">
        <v>2020</v>
      </c>
      <c r="AA6089" s="609"/>
    </row>
    <row r="6090" spans="1:27" ht="18.75" thickBot="1">
      <c r="A6090" s="2714"/>
      <c r="B6090" s="371"/>
      <c r="C6090" s="371"/>
      <c r="D6090" s="2716">
        <f>IF(OR(G6090="*",G6090="",G6090=0),0,COUNTIF($G$6087:$G$6090,G6090))</f>
        <v>1</v>
      </c>
      <c r="E6090" s="2721" t="s">
        <v>2751</v>
      </c>
      <c r="F6090" s="294"/>
      <c r="G6090" s="1529" t="s">
        <v>2752</v>
      </c>
      <c r="H6090" s="1527">
        <f>SUMPRODUCT($E6086:$E6089,H6086:H6089)</f>
        <v>0</v>
      </c>
      <c r="I6090" s="1571"/>
      <c r="J6090" s="291"/>
      <c r="K6090" s="291"/>
      <c r="L6090" s="291"/>
      <c r="M6090" s="291"/>
      <c r="S6090" s="364"/>
      <c r="Z6090" s="609" t="s">
        <v>2020</v>
      </c>
      <c r="AA6090" s="609"/>
    </row>
    <row r="6091" spans="1:27" ht="18">
      <c r="A6091" s="2714"/>
      <c r="B6091" s="371"/>
      <c r="C6091" s="371" t="s">
        <v>2755</v>
      </c>
      <c r="D6091" s="371"/>
      <c r="F6091" s="294"/>
      <c r="G6091" s="301"/>
      <c r="H6091" s="315"/>
      <c r="I6091" s="393"/>
      <c r="J6091" s="291"/>
      <c r="K6091" s="291"/>
      <c r="L6091" s="291"/>
      <c r="M6091" s="291"/>
      <c r="S6091" s="364"/>
      <c r="Z6091" s="609" t="s">
        <v>2020</v>
      </c>
      <c r="AA6091" s="609"/>
    </row>
    <row r="6092" spans="1:27" ht="18">
      <c r="A6092" s="2714">
        <v>7507</v>
      </c>
      <c r="B6092" s="371">
        <v>79.040000000000006</v>
      </c>
      <c r="C6092" s="2716" t="str">
        <f>VLOOKUP($A6092,Sheet_Items,2,0)</f>
        <v>长期待摊费用摊销</v>
      </c>
      <c r="D6092" s="371"/>
      <c r="E6092" s="2716" t="s">
        <v>2739</v>
      </c>
      <c r="F6092" s="294"/>
      <c r="G6092" s="536" t="str">
        <f>B6092&amp;" "&amp;C6092</f>
        <v>79.04 长期待摊费用摊销</v>
      </c>
      <c r="H6092" s="322"/>
      <c r="I6092" s="322"/>
      <c r="J6092" s="306" t="s">
        <v>4206</v>
      </c>
      <c r="K6092" s="341">
        <f>VLOOKUP($A6092,Sheet_Trialbal,6,0)</f>
        <v>297071.96999999997</v>
      </c>
      <c r="L6092" s="342"/>
      <c r="M6092" s="306"/>
      <c r="N6092" s="341"/>
      <c r="O6092" s="306"/>
      <c r="P6092" s="301"/>
      <c r="S6092" s="364"/>
      <c r="Z6092" s="609" t="s">
        <v>2024</v>
      </c>
      <c r="AA6092" s="609"/>
    </row>
    <row r="6093" spans="1:27" ht="36">
      <c r="A6093" s="2714" t="s">
        <v>2022</v>
      </c>
      <c r="B6093" s="371">
        <v>1</v>
      </c>
      <c r="C6093" s="371"/>
      <c r="D6093" s="2716" t="str">
        <f>VLOOKUP($A6093,Sheet_NoteList,2,0)</f>
        <v>将净利润调节为经营活动现金流量：长期待摊费用摊销</v>
      </c>
      <c r="E6093" s="2716" t="s">
        <v>2742</v>
      </c>
      <c r="F6093" s="294"/>
      <c r="G6093" s="372" t="str">
        <f>"("&amp;B6093&amp;")"&amp;D6093</f>
        <v>(1)将净利润调节为经营活动现金流量：长期待摊费用摊销</v>
      </c>
      <c r="H6093" s="1517" t="str">
        <f>$A6093</f>
        <v>7507a</v>
      </c>
      <c r="I6093" s="343" t="s">
        <v>2743</v>
      </c>
      <c r="J6093" s="301" t="s">
        <v>4712</v>
      </c>
      <c r="K6093" s="2210">
        <f>H6099</f>
        <v>0</v>
      </c>
      <c r="L6093" s="345">
        <f>IF(ROUND(K6092-K6093,2)=0,"F/S",ROUND(K6092-K6093,2))</f>
        <v>297071.96999999997</v>
      </c>
      <c r="M6093" s="532" t="s">
        <v>4713</v>
      </c>
      <c r="N6093" s="3083"/>
      <c r="O6093" s="315"/>
      <c r="P6093" s="301"/>
      <c r="S6093" s="364"/>
      <c r="Z6093" s="609" t="s">
        <v>2024</v>
      </c>
      <c r="AA6093" s="609"/>
    </row>
    <row r="6094" spans="1:27" ht="0.75" customHeight="1" thickBot="1">
      <c r="A6094" s="2714"/>
      <c r="B6094" s="371"/>
      <c r="C6094" s="371"/>
      <c r="D6094" s="371"/>
      <c r="F6094" s="294"/>
      <c r="G6094" s="294" t="s">
        <v>4798</v>
      </c>
      <c r="H6094" s="294" t="s">
        <v>3472</v>
      </c>
      <c r="I6094" s="294" t="s">
        <v>2821</v>
      </c>
      <c r="J6094" s="291"/>
      <c r="K6094" s="291"/>
      <c r="L6094" s="291"/>
      <c r="M6094" s="291"/>
      <c r="S6094" s="364"/>
      <c r="Z6094" s="609" t="s">
        <v>2024</v>
      </c>
      <c r="AA6094" s="609"/>
    </row>
    <row r="6095" spans="1:27" ht="18">
      <c r="A6095" s="2714"/>
      <c r="B6095" s="371"/>
      <c r="C6095" s="371"/>
      <c r="D6095" s="371"/>
      <c r="E6095" s="2716" t="s">
        <v>2749</v>
      </c>
      <c r="F6095" s="294"/>
      <c r="G6095" s="1564" t="s">
        <v>47</v>
      </c>
      <c r="H6095" s="1565" t="s">
        <v>2587</v>
      </c>
      <c r="I6095" s="1566" t="s">
        <v>2508</v>
      </c>
      <c r="J6095" s="291"/>
      <c r="K6095" s="291"/>
      <c r="L6095" s="291"/>
      <c r="M6095" s="291"/>
      <c r="S6095" s="364"/>
      <c r="Z6095" s="609" t="s">
        <v>2024</v>
      </c>
      <c r="AA6095" s="609"/>
    </row>
    <row r="6096" spans="1:27" ht="18">
      <c r="A6096" s="2714"/>
      <c r="B6096" s="371">
        <v>101</v>
      </c>
      <c r="C6096" s="371"/>
      <c r="D6096" s="2716">
        <f>IF(OR(G6096="*",G6096="",G6096=0),0,COUNTIF($G$6096:$G$6099,G6096))</f>
        <v>1</v>
      </c>
      <c r="E6096" s="2721">
        <v>1</v>
      </c>
      <c r="F6096" s="294"/>
      <c r="G6096" s="308" t="s">
        <v>4799</v>
      </c>
      <c r="H6096" s="309"/>
      <c r="I6096" s="388"/>
      <c r="J6096" s="291"/>
      <c r="K6096" s="291"/>
      <c r="L6096" s="291"/>
      <c r="M6096" s="291"/>
      <c r="S6096" s="364"/>
      <c r="Z6096" s="609" t="s">
        <v>2024</v>
      </c>
      <c r="AA6096" s="609"/>
    </row>
    <row r="6097" spans="1:27" ht="18">
      <c r="A6097" s="2714"/>
      <c r="B6097" s="371">
        <v>102</v>
      </c>
      <c r="C6097" s="371" t="s">
        <v>2791</v>
      </c>
      <c r="D6097" s="2716">
        <f>IF(OR(G6097="*",G6097="",G6097=0),0,COUNTIF($G$6096:$G$6099,G6097))</f>
        <v>0</v>
      </c>
      <c r="E6097" s="2721">
        <v>1</v>
      </c>
      <c r="F6097" s="294"/>
      <c r="G6097" s="1563" t="s">
        <v>2792</v>
      </c>
      <c r="H6097" s="309"/>
      <c r="I6097" s="388"/>
      <c r="J6097" s="291"/>
      <c r="K6097" s="291"/>
      <c r="L6097" s="291"/>
      <c r="M6097" s="291"/>
      <c r="S6097" s="364"/>
      <c r="Z6097" s="609" t="s">
        <v>2024</v>
      </c>
      <c r="AA6097" s="609"/>
    </row>
    <row r="6098" spans="1:27" ht="18">
      <c r="A6098" s="2714"/>
      <c r="B6098" s="371">
        <v>103</v>
      </c>
      <c r="C6098" s="371" t="s">
        <v>2791</v>
      </c>
      <c r="D6098" s="2716">
        <f>IF(OR(G6098="*",G6098="",G6098=0),0,COUNTIF($G$6096:$G$6099,G6098))</f>
        <v>0</v>
      </c>
      <c r="E6098" s="2721">
        <v>1</v>
      </c>
      <c r="F6098" s="294"/>
      <c r="G6098" s="1563" t="s">
        <v>2792</v>
      </c>
      <c r="H6098" s="309"/>
      <c r="I6098" s="388"/>
      <c r="J6098" s="291"/>
      <c r="K6098" s="291"/>
      <c r="L6098" s="291"/>
      <c r="M6098" s="291"/>
      <c r="S6098" s="364"/>
      <c r="Z6098" s="609" t="s">
        <v>2024</v>
      </c>
      <c r="AA6098" s="609"/>
    </row>
    <row r="6099" spans="1:27" ht="18.75" thickBot="1">
      <c r="A6099" s="2714"/>
      <c r="B6099" s="371"/>
      <c r="C6099" s="371"/>
      <c r="D6099" s="2716">
        <f>IF(OR(G6099="*",G6099="",G6099=0),0,COUNTIF($G$6096:$G$6099,G6099))</f>
        <v>1</v>
      </c>
      <c r="E6099" s="2721" t="s">
        <v>2751</v>
      </c>
      <c r="F6099" s="294"/>
      <c r="G6099" s="1529" t="s">
        <v>2752</v>
      </c>
      <c r="H6099" s="1527">
        <f>SUMPRODUCT($E6095:$E6098,H6095:H6098)</f>
        <v>0</v>
      </c>
      <c r="I6099" s="1571"/>
      <c r="J6099" s="291"/>
      <c r="K6099" s="291"/>
      <c r="L6099" s="291"/>
      <c r="M6099" s="291"/>
      <c r="S6099" s="364"/>
      <c r="Z6099" s="609" t="s">
        <v>2024</v>
      </c>
      <c r="AA6099" s="609"/>
    </row>
    <row r="6100" spans="1:27" ht="18">
      <c r="A6100" s="2714"/>
      <c r="B6100" s="371"/>
      <c r="C6100" s="371" t="s">
        <v>2755</v>
      </c>
      <c r="D6100" s="371"/>
      <c r="F6100" s="294"/>
      <c r="G6100" s="301"/>
      <c r="H6100" s="315"/>
      <c r="I6100" s="393"/>
      <c r="J6100" s="291"/>
      <c r="K6100" s="291"/>
      <c r="L6100" s="291"/>
      <c r="M6100" s="291"/>
      <c r="S6100" s="364"/>
      <c r="Z6100" s="609" t="s">
        <v>2024</v>
      </c>
      <c r="AA6100" s="609"/>
    </row>
    <row r="6101" spans="1:27" ht="18">
      <c r="A6101" s="2714">
        <v>7508</v>
      </c>
      <c r="B6101" s="371">
        <v>79.05</v>
      </c>
      <c r="C6101" s="2716" t="str">
        <f>VLOOKUP($A6101,Sheet_Items,2,0)</f>
        <v>处置固定资产、无形资产和其他长期资产的损失</v>
      </c>
      <c r="D6101" s="371"/>
      <c r="E6101" s="2716" t="s">
        <v>2739</v>
      </c>
      <c r="F6101" s="294"/>
      <c r="G6101" s="536" t="str">
        <f>B6101&amp;" "&amp;C6101</f>
        <v>79.05 处置固定资产、无形资产和其他长期资产的损失</v>
      </c>
      <c r="H6101" s="322"/>
      <c r="I6101" s="322"/>
      <c r="J6101" s="306" t="s">
        <v>4206</v>
      </c>
      <c r="K6101" s="341">
        <f>VLOOKUP($A6101,Sheet_Trialbal,6,0)</f>
        <v>0</v>
      </c>
      <c r="L6101" s="342"/>
      <c r="M6101" s="306"/>
      <c r="N6101" s="341"/>
      <c r="O6101" s="306"/>
      <c r="P6101" s="301"/>
      <c r="S6101" s="364"/>
      <c r="Z6101" s="609" t="s">
        <v>2028</v>
      </c>
      <c r="AA6101" s="609"/>
    </row>
    <row r="6102" spans="1:27" ht="48">
      <c r="A6102" s="2714" t="s">
        <v>2026</v>
      </c>
      <c r="B6102" s="371">
        <v>1</v>
      </c>
      <c r="C6102" s="371"/>
      <c r="D6102" s="2716" t="str">
        <f>VLOOKUP($A6102,Sheet_NoteList,2,0)</f>
        <v>将净利润调节为经营活动现金流量：处置固定资产、无形资产和其他长期资产的损失</v>
      </c>
      <c r="E6102" s="2716" t="s">
        <v>2742</v>
      </c>
      <c r="F6102" s="294"/>
      <c r="G6102" s="372" t="str">
        <f>"("&amp;B6102&amp;")"&amp;D6102</f>
        <v>(1)将净利润调节为经营活动现金流量：处置固定资产、无形资产和其他长期资产的损失</v>
      </c>
      <c r="H6102" s="1517" t="str">
        <f>$A6102</f>
        <v>7508a</v>
      </c>
      <c r="I6102" s="343" t="s">
        <v>2743</v>
      </c>
      <c r="J6102" s="301" t="s">
        <v>4712</v>
      </c>
      <c r="K6102" s="2210">
        <f>H6113</f>
        <v>0</v>
      </c>
      <c r="L6102" s="345" t="str">
        <f>IF(ROUND(K6101-K6102,2)=0,"F/S",ROUND(K6101-K6102,2))</f>
        <v>F/S</v>
      </c>
      <c r="M6102" s="532" t="s">
        <v>4713</v>
      </c>
      <c r="N6102" s="3083"/>
      <c r="O6102" s="315"/>
      <c r="P6102" s="301"/>
      <c r="S6102" s="364"/>
      <c r="Z6102" s="609" t="s">
        <v>2028</v>
      </c>
      <c r="AA6102" s="609"/>
    </row>
    <row r="6103" spans="1:27" ht="0.75" customHeight="1" thickBot="1">
      <c r="A6103" s="2714"/>
      <c r="B6103" s="371"/>
      <c r="C6103" s="371"/>
      <c r="D6103" s="371"/>
      <c r="F6103" s="294"/>
      <c r="G6103" s="294" t="s">
        <v>4800</v>
      </c>
      <c r="H6103" s="294" t="s">
        <v>3472</v>
      </c>
      <c r="I6103" s="294" t="s">
        <v>2821</v>
      </c>
      <c r="J6103" s="291"/>
      <c r="K6103" s="291"/>
      <c r="L6103" s="291"/>
      <c r="M6103" s="291"/>
      <c r="S6103" s="364"/>
      <c r="Z6103" s="609" t="s">
        <v>2028</v>
      </c>
      <c r="AA6103" s="609"/>
    </row>
    <row r="6104" spans="1:27" ht="18">
      <c r="A6104" s="2714"/>
      <c r="B6104" s="371"/>
      <c r="C6104" s="371"/>
      <c r="D6104" s="371"/>
      <c r="E6104" s="2716" t="s">
        <v>2749</v>
      </c>
      <c r="F6104" s="294"/>
      <c r="G6104" s="1594" t="s">
        <v>47</v>
      </c>
      <c r="H6104" s="1592" t="s">
        <v>2587</v>
      </c>
      <c r="I6104" s="1593" t="s">
        <v>2508</v>
      </c>
      <c r="J6104" s="291"/>
      <c r="K6104" s="291"/>
      <c r="L6104" s="291"/>
      <c r="M6104" s="291"/>
      <c r="S6104" s="364"/>
      <c r="Z6104" s="609" t="s">
        <v>2028</v>
      </c>
      <c r="AA6104" s="609"/>
    </row>
    <row r="6105" spans="1:27" ht="18">
      <c r="A6105" s="2714"/>
      <c r="B6105" s="371">
        <v>101</v>
      </c>
      <c r="C6105" s="371" t="s">
        <v>2791</v>
      </c>
      <c r="D6105" s="2716">
        <f t="shared" ref="D6105:D6113" si="648">IF(OR(G6105="*",G6105="",G6105=0),0,COUNTIF($G$6105:$G$6113,G6105))</f>
        <v>0</v>
      </c>
      <c r="E6105" s="2721">
        <v>1</v>
      </c>
      <c r="F6105" s="294"/>
      <c r="G6105" s="1591" t="s">
        <v>2792</v>
      </c>
      <c r="H6105" s="309"/>
      <c r="I6105" s="388"/>
      <c r="J6105" s="291"/>
      <c r="K6105" s="291"/>
      <c r="L6105" s="291"/>
      <c r="M6105" s="291"/>
      <c r="S6105" s="364"/>
      <c r="Z6105" s="609" t="s">
        <v>2028</v>
      </c>
      <c r="AA6105" s="609"/>
    </row>
    <row r="6106" spans="1:27" ht="18">
      <c r="A6106" s="2714"/>
      <c r="B6106" s="371">
        <v>102</v>
      </c>
      <c r="C6106" s="371" t="s">
        <v>2791</v>
      </c>
      <c r="D6106" s="2716">
        <f t="shared" si="648"/>
        <v>0</v>
      </c>
      <c r="E6106" s="2721">
        <v>1</v>
      </c>
      <c r="F6106" s="294"/>
      <c r="G6106" s="1591" t="s">
        <v>2792</v>
      </c>
      <c r="H6106" s="309"/>
      <c r="I6106" s="388"/>
      <c r="J6106" s="291"/>
      <c r="K6106" s="291"/>
      <c r="L6106" s="291"/>
      <c r="M6106" s="291"/>
      <c r="S6106" s="364"/>
      <c r="Z6106" s="609" t="s">
        <v>2028</v>
      </c>
      <c r="AA6106" s="609"/>
    </row>
    <row r="6107" spans="1:27" ht="24">
      <c r="A6107" s="2714"/>
      <c r="B6107" s="371">
        <v>103</v>
      </c>
      <c r="C6107" s="371"/>
      <c r="D6107" s="2716">
        <f t="shared" si="648"/>
        <v>1</v>
      </c>
      <c r="E6107" s="2721">
        <v>-1</v>
      </c>
      <c r="F6107" s="294"/>
      <c r="G6107" s="308" t="s">
        <v>5522</v>
      </c>
      <c r="H6107" s="309"/>
      <c r="I6107" s="388"/>
      <c r="J6107" s="291"/>
      <c r="K6107" s="291"/>
      <c r="L6107" s="291"/>
      <c r="M6107" s="291"/>
      <c r="S6107" s="364"/>
      <c r="Z6107" s="609" t="s">
        <v>2028</v>
      </c>
      <c r="AA6107" s="609"/>
    </row>
    <row r="6108" spans="1:27" ht="24">
      <c r="A6108" s="2714"/>
      <c r="B6108" s="371">
        <v>104</v>
      </c>
      <c r="C6108" s="371"/>
      <c r="D6108" s="2716">
        <f t="shared" si="648"/>
        <v>1</v>
      </c>
      <c r="E6108" s="2721">
        <v>-1</v>
      </c>
      <c r="F6108" s="294"/>
      <c r="G6108" s="308" t="s">
        <v>5520</v>
      </c>
      <c r="H6108" s="309"/>
      <c r="I6108" s="388"/>
      <c r="J6108" s="291"/>
      <c r="K6108" s="291"/>
      <c r="L6108" s="291"/>
      <c r="M6108" s="291"/>
      <c r="S6108" s="364"/>
      <c r="Z6108" s="609" t="s">
        <v>2028</v>
      </c>
      <c r="AA6108" s="609"/>
    </row>
    <row r="6109" spans="1:27" ht="24">
      <c r="A6109" s="2714"/>
      <c r="B6109" s="371">
        <v>105</v>
      </c>
      <c r="C6109" s="371"/>
      <c r="D6109" s="2716">
        <f t="shared" si="648"/>
        <v>1</v>
      </c>
      <c r="E6109" s="2721">
        <v>-1</v>
      </c>
      <c r="F6109" s="294"/>
      <c r="G6109" s="308" t="s">
        <v>5521</v>
      </c>
      <c r="H6109" s="309"/>
      <c r="I6109" s="388"/>
      <c r="J6109" s="291"/>
      <c r="K6109" s="291"/>
      <c r="L6109" s="291"/>
      <c r="M6109" s="291"/>
      <c r="S6109" s="364"/>
      <c r="Z6109" s="609" t="s">
        <v>2028</v>
      </c>
      <c r="AA6109" s="609"/>
    </row>
    <row r="6110" spans="1:27" ht="18">
      <c r="A6110" s="2714"/>
      <c r="B6110" s="371">
        <v>106</v>
      </c>
      <c r="C6110" s="371" t="s">
        <v>2791</v>
      </c>
      <c r="D6110" s="2716">
        <f t="shared" si="648"/>
        <v>0</v>
      </c>
      <c r="E6110" s="2721">
        <v>-1</v>
      </c>
      <c r="F6110" s="294"/>
      <c r="G6110" s="1591" t="s">
        <v>2792</v>
      </c>
      <c r="H6110" s="309"/>
      <c r="I6110" s="388"/>
      <c r="J6110" s="291"/>
      <c r="K6110" s="291"/>
      <c r="L6110" s="291"/>
      <c r="M6110" s="291"/>
      <c r="S6110" s="364"/>
      <c r="Z6110" s="609" t="s">
        <v>2028</v>
      </c>
      <c r="AA6110" s="609"/>
    </row>
    <row r="6111" spans="1:27" ht="18">
      <c r="A6111" s="2714"/>
      <c r="B6111" s="371">
        <v>107</v>
      </c>
      <c r="C6111" s="371" t="s">
        <v>6532</v>
      </c>
      <c r="D6111" s="2716">
        <f t="shared" si="648"/>
        <v>0</v>
      </c>
      <c r="E6111" s="2721">
        <v>-1</v>
      </c>
      <c r="F6111" s="294"/>
      <c r="G6111" s="1591" t="s">
        <v>2792</v>
      </c>
      <c r="H6111" s="309"/>
      <c r="I6111" s="388"/>
      <c r="J6111" s="291"/>
      <c r="K6111" s="291"/>
      <c r="L6111" s="291"/>
      <c r="M6111" s="291"/>
      <c r="S6111" s="364"/>
      <c r="Z6111" s="609" t="s">
        <v>2028</v>
      </c>
      <c r="AA6111" s="609"/>
    </row>
    <row r="6112" spans="1:27" ht="18">
      <c r="A6112" s="2714"/>
      <c r="B6112" s="371">
        <v>108</v>
      </c>
      <c r="C6112" s="371" t="s">
        <v>6532</v>
      </c>
      <c r="D6112" s="2716">
        <f t="shared" si="648"/>
        <v>0</v>
      </c>
      <c r="E6112" s="2721">
        <v>-1</v>
      </c>
      <c r="F6112" s="294"/>
      <c r="G6112" s="1591" t="s">
        <v>2792</v>
      </c>
      <c r="H6112" s="309"/>
      <c r="I6112" s="388"/>
      <c r="J6112" s="291"/>
      <c r="K6112" s="291"/>
      <c r="L6112" s="291"/>
      <c r="M6112" s="291"/>
      <c r="S6112" s="364"/>
      <c r="Z6112" s="609" t="s">
        <v>2028</v>
      </c>
      <c r="AA6112" s="609"/>
    </row>
    <row r="6113" spans="1:27" ht="18.75" thickBot="1">
      <c r="A6113" s="2714"/>
      <c r="B6113" s="371"/>
      <c r="C6113" s="371"/>
      <c r="D6113" s="2716">
        <f t="shared" si="648"/>
        <v>1</v>
      </c>
      <c r="E6113" s="2721" t="s">
        <v>2751</v>
      </c>
      <c r="F6113" s="294"/>
      <c r="G6113" s="1529" t="s">
        <v>2752</v>
      </c>
      <c r="H6113" s="1527">
        <f>SUMPRODUCT($E6104:$E6112,H6104:H6112)</f>
        <v>0</v>
      </c>
      <c r="I6113" s="1571"/>
      <c r="J6113" s="291"/>
      <c r="K6113" s="291"/>
      <c r="L6113" s="291"/>
      <c r="M6113" s="291"/>
      <c r="S6113" s="364"/>
      <c r="Z6113" s="609" t="s">
        <v>2028</v>
      </c>
      <c r="AA6113" s="609"/>
    </row>
    <row r="6114" spans="1:27" ht="18">
      <c r="A6114" s="2714"/>
      <c r="B6114" s="371"/>
      <c r="C6114" s="371" t="s">
        <v>2755</v>
      </c>
      <c r="D6114" s="371"/>
      <c r="F6114" s="294"/>
      <c r="G6114" s="301"/>
      <c r="H6114" s="315"/>
      <c r="I6114" s="393"/>
      <c r="J6114" s="291"/>
      <c r="K6114" s="291"/>
      <c r="L6114" s="291"/>
      <c r="M6114" s="291"/>
      <c r="S6114" s="364"/>
      <c r="Z6114" s="609" t="s">
        <v>2028</v>
      </c>
      <c r="AA6114" s="609"/>
    </row>
    <row r="6115" spans="1:27" ht="18">
      <c r="A6115" s="2714">
        <v>7509</v>
      </c>
      <c r="B6115" s="371">
        <v>79.06</v>
      </c>
      <c r="C6115" s="2716" t="str">
        <f>VLOOKUP($A6115,Sheet_Items,2,0)</f>
        <v>固定资产报废损失</v>
      </c>
      <c r="D6115" s="371"/>
      <c r="E6115" s="2716" t="s">
        <v>2739</v>
      </c>
      <c r="F6115" s="294"/>
      <c r="G6115" s="536" t="str">
        <f>B6115&amp;" "&amp;C6115</f>
        <v>79.06 固定资产报废损失</v>
      </c>
      <c r="H6115" s="322"/>
      <c r="I6115" s="322"/>
      <c r="J6115" s="306" t="s">
        <v>4206</v>
      </c>
      <c r="K6115" s="341">
        <f>VLOOKUP($A6115,Sheet_Trialbal,6,0)</f>
        <v>0</v>
      </c>
      <c r="L6115" s="342"/>
      <c r="M6115" s="306"/>
      <c r="N6115" s="341"/>
      <c r="O6115" s="306"/>
      <c r="P6115" s="301"/>
      <c r="S6115" s="364"/>
      <c r="Z6115" s="609" t="s">
        <v>2032</v>
      </c>
      <c r="AA6115" s="609"/>
    </row>
    <row r="6116" spans="1:27" ht="36">
      <c r="A6116" s="2714" t="s">
        <v>2030</v>
      </c>
      <c r="B6116" s="371">
        <v>1</v>
      </c>
      <c r="C6116" s="371"/>
      <c r="D6116" s="2716" t="str">
        <f>VLOOKUP($A6116,Sheet_NoteList,2,0)</f>
        <v>将净利润调节为经营活动现金流量：固定资产报废损失</v>
      </c>
      <c r="E6116" s="2716" t="s">
        <v>2742</v>
      </c>
      <c r="F6116" s="294"/>
      <c r="G6116" s="372" t="str">
        <f>"("&amp;B6116&amp;")"&amp;D6116</f>
        <v>(1)将净利润调节为经营活动现金流量：固定资产报废损失</v>
      </c>
      <c r="H6116" s="1517" t="str">
        <f>$A6116</f>
        <v>7509a</v>
      </c>
      <c r="I6116" s="343" t="s">
        <v>2743</v>
      </c>
      <c r="J6116" s="301" t="s">
        <v>4712</v>
      </c>
      <c r="K6116" s="2210">
        <f>H6123</f>
        <v>0</v>
      </c>
      <c r="L6116" s="345" t="str">
        <f>IF(ROUND(K6115-K6116,2)=0,"F/S",ROUND(K6115-K6116,2))</f>
        <v>F/S</v>
      </c>
      <c r="M6116" s="532" t="s">
        <v>4713</v>
      </c>
      <c r="N6116" s="3083"/>
      <c r="O6116" s="315"/>
      <c r="P6116" s="301"/>
      <c r="S6116" s="364"/>
      <c r="Z6116" s="609" t="s">
        <v>2032</v>
      </c>
      <c r="AA6116" s="609"/>
    </row>
    <row r="6117" spans="1:27" ht="0.75" customHeight="1" thickBot="1">
      <c r="A6117" s="2714"/>
      <c r="B6117" s="371"/>
      <c r="C6117" s="371"/>
      <c r="D6117" s="371"/>
      <c r="F6117" s="294"/>
      <c r="G6117" s="294" t="s">
        <v>4807</v>
      </c>
      <c r="H6117" s="294" t="s">
        <v>3472</v>
      </c>
      <c r="I6117" s="294" t="s">
        <v>2821</v>
      </c>
      <c r="J6117" s="291"/>
      <c r="K6117" s="291"/>
      <c r="L6117" s="291"/>
      <c r="M6117" s="291"/>
      <c r="S6117" s="364"/>
      <c r="Z6117" s="609" t="s">
        <v>2032</v>
      </c>
      <c r="AA6117" s="609"/>
    </row>
    <row r="6118" spans="1:27" ht="18">
      <c r="A6118" s="2714"/>
      <c r="B6118" s="371"/>
      <c r="C6118" s="371"/>
      <c r="D6118" s="371"/>
      <c r="E6118" s="2716" t="s">
        <v>2749</v>
      </c>
      <c r="F6118" s="294"/>
      <c r="G6118" s="1564" t="s">
        <v>47</v>
      </c>
      <c r="H6118" s="1565" t="s">
        <v>2587</v>
      </c>
      <c r="I6118" s="1566" t="s">
        <v>2508</v>
      </c>
      <c r="J6118" s="291"/>
      <c r="K6118" s="291"/>
      <c r="L6118" s="291"/>
      <c r="M6118" s="291"/>
      <c r="S6118" s="364"/>
      <c r="Z6118" s="609" t="s">
        <v>2032</v>
      </c>
      <c r="AA6118" s="609"/>
    </row>
    <row r="6119" spans="1:27" ht="24">
      <c r="A6119" s="2714"/>
      <c r="B6119" s="371">
        <v>101</v>
      </c>
      <c r="C6119" s="371"/>
      <c r="D6119" s="2716">
        <f>IF(OR(G6119="*",G6119="",G6119=0),0,COUNTIF($G$6119:$G$6123,G6119))</f>
        <v>1</v>
      </c>
      <c r="E6119" s="2721">
        <v>1</v>
      </c>
      <c r="F6119" s="294"/>
      <c r="G6119" s="308" t="s">
        <v>4808</v>
      </c>
      <c r="H6119" s="309"/>
      <c r="I6119" s="388"/>
      <c r="J6119" s="291"/>
      <c r="K6119" s="291"/>
      <c r="L6119" s="291"/>
      <c r="M6119" s="291"/>
      <c r="S6119" s="364"/>
      <c r="Z6119" s="609" t="s">
        <v>2032</v>
      </c>
      <c r="AA6119" s="609"/>
    </row>
    <row r="6120" spans="1:27" ht="18">
      <c r="A6120" s="2714"/>
      <c r="B6120" s="371">
        <v>102</v>
      </c>
      <c r="C6120" s="371" t="s">
        <v>2791</v>
      </c>
      <c r="D6120" s="2716">
        <f>IF(OR(G6120="*",G6120="",G6120=0),0,COUNTIF($G$6119:$G$6123,G6120))</f>
        <v>0</v>
      </c>
      <c r="E6120" s="2721">
        <v>1</v>
      </c>
      <c r="F6120" s="294"/>
      <c r="G6120" s="1563" t="s">
        <v>2792</v>
      </c>
      <c r="H6120" s="309"/>
      <c r="I6120" s="388"/>
      <c r="J6120" s="291"/>
      <c r="K6120" s="291"/>
      <c r="L6120" s="291"/>
      <c r="M6120" s="291"/>
      <c r="S6120" s="364"/>
      <c r="Z6120" s="609" t="s">
        <v>2032</v>
      </c>
      <c r="AA6120" s="609"/>
    </row>
    <row r="6121" spans="1:27" ht="24">
      <c r="A6121" s="2714"/>
      <c r="B6121" s="371">
        <v>103</v>
      </c>
      <c r="C6121" s="371"/>
      <c r="D6121" s="2716">
        <f>IF(OR(G6121="*",G6121="",G6121=0),0,COUNTIF($G$6119:$G$6123,G6121))</f>
        <v>1</v>
      </c>
      <c r="E6121" s="2721">
        <v>-1</v>
      </c>
      <c r="F6121" s="294"/>
      <c r="G6121" s="308" t="s">
        <v>4809</v>
      </c>
      <c r="H6121" s="309"/>
      <c r="I6121" s="388"/>
      <c r="J6121" s="291"/>
      <c r="K6121" s="291"/>
      <c r="L6121" s="291"/>
      <c r="M6121" s="291"/>
      <c r="S6121" s="364"/>
      <c r="Z6121" s="609" t="s">
        <v>2032</v>
      </c>
      <c r="AA6121" s="609"/>
    </row>
    <row r="6122" spans="1:27" ht="18">
      <c r="A6122" s="2714"/>
      <c r="B6122" s="371">
        <v>104</v>
      </c>
      <c r="C6122" s="371" t="s">
        <v>2791</v>
      </c>
      <c r="D6122" s="2716">
        <f>IF(OR(G6122="*",G6122="",G6122=0),0,COUNTIF($G$6119:$G$6123,G6122))</f>
        <v>0</v>
      </c>
      <c r="E6122" s="2721">
        <v>-1</v>
      </c>
      <c r="F6122" s="294"/>
      <c r="G6122" s="1563" t="s">
        <v>2792</v>
      </c>
      <c r="H6122" s="309"/>
      <c r="I6122" s="388"/>
      <c r="J6122" s="291"/>
      <c r="K6122" s="291"/>
      <c r="L6122" s="291"/>
      <c r="M6122" s="291"/>
      <c r="S6122" s="364"/>
      <c r="Z6122" s="609" t="s">
        <v>2032</v>
      </c>
      <c r="AA6122" s="609"/>
    </row>
    <row r="6123" spans="1:27" ht="18.75" thickBot="1">
      <c r="A6123" s="2714"/>
      <c r="B6123" s="371"/>
      <c r="C6123" s="371"/>
      <c r="D6123" s="2716">
        <f>IF(OR(G6123="*",G6123="",G6123=0),0,COUNTIF($G$6119:$G$6123,G6123))</f>
        <v>1</v>
      </c>
      <c r="E6123" s="2721" t="s">
        <v>2751</v>
      </c>
      <c r="F6123" s="294"/>
      <c r="G6123" s="1529" t="s">
        <v>2752</v>
      </c>
      <c r="H6123" s="1527">
        <f>SUMPRODUCT($E6118:$E6122,H6118:H6122)</f>
        <v>0</v>
      </c>
      <c r="I6123" s="1571"/>
      <c r="J6123" s="291"/>
      <c r="K6123" s="291"/>
      <c r="L6123" s="291"/>
      <c r="M6123" s="291"/>
      <c r="S6123" s="364"/>
      <c r="Z6123" s="609" t="s">
        <v>2032</v>
      </c>
      <c r="AA6123" s="609"/>
    </row>
    <row r="6124" spans="1:27" ht="18">
      <c r="A6124" s="2714"/>
      <c r="B6124" s="371"/>
      <c r="C6124" s="371" t="s">
        <v>2755</v>
      </c>
      <c r="D6124" s="371"/>
      <c r="F6124" s="294"/>
      <c r="G6124" s="301"/>
      <c r="H6124" s="315"/>
      <c r="I6124" s="393"/>
      <c r="J6124" s="291"/>
      <c r="K6124" s="291"/>
      <c r="L6124" s="291"/>
      <c r="M6124" s="291"/>
      <c r="S6124" s="364"/>
      <c r="Z6124" s="609" t="s">
        <v>2032</v>
      </c>
      <c r="AA6124" s="609"/>
    </row>
    <row r="6125" spans="1:27" ht="18">
      <c r="A6125" s="2714">
        <v>7510</v>
      </c>
      <c r="B6125" s="371">
        <v>79.069999999999993</v>
      </c>
      <c r="C6125" s="2716" t="str">
        <f>VLOOKUP($A6125,Sheet_Items,2,0)</f>
        <v>公允价值变动损失</v>
      </c>
      <c r="D6125" s="371"/>
      <c r="E6125" s="2716" t="s">
        <v>2739</v>
      </c>
      <c r="F6125" s="294"/>
      <c r="G6125" s="536" t="str">
        <f>B6125&amp;" "&amp;C6125</f>
        <v>79.07 公允价值变动损失</v>
      </c>
      <c r="H6125" s="322"/>
      <c r="I6125" s="322"/>
      <c r="J6125" s="306" t="s">
        <v>4206</v>
      </c>
      <c r="K6125" s="341">
        <f>VLOOKUP($A6125,Sheet_Trialbal,6,0)</f>
        <v>0</v>
      </c>
      <c r="L6125" s="342"/>
      <c r="M6125" s="306"/>
      <c r="N6125" s="341"/>
      <c r="O6125" s="306"/>
      <c r="P6125" s="301"/>
      <c r="S6125" s="364"/>
      <c r="Z6125" s="609" t="s">
        <v>2037</v>
      </c>
      <c r="AA6125" s="609"/>
    </row>
    <row r="6126" spans="1:27" ht="36">
      <c r="A6126" s="2714" t="s">
        <v>2035</v>
      </c>
      <c r="B6126" s="371">
        <v>1</v>
      </c>
      <c r="C6126" s="371"/>
      <c r="D6126" s="2716" t="str">
        <f>VLOOKUP($A6126,Sheet_NoteList,2,0)</f>
        <v>将净利润调节为经营活动现金流量：公允价值变动损失</v>
      </c>
      <c r="E6126" s="2716" t="s">
        <v>2742</v>
      </c>
      <c r="F6126" s="294"/>
      <c r="G6126" s="372" t="str">
        <f>"("&amp;B6126&amp;")"&amp;D6126</f>
        <v>(1)将净利润调节为经营活动现金流量：公允价值变动损失</v>
      </c>
      <c r="H6126" s="1517" t="str">
        <f>$A6126</f>
        <v>7510a</v>
      </c>
      <c r="I6126" s="343" t="s">
        <v>2743</v>
      </c>
      <c r="J6126" s="301" t="s">
        <v>4712</v>
      </c>
      <c r="K6126" s="2210">
        <f>H6132</f>
        <v>0</v>
      </c>
      <c r="L6126" s="345" t="str">
        <f>IF(ROUND(K6125-K6126,2)=0,"F/S",ROUND(K6125-K6126,2))</f>
        <v>F/S</v>
      </c>
      <c r="M6126" s="532" t="s">
        <v>4713</v>
      </c>
      <c r="N6126" s="3083"/>
      <c r="O6126" s="315"/>
      <c r="P6126" s="301"/>
      <c r="S6126" s="364"/>
      <c r="Z6126" s="609" t="s">
        <v>2037</v>
      </c>
      <c r="AA6126" s="609"/>
    </row>
    <row r="6127" spans="1:27" ht="0.75" customHeight="1" thickBot="1">
      <c r="A6127" s="2714"/>
      <c r="B6127" s="371"/>
      <c r="C6127" s="371"/>
      <c r="D6127" s="371"/>
      <c r="F6127" s="294"/>
      <c r="G6127" s="294" t="s">
        <v>4810</v>
      </c>
      <c r="H6127" s="294" t="s">
        <v>3472</v>
      </c>
      <c r="I6127" s="294" t="s">
        <v>2821</v>
      </c>
      <c r="J6127" s="291"/>
      <c r="K6127" s="291"/>
      <c r="L6127" s="291"/>
      <c r="M6127" s="291"/>
      <c r="S6127" s="364"/>
      <c r="Z6127" s="609" t="s">
        <v>2037</v>
      </c>
      <c r="AA6127" s="609"/>
    </row>
    <row r="6128" spans="1:27" ht="18">
      <c r="A6128" s="2714"/>
      <c r="B6128" s="371"/>
      <c r="C6128" s="371"/>
      <c r="D6128" s="371"/>
      <c r="E6128" s="2716" t="s">
        <v>2749</v>
      </c>
      <c r="F6128" s="294"/>
      <c r="G6128" s="1564" t="s">
        <v>47</v>
      </c>
      <c r="H6128" s="1565" t="s">
        <v>2587</v>
      </c>
      <c r="I6128" s="1566" t="s">
        <v>2508</v>
      </c>
      <c r="J6128" s="291"/>
      <c r="K6128" s="291"/>
      <c r="L6128" s="291"/>
      <c r="M6128" s="291"/>
      <c r="S6128" s="364"/>
      <c r="Z6128" s="609" t="s">
        <v>2037</v>
      </c>
      <c r="AA6128" s="609"/>
    </row>
    <row r="6129" spans="1:27" ht="18">
      <c r="A6129" s="2714"/>
      <c r="B6129" s="371">
        <v>101</v>
      </c>
      <c r="C6129" s="371"/>
      <c r="D6129" s="2716">
        <f>IF(OR(G6129="*",G6129="",G6129=0),0,COUNTIF($G$6129:$G$6132,G6129))</f>
        <v>1</v>
      </c>
      <c r="E6129" s="2721">
        <v>1</v>
      </c>
      <c r="F6129" s="294"/>
      <c r="G6129" s="308" t="s">
        <v>4811</v>
      </c>
      <c r="H6129" s="309"/>
      <c r="I6129" s="388"/>
      <c r="J6129" s="291"/>
      <c r="K6129" s="291"/>
      <c r="L6129" s="291"/>
      <c r="M6129" s="291"/>
      <c r="S6129" s="364"/>
      <c r="Z6129" s="609" t="s">
        <v>2037</v>
      </c>
      <c r="AA6129" s="609"/>
    </row>
    <row r="6130" spans="1:27" ht="18">
      <c r="A6130" s="2714"/>
      <c r="B6130" s="371">
        <v>102</v>
      </c>
      <c r="C6130" s="371" t="s">
        <v>2791</v>
      </c>
      <c r="D6130" s="2716">
        <f>IF(OR(G6130="*",G6130="",G6130=0),0,COUNTIF($G$6129:$G$6132,G6130))</f>
        <v>0</v>
      </c>
      <c r="E6130" s="2721">
        <v>1</v>
      </c>
      <c r="F6130" s="294"/>
      <c r="G6130" s="1563" t="s">
        <v>2792</v>
      </c>
      <c r="H6130" s="309"/>
      <c r="I6130" s="388"/>
      <c r="J6130" s="291"/>
      <c r="K6130" s="291"/>
      <c r="L6130" s="291"/>
      <c r="M6130" s="291"/>
      <c r="S6130" s="364"/>
      <c r="Z6130" s="609" t="s">
        <v>2037</v>
      </c>
      <c r="AA6130" s="609"/>
    </row>
    <row r="6131" spans="1:27" ht="18">
      <c r="A6131" s="2714"/>
      <c r="B6131" s="371">
        <v>103</v>
      </c>
      <c r="C6131" s="371" t="s">
        <v>2791</v>
      </c>
      <c r="D6131" s="2716">
        <f>IF(OR(G6131="*",G6131="",G6131=0),0,COUNTIF($G$6129:$G$6132,G6131))</f>
        <v>0</v>
      </c>
      <c r="E6131" s="2721">
        <v>1</v>
      </c>
      <c r="F6131" s="294"/>
      <c r="G6131" s="1563" t="s">
        <v>2792</v>
      </c>
      <c r="H6131" s="309"/>
      <c r="I6131" s="388"/>
      <c r="J6131" s="291"/>
      <c r="K6131" s="291"/>
      <c r="L6131" s="291"/>
      <c r="M6131" s="291"/>
      <c r="S6131" s="364"/>
      <c r="Z6131" s="609" t="s">
        <v>2037</v>
      </c>
      <c r="AA6131" s="609"/>
    </row>
    <row r="6132" spans="1:27" ht="18.75" thickBot="1">
      <c r="A6132" s="2714"/>
      <c r="B6132" s="371"/>
      <c r="C6132" s="371"/>
      <c r="D6132" s="2716">
        <f>IF(OR(G6132="*",G6132="",G6132=0),0,COUNTIF($G$6129:$G$6132,G6132))</f>
        <v>1</v>
      </c>
      <c r="E6132" s="2721" t="s">
        <v>2751</v>
      </c>
      <c r="F6132" s="294"/>
      <c r="G6132" s="1529" t="s">
        <v>2752</v>
      </c>
      <c r="H6132" s="1527">
        <f>SUMPRODUCT($E6128:$E6131,H6128:H6131)</f>
        <v>0</v>
      </c>
      <c r="I6132" s="1571"/>
      <c r="J6132" s="291"/>
      <c r="K6132" s="291"/>
      <c r="L6132" s="291"/>
      <c r="M6132" s="291"/>
      <c r="S6132" s="364"/>
      <c r="Z6132" s="609" t="s">
        <v>2037</v>
      </c>
      <c r="AA6132" s="609"/>
    </row>
    <row r="6133" spans="1:27" ht="18">
      <c r="A6133" s="2714"/>
      <c r="B6133" s="371"/>
      <c r="C6133" s="371" t="s">
        <v>2755</v>
      </c>
      <c r="D6133" s="371"/>
      <c r="F6133" s="294"/>
      <c r="G6133" s="301"/>
      <c r="H6133" s="315"/>
      <c r="I6133" s="393"/>
      <c r="J6133" s="291"/>
      <c r="K6133" s="291"/>
      <c r="L6133" s="291"/>
      <c r="M6133" s="291"/>
      <c r="S6133" s="364"/>
      <c r="Z6133" s="609" t="s">
        <v>2037</v>
      </c>
      <c r="AA6133" s="609"/>
    </row>
    <row r="6134" spans="1:27" ht="18">
      <c r="A6134" s="2714">
        <v>7511</v>
      </c>
      <c r="B6134" s="371">
        <v>79.08</v>
      </c>
      <c r="C6134" s="2716" t="str">
        <f>VLOOKUP($A6134,Sheet_Items,2,0)</f>
        <v>财务费用金额</v>
      </c>
      <c r="D6134" s="371"/>
      <c r="E6134" s="2716" t="s">
        <v>2739</v>
      </c>
      <c r="F6134" s="294"/>
      <c r="G6134" s="536" t="str">
        <f>B6134&amp;" "&amp;C6134</f>
        <v>79.08 财务费用金额</v>
      </c>
      <c r="H6134" s="322"/>
      <c r="I6134" s="322"/>
      <c r="J6134" s="306" t="s">
        <v>4206</v>
      </c>
      <c r="K6134" s="341">
        <f>VLOOKUP($A6134,Sheet_Trialbal,6,0)</f>
        <v>2968.82</v>
      </c>
      <c r="L6134" s="342"/>
      <c r="M6134" s="306"/>
      <c r="N6134" s="341"/>
      <c r="O6134" s="306"/>
      <c r="P6134" s="301"/>
      <c r="S6134" s="364"/>
      <c r="Z6134" s="609" t="s">
        <v>2040</v>
      </c>
      <c r="AA6134" s="609"/>
    </row>
    <row r="6135" spans="1:27" ht="24">
      <c r="A6135" s="2714" t="s">
        <v>2038</v>
      </c>
      <c r="B6135" s="371">
        <v>1</v>
      </c>
      <c r="C6135" s="371"/>
      <c r="D6135" s="2716" t="str">
        <f>VLOOKUP($A6135,Sheet_NoteList,2,0)</f>
        <v>将净利润调节为经营活动现金流量：财务费用金额</v>
      </c>
      <c r="E6135" s="2716" t="s">
        <v>2742</v>
      </c>
      <c r="F6135" s="294"/>
      <c r="G6135" s="372" t="str">
        <f>"("&amp;B6135&amp;")"&amp;D6135</f>
        <v>(1)将净利润调节为经营活动现金流量：财务费用金额</v>
      </c>
      <c r="H6135" s="1517" t="str">
        <f>$A6135</f>
        <v>7511a</v>
      </c>
      <c r="I6135" s="343" t="s">
        <v>2743</v>
      </c>
      <c r="J6135" s="301" t="s">
        <v>4712</v>
      </c>
      <c r="K6135" s="2210">
        <f>H6143</f>
        <v>0</v>
      </c>
      <c r="L6135" s="345">
        <f>IF(ROUND(K6134-K6135,2)=0,"F/S",ROUND(K6134-K6135,2))</f>
        <v>2968.82</v>
      </c>
      <c r="M6135" s="532" t="s">
        <v>4713</v>
      </c>
      <c r="N6135" s="3083"/>
      <c r="O6135" s="315"/>
      <c r="P6135" s="301"/>
      <c r="S6135" s="364"/>
      <c r="Z6135" s="609" t="s">
        <v>2040</v>
      </c>
      <c r="AA6135" s="609"/>
    </row>
    <row r="6136" spans="1:27" ht="0.75" customHeight="1" thickBot="1">
      <c r="A6136" s="2714"/>
      <c r="B6136" s="371"/>
      <c r="C6136" s="371"/>
      <c r="D6136" s="371"/>
      <c r="F6136" s="294"/>
      <c r="G6136" s="294" t="s">
        <v>4812</v>
      </c>
      <c r="H6136" s="294" t="s">
        <v>3472</v>
      </c>
      <c r="I6136" s="294" t="s">
        <v>2821</v>
      </c>
      <c r="J6136" s="291"/>
      <c r="K6136" s="291"/>
      <c r="L6136" s="291"/>
      <c r="M6136" s="291"/>
      <c r="S6136" s="364"/>
      <c r="Z6136" s="609" t="s">
        <v>2040</v>
      </c>
      <c r="AA6136" s="609"/>
    </row>
    <row r="6137" spans="1:27" ht="18">
      <c r="A6137" s="2714"/>
      <c r="B6137" s="371"/>
      <c r="C6137" s="371"/>
      <c r="D6137" s="371"/>
      <c r="E6137" s="2716" t="s">
        <v>2749</v>
      </c>
      <c r="F6137" s="294"/>
      <c r="G6137" s="1564" t="s">
        <v>47</v>
      </c>
      <c r="H6137" s="1565" t="s">
        <v>2587</v>
      </c>
      <c r="I6137" s="1566" t="s">
        <v>2508</v>
      </c>
      <c r="J6137" s="291"/>
      <c r="K6137" s="291"/>
      <c r="L6137" s="291"/>
      <c r="M6137" s="291"/>
      <c r="S6137" s="364"/>
      <c r="Z6137" s="609" t="s">
        <v>2040</v>
      </c>
      <c r="AA6137" s="609"/>
    </row>
    <row r="6138" spans="1:27" ht="18">
      <c r="A6138" s="2714"/>
      <c r="B6138" s="371">
        <v>101</v>
      </c>
      <c r="C6138" s="371"/>
      <c r="D6138" s="2716">
        <f t="shared" ref="D6138:D6143" si="649">IF(OR(G6138="*",G6138="",G6138=0),0,COUNTIF($G$6138:$G$6143,G6138))</f>
        <v>1</v>
      </c>
      <c r="E6138" s="2721">
        <v>1</v>
      </c>
      <c r="F6138" s="294"/>
      <c r="G6138" s="308" t="s">
        <v>771</v>
      </c>
      <c r="H6138" s="309"/>
      <c r="I6138" s="388"/>
      <c r="J6138" s="291"/>
      <c r="K6138" s="291"/>
      <c r="L6138" s="291"/>
      <c r="M6138" s="291"/>
      <c r="S6138" s="364"/>
      <c r="Z6138" s="609" t="s">
        <v>2040</v>
      </c>
      <c r="AA6138" s="609"/>
    </row>
    <row r="6139" spans="1:27" ht="18">
      <c r="A6139" s="2714"/>
      <c r="B6139" s="371">
        <v>102</v>
      </c>
      <c r="C6139" s="371"/>
      <c r="D6139" s="2716">
        <f t="shared" si="649"/>
        <v>1</v>
      </c>
      <c r="E6139" s="2721">
        <v>-1</v>
      </c>
      <c r="F6139" s="294"/>
      <c r="G6139" s="308" t="s">
        <v>4271</v>
      </c>
      <c r="H6139" s="309"/>
      <c r="I6139" s="388"/>
      <c r="J6139" s="291"/>
      <c r="K6139" s="291"/>
      <c r="L6139" s="291"/>
      <c r="M6139" s="291"/>
      <c r="S6139" s="364"/>
      <c r="Z6139" s="609" t="s">
        <v>2040</v>
      </c>
      <c r="AA6139" s="609"/>
    </row>
    <row r="6140" spans="1:27" ht="24">
      <c r="A6140" s="2714"/>
      <c r="B6140" s="371">
        <v>103</v>
      </c>
      <c r="C6140" s="371"/>
      <c r="D6140" s="2716">
        <f t="shared" si="649"/>
        <v>1</v>
      </c>
      <c r="E6140" s="2721">
        <v>1</v>
      </c>
      <c r="F6140" s="294"/>
      <c r="G6140" s="308" t="s">
        <v>4813</v>
      </c>
      <c r="H6140" s="309"/>
      <c r="I6140" s="388"/>
      <c r="J6140" s="291"/>
      <c r="K6140" s="291"/>
      <c r="L6140" s="291"/>
      <c r="M6140" s="291"/>
      <c r="S6140" s="364"/>
      <c r="Z6140" s="609" t="s">
        <v>2040</v>
      </c>
      <c r="AA6140" s="609"/>
    </row>
    <row r="6141" spans="1:27" ht="24">
      <c r="A6141" s="2714"/>
      <c r="B6141" s="371">
        <v>104</v>
      </c>
      <c r="C6141" s="371"/>
      <c r="D6141" s="2716">
        <f t="shared" si="649"/>
        <v>1</v>
      </c>
      <c r="E6141" s="2721">
        <v>1</v>
      </c>
      <c r="F6141" s="294"/>
      <c r="G6141" s="308" t="s">
        <v>4814</v>
      </c>
      <c r="H6141" s="309"/>
      <c r="I6141" s="388"/>
      <c r="J6141" s="291"/>
      <c r="K6141" s="291"/>
      <c r="L6141" s="291"/>
      <c r="M6141" s="291"/>
      <c r="S6141" s="364"/>
      <c r="Z6141" s="609" t="s">
        <v>2040</v>
      </c>
      <c r="AA6141" s="609"/>
    </row>
    <row r="6142" spans="1:27" ht="18">
      <c r="A6142" s="2714"/>
      <c r="B6142" s="371">
        <v>108</v>
      </c>
      <c r="C6142" s="371" t="s">
        <v>2791</v>
      </c>
      <c r="D6142" s="2716">
        <f t="shared" si="649"/>
        <v>0</v>
      </c>
      <c r="E6142" s="2721">
        <v>1</v>
      </c>
      <c r="F6142" s="294"/>
      <c r="G6142" s="1563" t="s">
        <v>2792</v>
      </c>
      <c r="H6142" s="309"/>
      <c r="I6142" s="388"/>
      <c r="J6142" s="291"/>
      <c r="K6142" s="291"/>
      <c r="L6142" s="291"/>
      <c r="M6142" s="291"/>
      <c r="S6142" s="364"/>
      <c r="Z6142" s="609" t="s">
        <v>2040</v>
      </c>
      <c r="AA6142" s="609"/>
    </row>
    <row r="6143" spans="1:27" ht="18.75" thickBot="1">
      <c r="A6143" s="2714"/>
      <c r="B6143" s="371"/>
      <c r="C6143" s="371"/>
      <c r="D6143" s="2716">
        <f t="shared" si="649"/>
        <v>1</v>
      </c>
      <c r="E6143" s="2721" t="s">
        <v>2751</v>
      </c>
      <c r="F6143" s="294"/>
      <c r="G6143" s="1529" t="s">
        <v>2752</v>
      </c>
      <c r="H6143" s="1527">
        <f>SUMPRODUCT($E6137:$E6142,H6137:H6142)</f>
        <v>0</v>
      </c>
      <c r="I6143" s="1571"/>
      <c r="J6143" s="532"/>
      <c r="K6143" s="291"/>
      <c r="L6143" s="291"/>
      <c r="M6143" s="291"/>
      <c r="S6143" s="364"/>
      <c r="Z6143" s="609" t="s">
        <v>2040</v>
      </c>
      <c r="AA6143" s="609"/>
    </row>
    <row r="6144" spans="1:27" ht="18">
      <c r="A6144" s="2714"/>
      <c r="B6144" s="371"/>
      <c r="C6144" s="371" t="s">
        <v>2755</v>
      </c>
      <c r="D6144" s="371"/>
      <c r="F6144" s="294"/>
      <c r="G6144" s="301"/>
      <c r="H6144" s="315"/>
      <c r="I6144" s="393"/>
      <c r="J6144" s="291"/>
      <c r="K6144" s="291"/>
      <c r="L6144" s="291"/>
      <c r="M6144" s="291"/>
      <c r="S6144" s="364"/>
      <c r="Z6144" s="609" t="s">
        <v>2040</v>
      </c>
      <c r="AA6144" s="609"/>
    </row>
    <row r="6145" spans="1:27" ht="18">
      <c r="A6145" s="2714">
        <v>7512</v>
      </c>
      <c r="B6145" s="371">
        <v>79.09</v>
      </c>
      <c r="C6145" s="2716" t="str">
        <f>VLOOKUP($A6145,Sheet_Items,2,0)</f>
        <v>投资损失</v>
      </c>
      <c r="D6145" s="371"/>
      <c r="E6145" s="2716" t="s">
        <v>2739</v>
      </c>
      <c r="F6145" s="294"/>
      <c r="G6145" s="536" t="str">
        <f>B6145&amp;" "&amp;C6145</f>
        <v>79.09 投资损失</v>
      </c>
      <c r="H6145" s="322"/>
      <c r="I6145" s="322"/>
      <c r="J6145" s="306" t="s">
        <v>4206</v>
      </c>
      <c r="K6145" s="341">
        <f>VLOOKUP($A6145,Sheet_Trialbal,6,0)</f>
        <v>-41851.06</v>
      </c>
      <c r="L6145" s="342"/>
      <c r="M6145" s="306"/>
      <c r="N6145" s="341"/>
      <c r="O6145" s="306"/>
      <c r="P6145" s="301"/>
      <c r="S6145" s="364"/>
      <c r="Z6145" s="609" t="s">
        <v>2044</v>
      </c>
      <c r="AA6145" s="609"/>
    </row>
    <row r="6146" spans="1:27" ht="24">
      <c r="A6146" s="2714" t="s">
        <v>2042</v>
      </c>
      <c r="B6146" s="371">
        <v>1</v>
      </c>
      <c r="C6146" s="371"/>
      <c r="D6146" s="2716" t="str">
        <f>VLOOKUP($A6146,Sheet_NoteList,2,0)</f>
        <v>将净利润调节为经营活动现金流量：投资损失</v>
      </c>
      <c r="E6146" s="2716" t="s">
        <v>2742</v>
      </c>
      <c r="F6146" s="294"/>
      <c r="G6146" s="372" t="str">
        <f>"("&amp;B6146&amp;")"&amp;D6146</f>
        <v>(1)将净利润调节为经营活动现金流量：投资损失</v>
      </c>
      <c r="H6146" s="1517" t="str">
        <f>$A6146</f>
        <v>7512a</v>
      </c>
      <c r="I6146" s="343" t="s">
        <v>2743</v>
      </c>
      <c r="J6146" s="301" t="s">
        <v>4712</v>
      </c>
      <c r="K6146" s="2210">
        <f>H6152</f>
        <v>0</v>
      </c>
      <c r="L6146" s="345">
        <f>IF(ROUND(K6145-K6146,2)=0,"F/S",ROUND(K6145-K6146,2))</f>
        <v>-41851.06</v>
      </c>
      <c r="M6146" s="532" t="s">
        <v>4713</v>
      </c>
      <c r="N6146" s="3083"/>
      <c r="O6146" s="315"/>
      <c r="P6146" s="301"/>
      <c r="S6146" s="364"/>
      <c r="Z6146" s="609" t="s">
        <v>2044</v>
      </c>
      <c r="AA6146" s="609"/>
    </row>
    <row r="6147" spans="1:27" ht="0.75" customHeight="1" thickBot="1">
      <c r="A6147" s="2714"/>
      <c r="B6147" s="371"/>
      <c r="C6147" s="371"/>
      <c r="D6147" s="371"/>
      <c r="F6147" s="294"/>
      <c r="G6147" s="294" t="s">
        <v>4815</v>
      </c>
      <c r="H6147" s="294" t="s">
        <v>3472</v>
      </c>
      <c r="I6147" s="294" t="s">
        <v>2821</v>
      </c>
      <c r="J6147" s="291"/>
      <c r="K6147" s="291"/>
      <c r="L6147" s="291"/>
      <c r="M6147" s="291"/>
      <c r="S6147" s="364"/>
      <c r="Z6147" s="609" t="s">
        <v>2044</v>
      </c>
      <c r="AA6147" s="609"/>
    </row>
    <row r="6148" spans="1:27" ht="18">
      <c r="A6148" s="2714"/>
      <c r="B6148" s="371"/>
      <c r="C6148" s="371"/>
      <c r="D6148" s="371"/>
      <c r="E6148" s="2716" t="s">
        <v>2749</v>
      </c>
      <c r="F6148" s="294"/>
      <c r="G6148" s="1564" t="s">
        <v>47</v>
      </c>
      <c r="H6148" s="1565" t="s">
        <v>2587</v>
      </c>
      <c r="I6148" s="1566" t="s">
        <v>2508</v>
      </c>
      <c r="J6148" s="291"/>
      <c r="K6148" s="291"/>
      <c r="L6148" s="291"/>
      <c r="M6148" s="291"/>
      <c r="S6148" s="364"/>
      <c r="Z6148" s="609" t="s">
        <v>2044</v>
      </c>
      <c r="AA6148" s="609"/>
    </row>
    <row r="6149" spans="1:27" ht="18">
      <c r="A6149" s="2714"/>
      <c r="B6149" s="371">
        <v>101</v>
      </c>
      <c r="C6149" s="371"/>
      <c r="D6149" s="2716">
        <f>IF(OR(G6149="*",G6149="",G6149=0),0,COUNTIF($G$6149:$G$6152,G6149))</f>
        <v>1</v>
      </c>
      <c r="E6149" s="2721">
        <v>1</v>
      </c>
      <c r="F6149" s="294"/>
      <c r="G6149" s="308" t="s">
        <v>843</v>
      </c>
      <c r="H6149" s="309"/>
      <c r="I6149" s="388"/>
      <c r="J6149" s="291"/>
      <c r="K6149" s="291"/>
      <c r="L6149" s="291"/>
      <c r="M6149" s="291"/>
      <c r="S6149" s="364"/>
      <c r="Z6149" s="609" t="s">
        <v>2044</v>
      </c>
      <c r="AA6149" s="609"/>
    </row>
    <row r="6150" spans="1:27" ht="18">
      <c r="A6150" s="2714"/>
      <c r="B6150" s="371">
        <v>102</v>
      </c>
      <c r="C6150" s="371" t="s">
        <v>2791</v>
      </c>
      <c r="D6150" s="2716">
        <f>IF(OR(G6150="*",G6150="",G6150=0),0,COUNTIF($G$6149:$G$6152,G6150))</f>
        <v>0</v>
      </c>
      <c r="E6150" s="2721">
        <v>1</v>
      </c>
      <c r="F6150" s="294"/>
      <c r="G6150" s="1563" t="s">
        <v>2792</v>
      </c>
      <c r="H6150" s="309"/>
      <c r="I6150" s="388"/>
      <c r="J6150" s="291"/>
      <c r="K6150" s="291"/>
      <c r="L6150" s="291"/>
      <c r="M6150" s="291"/>
      <c r="S6150" s="364"/>
      <c r="Z6150" s="609" t="s">
        <v>2044</v>
      </c>
      <c r="AA6150" s="609"/>
    </row>
    <row r="6151" spans="1:27" ht="18">
      <c r="A6151" s="2714"/>
      <c r="B6151" s="371">
        <v>103</v>
      </c>
      <c r="C6151" s="371" t="s">
        <v>2791</v>
      </c>
      <c r="D6151" s="2716">
        <f>IF(OR(G6151="*",G6151="",G6151=0),0,COUNTIF($G$6149:$G$6152,G6151))</f>
        <v>0</v>
      </c>
      <c r="E6151" s="2721">
        <v>1</v>
      </c>
      <c r="F6151" s="294"/>
      <c r="G6151" s="1563" t="s">
        <v>2792</v>
      </c>
      <c r="H6151" s="309"/>
      <c r="I6151" s="388"/>
      <c r="J6151" s="291"/>
      <c r="K6151" s="291"/>
      <c r="L6151" s="291"/>
      <c r="M6151" s="291"/>
      <c r="S6151" s="364"/>
      <c r="Z6151" s="609" t="s">
        <v>2044</v>
      </c>
      <c r="AA6151" s="609"/>
    </row>
    <row r="6152" spans="1:27" ht="18.75" thickBot="1">
      <c r="A6152" s="2714"/>
      <c r="B6152" s="371"/>
      <c r="C6152" s="371"/>
      <c r="D6152" s="2716">
        <f>IF(OR(G6152="*",G6152="",G6152=0),0,COUNTIF($G$6149:$G$6152,G6152))</f>
        <v>1</v>
      </c>
      <c r="E6152" s="2721" t="s">
        <v>2751</v>
      </c>
      <c r="F6152" s="294"/>
      <c r="G6152" s="1529" t="s">
        <v>2752</v>
      </c>
      <c r="H6152" s="1527">
        <f>SUMPRODUCT($E6148:$E6151,H6148:H6151)</f>
        <v>0</v>
      </c>
      <c r="I6152" s="1571"/>
      <c r="J6152" s="291"/>
      <c r="K6152" s="291"/>
      <c r="L6152" s="291"/>
      <c r="M6152" s="291"/>
      <c r="S6152" s="364"/>
      <c r="Z6152" s="609" t="s">
        <v>2044</v>
      </c>
      <c r="AA6152" s="609"/>
    </row>
    <row r="6153" spans="1:27" ht="18">
      <c r="A6153" s="2714"/>
      <c r="B6153" s="371"/>
      <c r="C6153" s="371" t="s">
        <v>2755</v>
      </c>
      <c r="D6153" s="371"/>
      <c r="F6153" s="294"/>
      <c r="G6153" s="301"/>
      <c r="H6153" s="315"/>
      <c r="I6153" s="393"/>
      <c r="J6153" s="291"/>
      <c r="K6153" s="291"/>
      <c r="L6153" s="291"/>
      <c r="M6153" s="291"/>
      <c r="S6153" s="364"/>
      <c r="Z6153" s="609" t="s">
        <v>2044</v>
      </c>
      <c r="AA6153" s="609"/>
    </row>
    <row r="6154" spans="1:27" ht="18">
      <c r="A6154" s="2714">
        <v>7515</v>
      </c>
      <c r="B6154" s="371">
        <v>79.099999999999994</v>
      </c>
      <c r="C6154" s="2716" t="str">
        <f>VLOOKUP($A6154,Sheet_Items,2,0)</f>
        <v>递延所得税资产减少</v>
      </c>
      <c r="D6154" s="371"/>
      <c r="E6154" s="2716" t="s">
        <v>2739</v>
      </c>
      <c r="F6154" s="294"/>
      <c r="G6154" s="536" t="str">
        <f>B6154&amp;" "&amp;C6154</f>
        <v>79.1 递延所得税资产减少</v>
      </c>
      <c r="H6154" s="322"/>
      <c r="I6154" s="322"/>
      <c r="J6154" s="306" t="s">
        <v>4206</v>
      </c>
      <c r="K6154" s="341">
        <f>VLOOKUP($A6154,Sheet_Trialbal,6,0)</f>
        <v>-624649.18999999994</v>
      </c>
      <c r="L6154" s="342"/>
      <c r="M6154" s="306"/>
      <c r="N6154" s="341"/>
      <c r="O6154" s="306"/>
      <c r="P6154" s="301"/>
      <c r="S6154" s="364"/>
      <c r="Z6154" s="609" t="s">
        <v>2047</v>
      </c>
      <c r="AA6154" s="609"/>
    </row>
    <row r="6155" spans="1:27" ht="36">
      <c r="A6155" s="2714" t="s">
        <v>2045</v>
      </c>
      <c r="B6155" s="371">
        <v>1</v>
      </c>
      <c r="C6155" s="371"/>
      <c r="D6155" s="2716" t="str">
        <f>VLOOKUP($A6155,Sheet_NoteList,2,0)</f>
        <v>将净利润调节为经营活动现金流量：递延所得税资产减少</v>
      </c>
      <c r="E6155" s="2716" t="s">
        <v>2742</v>
      </c>
      <c r="F6155" s="294"/>
      <c r="G6155" s="372" t="str">
        <f>"("&amp;B6155&amp;")"&amp;D6155</f>
        <v>(1)将净利润调节为经营活动现金流量：递延所得税资产减少</v>
      </c>
      <c r="H6155" s="1517" t="str">
        <f>$A6155</f>
        <v>7515a</v>
      </c>
      <c r="I6155" s="343" t="s">
        <v>2743</v>
      </c>
      <c r="J6155" s="301" t="s">
        <v>4712</v>
      </c>
      <c r="K6155" s="2210">
        <f>J6161</f>
        <v>0</v>
      </c>
      <c r="L6155" s="345">
        <f>IF(ROUND(K6154-K6155,2)=0,"F/S",ROUND(K6154-K6155,2))</f>
        <v>-624649.18999999994</v>
      </c>
      <c r="M6155" s="532" t="s">
        <v>4713</v>
      </c>
      <c r="N6155" s="3083"/>
      <c r="O6155" s="315"/>
      <c r="P6155" s="301"/>
      <c r="S6155" s="364"/>
      <c r="Z6155" s="609" t="s">
        <v>2047</v>
      </c>
      <c r="AA6155" s="609"/>
    </row>
    <row r="6156" spans="1:27" ht="0.75" customHeight="1" thickBot="1">
      <c r="A6156" s="2714"/>
      <c r="B6156" s="371"/>
      <c r="C6156" s="371"/>
      <c r="D6156" s="371"/>
      <c r="F6156" s="294"/>
      <c r="G6156" s="294" t="s">
        <v>4816</v>
      </c>
      <c r="H6156" s="294" t="s">
        <v>2747</v>
      </c>
      <c r="I6156" s="294" t="s">
        <v>2748</v>
      </c>
      <c r="J6156" s="294" t="s">
        <v>3256</v>
      </c>
      <c r="K6156" s="294" t="s">
        <v>2898</v>
      </c>
      <c r="L6156" s="291"/>
      <c r="M6156" s="291"/>
      <c r="N6156" s="291"/>
      <c r="O6156" s="291"/>
      <c r="S6156" s="364"/>
      <c r="Z6156" s="609" t="s">
        <v>2047</v>
      </c>
      <c r="AA6156" s="609"/>
    </row>
    <row r="6157" spans="1:27" ht="18">
      <c r="A6157" s="2714"/>
      <c r="B6157" s="371"/>
      <c r="C6157" s="371"/>
      <c r="D6157" s="371"/>
      <c r="E6157" s="2716" t="s">
        <v>2749</v>
      </c>
      <c r="F6157" s="294"/>
      <c r="G6157" s="1564" t="s">
        <v>47</v>
      </c>
      <c r="H6157" s="1565" t="s">
        <v>3276</v>
      </c>
      <c r="I6157" s="1565" t="s">
        <v>3273</v>
      </c>
      <c r="J6157" s="1565" t="s">
        <v>3275</v>
      </c>
      <c r="K6157" s="1566" t="s">
        <v>2508</v>
      </c>
      <c r="L6157" s="291"/>
      <c r="M6157" s="291"/>
      <c r="N6157" s="291"/>
      <c r="O6157" s="291"/>
      <c r="S6157" s="364"/>
      <c r="Z6157" s="609" t="s">
        <v>2047</v>
      </c>
      <c r="AA6157" s="609"/>
    </row>
    <row r="6158" spans="1:27" ht="18">
      <c r="A6158" s="2714"/>
      <c r="B6158" s="371">
        <v>101</v>
      </c>
      <c r="C6158" s="371"/>
      <c r="D6158" s="2716">
        <f>IF(OR(G6158="*",G6158="",G6158=0),0,COUNTIF($G$6158:$G$6161,G6158))</f>
        <v>1</v>
      </c>
      <c r="E6158" s="2721">
        <v>1</v>
      </c>
      <c r="F6158" s="294"/>
      <c r="G6158" s="308" t="s">
        <v>422</v>
      </c>
      <c r="H6158" s="309"/>
      <c r="I6158" s="309"/>
      <c r="J6158" s="1476">
        <f>I6158-H6158</f>
        <v>0</v>
      </c>
      <c r="K6158" s="388"/>
      <c r="L6158" s="291"/>
      <c r="M6158" s="291"/>
      <c r="N6158" s="291"/>
      <c r="O6158" s="291"/>
      <c r="S6158" s="364"/>
      <c r="Z6158" s="609" t="s">
        <v>2047</v>
      </c>
      <c r="AA6158" s="609"/>
    </row>
    <row r="6159" spans="1:27" ht="18">
      <c r="A6159" s="2714"/>
      <c r="B6159" s="371">
        <v>102</v>
      </c>
      <c r="C6159" s="371" t="s">
        <v>2791</v>
      </c>
      <c r="D6159" s="2716">
        <f>IF(OR(G6159="*",G6159="",G6159=0),0,COUNTIF($G$6158:$G$6161,G6159))</f>
        <v>0</v>
      </c>
      <c r="E6159" s="2721">
        <v>1</v>
      </c>
      <c r="F6159" s="294"/>
      <c r="G6159" s="1563" t="s">
        <v>2792</v>
      </c>
      <c r="H6159" s="309"/>
      <c r="I6159" s="309"/>
      <c r="J6159" s="309"/>
      <c r="K6159" s="388"/>
      <c r="L6159" s="291"/>
      <c r="M6159" s="291"/>
      <c r="N6159" s="291"/>
      <c r="O6159" s="291"/>
      <c r="S6159" s="364"/>
      <c r="Z6159" s="609" t="s">
        <v>2047</v>
      </c>
      <c r="AA6159" s="609"/>
    </row>
    <row r="6160" spans="1:27" ht="18">
      <c r="A6160" s="2714"/>
      <c r="B6160" s="371">
        <v>103</v>
      </c>
      <c r="C6160" s="371" t="s">
        <v>2791</v>
      </c>
      <c r="D6160" s="2716">
        <f>IF(OR(G6160="*",G6160="",G6160=0),0,COUNTIF($G$6158:$G$6161,G6160))</f>
        <v>0</v>
      </c>
      <c r="E6160" s="2721">
        <v>1</v>
      </c>
      <c r="F6160" s="294"/>
      <c r="G6160" s="1563" t="s">
        <v>2792</v>
      </c>
      <c r="H6160" s="309"/>
      <c r="I6160" s="309"/>
      <c r="J6160" s="309"/>
      <c r="K6160" s="388"/>
      <c r="L6160" s="291"/>
      <c r="M6160" s="291"/>
      <c r="N6160" s="291"/>
      <c r="O6160" s="291"/>
      <c r="S6160" s="364"/>
      <c r="Z6160" s="609" t="s">
        <v>2047</v>
      </c>
      <c r="AA6160" s="609"/>
    </row>
    <row r="6161" spans="1:27" ht="18.75" thickBot="1">
      <c r="A6161" s="2714"/>
      <c r="B6161" s="371"/>
      <c r="C6161" s="371"/>
      <c r="D6161" s="2716">
        <f>IF(OR(G6161="*",G6161="",G6161=0),0,COUNTIF($G$6158:$G$6161,G6161))</f>
        <v>1</v>
      </c>
      <c r="E6161" s="2721" t="s">
        <v>2751</v>
      </c>
      <c r="F6161" s="294"/>
      <c r="G6161" s="1529" t="s">
        <v>2752</v>
      </c>
      <c r="H6161" s="1527">
        <f>SUMPRODUCT($E6157:$E6160,H6157:H6160)</f>
        <v>0</v>
      </c>
      <c r="I6161" s="1527">
        <f>SUMPRODUCT($E6157:$E6160,I6157:I6160)</f>
        <v>0</v>
      </c>
      <c r="J6161" s="1527">
        <f>SUMPRODUCT($E6157:$E6160,J6157:J6160)</f>
        <v>0</v>
      </c>
      <c r="K6161" s="1571"/>
      <c r="L6161" s="291"/>
      <c r="M6161" s="291"/>
      <c r="N6161" s="291"/>
      <c r="O6161" s="291"/>
      <c r="S6161" s="364"/>
      <c r="Z6161" s="609" t="s">
        <v>2047</v>
      </c>
      <c r="AA6161" s="609"/>
    </row>
    <row r="6162" spans="1:27" ht="18">
      <c r="A6162" s="2714"/>
      <c r="B6162" s="371"/>
      <c r="C6162" s="371" t="s">
        <v>2755</v>
      </c>
      <c r="D6162" s="371"/>
      <c r="F6162" s="294"/>
      <c r="G6162" s="301"/>
      <c r="H6162" s="315"/>
      <c r="I6162" s="315"/>
      <c r="J6162" s="315"/>
      <c r="K6162" s="393"/>
      <c r="L6162" s="291"/>
      <c r="M6162" s="291"/>
      <c r="N6162" s="291"/>
      <c r="O6162" s="291"/>
      <c r="S6162" s="364"/>
      <c r="Z6162" s="609" t="s">
        <v>2047</v>
      </c>
      <c r="AA6162" s="609"/>
    </row>
    <row r="6163" spans="1:27" ht="18">
      <c r="A6163" s="2714">
        <v>7516</v>
      </c>
      <c r="B6163" s="371">
        <v>79.11</v>
      </c>
      <c r="C6163" s="2716" t="str">
        <f>VLOOKUP($A6163,Sheet_Items,2,0)</f>
        <v>递延所得税负债增加</v>
      </c>
      <c r="D6163" s="371"/>
      <c r="E6163" s="2716" t="s">
        <v>2739</v>
      </c>
      <c r="F6163" s="294"/>
      <c r="G6163" s="536" t="str">
        <f>B6163&amp;" "&amp;C6163</f>
        <v>79.11 递延所得税负债增加</v>
      </c>
      <c r="H6163" s="322"/>
      <c r="I6163" s="322"/>
      <c r="J6163" s="306" t="s">
        <v>4206</v>
      </c>
      <c r="K6163" s="341">
        <f>VLOOKUP($A6163,Sheet_Trialbal,6,0)</f>
        <v>0</v>
      </c>
      <c r="L6163" s="342"/>
      <c r="M6163" s="306"/>
      <c r="N6163" s="341"/>
      <c r="O6163" s="306"/>
      <c r="P6163" s="301"/>
      <c r="S6163" s="364"/>
      <c r="Z6163" s="609" t="s">
        <v>2050</v>
      </c>
      <c r="AA6163" s="609"/>
    </row>
    <row r="6164" spans="1:27" ht="36">
      <c r="A6164" s="2714" t="s">
        <v>2048</v>
      </c>
      <c r="B6164" s="371">
        <v>1</v>
      </c>
      <c r="C6164" s="371"/>
      <c r="D6164" s="2716" t="str">
        <f>VLOOKUP($A6164,Sheet_NoteList,2,0)</f>
        <v>将净利润调节为经营活动现金流量：递延所得税负债增加</v>
      </c>
      <c r="E6164" s="2716" t="s">
        <v>2742</v>
      </c>
      <c r="F6164" s="294"/>
      <c r="G6164" s="372" t="str">
        <f>"("&amp;B6164&amp;")"&amp;D6164</f>
        <v>(1)将净利润调节为经营活动现金流量：递延所得税负债增加</v>
      </c>
      <c r="H6164" s="1517" t="str">
        <f>$A6164</f>
        <v>7516a</v>
      </c>
      <c r="I6164" s="343" t="s">
        <v>2743</v>
      </c>
      <c r="J6164" s="301" t="s">
        <v>4712</v>
      </c>
      <c r="K6164" s="2210">
        <f>J6170</f>
        <v>0</v>
      </c>
      <c r="L6164" s="345" t="str">
        <f>IF(ROUND(K6163-K6164,2)=0,"F/S",ROUND(K6163-K6164,2))</f>
        <v>F/S</v>
      </c>
      <c r="M6164" s="532" t="s">
        <v>4713</v>
      </c>
      <c r="N6164" s="3083"/>
      <c r="O6164" s="315"/>
      <c r="P6164" s="301"/>
      <c r="S6164" s="364"/>
      <c r="Z6164" s="609" t="s">
        <v>2050</v>
      </c>
      <c r="AA6164" s="609"/>
    </row>
    <row r="6165" spans="1:27" ht="0.75" customHeight="1" thickBot="1">
      <c r="A6165" s="2714"/>
      <c r="B6165" s="371"/>
      <c r="C6165" s="371"/>
      <c r="D6165" s="371"/>
      <c r="F6165" s="294"/>
      <c r="G6165" s="294" t="s">
        <v>4817</v>
      </c>
      <c r="H6165" s="294" t="s">
        <v>2747</v>
      </c>
      <c r="I6165" s="294" t="s">
        <v>2748</v>
      </c>
      <c r="J6165" s="294" t="s">
        <v>3250</v>
      </c>
      <c r="K6165" s="294" t="s">
        <v>2898</v>
      </c>
      <c r="L6165" s="291"/>
      <c r="M6165" s="291"/>
      <c r="N6165" s="291"/>
      <c r="O6165" s="291"/>
      <c r="S6165" s="364"/>
      <c r="Z6165" s="609" t="s">
        <v>2050</v>
      </c>
      <c r="AA6165" s="609"/>
    </row>
    <row r="6166" spans="1:27" ht="18">
      <c r="A6166" s="2714"/>
      <c r="B6166" s="371"/>
      <c r="C6166" s="371"/>
      <c r="D6166" s="371"/>
      <c r="E6166" s="2716" t="s">
        <v>2749</v>
      </c>
      <c r="F6166" s="294"/>
      <c r="G6166" s="1564" t="s">
        <v>47</v>
      </c>
      <c r="H6166" s="1565" t="s">
        <v>3276</v>
      </c>
      <c r="I6166" s="1565" t="s">
        <v>3273</v>
      </c>
      <c r="J6166" s="1565" t="s">
        <v>3274</v>
      </c>
      <c r="K6166" s="1566" t="s">
        <v>2508</v>
      </c>
      <c r="L6166" s="291"/>
      <c r="M6166" s="291"/>
      <c r="N6166" s="291"/>
      <c r="O6166" s="291"/>
      <c r="S6166" s="364"/>
      <c r="Z6166" s="609" t="s">
        <v>2050</v>
      </c>
      <c r="AA6166" s="609"/>
    </row>
    <row r="6167" spans="1:27" ht="18">
      <c r="A6167" s="2714"/>
      <c r="B6167" s="371">
        <v>101</v>
      </c>
      <c r="C6167" s="371"/>
      <c r="D6167" s="2716">
        <f>IF(OR(G6167="*",G6167="",G6167=0),0,COUNTIF($G$6167:$G$6170,G6167))</f>
        <v>1</v>
      </c>
      <c r="E6167" s="2721">
        <v>1</v>
      </c>
      <c r="F6167" s="294"/>
      <c r="G6167" s="308" t="s">
        <v>576</v>
      </c>
      <c r="H6167" s="309"/>
      <c r="I6167" s="309"/>
      <c r="J6167" s="1476">
        <f>H6167-I6167</f>
        <v>0</v>
      </c>
      <c r="K6167" s="388"/>
      <c r="L6167" s="291"/>
      <c r="M6167" s="291"/>
      <c r="N6167" s="291"/>
      <c r="O6167" s="291"/>
      <c r="S6167" s="364"/>
      <c r="Z6167" s="609" t="s">
        <v>2050</v>
      </c>
      <c r="AA6167" s="609"/>
    </row>
    <row r="6168" spans="1:27" ht="18">
      <c r="A6168" s="2714"/>
      <c r="B6168" s="371">
        <v>102</v>
      </c>
      <c r="C6168" s="371" t="s">
        <v>2791</v>
      </c>
      <c r="D6168" s="2716">
        <f>IF(OR(G6168="*",G6168="",G6168=0),0,COUNTIF($G$6167:$G$6170,G6168))</f>
        <v>0</v>
      </c>
      <c r="E6168" s="2721">
        <v>1</v>
      </c>
      <c r="F6168" s="294"/>
      <c r="G6168" s="1563" t="s">
        <v>2792</v>
      </c>
      <c r="H6168" s="309"/>
      <c r="I6168" s="309"/>
      <c r="J6168" s="309"/>
      <c r="K6168" s="388"/>
      <c r="L6168" s="291"/>
      <c r="M6168" s="291"/>
      <c r="N6168" s="291"/>
      <c r="O6168" s="291"/>
      <c r="S6168" s="364"/>
      <c r="Z6168" s="609" t="s">
        <v>2050</v>
      </c>
      <c r="AA6168" s="609"/>
    </row>
    <row r="6169" spans="1:27" ht="18">
      <c r="A6169" s="2714"/>
      <c r="B6169" s="371">
        <v>103</v>
      </c>
      <c r="C6169" s="371" t="s">
        <v>2791</v>
      </c>
      <c r="D6169" s="2716">
        <f>IF(OR(G6169="*",G6169="",G6169=0),0,COUNTIF($G$6167:$G$6170,G6169))</f>
        <v>0</v>
      </c>
      <c r="E6169" s="2721">
        <v>1</v>
      </c>
      <c r="F6169" s="294"/>
      <c r="G6169" s="1563" t="s">
        <v>2792</v>
      </c>
      <c r="H6169" s="309"/>
      <c r="I6169" s="309"/>
      <c r="J6169" s="309"/>
      <c r="K6169" s="388"/>
      <c r="L6169" s="291"/>
      <c r="M6169" s="291"/>
      <c r="N6169" s="291"/>
      <c r="O6169" s="291"/>
      <c r="S6169" s="364"/>
      <c r="Z6169" s="609" t="s">
        <v>2050</v>
      </c>
      <c r="AA6169" s="609"/>
    </row>
    <row r="6170" spans="1:27" ht="18.75" thickBot="1">
      <c r="A6170" s="2714"/>
      <c r="B6170" s="371"/>
      <c r="C6170" s="371"/>
      <c r="D6170" s="2716">
        <f>IF(OR(G6170="*",G6170="",G6170=0),0,COUNTIF($G$6167:$G$6170,G6170))</f>
        <v>1</v>
      </c>
      <c r="E6170" s="2721" t="s">
        <v>2751</v>
      </c>
      <c r="F6170" s="294"/>
      <c r="G6170" s="1529" t="s">
        <v>2752</v>
      </c>
      <c r="H6170" s="1527">
        <f>SUMPRODUCT($E6166:$E6169,H6166:H6169)</f>
        <v>0</v>
      </c>
      <c r="I6170" s="1527">
        <f>SUMPRODUCT($E6166:$E6169,I6166:I6169)</f>
        <v>0</v>
      </c>
      <c r="J6170" s="1527">
        <f>SUMPRODUCT($E6166:$E6169,J6166:J6169)</f>
        <v>0</v>
      </c>
      <c r="K6170" s="1571"/>
      <c r="L6170" s="291"/>
      <c r="M6170" s="291"/>
      <c r="N6170" s="291"/>
      <c r="O6170" s="291"/>
      <c r="S6170" s="364"/>
      <c r="Z6170" s="609" t="s">
        <v>2050</v>
      </c>
      <c r="AA6170" s="609"/>
    </row>
    <row r="6171" spans="1:27" ht="18">
      <c r="A6171" s="2714"/>
      <c r="B6171" s="371"/>
      <c r="C6171" s="371" t="s">
        <v>2755</v>
      </c>
      <c r="D6171" s="371"/>
      <c r="F6171" s="294"/>
      <c r="G6171" s="301"/>
      <c r="H6171" s="315"/>
      <c r="I6171" s="315"/>
      <c r="J6171" s="315"/>
      <c r="K6171" s="393"/>
      <c r="L6171" s="291"/>
      <c r="M6171" s="291"/>
      <c r="N6171" s="291"/>
      <c r="O6171" s="291"/>
      <c r="S6171" s="364"/>
      <c r="Z6171" s="609" t="s">
        <v>2050</v>
      </c>
      <c r="AA6171" s="609"/>
    </row>
    <row r="6172" spans="1:27" ht="18">
      <c r="A6172" s="2714">
        <v>7517</v>
      </c>
      <c r="B6172" s="371">
        <v>79.12</v>
      </c>
      <c r="C6172" s="2716" t="str">
        <f>VLOOKUP($A6172,Sheet_Items,2,0)</f>
        <v>存货的减少</v>
      </c>
      <c r="D6172" s="371"/>
      <c r="E6172" s="2716" t="s">
        <v>2739</v>
      </c>
      <c r="F6172" s="294"/>
      <c r="G6172" s="536" t="str">
        <f>B6172&amp;" "&amp;C6172</f>
        <v>79.12 存货的减少</v>
      </c>
      <c r="H6172" s="322"/>
      <c r="I6172" s="322"/>
      <c r="J6172" s="306" t="s">
        <v>4206</v>
      </c>
      <c r="K6172" s="341">
        <f>VLOOKUP($A6172,Sheet_Trialbal,6,0)</f>
        <v>-1471252.95</v>
      </c>
      <c r="L6172" s="342"/>
      <c r="M6172" s="306"/>
      <c r="N6172" s="341"/>
      <c r="O6172" s="306"/>
      <c r="P6172" s="301"/>
      <c r="S6172" s="364"/>
      <c r="Z6172" s="609" t="s">
        <v>2053</v>
      </c>
      <c r="AA6172" s="609"/>
    </row>
    <row r="6173" spans="1:27" ht="24">
      <c r="A6173" s="2714" t="s">
        <v>2051</v>
      </c>
      <c r="B6173" s="371">
        <v>1</v>
      </c>
      <c r="C6173" s="371"/>
      <c r="D6173" s="2716" t="str">
        <f>VLOOKUP($A6173,Sheet_NoteList,2,0)</f>
        <v>将净利润调节为经营活动现金流量：存货的减少</v>
      </c>
      <c r="E6173" s="2716" t="s">
        <v>2742</v>
      </c>
      <c r="F6173" s="294"/>
      <c r="G6173" s="372" t="str">
        <f>"("&amp;B6173&amp;")"&amp;D6173</f>
        <v>(1)将净利润调节为经营活动现金流量：存货的减少</v>
      </c>
      <c r="H6173" s="1517" t="str">
        <f>$A6173</f>
        <v>7517a</v>
      </c>
      <c r="I6173" s="343" t="s">
        <v>2743</v>
      </c>
      <c r="J6173" s="301" t="s">
        <v>4712</v>
      </c>
      <c r="K6173" s="2210">
        <f>H6192</f>
        <v>0</v>
      </c>
      <c r="L6173" s="345">
        <f>IF(ROUND(K6172-K6173,2)=0,"F/S",ROUND(K6172-K6173,2))</f>
        <v>-1471252.95</v>
      </c>
      <c r="M6173" s="532" t="s">
        <v>4713</v>
      </c>
      <c r="N6173" s="3083"/>
      <c r="O6173" s="315"/>
      <c r="P6173" s="301"/>
      <c r="S6173" s="364"/>
      <c r="Z6173" s="609" t="s">
        <v>2053</v>
      </c>
      <c r="AA6173" s="609"/>
    </row>
    <row r="6174" spans="1:27" ht="0.75" customHeight="1" thickBot="1">
      <c r="A6174" s="2714"/>
      <c r="B6174" s="371"/>
      <c r="C6174" s="371"/>
      <c r="D6174" s="371"/>
      <c r="E6174" s="586"/>
      <c r="F6174" s="586"/>
      <c r="G6174" s="586" t="s">
        <v>4818</v>
      </c>
      <c r="H6174" s="371" t="s">
        <v>6314</v>
      </c>
      <c r="I6174" s="371" t="s">
        <v>6315</v>
      </c>
      <c r="J6174" s="371" t="s">
        <v>6316</v>
      </c>
      <c r="K6174" s="371" t="s">
        <v>6317</v>
      </c>
      <c r="L6174" s="291"/>
      <c r="M6174" s="291"/>
      <c r="N6174" s="291"/>
      <c r="O6174" s="291"/>
      <c r="S6174" s="364"/>
      <c r="Z6174" s="609" t="s">
        <v>2053</v>
      </c>
      <c r="AA6174" s="609"/>
    </row>
    <row r="6175" spans="1:27" ht="18">
      <c r="A6175" s="2714"/>
      <c r="B6175" s="371"/>
      <c r="C6175" s="371"/>
      <c r="D6175" s="371"/>
      <c r="E6175" s="586" t="s">
        <v>2749</v>
      </c>
      <c r="F6175" s="363"/>
      <c r="G6175" s="2531" t="s">
        <v>47</v>
      </c>
      <c r="H6175" s="2528" t="s">
        <v>3275</v>
      </c>
      <c r="I6175" s="2528" t="s">
        <v>6113</v>
      </c>
      <c r="J6175" s="2528" t="s">
        <v>6042</v>
      </c>
      <c r="K6175" s="2527" t="s">
        <v>6114</v>
      </c>
      <c r="L6175" s="291"/>
      <c r="M6175" s="291"/>
      <c r="N6175" s="291"/>
      <c r="O6175" s="291"/>
      <c r="S6175" s="364"/>
      <c r="Z6175" s="609" t="s">
        <v>2053</v>
      </c>
      <c r="AA6175" s="609"/>
    </row>
    <row r="6176" spans="1:27" ht="18">
      <c r="A6176" s="2714"/>
      <c r="B6176" s="371">
        <v>101</v>
      </c>
      <c r="C6176" s="371"/>
      <c r="D6176" s="2716">
        <f t="shared" ref="D6176:D6192" si="650">IF(OR(G6176="*",G6176="",G6176=0),0,COUNTIF($G$6176:$G$6192,G6176))</f>
        <v>1</v>
      </c>
      <c r="E6176" s="2721">
        <v>0</v>
      </c>
      <c r="F6176" s="294"/>
      <c r="G6176" s="1474" t="s">
        <v>4819</v>
      </c>
      <c r="H6176" s="2275"/>
      <c r="I6176" s="2298"/>
      <c r="J6176" s="2298"/>
      <c r="K6176" s="2276"/>
      <c r="L6176" s="291"/>
      <c r="M6176" s="291"/>
      <c r="N6176" s="291"/>
      <c r="O6176" s="291"/>
      <c r="S6176" s="364"/>
      <c r="Z6176" s="609" t="s">
        <v>2053</v>
      </c>
      <c r="AA6176" s="609"/>
    </row>
    <row r="6177" spans="1:27" ht="18">
      <c r="A6177" s="2714"/>
      <c r="B6177" s="371">
        <v>102</v>
      </c>
      <c r="C6177" s="371"/>
      <c r="D6177" s="2716">
        <f t="shared" si="650"/>
        <v>1</v>
      </c>
      <c r="E6177" s="2721">
        <v>0</v>
      </c>
      <c r="F6177" s="294"/>
      <c r="G6177" s="1474" t="s">
        <v>4820</v>
      </c>
      <c r="H6177" s="2275"/>
      <c r="I6177" s="2298"/>
      <c r="J6177" s="2298"/>
      <c r="K6177" s="2276"/>
      <c r="L6177" s="291"/>
      <c r="M6177" s="291"/>
      <c r="N6177" s="291"/>
      <c r="O6177" s="291"/>
      <c r="S6177" s="364"/>
      <c r="Z6177" s="609" t="s">
        <v>2053</v>
      </c>
      <c r="AA6177" s="609"/>
    </row>
    <row r="6178" spans="1:27" ht="18">
      <c r="A6178" s="2714"/>
      <c r="B6178" s="371">
        <v>103</v>
      </c>
      <c r="C6178" s="371"/>
      <c r="D6178" s="2716">
        <f t="shared" si="650"/>
        <v>1</v>
      </c>
      <c r="E6178" s="2721">
        <v>1</v>
      </c>
      <c r="F6178" s="294"/>
      <c r="G6178" s="1474" t="s">
        <v>4821</v>
      </c>
      <c r="H6178" s="1476">
        <f>H6176-H6177</f>
        <v>0</v>
      </c>
      <c r="I6178" s="2298"/>
      <c r="J6178" s="2298"/>
      <c r="K6178" s="2276"/>
      <c r="L6178" s="291"/>
      <c r="M6178" s="291"/>
      <c r="N6178" s="291"/>
      <c r="O6178" s="291"/>
      <c r="S6178" s="364"/>
      <c r="Z6178" s="609" t="s">
        <v>2053</v>
      </c>
      <c r="AA6178" s="609"/>
    </row>
    <row r="6179" spans="1:27" ht="18">
      <c r="A6179" s="2714"/>
      <c r="B6179" s="371">
        <v>104</v>
      </c>
      <c r="C6179" s="371" t="s">
        <v>2791</v>
      </c>
      <c r="D6179" s="2716">
        <f t="shared" si="650"/>
        <v>0</v>
      </c>
      <c r="E6179" s="2721">
        <v>1</v>
      </c>
      <c r="F6179" s="294"/>
      <c r="G6179" s="2530" t="s">
        <v>2792</v>
      </c>
      <c r="H6179" s="2275"/>
      <c r="I6179" s="2298"/>
      <c r="J6179" s="2298"/>
      <c r="K6179" s="2276"/>
      <c r="L6179" s="291"/>
      <c r="M6179" s="291"/>
      <c r="N6179" s="291"/>
      <c r="O6179" s="291"/>
      <c r="S6179" s="364"/>
      <c r="Z6179" s="609" t="s">
        <v>2053</v>
      </c>
      <c r="AA6179" s="609"/>
    </row>
    <row r="6180" spans="1:27" ht="18">
      <c r="A6180" s="2714"/>
      <c r="B6180" s="371">
        <v>105</v>
      </c>
      <c r="C6180" s="371"/>
      <c r="D6180" s="2716">
        <f t="shared" si="650"/>
        <v>1</v>
      </c>
      <c r="E6180" s="2721" t="s">
        <v>41</v>
      </c>
      <c r="F6180" s="294"/>
      <c r="G6180" s="1474" t="s">
        <v>4822</v>
      </c>
      <c r="H6180" s="2275"/>
      <c r="I6180" s="2298"/>
      <c r="J6180" s="2298"/>
      <c r="K6180" s="2276"/>
      <c r="L6180" s="532"/>
      <c r="M6180" s="291"/>
      <c r="N6180" s="291"/>
      <c r="O6180" s="291"/>
      <c r="S6180" s="364"/>
      <c r="Z6180" s="609" t="s">
        <v>2053</v>
      </c>
      <c r="AA6180" s="609"/>
    </row>
    <row r="6181" spans="1:27" ht="18">
      <c r="A6181" s="2714"/>
      <c r="B6181" s="371">
        <v>105.001</v>
      </c>
      <c r="C6181" s="371"/>
      <c r="D6181" s="2716">
        <f t="shared" si="650"/>
        <v>1</v>
      </c>
      <c r="E6181" s="2721" t="s">
        <v>4823</v>
      </c>
      <c r="F6181" s="294"/>
      <c r="G6181" s="1474" t="s">
        <v>4824</v>
      </c>
      <c r="H6181" s="2275"/>
      <c r="I6181" s="2298"/>
      <c r="J6181" s="2298"/>
      <c r="K6181" s="2276"/>
      <c r="L6181" s="291"/>
      <c r="M6181" s="291"/>
      <c r="N6181" s="291"/>
      <c r="O6181" s="291"/>
      <c r="S6181" s="364"/>
      <c r="Z6181" s="609" t="s">
        <v>2053</v>
      </c>
      <c r="AA6181" s="609"/>
    </row>
    <row r="6182" spans="1:27" ht="18">
      <c r="A6182" s="2714"/>
      <c r="B6182" s="371">
        <v>105.002</v>
      </c>
      <c r="C6182" s="371"/>
      <c r="D6182" s="2716">
        <f t="shared" si="650"/>
        <v>1</v>
      </c>
      <c r="E6182" s="2721" t="s">
        <v>4825</v>
      </c>
      <c r="F6182" s="294"/>
      <c r="G6182" s="1474" t="s">
        <v>4826</v>
      </c>
      <c r="H6182" s="2275"/>
      <c r="I6182" s="2298"/>
      <c r="J6182" s="2298"/>
      <c r="K6182" s="2276"/>
      <c r="L6182" s="291"/>
      <c r="M6182" s="291"/>
      <c r="N6182" s="291"/>
      <c r="O6182" s="291"/>
      <c r="S6182" s="364"/>
      <c r="Z6182" s="609" t="s">
        <v>2053</v>
      </c>
      <c r="AA6182" s="609"/>
    </row>
    <row r="6183" spans="1:27" ht="18">
      <c r="A6183" s="2714"/>
      <c r="B6183" s="371">
        <v>105.003</v>
      </c>
      <c r="C6183" s="371"/>
      <c r="D6183" s="2716">
        <f t="shared" si="650"/>
        <v>1</v>
      </c>
      <c r="E6183" s="2721" t="s">
        <v>4825</v>
      </c>
      <c r="F6183" s="294"/>
      <c r="G6183" s="1474" t="s">
        <v>4827</v>
      </c>
      <c r="H6183" s="2275"/>
      <c r="I6183" s="2298"/>
      <c r="J6183" s="2298"/>
      <c r="K6183" s="2276"/>
      <c r="L6183" s="291"/>
      <c r="M6183" s="291"/>
      <c r="N6183" s="291"/>
      <c r="O6183" s="291"/>
      <c r="S6183" s="364"/>
      <c r="Z6183" s="609" t="s">
        <v>2053</v>
      </c>
      <c r="AA6183" s="609"/>
    </row>
    <row r="6184" spans="1:27" ht="18">
      <c r="A6184" s="2714"/>
      <c r="B6184" s="371">
        <v>105.004</v>
      </c>
      <c r="C6184" s="371"/>
      <c r="D6184" s="2716">
        <f t="shared" si="650"/>
        <v>1</v>
      </c>
      <c r="E6184" s="2721" t="s">
        <v>4825</v>
      </c>
      <c r="F6184" s="294"/>
      <c r="G6184" s="1474" t="s">
        <v>4828</v>
      </c>
      <c r="H6184" s="2275"/>
      <c r="I6184" s="2298"/>
      <c r="J6184" s="2298"/>
      <c r="K6184" s="2276"/>
      <c r="L6184" s="291"/>
      <c r="M6184" s="291"/>
      <c r="N6184" s="291"/>
      <c r="O6184" s="291"/>
      <c r="S6184" s="364"/>
      <c r="Z6184" s="609" t="s">
        <v>2053</v>
      </c>
      <c r="AA6184" s="609"/>
    </row>
    <row r="6185" spans="1:27" ht="18">
      <c r="A6185" s="2714"/>
      <c r="B6185" s="371">
        <v>105.005</v>
      </c>
      <c r="C6185" s="371" t="s">
        <v>2791</v>
      </c>
      <c r="D6185" s="2716">
        <f t="shared" si="650"/>
        <v>0</v>
      </c>
      <c r="E6185" s="2721" t="s">
        <v>4825</v>
      </c>
      <c r="F6185" s="294"/>
      <c r="G6185" s="2530" t="s">
        <v>2792</v>
      </c>
      <c r="H6185" s="2275"/>
      <c r="I6185" s="2298"/>
      <c r="J6185" s="2298"/>
      <c r="K6185" s="2276"/>
      <c r="L6185" s="291"/>
      <c r="M6185" s="291"/>
      <c r="N6185" s="291"/>
      <c r="O6185" s="291"/>
      <c r="S6185" s="364"/>
      <c r="Z6185" s="609" t="s">
        <v>2053</v>
      </c>
      <c r="AA6185" s="609"/>
    </row>
    <row r="6186" spans="1:27" ht="18">
      <c r="A6186" s="2714"/>
      <c r="B6186" s="371">
        <v>105.006</v>
      </c>
      <c r="C6186" s="371"/>
      <c r="D6186" s="2716">
        <f t="shared" si="650"/>
        <v>1</v>
      </c>
      <c r="E6186" s="2721" t="s">
        <v>4823</v>
      </c>
      <c r="F6186" s="294"/>
      <c r="G6186" s="1474" t="s">
        <v>4829</v>
      </c>
      <c r="H6186" s="2275"/>
      <c r="I6186" s="2298"/>
      <c r="J6186" s="2298"/>
      <c r="K6186" s="2276"/>
      <c r="L6186" s="291"/>
      <c r="M6186" s="291"/>
      <c r="N6186" s="291"/>
      <c r="O6186" s="291"/>
      <c r="S6186" s="364"/>
      <c r="Z6186" s="609" t="s">
        <v>2053</v>
      </c>
      <c r="AA6186" s="609"/>
    </row>
    <row r="6187" spans="1:27" ht="18">
      <c r="A6187" s="2714"/>
      <c r="B6187" s="371">
        <v>105.00700000000001</v>
      </c>
      <c r="C6187" s="371"/>
      <c r="D6187" s="2716">
        <f t="shared" si="650"/>
        <v>1</v>
      </c>
      <c r="E6187" s="2721" t="s">
        <v>4825</v>
      </c>
      <c r="F6187" s="294"/>
      <c r="G6187" s="1474" t="s">
        <v>4830</v>
      </c>
      <c r="H6187" s="2275"/>
      <c r="I6187" s="2298"/>
      <c r="J6187" s="2298" t="s">
        <v>4831</v>
      </c>
      <c r="K6187" s="2276"/>
      <c r="L6187" s="291"/>
      <c r="M6187" s="291"/>
      <c r="N6187" s="291"/>
      <c r="O6187" s="291"/>
      <c r="S6187" s="364"/>
      <c r="Z6187" s="609" t="s">
        <v>2053</v>
      </c>
      <c r="AA6187" s="609"/>
    </row>
    <row r="6188" spans="1:27" ht="18">
      <c r="A6188" s="2714"/>
      <c r="B6188" s="371">
        <v>105.008</v>
      </c>
      <c r="C6188" s="371"/>
      <c r="D6188" s="2716">
        <f t="shared" si="650"/>
        <v>1</v>
      </c>
      <c r="E6188" s="2721" t="s">
        <v>4825</v>
      </c>
      <c r="F6188" s="294"/>
      <c r="G6188" s="1474" t="s">
        <v>4832</v>
      </c>
      <c r="H6188" s="2275"/>
      <c r="I6188" s="2298"/>
      <c r="J6188" s="2298" t="s">
        <v>4831</v>
      </c>
      <c r="K6188" s="2276"/>
      <c r="L6188" s="291"/>
      <c r="M6188" s="291"/>
      <c r="N6188" s="291"/>
      <c r="O6188" s="291"/>
      <c r="S6188" s="364"/>
      <c r="Z6188" s="609" t="s">
        <v>2053</v>
      </c>
      <c r="AA6188" s="609"/>
    </row>
    <row r="6189" spans="1:27" ht="18">
      <c r="A6189" s="2714"/>
      <c r="B6189" s="371">
        <v>105.009</v>
      </c>
      <c r="C6189" s="371" t="s">
        <v>2791</v>
      </c>
      <c r="D6189" s="2716">
        <f t="shared" si="650"/>
        <v>0</v>
      </c>
      <c r="E6189" s="2721" t="s">
        <v>4825</v>
      </c>
      <c r="F6189" s="294"/>
      <c r="G6189" s="2530" t="s">
        <v>2792</v>
      </c>
      <c r="H6189" s="2275"/>
      <c r="I6189" s="2298"/>
      <c r="J6189" s="2298"/>
      <c r="K6189" s="2276"/>
      <c r="L6189" s="291"/>
      <c r="M6189" s="291"/>
      <c r="N6189" s="291"/>
      <c r="O6189" s="291"/>
      <c r="S6189" s="364"/>
      <c r="Z6189" s="609" t="s">
        <v>2053</v>
      </c>
      <c r="AA6189" s="609"/>
    </row>
    <row r="6190" spans="1:27" ht="18">
      <c r="A6190" s="2714"/>
      <c r="B6190" s="371">
        <v>105.999</v>
      </c>
      <c r="C6190" s="371"/>
      <c r="D6190" s="2716">
        <f t="shared" si="650"/>
        <v>1</v>
      </c>
      <c r="E6190" s="2721">
        <v>-1</v>
      </c>
      <c r="F6190" s="294"/>
      <c r="G6190" s="1474" t="s">
        <v>4825</v>
      </c>
      <c r="H6190" s="1476">
        <f>SUMIF($E$6175:$E$6191,$G6190,H$6175:H$6191)</f>
        <v>0</v>
      </c>
      <c r="I6190" s="2298"/>
      <c r="J6190" s="2298"/>
      <c r="K6190" s="2276"/>
      <c r="L6190" s="291"/>
      <c r="M6190" s="291"/>
      <c r="N6190" s="291"/>
      <c r="O6190" s="291"/>
      <c r="S6190" s="364"/>
      <c r="Z6190" s="609" t="s">
        <v>2053</v>
      </c>
      <c r="AA6190" s="609"/>
    </row>
    <row r="6191" spans="1:27" ht="18">
      <c r="A6191" s="2714"/>
      <c r="B6191" s="371">
        <v>106</v>
      </c>
      <c r="C6191" s="371" t="s">
        <v>2791</v>
      </c>
      <c r="D6191" s="2716">
        <f t="shared" si="650"/>
        <v>0</v>
      </c>
      <c r="E6191" s="2721">
        <v>-1</v>
      </c>
      <c r="F6191" s="294"/>
      <c r="G6191" s="2530" t="s">
        <v>2792</v>
      </c>
      <c r="H6191" s="2275"/>
      <c r="I6191" s="2298"/>
      <c r="J6191" s="2298"/>
      <c r="K6191" s="2276"/>
      <c r="L6191" s="291"/>
      <c r="M6191" s="291"/>
      <c r="N6191" s="291"/>
      <c r="O6191" s="291"/>
      <c r="S6191" s="364"/>
      <c r="Z6191" s="609" t="s">
        <v>2053</v>
      </c>
      <c r="AA6191" s="609"/>
    </row>
    <row r="6192" spans="1:27" ht="18.75" thickBot="1">
      <c r="A6192" s="2714"/>
      <c r="B6192" s="371"/>
      <c r="C6192" s="371"/>
      <c r="D6192" s="2716">
        <f t="shared" si="650"/>
        <v>1</v>
      </c>
      <c r="E6192" s="2721" t="s">
        <v>2751</v>
      </c>
      <c r="F6192" s="294"/>
      <c r="G6192" s="1529" t="s">
        <v>2752</v>
      </c>
      <c r="H6192" s="1527">
        <f>SUMPRODUCT($E6175:$E6191,H6175:H6191)</f>
        <v>0</v>
      </c>
      <c r="I6192" s="2316"/>
      <c r="J6192" s="2316"/>
      <c r="K6192" s="2266"/>
      <c r="L6192" s="291"/>
      <c r="M6192" s="291"/>
      <c r="N6192" s="291"/>
      <c r="O6192" s="291"/>
      <c r="S6192" s="364"/>
      <c r="Z6192" s="609" t="s">
        <v>2053</v>
      </c>
      <c r="AA6192" s="609"/>
    </row>
    <row r="6193" spans="1:27" ht="18">
      <c r="A6193" s="2714"/>
      <c r="B6193" s="371"/>
      <c r="C6193" s="371" t="s">
        <v>2755</v>
      </c>
      <c r="D6193" s="371"/>
      <c r="F6193" s="294"/>
      <c r="G6193" s="301"/>
      <c r="H6193" s="315"/>
      <c r="I6193" s="393"/>
      <c r="J6193" s="393"/>
      <c r="K6193" s="393"/>
      <c r="L6193" s="291"/>
      <c r="M6193" s="291"/>
      <c r="N6193" s="291"/>
      <c r="O6193" s="291"/>
      <c r="S6193" s="364"/>
      <c r="Z6193" s="609" t="s">
        <v>2053</v>
      </c>
      <c r="AA6193" s="609"/>
    </row>
    <row r="6194" spans="1:27" ht="18">
      <c r="A6194" s="2714">
        <v>7518</v>
      </c>
      <c r="B6194" s="371">
        <v>79.13</v>
      </c>
      <c r="C6194" s="2716" t="str">
        <f>VLOOKUP($A6194,Sheet_Items,2,0)</f>
        <v>经营性应收项目的减少</v>
      </c>
      <c r="D6194" s="371"/>
      <c r="E6194" s="2716" t="s">
        <v>2739</v>
      </c>
      <c r="F6194" s="294"/>
      <c r="G6194" s="536" t="str">
        <f>B6194&amp;" "&amp;C6194</f>
        <v>79.13 经营性应收项目的减少</v>
      </c>
      <c r="H6194" s="322"/>
      <c r="I6194" s="322"/>
      <c r="J6194" s="306" t="s">
        <v>4206</v>
      </c>
      <c r="K6194" s="341">
        <f>VLOOKUP($A6194,Sheet_Trialbal,6,0)</f>
        <v>-2701456.75</v>
      </c>
      <c r="L6194" s="342"/>
      <c r="M6194" s="306"/>
      <c r="N6194" s="341"/>
      <c r="O6194" s="306"/>
      <c r="P6194" s="301"/>
      <c r="S6194" s="364"/>
      <c r="Z6194" s="609" t="s">
        <v>2057</v>
      </c>
      <c r="AA6194" s="609"/>
    </row>
    <row r="6195" spans="1:27" ht="36">
      <c r="A6195" s="2714" t="s">
        <v>2055</v>
      </c>
      <c r="B6195" s="371">
        <v>1</v>
      </c>
      <c r="C6195" s="371"/>
      <c r="D6195" s="2716" t="str">
        <f>VLOOKUP($A6195,Sheet_NoteList,2,0)</f>
        <v>将净利润调节为经营活动现金流量：经营性应收项目的减少</v>
      </c>
      <c r="E6195" s="2716" t="s">
        <v>2742</v>
      </c>
      <c r="F6195" s="294"/>
      <c r="G6195" s="372" t="str">
        <f>"("&amp;B6195&amp;")"&amp;D6195</f>
        <v>(1)将净利润调节为经营活动现金流量：经营性应收项目的减少</v>
      </c>
      <c r="H6195" s="1517" t="str">
        <f>$A6195</f>
        <v>7518a</v>
      </c>
      <c r="I6195" s="343" t="s">
        <v>2743</v>
      </c>
      <c r="J6195" s="301" t="s">
        <v>4712</v>
      </c>
      <c r="K6195" s="2210">
        <f>J6219</f>
        <v>-2701456.75</v>
      </c>
      <c r="L6195" s="345" t="str">
        <f>IF(ROUND(K6194-K6195,2)=0,"F/S",ROUND(K6194-K6195,2))</f>
        <v>F/S</v>
      </c>
      <c r="M6195" s="532" t="s">
        <v>4713</v>
      </c>
      <c r="N6195" s="3083"/>
      <c r="O6195" s="315"/>
      <c r="P6195" s="301"/>
      <c r="S6195" s="364"/>
      <c r="Z6195" s="609" t="s">
        <v>2057</v>
      </c>
      <c r="AA6195" s="609"/>
    </row>
    <row r="6196" spans="1:27" ht="0.75" customHeight="1" thickBot="1">
      <c r="A6196" s="2714"/>
      <c r="B6196" s="371"/>
      <c r="C6196" s="371"/>
      <c r="D6196" s="371"/>
      <c r="F6196" s="294"/>
      <c r="G6196" s="294" t="s">
        <v>4833</v>
      </c>
      <c r="H6196" s="294" t="s">
        <v>2747</v>
      </c>
      <c r="I6196" s="294" t="s">
        <v>2748</v>
      </c>
      <c r="J6196" s="294" t="s">
        <v>3256</v>
      </c>
      <c r="K6196" s="294" t="s">
        <v>2898</v>
      </c>
      <c r="L6196" s="291"/>
      <c r="M6196" s="291"/>
      <c r="N6196" s="291"/>
      <c r="O6196" s="291"/>
      <c r="S6196" s="364"/>
      <c r="Z6196" s="609" t="s">
        <v>2057</v>
      </c>
      <c r="AA6196" s="609"/>
    </row>
    <row r="6197" spans="1:27" ht="18">
      <c r="A6197" s="2714"/>
      <c r="B6197" s="371"/>
      <c r="C6197" s="371"/>
      <c r="D6197" s="371"/>
      <c r="E6197" s="2716" t="s">
        <v>2749</v>
      </c>
      <c r="F6197" s="294"/>
      <c r="G6197" s="1564" t="s">
        <v>47</v>
      </c>
      <c r="H6197" s="1565" t="s">
        <v>3276</v>
      </c>
      <c r="I6197" s="1565" t="s">
        <v>3273</v>
      </c>
      <c r="J6197" s="1565" t="s">
        <v>3275</v>
      </c>
      <c r="K6197" s="1566" t="s">
        <v>2508</v>
      </c>
      <c r="L6197" s="291"/>
      <c r="M6197" s="291"/>
      <c r="N6197" s="291"/>
      <c r="O6197" s="291"/>
      <c r="S6197" s="364"/>
      <c r="Z6197" s="609" t="s">
        <v>2057</v>
      </c>
      <c r="AA6197" s="609"/>
    </row>
    <row r="6198" spans="1:27" ht="18">
      <c r="A6198" s="2714"/>
      <c r="B6198" s="371">
        <v>101</v>
      </c>
      <c r="C6198" s="371"/>
      <c r="D6198" s="2716">
        <f t="shared" ref="D6198:D6219" si="651">IF(OR(G6198="*",G6198="",G6198=0),0,COUNTIF($G$6198:$G$6219,G6198))</f>
        <v>1</v>
      </c>
      <c r="E6198" s="2721" t="s">
        <v>41</v>
      </c>
      <c r="F6198" s="294"/>
      <c r="G6198" s="308" t="s">
        <v>4834</v>
      </c>
      <c r="H6198" s="309"/>
      <c r="I6198" s="309"/>
      <c r="J6198" s="309"/>
      <c r="K6198" s="388"/>
      <c r="L6198" s="291"/>
      <c r="M6198" s="291"/>
      <c r="N6198" s="291"/>
      <c r="O6198" s="291"/>
      <c r="S6198" s="364"/>
      <c r="Z6198" s="609" t="s">
        <v>2057</v>
      </c>
      <c r="AA6198" s="609"/>
    </row>
    <row r="6199" spans="1:27" ht="18">
      <c r="A6199" s="2714"/>
      <c r="B6199" s="371">
        <v>101.001</v>
      </c>
      <c r="C6199" s="371"/>
      <c r="D6199" s="2716">
        <f t="shared" si="651"/>
        <v>1</v>
      </c>
      <c r="E6199" s="2721" t="s">
        <v>4835</v>
      </c>
      <c r="F6199" s="294"/>
      <c r="G6199" s="308" t="s">
        <v>109</v>
      </c>
      <c r="H6199" s="309">
        <f>BS!G14</f>
        <v>279569.36</v>
      </c>
      <c r="I6199" s="309"/>
      <c r="J6199" s="1476">
        <f t="shared" ref="J6199:J6204" si="652">I6199-H6199</f>
        <v>-279569.36</v>
      </c>
      <c r="K6199" s="388"/>
      <c r="L6199" s="291"/>
      <c r="M6199" s="291"/>
      <c r="N6199" s="291"/>
      <c r="O6199" s="291"/>
      <c r="S6199" s="364"/>
      <c r="Z6199" s="609" t="s">
        <v>2057</v>
      </c>
      <c r="AA6199" s="609"/>
    </row>
    <row r="6200" spans="1:27" ht="18">
      <c r="A6200" s="2714"/>
      <c r="B6200" s="371">
        <v>101.002</v>
      </c>
      <c r="C6200" s="371"/>
      <c r="D6200" s="2716">
        <f t="shared" si="651"/>
        <v>1</v>
      </c>
      <c r="E6200" s="2721" t="s">
        <v>4835</v>
      </c>
      <c r="F6200" s="294"/>
      <c r="G6200" s="308" t="s">
        <v>124</v>
      </c>
      <c r="H6200" s="309">
        <f>坏账及减值表!E6</f>
        <v>20279942.379999999</v>
      </c>
      <c r="I6200" s="309">
        <f>坏账及减值表!D6</f>
        <v>18436472.039999999</v>
      </c>
      <c r="J6200" s="1476">
        <f t="shared" si="652"/>
        <v>-1843470.34</v>
      </c>
      <c r="K6200" s="388"/>
      <c r="L6200" s="291"/>
      <c r="M6200" s="291"/>
      <c r="N6200" s="291"/>
      <c r="O6200" s="291"/>
      <c r="S6200" s="364"/>
      <c r="Z6200" s="609" t="s">
        <v>2057</v>
      </c>
      <c r="AA6200" s="609"/>
    </row>
    <row r="6201" spans="1:27" ht="18">
      <c r="A6201" s="2714"/>
      <c r="B6201" s="371">
        <v>101.003</v>
      </c>
      <c r="C6201" s="371"/>
      <c r="D6201" s="2716">
        <f t="shared" si="651"/>
        <v>1</v>
      </c>
      <c r="E6201" s="2721" t="s">
        <v>4835</v>
      </c>
      <c r="F6201" s="294"/>
      <c r="G6201" s="308" t="s">
        <v>162</v>
      </c>
      <c r="H6201" s="309">
        <f>BS!G15</f>
        <v>815153.11</v>
      </c>
      <c r="I6201" s="309">
        <f>BS!H15</f>
        <v>916036.19</v>
      </c>
      <c r="J6201" s="1476">
        <f t="shared" si="652"/>
        <v>100883.08</v>
      </c>
      <c r="K6201" s="388"/>
      <c r="L6201" s="291"/>
      <c r="M6201" s="291"/>
      <c r="N6201" s="291"/>
      <c r="O6201" s="291"/>
      <c r="S6201" s="364"/>
      <c r="Z6201" s="609" t="s">
        <v>2057</v>
      </c>
      <c r="AA6201" s="609"/>
    </row>
    <row r="6202" spans="1:27" ht="18">
      <c r="A6202" s="2714"/>
      <c r="B6202" s="371">
        <v>101.004</v>
      </c>
      <c r="C6202" s="371"/>
      <c r="D6202" s="2716">
        <f t="shared" si="651"/>
        <v>1</v>
      </c>
      <c r="E6202" s="2721" t="s">
        <v>4835</v>
      </c>
      <c r="F6202" s="294"/>
      <c r="G6202" s="308" t="s">
        <v>201</v>
      </c>
      <c r="H6202" s="309">
        <f>坏账及减值表!E9</f>
        <v>2219135.13</v>
      </c>
      <c r="I6202" s="309">
        <f>坏账及减值表!D9</f>
        <v>347257.59</v>
      </c>
      <c r="J6202" s="1476">
        <f t="shared" si="652"/>
        <v>-1871877.54</v>
      </c>
      <c r="K6202" s="388"/>
      <c r="L6202" s="291"/>
      <c r="M6202" s="291"/>
      <c r="N6202" s="291"/>
      <c r="O6202" s="291"/>
      <c r="S6202" s="364"/>
      <c r="Z6202" s="609" t="s">
        <v>2057</v>
      </c>
      <c r="AA6202" s="609"/>
    </row>
    <row r="6203" spans="1:27" ht="18">
      <c r="A6203" s="2714"/>
      <c r="B6203" s="371">
        <v>101.005</v>
      </c>
      <c r="C6203" s="371"/>
      <c r="D6203" s="2716">
        <f t="shared" si="651"/>
        <v>1</v>
      </c>
      <c r="E6203" s="2721" t="s">
        <v>4835</v>
      </c>
      <c r="F6203" s="294"/>
      <c r="G6203" s="308" t="s">
        <v>247</v>
      </c>
      <c r="H6203" s="309">
        <f>BS!G22</f>
        <v>1690423.37</v>
      </c>
      <c r="I6203" s="309">
        <f>BS!H22</f>
        <v>2233000.7799999998</v>
      </c>
      <c r="J6203" s="1476">
        <f t="shared" si="652"/>
        <v>542577.41</v>
      </c>
      <c r="K6203" s="388"/>
      <c r="L6203" s="291"/>
      <c r="M6203" s="291"/>
      <c r="N6203" s="291"/>
      <c r="O6203" s="291"/>
      <c r="S6203" s="364"/>
      <c r="Z6203" s="609" t="s">
        <v>2057</v>
      </c>
      <c r="AA6203" s="609"/>
    </row>
    <row r="6204" spans="1:27" ht="18">
      <c r="A6204" s="2714"/>
      <c r="B6204" s="371">
        <v>101.006</v>
      </c>
      <c r="C6204" s="371" t="s">
        <v>2791</v>
      </c>
      <c r="D6204" s="2716">
        <f t="shared" si="651"/>
        <v>0</v>
      </c>
      <c r="E6204" s="2721" t="s">
        <v>4835</v>
      </c>
      <c r="F6204" s="294"/>
      <c r="G6204" s="1563" t="s">
        <v>2792</v>
      </c>
      <c r="H6204" s="309"/>
      <c r="I6204" s="309"/>
      <c r="J6204" s="1476">
        <f t="shared" si="652"/>
        <v>0</v>
      </c>
      <c r="K6204" s="388"/>
      <c r="L6204" s="291"/>
      <c r="M6204" s="291"/>
      <c r="N6204" s="291"/>
      <c r="O6204" s="291"/>
      <c r="S6204" s="364"/>
      <c r="Z6204" s="609" t="s">
        <v>2057</v>
      </c>
      <c r="AA6204" s="609"/>
    </row>
    <row r="6205" spans="1:27" ht="18">
      <c r="A6205" s="2714"/>
      <c r="B6205" s="371">
        <v>101.999</v>
      </c>
      <c r="C6205" s="371"/>
      <c r="D6205" s="2716">
        <f t="shared" si="651"/>
        <v>1</v>
      </c>
      <c r="E6205" s="2721">
        <v>1</v>
      </c>
      <c r="F6205" s="294"/>
      <c r="G6205" s="308" t="s">
        <v>4835</v>
      </c>
      <c r="H6205" s="1476">
        <f>SUMIF($E$6197:$E$6218,$G6205,H$6197:H$6218)</f>
        <v>25284223.350000001</v>
      </c>
      <c r="I6205" s="1476">
        <f>SUMIF($E$6197:$E$6218,$G6205,I$6197:I$6218)</f>
        <v>21932766.600000001</v>
      </c>
      <c r="J6205" s="1476">
        <f>SUMIF($E$6197:$E$6218,$G6205,J$6197:J$6218)</f>
        <v>-3351456.75</v>
      </c>
      <c r="K6205" s="388"/>
      <c r="L6205" s="291"/>
      <c r="M6205" s="291"/>
      <c r="N6205" s="291"/>
      <c r="O6205" s="291"/>
      <c r="S6205" s="364"/>
      <c r="Z6205" s="609" t="s">
        <v>2057</v>
      </c>
      <c r="AA6205" s="609"/>
    </row>
    <row r="6206" spans="1:27" ht="18">
      <c r="A6206" s="2714"/>
      <c r="B6206" s="371">
        <v>102</v>
      </c>
      <c r="C6206" s="371"/>
      <c r="D6206" s="2716">
        <f t="shared" si="651"/>
        <v>1</v>
      </c>
      <c r="E6206" s="2721" t="s">
        <v>41</v>
      </c>
      <c r="F6206" s="294"/>
      <c r="G6206" s="308" t="s">
        <v>4836</v>
      </c>
      <c r="H6206" s="309"/>
      <c r="I6206" s="309"/>
      <c r="J6206" s="309"/>
      <c r="K6206" s="388"/>
      <c r="L6206" s="532"/>
      <c r="M6206" s="291"/>
      <c r="N6206" s="291"/>
      <c r="O6206" s="291"/>
      <c r="S6206" s="364"/>
      <c r="Z6206" s="609" t="s">
        <v>2057</v>
      </c>
      <c r="AA6206" s="609"/>
    </row>
    <row r="6207" spans="1:27" ht="18">
      <c r="A6207" s="2714"/>
      <c r="B6207" s="371">
        <v>102.001</v>
      </c>
      <c r="C6207" s="371"/>
      <c r="D6207" s="2716">
        <f t="shared" si="651"/>
        <v>1</v>
      </c>
      <c r="E6207" s="2721" t="s">
        <v>4823</v>
      </c>
      <c r="F6207" s="294"/>
      <c r="G6207" s="308" t="s">
        <v>4837</v>
      </c>
      <c r="H6207" s="309"/>
      <c r="I6207" s="309"/>
      <c r="J6207" s="309"/>
      <c r="K6207" s="388"/>
      <c r="L6207" s="291"/>
      <c r="M6207" s="291"/>
      <c r="N6207" s="291"/>
      <c r="O6207" s="291"/>
      <c r="S6207" s="364"/>
      <c r="Z6207" s="609" t="s">
        <v>2057</v>
      </c>
      <c r="AA6207" s="609"/>
    </row>
    <row r="6208" spans="1:27" ht="18">
      <c r="A6208" s="2714"/>
      <c r="B6208" s="371">
        <v>102.002</v>
      </c>
      <c r="C6208" s="371"/>
      <c r="D6208" s="2716">
        <f t="shared" si="651"/>
        <v>1</v>
      </c>
      <c r="E6208" s="2721" t="s">
        <v>4838</v>
      </c>
      <c r="F6208" s="294"/>
      <c r="G6208" s="308" t="s">
        <v>4839</v>
      </c>
      <c r="H6208" s="309"/>
      <c r="I6208" s="309"/>
      <c r="J6208" s="1476">
        <f t="shared" ref="J6208:J6218" si="653">I6208-H6208</f>
        <v>0</v>
      </c>
      <c r="K6208" s="388"/>
      <c r="L6208" s="291"/>
      <c r="M6208" s="291"/>
      <c r="N6208" s="291"/>
      <c r="O6208" s="291"/>
      <c r="S6208" s="364"/>
      <c r="Z6208" s="609" t="s">
        <v>2057</v>
      </c>
      <c r="AA6208" s="609"/>
    </row>
    <row r="6209" spans="1:27" ht="24">
      <c r="A6209" s="2714"/>
      <c r="B6209" s="371">
        <v>102.003</v>
      </c>
      <c r="C6209" s="371"/>
      <c r="D6209" s="2716">
        <f t="shared" si="651"/>
        <v>1</v>
      </c>
      <c r="E6209" s="2721" t="s">
        <v>4838</v>
      </c>
      <c r="F6209" s="294"/>
      <c r="G6209" s="308" t="s">
        <v>4840</v>
      </c>
      <c r="H6209" s="309"/>
      <c r="I6209" s="309"/>
      <c r="J6209" s="1476">
        <f t="shared" si="653"/>
        <v>0</v>
      </c>
      <c r="K6209" s="388"/>
      <c r="L6209" s="291"/>
      <c r="M6209" s="291"/>
      <c r="N6209" s="291"/>
      <c r="O6209" s="291"/>
      <c r="S6209" s="364"/>
      <c r="Z6209" s="609" t="s">
        <v>2057</v>
      </c>
      <c r="AA6209" s="609"/>
    </row>
    <row r="6210" spans="1:27" ht="24">
      <c r="A6210" s="2714"/>
      <c r="B6210" s="371">
        <v>102.004</v>
      </c>
      <c r="C6210" s="371"/>
      <c r="D6210" s="2716">
        <f t="shared" si="651"/>
        <v>1</v>
      </c>
      <c r="E6210" s="2721" t="s">
        <v>4838</v>
      </c>
      <c r="F6210" s="294"/>
      <c r="G6210" s="308" t="s">
        <v>4841</v>
      </c>
      <c r="H6210" s="309"/>
      <c r="I6210" s="309"/>
      <c r="J6210" s="1476">
        <f t="shared" si="653"/>
        <v>0</v>
      </c>
      <c r="K6210" s="388"/>
      <c r="L6210" s="291"/>
      <c r="M6210" s="291"/>
      <c r="N6210" s="291"/>
      <c r="O6210" s="291"/>
      <c r="S6210" s="364"/>
      <c r="Z6210" s="609" t="s">
        <v>2057</v>
      </c>
      <c r="AA6210" s="609"/>
    </row>
    <row r="6211" spans="1:27" ht="18">
      <c r="A6211" s="2714"/>
      <c r="B6211" s="371">
        <v>102.005</v>
      </c>
      <c r="C6211" s="371"/>
      <c r="D6211" s="2716">
        <f t="shared" si="651"/>
        <v>1</v>
      </c>
      <c r="E6211" s="2721" t="s">
        <v>4838</v>
      </c>
      <c r="F6211" s="294"/>
      <c r="G6211" s="308" t="s">
        <v>4842</v>
      </c>
      <c r="H6211" s="309"/>
      <c r="I6211" s="309"/>
      <c r="J6211" s="1476">
        <f t="shared" si="653"/>
        <v>0</v>
      </c>
      <c r="K6211" s="388"/>
      <c r="L6211" s="291"/>
      <c r="M6211" s="291"/>
      <c r="N6211" s="291"/>
      <c r="O6211" s="291"/>
      <c r="S6211" s="364"/>
      <c r="Z6211" s="609" t="s">
        <v>2057</v>
      </c>
      <c r="AA6211" s="609"/>
    </row>
    <row r="6212" spans="1:27" ht="18">
      <c r="A6212" s="2714"/>
      <c r="B6212" s="371">
        <v>102.006</v>
      </c>
      <c r="C6212" s="371"/>
      <c r="D6212" s="2716">
        <f t="shared" si="651"/>
        <v>1</v>
      </c>
      <c r="E6212" s="2721" t="s">
        <v>4838</v>
      </c>
      <c r="F6212" s="294"/>
      <c r="G6212" s="308" t="s">
        <v>4843</v>
      </c>
      <c r="H6212" s="309"/>
      <c r="I6212" s="309"/>
      <c r="J6212" s="1476">
        <f t="shared" si="653"/>
        <v>0</v>
      </c>
      <c r="K6212" s="388"/>
      <c r="L6212" s="291"/>
      <c r="M6212" s="291"/>
      <c r="N6212" s="291"/>
      <c r="O6212" s="291"/>
      <c r="S6212" s="364"/>
      <c r="Z6212" s="609" t="s">
        <v>2057</v>
      </c>
      <c r="AA6212" s="609"/>
    </row>
    <row r="6213" spans="1:27" ht="18">
      <c r="A6213" s="2714"/>
      <c r="B6213" s="371">
        <v>102.00700000000001</v>
      </c>
      <c r="C6213" s="371" t="s">
        <v>2791</v>
      </c>
      <c r="D6213" s="2716">
        <f t="shared" si="651"/>
        <v>1</v>
      </c>
      <c r="E6213" s="2721" t="s">
        <v>4838</v>
      </c>
      <c r="F6213" s="294"/>
      <c r="G6213" s="1563" t="s">
        <v>7309</v>
      </c>
      <c r="H6213" s="309">
        <v>1850000</v>
      </c>
      <c r="I6213" s="309">
        <v>1200000</v>
      </c>
      <c r="J6213" s="1476">
        <f t="shared" si="653"/>
        <v>-650000</v>
      </c>
      <c r="K6213" s="388"/>
      <c r="L6213" s="291"/>
      <c r="M6213" s="291"/>
      <c r="N6213" s="291"/>
      <c r="O6213" s="291"/>
      <c r="S6213" s="364"/>
      <c r="Z6213" s="609" t="s">
        <v>2057</v>
      </c>
      <c r="AA6213" s="609"/>
    </row>
    <row r="6214" spans="1:27" ht="18">
      <c r="A6214" s="2714"/>
      <c r="B6214" s="371">
        <v>102.008</v>
      </c>
      <c r="C6214" s="371"/>
      <c r="D6214" s="2716">
        <f t="shared" si="651"/>
        <v>1</v>
      </c>
      <c r="E6214" s="2721" t="s">
        <v>4823</v>
      </c>
      <c r="F6214" s="294"/>
      <c r="G6214" s="308" t="s">
        <v>4844</v>
      </c>
      <c r="H6214" s="309"/>
      <c r="I6214" s="309"/>
      <c r="J6214" s="1476">
        <f t="shared" si="653"/>
        <v>0</v>
      </c>
      <c r="K6214" s="388"/>
      <c r="L6214" s="291"/>
      <c r="M6214" s="291"/>
      <c r="N6214" s="291"/>
      <c r="O6214" s="291"/>
      <c r="S6214" s="364"/>
      <c r="Z6214" s="609" t="s">
        <v>2057</v>
      </c>
      <c r="AA6214" s="609"/>
    </row>
    <row r="6215" spans="1:27" ht="18">
      <c r="A6215" s="2714"/>
      <c r="B6215" s="371">
        <v>102.009</v>
      </c>
      <c r="C6215" s="371"/>
      <c r="D6215" s="2716">
        <f t="shared" si="651"/>
        <v>1</v>
      </c>
      <c r="E6215" s="2721" t="s">
        <v>4838</v>
      </c>
      <c r="F6215" s="294"/>
      <c r="G6215" s="308" t="s">
        <v>4845</v>
      </c>
      <c r="H6215" s="309"/>
      <c r="I6215" s="309"/>
      <c r="J6215" s="1476">
        <f t="shared" si="653"/>
        <v>0</v>
      </c>
      <c r="K6215" s="388"/>
      <c r="L6215" s="291"/>
      <c r="M6215" s="291"/>
      <c r="N6215" s="291"/>
      <c r="O6215" s="291"/>
      <c r="S6215" s="364"/>
      <c r="Z6215" s="609" t="s">
        <v>2057</v>
      </c>
      <c r="AA6215" s="609"/>
    </row>
    <row r="6216" spans="1:27" ht="18">
      <c r="A6216" s="2714"/>
      <c r="B6216" s="371">
        <v>102.01</v>
      </c>
      <c r="C6216" s="371" t="s">
        <v>2791</v>
      </c>
      <c r="D6216" s="2716">
        <f t="shared" si="651"/>
        <v>0</v>
      </c>
      <c r="E6216" s="2721" t="s">
        <v>4838</v>
      </c>
      <c r="F6216" s="294"/>
      <c r="G6216" s="1563" t="s">
        <v>2792</v>
      </c>
      <c r="H6216" s="309"/>
      <c r="I6216" s="309"/>
      <c r="J6216" s="1476">
        <f t="shared" si="653"/>
        <v>0</v>
      </c>
      <c r="K6216" s="388"/>
      <c r="L6216" s="291"/>
      <c r="M6216" s="291"/>
      <c r="N6216" s="291"/>
      <c r="O6216" s="291"/>
      <c r="S6216" s="364"/>
      <c r="Z6216" s="609" t="s">
        <v>2057</v>
      </c>
      <c r="AA6216" s="609"/>
    </row>
    <row r="6217" spans="1:27" ht="18">
      <c r="A6217" s="2714"/>
      <c r="B6217" s="371">
        <v>102.999</v>
      </c>
      <c r="C6217" s="371"/>
      <c r="D6217" s="2716">
        <f t="shared" si="651"/>
        <v>1</v>
      </c>
      <c r="E6217" s="2721">
        <v>-1</v>
      </c>
      <c r="F6217" s="294"/>
      <c r="G6217" s="308" t="s">
        <v>4838</v>
      </c>
      <c r="H6217" s="1476">
        <f>SUMIF($E$6197:$E$6218,$G6217,H$6197:H$6218)</f>
        <v>1850000</v>
      </c>
      <c r="I6217" s="1476">
        <f>SUMIF($E$6197:$E$6218,$G6217,I$6197:I$6218)</f>
        <v>1200000</v>
      </c>
      <c r="J6217" s="1476">
        <f>SUMIF($E$6197:$E$6218,$G6217,J$6197:J$6218)</f>
        <v>-650000</v>
      </c>
      <c r="K6217" s="388"/>
      <c r="L6217" s="291"/>
      <c r="M6217" s="291"/>
      <c r="N6217" s="291"/>
      <c r="O6217" s="291"/>
      <c r="S6217" s="364"/>
      <c r="Z6217" s="609" t="s">
        <v>2057</v>
      </c>
      <c r="AA6217" s="609"/>
    </row>
    <row r="6218" spans="1:27" ht="18">
      <c r="A6218" s="2714"/>
      <c r="B6218" s="371">
        <v>103</v>
      </c>
      <c r="C6218" s="371" t="s">
        <v>2791</v>
      </c>
      <c r="D6218" s="2716">
        <f t="shared" si="651"/>
        <v>0</v>
      </c>
      <c r="E6218" s="2721">
        <v>-1</v>
      </c>
      <c r="F6218" s="294"/>
      <c r="G6218" s="1563" t="s">
        <v>2792</v>
      </c>
      <c r="H6218" s="309"/>
      <c r="I6218" s="309"/>
      <c r="J6218" s="1476">
        <f t="shared" si="653"/>
        <v>0</v>
      </c>
      <c r="K6218" s="388"/>
      <c r="L6218" s="291"/>
      <c r="M6218" s="291"/>
      <c r="N6218" s="291"/>
      <c r="O6218" s="291"/>
      <c r="S6218" s="364"/>
      <c r="Z6218" s="609" t="s">
        <v>2057</v>
      </c>
      <c r="AA6218" s="609"/>
    </row>
    <row r="6219" spans="1:27" ht="18.75" thickBot="1">
      <c r="A6219" s="2714"/>
      <c r="B6219" s="371"/>
      <c r="C6219" s="371"/>
      <c r="D6219" s="2716">
        <f t="shared" si="651"/>
        <v>1</v>
      </c>
      <c r="E6219" s="2721" t="s">
        <v>2751</v>
      </c>
      <c r="F6219" s="294"/>
      <c r="G6219" s="1529" t="s">
        <v>2752</v>
      </c>
      <c r="H6219" s="1527">
        <f>SUMPRODUCT($E6197:$E6218,H6197:H6218)</f>
        <v>23434223.350000001</v>
      </c>
      <c r="I6219" s="1527">
        <f>SUMPRODUCT($E6197:$E6218,I6197:I6218)</f>
        <v>20732766.600000001</v>
      </c>
      <c r="J6219" s="1527">
        <f>SUMPRODUCT($E6197:$E6218,J6197:J6218)</f>
        <v>-2701456.75</v>
      </c>
      <c r="K6219" s="1571"/>
      <c r="L6219" s="291"/>
      <c r="M6219" s="291"/>
      <c r="N6219" s="291"/>
      <c r="O6219" s="291"/>
      <c r="S6219" s="364"/>
      <c r="Z6219" s="609" t="s">
        <v>2057</v>
      </c>
      <c r="AA6219" s="609"/>
    </row>
    <row r="6220" spans="1:27" ht="18">
      <c r="A6220" s="2714"/>
      <c r="B6220" s="371"/>
      <c r="C6220" s="371" t="s">
        <v>2755</v>
      </c>
      <c r="D6220" s="371"/>
      <c r="F6220" s="294"/>
      <c r="G6220" s="301"/>
      <c r="H6220" s="315"/>
      <c r="I6220" s="315"/>
      <c r="J6220" s="315"/>
      <c r="K6220" s="393"/>
      <c r="L6220" s="291"/>
      <c r="M6220" s="291"/>
      <c r="N6220" s="291"/>
      <c r="O6220" s="291"/>
      <c r="S6220" s="364"/>
      <c r="Z6220" s="609" t="s">
        <v>2057</v>
      </c>
      <c r="AA6220" s="609"/>
    </row>
    <row r="6221" spans="1:27" ht="18">
      <c r="A6221" s="2714">
        <v>7519</v>
      </c>
      <c r="B6221" s="371">
        <v>79.14</v>
      </c>
      <c r="C6221" s="2716" t="str">
        <f>VLOOKUP($A6221,Sheet_Items,2,0)</f>
        <v>经营性应付项目的增加</v>
      </c>
      <c r="D6221" s="371"/>
      <c r="E6221" s="2716" t="s">
        <v>2739</v>
      </c>
      <c r="F6221" s="294"/>
      <c r="G6221" s="536" t="str">
        <f>B6221&amp;" "&amp;C6221</f>
        <v>79.14 经营性应付项目的增加</v>
      </c>
      <c r="H6221" s="322"/>
      <c r="I6221" s="322"/>
      <c r="J6221" s="306" t="s">
        <v>4206</v>
      </c>
      <c r="K6221" s="341">
        <f>VLOOKUP($A6221,Sheet_Trialbal,6,0)</f>
        <v>3629106.52</v>
      </c>
      <c r="L6221" s="342"/>
      <c r="M6221" s="306"/>
      <c r="N6221" s="341"/>
      <c r="O6221" s="306"/>
      <c r="P6221" s="301"/>
      <c r="S6221" s="364"/>
      <c r="Z6221" s="609" t="s">
        <v>2060</v>
      </c>
      <c r="AA6221" s="609"/>
    </row>
    <row r="6222" spans="1:27" ht="36">
      <c r="A6222" s="2714" t="s">
        <v>2058</v>
      </c>
      <c r="B6222" s="371">
        <v>1</v>
      </c>
      <c r="C6222" s="371"/>
      <c r="D6222" s="2716" t="str">
        <f>VLOOKUP($A6222,Sheet_NoteList,2,0)</f>
        <v>将净利润调节为经营活动现金流量：经营性应付项目的增加</v>
      </c>
      <c r="E6222" s="2716" t="s">
        <v>2742</v>
      </c>
      <c r="F6222" s="294"/>
      <c r="G6222" s="372" t="str">
        <f>"("&amp;B6222&amp;")"&amp;D6222</f>
        <v>(1)将净利润调节为经营活动现金流量：经营性应付项目的增加</v>
      </c>
      <c r="H6222" s="1517" t="str">
        <f>$A6222</f>
        <v>7519a</v>
      </c>
      <c r="I6222" s="343" t="s">
        <v>2743</v>
      </c>
      <c r="J6222" s="301" t="s">
        <v>4712</v>
      </c>
      <c r="K6222" s="2210">
        <f>J6248</f>
        <v>3629106.52</v>
      </c>
      <c r="L6222" s="345" t="str">
        <f>IF(ROUND(K6221-K6222,2)=0,"F/S",ROUND(K6221-K6222,2))</f>
        <v>F/S</v>
      </c>
      <c r="M6222" s="532" t="s">
        <v>4713</v>
      </c>
      <c r="N6222" s="3083"/>
      <c r="O6222" s="315"/>
      <c r="P6222" s="301"/>
      <c r="S6222" s="364"/>
      <c r="Z6222" s="609" t="s">
        <v>2060</v>
      </c>
      <c r="AA6222" s="609"/>
    </row>
    <row r="6223" spans="1:27" ht="0.75" customHeight="1" thickBot="1">
      <c r="A6223" s="2714"/>
      <c r="B6223" s="371"/>
      <c r="C6223" s="371"/>
      <c r="D6223" s="371"/>
      <c r="F6223" s="294"/>
      <c r="G6223" s="294" t="s">
        <v>4846</v>
      </c>
      <c r="H6223" s="294" t="s">
        <v>2747</v>
      </c>
      <c r="I6223" s="294" t="s">
        <v>2748</v>
      </c>
      <c r="J6223" s="294" t="s">
        <v>3250</v>
      </c>
      <c r="K6223" s="294" t="s">
        <v>2898</v>
      </c>
      <c r="L6223" s="291"/>
      <c r="M6223" s="291"/>
      <c r="N6223" s="291"/>
      <c r="O6223" s="291"/>
      <c r="S6223" s="364"/>
      <c r="Z6223" s="609" t="s">
        <v>2060</v>
      </c>
      <c r="AA6223" s="609"/>
    </row>
    <row r="6224" spans="1:27" ht="18">
      <c r="A6224" s="2714"/>
      <c r="B6224" s="371"/>
      <c r="C6224" s="371"/>
      <c r="D6224" s="371"/>
      <c r="E6224" s="2716" t="s">
        <v>2749</v>
      </c>
      <c r="F6224" s="294"/>
      <c r="G6224" s="1564" t="s">
        <v>47</v>
      </c>
      <c r="H6224" s="1565" t="s">
        <v>3276</v>
      </c>
      <c r="I6224" s="1565" t="s">
        <v>3273</v>
      </c>
      <c r="J6224" s="1565" t="s">
        <v>3274</v>
      </c>
      <c r="K6224" s="1566" t="s">
        <v>2508</v>
      </c>
      <c r="L6224" s="291"/>
      <c r="M6224" s="291"/>
      <c r="N6224" s="291"/>
      <c r="O6224" s="291"/>
      <c r="S6224" s="364"/>
      <c r="Z6224" s="609" t="s">
        <v>2060</v>
      </c>
      <c r="AA6224" s="609"/>
    </row>
    <row r="6225" spans="1:27" ht="18">
      <c r="A6225" s="2714"/>
      <c r="B6225" s="371">
        <v>101</v>
      </c>
      <c r="C6225" s="371"/>
      <c r="D6225" s="2716">
        <f t="shared" ref="D6225:D6248" si="654">IF(OR(G6225="*",G6225="",G6225=0),0,COUNTIF($G$6225:$G$6248,G6225))</f>
        <v>1</v>
      </c>
      <c r="E6225" s="2721" t="s">
        <v>41</v>
      </c>
      <c r="F6225" s="294"/>
      <c r="G6225" s="308" t="s">
        <v>4847</v>
      </c>
      <c r="H6225" s="309"/>
      <c r="I6225" s="309"/>
      <c r="J6225" s="309"/>
      <c r="K6225" s="388"/>
      <c r="L6225" s="291"/>
      <c r="M6225" s="291"/>
      <c r="N6225" s="291"/>
      <c r="O6225" s="291"/>
      <c r="S6225" s="364"/>
      <c r="Z6225" s="609" t="s">
        <v>2060</v>
      </c>
      <c r="AA6225" s="609"/>
    </row>
    <row r="6226" spans="1:27" ht="18">
      <c r="A6226" s="2714"/>
      <c r="B6226" s="371">
        <v>101.001</v>
      </c>
      <c r="C6226" s="371"/>
      <c r="D6226" s="2716">
        <f t="shared" si="654"/>
        <v>1</v>
      </c>
      <c r="E6226" s="2721" t="s">
        <v>4848</v>
      </c>
      <c r="F6226" s="294"/>
      <c r="G6226" s="308" t="s">
        <v>471</v>
      </c>
      <c r="H6226" s="309"/>
      <c r="I6226" s="309"/>
      <c r="J6226" s="1476">
        <f t="shared" ref="J6226:J6233" si="655">H6226-I6226</f>
        <v>0</v>
      </c>
      <c r="K6226" s="388"/>
      <c r="L6226" s="291"/>
      <c r="M6226" s="291"/>
      <c r="N6226" s="291"/>
      <c r="O6226" s="291"/>
      <c r="S6226" s="364"/>
      <c r="Z6226" s="609" t="s">
        <v>2060</v>
      </c>
      <c r="AA6226" s="609"/>
    </row>
    <row r="6227" spans="1:27" ht="18">
      <c r="A6227" s="2714"/>
      <c r="B6227" s="371">
        <v>101.002</v>
      </c>
      <c r="C6227" s="371"/>
      <c r="D6227" s="2716">
        <f t="shared" si="654"/>
        <v>1</v>
      </c>
      <c r="E6227" s="2721" t="s">
        <v>4848</v>
      </c>
      <c r="F6227" s="294"/>
      <c r="G6227" s="308" t="s">
        <v>476</v>
      </c>
      <c r="H6227" s="309">
        <f>BS!K13</f>
        <v>11123454.48</v>
      </c>
      <c r="I6227" s="309">
        <f>BS!L13</f>
        <v>8476287.8300000001</v>
      </c>
      <c r="J6227" s="1476">
        <f t="shared" si="655"/>
        <v>2647166.65</v>
      </c>
      <c r="K6227" s="388"/>
      <c r="L6227" s="291"/>
      <c r="M6227" s="291"/>
      <c r="N6227" s="291"/>
      <c r="O6227" s="291"/>
      <c r="S6227" s="364"/>
      <c r="Z6227" s="609" t="s">
        <v>2060</v>
      </c>
      <c r="AA6227" s="609"/>
    </row>
    <row r="6228" spans="1:27" ht="18">
      <c r="A6228" s="2714"/>
      <c r="B6228" s="371">
        <v>101.003</v>
      </c>
      <c r="C6228" s="371"/>
      <c r="D6228" s="2716">
        <f t="shared" si="654"/>
        <v>1</v>
      </c>
      <c r="E6228" s="2721" t="s">
        <v>4848</v>
      </c>
      <c r="F6228" s="294"/>
      <c r="G6228" s="308" t="s">
        <v>484</v>
      </c>
      <c r="H6228" s="309">
        <f>BS!K14</f>
        <v>2360727.0299999998</v>
      </c>
      <c r="I6228" s="309">
        <f>BS!L14</f>
        <v>2229809.83</v>
      </c>
      <c r="J6228" s="1476">
        <f t="shared" si="655"/>
        <v>130917.2</v>
      </c>
      <c r="K6228" s="388"/>
      <c r="L6228" s="291"/>
      <c r="M6228" s="291"/>
      <c r="N6228" s="291"/>
      <c r="O6228" s="291"/>
      <c r="S6228" s="364"/>
      <c r="Z6228" s="609" t="s">
        <v>2060</v>
      </c>
      <c r="AA6228" s="609"/>
    </row>
    <row r="6229" spans="1:27" ht="18">
      <c r="A6229" s="2714"/>
      <c r="B6229" s="371">
        <v>101.004</v>
      </c>
      <c r="C6229" s="371"/>
      <c r="D6229" s="2716">
        <f t="shared" si="654"/>
        <v>1</v>
      </c>
      <c r="E6229" s="2721" t="s">
        <v>4848</v>
      </c>
      <c r="F6229" s="294"/>
      <c r="G6229" s="308" t="s">
        <v>489</v>
      </c>
      <c r="H6229" s="309">
        <f>BS!K15</f>
        <v>1058561.81</v>
      </c>
      <c r="I6229" s="309">
        <f>BS!L15</f>
        <v>974467.27</v>
      </c>
      <c r="J6229" s="1476">
        <f t="shared" si="655"/>
        <v>84094.54</v>
      </c>
      <c r="K6229" s="388"/>
      <c r="L6229" s="291"/>
      <c r="M6229" s="291"/>
      <c r="N6229" s="291"/>
      <c r="O6229" s="291"/>
      <c r="S6229" s="364"/>
      <c r="Z6229" s="609" t="s">
        <v>2060</v>
      </c>
      <c r="AA6229" s="609"/>
    </row>
    <row r="6230" spans="1:27" ht="18">
      <c r="A6230" s="2714"/>
      <c r="B6230" s="371">
        <v>101.005</v>
      </c>
      <c r="C6230" s="371"/>
      <c r="D6230" s="2716">
        <f t="shared" si="654"/>
        <v>1</v>
      </c>
      <c r="E6230" s="2721" t="s">
        <v>4848</v>
      </c>
      <c r="F6230" s="294"/>
      <c r="G6230" s="308" t="s">
        <v>494</v>
      </c>
      <c r="H6230" s="309">
        <f>BS!K16</f>
        <v>507471.64</v>
      </c>
      <c r="I6230" s="309">
        <f>BS!L16</f>
        <v>487153.95</v>
      </c>
      <c r="J6230" s="1476">
        <f t="shared" si="655"/>
        <v>20317.689999999999</v>
      </c>
      <c r="K6230" s="388"/>
      <c r="L6230" s="291"/>
      <c r="M6230" s="291"/>
      <c r="N6230" s="291"/>
      <c r="O6230" s="291"/>
      <c r="S6230" s="364"/>
      <c r="Z6230" s="609" t="s">
        <v>2060</v>
      </c>
      <c r="AA6230" s="609"/>
    </row>
    <row r="6231" spans="1:27" ht="18">
      <c r="A6231" s="2714"/>
      <c r="B6231" s="371">
        <v>101.006</v>
      </c>
      <c r="C6231" s="371"/>
      <c r="D6231" s="2716">
        <f t="shared" si="654"/>
        <v>1</v>
      </c>
      <c r="E6231" s="2721" t="s">
        <v>4848</v>
      </c>
      <c r="F6231" s="294"/>
      <c r="G6231" s="308" t="s">
        <v>513</v>
      </c>
      <c r="H6231" s="309">
        <f>BS!K17</f>
        <v>1096090.05</v>
      </c>
      <c r="I6231" s="309">
        <f>BS!L17</f>
        <v>2070907</v>
      </c>
      <c r="J6231" s="1476">
        <f t="shared" si="655"/>
        <v>-974816.95</v>
      </c>
      <c r="K6231" s="388"/>
      <c r="L6231" s="291"/>
      <c r="M6231" s="291"/>
      <c r="N6231" s="291"/>
      <c r="O6231" s="291"/>
      <c r="S6231" s="364"/>
      <c r="Z6231" s="609" t="s">
        <v>2060</v>
      </c>
      <c r="AA6231" s="609"/>
    </row>
    <row r="6232" spans="1:27" ht="18">
      <c r="A6232" s="2714"/>
      <c r="B6232" s="371">
        <v>101.00700000000001</v>
      </c>
      <c r="C6232" s="371"/>
      <c r="D6232" s="2716">
        <f t="shared" si="654"/>
        <v>1</v>
      </c>
      <c r="E6232" s="2721" t="s">
        <v>4848</v>
      </c>
      <c r="F6232" s="294"/>
      <c r="G6232" s="308" t="s">
        <v>534</v>
      </c>
      <c r="H6232" s="309"/>
      <c r="I6232" s="309"/>
      <c r="J6232" s="1476">
        <f t="shared" si="655"/>
        <v>0</v>
      </c>
      <c r="K6232" s="388"/>
      <c r="L6232" s="291"/>
      <c r="M6232" s="291"/>
      <c r="N6232" s="291"/>
      <c r="O6232" s="291"/>
      <c r="S6232" s="364"/>
      <c r="Z6232" s="609" t="s">
        <v>2060</v>
      </c>
      <c r="AA6232" s="609"/>
    </row>
    <row r="6233" spans="1:27" ht="18">
      <c r="A6233" s="2714"/>
      <c r="B6233" s="371">
        <v>101.008</v>
      </c>
      <c r="C6233" s="371" t="s">
        <v>2791</v>
      </c>
      <c r="D6233" s="2716">
        <f t="shared" si="654"/>
        <v>0</v>
      </c>
      <c r="E6233" s="2721" t="s">
        <v>4848</v>
      </c>
      <c r="F6233" s="294"/>
      <c r="G6233" s="1563" t="s">
        <v>2792</v>
      </c>
      <c r="H6233" s="309"/>
      <c r="I6233" s="309"/>
      <c r="J6233" s="1476">
        <f t="shared" si="655"/>
        <v>0</v>
      </c>
      <c r="K6233" s="388"/>
      <c r="L6233" s="291"/>
      <c r="M6233" s="291"/>
      <c r="N6233" s="291"/>
      <c r="O6233" s="291"/>
      <c r="S6233" s="364"/>
      <c r="Z6233" s="609" t="s">
        <v>2060</v>
      </c>
      <c r="AA6233" s="609"/>
    </row>
    <row r="6234" spans="1:27" ht="18">
      <c r="A6234" s="2714"/>
      <c r="B6234" s="371">
        <v>101.999</v>
      </c>
      <c r="C6234" s="371"/>
      <c r="D6234" s="2716">
        <f t="shared" si="654"/>
        <v>1</v>
      </c>
      <c r="E6234" s="2721">
        <v>1</v>
      </c>
      <c r="F6234" s="294"/>
      <c r="G6234" s="308" t="s">
        <v>4848</v>
      </c>
      <c r="H6234" s="1476">
        <f>SUMIF($E$6224:$E$6247,$G6234,H$6224:H$6247)</f>
        <v>16146305.01</v>
      </c>
      <c r="I6234" s="1476">
        <f>SUMIF($E$6224:$E$6247,$G6234,I$6224:I$6247)</f>
        <v>14238625.880000001</v>
      </c>
      <c r="J6234" s="1476">
        <f>SUMIF($E$6224:$E$6247,$G6234,J$6224:J$6247)</f>
        <v>1907679.13</v>
      </c>
      <c r="K6234" s="388"/>
      <c r="L6234" s="291"/>
      <c r="M6234" s="291"/>
      <c r="N6234" s="291"/>
      <c r="O6234" s="291"/>
      <c r="S6234" s="364"/>
      <c r="Z6234" s="609" t="s">
        <v>2060</v>
      </c>
      <c r="AA6234" s="609"/>
    </row>
    <row r="6235" spans="1:27" ht="18">
      <c r="A6235" s="2714"/>
      <c r="B6235" s="371">
        <v>102</v>
      </c>
      <c r="C6235" s="371"/>
      <c r="D6235" s="2716">
        <f t="shared" si="654"/>
        <v>1</v>
      </c>
      <c r="E6235" s="2721" t="s">
        <v>41</v>
      </c>
      <c r="F6235" s="294"/>
      <c r="G6235" s="308" t="s">
        <v>4849</v>
      </c>
      <c r="H6235" s="309"/>
      <c r="I6235" s="309"/>
      <c r="J6235" s="309"/>
      <c r="K6235" s="388"/>
      <c r="L6235" s="532"/>
      <c r="M6235" s="291"/>
      <c r="N6235" s="291"/>
      <c r="O6235" s="291"/>
      <c r="S6235" s="364"/>
      <c r="Z6235" s="609" t="s">
        <v>2060</v>
      </c>
      <c r="AA6235" s="609"/>
    </row>
    <row r="6236" spans="1:27" ht="18">
      <c r="A6236" s="2714"/>
      <c r="B6236" s="371">
        <v>102.001</v>
      </c>
      <c r="C6236" s="371"/>
      <c r="D6236" s="2716">
        <f t="shared" si="654"/>
        <v>1</v>
      </c>
      <c r="E6236" s="2721" t="s">
        <v>4823</v>
      </c>
      <c r="F6236" s="294"/>
      <c r="G6236" s="308" t="s">
        <v>4850</v>
      </c>
      <c r="H6236" s="309"/>
      <c r="I6236" s="309"/>
      <c r="J6236" s="309"/>
      <c r="K6236" s="388"/>
      <c r="L6236" s="291"/>
      <c r="M6236" s="291"/>
      <c r="N6236" s="291"/>
      <c r="O6236" s="291"/>
      <c r="S6236" s="364"/>
      <c r="Z6236" s="609" t="s">
        <v>2060</v>
      </c>
      <c r="AA6236" s="609"/>
    </row>
    <row r="6237" spans="1:27" ht="24">
      <c r="A6237" s="2714"/>
      <c r="B6237" s="371">
        <v>102.002</v>
      </c>
      <c r="C6237" s="371"/>
      <c r="D6237" s="2716">
        <f t="shared" si="654"/>
        <v>1</v>
      </c>
      <c r="E6237" s="2721" t="s">
        <v>4851</v>
      </c>
      <c r="F6237" s="294"/>
      <c r="G6237" s="308" t="s">
        <v>4852</v>
      </c>
      <c r="H6237" s="309"/>
      <c r="I6237" s="309"/>
      <c r="J6237" s="1476">
        <f t="shared" ref="J6237:J6245" si="656">H6237-I6237</f>
        <v>0</v>
      </c>
      <c r="K6237" s="388"/>
      <c r="L6237" s="291"/>
      <c r="M6237" s="291"/>
      <c r="N6237" s="291"/>
      <c r="O6237" s="291"/>
      <c r="S6237" s="364"/>
      <c r="Z6237" s="609" t="s">
        <v>2060</v>
      </c>
      <c r="AA6237" s="609"/>
    </row>
    <row r="6238" spans="1:27" ht="24">
      <c r="A6238" s="2714"/>
      <c r="B6238" s="371">
        <v>102.003</v>
      </c>
      <c r="C6238" s="371"/>
      <c r="D6238" s="2716">
        <f t="shared" si="654"/>
        <v>1</v>
      </c>
      <c r="E6238" s="2721" t="s">
        <v>4851</v>
      </c>
      <c r="F6238" s="294"/>
      <c r="G6238" s="308" t="s">
        <v>4853</v>
      </c>
      <c r="H6238" s="309"/>
      <c r="I6238" s="309"/>
      <c r="J6238" s="1476">
        <f t="shared" si="656"/>
        <v>0</v>
      </c>
      <c r="K6238" s="388"/>
      <c r="L6238" s="291"/>
      <c r="M6238" s="291"/>
      <c r="N6238" s="291"/>
      <c r="O6238" s="291"/>
      <c r="S6238" s="364"/>
      <c r="Z6238" s="609" t="s">
        <v>2060</v>
      </c>
      <c r="AA6238" s="609"/>
    </row>
    <row r="6239" spans="1:27" ht="24">
      <c r="A6239" s="2714"/>
      <c r="B6239" s="371">
        <v>102.004</v>
      </c>
      <c r="C6239" s="371"/>
      <c r="D6239" s="2716">
        <f t="shared" si="654"/>
        <v>1</v>
      </c>
      <c r="E6239" s="2721" t="s">
        <v>4851</v>
      </c>
      <c r="F6239" s="294"/>
      <c r="G6239" s="308" t="s">
        <v>4854</v>
      </c>
      <c r="H6239" s="309"/>
      <c r="I6239" s="309"/>
      <c r="J6239" s="1476">
        <f t="shared" si="656"/>
        <v>0</v>
      </c>
      <c r="K6239" s="388"/>
      <c r="L6239" s="291"/>
      <c r="M6239" s="291"/>
      <c r="N6239" s="291"/>
      <c r="O6239" s="291"/>
      <c r="S6239" s="364"/>
      <c r="Z6239" s="609" t="s">
        <v>2060</v>
      </c>
      <c r="AA6239" s="609"/>
    </row>
    <row r="6240" spans="1:27" ht="18">
      <c r="A6240" s="2714"/>
      <c r="B6240" s="371">
        <v>102.005</v>
      </c>
      <c r="C6240" s="371"/>
      <c r="D6240" s="2716">
        <f t="shared" si="654"/>
        <v>1</v>
      </c>
      <c r="E6240" s="2721" t="s">
        <v>4851</v>
      </c>
      <c r="F6240" s="294"/>
      <c r="G6240" s="308" t="s">
        <v>4855</v>
      </c>
      <c r="H6240" s="309"/>
      <c r="I6240" s="309"/>
      <c r="J6240" s="1476">
        <f t="shared" si="656"/>
        <v>0</v>
      </c>
      <c r="K6240" s="388"/>
      <c r="L6240" s="291"/>
      <c r="M6240" s="291"/>
      <c r="N6240" s="291"/>
      <c r="O6240" s="291"/>
      <c r="S6240" s="364"/>
      <c r="Z6240" s="609" t="s">
        <v>2060</v>
      </c>
      <c r="AA6240" s="609"/>
    </row>
    <row r="6241" spans="1:27" ht="18">
      <c r="A6241" s="2714"/>
      <c r="B6241" s="371">
        <v>102.006</v>
      </c>
      <c r="C6241" s="371"/>
      <c r="D6241" s="2716">
        <f t="shared" si="654"/>
        <v>1</v>
      </c>
      <c r="E6241" s="2721" t="s">
        <v>4851</v>
      </c>
      <c r="F6241" s="294"/>
      <c r="G6241" s="308" t="s">
        <v>4856</v>
      </c>
      <c r="H6241" s="309"/>
      <c r="I6241" s="309"/>
      <c r="J6241" s="1476">
        <f t="shared" si="656"/>
        <v>0</v>
      </c>
      <c r="K6241" s="388"/>
      <c r="L6241" s="291"/>
      <c r="M6241" s="291"/>
      <c r="N6241" s="291"/>
      <c r="O6241" s="291"/>
      <c r="S6241" s="364"/>
      <c r="Z6241" s="609" t="s">
        <v>2060</v>
      </c>
      <c r="AA6241" s="609"/>
    </row>
    <row r="6242" spans="1:27" ht="18">
      <c r="A6242" s="2714"/>
      <c r="B6242" s="371">
        <v>102.00700000000001</v>
      </c>
      <c r="C6242" s="371" t="s">
        <v>2791</v>
      </c>
      <c r="D6242" s="2716">
        <f t="shared" si="654"/>
        <v>0</v>
      </c>
      <c r="E6242" s="2721" t="s">
        <v>4851</v>
      </c>
      <c r="F6242" s="294"/>
      <c r="G6242" s="1563" t="s">
        <v>2792</v>
      </c>
      <c r="H6242" s="309"/>
      <c r="I6242" s="309"/>
      <c r="J6242" s="1476">
        <f t="shared" si="656"/>
        <v>0</v>
      </c>
      <c r="K6242" s="388"/>
      <c r="L6242" s="291"/>
      <c r="M6242" s="291"/>
      <c r="N6242" s="291"/>
      <c r="O6242" s="291"/>
      <c r="S6242" s="364"/>
      <c r="Z6242" s="609" t="s">
        <v>2060</v>
      </c>
      <c r="AA6242" s="609"/>
    </row>
    <row r="6243" spans="1:27" ht="18">
      <c r="A6243" s="2714"/>
      <c r="B6243" s="371">
        <v>102.008</v>
      </c>
      <c r="C6243" s="371"/>
      <c r="D6243" s="2716">
        <f t="shared" si="654"/>
        <v>1</v>
      </c>
      <c r="E6243" s="2721" t="s">
        <v>4823</v>
      </c>
      <c r="F6243" s="294"/>
      <c r="G6243" s="308" t="s">
        <v>4857</v>
      </c>
      <c r="H6243" s="309"/>
      <c r="I6243" s="309"/>
      <c r="J6243" s="1476">
        <f t="shared" si="656"/>
        <v>0</v>
      </c>
      <c r="K6243" s="388"/>
      <c r="L6243" s="291"/>
      <c r="M6243" s="291"/>
      <c r="N6243" s="291"/>
      <c r="O6243" s="291"/>
      <c r="S6243" s="364"/>
      <c r="Z6243" s="609" t="s">
        <v>2060</v>
      </c>
      <c r="AA6243" s="609"/>
    </row>
    <row r="6244" spans="1:27" ht="18">
      <c r="A6244" s="2714"/>
      <c r="B6244" s="371">
        <v>102.009</v>
      </c>
      <c r="C6244" s="371"/>
      <c r="D6244" s="2716">
        <f t="shared" si="654"/>
        <v>1</v>
      </c>
      <c r="E6244" s="2721" t="s">
        <v>4851</v>
      </c>
      <c r="F6244" s="294"/>
      <c r="G6244" s="308" t="s">
        <v>4858</v>
      </c>
      <c r="H6244" s="309"/>
      <c r="I6244" s="309"/>
      <c r="J6244" s="1476">
        <f t="shared" si="656"/>
        <v>0</v>
      </c>
      <c r="K6244" s="388"/>
      <c r="L6244" s="291"/>
      <c r="M6244" s="291"/>
      <c r="N6244" s="291"/>
      <c r="O6244" s="291"/>
      <c r="S6244" s="364"/>
      <c r="Z6244" s="609" t="s">
        <v>2060</v>
      </c>
      <c r="AA6244" s="609"/>
    </row>
    <row r="6245" spans="1:27" ht="18">
      <c r="A6245" s="2714"/>
      <c r="B6245" s="371">
        <v>102.01</v>
      </c>
      <c r="C6245" s="371" t="s">
        <v>2791</v>
      </c>
      <c r="D6245" s="2716">
        <f t="shared" si="654"/>
        <v>0</v>
      </c>
      <c r="E6245" s="2721" t="s">
        <v>4851</v>
      </c>
      <c r="F6245" s="294"/>
      <c r="G6245" s="1563" t="s">
        <v>2792</v>
      </c>
      <c r="H6245" s="309">
        <v>-1721427.39</v>
      </c>
      <c r="I6245" s="309"/>
      <c r="J6245" s="1476">
        <f t="shared" si="656"/>
        <v>-1721427.39</v>
      </c>
      <c r="K6245" s="388"/>
      <c r="L6245" s="291"/>
      <c r="M6245" s="291"/>
      <c r="N6245" s="291"/>
      <c r="O6245" s="291"/>
      <c r="S6245" s="364"/>
      <c r="Z6245" s="609" t="s">
        <v>2060</v>
      </c>
      <c r="AA6245" s="609"/>
    </row>
    <row r="6246" spans="1:27" ht="18">
      <c r="A6246" s="2714"/>
      <c r="B6246" s="371">
        <v>102.999</v>
      </c>
      <c r="C6246" s="371"/>
      <c r="D6246" s="2716">
        <f t="shared" si="654"/>
        <v>1</v>
      </c>
      <c r="E6246" s="2721">
        <v>-1</v>
      </c>
      <c r="F6246" s="294"/>
      <c r="G6246" s="308" t="s">
        <v>4851</v>
      </c>
      <c r="H6246" s="1476">
        <f>SUMIF($E$6224:$E$6247,$G6246,H$6224:H$6247)</f>
        <v>-1721427.39</v>
      </c>
      <c r="I6246" s="1476">
        <f>SUMIF($E$6224:$E$6247,$G6246,I$6224:I$6247)</f>
        <v>0</v>
      </c>
      <c r="J6246" s="1476">
        <f>SUMIF($E$6224:$E$6247,$G6246,J$6224:J$6247)</f>
        <v>-1721427.39</v>
      </c>
      <c r="K6246" s="388"/>
      <c r="L6246" s="291"/>
      <c r="M6246" s="291"/>
      <c r="N6246" s="291"/>
      <c r="O6246" s="291"/>
      <c r="S6246" s="364"/>
      <c r="Z6246" s="609" t="s">
        <v>2060</v>
      </c>
      <c r="AA6246" s="609"/>
    </row>
    <row r="6247" spans="1:27" ht="18">
      <c r="A6247" s="2714"/>
      <c r="B6247" s="371">
        <v>103</v>
      </c>
      <c r="C6247" s="371" t="s">
        <v>2791</v>
      </c>
      <c r="D6247" s="2716">
        <f t="shared" si="654"/>
        <v>0</v>
      </c>
      <c r="E6247" s="2721">
        <v>-1</v>
      </c>
      <c r="F6247" s="294"/>
      <c r="G6247" s="1563" t="s">
        <v>2792</v>
      </c>
      <c r="H6247" s="309"/>
      <c r="I6247" s="309"/>
      <c r="J6247" s="309"/>
      <c r="K6247" s="388"/>
      <c r="L6247" s="291"/>
      <c r="M6247" s="291"/>
      <c r="N6247" s="291"/>
      <c r="O6247" s="291"/>
      <c r="S6247" s="364"/>
      <c r="Z6247" s="609" t="s">
        <v>2060</v>
      </c>
      <c r="AA6247" s="609"/>
    </row>
    <row r="6248" spans="1:27" ht="18.75" thickBot="1">
      <c r="A6248" s="2714"/>
      <c r="B6248" s="371"/>
      <c r="C6248" s="371"/>
      <c r="D6248" s="2716">
        <f t="shared" si="654"/>
        <v>1</v>
      </c>
      <c r="E6248" s="2721" t="s">
        <v>2751</v>
      </c>
      <c r="F6248" s="294"/>
      <c r="G6248" s="1529" t="s">
        <v>2752</v>
      </c>
      <c r="H6248" s="1527">
        <f>SUMPRODUCT($E6224:$E6247,H6224:H6247)</f>
        <v>17867732.399999999</v>
      </c>
      <c r="I6248" s="1527">
        <f>SUMPRODUCT($E6224:$E6247,I6224:I6247)</f>
        <v>14238625.880000001</v>
      </c>
      <c r="J6248" s="1527">
        <f>SUMPRODUCT($E6224:$E6247,J6224:J6247)</f>
        <v>3629106.52</v>
      </c>
      <c r="K6248" s="1571"/>
      <c r="L6248" s="291"/>
      <c r="M6248" s="291"/>
      <c r="N6248" s="291"/>
      <c r="O6248" s="291"/>
      <c r="S6248" s="364"/>
      <c r="Z6248" s="609" t="s">
        <v>2060</v>
      </c>
      <c r="AA6248" s="609"/>
    </row>
    <row r="6249" spans="1:27" ht="18">
      <c r="A6249" s="2714"/>
      <c r="B6249" s="371"/>
      <c r="C6249" s="371" t="s">
        <v>2755</v>
      </c>
      <c r="D6249" s="371"/>
      <c r="F6249" s="294"/>
      <c r="G6249" s="301"/>
      <c r="H6249" s="315"/>
      <c r="I6249" s="315"/>
      <c r="J6249" s="315"/>
      <c r="K6249" s="393"/>
      <c r="L6249" s="291"/>
      <c r="M6249" s="291"/>
      <c r="N6249" s="291"/>
      <c r="O6249" s="291"/>
      <c r="S6249" s="364"/>
      <c r="Z6249" s="609" t="s">
        <v>2060</v>
      </c>
      <c r="AA6249" s="609"/>
    </row>
    <row r="6250" spans="1:27" ht="18">
      <c r="A6250" s="2714">
        <v>7523</v>
      </c>
      <c r="B6250" s="371">
        <v>79.150000000000006</v>
      </c>
      <c r="C6250" s="2716" t="str">
        <f>VLOOKUP($A6250,Sheet_Items,2,0)</f>
        <v>其他将净利润调节为经营活动现金流量项目</v>
      </c>
      <c r="D6250" s="371"/>
      <c r="E6250" s="2716" t="s">
        <v>2739</v>
      </c>
      <c r="F6250" s="294"/>
      <c r="G6250" s="536" t="str">
        <f>B6250&amp;" "&amp;C6250</f>
        <v>79.15 其他将净利润调节为经营活动现金流量项目</v>
      </c>
      <c r="H6250" s="322"/>
      <c r="I6250" s="322"/>
      <c r="J6250" s="306" t="s">
        <v>4206</v>
      </c>
      <c r="K6250" s="341">
        <f>VLOOKUP($A6250,Sheet_Trialbal,6,0)</f>
        <v>0</v>
      </c>
      <c r="L6250" s="342"/>
      <c r="M6250" s="306"/>
      <c r="N6250" s="341"/>
      <c r="O6250" s="306"/>
      <c r="P6250" s="301"/>
      <c r="S6250" s="364"/>
      <c r="Z6250" s="609" t="s">
        <v>2063</v>
      </c>
      <c r="AA6250" s="609"/>
    </row>
    <row r="6251" spans="1:27" ht="24">
      <c r="A6251" s="2714" t="s">
        <v>2061</v>
      </c>
      <c r="B6251" s="371">
        <v>1</v>
      </c>
      <c r="C6251" s="371"/>
      <c r="D6251" s="2716" t="str">
        <f>VLOOKUP($A6251,Sheet_NoteList,2,0)</f>
        <v>将净利润调节为经营活动现金流量：其他项目</v>
      </c>
      <c r="E6251" s="2716" t="s">
        <v>2742</v>
      </c>
      <c r="F6251" s="294"/>
      <c r="G6251" s="372" t="str">
        <f>"("&amp;B6251&amp;")"&amp;D6251</f>
        <v>(1)将净利润调节为经营活动现金流量：其他项目</v>
      </c>
      <c r="H6251" s="1517" t="str">
        <f>$A6251</f>
        <v>7523a</v>
      </c>
      <c r="I6251" s="343" t="s">
        <v>2743</v>
      </c>
      <c r="J6251" s="301" t="s">
        <v>4712</v>
      </c>
      <c r="K6251" s="2210">
        <f>H6257</f>
        <v>0</v>
      </c>
      <c r="L6251" s="345" t="str">
        <f>IF(ROUND(K6250-K6251,2)=0,"F/S",ROUND(K6250-K6251,2))</f>
        <v>F/S</v>
      </c>
      <c r="M6251" s="532" t="s">
        <v>4713</v>
      </c>
      <c r="N6251" s="3083"/>
      <c r="O6251" s="315"/>
      <c r="P6251" s="301"/>
      <c r="S6251" s="364"/>
      <c r="Z6251" s="609" t="s">
        <v>2063</v>
      </c>
      <c r="AA6251" s="609"/>
    </row>
    <row r="6252" spans="1:27" ht="0.75" customHeight="1" thickBot="1">
      <c r="A6252" s="2714"/>
      <c r="B6252" s="371"/>
      <c r="C6252" s="371"/>
      <c r="D6252" s="371"/>
      <c r="F6252" s="294"/>
      <c r="G6252" s="294" t="s">
        <v>4859</v>
      </c>
      <c r="H6252" s="294" t="s">
        <v>3472</v>
      </c>
      <c r="I6252" s="294" t="s">
        <v>2821</v>
      </c>
      <c r="J6252" s="291"/>
      <c r="K6252" s="291"/>
      <c r="L6252" s="291"/>
      <c r="M6252" s="291"/>
      <c r="S6252" s="364"/>
      <c r="Z6252" s="609" t="s">
        <v>2063</v>
      </c>
      <c r="AA6252" s="609"/>
    </row>
    <row r="6253" spans="1:27" ht="18">
      <c r="A6253" s="2714"/>
      <c r="B6253" s="371"/>
      <c r="C6253" s="371"/>
      <c r="D6253" s="371"/>
      <c r="E6253" s="2716" t="s">
        <v>2749</v>
      </c>
      <c r="F6253" s="294"/>
      <c r="G6253" s="1564" t="s">
        <v>47</v>
      </c>
      <c r="H6253" s="1565" t="s">
        <v>2587</v>
      </c>
      <c r="I6253" s="1566" t="s">
        <v>2508</v>
      </c>
      <c r="J6253" s="291"/>
      <c r="K6253" s="291"/>
      <c r="L6253" s="291"/>
      <c r="M6253" s="291"/>
      <c r="S6253" s="364"/>
      <c r="Z6253" s="609" t="s">
        <v>2063</v>
      </c>
      <c r="AA6253" s="609"/>
    </row>
    <row r="6254" spans="1:27" ht="18">
      <c r="A6254" s="2714"/>
      <c r="B6254" s="371">
        <v>101</v>
      </c>
      <c r="C6254" s="371" t="s">
        <v>2791</v>
      </c>
      <c r="D6254" s="2716">
        <f>IF(OR(G6254="*",G6254="",G6254=0),0,COUNTIF($G$6254:$G$6257,G6254))</f>
        <v>0</v>
      </c>
      <c r="E6254" s="2721">
        <v>1</v>
      </c>
      <c r="F6254" s="294"/>
      <c r="G6254" s="1563" t="s">
        <v>2792</v>
      </c>
      <c r="H6254" s="309"/>
      <c r="I6254" s="388"/>
      <c r="J6254" s="291"/>
      <c r="K6254" s="291"/>
      <c r="L6254" s="291"/>
      <c r="M6254" s="291"/>
      <c r="S6254" s="364"/>
      <c r="Z6254" s="609" t="s">
        <v>2063</v>
      </c>
      <c r="AA6254" s="609"/>
    </row>
    <row r="6255" spans="1:27" ht="18">
      <c r="A6255" s="2714"/>
      <c r="B6255" s="371">
        <v>102</v>
      </c>
      <c r="C6255" s="371" t="s">
        <v>2791</v>
      </c>
      <c r="D6255" s="2716">
        <f>IF(OR(G6255="*",G6255="",G6255=0),0,COUNTIF($G$6254:$G$6257,G6255))</f>
        <v>0</v>
      </c>
      <c r="E6255" s="2721">
        <v>1</v>
      </c>
      <c r="F6255" s="294"/>
      <c r="G6255" s="1563" t="s">
        <v>2792</v>
      </c>
      <c r="H6255" s="309"/>
      <c r="I6255" s="388"/>
      <c r="J6255" s="291"/>
      <c r="K6255" s="291"/>
      <c r="L6255" s="291"/>
      <c r="M6255" s="291"/>
      <c r="S6255" s="364"/>
      <c r="Z6255" s="609" t="s">
        <v>2063</v>
      </c>
      <c r="AA6255" s="609"/>
    </row>
    <row r="6256" spans="1:27" ht="18">
      <c r="A6256" s="2714"/>
      <c r="B6256" s="371">
        <v>103</v>
      </c>
      <c r="C6256" s="371" t="s">
        <v>2791</v>
      </c>
      <c r="D6256" s="2716">
        <f>IF(OR(G6256="*",G6256="",G6256=0),0,COUNTIF($G$6254:$G$6257,G6256))</f>
        <v>0</v>
      </c>
      <c r="E6256" s="2721">
        <v>1</v>
      </c>
      <c r="F6256" s="294"/>
      <c r="G6256" s="1563" t="s">
        <v>2792</v>
      </c>
      <c r="H6256" s="309"/>
      <c r="I6256" s="388"/>
      <c r="J6256" s="291"/>
      <c r="K6256" s="291"/>
      <c r="L6256" s="291"/>
      <c r="M6256" s="291"/>
      <c r="S6256" s="364"/>
      <c r="Z6256" s="609" t="s">
        <v>2063</v>
      </c>
      <c r="AA6256" s="609"/>
    </row>
    <row r="6257" spans="1:27" ht="18.75" thickBot="1">
      <c r="A6257" s="2714"/>
      <c r="B6257" s="371"/>
      <c r="C6257" s="371"/>
      <c r="D6257" s="2716">
        <f>IF(OR(G6257="*",G6257="",G6257=0),0,COUNTIF($G$6254:$G$6257,G6257))</f>
        <v>1</v>
      </c>
      <c r="E6257" s="2721" t="s">
        <v>2751</v>
      </c>
      <c r="F6257" s="294"/>
      <c r="G6257" s="1529" t="s">
        <v>2752</v>
      </c>
      <c r="H6257" s="1527">
        <f>SUMPRODUCT($E6253:$E6256,H6253:H6256)</f>
        <v>0</v>
      </c>
      <c r="I6257" s="1571"/>
      <c r="J6257" s="291"/>
      <c r="K6257" s="291"/>
      <c r="L6257" s="291"/>
      <c r="M6257" s="291"/>
      <c r="S6257" s="364"/>
      <c r="Z6257" s="609" t="s">
        <v>2063</v>
      </c>
      <c r="AA6257" s="609"/>
    </row>
    <row r="6258" spans="1:27" ht="18">
      <c r="A6258" s="2714"/>
      <c r="B6258" s="371"/>
      <c r="C6258" s="371" t="s">
        <v>2755</v>
      </c>
      <c r="D6258" s="371"/>
      <c r="F6258" s="294"/>
      <c r="G6258" s="301"/>
      <c r="H6258" s="315"/>
      <c r="I6258" s="393"/>
      <c r="J6258" s="291"/>
      <c r="K6258" s="291"/>
      <c r="L6258" s="291"/>
      <c r="M6258" s="291"/>
      <c r="S6258" s="364"/>
      <c r="Z6258" s="609" t="s">
        <v>2063</v>
      </c>
      <c r="AA6258" s="609"/>
    </row>
    <row r="6259" spans="1:27" ht="12.75" thickBot="1">
      <c r="S6259" s="364"/>
    </row>
    <row r="6260" spans="1:27">
      <c r="A6260" s="2718"/>
      <c r="B6260" s="2718"/>
      <c r="C6260" s="2718"/>
      <c r="D6260" s="2718"/>
      <c r="E6260" s="2722"/>
      <c r="F6260" s="633"/>
      <c r="G6260" s="634"/>
      <c r="H6260" s="634"/>
      <c r="I6260" s="634"/>
      <c r="J6260" s="634"/>
      <c r="K6260" s="634"/>
      <c r="L6260" s="634"/>
      <c r="M6260" s="634"/>
      <c r="N6260" s="634"/>
      <c r="O6260" s="634"/>
      <c r="P6260" s="634"/>
      <c r="Q6260" s="634"/>
      <c r="R6260" s="634"/>
    </row>
    <row r="6261" spans="1:27" ht="18">
      <c r="A6261" s="2719"/>
      <c r="F6261" s="635" t="s">
        <v>3002</v>
      </c>
      <c r="G6261" s="2507" t="s">
        <v>2661</v>
      </c>
      <c r="H6261" s="2508"/>
      <c r="I6261" s="2509"/>
      <c r="J6261" s="2509"/>
      <c r="K6261" s="2509"/>
      <c r="L6261" s="2509"/>
      <c r="M6261" s="2509"/>
      <c r="N6261" s="2509"/>
      <c r="O6261" s="2509"/>
      <c r="P6261" s="532" t="s">
        <v>4860</v>
      </c>
    </row>
    <row r="6262" spans="1:27" ht="18">
      <c r="A6262" s="2719"/>
      <c r="G6262" s="2510" t="s">
        <v>4861</v>
      </c>
      <c r="H6262" s="2508"/>
      <c r="I6262" s="2508"/>
      <c r="J6262" s="2508"/>
      <c r="K6262" s="2508"/>
      <c r="L6262" s="2510" t="s">
        <v>2533</v>
      </c>
      <c r="M6262" s="2509"/>
      <c r="N6262" s="2509"/>
      <c r="O6262" s="2510" t="s">
        <v>4862</v>
      </c>
    </row>
    <row r="6263" spans="1:27" ht="18">
      <c r="A6263" s="2719"/>
      <c r="E6263" s="2723"/>
      <c r="L6263" s="636"/>
      <c r="O6263" s="636"/>
    </row>
    <row r="6264" spans="1:27" ht="18">
      <c r="A6264" s="2719"/>
      <c r="E6264" s="2723"/>
      <c r="L6264" s="636"/>
      <c r="O6264" s="636"/>
    </row>
    <row r="6265" spans="1:27" ht="18">
      <c r="A6265" s="2719"/>
      <c r="E6265" s="2723"/>
      <c r="L6265" s="636"/>
      <c r="O6265" s="636"/>
    </row>
  </sheetData>
  <sheetProtection algorithmName="SHA-512" hashValue="bwm8nrLtGgI+dcwhdXIf7U9B//zdjUO4AXpF2ohle/SFHffeWvQaCkGMSzDVd9T9bYExlT5sPdkjQ7jcCd6l9g==" saltValue="ZjvVfDJDauPdLVQtkOk5Og==" spinCount="100000" sheet="1" scenarios="1" formatCells="0" autoFilter="0"/>
  <mergeCells count="355">
    <mergeCell ref="H743:K743"/>
    <mergeCell ref="H765:K765"/>
    <mergeCell ref="H780:K780"/>
    <mergeCell ref="H814:K814"/>
    <mergeCell ref="H836:K836"/>
    <mergeCell ref="H1964:K1964"/>
    <mergeCell ref="G1964:G1965"/>
    <mergeCell ref="G780:G781"/>
    <mergeCell ref="H795:K795"/>
    <mergeCell ref="G795:G796"/>
    <mergeCell ref="G814:G815"/>
    <mergeCell ref="G836:G837"/>
    <mergeCell ref="I1472:I1473"/>
    <mergeCell ref="H851:H852"/>
    <mergeCell ref="H1082:J1082"/>
    <mergeCell ref="H1104:J1104"/>
    <mergeCell ref="K1494:K1495"/>
    <mergeCell ref="H1148:K1148"/>
    <mergeCell ref="H1170:J1170"/>
    <mergeCell ref="H1192:J1192"/>
    <mergeCell ref="H1207:J1207"/>
    <mergeCell ref="H1236:K1236"/>
    <mergeCell ref="H1258:J1258"/>
    <mergeCell ref="H1280:J1280"/>
    <mergeCell ref="G5513:G5514"/>
    <mergeCell ref="G1911:G1912"/>
    <mergeCell ref="G1494:G1495"/>
    <mergeCell ref="H2415:J2415"/>
    <mergeCell ref="K2415:M2415"/>
    <mergeCell ref="G2415:G2416"/>
    <mergeCell ref="H1412:K1412"/>
    <mergeCell ref="G1620:G1621"/>
    <mergeCell ref="G1639:G1640"/>
    <mergeCell ref="G1777:G1778"/>
    <mergeCell ref="G1802:G1803"/>
    <mergeCell ref="G1826:G1827"/>
    <mergeCell ref="G1841:G1842"/>
    <mergeCell ref="G1930:G1931"/>
    <mergeCell ref="G1950:G1951"/>
    <mergeCell ref="G1974:G1975"/>
    <mergeCell ref="G1989:G1990"/>
    <mergeCell ref="G1431:G1432"/>
    <mergeCell ref="G1610:G1611"/>
    <mergeCell ref="G2318:G2319"/>
    <mergeCell ref="G2276:G2277"/>
    <mergeCell ref="G2296:G2297"/>
    <mergeCell ref="G2352:G2353"/>
    <mergeCell ref="G2333:G2334"/>
    <mergeCell ref="G2051:G2052"/>
    <mergeCell ref="G2121:G2122"/>
    <mergeCell ref="G765:G766"/>
    <mergeCell ref="H451:K451"/>
    <mergeCell ref="H471:J471"/>
    <mergeCell ref="G471:G472"/>
    <mergeCell ref="G451:G452"/>
    <mergeCell ref="K691:M691"/>
    <mergeCell ref="K582:M582"/>
    <mergeCell ref="H724:K724"/>
    <mergeCell ref="J582:J583"/>
    <mergeCell ref="H538:J538"/>
    <mergeCell ref="H691:H692"/>
    <mergeCell ref="H582:H583"/>
    <mergeCell ref="I691:J691"/>
    <mergeCell ref="I582:I583"/>
    <mergeCell ref="G724:G725"/>
    <mergeCell ref="G743:G744"/>
    <mergeCell ref="G538:G539"/>
    <mergeCell ref="G691:G692"/>
    <mergeCell ref="G582:G583"/>
    <mergeCell ref="G709:G710"/>
    <mergeCell ref="H709:K709"/>
    <mergeCell ref="I851:I852"/>
    <mergeCell ref="H337:L337"/>
    <mergeCell ref="H359:K359"/>
    <mergeCell ref="H381:J381"/>
    <mergeCell ref="H403:J403"/>
    <mergeCell ref="H488:L488"/>
    <mergeCell ref="H503:L503"/>
    <mergeCell ref="H518:K518"/>
    <mergeCell ref="H418:J418"/>
    <mergeCell ref="H433:L433"/>
    <mergeCell ref="H23:J23"/>
    <mergeCell ref="K23:M23"/>
    <mergeCell ref="H123:J123"/>
    <mergeCell ref="K123:M123"/>
    <mergeCell ref="H195:K195"/>
    <mergeCell ref="H217:J217"/>
    <mergeCell ref="K254:M254"/>
    <mergeCell ref="J254:J255"/>
    <mergeCell ref="H173:L173"/>
    <mergeCell ref="H254:H255"/>
    <mergeCell ref="I254:I255"/>
    <mergeCell ref="H239:J239"/>
    <mergeCell ref="K5758:L5758"/>
    <mergeCell ref="H5332:L5332"/>
    <mergeCell ref="H5349:L5349"/>
    <mergeCell ref="H5366:M5366"/>
    <mergeCell ref="H5382:M5382"/>
    <mergeCell ref="H5758:H5759"/>
    <mergeCell ref="I5758:J5758"/>
    <mergeCell ref="H5398:J5398"/>
    <mergeCell ref="H5432:J5432"/>
    <mergeCell ref="H5467:K5467"/>
    <mergeCell ref="K5588:L5588"/>
    <mergeCell ref="M5588:P5588"/>
    <mergeCell ref="I5588:I5589"/>
    <mergeCell ref="H5513:K5513"/>
    <mergeCell ref="H1295:J1295"/>
    <mergeCell ref="H1119:J1119"/>
    <mergeCell ref="H1329:K1329"/>
    <mergeCell ref="H1351:J1351"/>
    <mergeCell ref="J851:J852"/>
    <mergeCell ref="H1060:K1060"/>
    <mergeCell ref="G851:G852"/>
    <mergeCell ref="G862:G863"/>
    <mergeCell ref="G23:G24"/>
    <mergeCell ref="G123:G124"/>
    <mergeCell ref="G173:G174"/>
    <mergeCell ref="G195:G196"/>
    <mergeCell ref="G217:G218"/>
    <mergeCell ref="G254:G255"/>
    <mergeCell ref="G337:G338"/>
    <mergeCell ref="G433:G434"/>
    <mergeCell ref="G359:G360"/>
    <mergeCell ref="G418:G419"/>
    <mergeCell ref="G381:G382"/>
    <mergeCell ref="G403:G404"/>
    <mergeCell ref="G488:G489"/>
    <mergeCell ref="G503:G504"/>
    <mergeCell ref="G518:G519"/>
    <mergeCell ref="G239:G240"/>
    <mergeCell ref="G1310:G1311"/>
    <mergeCell ref="G1412:G1413"/>
    <mergeCell ref="G1119:G1120"/>
    <mergeCell ref="G1329:G1330"/>
    <mergeCell ref="G1351:G1352"/>
    <mergeCell ref="G1472:G1473"/>
    <mergeCell ref="G1060:G1061"/>
    <mergeCell ref="G1082:G1083"/>
    <mergeCell ref="G1104:G1105"/>
    <mergeCell ref="G1148:G1149"/>
    <mergeCell ref="G1170:G1171"/>
    <mergeCell ref="G1192:G1193"/>
    <mergeCell ref="G1207:G1208"/>
    <mergeCell ref="G1236:G1237"/>
    <mergeCell ref="G1258:G1259"/>
    <mergeCell ref="G1280:G1281"/>
    <mergeCell ref="G1295:G1296"/>
    <mergeCell ref="G1368:G1369"/>
    <mergeCell ref="G1390:G1391"/>
    <mergeCell ref="G5588:G5589"/>
    <mergeCell ref="I3046:M3046"/>
    <mergeCell ref="I3178:J3178"/>
    <mergeCell ref="M3207:M3208"/>
    <mergeCell ref="G2140:G2141"/>
    <mergeCell ref="G2160:G2161"/>
    <mergeCell ref="G2205:G2206"/>
    <mergeCell ref="G2466:G2467"/>
    <mergeCell ref="G2923:G2924"/>
    <mergeCell ref="G2985:G2986"/>
    <mergeCell ref="G2651:G2652"/>
    <mergeCell ref="G2833:G2834"/>
    <mergeCell ref="G2911:G2912"/>
    <mergeCell ref="J5588:J5589"/>
    <mergeCell ref="J4523:K4523"/>
    <mergeCell ref="H4495:I4495"/>
    <mergeCell ref="J4495:K4495"/>
    <mergeCell ref="J4374:J4375"/>
    <mergeCell ref="H4347:I4347"/>
    <mergeCell ref="G3046:G3047"/>
    <mergeCell ref="G3178:G3179"/>
    <mergeCell ref="G3195:G3196"/>
    <mergeCell ref="H5588:H5589"/>
    <mergeCell ref="H5288:H5289"/>
    <mergeCell ref="G5332:G5333"/>
    <mergeCell ref="G3220:G3221"/>
    <mergeCell ref="G3247:G3248"/>
    <mergeCell ref="G3263:G3264"/>
    <mergeCell ref="G4091:G4092"/>
    <mergeCell ref="G4240:G4241"/>
    <mergeCell ref="H3220:H3221"/>
    <mergeCell ref="G4315:G4316"/>
    <mergeCell ref="G4324:G4325"/>
    <mergeCell ref="H3247:I3247"/>
    <mergeCell ref="H3263:I3263"/>
    <mergeCell ref="H4091:I4091"/>
    <mergeCell ref="G5288:G5289"/>
    <mergeCell ref="H5303:H5304"/>
    <mergeCell ref="G5303:G5304"/>
    <mergeCell ref="I4399:M4399"/>
    <mergeCell ref="H4240:H4241"/>
    <mergeCell ref="H4315:H4316"/>
    <mergeCell ref="H4374:H4375"/>
    <mergeCell ref="H4324:I4324"/>
    <mergeCell ref="K2160:M2160"/>
    <mergeCell ref="K2205:M2205"/>
    <mergeCell ref="H2333:H2334"/>
    <mergeCell ref="H2466:H2467"/>
    <mergeCell ref="J2276:K2276"/>
    <mergeCell ref="I3220:I3221"/>
    <mergeCell ref="I4374:I4375"/>
    <mergeCell ref="I5288:I5289"/>
    <mergeCell ref="I5303:I5304"/>
    <mergeCell ref="H4399:H4400"/>
    <mergeCell ref="J4347:K4347"/>
    <mergeCell ref="L4347:M4347"/>
    <mergeCell ref="L4324:L4325"/>
    <mergeCell ref="K2333:M2333"/>
    <mergeCell ref="H4547:I4547"/>
    <mergeCell ref="J4547:K4547"/>
    <mergeCell ref="H4570:I4570"/>
    <mergeCell ref="J4570:K4570"/>
    <mergeCell ref="M4324:M4325"/>
    <mergeCell ref="I4240:J4240"/>
    <mergeCell ref="I4315:M4315"/>
    <mergeCell ref="J4324:K4324"/>
    <mergeCell ref="L5303:L5304"/>
    <mergeCell ref="M3195:M3196"/>
    <mergeCell ref="H1950:J1950"/>
    <mergeCell ref="K1950:M1950"/>
    <mergeCell ref="H1974:K1974"/>
    <mergeCell ref="M1989:M1990"/>
    <mergeCell ref="L1989:L1990"/>
    <mergeCell ref="H1911:H1912"/>
    <mergeCell ref="I1911:I1912"/>
    <mergeCell ref="J1911:J1912"/>
    <mergeCell ref="N1911:N1912"/>
    <mergeCell ref="K1911:M1911"/>
    <mergeCell ref="K1930:K1931"/>
    <mergeCell ref="K1639:L1639"/>
    <mergeCell ref="J1777:K1777"/>
    <mergeCell ref="H1802:K1802"/>
    <mergeCell ref="L1802:O1802"/>
    <mergeCell ref="H1826:J1826"/>
    <mergeCell ref="K1826:M1826"/>
    <mergeCell ref="H1841:K1841"/>
    <mergeCell ref="L1841:O1841"/>
    <mergeCell ref="H1639:H1640"/>
    <mergeCell ref="H1777:H1778"/>
    <mergeCell ref="M1639:M1640"/>
    <mergeCell ref="G5758:G5759"/>
    <mergeCell ref="K3178:L3178"/>
    <mergeCell ref="K3195:L3195"/>
    <mergeCell ref="K3207:L3207"/>
    <mergeCell ref="J3220:K3220"/>
    <mergeCell ref="H3178:H3179"/>
    <mergeCell ref="G5580:G5581"/>
    <mergeCell ref="G5366:G5367"/>
    <mergeCell ref="G5382:G5383"/>
    <mergeCell ref="G5398:G5399"/>
    <mergeCell ref="G5432:G5433"/>
    <mergeCell ref="G5467:G5468"/>
    <mergeCell ref="G4347:G4348"/>
    <mergeCell ref="G4374:G4375"/>
    <mergeCell ref="G4399:G4400"/>
    <mergeCell ref="G4495:G4496"/>
    <mergeCell ref="G4523:G4524"/>
    <mergeCell ref="G4547:G4548"/>
    <mergeCell ref="G4570:G4571"/>
    <mergeCell ref="G3207:G3208"/>
    <mergeCell ref="I3195:J3195"/>
    <mergeCell ref="I3207:J3207"/>
    <mergeCell ref="L5288:L5289"/>
    <mergeCell ref="G5349:G5350"/>
    <mergeCell ref="N254:N255"/>
    <mergeCell ref="N691:N692"/>
    <mergeCell ref="N582:N583"/>
    <mergeCell ref="N851:N852"/>
    <mergeCell ref="N1472:N1473"/>
    <mergeCell ref="N1610:N1611"/>
    <mergeCell ref="I1777:I1778"/>
    <mergeCell ref="L1777:L1778"/>
    <mergeCell ref="K1472:M1472"/>
    <mergeCell ref="H1431:L1431"/>
    <mergeCell ref="I1610:J1610"/>
    <mergeCell ref="K1610:M1610"/>
    <mergeCell ref="K851:M851"/>
    <mergeCell ref="H862:I862"/>
    <mergeCell ref="J862:K862"/>
    <mergeCell ref="H1368:L1368"/>
    <mergeCell ref="H1390:L1390"/>
    <mergeCell ref="H1310:L1310"/>
    <mergeCell ref="H1472:H1473"/>
    <mergeCell ref="H1610:H1611"/>
    <mergeCell ref="H1620:J1620"/>
    <mergeCell ref="K1620:M1620"/>
    <mergeCell ref="J1472:J1473"/>
    <mergeCell ref="I1639:J1639"/>
    <mergeCell ref="Q5588:Q5589"/>
    <mergeCell ref="R2466:R2467"/>
    <mergeCell ref="R5588:R5589"/>
    <mergeCell ref="O2923:O2924"/>
    <mergeCell ref="N3178:N3179"/>
    <mergeCell ref="N4315:N4316"/>
    <mergeCell ref="N4399:N4400"/>
    <mergeCell ref="O2985:O2986"/>
    <mergeCell ref="P3046:P3047"/>
    <mergeCell ref="O3178:O3179"/>
    <mergeCell ref="O4399:O4400"/>
    <mergeCell ref="M2985:N2985"/>
    <mergeCell ref="P4374:P4375"/>
    <mergeCell ref="N4347:O4347"/>
    <mergeCell ref="P2651:P2652"/>
    <mergeCell ref="K4374:O4374"/>
    <mergeCell ref="L3220:L3221"/>
    <mergeCell ref="J3247:K3247"/>
    <mergeCell ref="J3263:K3263"/>
    <mergeCell ref="J4091:K4091"/>
    <mergeCell ref="I2985:L2985"/>
    <mergeCell ref="J5288:K5288"/>
    <mergeCell ref="J5303:K5303"/>
    <mergeCell ref="H4523:I4523"/>
    <mergeCell ref="Q1974:Q1975"/>
    <mergeCell ref="P2985:P2986"/>
    <mergeCell ref="P3178:P3179"/>
    <mergeCell ref="Q2466:Q2467"/>
    <mergeCell ref="M3178:M3179"/>
    <mergeCell ref="N3046:O3046"/>
    <mergeCell ref="N2651:O2651"/>
    <mergeCell ref="H2121:H2122"/>
    <mergeCell ref="I2121:I2122"/>
    <mergeCell ref="J2121:J2122"/>
    <mergeCell ref="K2121:M2121"/>
    <mergeCell ref="N2121:N2122"/>
    <mergeCell ref="H2051:K2051"/>
    <mergeCell ref="L2051:O2051"/>
    <mergeCell ref="H2296:K2296"/>
    <mergeCell ref="H1989:K1989"/>
    <mergeCell ref="K2140:K2141"/>
    <mergeCell ref="J2333:J2334"/>
    <mergeCell ref="H2160:J2160"/>
    <mergeCell ref="H2205:J2205"/>
    <mergeCell ref="H2276:I2276"/>
    <mergeCell ref="I2466:P2466"/>
    <mergeCell ref="K2352:K2353"/>
    <mergeCell ref="I2333:I2334"/>
    <mergeCell ref="H3207:H3208"/>
    <mergeCell ref="L2276:L2277"/>
    <mergeCell ref="H3195:H3196"/>
    <mergeCell ref="L4091:M4091"/>
    <mergeCell ref="H2318:J2318"/>
    <mergeCell ref="H2651:H2652"/>
    <mergeCell ref="I2651:M2651"/>
    <mergeCell ref="N2205:N2206"/>
    <mergeCell ref="N2333:N2334"/>
    <mergeCell ref="H2833:J2833"/>
    <mergeCell ref="K2833:M2833"/>
    <mergeCell ref="H2911:J2911"/>
    <mergeCell ref="K2911:M2911"/>
    <mergeCell ref="H2923:H2924"/>
    <mergeCell ref="I2923:L2923"/>
    <mergeCell ref="M2923:N2923"/>
    <mergeCell ref="H3046:H3047"/>
    <mergeCell ref="H2985:H2986"/>
    <mergeCell ref="N4091:O4091"/>
  </mergeCells>
  <phoneticPr fontId="163" type="noConversion"/>
  <conditionalFormatting sqref="I7">
    <cfRule type="cellIs" dxfId="4117" priority="2842" stopIfTrue="1" operator="equal">
      <formula>0</formula>
    </cfRule>
    <cfRule type="cellIs" dxfId="4116" priority="2843" stopIfTrue="1" operator="notEqual">
      <formula>0</formula>
    </cfRule>
  </conditionalFormatting>
  <conditionalFormatting sqref="P7">
    <cfRule type="cellIs" dxfId="4115" priority="2836" stopIfTrue="1" operator="equal">
      <formula>0</formula>
    </cfRule>
    <cfRule type="cellIs" dxfId="4114" priority="2837" stopIfTrue="1" operator="notEqual">
      <formula>0</formula>
    </cfRule>
  </conditionalFormatting>
  <conditionalFormatting sqref="Q90 Q1520:Q1526 Q2001:Q2012 Q5631:Q5656 Q5755:Q5782 Q1799:Q1810 Q698:Q705 Q2648:Q2650 Q71:Q88 Q1869:Q1945 Q5395 Q5429:Q5462 Q2191:Q2200 Q4100:Q4109 Q910 Q2412:Q2462 Q1027:Q1218 Q890 Q1853 Q2063 Q2218:Q2233 Q2315 Q2330:Q2348 Q792:Q850 Q688 Q170:Q315 Q500 Q430:Q485 Q1469:Q1509 Q1307:Q1365 Q1387 Q1409 Q1428 Q1449 Q1459 Q1607 Q1655 Q1665 Q1736 Q2652:Q2705 Q2719 Q2733 Q2748:Q2760 Q1764 Q2368 Q3363 Q4044 Q5784:Q5812 Q5510 Q5558:Q5566 Q5285 Q5300:Q5327 Q721:Q777 Q2079 Q2092 Q2105 Q2118:Q2136">
    <cfRule type="expression" dxfId="4113" priority="4261" stopIfTrue="1">
      <formula>$Q71="请输入"</formula>
    </cfRule>
  </conditionalFormatting>
  <conditionalFormatting sqref="I109 I5611 I5285 I5300 I5315 I5631 I5644 I5657 I5667 I5677 I5687 I5697 I5707 I5717 I5727 I5737 I5747 I5755 I5770 I3592 I2191 I910 I1491 I1057 I1079 I1101 I1116 I1307 I1326 I1348 I1469 I1908 I1869 I1895 I2079 I2092 I2105 I2118 I2330 I2315 I1882 I468 I688 I668 I485 I500 I430 I890 I1365 I1387 I1409 I1428 I1449 I1459 I1607 I1655 I1665 I1736 I2368 I2705 I2719 I2733 I2748 I1587 I1764 I2771 I3363 I4044 I4226">
    <cfRule type="expression" dxfId="4112" priority="2498" stopIfTrue="1">
      <formula>$I109="适用"</formula>
    </cfRule>
    <cfRule type="expression" dxfId="4111" priority="2499" stopIfTrue="1">
      <formula>$I109="不适用"</formula>
    </cfRule>
  </conditionalFormatting>
  <conditionalFormatting sqref="I317">
    <cfRule type="expression" dxfId="4110" priority="968" stopIfTrue="1">
      <formula>$I317="适用"</formula>
    </cfRule>
    <cfRule type="expression" dxfId="4109" priority="969" stopIfTrue="1">
      <formula>$I317="不适用"</formula>
    </cfRule>
  </conditionalFormatting>
  <conditionalFormatting sqref="I334">
    <cfRule type="expression" dxfId="4108" priority="962" stopIfTrue="1">
      <formula>$I334="适用"</formula>
    </cfRule>
    <cfRule type="expression" dxfId="4107" priority="963" stopIfTrue="1">
      <formula>$I334="不适用"</formula>
    </cfRule>
  </conditionalFormatting>
  <conditionalFormatting sqref="I356">
    <cfRule type="expression" dxfId="4106" priority="956" stopIfTrue="1">
      <formula>$I356="适用"</formula>
    </cfRule>
    <cfRule type="expression" dxfId="4105" priority="957" stopIfTrue="1">
      <formula>$I356="不适用"</formula>
    </cfRule>
  </conditionalFormatting>
  <conditionalFormatting sqref="I378">
    <cfRule type="expression" dxfId="4104" priority="950" stopIfTrue="1">
      <formula>$I378="适用"</formula>
    </cfRule>
    <cfRule type="expression" dxfId="4103" priority="951" stopIfTrue="1">
      <formula>$I378="不适用"</formula>
    </cfRule>
  </conditionalFormatting>
  <conditionalFormatting sqref="I400">
    <cfRule type="expression" dxfId="4102" priority="940" stopIfTrue="1">
      <formula>$I400="适用"</formula>
    </cfRule>
    <cfRule type="expression" dxfId="4101" priority="941" stopIfTrue="1">
      <formula>$I400="不适用"</formula>
    </cfRule>
  </conditionalFormatting>
  <conditionalFormatting sqref="Q515">
    <cfRule type="expression" dxfId="4100" priority="4270" stopIfTrue="1">
      <formula>$Q515="请输入"</formula>
    </cfRule>
  </conditionalFormatting>
  <conditionalFormatting sqref="G525 G93:G106 G1414:G1419 G893:G898 G2602:G2616 G4047:G4052 G1815:G1820 G1804:G1809 G1496:G1508 G2653:G2696 G490:G498 G4875:G4883 G4640:G4643 G5318:G5326 G5221:G5282 G5290:G5298 G4911:G4920 G5360:G5361 G5132:G5135 G4646:G4654">
    <cfRule type="expression" dxfId="4099" priority="947">
      <formula>$D93&gt;1</formula>
    </cfRule>
    <cfRule type="expression" dxfId="4098" priority="948">
      <formula>$C93="%IN"</formula>
    </cfRule>
    <cfRule type="expression" dxfId="4097" priority="949" stopIfTrue="1">
      <formula>$E93=0</formula>
    </cfRule>
  </conditionalFormatting>
  <conditionalFormatting sqref="Q535">
    <cfRule type="expression" dxfId="4096" priority="4271" stopIfTrue="1">
      <formula>$Q535="请输入"</formula>
    </cfRule>
  </conditionalFormatting>
  <conditionalFormatting sqref="I579">
    <cfRule type="expression" dxfId="4095" priority="934" stopIfTrue="1">
      <formula>$I579="适用"</formula>
    </cfRule>
    <cfRule type="expression" dxfId="4094" priority="935" stopIfTrue="1">
      <formula>$I579="不适用"</formula>
    </cfRule>
  </conditionalFormatting>
  <conditionalFormatting sqref="Q601">
    <cfRule type="expression" dxfId="4093" priority="4275" stopIfTrue="1">
      <formula>$Q601="请输入"</formula>
    </cfRule>
  </conditionalFormatting>
  <conditionalFormatting sqref="I611">
    <cfRule type="expression" dxfId="4092" priority="931" stopIfTrue="1">
      <formula>$I611="适用"</formula>
    </cfRule>
    <cfRule type="expression" dxfId="4091" priority="932" stopIfTrue="1">
      <formula>$I611="不适用"</formula>
    </cfRule>
  </conditionalFormatting>
  <conditionalFormatting sqref="Q618">
    <cfRule type="expression" dxfId="4090" priority="4276" stopIfTrue="1">
      <formula>$Q618="请输入"</formula>
    </cfRule>
  </conditionalFormatting>
  <conditionalFormatting sqref="G3366:G3371 G1767:G1772 G505:G513 G1370:G1378 G1392:G1400 G5614:G5628 G5700:G5705 G5720:G5725 G5740:G5745 G5750:G5752 G4757:G4767 G5140:G5144 G4889:G4905 G5159:G5164 G5149:G5154 G4970:G4973 G4670:G4685">
    <cfRule type="expression" dxfId="4089" priority="924" stopIfTrue="1">
      <formula>$D505&gt;1</formula>
    </cfRule>
    <cfRule type="expression" dxfId="4088" priority="925" stopIfTrue="1">
      <formula>$C505="%IN"</formula>
    </cfRule>
  </conditionalFormatting>
  <conditionalFormatting sqref="Q629">
    <cfRule type="expression" dxfId="4087" priority="4277" stopIfTrue="1">
      <formula>$Q629="请输入"</formula>
    </cfRule>
  </conditionalFormatting>
  <conditionalFormatting sqref="Q648">
    <cfRule type="expression" dxfId="4086" priority="4278" stopIfTrue="1">
      <formula>$Q648="请输入"</formula>
    </cfRule>
  </conditionalFormatting>
  <conditionalFormatting sqref="Q658">
    <cfRule type="expression" dxfId="4085" priority="4279" stopIfTrue="1">
      <formula>$Q658="请输入"</formula>
    </cfRule>
  </conditionalFormatting>
  <conditionalFormatting sqref="Q668">
    <cfRule type="expression" dxfId="4084" priority="4281" stopIfTrue="1">
      <formula>$Q668="请输入"</formula>
    </cfRule>
  </conditionalFormatting>
  <conditionalFormatting sqref="Q678">
    <cfRule type="expression" dxfId="4083" priority="4282" stopIfTrue="1">
      <formula>$Q678="请输入"</formula>
    </cfRule>
  </conditionalFormatting>
  <conditionalFormatting sqref="I698">
    <cfRule type="expression" dxfId="4082" priority="1038" stopIfTrue="1">
      <formula>$I698="适用"</formula>
    </cfRule>
    <cfRule type="expression" dxfId="4081" priority="1039" stopIfTrue="1">
      <formula>$I698="不适用"</formula>
    </cfRule>
  </conditionalFormatting>
  <conditionalFormatting sqref="I706">
    <cfRule type="expression" dxfId="4080" priority="1035" stopIfTrue="1">
      <formula>$I706="适用"</formula>
    </cfRule>
    <cfRule type="expression" dxfId="4079" priority="1036" stopIfTrue="1">
      <formula>$I706="不适用"</formula>
    </cfRule>
  </conditionalFormatting>
  <conditionalFormatting sqref="I721">
    <cfRule type="expression" dxfId="4078" priority="1032" stopIfTrue="1">
      <formula>$I721="适用"</formula>
    </cfRule>
    <cfRule type="expression" dxfId="4077" priority="1033" stopIfTrue="1">
      <formula>$I721="不适用"</formula>
    </cfRule>
  </conditionalFormatting>
  <conditionalFormatting sqref="I740">
    <cfRule type="expression" dxfId="4076" priority="1029" stopIfTrue="1">
      <formula>$I740="适用"</formula>
    </cfRule>
    <cfRule type="expression" dxfId="4075" priority="1030" stopIfTrue="1">
      <formula>$I740="不适用"</formula>
    </cfRule>
  </conditionalFormatting>
  <conditionalFormatting sqref="I848">
    <cfRule type="expression" dxfId="4074" priority="1026" stopIfTrue="1">
      <formula>$I848="适用"</formula>
    </cfRule>
    <cfRule type="expression" dxfId="4073" priority="1027" stopIfTrue="1">
      <formula>$I848="不适用"</formula>
    </cfRule>
  </conditionalFormatting>
  <conditionalFormatting sqref="Q859">
    <cfRule type="expression" dxfId="4072" priority="4283" stopIfTrue="1">
      <formula>$Q859="请输入"</formula>
    </cfRule>
  </conditionalFormatting>
  <conditionalFormatting sqref="Q871">
    <cfRule type="expression" dxfId="4071" priority="4285" stopIfTrue="1">
      <formula>$Q871="请输入"</formula>
    </cfRule>
  </conditionalFormatting>
  <conditionalFormatting sqref="I900">
    <cfRule type="expression" dxfId="4070" priority="1458" stopIfTrue="1">
      <formula>$I900="适用"</formula>
    </cfRule>
    <cfRule type="expression" dxfId="4069" priority="1459" stopIfTrue="1">
      <formula>$I900="不适用"</formula>
    </cfRule>
  </conditionalFormatting>
  <conditionalFormatting sqref="I934">
    <cfRule type="expression" dxfId="4068" priority="1141" stopIfTrue="1">
      <formula>$I934="适用"</formula>
    </cfRule>
    <cfRule type="expression" dxfId="4067" priority="1142" stopIfTrue="1">
      <formula>$I934="不适用"</formula>
    </cfRule>
  </conditionalFormatting>
  <conditionalFormatting sqref="Q944">
    <cfRule type="expression" dxfId="4066" priority="4290" stopIfTrue="1">
      <formula>$Q944="请输入"</formula>
    </cfRule>
  </conditionalFormatting>
  <conditionalFormatting sqref="Q956">
    <cfRule type="expression" dxfId="4065" priority="4291" stopIfTrue="1">
      <formula>$Q956="请输入"</formula>
    </cfRule>
  </conditionalFormatting>
  <conditionalFormatting sqref="Q967">
    <cfRule type="expression" dxfId="4064" priority="4292" stopIfTrue="1">
      <formula>$Q967="请输入"</formula>
    </cfRule>
  </conditionalFormatting>
  <conditionalFormatting sqref="I977">
    <cfRule type="expression" dxfId="4063" priority="2484" stopIfTrue="1">
      <formula>$I977="适用"</formula>
    </cfRule>
    <cfRule type="expression" dxfId="4062" priority="2485" stopIfTrue="1">
      <formula>$I977="不适用"</formula>
    </cfRule>
  </conditionalFormatting>
  <conditionalFormatting sqref="Q977">
    <cfRule type="expression" dxfId="4061" priority="4293" stopIfTrue="1">
      <formula>$Q977="请输入"</formula>
    </cfRule>
  </conditionalFormatting>
  <conditionalFormatting sqref="I1043">
    <cfRule type="expression" dxfId="4060" priority="1003" stopIfTrue="1">
      <formula>$I1043="适用"</formula>
    </cfRule>
    <cfRule type="expression" dxfId="4059" priority="1004" stopIfTrue="1">
      <formula>$I1043="不适用"</formula>
    </cfRule>
  </conditionalFormatting>
  <conditionalFormatting sqref="I1219">
    <cfRule type="expression" dxfId="4058" priority="997" stopIfTrue="1">
      <formula>$I1219="适用"</formula>
    </cfRule>
    <cfRule type="expression" dxfId="4057" priority="998" stopIfTrue="1">
      <formula>$I1219="不适用"</formula>
    </cfRule>
  </conditionalFormatting>
  <conditionalFormatting sqref="Q1510">
    <cfRule type="expression" dxfId="4056" priority="4301" stopIfTrue="1">
      <formula>$Q1510="请输入"</formula>
    </cfRule>
  </conditionalFormatting>
  <conditionalFormatting sqref="I1520">
    <cfRule type="expression" dxfId="4055" priority="973" stopIfTrue="1">
      <formula>$I1520="适用"</formula>
    </cfRule>
    <cfRule type="expression" dxfId="4054" priority="974" stopIfTrue="1">
      <formula>$I1520="不适用"</formula>
    </cfRule>
  </conditionalFormatting>
  <conditionalFormatting sqref="Q1527">
    <cfRule type="expression" dxfId="4053" priority="4302" stopIfTrue="1">
      <formula>$Q1527="请输入"</formula>
    </cfRule>
  </conditionalFormatting>
  <conditionalFormatting sqref="Q1538">
    <cfRule type="expression" dxfId="4052" priority="4304" stopIfTrue="1">
      <formula>$Q1538="请输入"</formula>
    </cfRule>
  </conditionalFormatting>
  <conditionalFormatting sqref="Q1557">
    <cfRule type="expression" dxfId="4051" priority="4305" stopIfTrue="1">
      <formula>$Q1557="请输入"</formula>
    </cfRule>
  </conditionalFormatting>
  <conditionalFormatting sqref="Q1567">
    <cfRule type="expression" dxfId="4050" priority="4306" stopIfTrue="1">
      <formula>$Q1567="请输入"</formula>
    </cfRule>
  </conditionalFormatting>
  <conditionalFormatting sqref="Q1577">
    <cfRule type="expression" dxfId="4049" priority="4307" stopIfTrue="1">
      <formula>$Q1577="请输入"</formula>
    </cfRule>
  </conditionalFormatting>
  <conditionalFormatting sqref="Q1587">
    <cfRule type="expression" dxfId="4048" priority="4309" stopIfTrue="1">
      <formula>$Q1587="请输入"</formula>
    </cfRule>
  </conditionalFormatting>
  <conditionalFormatting sqref="Q1597">
    <cfRule type="expression" dxfId="4047" priority="4310" stopIfTrue="1">
      <formula>$Q1597="请输入"</formula>
    </cfRule>
  </conditionalFormatting>
  <conditionalFormatting sqref="Q1617">
    <cfRule type="expression" dxfId="4046" priority="4311" stopIfTrue="1">
      <formula>$Q1617="请输入"</formula>
    </cfRule>
  </conditionalFormatting>
  <conditionalFormatting sqref="Q1636">
    <cfRule type="expression" dxfId="4045" priority="4312" stopIfTrue="1">
      <formula>$Q1636="请输入"</formula>
    </cfRule>
  </conditionalFormatting>
  <conditionalFormatting sqref="Q1682">
    <cfRule type="expression" dxfId="4044" priority="4315" stopIfTrue="1">
      <formula>$Q1682="请输入"</formula>
    </cfRule>
  </conditionalFormatting>
  <conditionalFormatting sqref="Q1699">
    <cfRule type="expression" dxfId="4043" priority="4316" stopIfTrue="1">
      <formula>$Q1699="请输入"</formula>
    </cfRule>
  </conditionalFormatting>
  <conditionalFormatting sqref="Q1716">
    <cfRule type="expression" dxfId="4042" priority="4317" stopIfTrue="1">
      <formula>$Q1716="请输入"</formula>
    </cfRule>
  </conditionalFormatting>
  <conditionalFormatting sqref="I1753">
    <cfRule type="expression" dxfId="4041" priority="1452" stopIfTrue="1">
      <formula>$I1753="适用"</formula>
    </cfRule>
    <cfRule type="expression" dxfId="4040" priority="1453" stopIfTrue="1">
      <formula>$I1753="不适用"</formula>
    </cfRule>
  </conditionalFormatting>
  <conditionalFormatting sqref="Q1753">
    <cfRule type="expression" dxfId="4039" priority="4320" stopIfTrue="1">
      <formula>$Q1753="请输入"</formula>
    </cfRule>
  </conditionalFormatting>
  <conditionalFormatting sqref="I1790">
    <cfRule type="expression" dxfId="4038" priority="2420" stopIfTrue="1">
      <formula>$I1790="适用"</formula>
    </cfRule>
    <cfRule type="expression" dxfId="4037" priority="2421" stopIfTrue="1">
      <formula>$I1790="不适用"</formula>
    </cfRule>
  </conditionalFormatting>
  <conditionalFormatting sqref="Q1790">
    <cfRule type="expression" dxfId="4036" priority="4326" stopIfTrue="1">
      <formula>$Q1790="请输入"</formula>
    </cfRule>
  </conditionalFormatting>
  <conditionalFormatting sqref="I1799">
    <cfRule type="expression" dxfId="4035" priority="910" stopIfTrue="1">
      <formula>$I1799="适用"</formula>
    </cfRule>
    <cfRule type="expression" dxfId="4034" priority="911" stopIfTrue="1">
      <formula>$I1799="不适用"</formula>
    </cfRule>
  </conditionalFormatting>
  <conditionalFormatting sqref="Q1812">
    <cfRule type="expression" dxfId="4033" priority="4327" stopIfTrue="1">
      <formula>$Q1812="请输入"</formula>
    </cfRule>
  </conditionalFormatting>
  <conditionalFormatting sqref="I1823">
    <cfRule type="expression" dxfId="4032" priority="907" stopIfTrue="1">
      <formula>$I1823="适用"</formula>
    </cfRule>
    <cfRule type="expression" dxfId="4031" priority="908" stopIfTrue="1">
      <formula>$I1823="不适用"</formula>
    </cfRule>
  </conditionalFormatting>
  <conditionalFormatting sqref="I1838">
    <cfRule type="expression" dxfId="4030" priority="904" stopIfTrue="1">
      <formula>$I1838="适用"</formula>
    </cfRule>
    <cfRule type="expression" dxfId="4029" priority="905" stopIfTrue="1">
      <formula>$I1838="不适用"</formula>
    </cfRule>
  </conditionalFormatting>
  <conditionalFormatting sqref="I1853">
    <cfRule type="expression" dxfId="4028" priority="901" stopIfTrue="1">
      <formula>$I1853="适用"</formula>
    </cfRule>
    <cfRule type="expression" dxfId="4027" priority="902" stopIfTrue="1">
      <formula>$I1853="不适用"</formula>
    </cfRule>
  </conditionalFormatting>
  <conditionalFormatting sqref="I1927">
    <cfRule type="expression" dxfId="4026" priority="886" stopIfTrue="1">
      <formula>$I1927="适用"</formula>
    </cfRule>
    <cfRule type="expression" dxfId="4025" priority="887" stopIfTrue="1">
      <formula>$I1927="不适用"</formula>
    </cfRule>
  </conditionalFormatting>
  <conditionalFormatting sqref="Q1947">
    <cfRule type="expression" dxfId="4024" priority="4328" stopIfTrue="1">
      <formula>$Q1947="请输入"</formula>
    </cfRule>
  </conditionalFormatting>
  <conditionalFormatting sqref="I1961">
    <cfRule type="expression" dxfId="4023" priority="2412" stopIfTrue="1">
      <formula>$I1961="适用"</formula>
    </cfRule>
    <cfRule type="expression" dxfId="4022" priority="2413" stopIfTrue="1">
      <formula>$I1961="不适用"</formula>
    </cfRule>
  </conditionalFormatting>
  <conditionalFormatting sqref="Q1961">
    <cfRule type="expression" dxfId="4021" priority="4329" stopIfTrue="1">
      <formula>$Q1961="请输入"</formula>
    </cfRule>
  </conditionalFormatting>
  <conditionalFormatting sqref="I1971">
    <cfRule type="expression" dxfId="4020" priority="853" stopIfTrue="1">
      <formula>$I1971="适用"</formula>
    </cfRule>
    <cfRule type="expression" dxfId="4019" priority="854" stopIfTrue="1">
      <formula>$I1971="不适用"</formula>
    </cfRule>
  </conditionalFormatting>
  <conditionalFormatting sqref="I1986">
    <cfRule type="expression" dxfId="4018" priority="850" stopIfTrue="1">
      <formula>$I1986="适用"</formula>
    </cfRule>
    <cfRule type="expression" dxfId="4017" priority="851" stopIfTrue="1">
      <formula>$I1986="不适用"</formula>
    </cfRule>
  </conditionalFormatting>
  <conditionalFormatting sqref="I2001">
    <cfRule type="expression" dxfId="4016" priority="847" stopIfTrue="1">
      <formula>$I2001="适用"</formula>
    </cfRule>
    <cfRule type="expression" dxfId="4015" priority="848" stopIfTrue="1">
      <formula>$I2001="不适用"</formula>
    </cfRule>
  </conditionalFormatting>
  <conditionalFormatting sqref="Q2013">
    <cfRule type="expression" dxfId="4014" priority="4331" stopIfTrue="1">
      <formula>$Q2013="请输入"</formula>
    </cfRule>
  </conditionalFormatting>
  <conditionalFormatting sqref="I2021">
    <cfRule type="expression" dxfId="4013" priority="2396" stopIfTrue="1">
      <formula>$I2021="适用"</formula>
    </cfRule>
    <cfRule type="expression" dxfId="4012" priority="2397" stopIfTrue="1">
      <formula>$I2021="不适用"</formula>
    </cfRule>
  </conditionalFormatting>
  <conditionalFormatting sqref="Q2021">
    <cfRule type="expression" dxfId="4011" priority="4335" stopIfTrue="1">
      <formula>$Q2021="请输入"</formula>
    </cfRule>
  </conditionalFormatting>
  <conditionalFormatting sqref="I2032">
    <cfRule type="expression" dxfId="4010" priority="844" stopIfTrue="1">
      <formula>$I2032="适用"</formula>
    </cfRule>
    <cfRule type="expression" dxfId="4009" priority="845" stopIfTrue="1">
      <formula>$I2032="不适用"</formula>
    </cfRule>
  </conditionalFormatting>
  <conditionalFormatting sqref="I2048">
    <cfRule type="expression" dxfId="4008" priority="837" stopIfTrue="1">
      <formula>$I2048="适用"</formula>
    </cfRule>
    <cfRule type="expression" dxfId="4007" priority="838" stopIfTrue="1">
      <formula>$I2048="不适用"</formula>
    </cfRule>
  </conditionalFormatting>
  <conditionalFormatting sqref="I2063">
    <cfRule type="expression" dxfId="4006" priority="834" stopIfTrue="1">
      <formula>$I2063="适用"</formula>
    </cfRule>
    <cfRule type="expression" dxfId="4005" priority="835" stopIfTrue="1">
      <formula>$I2063="不适用"</formula>
    </cfRule>
  </conditionalFormatting>
  <conditionalFormatting sqref="I2137">
    <cfRule type="expression" dxfId="4004" priority="822" stopIfTrue="1">
      <formula>$I2137="适用"</formula>
    </cfRule>
    <cfRule type="expression" dxfId="4003" priority="823" stopIfTrue="1">
      <formula>$I2137="不适用"</formula>
    </cfRule>
  </conditionalFormatting>
  <conditionalFormatting sqref="Q2157">
    <cfRule type="expression" dxfId="4002" priority="4336" stopIfTrue="1">
      <formula>$Q2157="请输入"</formula>
    </cfRule>
  </conditionalFormatting>
  <conditionalFormatting sqref="I2171">
    <cfRule type="expression" dxfId="4001" priority="2386" stopIfTrue="1">
      <formula>$I2171="适用"</formula>
    </cfRule>
    <cfRule type="expression" dxfId="4000" priority="2387" stopIfTrue="1">
      <formula>$I2171="不适用"</formula>
    </cfRule>
  </conditionalFormatting>
  <conditionalFormatting sqref="Q2171">
    <cfRule type="expression" dxfId="3999" priority="4337" stopIfTrue="1">
      <formula>$Q2171="请输入"</formula>
    </cfRule>
  </conditionalFormatting>
  <conditionalFormatting sqref="I2181">
    <cfRule type="expression" dxfId="3998" priority="2380" stopIfTrue="1">
      <formula>$I2181="适用"</formula>
    </cfRule>
    <cfRule type="expression" dxfId="3997" priority="2381" stopIfTrue="1">
      <formula>$I2181="不适用"</formula>
    </cfRule>
  </conditionalFormatting>
  <conditionalFormatting sqref="Q2181">
    <cfRule type="expression" dxfId="3996" priority="4338" stopIfTrue="1">
      <formula>$Q2181="请输入"</formula>
    </cfRule>
  </conditionalFormatting>
  <conditionalFormatting sqref="Q2202">
    <cfRule type="expression" dxfId="3995" priority="4339" stopIfTrue="1">
      <formula>$Q2202="请输入"</formula>
    </cfRule>
  </conditionalFormatting>
  <conditionalFormatting sqref="I2234">
    <cfRule type="expression" dxfId="3994" priority="798" stopIfTrue="1">
      <formula>$I2234="适用"</formula>
    </cfRule>
    <cfRule type="expression" dxfId="3993" priority="799" stopIfTrue="1">
      <formula>$I2234="不适用"</formula>
    </cfRule>
  </conditionalFormatting>
  <conditionalFormatting sqref="I2247">
    <cfRule type="expression" dxfId="3992" priority="795" stopIfTrue="1">
      <formula>$I2247="适用"</formula>
    </cfRule>
    <cfRule type="expression" dxfId="3991" priority="796" stopIfTrue="1">
      <formula>$I2247="不适用"</formula>
    </cfRule>
  </conditionalFormatting>
  <conditionalFormatting sqref="I2260">
    <cfRule type="expression" dxfId="3990" priority="789" stopIfTrue="1">
      <formula>$I2260="适用"</formula>
    </cfRule>
    <cfRule type="expression" dxfId="3989" priority="790" stopIfTrue="1">
      <formula>$I2260="不适用"</formula>
    </cfRule>
  </conditionalFormatting>
  <conditionalFormatting sqref="I2273">
    <cfRule type="expression" dxfId="3988" priority="771" stopIfTrue="1">
      <formula>$I2273="适用"</formula>
    </cfRule>
    <cfRule type="expression" dxfId="3987" priority="772" stopIfTrue="1">
      <formula>$I2273="不适用"</formula>
    </cfRule>
  </conditionalFormatting>
  <conditionalFormatting sqref="I2293">
    <cfRule type="expression" dxfId="3986" priority="768" stopIfTrue="1">
      <formula>$I2293="适用"</formula>
    </cfRule>
    <cfRule type="expression" dxfId="3985" priority="769" stopIfTrue="1">
      <formula>$I2293="不适用"</formula>
    </cfRule>
  </conditionalFormatting>
  <conditionalFormatting sqref="I2349">
    <cfRule type="expression" dxfId="3984" priority="765" stopIfTrue="1">
      <formula>$I2349="适用"</formula>
    </cfRule>
    <cfRule type="expression" dxfId="3983" priority="766" stopIfTrue="1">
      <formula>$I2349="不适用"</formula>
    </cfRule>
  </conditionalFormatting>
  <conditionalFormatting sqref="I2378">
    <cfRule type="expression" dxfId="3982" priority="753" stopIfTrue="1">
      <formula>$I2378="适用"</formula>
    </cfRule>
    <cfRule type="expression" dxfId="3981" priority="754" stopIfTrue="1">
      <formula>$I2378="不适用"</formula>
    </cfRule>
  </conditionalFormatting>
  <conditionalFormatting sqref="I2391">
    <cfRule type="expression" dxfId="3980" priority="2783" stopIfTrue="1">
      <formula>$I2391="适用"</formula>
    </cfRule>
    <cfRule type="expression" dxfId="3979" priority="2784" stopIfTrue="1">
      <formula>$I2391="不适用"</formula>
    </cfRule>
  </conditionalFormatting>
  <conditionalFormatting sqref="Q2391">
    <cfRule type="expression" dxfId="3978" priority="4340" stopIfTrue="1">
      <formula>$Q2391="请输入"</formula>
    </cfRule>
  </conditionalFormatting>
  <conditionalFormatting sqref="I2401">
    <cfRule type="expression" dxfId="3977" priority="1990" stopIfTrue="1">
      <formula>$I2401="适用"</formula>
    </cfRule>
    <cfRule type="expression" dxfId="3976" priority="1991" stopIfTrue="1">
      <formula>$I2401="不适用"</formula>
    </cfRule>
  </conditionalFormatting>
  <conditionalFormatting sqref="Q2401">
    <cfRule type="expression" dxfId="3975" priority="4344" stopIfTrue="1">
      <formula>$Q2401="请输入"</formula>
    </cfRule>
  </conditionalFormatting>
  <conditionalFormatting sqref="I2497">
    <cfRule type="expression" dxfId="3974" priority="750" stopIfTrue="1">
      <formula>$I2497="适用"</formula>
    </cfRule>
    <cfRule type="expression" dxfId="3973" priority="751" stopIfTrue="1">
      <formula>$I2497="不适用"</formula>
    </cfRule>
  </conditionalFormatting>
  <conditionalFormatting sqref="I2506">
    <cfRule type="expression" dxfId="3972" priority="747" stopIfTrue="1">
      <formula>$I2506="适用"</formula>
    </cfRule>
    <cfRule type="expression" dxfId="3971" priority="748" stopIfTrue="1">
      <formula>$I2506="不适用"</formula>
    </cfRule>
  </conditionalFormatting>
  <conditionalFormatting sqref="I2520">
    <cfRule type="expression" dxfId="3970" priority="744" stopIfTrue="1">
      <formula>$I2520="适用"</formula>
    </cfRule>
    <cfRule type="expression" dxfId="3969" priority="745" stopIfTrue="1">
      <formula>$I2520="不适用"</formula>
    </cfRule>
  </conditionalFormatting>
  <conditionalFormatting sqref="Q2599">
    <cfRule type="expression" dxfId="3968" priority="4359" stopIfTrue="1">
      <formula>$Q2599="请输入"</formula>
    </cfRule>
  </conditionalFormatting>
  <conditionalFormatting sqref="Q2618">
    <cfRule type="expression" dxfId="3967" priority="4360" stopIfTrue="1">
      <formula>$Q2618="请输入"</formula>
    </cfRule>
  </conditionalFormatting>
  <conditionalFormatting sqref="I2639">
    <cfRule type="expression" dxfId="3966" priority="1136" stopIfTrue="1">
      <formula>$I2639="适用"</formula>
    </cfRule>
    <cfRule type="expression" dxfId="3965" priority="1137" stopIfTrue="1">
      <formula>$I2639="不适用"</formula>
    </cfRule>
  </conditionalFormatting>
  <conditionalFormatting sqref="Q2761">
    <cfRule type="expression" dxfId="3964" priority="4369" stopIfTrue="1">
      <formula>$Q2761="请输入"</formula>
    </cfRule>
  </conditionalFormatting>
  <conditionalFormatting sqref="I2781">
    <cfRule type="expression" dxfId="3963" priority="1444" stopIfTrue="1">
      <formula>$I2781="适用"</formula>
    </cfRule>
    <cfRule type="expression" dxfId="3962" priority="1445" stopIfTrue="1">
      <formula>$I2781="不适用"</formula>
    </cfRule>
  </conditionalFormatting>
  <conditionalFormatting sqref="I2797">
    <cfRule type="expression" dxfId="3961" priority="708" stopIfTrue="1">
      <formula>$I2797="适用"</formula>
    </cfRule>
    <cfRule type="expression" dxfId="3960" priority="709" stopIfTrue="1">
      <formula>$I2797="不适用"</formula>
    </cfRule>
  </conditionalFormatting>
  <conditionalFormatting sqref="I2821">
    <cfRule type="expression" dxfId="3959" priority="1131" stopIfTrue="1">
      <formula>$I2821="适用"</formula>
    </cfRule>
    <cfRule type="expression" dxfId="3958" priority="1132" stopIfTrue="1">
      <formula>$I2821="不适用"</formula>
    </cfRule>
  </conditionalFormatting>
  <conditionalFormatting sqref="Q2830">
    <cfRule type="expression" dxfId="3957" priority="4372" stopIfTrue="1">
      <formula>$Q2830="请输入"</formula>
    </cfRule>
  </conditionalFormatting>
  <conditionalFormatting sqref="Q2847">
    <cfRule type="expression" dxfId="3956" priority="4373" stopIfTrue="1">
      <formula>$Q2847="请输入"</formula>
    </cfRule>
  </conditionalFormatting>
  <conditionalFormatting sqref="Q2862">
    <cfRule type="expression" dxfId="3955" priority="4374" stopIfTrue="1">
      <formula>$Q2862="请输入"</formula>
    </cfRule>
  </conditionalFormatting>
  <conditionalFormatting sqref="I2877">
    <cfRule type="expression" dxfId="3954" priority="699" stopIfTrue="1">
      <formula>$I2877="适用"</formula>
    </cfRule>
    <cfRule type="expression" dxfId="3953" priority="700" stopIfTrue="1">
      <formula>$I2877="不适用"</formula>
    </cfRule>
  </conditionalFormatting>
  <conditionalFormatting sqref="Q2897">
    <cfRule type="expression" dxfId="3952" priority="4375" stopIfTrue="1">
      <formula>$Q2897="请输入"</formula>
    </cfRule>
  </conditionalFormatting>
  <conditionalFormatting sqref="I2908">
    <cfRule type="expression" dxfId="3951" priority="1103" stopIfTrue="1">
      <formula>$I2908="适用"</formula>
    </cfRule>
    <cfRule type="expression" dxfId="3950" priority="1104" stopIfTrue="1">
      <formula>$I2908="不适用"</formula>
    </cfRule>
  </conditionalFormatting>
  <conditionalFormatting sqref="I2920">
    <cfRule type="expression" dxfId="3949" priority="2112" stopIfTrue="1">
      <formula>$I2920="适用"</formula>
    </cfRule>
    <cfRule type="expression" dxfId="3948" priority="2113" stopIfTrue="1">
      <formula>$I2920="不适用"</formula>
    </cfRule>
  </conditionalFormatting>
  <conditionalFormatting sqref="Q2920">
    <cfRule type="expression" dxfId="3947" priority="4378" stopIfTrue="1">
      <formula>$Q2920="请输入"</formula>
    </cfRule>
  </conditionalFormatting>
  <conditionalFormatting sqref="Q2982">
    <cfRule type="expression" dxfId="3946" priority="4382" stopIfTrue="1">
      <formula>$Q2982="请输入"</formula>
    </cfRule>
  </conditionalFormatting>
  <conditionalFormatting sqref="I3006">
    <cfRule type="expression" dxfId="3945" priority="696" stopIfTrue="1">
      <formula>$I3006="适用"</formula>
    </cfRule>
    <cfRule type="expression" dxfId="3944" priority="697" stopIfTrue="1">
      <formula>$I3006="不适用"</formula>
    </cfRule>
  </conditionalFormatting>
  <conditionalFormatting sqref="I3043">
    <cfRule type="expression" dxfId="3943" priority="2296" stopIfTrue="1">
      <formula>$I3043="适用"</formula>
    </cfRule>
    <cfRule type="expression" dxfId="3942" priority="2297" stopIfTrue="1">
      <formula>$I3043="不适用"</formula>
    </cfRule>
  </conditionalFormatting>
  <conditionalFormatting sqref="Q3043">
    <cfRule type="expression" dxfId="3941" priority="4384" stopIfTrue="1">
      <formula>$Q3043="请输入"</formula>
    </cfRule>
  </conditionalFormatting>
  <conditionalFormatting sqref="I3113">
    <cfRule type="expression" dxfId="3940" priority="684" stopIfTrue="1">
      <formula>$I3113="适用"</formula>
    </cfRule>
    <cfRule type="expression" dxfId="3939" priority="685" stopIfTrue="1">
      <formula>$I3113="不适用"</formula>
    </cfRule>
  </conditionalFormatting>
  <conditionalFormatting sqref="I3126">
    <cfRule type="expression" dxfId="3938" priority="2280" stopIfTrue="1">
      <formula>$I3126="适用"</formula>
    </cfRule>
    <cfRule type="expression" dxfId="3937" priority="2281" stopIfTrue="1">
      <formula>$I3126="不适用"</formula>
    </cfRule>
  </conditionalFormatting>
  <conditionalFormatting sqref="Q3126">
    <cfRule type="expression" dxfId="3936" priority="4387" stopIfTrue="1">
      <formula>$Q3126="请输入"</formula>
    </cfRule>
  </conditionalFormatting>
  <conditionalFormatting sqref="I3162">
    <cfRule type="expression" dxfId="3935" priority="1436" stopIfTrue="1">
      <formula>$I3162="适用"</formula>
    </cfRule>
    <cfRule type="expression" dxfId="3934" priority="1437" stopIfTrue="1">
      <formula>$I3162="不适用"</formula>
    </cfRule>
  </conditionalFormatting>
  <conditionalFormatting sqref="Q3175">
    <cfRule type="expression" dxfId="3933" priority="4391" stopIfTrue="1">
      <formula>$Q3175="请输入"</formula>
    </cfRule>
  </conditionalFormatting>
  <conditionalFormatting sqref="Q3192">
    <cfRule type="expression" dxfId="3932" priority="4392" stopIfTrue="1">
      <formula>$Q3192="请输入"</formula>
    </cfRule>
  </conditionalFormatting>
  <conditionalFormatting sqref="I3204">
    <cfRule type="expression" dxfId="3931" priority="2246" stopIfTrue="1">
      <formula>$I3204="适用"</formula>
    </cfRule>
    <cfRule type="expression" dxfId="3930" priority="2247" stopIfTrue="1">
      <formula>$I3204="不适用"</formula>
    </cfRule>
  </conditionalFormatting>
  <conditionalFormatting sqref="Q3204">
    <cfRule type="expression" dxfId="3929" priority="4393" stopIfTrue="1">
      <formula>$Q3204="请输入"</formula>
    </cfRule>
  </conditionalFormatting>
  <conditionalFormatting sqref="Q3217">
    <cfRule type="expression" dxfId="3928" priority="4394" stopIfTrue="1">
      <formula>$Q3217="请输入"</formula>
    </cfRule>
  </conditionalFormatting>
  <conditionalFormatting sqref="I3229">
    <cfRule type="expression" dxfId="3927" priority="1430" stopIfTrue="1">
      <formula>$I3229="适用"</formula>
    </cfRule>
    <cfRule type="expression" dxfId="3926" priority="1431" stopIfTrue="1">
      <formula>$I3229="不适用"</formula>
    </cfRule>
  </conditionalFormatting>
  <conditionalFormatting sqref="Q3244">
    <cfRule type="expression" dxfId="3925" priority="4395" stopIfTrue="1">
      <formula>$Q3244="请输入"</formula>
    </cfRule>
  </conditionalFormatting>
  <conditionalFormatting sqref="Q3260">
    <cfRule type="expression" dxfId="3924" priority="4396" stopIfTrue="1">
      <formula>$Q3260="请输入"</formula>
    </cfRule>
  </conditionalFormatting>
  <conditionalFormatting sqref="Q3273">
    <cfRule type="expression" dxfId="3923" priority="4397" stopIfTrue="1">
      <formula>$Q3273="请输入"</formula>
    </cfRule>
  </conditionalFormatting>
  <conditionalFormatting sqref="Q3280">
    <cfRule type="expression" dxfId="3922" priority="4398" stopIfTrue="1">
      <formula>$Q3280="请输入"</formula>
    </cfRule>
  </conditionalFormatting>
  <conditionalFormatting sqref="Q3290">
    <cfRule type="expression" dxfId="3921" priority="4399" stopIfTrue="1">
      <formula>$Q3290="请输入"</formula>
    </cfRule>
  </conditionalFormatting>
  <conditionalFormatting sqref="H3305">
    <cfRule type="expression" dxfId="3920" priority="4252">
      <formula>AND(H$3305&lt;&gt;0,H$3305&lt;&gt;"")</formula>
    </cfRule>
    <cfRule type="expression" dxfId="3919" priority="4253" stopIfTrue="1">
      <formula>H$3306&lt;&gt;"√"</formula>
    </cfRule>
  </conditionalFormatting>
  <conditionalFormatting sqref="I3305">
    <cfRule type="expression" dxfId="3918" priority="4254">
      <formula>AND(I$3305&lt;&gt;0,I$3305&lt;&gt;"")</formula>
    </cfRule>
    <cfRule type="expression" dxfId="3917" priority="4255" stopIfTrue="1">
      <formula>I$3306&lt;&gt;"√"</formula>
    </cfRule>
  </conditionalFormatting>
  <conditionalFormatting sqref="K3307">
    <cfRule type="expression" dxfId="3916" priority="4256">
      <formula>AND($K$3307&lt;&gt;0,$K$3307&lt;&gt;"")</formula>
    </cfRule>
    <cfRule type="expression" dxfId="3915" priority="4257" stopIfTrue="1">
      <formula>$L$3307&lt;&gt;"√"</formula>
    </cfRule>
  </conditionalFormatting>
  <conditionalFormatting sqref="Q3310">
    <cfRule type="expression" dxfId="3914" priority="4400" stopIfTrue="1">
      <formula>$Q3310="请输入"</formula>
    </cfRule>
  </conditionalFormatting>
  <conditionalFormatting sqref="Q3323">
    <cfRule type="expression" dxfId="3913" priority="4401" stopIfTrue="1">
      <formula>$Q3323="请输入"</formula>
    </cfRule>
  </conditionalFormatting>
  <conditionalFormatting sqref="I3333">
    <cfRule type="expression" dxfId="3912" priority="1820" stopIfTrue="1">
      <formula>$I3333="适用"</formula>
    </cfRule>
    <cfRule type="expression" dxfId="3911" priority="1821" stopIfTrue="1">
      <formula>$I3333="不适用"</formula>
    </cfRule>
  </conditionalFormatting>
  <conditionalFormatting sqref="I3343">
    <cfRule type="expression" dxfId="3910" priority="1814" stopIfTrue="1">
      <formula>$I3343="适用"</formula>
    </cfRule>
    <cfRule type="expression" dxfId="3909" priority="1815" stopIfTrue="1">
      <formula>$I3343="不适用"</formula>
    </cfRule>
  </conditionalFormatting>
  <conditionalFormatting sqref="I3353">
    <cfRule type="expression" dxfId="3908" priority="1808" stopIfTrue="1">
      <formula>$I3353="适用"</formula>
    </cfRule>
    <cfRule type="expression" dxfId="3907" priority="1809" stopIfTrue="1">
      <formula>$I3353="不适用"</formula>
    </cfRule>
  </conditionalFormatting>
  <conditionalFormatting sqref="I3374">
    <cfRule type="expression" dxfId="3906" priority="2771" stopIfTrue="1">
      <formula>$I3374="适用"</formula>
    </cfRule>
    <cfRule type="expression" dxfId="3905" priority="2772" stopIfTrue="1">
      <formula>$I3374="不适用"</formula>
    </cfRule>
  </conditionalFormatting>
  <conditionalFormatting sqref="Q3374">
    <cfRule type="expression" dxfId="3904" priority="4406" stopIfTrue="1">
      <formula>$Q3374="请输入"</formula>
    </cfRule>
  </conditionalFormatting>
  <conditionalFormatting sqref="I3385">
    <cfRule type="expression" dxfId="3903" priority="681" stopIfTrue="1">
      <formula>$I3385="适用"</formula>
    </cfRule>
    <cfRule type="expression" dxfId="3902" priority="682" stopIfTrue="1">
      <formula>$I3385="不适用"</formula>
    </cfRule>
  </conditionalFormatting>
  <conditionalFormatting sqref="I3398">
    <cfRule type="expression" dxfId="3901" priority="678" stopIfTrue="1">
      <formula>$I3398="适用"</formula>
    </cfRule>
    <cfRule type="expression" dxfId="3900" priority="679" stopIfTrue="1">
      <formula>$I3398="不适用"</formula>
    </cfRule>
  </conditionalFormatting>
  <conditionalFormatting sqref="Q3413">
    <cfRule type="expression" dxfId="3899" priority="4407" stopIfTrue="1">
      <formula>$Q3413="请输入"</formula>
    </cfRule>
  </conditionalFormatting>
  <conditionalFormatting sqref="I3425">
    <cfRule type="expression" dxfId="3898" priority="2236" stopIfTrue="1">
      <formula>$I3425="适用"</formula>
    </cfRule>
    <cfRule type="expression" dxfId="3897" priority="2237" stopIfTrue="1">
      <formula>$I3425="不适用"</formula>
    </cfRule>
  </conditionalFormatting>
  <conditionalFormatting sqref="Q3425">
    <cfRule type="expression" dxfId="3896" priority="4408" stopIfTrue="1">
      <formula>$Q3425="请输入"</formula>
    </cfRule>
  </conditionalFormatting>
  <conditionalFormatting sqref="Q3436">
    <cfRule type="expression" dxfId="3895" priority="4409" stopIfTrue="1">
      <formula>$Q3436="请输入"</formula>
    </cfRule>
  </conditionalFormatting>
  <conditionalFormatting sqref="I3447">
    <cfRule type="expression" dxfId="3894" priority="2746" stopIfTrue="1">
      <formula>$I3447="适用"</formula>
    </cfRule>
    <cfRule type="expression" dxfId="3893" priority="2747" stopIfTrue="1">
      <formula>$I3447="不适用"</formula>
    </cfRule>
    <cfRule type="expression" dxfId="3892" priority="2753" stopIfTrue="1">
      <formula>$I3447="适用"</formula>
    </cfRule>
    <cfRule type="expression" dxfId="3891" priority="2754" stopIfTrue="1">
      <formula>$I3447="不适用"</formula>
    </cfRule>
  </conditionalFormatting>
  <conditionalFormatting sqref="Q3447">
    <cfRule type="expression" dxfId="3890" priority="4410" stopIfTrue="1">
      <formula>$Q3447="请输入"</formula>
    </cfRule>
  </conditionalFormatting>
  <conditionalFormatting sqref="I3458">
    <cfRule type="expression" dxfId="3889" priority="1532" stopIfTrue="1">
      <formula>$I3458="适用"</formula>
    </cfRule>
    <cfRule type="expression" dxfId="3888" priority="1533" stopIfTrue="1">
      <formula>$I3458="不适用"</formula>
    </cfRule>
    <cfRule type="expression" dxfId="3887" priority="1534" stopIfTrue="1">
      <formula>$I3458="适用"</formula>
    </cfRule>
    <cfRule type="expression" dxfId="3886" priority="1535" stopIfTrue="1">
      <formula>$I3458="不适用"</formula>
    </cfRule>
  </conditionalFormatting>
  <conditionalFormatting sqref="I3475">
    <cfRule type="expression" dxfId="3885" priority="1488" stopIfTrue="1">
      <formula>$I3475="适用"</formula>
    </cfRule>
    <cfRule type="expression" dxfId="3884" priority="1489" stopIfTrue="1">
      <formula>$I3475="不适用"</formula>
    </cfRule>
  </conditionalFormatting>
  <conditionalFormatting sqref="Q3475">
    <cfRule type="expression" dxfId="3883" priority="4412" stopIfTrue="1">
      <formula>$Q3475="请输入"</formula>
    </cfRule>
  </conditionalFormatting>
  <conditionalFormatting sqref="Q3485">
    <cfRule type="expression" dxfId="3882" priority="4413" stopIfTrue="1">
      <formula>$Q3485="请输入"</formula>
    </cfRule>
  </conditionalFormatting>
  <conditionalFormatting sqref="Q3495">
    <cfRule type="expression" dxfId="3881" priority="4414" stopIfTrue="1">
      <formula>$Q3495="请输入"</formula>
    </cfRule>
  </conditionalFormatting>
  <conditionalFormatting sqref="I3535">
    <cfRule type="expression" dxfId="3880" priority="2703" stopIfTrue="1">
      <formula>$I3535="适用"</formula>
    </cfRule>
    <cfRule type="expression" dxfId="3879" priority="2704" stopIfTrue="1">
      <formula>$I3535="不适用"</formula>
    </cfRule>
    <cfRule type="expression" dxfId="3878" priority="2711" stopIfTrue="1">
      <formula>$I3535="适用"</formula>
    </cfRule>
    <cfRule type="expression" dxfId="3877" priority="2712" stopIfTrue="1">
      <formula>$I3535="不适用"</formula>
    </cfRule>
  </conditionalFormatting>
  <conditionalFormatting sqref="Q3535">
    <cfRule type="expression" dxfId="3876" priority="4416" stopIfTrue="1">
      <formula>$Q3535="请输入"</formula>
    </cfRule>
  </conditionalFormatting>
  <conditionalFormatting sqref="I3545">
    <cfRule type="expression" dxfId="3875" priority="1522" stopIfTrue="1">
      <formula>$I3545="适用"</formula>
    </cfRule>
    <cfRule type="expression" dxfId="3874" priority="1523" stopIfTrue="1">
      <formula>$I3545="不适用"</formula>
    </cfRule>
    <cfRule type="expression" dxfId="3873" priority="1524" stopIfTrue="1">
      <formula>$I3545="适用"</formula>
    </cfRule>
    <cfRule type="expression" dxfId="3872" priority="1525" stopIfTrue="1">
      <formula>$I3545="不适用"</formula>
    </cfRule>
  </conditionalFormatting>
  <conditionalFormatting sqref="Q3562">
    <cfRule type="expression" dxfId="3871" priority="4418" stopIfTrue="1">
      <formula>$Q3562="请输入"</formula>
    </cfRule>
  </conditionalFormatting>
  <conditionalFormatting sqref="I3572">
    <cfRule type="expression" dxfId="3870" priority="2218" stopIfTrue="1">
      <formula>$I3572="适用"</formula>
    </cfRule>
    <cfRule type="expression" dxfId="3869" priority="2219" stopIfTrue="1">
      <formula>$I3572="不适用"</formula>
    </cfRule>
  </conditionalFormatting>
  <conditionalFormatting sqref="Q3572">
    <cfRule type="expression" dxfId="3868" priority="4419" stopIfTrue="1">
      <formula>$Q3572="请输入"</formula>
    </cfRule>
  </conditionalFormatting>
  <conditionalFormatting sqref="Q3582">
    <cfRule type="expression" dxfId="3867" priority="4420" stopIfTrue="1">
      <formula>$Q3582="请输入"</formula>
    </cfRule>
  </conditionalFormatting>
  <conditionalFormatting sqref="Q3592">
    <cfRule type="expression" dxfId="3866" priority="4422" stopIfTrue="1">
      <formula>$Q3592="请输入"</formula>
    </cfRule>
  </conditionalFormatting>
  <conditionalFormatting sqref="I3602">
    <cfRule type="expression" dxfId="3865" priority="1790" stopIfTrue="1">
      <formula>$I3602="适用"</formula>
    </cfRule>
    <cfRule type="expression" dxfId="3864" priority="1791" stopIfTrue="1">
      <formula>$I3602="不适用"</formula>
    </cfRule>
  </conditionalFormatting>
  <conditionalFormatting sqref="Q3622">
    <cfRule type="expression" dxfId="3863" priority="4423" stopIfTrue="1">
      <formula>$Q3622="请输入"</formula>
    </cfRule>
  </conditionalFormatting>
  <conditionalFormatting sqref="I3632">
    <cfRule type="expression" dxfId="3862" priority="2208" stopIfTrue="1">
      <formula>$I3632="适用"</formula>
    </cfRule>
    <cfRule type="expression" dxfId="3861" priority="2209" stopIfTrue="1">
      <formula>$I3632="不适用"</formula>
    </cfRule>
  </conditionalFormatting>
  <conditionalFormatting sqref="Q3632">
    <cfRule type="expression" dxfId="3860" priority="4424" stopIfTrue="1">
      <formula>$Q3632="请输入"</formula>
    </cfRule>
  </conditionalFormatting>
  <conditionalFormatting sqref="I3661">
    <cfRule type="expression" dxfId="3859" priority="2202" stopIfTrue="1">
      <formula>$I3661="适用"</formula>
    </cfRule>
    <cfRule type="expression" dxfId="3858" priority="2203" stopIfTrue="1">
      <formula>$I3661="不适用"</formula>
    </cfRule>
  </conditionalFormatting>
  <conditionalFormatting sqref="Q3661">
    <cfRule type="expression" dxfId="3857" priority="4425" stopIfTrue="1">
      <formula>$Q3661="请输入"</formula>
    </cfRule>
  </conditionalFormatting>
  <conditionalFormatting sqref="I3685">
    <cfRule type="expression" dxfId="3856" priority="1478" stopIfTrue="1">
      <formula>$I3685="适用"</formula>
    </cfRule>
    <cfRule type="expression" dxfId="3855" priority="1479" stopIfTrue="1">
      <formula>$I3685="不适用"</formula>
    </cfRule>
  </conditionalFormatting>
  <conditionalFormatting sqref="I3717">
    <cfRule type="expression" dxfId="3854" priority="1464" stopIfTrue="1">
      <formula>$I3717="适用"</formula>
    </cfRule>
    <cfRule type="expression" dxfId="3853" priority="1465" stopIfTrue="1">
      <formula>$I3717="不适用"</formula>
    </cfRule>
  </conditionalFormatting>
  <conditionalFormatting sqref="I3731">
    <cfRule type="expression" dxfId="3852" priority="671" stopIfTrue="1">
      <formula>$I3731="适用"</formula>
    </cfRule>
    <cfRule type="expression" dxfId="3851" priority="672" stopIfTrue="1">
      <formula>$I3731="不适用"</formula>
    </cfRule>
  </conditionalFormatting>
  <conditionalFormatting sqref="Q3731">
    <cfRule type="expression" dxfId="3850" priority="4427" stopIfTrue="1">
      <formula>$Q3731="请输入"</formula>
    </cfRule>
  </conditionalFormatting>
  <conditionalFormatting sqref="I3750">
    <cfRule type="expression" dxfId="3849" priority="1474" stopIfTrue="1">
      <formula>$I3750="适用"</formula>
    </cfRule>
    <cfRule type="expression" dxfId="3848" priority="1475" stopIfTrue="1">
      <formula>$I3750="不适用"</formula>
    </cfRule>
  </conditionalFormatting>
  <conditionalFormatting sqref="I3764">
    <cfRule type="expression" dxfId="3847" priority="1121" stopIfTrue="1">
      <formula>$I3764="适用"</formula>
    </cfRule>
    <cfRule type="expression" dxfId="3846" priority="1122" stopIfTrue="1">
      <formula>$I3764="不适用"</formula>
    </cfRule>
  </conditionalFormatting>
  <conditionalFormatting sqref="Q3774">
    <cfRule type="expression" dxfId="3845" priority="4428" stopIfTrue="1">
      <formula>$Q3774="请输入"</formula>
    </cfRule>
  </conditionalFormatting>
  <conditionalFormatting sqref="I3794">
    <cfRule type="expression" dxfId="3844" priority="2196" stopIfTrue="1">
      <formula>$I3794="适用"</formula>
    </cfRule>
    <cfRule type="expression" dxfId="3843" priority="2197" stopIfTrue="1">
      <formula>$I3794="不适用"</formula>
    </cfRule>
  </conditionalFormatting>
  <conditionalFormatting sqref="Q3794">
    <cfRule type="expression" dxfId="3842" priority="4429" stopIfTrue="1">
      <formula>$Q3794="请输入"</formula>
    </cfRule>
  </conditionalFormatting>
  <conditionalFormatting sqref="Q3805">
    <cfRule type="expression" dxfId="3841" priority="4430" stopIfTrue="1">
      <formula>$Q3805="请输入"</formula>
    </cfRule>
  </conditionalFormatting>
  <conditionalFormatting sqref="I3822">
    <cfRule type="expression" dxfId="3840" priority="2190" stopIfTrue="1">
      <formula>$I3822="适用"</formula>
    </cfRule>
    <cfRule type="expression" dxfId="3839" priority="2191" stopIfTrue="1">
      <formula>$I3822="不适用"</formula>
    </cfRule>
  </conditionalFormatting>
  <conditionalFormatting sqref="Q3822">
    <cfRule type="expression" dxfId="3838" priority="4431" stopIfTrue="1">
      <formula>$Q3822="请输入"</formula>
    </cfRule>
  </conditionalFormatting>
  <conditionalFormatting sqref="I3833">
    <cfRule type="expression" dxfId="3837" priority="2660" stopIfTrue="1">
      <formula>$I3833="适用"</formula>
    </cfRule>
    <cfRule type="expression" dxfId="3836" priority="2661" stopIfTrue="1">
      <formula>$I3833="不适用"</formula>
    </cfRule>
    <cfRule type="expression" dxfId="3835" priority="2668" stopIfTrue="1">
      <formula>$I3833="适用"</formula>
    </cfRule>
    <cfRule type="expression" dxfId="3834" priority="2669" stopIfTrue="1">
      <formula>$I3833="不适用"</formula>
    </cfRule>
  </conditionalFormatting>
  <conditionalFormatting sqref="Q3833">
    <cfRule type="expression" dxfId="3833" priority="4432" stopIfTrue="1">
      <formula>$Q3833="请输入"</formula>
    </cfRule>
  </conditionalFormatting>
  <conditionalFormatting sqref="I3843">
    <cfRule type="expression" dxfId="3832" priority="1510" stopIfTrue="1">
      <formula>$I3843="适用"</formula>
    </cfRule>
    <cfRule type="expression" dxfId="3831" priority="1511" stopIfTrue="1">
      <formula>$I3843="不适用"</formula>
    </cfRule>
    <cfRule type="expression" dxfId="3830" priority="1512" stopIfTrue="1">
      <formula>$I3843="适用"</formula>
    </cfRule>
    <cfRule type="expression" dxfId="3829" priority="1513" stopIfTrue="1">
      <formula>$I3843="不适用"</formula>
    </cfRule>
  </conditionalFormatting>
  <conditionalFormatting sqref="Q3860">
    <cfRule type="expression" dxfId="3828" priority="4434" stopIfTrue="1">
      <formula>$Q3860="请输入"</formula>
    </cfRule>
  </conditionalFormatting>
  <conditionalFormatting sqref="I3870">
    <cfRule type="expression" dxfId="3827" priority="1496" stopIfTrue="1">
      <formula>$I3870="适用"</formula>
    </cfRule>
    <cfRule type="expression" dxfId="3826" priority="1497" stopIfTrue="1">
      <formula>$I3870="不适用"</formula>
    </cfRule>
  </conditionalFormatting>
  <conditionalFormatting sqref="Q3880">
    <cfRule type="expression" dxfId="3825" priority="4436" stopIfTrue="1">
      <formula>$Q3880="请输入"</formula>
    </cfRule>
  </conditionalFormatting>
  <conditionalFormatting sqref="G3882">
    <cfRule type="expression" dxfId="3824" priority="2184" stopIfTrue="1">
      <formula>$D3882&gt;1</formula>
    </cfRule>
    <cfRule type="expression" dxfId="3823" priority="2185" stopIfTrue="1">
      <formula>$C3882="%IN"</formula>
    </cfRule>
  </conditionalFormatting>
  <conditionalFormatting sqref="Q3890">
    <cfRule type="expression" dxfId="3822" priority="4437" stopIfTrue="1">
      <formula>$Q3890="请输入"</formula>
    </cfRule>
  </conditionalFormatting>
  <conditionalFormatting sqref="Q3931">
    <cfRule type="expression" dxfId="3821" priority="4438" stopIfTrue="1">
      <formula>$Q3931="请输入"</formula>
    </cfRule>
  </conditionalFormatting>
  <conditionalFormatting sqref="Q3941">
    <cfRule type="expression" dxfId="3820" priority="4439" stopIfTrue="1">
      <formula>$Q3941="请输入"</formula>
    </cfRule>
  </conditionalFormatting>
  <conditionalFormatting sqref="Q3951">
    <cfRule type="expression" dxfId="3819" priority="4440" stopIfTrue="1">
      <formula>$Q3951="请输入"</formula>
    </cfRule>
  </conditionalFormatting>
  <conditionalFormatting sqref="Q3961">
    <cfRule type="expression" dxfId="3818" priority="4441" stopIfTrue="1">
      <formula>$Q3961="请输入"</formula>
    </cfRule>
  </conditionalFormatting>
  <conditionalFormatting sqref="Q3972">
    <cfRule type="expression" dxfId="3817" priority="4442" stopIfTrue="1">
      <formula>$Q3972="请输入"</formula>
    </cfRule>
  </conditionalFormatting>
  <conditionalFormatting sqref="I3983">
    <cfRule type="expression" dxfId="3816" priority="2182" stopIfTrue="1">
      <formula>$I3983="适用"</formula>
    </cfRule>
    <cfRule type="expression" dxfId="3815" priority="2183" stopIfTrue="1">
      <formula>$I3983="不适用"</formula>
    </cfRule>
  </conditionalFormatting>
  <conditionalFormatting sqref="Q3983">
    <cfRule type="expression" dxfId="3814" priority="4443" stopIfTrue="1">
      <formula>$Q3983="请输入"</formula>
    </cfRule>
  </conditionalFormatting>
  <conditionalFormatting sqref="L3996">
    <cfRule type="expression" dxfId="3813" priority="4062">
      <formula>AND(L$3996&lt;&gt;0,L$3996&lt;&gt;"")</formula>
    </cfRule>
    <cfRule type="expression" dxfId="3812" priority="4063" stopIfTrue="1">
      <formula>L$3997&lt;&gt;"√"</formula>
    </cfRule>
  </conditionalFormatting>
  <conditionalFormatting sqref="Q3996">
    <cfRule type="expression" dxfId="3811" priority="4064">
      <formula>AND(Q$3996&lt;&gt;0,Q$3996&lt;&gt;"")</formula>
    </cfRule>
    <cfRule type="expression" dxfId="3810" priority="4065" stopIfTrue="1">
      <formula>Q$3997&lt;&gt;"√"</formula>
    </cfRule>
  </conditionalFormatting>
  <conditionalFormatting sqref="K3998">
    <cfRule type="expression" dxfId="3809" priority="4066">
      <formula>AND($K$3998&lt;&gt;0,$K$3998&lt;&gt;"")</formula>
    </cfRule>
    <cfRule type="expression" dxfId="3808" priority="4067" stopIfTrue="1">
      <formula>$L$3998&lt;&gt;"√"</formula>
    </cfRule>
  </conditionalFormatting>
  <conditionalFormatting sqref="Q4001">
    <cfRule type="expression" dxfId="3807" priority="4445" stopIfTrue="1">
      <formula>$Q4001="请输入"</formula>
    </cfRule>
  </conditionalFormatting>
  <conditionalFormatting sqref="I4014">
    <cfRule type="expression" dxfId="3806" priority="1778" stopIfTrue="1">
      <formula>$I4014="适用"</formula>
    </cfRule>
    <cfRule type="expression" dxfId="3805" priority="1779" stopIfTrue="1">
      <formula>$I4014="不适用"</formula>
    </cfRule>
  </conditionalFormatting>
  <conditionalFormatting sqref="I4024">
    <cfRule type="expression" dxfId="3804" priority="1504" stopIfTrue="1">
      <formula>$I4024="适用"</formula>
    </cfRule>
    <cfRule type="expression" dxfId="3803" priority="1505" stopIfTrue="1">
      <formula>$I4024="不适用"</formula>
    </cfRule>
  </conditionalFormatting>
  <conditionalFormatting sqref="I4034">
    <cfRule type="expression" dxfId="3802" priority="1772" stopIfTrue="1">
      <formula>$I4034="适用"</formula>
    </cfRule>
    <cfRule type="expression" dxfId="3801" priority="1773" stopIfTrue="1">
      <formula>$I4034="不适用"</formula>
    </cfRule>
  </conditionalFormatting>
  <conditionalFormatting sqref="I4055">
    <cfRule type="expression" dxfId="3800" priority="2176" stopIfTrue="1">
      <formula>$I4055="适用"</formula>
    </cfRule>
    <cfRule type="expression" dxfId="3799" priority="2177" stopIfTrue="1">
      <formula>$I4055="不适用"</formula>
    </cfRule>
  </conditionalFormatting>
  <conditionalFormatting sqref="Q4055">
    <cfRule type="expression" dxfId="3798" priority="4450" stopIfTrue="1">
      <formula>$Q4055="请输入"</formula>
    </cfRule>
  </conditionalFormatting>
  <conditionalFormatting sqref="Q4065">
    <cfRule type="expression" dxfId="3797" priority="4451" stopIfTrue="1">
      <formula>$Q4065="请输入"</formula>
    </cfRule>
  </conditionalFormatting>
  <conditionalFormatting sqref="I4078">
    <cfRule type="expression" dxfId="3796" priority="1904" stopIfTrue="1">
      <formula>$I4078="适用"</formula>
    </cfRule>
    <cfRule type="expression" dxfId="3795" priority="1905" stopIfTrue="1">
      <formula>$I4078="不适用"</formula>
    </cfRule>
  </conditionalFormatting>
  <conditionalFormatting sqref="Q4078">
    <cfRule type="expression" dxfId="3794" priority="4452" stopIfTrue="1">
      <formula>$Q4078="请输入"</formula>
    </cfRule>
  </conditionalFormatting>
  <conditionalFormatting sqref="Q4088">
    <cfRule type="expression" dxfId="3793" priority="4453" stopIfTrue="1">
      <formula>$Q4088="请输入"</formula>
    </cfRule>
  </conditionalFormatting>
  <conditionalFormatting sqref="I4111">
    <cfRule type="expression" dxfId="3792" priority="1116" stopIfTrue="1">
      <formula>$I4111="适用"</formula>
    </cfRule>
    <cfRule type="expression" dxfId="3791" priority="1117" stopIfTrue="1">
      <formula>$I4111="不适用"</formula>
    </cfRule>
  </conditionalFormatting>
  <conditionalFormatting sqref="I4117">
    <cfRule type="expression" dxfId="3790" priority="1091">
      <formula>$D4117&gt;1</formula>
    </cfRule>
    <cfRule type="expression" dxfId="3789" priority="1092">
      <formula>$C4117="%IN"</formula>
    </cfRule>
    <cfRule type="expression" dxfId="3788" priority="1093" stopIfTrue="1">
      <formula>$E4117=0</formula>
    </cfRule>
  </conditionalFormatting>
  <conditionalFormatting sqref="I4122">
    <cfRule type="expression" dxfId="3787" priority="2538" stopIfTrue="1">
      <formula>$I4122="适用"</formula>
    </cfRule>
    <cfRule type="expression" dxfId="3786" priority="2539" stopIfTrue="1">
      <formula>$I4122="不适用"</formula>
    </cfRule>
  </conditionalFormatting>
  <conditionalFormatting sqref="Q4122">
    <cfRule type="expression" dxfId="3785" priority="4454" stopIfTrue="1">
      <formula>$Q4122="请输入"</formula>
    </cfRule>
  </conditionalFormatting>
  <conditionalFormatting sqref="I4140">
    <cfRule type="expression" dxfId="3784" priority="1974" stopIfTrue="1">
      <formula>$I4140="适用"</formula>
    </cfRule>
    <cfRule type="expression" dxfId="3783" priority="1975" stopIfTrue="1">
      <formula>$I4140="不适用"</formula>
    </cfRule>
  </conditionalFormatting>
  <conditionalFormatting sqref="Q4140">
    <cfRule type="expression" dxfId="3782" priority="4455" stopIfTrue="1">
      <formula>$Q4140="请输入"</formula>
    </cfRule>
  </conditionalFormatting>
  <conditionalFormatting sqref="I4172">
    <cfRule type="expression" dxfId="3781" priority="2160" stopIfTrue="1">
      <formula>$I4172="适用"</formula>
    </cfRule>
    <cfRule type="expression" dxfId="3780" priority="2161" stopIfTrue="1">
      <formula>$I4172="不适用"</formula>
    </cfRule>
  </conditionalFormatting>
  <conditionalFormatting sqref="Q4172">
    <cfRule type="expression" dxfId="3779" priority="4456" stopIfTrue="1">
      <formula>$Q4172="请输入"</formula>
    </cfRule>
  </conditionalFormatting>
  <conditionalFormatting sqref="Q4182">
    <cfRule type="expression" dxfId="3778" priority="4457" stopIfTrue="1">
      <formula>$Q4182="请输入"</formula>
    </cfRule>
  </conditionalFormatting>
  <conditionalFormatting sqref="Q4202">
    <cfRule type="expression" dxfId="3777" priority="4458" stopIfTrue="1">
      <formula>$Q4202="请输入"</formula>
    </cfRule>
  </conditionalFormatting>
  <conditionalFormatting sqref="Q4217">
    <cfRule type="expression" dxfId="3776" priority="4459" stopIfTrue="1">
      <formula>$Q4217="请输入"</formula>
    </cfRule>
  </conditionalFormatting>
  <conditionalFormatting sqref="Q4226">
    <cfRule type="expression" dxfId="3775" priority="4462" stopIfTrue="1">
      <formula>$Q4226="请输入"</formula>
    </cfRule>
  </conditionalFormatting>
  <conditionalFormatting sqref="Q4237">
    <cfRule type="expression" dxfId="3774" priority="4463" stopIfTrue="1">
      <formula>$Q4237="请输入"</formula>
    </cfRule>
  </conditionalFormatting>
  <conditionalFormatting sqref="Q4251">
    <cfRule type="expression" dxfId="3773" priority="4466" stopIfTrue="1">
      <formula>$Q4251="请输入"</formula>
    </cfRule>
  </conditionalFormatting>
  <conditionalFormatting sqref="I4265">
    <cfRule type="expression" dxfId="3772" priority="2156" stopIfTrue="1">
      <formula>$I4265="适用"</formula>
    </cfRule>
    <cfRule type="expression" dxfId="3771" priority="2157" stopIfTrue="1">
      <formula>$I4265="不适用"</formula>
    </cfRule>
  </conditionalFormatting>
  <conditionalFormatting sqref="Q4265">
    <cfRule type="expression" dxfId="3770" priority="4467" stopIfTrue="1">
      <formula>$Q4265="请输入"</formula>
    </cfRule>
  </conditionalFormatting>
  <conditionalFormatting sqref="I4273">
    <cfRule type="expression" dxfId="3769" priority="2142" stopIfTrue="1">
      <formula>$I4273="适用"</formula>
    </cfRule>
    <cfRule type="expression" dxfId="3768" priority="2143" stopIfTrue="1">
      <formula>$I4273="不适用"</formula>
    </cfRule>
  </conditionalFormatting>
  <conditionalFormatting sqref="Q4273">
    <cfRule type="expression" dxfId="3767" priority="4468" stopIfTrue="1">
      <formula>$Q4273="请输入"</formula>
    </cfRule>
  </conditionalFormatting>
  <conditionalFormatting sqref="Q4291">
    <cfRule type="expression" dxfId="3766" priority="4469" stopIfTrue="1">
      <formula>$Q4291="请输入"</formula>
    </cfRule>
  </conditionalFormatting>
  <conditionalFormatting sqref="I4301">
    <cfRule type="expression" dxfId="3765" priority="1952" stopIfTrue="1">
      <formula>$I4301="适用"</formula>
    </cfRule>
    <cfRule type="expression" dxfId="3764" priority="1953" stopIfTrue="1">
      <formula>$I4301="不适用"</formula>
    </cfRule>
  </conditionalFormatting>
  <conditionalFormatting sqref="Q4312">
    <cfRule type="expression" dxfId="3763" priority="4470" stopIfTrue="1">
      <formula>$Q4312="请输入"</formula>
    </cfRule>
  </conditionalFormatting>
  <conditionalFormatting sqref="I4334">
    <cfRule type="expression" dxfId="3762" priority="1896" stopIfTrue="1">
      <formula>$I4334="适用"</formula>
    </cfRule>
    <cfRule type="expression" dxfId="3761" priority="1897" stopIfTrue="1">
      <formula>$I4334="不适用"</formula>
    </cfRule>
  </conditionalFormatting>
  <conditionalFormatting sqref="Q4334">
    <cfRule type="expression" dxfId="3760" priority="4472" stopIfTrue="1">
      <formula>$Q4334="请输入"</formula>
    </cfRule>
  </conditionalFormatting>
  <conditionalFormatting sqref="I4344">
    <cfRule type="expression" dxfId="3759" priority="2092" stopIfTrue="1">
      <formula>$I4344="适用"</formula>
    </cfRule>
    <cfRule type="expression" dxfId="3758" priority="2093" stopIfTrue="1">
      <formula>$I4344="不适用"</formula>
    </cfRule>
  </conditionalFormatting>
  <conditionalFormatting sqref="Q4344">
    <cfRule type="expression" dxfId="3757" priority="4473" stopIfTrue="1">
      <formula>$Q4344="请输入"</formula>
    </cfRule>
  </conditionalFormatting>
  <conditionalFormatting sqref="Q4355">
    <cfRule type="expression" dxfId="3756" priority="4475" stopIfTrue="1">
      <formula>$Q4355="请输入"</formula>
    </cfRule>
  </conditionalFormatting>
  <conditionalFormatting sqref="I4371">
    <cfRule type="expression" dxfId="3755" priority="634" stopIfTrue="1">
      <formula>$I4371="适用"</formula>
    </cfRule>
    <cfRule type="expression" dxfId="3754" priority="635" stopIfTrue="1">
      <formula>$I4371="不适用"</formula>
    </cfRule>
  </conditionalFormatting>
  <conditionalFormatting sqref="Q4396">
    <cfRule type="expression" dxfId="3753" priority="4477" stopIfTrue="1">
      <formula>$Q4396="请输入"</formula>
    </cfRule>
  </conditionalFormatting>
  <conditionalFormatting sqref="I4428">
    <cfRule type="expression" dxfId="3752" priority="619" stopIfTrue="1">
      <formula>$I4428="适用"</formula>
    </cfRule>
    <cfRule type="expression" dxfId="3751" priority="620" stopIfTrue="1">
      <formula>$I4428="不适用"</formula>
    </cfRule>
  </conditionalFormatting>
  <conditionalFormatting sqref="Q4441">
    <cfRule type="expression" dxfId="3750" priority="4479" stopIfTrue="1">
      <formula>$Q4441="请输入"</formula>
    </cfRule>
  </conditionalFormatting>
  <conditionalFormatting sqref="Q4461">
    <cfRule type="expression" dxfId="3749" priority="4481" stopIfTrue="1">
      <formula>$Q4461="请输入"</formula>
    </cfRule>
  </conditionalFormatting>
  <conditionalFormatting sqref="I4492">
    <cfRule type="expression" dxfId="3748" priority="616" stopIfTrue="1">
      <formula>$I4492="适用"</formula>
    </cfRule>
    <cfRule type="expression" dxfId="3747" priority="617" stopIfTrue="1">
      <formula>$I4492="不适用"</formula>
    </cfRule>
  </conditionalFormatting>
  <conditionalFormatting sqref="Q4502">
    <cfRule type="expression" dxfId="3746" priority="4483" stopIfTrue="1">
      <formula>$Q4502="请输入"</formula>
    </cfRule>
  </conditionalFormatting>
  <conditionalFormatting sqref="Q4511">
    <cfRule type="expression" dxfId="3745" priority="4484" stopIfTrue="1">
      <formula>$Q4511="请输入"</formula>
    </cfRule>
  </conditionalFormatting>
  <conditionalFormatting sqref="Q4520">
    <cfRule type="expression" dxfId="3744" priority="4485" stopIfTrue="1">
      <formula>$Q4520="请输入"</formula>
    </cfRule>
  </conditionalFormatting>
  <conditionalFormatting sqref="H4540">
    <cfRule type="expression" dxfId="3743" priority="4100">
      <formula>AND(H$4540&lt;&gt;0,H$4540&lt;&gt;"")</formula>
    </cfRule>
    <cfRule type="expression" dxfId="3742" priority="4101" stopIfTrue="1">
      <formula>H$4541&lt;&gt;"√"</formula>
    </cfRule>
  </conditionalFormatting>
  <conditionalFormatting sqref="I4540">
    <cfRule type="expression" dxfId="3741" priority="4102">
      <formula>AND(I$4540&lt;&gt;0,I$4540&lt;&gt;"")</formula>
    </cfRule>
    <cfRule type="expression" dxfId="3740" priority="4103" stopIfTrue="1">
      <formula>I$4541&lt;&gt;"√"</formula>
    </cfRule>
  </conditionalFormatting>
  <conditionalFormatting sqref="J4540">
    <cfRule type="expression" dxfId="3739" priority="4104">
      <formula>AND(J$4540&lt;&gt;0,J$4540&lt;&gt;"")</formula>
    </cfRule>
    <cfRule type="expression" dxfId="3738" priority="4105" stopIfTrue="1">
      <formula>J$4541&lt;&gt;"√"</formula>
    </cfRule>
  </conditionalFormatting>
  <conditionalFormatting sqref="K4540">
    <cfRule type="expression" dxfId="3737" priority="4106">
      <formula>AND(K$4540&lt;&gt;0,K$4540&lt;&gt;"")</formula>
    </cfRule>
    <cfRule type="expression" dxfId="3736" priority="4107" stopIfTrue="1">
      <formula>K$4541&lt;&gt;"√"</formula>
    </cfRule>
  </conditionalFormatting>
  <conditionalFormatting sqref="K4542">
    <cfRule type="expression" dxfId="3735" priority="4108">
      <formula>AND($K$4542&lt;&gt;0,$K$4542&lt;&gt;"")</formula>
    </cfRule>
    <cfRule type="expression" dxfId="3734" priority="4109" stopIfTrue="1">
      <formula>$L$4542&lt;&gt;"√"</formula>
    </cfRule>
  </conditionalFormatting>
  <conditionalFormatting sqref="Q4544">
    <cfRule type="expression" dxfId="3733" priority="4486" stopIfTrue="1">
      <formula>$Q4544="请输入"</formula>
    </cfRule>
  </conditionalFormatting>
  <conditionalFormatting sqref="H4563">
    <cfRule type="expression" dxfId="3732" priority="4110">
      <formula>AND(H$4563&lt;&gt;0,H$4563&lt;&gt;"")</formula>
    </cfRule>
    <cfRule type="expression" dxfId="3731" priority="4111" stopIfTrue="1">
      <formula>H$4564&lt;&gt;"√"</formula>
    </cfRule>
  </conditionalFormatting>
  <conditionalFormatting sqref="I4563">
    <cfRule type="expression" dxfId="3730" priority="4112">
      <formula>AND(I$4563&lt;&gt;0,I$4563&lt;&gt;"")</formula>
    </cfRule>
    <cfRule type="expression" dxfId="3729" priority="4113" stopIfTrue="1">
      <formula>I$4564&lt;&gt;"√"</formula>
    </cfRule>
  </conditionalFormatting>
  <conditionalFormatting sqref="J4563">
    <cfRule type="expression" dxfId="3728" priority="4114">
      <formula>AND(J$4563&lt;&gt;0,J$4563&lt;&gt;"")</formula>
    </cfRule>
    <cfRule type="expression" dxfId="3727" priority="4115" stopIfTrue="1">
      <formula>J$4564&lt;&gt;"√"</formula>
    </cfRule>
  </conditionalFormatting>
  <conditionalFormatting sqref="K4563">
    <cfRule type="expression" dxfId="3726" priority="4116">
      <formula>AND(K$4563&lt;&gt;0,K$4563&lt;&gt;"")</formula>
    </cfRule>
    <cfRule type="expression" dxfId="3725" priority="4117" stopIfTrue="1">
      <formula>K$4564&lt;&gt;"√"</formula>
    </cfRule>
  </conditionalFormatting>
  <conditionalFormatting sqref="K4565">
    <cfRule type="expression" dxfId="3724" priority="4118">
      <formula>AND($K$4565&lt;&gt;0,$K$4565&lt;&gt;"")</formula>
    </cfRule>
    <cfRule type="expression" dxfId="3723" priority="4119" stopIfTrue="1">
      <formula>$L$4565&lt;&gt;"√"</formula>
    </cfRule>
  </conditionalFormatting>
  <conditionalFormatting sqref="Q4567">
    <cfRule type="expression" dxfId="3722" priority="4487" stopIfTrue="1">
      <formula>$Q4567="请输入"</formula>
    </cfRule>
  </conditionalFormatting>
  <conditionalFormatting sqref="H4582">
    <cfRule type="expression" dxfId="3721" priority="4120">
      <formula>AND(H$4582&lt;&gt;0,H$4582&lt;&gt;"")</formula>
    </cfRule>
    <cfRule type="expression" dxfId="3720" priority="4121" stopIfTrue="1">
      <formula>H$4583&lt;&gt;"√"</formula>
    </cfRule>
  </conditionalFormatting>
  <conditionalFormatting sqref="I4582">
    <cfRule type="expression" dxfId="3719" priority="4122">
      <formula>AND(I$4582&lt;&gt;0,I$4582&lt;&gt;"")</formula>
    </cfRule>
    <cfRule type="expression" dxfId="3718" priority="4123" stopIfTrue="1">
      <formula>I$4583&lt;&gt;"√"</formula>
    </cfRule>
  </conditionalFormatting>
  <conditionalFormatting sqref="J4582">
    <cfRule type="expression" dxfId="3717" priority="4124">
      <formula>AND(J$4582&lt;&gt;0,J$4582&lt;&gt;"")</formula>
    </cfRule>
    <cfRule type="expression" dxfId="3716" priority="4125" stopIfTrue="1">
      <formula>J$4583&lt;&gt;"√"</formula>
    </cfRule>
  </conditionalFormatting>
  <conditionalFormatting sqref="K4582">
    <cfRule type="expression" dxfId="3715" priority="4126">
      <formula>AND(K$4582&lt;&gt;0,K$4582&lt;&gt;"")</formula>
    </cfRule>
    <cfRule type="expression" dxfId="3714" priority="4127" stopIfTrue="1">
      <formula>K$4583&lt;&gt;"√"</formula>
    </cfRule>
  </conditionalFormatting>
  <conditionalFormatting sqref="K4584">
    <cfRule type="expression" dxfId="3713" priority="4128">
      <formula>AND($K$4584&lt;&gt;0,$K$4584&lt;&gt;"")</formula>
    </cfRule>
    <cfRule type="expression" dxfId="3712" priority="4129" stopIfTrue="1">
      <formula>$L$4584&lt;&gt;"√"</formula>
    </cfRule>
  </conditionalFormatting>
  <conditionalFormatting sqref="I4586">
    <cfRule type="expression" dxfId="3711" priority="1766" stopIfTrue="1">
      <formula>$I4586="适用"</formula>
    </cfRule>
    <cfRule type="expression" dxfId="3710" priority="1767" stopIfTrue="1">
      <formula>$I4586="不适用"</formula>
    </cfRule>
  </conditionalFormatting>
  <conditionalFormatting sqref="I4601">
    <cfRule type="expression" dxfId="3709" priority="1760" stopIfTrue="1">
      <formula>$I4601="适用"</formula>
    </cfRule>
    <cfRule type="expression" dxfId="3708" priority="1761" stopIfTrue="1">
      <formula>$I4601="不适用"</formula>
    </cfRule>
  </conditionalFormatting>
  <conditionalFormatting sqref="Q4637">
    <cfRule type="expression" dxfId="3707" priority="4488" stopIfTrue="1">
      <formula>$Q4637="请输入"</formula>
    </cfRule>
  </conditionalFormatting>
  <conditionalFormatting sqref="I4656">
    <cfRule type="expression" dxfId="3706" priority="1416" stopIfTrue="1">
      <formula>$I4656="适用"</formula>
    </cfRule>
    <cfRule type="expression" dxfId="3705" priority="1417" stopIfTrue="1">
      <formula>$I4656="不适用"</formula>
    </cfRule>
  </conditionalFormatting>
  <conditionalFormatting sqref="Q4667">
    <cfRule type="expression" dxfId="3704" priority="4489" stopIfTrue="1">
      <formula>$Q4667="请输入"</formula>
    </cfRule>
  </conditionalFormatting>
  <conditionalFormatting sqref="I4687">
    <cfRule type="expression" dxfId="3703" priority="1410" stopIfTrue="1">
      <formula>$I4687="适用"</formula>
    </cfRule>
    <cfRule type="expression" dxfId="3702" priority="1411" stopIfTrue="1">
      <formula>$I4687="不适用"</formula>
    </cfRule>
  </conditionalFormatting>
  <conditionalFormatting sqref="Q4698">
    <cfRule type="expression" dxfId="3701" priority="4490" stopIfTrue="1">
      <formula>$Q4698="请输入"</formula>
    </cfRule>
  </conditionalFormatting>
  <conditionalFormatting sqref="I4718">
    <cfRule type="expression" dxfId="3700" priority="1402" stopIfTrue="1">
      <formula>$I4718="适用"</formula>
    </cfRule>
    <cfRule type="expression" dxfId="3699" priority="1403" stopIfTrue="1">
      <formula>$I4718="不适用"</formula>
    </cfRule>
  </conditionalFormatting>
  <conditionalFormatting sqref="I4729">
    <cfRule type="expression" dxfId="3698" priority="1111" stopIfTrue="1">
      <formula>$I4729="适用"</formula>
    </cfRule>
    <cfRule type="expression" dxfId="3697" priority="1112" stopIfTrue="1">
      <formula>$I4729="不适用"</formula>
    </cfRule>
  </conditionalFormatting>
  <conditionalFormatting sqref="Q4754">
    <cfRule type="expression" dxfId="3696" priority="4491" stopIfTrue="1">
      <formula>$Q4754="请输入"</formula>
    </cfRule>
  </conditionalFormatting>
  <conditionalFormatting sqref="I4769">
    <cfRule type="expression" dxfId="3695" priority="1396" stopIfTrue="1">
      <formula>$I4769="适用"</formula>
    </cfRule>
    <cfRule type="expression" dxfId="3694" priority="1397" stopIfTrue="1">
      <formula>$I4769="不适用"</formula>
    </cfRule>
  </conditionalFormatting>
  <conditionalFormatting sqref="Q4886">
    <cfRule type="expression" dxfId="3693" priority="4492" stopIfTrue="1">
      <formula>$Q4886="请输入"</formula>
    </cfRule>
  </conditionalFormatting>
  <conditionalFormatting sqref="I4908">
    <cfRule type="expression" dxfId="3692" priority="1189" stopIfTrue="1">
      <formula>$I4908="适用"</formula>
    </cfRule>
    <cfRule type="expression" dxfId="3691" priority="1190" stopIfTrue="1">
      <formula>$I4908="不适用"</formula>
    </cfRule>
  </conditionalFormatting>
  <conditionalFormatting sqref="Q4923">
    <cfRule type="expression" dxfId="3690" priority="4495" stopIfTrue="1">
      <formula>$Q4923="请输入"</formula>
    </cfRule>
  </conditionalFormatting>
  <conditionalFormatting sqref="Q4936">
    <cfRule type="expression" dxfId="3689" priority="4496" stopIfTrue="1">
      <formula>$Q4936="请输入"</formula>
    </cfRule>
  </conditionalFormatting>
  <conditionalFormatting sqref="H4949">
    <cfRule type="expression" dxfId="3688" priority="4130">
      <formula>AND(H$4949&lt;&gt;0,H$4949&lt;&gt;"")</formula>
    </cfRule>
    <cfRule type="expression" dxfId="3687" priority="4131" stopIfTrue="1">
      <formula>H$4950&lt;&gt;"√"</formula>
    </cfRule>
  </conditionalFormatting>
  <conditionalFormatting sqref="I4949">
    <cfRule type="expression" dxfId="3686" priority="4132">
      <formula>AND(I$4949&lt;&gt;0,I$4949&lt;&gt;"")</formula>
    </cfRule>
    <cfRule type="expression" dxfId="3685" priority="4133" stopIfTrue="1">
      <formula>I$4950&lt;&gt;"√"</formula>
    </cfRule>
  </conditionalFormatting>
  <conditionalFormatting sqref="K4951">
    <cfRule type="expression" dxfId="3684" priority="4134">
      <formula>AND($K$4951&lt;&gt;0,$K$4951&lt;&gt;"")</formula>
    </cfRule>
    <cfRule type="expression" dxfId="3683" priority="4135" stopIfTrue="1">
      <formula>$L$4951&lt;&gt;"√"</formula>
    </cfRule>
  </conditionalFormatting>
  <conditionalFormatting sqref="Q4954">
    <cfRule type="expression" dxfId="3682" priority="4497" stopIfTrue="1">
      <formula>$Q4954="请输入"</formula>
    </cfRule>
  </conditionalFormatting>
  <conditionalFormatting sqref="Q4967">
    <cfRule type="expression" dxfId="3681" priority="4498" stopIfTrue="1">
      <formula>$Q4967="请输入"</formula>
    </cfRule>
  </conditionalFormatting>
  <conditionalFormatting sqref="Q4975">
    <cfRule type="expression" dxfId="3680" priority="4499" stopIfTrue="1">
      <formula>$Q4975="请输入"</formula>
    </cfRule>
  </conditionalFormatting>
  <conditionalFormatting sqref="I4994">
    <cfRule type="expression" dxfId="3679" priority="1388" stopIfTrue="1">
      <formula>$I4994="适用"</formula>
    </cfRule>
    <cfRule type="expression" dxfId="3678" priority="1389" stopIfTrue="1">
      <formula>$I4994="不适用"</formula>
    </cfRule>
  </conditionalFormatting>
  <conditionalFormatting sqref="I5008">
    <cfRule type="expression" dxfId="3677" priority="1382" stopIfTrue="1">
      <formula>$I5008="适用"</formula>
    </cfRule>
    <cfRule type="expression" dxfId="3676" priority="1383" stopIfTrue="1">
      <formula>$I5008="不适用"</formula>
    </cfRule>
  </conditionalFormatting>
  <conditionalFormatting sqref="I5018">
    <cfRule type="expression" dxfId="3675" priority="1376" stopIfTrue="1">
      <formula>$I5018="适用"</formula>
    </cfRule>
    <cfRule type="expression" dxfId="3674" priority="1377" stopIfTrue="1">
      <formula>$I5018="不适用"</formula>
    </cfRule>
  </conditionalFormatting>
  <conditionalFormatting sqref="Q5030">
    <cfRule type="expression" dxfId="3673" priority="4500" stopIfTrue="1">
      <formula>$Q5030="请输入"</formula>
    </cfRule>
  </conditionalFormatting>
  <conditionalFormatting sqref="Q5046">
    <cfRule type="expression" dxfId="3672" priority="4501" stopIfTrue="1">
      <formula>$Q5046="请输入"</formula>
    </cfRule>
  </conditionalFormatting>
  <conditionalFormatting sqref="Q5062">
    <cfRule type="expression" dxfId="3671" priority="4502" stopIfTrue="1">
      <formula>$Q5062="请输入"</formula>
    </cfRule>
  </conditionalFormatting>
  <conditionalFormatting sqref="Q5073">
    <cfRule type="expression" dxfId="3670" priority="4503" stopIfTrue="1">
      <formula>$Q5073="请输入"</formula>
    </cfRule>
  </conditionalFormatting>
  <conditionalFormatting sqref="Q5084">
    <cfRule type="expression" dxfId="3669" priority="4504" stopIfTrue="1">
      <formula>$Q5084="请输入"</formula>
    </cfRule>
  </conditionalFormatting>
  <conditionalFormatting sqref="Q5095">
    <cfRule type="expression" dxfId="3668" priority="4505" stopIfTrue="1">
      <formula>$Q5095="请输入"</formula>
    </cfRule>
  </conditionalFormatting>
  <conditionalFormatting sqref="Q5106">
    <cfRule type="expression" dxfId="3667" priority="4506" stopIfTrue="1">
      <formula>$Q5106="请输入"</formula>
    </cfRule>
  </conditionalFormatting>
  <conditionalFormatting sqref="Q5137">
    <cfRule type="expression" dxfId="3666" priority="4507" stopIfTrue="1">
      <formula>$Q5137="请输入"</formula>
    </cfRule>
  </conditionalFormatting>
  <conditionalFormatting sqref="Q5166">
    <cfRule type="expression" dxfId="3665" priority="4508" stopIfTrue="1">
      <formula>$Q5166="请输入"</formula>
    </cfRule>
  </conditionalFormatting>
  <conditionalFormatting sqref="I5193">
    <cfRule type="expression" dxfId="3664" priority="1946" stopIfTrue="1">
      <formula>$I5193="适用"</formula>
    </cfRule>
    <cfRule type="expression" dxfId="3663" priority="1947" stopIfTrue="1">
      <formula>$I5193="不适用"</formula>
    </cfRule>
  </conditionalFormatting>
  <conditionalFormatting sqref="I5218">
    <cfRule type="expression" dxfId="3662" priority="1938" stopIfTrue="1">
      <formula>$I5218="适用"</formula>
    </cfRule>
    <cfRule type="expression" dxfId="3661" priority="1939" stopIfTrue="1">
      <formula>$I5218="不适用"</formula>
    </cfRule>
  </conditionalFormatting>
  <conditionalFormatting sqref="I5329">
    <cfRule type="expression" dxfId="3660" priority="593" stopIfTrue="1">
      <formula>$I5329="适用"</formula>
    </cfRule>
    <cfRule type="expression" dxfId="3659" priority="594" stopIfTrue="1">
      <formula>$I5329="不适用"</formula>
    </cfRule>
  </conditionalFormatting>
  <conditionalFormatting sqref="I5346">
    <cfRule type="expression" dxfId="3658" priority="590" stopIfTrue="1">
      <formula>$I5346="适用"</formula>
    </cfRule>
    <cfRule type="expression" dxfId="3657" priority="591" stopIfTrue="1">
      <formula>$I5346="不适用"</formula>
    </cfRule>
  </conditionalFormatting>
  <conditionalFormatting sqref="G5305:G5313">
    <cfRule type="expression" dxfId="3656" priority="581">
      <formula>$D5305&gt;1</formula>
    </cfRule>
    <cfRule type="expression" dxfId="3655" priority="582">
      <formula>$C5305="%IN"</formula>
    </cfRule>
    <cfRule type="expression" dxfId="3654" priority="583" stopIfTrue="1">
      <formula>$E5305=0</formula>
    </cfRule>
  </conditionalFormatting>
  <conditionalFormatting sqref="I5363">
    <cfRule type="expression" dxfId="3653" priority="584" stopIfTrue="1">
      <formula>$I5363="适用"</formula>
    </cfRule>
    <cfRule type="expression" dxfId="3652" priority="585" stopIfTrue="1">
      <formula>$I5363="不适用"</formula>
    </cfRule>
  </conditionalFormatting>
  <conditionalFormatting sqref="I5379">
    <cfRule type="expression" dxfId="3651" priority="575" stopIfTrue="1">
      <formula>$I5379="适用"</formula>
    </cfRule>
    <cfRule type="expression" dxfId="3650" priority="576" stopIfTrue="1">
      <formula>$I5379="不适用"</formula>
    </cfRule>
  </conditionalFormatting>
  <conditionalFormatting sqref="I5395">
    <cfRule type="expression" dxfId="3649" priority="569" stopIfTrue="1">
      <formula>$I5395="适用"</formula>
    </cfRule>
    <cfRule type="expression" dxfId="3648" priority="570" stopIfTrue="1">
      <formula>$I5395="不适用"</formula>
    </cfRule>
  </conditionalFormatting>
  <conditionalFormatting sqref="I5429">
    <cfRule type="expression" dxfId="3647" priority="566" stopIfTrue="1">
      <formula>$I5429="适用"</formula>
    </cfRule>
    <cfRule type="expression" dxfId="3646" priority="567" stopIfTrue="1">
      <formula>$I5429="不适用"</formula>
    </cfRule>
  </conditionalFormatting>
  <conditionalFormatting sqref="I5464">
    <cfRule type="expression" dxfId="3645" priority="1882" stopIfTrue="1">
      <formula>$I5464="适用"</formula>
    </cfRule>
    <cfRule type="expression" dxfId="3644" priority="1883" stopIfTrue="1">
      <formula>$I5464="不适用"</formula>
    </cfRule>
  </conditionalFormatting>
  <conditionalFormatting sqref="I5558">
    <cfRule type="expression" dxfId="3643" priority="563" stopIfTrue="1">
      <formula>$I5558="适用"</formula>
    </cfRule>
    <cfRule type="expression" dxfId="3642" priority="564" stopIfTrue="1">
      <formula>$I5558="不适用"</formula>
    </cfRule>
  </conditionalFormatting>
  <conditionalFormatting sqref="I5567">
    <cfRule type="expression" dxfId="3641" priority="560" stopIfTrue="1">
      <formula>$I5567="适用"</formula>
    </cfRule>
    <cfRule type="expression" dxfId="3640" priority="561" stopIfTrue="1">
      <formula>$I5567="不适用"</formula>
    </cfRule>
  </conditionalFormatting>
  <conditionalFormatting sqref="I5585">
    <cfRule type="expression" dxfId="3639" priority="1846" stopIfTrue="1">
      <formula>$I5585="适用"</formula>
    </cfRule>
    <cfRule type="expression" dxfId="3638" priority="1847" stopIfTrue="1">
      <formula>$I5585="不适用"</formula>
    </cfRule>
  </conditionalFormatting>
  <conditionalFormatting sqref="G5595">
    <cfRule type="expression" dxfId="3637" priority="555" stopIfTrue="1">
      <formula>$D5595&gt;1</formula>
    </cfRule>
    <cfRule type="expression" dxfId="3636" priority="556" stopIfTrue="1">
      <formula>$C5595="%IN"</formula>
    </cfRule>
  </conditionalFormatting>
  <conditionalFormatting sqref="G5596">
    <cfRule type="expression" dxfId="3635" priority="553" stopIfTrue="1">
      <formula>$D5596&gt;1</formula>
    </cfRule>
    <cfRule type="expression" dxfId="3634" priority="554" stopIfTrue="1">
      <formula>$C5596="%IN"</formula>
    </cfRule>
  </conditionalFormatting>
  <conditionalFormatting sqref="G5597">
    <cfRule type="expression" dxfId="3633" priority="551" stopIfTrue="1">
      <formula>$D5597&gt;1</formula>
    </cfRule>
    <cfRule type="expression" dxfId="3632" priority="552" stopIfTrue="1">
      <formula>$C5597="%IN"</formula>
    </cfRule>
  </conditionalFormatting>
  <conditionalFormatting sqref="I5784">
    <cfRule type="expression" dxfId="3631" priority="1184" stopIfTrue="1">
      <formula>$I5784="适用"</formula>
    </cfRule>
    <cfRule type="expression" dxfId="3630" priority="1185" stopIfTrue="1">
      <formula>$I5784="不适用"</formula>
    </cfRule>
  </conditionalFormatting>
  <conditionalFormatting sqref="I5814">
    <cfRule type="expression" dxfId="3629" priority="1928" stopIfTrue="1">
      <formula>$I5814="适用"</formula>
    </cfRule>
    <cfRule type="expression" dxfId="3628" priority="1929" stopIfTrue="1">
      <formula>$I5814="不适用"</formula>
    </cfRule>
  </conditionalFormatting>
  <conditionalFormatting sqref="I5846">
    <cfRule type="expression" dxfId="3627" priority="1920" stopIfTrue="1">
      <formula>$I5846="适用"</formula>
    </cfRule>
    <cfRule type="expression" dxfId="3626" priority="1921" stopIfTrue="1">
      <formula>$I5846="不适用"</formula>
    </cfRule>
  </conditionalFormatting>
  <conditionalFormatting sqref="I5856">
    <cfRule type="expression" dxfId="3625" priority="1914" stopIfTrue="1">
      <formula>$I5856="适用"</formula>
    </cfRule>
    <cfRule type="expression" dxfId="3624" priority="1915" stopIfTrue="1">
      <formula>$I5856="不适用"</formula>
    </cfRule>
  </conditionalFormatting>
  <conditionalFormatting sqref="I5866">
    <cfRule type="expression" dxfId="3623" priority="1908" stopIfTrue="1">
      <formula>$I5866="适用"</formula>
    </cfRule>
    <cfRule type="expression" dxfId="3622" priority="1909" stopIfTrue="1">
      <formula>$I5866="不适用"</formula>
    </cfRule>
  </conditionalFormatting>
  <conditionalFormatting sqref="I5878">
    <cfRule type="expression" dxfId="3621" priority="1552" stopIfTrue="1">
      <formula>$I5878="适用"</formula>
    </cfRule>
    <cfRule type="expression" dxfId="3620" priority="1553" stopIfTrue="1">
      <formula>$I5878="不适用"</formula>
    </cfRule>
  </conditionalFormatting>
  <conditionalFormatting sqref="I5889">
    <cfRule type="expression" dxfId="3619" priority="1558" stopIfTrue="1">
      <formula>$I5889="适用"</formula>
    </cfRule>
    <cfRule type="expression" dxfId="3618" priority="1559" stopIfTrue="1">
      <formula>$I5889="不适用"</formula>
    </cfRule>
  </conditionalFormatting>
  <conditionalFormatting sqref="I5900">
    <cfRule type="expression" dxfId="3617" priority="1568" stopIfTrue="1">
      <formula>$I5900="适用"</formula>
    </cfRule>
    <cfRule type="expression" dxfId="3616" priority="1569" stopIfTrue="1">
      <formula>$I5900="不适用"</formula>
    </cfRule>
  </conditionalFormatting>
  <conditionalFormatting sqref="I5911">
    <cfRule type="expression" dxfId="3615" priority="1578" stopIfTrue="1">
      <formula>$I5911="适用"</formula>
    </cfRule>
    <cfRule type="expression" dxfId="3614" priority="1579" stopIfTrue="1">
      <formula>$I5911="不适用"</formula>
    </cfRule>
  </conditionalFormatting>
  <conditionalFormatting sqref="I5922">
    <cfRule type="expression" dxfId="3613" priority="1588" stopIfTrue="1">
      <formula>$I5922="适用"</formula>
    </cfRule>
    <cfRule type="expression" dxfId="3612" priority="1589" stopIfTrue="1">
      <formula>$I5922="不适用"</formula>
    </cfRule>
  </conditionalFormatting>
  <conditionalFormatting sqref="I5933">
    <cfRule type="expression" dxfId="3611" priority="1598" stopIfTrue="1">
      <formula>$I5933="适用"</formula>
    </cfRule>
    <cfRule type="expression" dxfId="3610" priority="1599" stopIfTrue="1">
      <formula>$I5933="不适用"</formula>
    </cfRule>
  </conditionalFormatting>
  <conditionalFormatting sqref="I5944">
    <cfRule type="expression" dxfId="3609" priority="1612" stopIfTrue="1">
      <formula>$I5944="适用"</formula>
    </cfRule>
    <cfRule type="expression" dxfId="3608" priority="1613" stopIfTrue="1">
      <formula>$I5944="不适用"</formula>
    </cfRule>
  </conditionalFormatting>
  <conditionalFormatting sqref="I5955">
    <cfRule type="expression" dxfId="3607" priority="1622" stopIfTrue="1">
      <formula>$I5955="适用"</formula>
    </cfRule>
    <cfRule type="expression" dxfId="3606" priority="1623" stopIfTrue="1">
      <formula>$I5955="不适用"</formula>
    </cfRule>
  </conditionalFormatting>
  <conditionalFormatting sqref="I5966">
    <cfRule type="expression" dxfId="3605" priority="1628" stopIfTrue="1">
      <formula>$I5966="适用"</formula>
    </cfRule>
    <cfRule type="expression" dxfId="3604" priority="1629" stopIfTrue="1">
      <formula>$I5966="不适用"</formula>
    </cfRule>
  </conditionalFormatting>
  <conditionalFormatting sqref="I6006">
    <cfRule type="expression" dxfId="3603" priority="1650" stopIfTrue="1">
      <formula>$I6006="适用"</formula>
    </cfRule>
    <cfRule type="expression" dxfId="3602" priority="1651" stopIfTrue="1">
      <formula>$I6006="不适用"</formula>
    </cfRule>
  </conditionalFormatting>
  <conditionalFormatting sqref="I6017">
    <cfRule type="expression" dxfId="3601" priority="1660" stopIfTrue="1">
      <formula>$I6017="适用"</formula>
    </cfRule>
    <cfRule type="expression" dxfId="3600" priority="1661" stopIfTrue="1">
      <formula>$I6017="不适用"</formula>
    </cfRule>
  </conditionalFormatting>
  <conditionalFormatting sqref="I6029">
    <cfRule type="expression" dxfId="3599" priority="1670" stopIfTrue="1">
      <formula>$I6029="适用"</formula>
    </cfRule>
    <cfRule type="expression" dxfId="3598" priority="1671" stopIfTrue="1">
      <formula>$I6029="不适用"</formula>
    </cfRule>
  </conditionalFormatting>
  <conditionalFormatting sqref="I6041">
    <cfRule type="expression" dxfId="3597" priority="1680" stopIfTrue="1">
      <formula>$I6041="适用"</formula>
    </cfRule>
    <cfRule type="expression" dxfId="3596" priority="1681" stopIfTrue="1">
      <formula>$I6041="不适用"</formula>
    </cfRule>
  </conditionalFormatting>
  <conditionalFormatting sqref="G540:G550">
    <cfRule type="expression" dxfId="3595" priority="4781">
      <formula>$D540&gt;1</formula>
    </cfRule>
    <cfRule type="expression" dxfId="3594" priority="4782">
      <formula>$C540="%IN"</formula>
    </cfRule>
    <cfRule type="expression" dxfId="3593" priority="4783" stopIfTrue="1">
      <formula>$E540=0</formula>
    </cfRule>
  </conditionalFormatting>
  <conditionalFormatting sqref="G864:G869">
    <cfRule type="expression" dxfId="3592" priority="4709">
      <formula>$D864&gt;1</formula>
    </cfRule>
    <cfRule type="expression" dxfId="3591" priority="4710">
      <formula>$C864="%IN"</formula>
    </cfRule>
    <cfRule type="expression" dxfId="3590" priority="4711" stopIfTrue="1">
      <formula>$E864=0</formula>
    </cfRule>
  </conditionalFormatting>
  <conditionalFormatting sqref="G937:G941">
    <cfRule type="expression" dxfId="3589" priority="4610">
      <formula>$D937&gt;1</formula>
    </cfRule>
    <cfRule type="expression" dxfId="3588" priority="4611">
      <formula>$C937="%IN"</formula>
    </cfRule>
    <cfRule type="expression" dxfId="3587" priority="4612" stopIfTrue="1">
      <formula>$E937=0</formula>
    </cfRule>
  </conditionalFormatting>
  <conditionalFormatting sqref="G1685:G1690">
    <cfRule type="expression" dxfId="3586" priority="3244" stopIfTrue="1">
      <formula>$D1685&gt;1</formula>
    </cfRule>
    <cfRule type="expression" dxfId="3585" priority="3245" stopIfTrue="1">
      <formula>$C1685="%IN"</formula>
    </cfRule>
  </conditionalFormatting>
  <conditionalFormatting sqref="G1702:G1707">
    <cfRule type="expression" dxfId="3584" priority="3246" stopIfTrue="1">
      <formula>$D1702&gt;1</formula>
    </cfRule>
    <cfRule type="expression" dxfId="3583" priority="3247" stopIfTrue="1">
      <formula>$C1702="%IN"</formula>
    </cfRule>
  </conditionalFormatting>
  <conditionalFormatting sqref="G1828:G1836">
    <cfRule type="expression" dxfId="3582" priority="4808">
      <formula>$D1828&gt;1</formula>
    </cfRule>
    <cfRule type="expression" dxfId="3581" priority="4809">
      <formula>$C1828="%IN"</formula>
    </cfRule>
    <cfRule type="expression" dxfId="3580" priority="4810" stopIfTrue="1">
      <formula>$E1828=0</formula>
    </cfRule>
  </conditionalFormatting>
  <conditionalFormatting sqref="G1843:G1851">
    <cfRule type="expression" dxfId="3579" priority="4811">
      <formula>$D1843&gt;1</formula>
    </cfRule>
    <cfRule type="expression" dxfId="3578" priority="4812">
      <formula>$C1843="%IN"</formula>
    </cfRule>
    <cfRule type="expression" dxfId="3577" priority="4813" stopIfTrue="1">
      <formula>$E1843=0</formula>
    </cfRule>
  </conditionalFormatting>
  <conditionalFormatting sqref="G2162:G2169">
    <cfRule type="expression" dxfId="3576" priority="3806" stopIfTrue="1">
      <formula>$D2162&gt;1</formula>
    </cfRule>
    <cfRule type="expression" dxfId="3575" priority="3807" stopIfTrue="1">
      <formula>$C2162="%IN"</formula>
    </cfRule>
  </conditionalFormatting>
  <conditionalFormatting sqref="G2174:G2179">
    <cfRule type="expression" dxfId="3574" priority="3674" stopIfTrue="1">
      <formula>$D2174&gt;1</formula>
    </cfRule>
    <cfRule type="expression" dxfId="3573" priority="3675" stopIfTrue="1">
      <formula>$C2174="%IN"</formula>
    </cfRule>
  </conditionalFormatting>
  <conditionalFormatting sqref="G2354:G2366">
    <cfRule type="expression" dxfId="3572" priority="4916">
      <formula>$D2354&gt;1</formula>
    </cfRule>
    <cfRule type="expression" dxfId="3571" priority="4917">
      <formula>$C2354="%IN"</formula>
    </cfRule>
    <cfRule type="expression" dxfId="3570" priority="4918" stopIfTrue="1">
      <formula>$E2354=0</formula>
    </cfRule>
  </conditionalFormatting>
  <conditionalFormatting sqref="G2500:G2504">
    <cfRule type="expression" dxfId="3569" priority="5167">
      <formula>$D2500&gt;1</formula>
    </cfRule>
    <cfRule type="expression" dxfId="3568" priority="5168">
      <formula>$C2500="%IN"</formula>
    </cfRule>
    <cfRule type="expression" dxfId="3567" priority="5169" stopIfTrue="1">
      <formula>$E2500=0</formula>
    </cfRule>
  </conditionalFormatting>
  <conditionalFormatting sqref="G2523:G2528">
    <cfRule type="expression" dxfId="3566" priority="5170">
      <formula>$D2523&gt;1</formula>
    </cfRule>
    <cfRule type="expression" dxfId="3565" priority="5171">
      <formula>$C2523="%IN"</formula>
    </cfRule>
    <cfRule type="expression" dxfId="3564" priority="5172" stopIfTrue="1">
      <formula>$E2523=0</formula>
    </cfRule>
  </conditionalFormatting>
  <conditionalFormatting sqref="G2621:G2626">
    <cfRule type="expression" dxfId="3563" priority="5024">
      <formula>$D2621&gt;1</formula>
    </cfRule>
    <cfRule type="expression" dxfId="3562" priority="5025">
      <formula>$C2621="%IN"</formula>
    </cfRule>
    <cfRule type="expression" dxfId="3561" priority="5026" stopIfTrue="1">
      <formula>$E2621=0</formula>
    </cfRule>
  </conditionalFormatting>
  <conditionalFormatting sqref="G2642:G2645">
    <cfRule type="expression" dxfId="3560" priority="5173">
      <formula>$D2642&gt;1</formula>
    </cfRule>
    <cfRule type="expression" dxfId="3559" priority="5174">
      <formula>$C2642="%IN"</formula>
    </cfRule>
    <cfRule type="expression" dxfId="3558" priority="5175" stopIfTrue="1">
      <formula>$E2642=0</formula>
    </cfRule>
  </conditionalFormatting>
  <conditionalFormatting sqref="G2800:G2808">
    <cfRule type="expression" dxfId="3557" priority="5176">
      <formula>$D2800&gt;1</formula>
    </cfRule>
    <cfRule type="expression" dxfId="3556" priority="5177">
      <formula>$C2800="%IN"</formula>
    </cfRule>
    <cfRule type="expression" dxfId="3555" priority="5178" stopIfTrue="1">
      <formula>$E2800=0</formula>
    </cfRule>
  </conditionalFormatting>
  <conditionalFormatting sqref="G2824:G2827">
    <cfRule type="expression" dxfId="3554" priority="5179">
      <formula>$D2824&gt;1</formula>
    </cfRule>
    <cfRule type="expression" dxfId="3553" priority="5180">
      <formula>$C2824="%IN"</formula>
    </cfRule>
    <cfRule type="expression" dxfId="3552" priority="5181" stopIfTrue="1">
      <formula>$E2824=0</formula>
    </cfRule>
  </conditionalFormatting>
  <conditionalFormatting sqref="G2913:G2917">
    <cfRule type="expression" dxfId="3551" priority="4979">
      <formula>$D2913&gt;1</formula>
    </cfRule>
    <cfRule type="expression" dxfId="3550" priority="4980">
      <formula>$C2913="%IN"</formula>
    </cfRule>
    <cfRule type="expression" dxfId="3549" priority="4981" stopIfTrue="1">
      <formula>$E2913=0</formula>
    </cfRule>
  </conditionalFormatting>
  <conditionalFormatting sqref="G3180:G3183 G3188:G3189">
    <cfRule type="expression" dxfId="3548" priority="3724" stopIfTrue="1">
      <formula>$D3180&gt;1</formula>
    </cfRule>
    <cfRule type="expression" dxfId="3547" priority="3725" stopIfTrue="1">
      <formula>$C3180="%IN"</formula>
    </cfRule>
  </conditionalFormatting>
  <conditionalFormatting sqref="G3222:G3227">
    <cfRule type="expression" dxfId="3546" priority="4988">
      <formula>$D3222&gt;1</formula>
    </cfRule>
    <cfRule type="expression" dxfId="3545" priority="4989">
      <formula>$C3222="%IN"</formula>
    </cfRule>
    <cfRule type="expression" dxfId="3544" priority="4990" stopIfTrue="1">
      <formula>$E3222=0</formula>
    </cfRule>
  </conditionalFormatting>
  <conditionalFormatting sqref="G3232:G3239">
    <cfRule type="expression" dxfId="3543" priority="3948" stopIfTrue="1">
      <formula>$D3232&gt;1</formula>
    </cfRule>
    <cfRule type="expression" dxfId="3542" priority="3949" stopIfTrue="1">
      <formula>$C3232="%IN"</formula>
    </cfRule>
  </conditionalFormatting>
  <conditionalFormatting sqref="G3313:G3320">
    <cfRule type="expression" dxfId="3541" priority="5191">
      <formula>$D3313&gt;1</formula>
    </cfRule>
    <cfRule type="expression" dxfId="3540" priority="5192">
      <formula>$C3313="%IN"</formula>
    </cfRule>
    <cfRule type="expression" dxfId="3539" priority="5193" stopIfTrue="1">
      <formula>$E3313=0</formula>
    </cfRule>
  </conditionalFormatting>
  <conditionalFormatting sqref="G3326:G3331">
    <cfRule type="expression" dxfId="3538" priority="5194">
      <formula>$D3326&gt;1</formula>
    </cfRule>
    <cfRule type="expression" dxfId="3537" priority="5195">
      <formula>$C3326="%IN"</formula>
    </cfRule>
    <cfRule type="expression" dxfId="3536" priority="5196" stopIfTrue="1">
      <formula>$E3326=0</formula>
    </cfRule>
  </conditionalFormatting>
  <conditionalFormatting sqref="G3388:G3396">
    <cfRule type="expression" dxfId="3535" priority="4997">
      <formula>$D3388&gt;1</formula>
    </cfRule>
    <cfRule type="expression" dxfId="3534" priority="4998">
      <formula>$C3388="%IN"</formula>
    </cfRule>
    <cfRule type="expression" dxfId="3533" priority="4999" stopIfTrue="1">
      <formula>$E3388=0</formula>
    </cfRule>
  </conditionalFormatting>
  <conditionalFormatting sqref="G3401:G3409">
    <cfRule type="expression" dxfId="3532" priority="5000">
      <formula>$D3401&gt;1</formula>
    </cfRule>
    <cfRule type="expression" dxfId="3531" priority="5001">
      <formula>$C3401="%IN"</formula>
    </cfRule>
    <cfRule type="expression" dxfId="3530" priority="5002" stopIfTrue="1">
      <formula>$E3401=0</formula>
    </cfRule>
  </conditionalFormatting>
  <conditionalFormatting sqref="G3428:G3433">
    <cfRule type="expression" dxfId="3529" priority="5200">
      <formula>$D3428&gt;1</formula>
    </cfRule>
    <cfRule type="expression" dxfId="3528" priority="5201">
      <formula>$C3428="%IN"</formula>
    </cfRule>
    <cfRule type="expression" dxfId="3527" priority="5202" stopIfTrue="1">
      <formula>$E3428=0</formula>
    </cfRule>
  </conditionalFormatting>
  <conditionalFormatting sqref="G3439:G3443">
    <cfRule type="expression" dxfId="3526" priority="5203">
      <formula>$D3439&gt;1</formula>
    </cfRule>
    <cfRule type="expression" dxfId="3525" priority="5204">
      <formula>$C3439="%IN"</formula>
    </cfRule>
    <cfRule type="expression" dxfId="3524" priority="5205" stopIfTrue="1">
      <formula>$E3439=0</formula>
    </cfRule>
  </conditionalFormatting>
  <conditionalFormatting sqref="G3538:G3543">
    <cfRule type="expression" dxfId="3523" priority="5209">
      <formula>$D3538&gt;1</formula>
    </cfRule>
    <cfRule type="expression" dxfId="3522" priority="5210">
      <formula>$C3538="%IN"</formula>
    </cfRule>
    <cfRule type="expression" dxfId="3521" priority="5211" stopIfTrue="1">
      <formula>$E3538=0</formula>
    </cfRule>
  </conditionalFormatting>
  <conditionalFormatting sqref="G3565:G3570">
    <cfRule type="expression" dxfId="3520" priority="3388" stopIfTrue="1">
      <formula>$D3565&gt;1</formula>
    </cfRule>
    <cfRule type="expression" dxfId="3519" priority="3389" stopIfTrue="1">
      <formula>$C3565="%IN"</formula>
    </cfRule>
  </conditionalFormatting>
  <conditionalFormatting sqref="G3605:G3619">
    <cfRule type="expression" dxfId="3518" priority="3942" stopIfTrue="1">
      <formula>$D3605&gt;1</formula>
    </cfRule>
    <cfRule type="expression" dxfId="3517" priority="3943" stopIfTrue="1">
      <formula>$C3605="%IN"</formula>
    </cfRule>
  </conditionalFormatting>
  <conditionalFormatting sqref="G3734:G3748">
    <cfRule type="expression" dxfId="3516" priority="669" stopIfTrue="1">
      <formula>$D3734&gt;1</formula>
    </cfRule>
    <cfRule type="expression" dxfId="3515" priority="670" stopIfTrue="1">
      <formula>$C3734="%IN"</formula>
    </cfRule>
  </conditionalFormatting>
  <conditionalFormatting sqref="G3753:G3761">
    <cfRule type="expression" dxfId="3514" priority="3970" stopIfTrue="1">
      <formula>$D3753&gt;1</formula>
    </cfRule>
    <cfRule type="expression" dxfId="3513" priority="3971" stopIfTrue="1">
      <formula>$C3753="%IN"</formula>
    </cfRule>
  </conditionalFormatting>
  <conditionalFormatting sqref="G3767:G3771">
    <cfRule type="expression" dxfId="3512" priority="5215">
      <formula>$D3767&gt;1</formula>
    </cfRule>
    <cfRule type="expression" dxfId="3511" priority="5216">
      <formula>$C3767="%IN"</formula>
    </cfRule>
    <cfRule type="expression" dxfId="3510" priority="5217" stopIfTrue="1">
      <formula>$E3767=0</formula>
    </cfRule>
  </conditionalFormatting>
  <conditionalFormatting sqref="G3825:G3830">
    <cfRule type="expression" dxfId="3509" priority="3766" stopIfTrue="1">
      <formula>$D3825&gt;1</formula>
    </cfRule>
    <cfRule type="expression" dxfId="3508" priority="3767" stopIfTrue="1">
      <formula>$C3825="%IN"</formula>
    </cfRule>
  </conditionalFormatting>
  <conditionalFormatting sqref="G3903:G3917">
    <cfRule type="expression" dxfId="3507" priority="3946" stopIfTrue="1">
      <formula>$D3903&gt;1</formula>
    </cfRule>
    <cfRule type="expression" dxfId="3506" priority="3947" stopIfTrue="1">
      <formula>$C3903="%IN"</formula>
    </cfRule>
  </conditionalFormatting>
  <conditionalFormatting sqref="G3923:G3928">
    <cfRule type="expression" dxfId="3505" priority="5230">
      <formula>$D3923&gt;1</formula>
    </cfRule>
    <cfRule type="expression" dxfId="3504" priority="5231">
      <formula>$C3923="%IN"</formula>
    </cfRule>
    <cfRule type="expression" dxfId="3503" priority="5232" stopIfTrue="1">
      <formula>$E3923=0</formula>
    </cfRule>
  </conditionalFormatting>
  <conditionalFormatting sqref="G3975:G3981">
    <cfRule type="expression" dxfId="3502" priority="5236">
      <formula>$D3975&gt;1</formula>
    </cfRule>
    <cfRule type="expression" dxfId="3501" priority="5237">
      <formula>$C3975="%IN"</formula>
    </cfRule>
    <cfRule type="expression" dxfId="3500" priority="5238" stopIfTrue="1">
      <formula>$E3975=0</formula>
    </cfRule>
  </conditionalFormatting>
  <conditionalFormatting sqref="G3986:G3991">
    <cfRule type="expression" dxfId="3499" priority="3778" stopIfTrue="1">
      <formula>$D3986&gt;1</formula>
    </cfRule>
    <cfRule type="expression" dxfId="3498" priority="3779" stopIfTrue="1">
      <formula>$C3986="%IN"</formula>
    </cfRule>
  </conditionalFormatting>
  <conditionalFormatting sqref="G4058:G4063">
    <cfRule type="expression" dxfId="3497" priority="5242">
      <formula>$D4058&gt;1</formula>
    </cfRule>
    <cfRule type="expression" dxfId="3496" priority="5243">
      <formula>$C4058="%IN"</formula>
    </cfRule>
    <cfRule type="expression" dxfId="3495" priority="5244" stopIfTrue="1">
      <formula>$E4058=0</formula>
    </cfRule>
  </conditionalFormatting>
  <conditionalFormatting sqref="G4068:G4076">
    <cfRule type="expression" dxfId="3494" priority="3780" stopIfTrue="1">
      <formula>$D4068&gt;1</formula>
    </cfRule>
    <cfRule type="expression" dxfId="3493" priority="3781" stopIfTrue="1">
      <formula>$C4068="%IN"</formula>
    </cfRule>
  </conditionalFormatting>
  <conditionalFormatting sqref="G4093:G4098">
    <cfRule type="expression" dxfId="3492" priority="3898" stopIfTrue="1">
      <formula>$D4093&gt;1</formula>
    </cfRule>
    <cfRule type="expression" dxfId="3491" priority="3899" stopIfTrue="1">
      <formula>$C4093="%IN"</formula>
    </cfRule>
  </conditionalFormatting>
  <conditionalFormatting sqref="G4114:G4119">
    <cfRule type="expression" dxfId="3490" priority="5245">
      <formula>$D4114&gt;1</formula>
    </cfRule>
    <cfRule type="expression" dxfId="3489" priority="5246">
      <formula>$C4114="%IN"</formula>
    </cfRule>
    <cfRule type="expression" dxfId="3488" priority="5247" stopIfTrue="1">
      <formula>$E4114=0</formula>
    </cfRule>
  </conditionalFormatting>
  <conditionalFormatting sqref="G4254:G4262">
    <cfRule type="expression" dxfId="3487" priority="5266">
      <formula>$D4254&gt;1</formula>
    </cfRule>
    <cfRule type="expression" dxfId="3486" priority="5267">
      <formula>$C4254="%IN"</formula>
    </cfRule>
    <cfRule type="expression" dxfId="3485" priority="5268" stopIfTrue="1">
      <formula>$E4254=0</formula>
    </cfRule>
  </conditionalFormatting>
  <conditionalFormatting sqref="G4431:G4439">
    <cfRule type="expression" dxfId="3484" priority="5048">
      <formula>$D4431&gt;1</formula>
    </cfRule>
    <cfRule type="expression" dxfId="3483" priority="5049">
      <formula>$C4431="%IN"</formula>
    </cfRule>
    <cfRule type="expression" dxfId="3482" priority="5050" stopIfTrue="1">
      <formula>$E4431=0</formula>
    </cfRule>
  </conditionalFormatting>
  <conditionalFormatting sqref="G4464:G4476">
    <cfRule type="expression" dxfId="3481" priority="5272">
      <formula>$D4464&gt;1</formula>
    </cfRule>
    <cfRule type="expression" dxfId="3480" priority="5273">
      <formula>$C4464="%IN"</formula>
    </cfRule>
    <cfRule type="expression" dxfId="3479" priority="5274" stopIfTrue="1">
      <formula>$E4464=0</formula>
    </cfRule>
  </conditionalFormatting>
  <conditionalFormatting sqref="G5169:G5180">
    <cfRule type="expression" dxfId="3478" priority="4178" stopIfTrue="1">
      <formula>$D5169&gt;1</formula>
    </cfRule>
    <cfRule type="expression" dxfId="3477" priority="4179" stopIfTrue="1">
      <formula>$C5169="%IN"</formula>
    </cfRule>
    <cfRule type="expression" dxfId="3476" priority="4180" stopIfTrue="1">
      <formula>$E5169=0</formula>
    </cfRule>
  </conditionalFormatting>
  <conditionalFormatting sqref="G5368:G5377">
    <cfRule type="expression" dxfId="3475" priority="5078">
      <formula>$D5368&gt;1</formula>
    </cfRule>
    <cfRule type="expression" dxfId="3474" priority="5079">
      <formula>$C5368="%IN"</formula>
    </cfRule>
    <cfRule type="expression" dxfId="3473" priority="5080" stopIfTrue="1">
      <formula>$E5368=0</formula>
    </cfRule>
  </conditionalFormatting>
  <conditionalFormatting sqref="G5384:G5393">
    <cfRule type="expression" dxfId="3472" priority="5081">
      <formula>$D5384&gt;1</formula>
    </cfRule>
    <cfRule type="expression" dxfId="3471" priority="5082">
      <formula>$C5384="%IN"</formula>
    </cfRule>
    <cfRule type="expression" dxfId="3470" priority="5083" stopIfTrue="1">
      <formula>$E5384=0</formula>
    </cfRule>
  </conditionalFormatting>
  <conditionalFormatting sqref="G5570:G5583">
    <cfRule type="expression" dxfId="3469" priority="5096">
      <formula>$D5570&gt;1</formula>
    </cfRule>
    <cfRule type="expression" dxfId="3468" priority="5097">
      <formula>$C5570="%IN"</formula>
    </cfRule>
    <cfRule type="expression" dxfId="3467" priority="5098" stopIfTrue="1">
      <formula>$E5570=0</formula>
    </cfRule>
  </conditionalFormatting>
  <conditionalFormatting sqref="G5590:G5594">
    <cfRule type="expression" dxfId="3466" priority="1844" stopIfTrue="1">
      <formula>$D5590&gt;1</formula>
    </cfRule>
    <cfRule type="expression" dxfId="3465" priority="1845" stopIfTrue="1">
      <formula>$C5590="%IN"</formula>
    </cfRule>
  </conditionalFormatting>
  <conditionalFormatting sqref="G5787:G5803">
    <cfRule type="expression" dxfId="3464" priority="4604">
      <formula>$D5787&gt;1</formula>
    </cfRule>
    <cfRule type="expression" dxfId="3463" priority="4605">
      <formula>$C5787="%IN"</formula>
    </cfRule>
    <cfRule type="expression" dxfId="3462" priority="4606" stopIfTrue="1">
      <formula>$E5787=0</formula>
    </cfRule>
  </conditionalFormatting>
  <conditionalFormatting sqref="G5817:G5844">
    <cfRule type="expression" dxfId="3461" priority="5120">
      <formula>$D5817&gt;1</formula>
    </cfRule>
    <cfRule type="expression" dxfId="3460" priority="5121">
      <formula>$C5817="%IN"</formula>
    </cfRule>
    <cfRule type="expression" dxfId="3459" priority="5122" stopIfTrue="1">
      <formula>$E5817=0</formula>
    </cfRule>
  </conditionalFormatting>
  <conditionalFormatting sqref="G5849:G5854">
    <cfRule type="expression" dxfId="3458" priority="3850" stopIfTrue="1">
      <formula>$D5849&gt;1</formula>
    </cfRule>
    <cfRule type="expression" dxfId="3457" priority="3851" stopIfTrue="1">
      <formula>$C5849="%IN"</formula>
    </cfRule>
  </conditionalFormatting>
  <conditionalFormatting sqref="I5943:I5953">
    <cfRule type="expression" dxfId="3456" priority="1616" stopIfTrue="1">
      <formula>$I5943="适用"</formula>
    </cfRule>
    <cfRule type="expression" dxfId="3455" priority="1617" stopIfTrue="1">
      <formula>$I5943="不适用"</formula>
    </cfRule>
  </conditionalFormatting>
  <conditionalFormatting sqref="I5954:I5964">
    <cfRule type="expression" dxfId="3454" priority="1626" stopIfTrue="1">
      <formula>$I5954="适用"</formula>
    </cfRule>
    <cfRule type="expression" dxfId="3453" priority="1627" stopIfTrue="1">
      <formula>$I5954="不适用"</formula>
    </cfRule>
  </conditionalFormatting>
  <conditionalFormatting sqref="I5965:I5983">
    <cfRule type="expression" dxfId="3452" priority="1636" stopIfTrue="1">
      <formula>$I5965="适用"</formula>
    </cfRule>
    <cfRule type="expression" dxfId="3451" priority="1637" stopIfTrue="1">
      <formula>$I5965="不适用"</formula>
    </cfRule>
  </conditionalFormatting>
  <conditionalFormatting sqref="I5984:I6004">
    <cfRule type="expression" dxfId="3450" priority="1644" stopIfTrue="1">
      <formula>$I5984="适用"</formula>
    </cfRule>
    <cfRule type="expression" dxfId="3449" priority="1645" stopIfTrue="1">
      <formula>$I5984="不适用"</formula>
    </cfRule>
  </conditionalFormatting>
  <conditionalFormatting sqref="I6005:I6015">
    <cfRule type="expression" dxfId="3448" priority="1654" stopIfTrue="1">
      <formula>$I6005="适用"</formula>
    </cfRule>
    <cfRule type="expression" dxfId="3447" priority="1655" stopIfTrue="1">
      <formula>$I6005="不适用"</formula>
    </cfRule>
  </conditionalFormatting>
  <conditionalFormatting sqref="I6016:I6027">
    <cfRule type="expression" dxfId="3446" priority="1664" stopIfTrue="1">
      <formula>$I6016="适用"</formula>
    </cfRule>
    <cfRule type="expression" dxfId="3445" priority="1665" stopIfTrue="1">
      <formula>$I6016="不适用"</formula>
    </cfRule>
  </conditionalFormatting>
  <conditionalFormatting sqref="I6028:I6039">
    <cfRule type="expression" dxfId="3444" priority="1674" stopIfTrue="1">
      <formula>$I6028="适用"</formula>
    </cfRule>
    <cfRule type="expression" dxfId="3443" priority="1675" stopIfTrue="1">
      <formula>$I6028="不适用"</formula>
    </cfRule>
  </conditionalFormatting>
  <conditionalFormatting sqref="I6040:I6061">
    <cfRule type="expression" dxfId="3442" priority="1684" stopIfTrue="1">
      <formula>$I6040="适用"</formula>
    </cfRule>
    <cfRule type="expression" dxfId="3441" priority="1685" stopIfTrue="1">
      <formula>$I6040="不适用"</formula>
    </cfRule>
  </conditionalFormatting>
  <conditionalFormatting sqref="J5945:J5952">
    <cfRule type="expression" dxfId="3440" priority="1610" stopIfTrue="1">
      <formula>$J5945="适用"</formula>
    </cfRule>
    <cfRule type="expression" dxfId="3439" priority="1611" stopIfTrue="1">
      <formula>$J5945="不适用"</formula>
    </cfRule>
  </conditionalFormatting>
  <conditionalFormatting sqref="J5956:J5963">
    <cfRule type="expression" dxfId="3438" priority="1620" stopIfTrue="1">
      <formula>$J5956="适用"</formula>
    </cfRule>
    <cfRule type="expression" dxfId="3437" priority="1621" stopIfTrue="1">
      <formula>$J5956="不适用"</formula>
    </cfRule>
  </conditionalFormatting>
  <conditionalFormatting sqref="J5967:J5982">
    <cfRule type="expression" dxfId="3436" priority="1630" stopIfTrue="1">
      <formula>$J5967="适用"</formula>
    </cfRule>
    <cfRule type="expression" dxfId="3435" priority="1631" stopIfTrue="1">
      <formula>$J5967="不适用"</formula>
    </cfRule>
  </conditionalFormatting>
  <conditionalFormatting sqref="J5986:J6003">
    <cfRule type="expression" dxfId="3434" priority="1640" stopIfTrue="1">
      <formula>$J5986="适用"</formula>
    </cfRule>
    <cfRule type="expression" dxfId="3433" priority="1641" stopIfTrue="1">
      <formula>$J5986="不适用"</formula>
    </cfRule>
  </conditionalFormatting>
  <conditionalFormatting sqref="J6007:J6014">
    <cfRule type="expression" dxfId="3432" priority="1648" stopIfTrue="1">
      <formula>$J6007="适用"</formula>
    </cfRule>
    <cfRule type="expression" dxfId="3431" priority="1649" stopIfTrue="1">
      <formula>$J6007="不适用"</formula>
    </cfRule>
  </conditionalFormatting>
  <conditionalFormatting sqref="J6018:J6026">
    <cfRule type="expression" dxfId="3430" priority="1658" stopIfTrue="1">
      <formula>$J6018="适用"</formula>
    </cfRule>
    <cfRule type="expression" dxfId="3429" priority="1659" stopIfTrue="1">
      <formula>$J6018="不适用"</formula>
    </cfRule>
  </conditionalFormatting>
  <conditionalFormatting sqref="J6030:J6038">
    <cfRule type="expression" dxfId="3428" priority="1668" stopIfTrue="1">
      <formula>$J6030="适用"</formula>
    </cfRule>
    <cfRule type="expression" dxfId="3427" priority="1669" stopIfTrue="1">
      <formula>$J6030="不适用"</formula>
    </cfRule>
  </conditionalFormatting>
  <conditionalFormatting sqref="Q317:Q333">
    <cfRule type="expression" dxfId="3426" priority="970" stopIfTrue="1">
      <formula>$Q317="请输入"</formula>
    </cfRule>
  </conditionalFormatting>
  <conditionalFormatting sqref="Q334:Q355">
    <cfRule type="expression" dxfId="3425" priority="964" stopIfTrue="1">
      <formula>$Q334="请输入"</formula>
    </cfRule>
  </conditionalFormatting>
  <conditionalFormatting sqref="Q356:Q377">
    <cfRule type="expression" dxfId="3424" priority="958" stopIfTrue="1">
      <formula>$Q356="请输入"</formula>
    </cfRule>
  </conditionalFormatting>
  <conditionalFormatting sqref="Q378:Q399">
    <cfRule type="expression" dxfId="3423" priority="952" stopIfTrue="1">
      <formula>$Q378="请输入"</formula>
    </cfRule>
  </conditionalFormatting>
  <conditionalFormatting sqref="Q400:Q414">
    <cfRule type="expression" dxfId="3422" priority="942" stopIfTrue="1">
      <formula>$Q400="请输入"</formula>
    </cfRule>
  </conditionalFormatting>
  <conditionalFormatting sqref="Q579:Q600">
    <cfRule type="expression" dxfId="3421" priority="936" stopIfTrue="1">
      <formula>$Q579="请输入"</formula>
    </cfRule>
  </conditionalFormatting>
  <conditionalFormatting sqref="Q706">
    <cfRule type="expression" dxfId="3420" priority="1037" stopIfTrue="1">
      <formula>$Q706="请输入"</formula>
    </cfRule>
  </conditionalFormatting>
  <conditionalFormatting sqref="Q1219:Q1306">
    <cfRule type="expression" dxfId="3419" priority="999" stopIfTrue="1">
      <formula>$Q1219="请输入"</formula>
    </cfRule>
  </conditionalFormatting>
  <conditionalFormatting sqref="Q1823:Q1837">
    <cfRule type="expression" dxfId="3418" priority="909" stopIfTrue="1">
      <formula>$Q1823="请输入"</formula>
    </cfRule>
  </conditionalFormatting>
  <conditionalFormatting sqref="Q1838:Q1852">
    <cfRule type="expression" dxfId="3417" priority="906" stopIfTrue="1">
      <formula>$Q1838="请输入"</formula>
    </cfRule>
  </conditionalFormatting>
  <conditionalFormatting sqref="Q1976:Q1985 Q1971 Q1973">
    <cfRule type="expression" dxfId="3416" priority="855" stopIfTrue="1">
      <formula>$Q1971="请输入"</formula>
    </cfRule>
  </conditionalFormatting>
  <conditionalFormatting sqref="Q1986:Q2000">
    <cfRule type="expression" dxfId="3415" priority="852" stopIfTrue="1">
      <formula>$Q1986="请输入"</formula>
    </cfRule>
  </conditionalFormatting>
  <conditionalFormatting sqref="Q2039:Q2041">
    <cfRule type="expression" dxfId="3414" priority="840" stopIfTrue="1">
      <formula>$Q2039="请输入"</formula>
    </cfRule>
  </conditionalFormatting>
  <conditionalFormatting sqref="Q2048:Q2062">
    <cfRule type="expression" dxfId="3413" priority="839" stopIfTrue="1">
      <formula>$Q2048="请输入"</formula>
    </cfRule>
  </conditionalFormatting>
  <conditionalFormatting sqref="Q2137:Q2155">
    <cfRule type="expression" dxfId="3412" priority="824" stopIfTrue="1">
      <formula>$Q2137="请输入"</formula>
    </cfRule>
  </conditionalFormatting>
  <conditionalFormatting sqref="Q2234:Q2246">
    <cfRule type="expression" dxfId="3411" priority="800" stopIfTrue="1">
      <formula>$Q2234="请输入"</formula>
    </cfRule>
  </conditionalFormatting>
  <conditionalFormatting sqref="Q2247:Q2259">
    <cfRule type="expression" dxfId="3410" priority="797" stopIfTrue="1">
      <formula>$Q2247="请输入"</formula>
    </cfRule>
  </conditionalFormatting>
  <conditionalFormatting sqref="Q2260:Q2272">
    <cfRule type="expression" dxfId="3409" priority="791" stopIfTrue="1">
      <formula>$Q2260="请输入"</formula>
    </cfRule>
  </conditionalFormatting>
  <conditionalFormatting sqref="Q2293:Q2314">
    <cfRule type="expression" dxfId="3408" priority="770" stopIfTrue="1">
      <formula>$Q2293="请输入"</formula>
    </cfRule>
  </conditionalFormatting>
  <conditionalFormatting sqref="Q2349:Q2367">
    <cfRule type="expression" dxfId="3407" priority="767" stopIfTrue="1">
      <formula>$Q2349="请输入"</formula>
    </cfRule>
  </conditionalFormatting>
  <conditionalFormatting sqref="Q2506:Q2518">
    <cfRule type="expression" dxfId="3406" priority="749" stopIfTrue="1">
      <formula>$Q2506="请输入"</formula>
    </cfRule>
  </conditionalFormatting>
  <conditionalFormatting sqref="Q2797:Q2809">
    <cfRule type="expression" dxfId="3405" priority="710" stopIfTrue="1">
      <formula>$Q2797="请输入"</formula>
    </cfRule>
  </conditionalFormatting>
  <conditionalFormatting sqref="Q2877:Q2896">
    <cfRule type="expression" dxfId="3404" priority="701" stopIfTrue="1">
      <formula>$Q2877="请输入"</formula>
    </cfRule>
  </conditionalFormatting>
  <conditionalFormatting sqref="Q2908:Q2917">
    <cfRule type="expression" dxfId="3403" priority="1102" stopIfTrue="1">
      <formula>$Q2908="请输入"</formula>
    </cfRule>
  </conditionalFormatting>
  <conditionalFormatting sqref="Q3006:Q3041">
    <cfRule type="expression" dxfId="3402" priority="4266" stopIfTrue="1">
      <formula>$Q3006="请输入"</formula>
    </cfRule>
  </conditionalFormatting>
  <conditionalFormatting sqref="Q3113:Q3125">
    <cfRule type="expression" dxfId="3401" priority="686" stopIfTrue="1">
      <formula>$Q3113="请输入"</formula>
    </cfRule>
  </conditionalFormatting>
  <conditionalFormatting sqref="Q3385:Q3397">
    <cfRule type="expression" dxfId="3400" priority="683" stopIfTrue="1">
      <formula>$Q3385="请输入"</formula>
    </cfRule>
  </conditionalFormatting>
  <conditionalFormatting sqref="Q3398:Q3409 Q3411">
    <cfRule type="expression" dxfId="3399" priority="680" stopIfTrue="1">
      <formula>$Q3398="请输入"</formula>
    </cfRule>
  </conditionalFormatting>
  <conditionalFormatting sqref="Q4428:Q4440">
    <cfRule type="expression" dxfId="3398" priority="621" stopIfTrue="1">
      <formula>$Q4428="请输入"</formula>
    </cfRule>
  </conditionalFormatting>
  <conditionalFormatting sqref="Q5329:Q5345">
    <cfRule type="expression" dxfId="3397" priority="595" stopIfTrue="1">
      <formula>$Q5329="请输入"</formula>
    </cfRule>
  </conditionalFormatting>
  <conditionalFormatting sqref="Q5346:Q5362">
    <cfRule type="expression" dxfId="3396" priority="592" stopIfTrue="1">
      <formula>$Q5346="请输入"</formula>
    </cfRule>
  </conditionalFormatting>
  <conditionalFormatting sqref="Q5363:Q5378">
    <cfRule type="expression" dxfId="3395" priority="586" stopIfTrue="1">
      <formula>$Q5363="请输入"</formula>
    </cfRule>
  </conditionalFormatting>
  <conditionalFormatting sqref="Q5379:Q5394">
    <cfRule type="expression" dxfId="3394" priority="577" stopIfTrue="1">
      <formula>$Q5379="请输入"</formula>
    </cfRule>
  </conditionalFormatting>
  <conditionalFormatting sqref="Q5567:Q5584">
    <cfRule type="expression" dxfId="3393" priority="562" stopIfTrue="1">
      <formula>$Q5567="请输入"</formula>
    </cfRule>
  </conditionalFormatting>
  <conditionalFormatting sqref="K7 M7 H7 P7:P8">
    <cfRule type="cellIs" dxfId="3392" priority="2838" stopIfTrue="1" operator="equal">
      <formula>0</formula>
    </cfRule>
    <cfRule type="cellIs" dxfId="3391" priority="2839" stopIfTrue="1" operator="notEqual">
      <formula>0</formula>
    </cfRule>
  </conditionalFormatting>
  <conditionalFormatting sqref="I4780 I4809 I4831 I4858 I4872 I3920 I10 I120 I138 I146 I160 I170 I192 I214 I251 I273 I286 I293 I1013 I988 I1774 I2463 I2557 I2648">
    <cfRule type="expression" dxfId="3390" priority="2813" stopIfTrue="1">
      <formula>$I10="适用"</formula>
    </cfRule>
    <cfRule type="expression" dxfId="3389" priority="2814" stopIfTrue="1">
      <formula>$I10="不适用"</formula>
    </cfRule>
  </conditionalFormatting>
  <conditionalFormatting sqref="Q934:Q942 Q2639:Q2646 Q2821:Q2828 Q3764:Q3772 Q4111:Q4120 Q4729:Q4752 Q4908:Q4921 Q4809 Q4829 Q4831:Q4843 Q4858 Q4870 Q4872:Q4884 Q3920 Q10 Q120:Q129 Q138 Q146 Q160 Q988:Q1013 Q1774:Q1788 Q2463 Q2557:Q2598 Q4780:Q4807">
    <cfRule type="expression" dxfId="3388" priority="4268" stopIfTrue="1">
      <formula>$Q10="请输入"</formula>
    </cfRule>
  </conditionalFormatting>
  <conditionalFormatting sqref="I20 I59 I90 I535 I559 I569 I601 I515 I618 I629 I648 I658 I678 I944 I956 I859 I871 I967 I1510 I1527 I1538 I1567 I1577 I1557 I1617 I1636 I1682 I1699 I1716 I1726 I1597 I1812 I1947 I2013 I2157 I2202 I2599 I2618 I2628 I2830 I2847 I2862 I2761 I2810 I2897 I2982 I130 I3175 I3192 I3217 I3244 I3260 I3273 I3280 I3290 I3310 I3323 I3413 I3436 I3495 I3562 I3622 I3774 I3805 I3890 I3931 I3941 I3951 I3961 I3972 I4001 I4065 I3485 I3582 I3860 I3880 I4088 I3515 I3900 I3505 I4291 I4312 I4321 I4251 I4182 I4202 I4217 I4237 I4151 I4161 I4417 I4441 I4453 I4461 I4478 I4355 I4364 I4396 I4502 I4520 I4544 I4567 I4637 I4667 I4698 I4754 I4511 I4886 I4923 I4936 I4954 I4967 I4975 I5030 I5046 I5062 I5073 I5084 I5095 I5106 I5129 I5137 I5166 I5204 I5182 I5146 I5156 I6064 I6073 I6084 I6093 I6102 I6116 I6126 I6135 I6155 I6164 I6173 I6195 I6222 I6251 I6146 I5888:I5942">
    <cfRule type="expression" dxfId="3387" priority="2821" stopIfTrue="1">
      <formula>$I20="适用"</formula>
    </cfRule>
    <cfRule type="expression" dxfId="3386" priority="2822" stopIfTrue="1">
      <formula>$I20="不适用"</formula>
    </cfRule>
  </conditionalFormatting>
  <conditionalFormatting sqref="Q20 Q2810 Q4151 Q4161">
    <cfRule type="expression" dxfId="3385" priority="4258" stopIfTrue="1">
      <formula>$Q20="请输入"</formula>
    </cfRule>
  </conditionalFormatting>
  <conditionalFormatting sqref="G4926:G4934">
    <cfRule type="expression" dxfId="3384" priority="4148" stopIfTrue="1">
      <formula>$D4926&gt;1</formula>
    </cfRule>
    <cfRule type="expression" dxfId="3383" priority="4149" stopIfTrue="1">
      <formula>$C4926="%IN"</formula>
    </cfRule>
    <cfRule type="expression" dxfId="3382" priority="4150" stopIfTrue="1">
      <formula>$E4926=0</formula>
    </cfRule>
  </conditionalFormatting>
  <conditionalFormatting sqref="I71">
    <cfRule type="expression" dxfId="3381" priority="1088" stopIfTrue="1">
      <formula>$I71="适用"</formula>
    </cfRule>
    <cfRule type="expression" dxfId="3380" priority="1089" stopIfTrue="1">
      <formula>$I71="不适用"</formula>
    </cfRule>
  </conditionalFormatting>
  <conditionalFormatting sqref="O5956:O5965 L5967:L5984 O5967:O5984 L6007:L6016 O5934:O5943 L5986:L6005 O6007:O6016 L5945:L5954 O5945:O5954 L6018:L6028 L5956:L5965 L6030:L6040 O6018:O6028 O6042:O6061 O6030:O6040 O5986:O6005 L6042:L6061 O5912:O5921 L5923:L5932 O5901:O5910 L5912:L5921 O5923:O5932 L5934:L5943 O5890:O5899 L5901:L5910 O5879:O5888 L5890:L5899 O5877 L5879:L5888 L5877 O5785:O5812 L5785:L5805 O4909:O4921 L4909:L4921 L4112 L4730:L4739 R4399:R4400 O4730:O4739 L3765 O4112:O4120 O1638 O3765:O3772 L2822 O1775:O1788 O2822:O2828 L4781:L4782 O4781:O4807 L4785:L4805 L4807">
    <cfRule type="expression" dxfId="3379" priority="637" stopIfTrue="1">
      <formula>L1638="F/S"</formula>
    </cfRule>
    <cfRule type="cellIs" dxfId="3378" priority="638" stopIfTrue="1" operator="notEqual">
      <formula>0</formula>
    </cfRule>
  </conditionalFormatting>
  <conditionalFormatting sqref="G2016:G2019 G1952:G1959">
    <cfRule type="expression" dxfId="3377" priority="3132" stopIfTrue="1">
      <formula>$D1952&gt;1</formula>
    </cfRule>
    <cfRule type="expression" dxfId="3376" priority="3133" stopIfTrue="1">
      <formula>$C1952="%IN"</formula>
    </cfRule>
  </conditionalFormatting>
  <conditionalFormatting sqref="G5598:G5609">
    <cfRule type="expression" dxfId="3375" priority="742" stopIfTrue="1">
      <formula>$D5598&gt;1</formula>
    </cfRule>
    <cfRule type="expression" dxfId="3374" priority="743" stopIfTrue="1">
      <formula>$C5598="%IN"</formula>
    </cfRule>
  </conditionalFormatting>
  <conditionalFormatting sqref="Q109">
    <cfRule type="expression" dxfId="3373" priority="4263" stopIfTrue="1">
      <formula>$Q109="请输入"</formula>
    </cfRule>
  </conditionalFormatting>
  <conditionalFormatting sqref="H4118:I4118">
    <cfRule type="expression" dxfId="3372" priority="4607">
      <formula>$D4118&gt;1</formula>
    </cfRule>
    <cfRule type="expression" dxfId="3371" priority="4608">
      <formula>$C4118="%IN"</formula>
    </cfRule>
    <cfRule type="expression" dxfId="3370" priority="4609" stopIfTrue="1">
      <formula>$E4118=0</formula>
    </cfRule>
  </conditionalFormatting>
  <conditionalFormatting sqref="G4834:G4842">
    <cfRule type="expression" dxfId="3369" priority="1059">
      <formula>$D4834&gt;1</formula>
    </cfRule>
    <cfRule type="expression" dxfId="3368" priority="1060">
      <formula>$C4834="%IN"</formula>
    </cfRule>
    <cfRule type="expression" dxfId="3367" priority="1061" stopIfTrue="1">
      <formula>$E4834=0</formula>
    </cfRule>
  </conditionalFormatting>
  <conditionalFormatting sqref="Q130 Q611:Q617">
    <cfRule type="expression" dxfId="3366" priority="4264" stopIfTrue="1">
      <formula>$Q130="请输入"</formula>
    </cfRule>
  </conditionalFormatting>
  <conditionalFormatting sqref="G520:G524 G526">
    <cfRule type="expression" dxfId="3365" priority="4778">
      <formula>$D520&gt;1</formula>
    </cfRule>
    <cfRule type="expression" dxfId="3364" priority="4779">
      <formula>$C520="%IN"</formula>
    </cfRule>
    <cfRule type="expression" dxfId="3363" priority="4780" stopIfTrue="1">
      <formula>$E520=0</formula>
    </cfRule>
  </conditionalFormatting>
  <conditionalFormatting sqref="G4812:G4828">
    <cfRule type="expression" dxfId="3362" priority="922" stopIfTrue="1">
      <formula>$D4812&gt;1</formula>
    </cfRule>
    <cfRule type="expression" dxfId="3361" priority="923" stopIfTrue="1">
      <formula>$C4812="%IN"</formula>
    </cfRule>
  </conditionalFormatting>
  <conditionalFormatting sqref="G2987:G3003 G3518:G3532 G3720:G3728 G4358:G4361">
    <cfRule type="expression" dxfId="3360" priority="2470" stopIfTrue="1">
      <formula>$D2987&gt;1</formula>
    </cfRule>
    <cfRule type="expression" dxfId="3359" priority="2471" stopIfTrue="1">
      <formula>$C2987="%IN"</formula>
    </cfRule>
  </conditionalFormatting>
  <conditionalFormatting sqref="Q2032:Q2038 Q2042:Q2047">
    <cfRule type="expression" dxfId="3358" priority="846" stopIfTrue="1">
      <formula>$Q2032="请输入"</formula>
    </cfRule>
  </conditionalFormatting>
  <conditionalFormatting sqref="Q2273:Q2292 Q2378:Q2390 Q2497:Q2505 Q2520:Q2555">
    <cfRule type="expression" dxfId="3357" priority="4265" stopIfTrue="1">
      <formula>$Q2273="请输入"</formula>
    </cfRule>
  </conditionalFormatting>
  <conditionalFormatting sqref="Q4492:Q4501 Q4371:Q4373 Q4375:Q4395">
    <cfRule type="expression" dxfId="3356" priority="4267" stopIfTrue="1">
      <formula>$Q4371="请输入"</formula>
    </cfRule>
  </conditionalFormatting>
  <conditionalFormatting sqref="I4616 I4626">
    <cfRule type="expression" dxfId="3355" priority="1422" stopIfTrue="1">
      <formula>$I4616="适用"</formula>
    </cfRule>
    <cfRule type="expression" dxfId="3354" priority="1423" stopIfTrue="1">
      <formula>$I4616="不适用"</formula>
    </cfRule>
  </conditionalFormatting>
  <conditionalFormatting sqref="G5351:G5359">
    <cfRule type="expression" dxfId="3353" priority="5075">
      <formula>$D5351&gt;1</formula>
    </cfRule>
    <cfRule type="expression" dxfId="3352" priority="5076">
      <formula>$C5351="%IN"</formula>
    </cfRule>
    <cfRule type="expression" dxfId="3351" priority="5077" stopIfTrue="1">
      <formula>$E5351=0</formula>
    </cfRule>
  </conditionalFormatting>
  <conditionalFormatting sqref="I5877:I5878 I5887">
    <cfRule type="expression" dxfId="3350" priority="1556" stopIfTrue="1">
      <formula>$I5877="适用"</formula>
    </cfRule>
    <cfRule type="expression" dxfId="3349" priority="1557" stopIfTrue="1">
      <formula>$I5877="不适用"</formula>
    </cfRule>
  </conditionalFormatting>
  <conditionalFormatting sqref="J6042:J6060 J5879:J5886 J5890:J5897 J5901:J5908 J5912:J5919 J5923:J5930 J5934:J5941">
    <cfRule type="expression" dxfId="3348" priority="1678" stopIfTrue="1">
      <formula>$J5879="适用"</formula>
    </cfRule>
    <cfRule type="expression" dxfId="3347" priority="1679" stopIfTrue="1">
      <formula>$J5879="不适用"</formula>
    </cfRule>
  </conditionalFormatting>
  <conditionalFormatting sqref="L6263:L6265 O6263:O6265">
    <cfRule type="expression" dxfId="3346" priority="2826" stopIfTrue="1">
      <formula>OR(L6263="F/S",L6263="",AND(L6263&gt;=0,L6263&lt;=1))</formula>
    </cfRule>
    <cfRule type="expression" dxfId="3345" priority="2827" stopIfTrue="1">
      <formula>OR(L6263&lt;&gt;"F/S",L6263&lt;&gt;0)</formula>
    </cfRule>
  </conditionalFormatting>
  <conditionalFormatting sqref="G149:G158">
    <cfRule type="expression" dxfId="3344" priority="5278">
      <formula>$D149&gt;1</formula>
    </cfRule>
    <cfRule type="expression" dxfId="3343" priority="5279">
      <formula>$C149="%IN"</formula>
    </cfRule>
    <cfRule type="expression" dxfId="3342" priority="5280" stopIfTrue="1">
      <formula>$E149=0</formula>
    </cfRule>
  </conditionalFormatting>
  <conditionalFormatting sqref="G874:G888">
    <cfRule type="expression" dxfId="3341" priority="5290">
      <formula>$D874&gt;1</formula>
    </cfRule>
    <cfRule type="expression" dxfId="3340" priority="5291">
      <formula>$C874="%IN"</formula>
    </cfRule>
    <cfRule type="expression" dxfId="3339" priority="5292" stopIfTrue="1">
      <formula>$E874=0</formula>
    </cfRule>
  </conditionalFormatting>
  <conditionalFormatting sqref="G1541:G1555">
    <cfRule type="expression" dxfId="3338" priority="5299">
      <formula>$D1541&gt;1</formula>
    </cfRule>
    <cfRule type="expression" dxfId="3337" priority="5300">
      <formula>$C1541="%IN"</formula>
    </cfRule>
    <cfRule type="expression" dxfId="3336" priority="5301" stopIfTrue="1">
      <formula>$E1541=0</formula>
    </cfRule>
  </conditionalFormatting>
  <conditionalFormatting sqref="G2142:G2154">
    <cfRule type="expression" dxfId="3335" priority="5320">
      <formula>$D2142&gt;1</formula>
    </cfRule>
    <cfRule type="expression" dxfId="3334" priority="5321">
      <formula>$C2142="%IN"</formula>
    </cfRule>
    <cfRule type="expression" dxfId="3333" priority="5322" stopIfTrue="1">
      <formula>$E2142=0</formula>
    </cfRule>
  </conditionalFormatting>
  <conditionalFormatting sqref="G2560:G2597">
    <cfRule type="expression" dxfId="3332" priority="5335">
      <formula>$D2560&gt;1</formula>
    </cfRule>
    <cfRule type="expression" dxfId="3331" priority="5336">
      <formula>$C2560="%IN"</formula>
    </cfRule>
    <cfRule type="expression" dxfId="3330" priority="5337" stopIfTrue="1">
      <formula>$E2560=0</formula>
    </cfRule>
  </conditionalFormatting>
  <conditionalFormatting sqref="G3009:G3040">
    <cfRule type="expression" dxfId="3329" priority="5347">
      <formula>$D3009&gt;1</formula>
    </cfRule>
    <cfRule type="expression" dxfId="3328" priority="5348">
      <formula>$C3009="%IN"</formula>
    </cfRule>
    <cfRule type="expression" dxfId="3327" priority="5349" stopIfTrue="1">
      <formula>$E3009=0</formula>
    </cfRule>
  </conditionalFormatting>
  <conditionalFormatting sqref="G5334:G5344">
    <cfRule type="expression" dxfId="3326" priority="5359">
      <formula>$D5334&gt;1</formula>
    </cfRule>
    <cfRule type="expression" dxfId="3325" priority="5360">
      <formula>$C5334="%IN"</formula>
    </cfRule>
    <cfRule type="expression" dxfId="3324" priority="5361" stopIfTrue="1">
      <formula>$E5334=0</formula>
    </cfRule>
  </conditionalFormatting>
  <conditionalFormatting sqref="G2925:G2980">
    <cfRule type="expression" dxfId="3323" priority="5362">
      <formula>$D2925&gt;1</formula>
    </cfRule>
    <cfRule type="expression" dxfId="3322" priority="5363">
      <formula>$C2925="%IN"</formula>
    </cfRule>
    <cfRule type="expression" dxfId="3321" priority="5364" stopIfTrue="1">
      <formula>$E2925=0</formula>
    </cfRule>
  </conditionalFormatting>
  <conditionalFormatting sqref="G3048:G3103">
    <cfRule type="expression" dxfId="3320" priority="5365">
      <formula>$D3048&gt;1</formula>
    </cfRule>
    <cfRule type="expression" dxfId="3319" priority="5366">
      <formula>$C3048="%IN"</formula>
    </cfRule>
    <cfRule type="expression" dxfId="3318" priority="5367" stopIfTrue="1">
      <formula>$E3048=0</formula>
    </cfRule>
  </conditionalFormatting>
  <conditionalFormatting sqref="G2144:G2152">
    <cfRule type="expression" dxfId="3317" priority="498">
      <formula>$D2144&gt;1</formula>
    </cfRule>
    <cfRule type="expression" dxfId="3316" priority="499">
      <formula>$C2144="%IN"</formula>
    </cfRule>
    <cfRule type="expression" dxfId="3315" priority="500" stopIfTrue="1">
      <formula>$E2144=0</formula>
    </cfRule>
  </conditionalFormatting>
  <conditionalFormatting sqref="G2356:G2364">
    <cfRule type="expression" dxfId="3314" priority="495">
      <formula>$D2356&gt;1</formula>
    </cfRule>
    <cfRule type="expression" dxfId="3313" priority="496">
      <formula>$C2356="%IN"</formula>
    </cfRule>
    <cfRule type="expression" dxfId="3312" priority="497" stopIfTrue="1">
      <formula>$E2356=0</formula>
    </cfRule>
  </conditionalFormatting>
  <conditionalFormatting sqref="G2605:G2608">
    <cfRule type="expression" dxfId="3311" priority="492">
      <formula>$D2605&gt;1</formula>
    </cfRule>
    <cfRule type="expression" dxfId="3310" priority="493">
      <formula>$C2605="%IN"</formula>
    </cfRule>
    <cfRule type="expression" dxfId="3309" priority="494" stopIfTrue="1">
      <formula>$E2605=0</formula>
    </cfRule>
  </conditionalFormatting>
  <conditionalFormatting sqref="G3808:G3820">
    <cfRule type="expression" dxfId="3308" priority="5374">
      <formula>$D3808&gt;1</formula>
    </cfRule>
    <cfRule type="expression" dxfId="3307" priority="5375">
      <formula>$C3808="%IN"</formula>
    </cfRule>
    <cfRule type="expression" dxfId="3306" priority="5376" stopIfTrue="1">
      <formula>$E3808=0</formula>
    </cfRule>
  </conditionalFormatting>
  <conditionalFormatting sqref="G3777:G3792">
    <cfRule type="expression" dxfId="3305" priority="5377">
      <formula>$D3777&gt;1</formula>
    </cfRule>
    <cfRule type="expression" dxfId="3304" priority="5378">
      <formula>$C3777="%IN"</formula>
    </cfRule>
    <cfRule type="expression" dxfId="3303" priority="5379" stopIfTrue="1">
      <formula>$E3777=0</formula>
    </cfRule>
  </conditionalFormatting>
  <conditionalFormatting sqref="G4317:G4319">
    <cfRule type="expression" dxfId="3302" priority="5386">
      <formula>$D4317&gt;1</formula>
    </cfRule>
    <cfRule type="expression" dxfId="3301" priority="5387">
      <formula>$C4317="%IN"</formula>
    </cfRule>
    <cfRule type="expression" dxfId="3300" priority="5388" stopIfTrue="1">
      <formula>$E4317=0</formula>
    </cfRule>
  </conditionalFormatting>
  <conditionalFormatting sqref="G5109:G5126">
    <cfRule type="expression" dxfId="3299" priority="5401">
      <formula>$D5109&gt;1</formula>
    </cfRule>
    <cfRule type="expression" dxfId="3298" priority="5402">
      <formula>$C5109="%IN"</formula>
    </cfRule>
    <cfRule type="expression" dxfId="3297" priority="5403" stopIfTrue="1">
      <formula>$E5109=0</formula>
    </cfRule>
  </conditionalFormatting>
  <conditionalFormatting sqref="G25:G57">
    <cfRule type="expression" dxfId="3296" priority="5500">
      <formula>$D25&gt;1</formula>
    </cfRule>
    <cfRule type="expression" dxfId="3295" priority="5501">
      <formula>$C25="%IN"</formula>
    </cfRule>
    <cfRule type="expression" dxfId="3294" priority="5502" stopIfTrue="1">
      <formula>$E25=0</formula>
    </cfRule>
  </conditionalFormatting>
  <conditionalFormatting sqref="P5384:P5393 P5368:P5377 O5351:O5361 O5334:O5344 M4875:M4883 M4889:M4905 O1641:P1653 L1030:N1034 K937:L941 P853:Q856 L2221:N2225 K2642:L2645 K2824:L2827 K3767:L3771 K3934:L3939 K4640:M4654 K4970:L4973 K13:L17 L2066:L2070">
    <cfRule type="cellIs" dxfId="3293" priority="7405" stopIfTrue="1" operator="notEqual">
      <formula>0</formula>
    </cfRule>
  </conditionalFormatting>
  <conditionalFormatting sqref="L5805 L5510 L4845:L4857 L4740:L4752 L4104:L4109 L4100:L4102 L2530 L2543:L2544 L2546:L2555 L2412 L2431 L2191:L2192 L2195:L2200 L1252:L1306 L3136 L3149 L1057 L1502:L1509 L1079:L1115 L1131 L1145:L1147 L1149:L1218 L1036:L1042 L1491:L1493 L920 L1496:L1497 L1027:L1028 L1233:L1247 L2218:L2219 L2227:L2233 L762 L777 L792:L794 L448 L811:L813 L838:L847 L310:L315 L306:L307 L236:L250 L20 L468 L415 L796:L803 L816:L825 L833:L835">
    <cfRule type="expression" dxfId="3292" priority="7407" stopIfTrue="1">
      <formula>OR($L$20="F/S",$L$20="")</formula>
    </cfRule>
    <cfRule type="cellIs" dxfId="3291" priority="7408" stopIfTrue="1" operator="notEqual">
      <formula>0</formula>
    </cfRule>
  </conditionalFormatting>
  <conditionalFormatting sqref="O5805:O5812 O5510 O4845:O4857 O4740:O4752 O4100:O4109 O2530:O2555 O2412:O2462 O2191:O2200 O1027:O1042 O3136:O3149 O1057 O1491:O1509 O1079:O1115 O1131:O1218 O1233:O1306 O920 O2218:O2219 O2227:O2233 O762 O777 O792:O847 O468 O415 O448 O306:O315 O20 O236:O250">
    <cfRule type="expression" dxfId="3290" priority="7409" stopIfTrue="1">
      <formula>OR($O$20="F/S",$O$20="")</formula>
    </cfRule>
    <cfRule type="cellIs" dxfId="3289" priority="7410" stopIfTrue="1" operator="notEqual">
      <formula>0</formula>
    </cfRule>
  </conditionalFormatting>
  <conditionalFormatting sqref="L10">
    <cfRule type="expression" dxfId="3288" priority="7411" stopIfTrue="1">
      <formula>OR($L$10="F/S",$L$10="")</formula>
    </cfRule>
    <cfRule type="cellIs" dxfId="3287" priority="7412" stopIfTrue="1" operator="notEqual">
      <formula>0</formula>
    </cfRule>
  </conditionalFormatting>
  <conditionalFormatting sqref="O10">
    <cfRule type="expression" dxfId="3286" priority="7413" stopIfTrue="1">
      <formula>OR($O$10="F/S",$O$10="")</formula>
    </cfRule>
    <cfRule type="cellIs" dxfId="3285" priority="7414" stopIfTrue="1" operator="notEqual">
      <formula>0</formula>
    </cfRule>
  </conditionalFormatting>
  <conditionalFormatting sqref="L59">
    <cfRule type="expression" dxfId="3284" priority="7415" stopIfTrue="1">
      <formula>OR($L$59="F/S",$L$59="")</formula>
    </cfRule>
    <cfRule type="cellIs" dxfId="3283" priority="7416" stopIfTrue="1" operator="notEqual">
      <formula>0</formula>
    </cfRule>
  </conditionalFormatting>
  <conditionalFormatting sqref="O59">
    <cfRule type="expression" dxfId="3282" priority="7417" stopIfTrue="1">
      <formula>OR($O$59="F/S",$O$59="")</formula>
    </cfRule>
    <cfRule type="cellIs" dxfId="3281" priority="7418" stopIfTrue="1" operator="notEqual">
      <formula>0</formula>
    </cfRule>
  </conditionalFormatting>
  <conditionalFormatting sqref="L90">
    <cfRule type="expression" dxfId="3280" priority="7419" stopIfTrue="1">
      <formula>OR($L$90="F/S",$L$90="")</formula>
    </cfRule>
    <cfRule type="cellIs" dxfId="3279" priority="7420" stopIfTrue="1" operator="notEqual">
      <formula>0</formula>
    </cfRule>
  </conditionalFormatting>
  <conditionalFormatting sqref="O90">
    <cfRule type="expression" dxfId="3278" priority="7421" stopIfTrue="1">
      <formula>OR($O$90="F/S",$O$90="")</formula>
    </cfRule>
    <cfRule type="cellIs" dxfId="3277" priority="7422" stopIfTrue="1" operator="notEqual">
      <formula>0</formula>
    </cfRule>
  </conditionalFormatting>
  <conditionalFormatting sqref="L71">
    <cfRule type="expression" dxfId="3276" priority="7427" stopIfTrue="1">
      <formula>OR($L$71="F/S",$L$71="")</formula>
    </cfRule>
    <cfRule type="cellIs" dxfId="3275" priority="7428" stopIfTrue="1" operator="notEqual">
      <formula>0</formula>
    </cfRule>
  </conditionalFormatting>
  <conditionalFormatting sqref="O71">
    <cfRule type="expression" dxfId="3274" priority="7429" stopIfTrue="1">
      <formula>OR($O$71="F/S",$O$71="")</formula>
    </cfRule>
    <cfRule type="cellIs" dxfId="3273" priority="7430" stopIfTrue="1" operator="notEqual">
      <formula>0</formula>
    </cfRule>
  </conditionalFormatting>
  <conditionalFormatting sqref="L109">
    <cfRule type="expression" dxfId="3272" priority="7431" stopIfTrue="1">
      <formula>OR($L$109="F/S",$L$109="")</formula>
    </cfRule>
    <cfRule type="cellIs" dxfId="3271" priority="7432" stopIfTrue="1" operator="notEqual">
      <formula>0</formula>
    </cfRule>
  </conditionalFormatting>
  <conditionalFormatting sqref="O109">
    <cfRule type="expression" dxfId="3270" priority="7433" stopIfTrue="1">
      <formula>OR($O$109="F/S",$O$109="")</formula>
    </cfRule>
    <cfRule type="cellIs" dxfId="3269" priority="7434" stopIfTrue="1" operator="notEqual">
      <formula>0</formula>
    </cfRule>
  </conditionalFormatting>
  <conditionalFormatting sqref="L120">
    <cfRule type="expression" dxfId="3268" priority="7435" stopIfTrue="1">
      <formula>OR($L$120="F/S",$L$120="")</formula>
    </cfRule>
    <cfRule type="cellIs" dxfId="3267" priority="7436" stopIfTrue="1" operator="notEqual">
      <formula>0</formula>
    </cfRule>
  </conditionalFormatting>
  <conditionalFormatting sqref="O120">
    <cfRule type="expression" dxfId="3266" priority="7437" stopIfTrue="1">
      <formula>OR($O$120="F/S",$O$120="")</formula>
    </cfRule>
    <cfRule type="cellIs" dxfId="3265" priority="7438" stopIfTrue="1" operator="notEqual">
      <formula>0</formula>
    </cfRule>
  </conditionalFormatting>
  <conditionalFormatting sqref="L138">
    <cfRule type="expression" dxfId="3264" priority="7439" stopIfTrue="1">
      <formula>OR($L$138="F/S",$L$138="")</formula>
    </cfRule>
    <cfRule type="cellIs" dxfId="3263" priority="7440" stopIfTrue="1" operator="notEqual">
      <formula>0</formula>
    </cfRule>
  </conditionalFormatting>
  <conditionalFormatting sqref="O138">
    <cfRule type="expression" dxfId="3262" priority="7441" stopIfTrue="1">
      <formula>OR($O$138="F/S",$O$138="")</formula>
    </cfRule>
    <cfRule type="cellIs" dxfId="3261" priority="7442" stopIfTrue="1" operator="notEqual">
      <formula>0</formula>
    </cfRule>
  </conditionalFormatting>
  <conditionalFormatting sqref="L146">
    <cfRule type="expression" dxfId="3260" priority="7443" stopIfTrue="1">
      <formula>OR($L$146="F/S",$L$146="")</formula>
    </cfRule>
    <cfRule type="cellIs" dxfId="3259" priority="7444" stopIfTrue="1" operator="notEqual">
      <formula>0</formula>
    </cfRule>
  </conditionalFormatting>
  <conditionalFormatting sqref="O146">
    <cfRule type="expression" dxfId="3258" priority="7445" stopIfTrue="1">
      <formula>OR($O$146="F/S",$O$146="")</formula>
    </cfRule>
    <cfRule type="cellIs" dxfId="3257" priority="7446" stopIfTrue="1" operator="notEqual">
      <formula>0</formula>
    </cfRule>
  </conditionalFormatting>
  <conditionalFormatting sqref="L160">
    <cfRule type="expression" dxfId="3256" priority="7447" stopIfTrue="1">
      <formula>OR($L$160="F/S",$L$160="")</formula>
    </cfRule>
    <cfRule type="cellIs" dxfId="3255" priority="7448" stopIfTrue="1" operator="notEqual">
      <formula>0</formula>
    </cfRule>
  </conditionalFormatting>
  <conditionalFormatting sqref="O160">
    <cfRule type="expression" dxfId="3254" priority="7449" stopIfTrue="1">
      <formula>OR($O$160="F/S",$O$160="")</formula>
    </cfRule>
    <cfRule type="cellIs" dxfId="3253" priority="7450" stopIfTrue="1" operator="notEqual">
      <formula>0</formula>
    </cfRule>
  </conditionalFormatting>
  <conditionalFormatting sqref="L170">
    <cfRule type="expression" dxfId="3252" priority="7451" stopIfTrue="1">
      <formula>OR($L$170="F/S",$L$170="")</formula>
    </cfRule>
    <cfRule type="cellIs" dxfId="3251" priority="7452" stopIfTrue="1" operator="notEqual">
      <formula>0</formula>
    </cfRule>
  </conditionalFormatting>
  <conditionalFormatting sqref="O170">
    <cfRule type="expression" dxfId="3250" priority="7453" stopIfTrue="1">
      <formula>OR($O$170="F/S",$O$170="")</formula>
    </cfRule>
    <cfRule type="cellIs" dxfId="3249" priority="7454" stopIfTrue="1" operator="notEqual">
      <formula>0</formula>
    </cfRule>
  </conditionalFormatting>
  <conditionalFormatting sqref="L192">
    <cfRule type="expression" dxfId="3248" priority="7455" stopIfTrue="1">
      <formula>OR($L$192="F/S",$L$192="")</formula>
    </cfRule>
    <cfRule type="cellIs" dxfId="3247" priority="7456" stopIfTrue="1" operator="notEqual">
      <formula>0</formula>
    </cfRule>
  </conditionalFormatting>
  <conditionalFormatting sqref="O192">
    <cfRule type="expression" dxfId="3246" priority="7457" stopIfTrue="1">
      <formula>OR($O$192="F/S",$O$192="")</formula>
    </cfRule>
    <cfRule type="cellIs" dxfId="3245" priority="7458" stopIfTrue="1" operator="notEqual">
      <formula>0</formula>
    </cfRule>
  </conditionalFormatting>
  <conditionalFormatting sqref="L214">
    <cfRule type="expression" dxfId="3244" priority="7459" stopIfTrue="1">
      <formula>OR($L$214="F/S",$L$214="")</formula>
    </cfRule>
    <cfRule type="cellIs" dxfId="3243" priority="7460" stopIfTrue="1" operator="notEqual">
      <formula>0</formula>
    </cfRule>
  </conditionalFormatting>
  <conditionalFormatting sqref="O214">
    <cfRule type="expression" dxfId="3242" priority="7461" stopIfTrue="1">
      <formula>OR($O$214="F/S",$O$214="")</formula>
    </cfRule>
    <cfRule type="cellIs" dxfId="3241" priority="7462" stopIfTrue="1" operator="notEqual">
      <formula>0</formula>
    </cfRule>
  </conditionalFormatting>
  <conditionalFormatting sqref="L251">
    <cfRule type="expression" dxfId="3240" priority="7463" stopIfTrue="1">
      <formula>OR($L$251="F/S",$L$251="")</formula>
    </cfRule>
    <cfRule type="cellIs" dxfId="3239" priority="7464" stopIfTrue="1" operator="notEqual">
      <formula>0</formula>
    </cfRule>
  </conditionalFormatting>
  <conditionalFormatting sqref="O251">
    <cfRule type="expression" dxfId="3238" priority="7465" stopIfTrue="1">
      <formula>OR($O$251="F/S",$O$251="")</formula>
    </cfRule>
    <cfRule type="cellIs" dxfId="3237" priority="7466" stopIfTrue="1" operator="notEqual">
      <formula>0</formula>
    </cfRule>
  </conditionalFormatting>
  <conditionalFormatting sqref="L273">
    <cfRule type="expression" dxfId="3236" priority="7467" stopIfTrue="1">
      <formula>OR($L$273="F/S",$L$273="")</formula>
    </cfRule>
    <cfRule type="cellIs" dxfId="3235" priority="7468" stopIfTrue="1" operator="notEqual">
      <formula>0</formula>
    </cfRule>
  </conditionalFormatting>
  <conditionalFormatting sqref="O273">
    <cfRule type="expression" dxfId="3234" priority="7469" stopIfTrue="1">
      <formula>OR($O$273="F/S",$O$273="")</formula>
    </cfRule>
    <cfRule type="cellIs" dxfId="3233" priority="7470" stopIfTrue="1" operator="notEqual">
      <formula>0</formula>
    </cfRule>
  </conditionalFormatting>
  <conditionalFormatting sqref="L286">
    <cfRule type="expression" dxfId="3232" priority="7471" stopIfTrue="1">
      <formula>OR($L$286="F/S",$L$286="")</formula>
    </cfRule>
    <cfRule type="cellIs" dxfId="3231" priority="7472" stopIfTrue="1" operator="notEqual">
      <formula>0</formula>
    </cfRule>
  </conditionalFormatting>
  <conditionalFormatting sqref="O286">
    <cfRule type="expression" dxfId="3230" priority="7473" stopIfTrue="1">
      <formula>OR($O$286="F/S",$O$286="")</formula>
    </cfRule>
    <cfRule type="cellIs" dxfId="3229" priority="7474" stopIfTrue="1" operator="notEqual">
      <formula>0</formula>
    </cfRule>
  </conditionalFormatting>
  <conditionalFormatting sqref="L293">
    <cfRule type="expression" dxfId="3228" priority="7475" stopIfTrue="1">
      <formula>OR($L$293="F/S",$L$293="")</formula>
    </cfRule>
    <cfRule type="cellIs" dxfId="3227" priority="7476" stopIfTrue="1" operator="notEqual">
      <formula>0</formula>
    </cfRule>
  </conditionalFormatting>
  <conditionalFormatting sqref="O293">
    <cfRule type="expression" dxfId="3226" priority="7477" stopIfTrue="1">
      <formula>OR($O$293="F/S",$O$293="")</formula>
    </cfRule>
    <cfRule type="cellIs" dxfId="3225" priority="7478" stopIfTrue="1" operator="notEqual">
      <formula>0</formula>
    </cfRule>
  </conditionalFormatting>
  <conditionalFormatting sqref="L130">
    <cfRule type="expression" dxfId="3224" priority="7479" stopIfTrue="1">
      <formula>OR($L$130="F/S",$L$130="")</formula>
    </cfRule>
    <cfRule type="cellIs" dxfId="3223" priority="7480" stopIfTrue="1" operator="notEqual">
      <formula>0</formula>
    </cfRule>
  </conditionalFormatting>
  <conditionalFormatting sqref="O130">
    <cfRule type="expression" dxfId="3222" priority="7481" stopIfTrue="1">
      <formula>OR($O$130="F/S",$O$130="")</formula>
    </cfRule>
    <cfRule type="cellIs" dxfId="3221" priority="7482" stopIfTrue="1" operator="notEqual">
      <formula>0</formula>
    </cfRule>
  </conditionalFormatting>
  <conditionalFormatting sqref="L317">
    <cfRule type="expression" dxfId="3220" priority="7483" stopIfTrue="1">
      <formula>OR($L$317="F/S",$L$317="")</formula>
    </cfRule>
    <cfRule type="cellIs" dxfId="3219" priority="7484" stopIfTrue="1" operator="notEqual">
      <formula>0</formula>
    </cfRule>
  </conditionalFormatting>
  <conditionalFormatting sqref="O317">
    <cfRule type="expression" dxfId="3218" priority="7485" stopIfTrue="1">
      <formula>OR($O$317="F/S",$O$317="")</formula>
    </cfRule>
    <cfRule type="cellIs" dxfId="3217" priority="7486" stopIfTrue="1" operator="notEqual">
      <formula>0</formula>
    </cfRule>
  </conditionalFormatting>
  <conditionalFormatting sqref="L334">
    <cfRule type="expression" dxfId="3216" priority="7487" stopIfTrue="1">
      <formula>OR($L$334="F/S",$L$334="")</formula>
    </cfRule>
    <cfRule type="cellIs" dxfId="3215" priority="7488" stopIfTrue="1" operator="notEqual">
      <formula>0</formula>
    </cfRule>
  </conditionalFormatting>
  <conditionalFormatting sqref="O334">
    <cfRule type="expression" dxfId="3214" priority="7489" stopIfTrue="1">
      <formula>OR($O$334="F/S",$O$334="")</formula>
    </cfRule>
    <cfRule type="cellIs" dxfId="3213" priority="7490" stopIfTrue="1" operator="notEqual">
      <formula>0</formula>
    </cfRule>
  </conditionalFormatting>
  <conditionalFormatting sqref="L430">
    <cfRule type="expression" dxfId="3212" priority="7491" stopIfTrue="1">
      <formula>OR($L$430="F/S",$L$430="")</formula>
    </cfRule>
    <cfRule type="cellIs" dxfId="3211" priority="7492" stopIfTrue="1" operator="notEqual">
      <formula>0</formula>
    </cfRule>
  </conditionalFormatting>
  <conditionalFormatting sqref="O430">
    <cfRule type="expression" dxfId="3210" priority="7493" stopIfTrue="1">
      <formula>OR($O$430="F/S",$O$430="")</formula>
    </cfRule>
    <cfRule type="cellIs" dxfId="3209" priority="7494" stopIfTrue="1" operator="notEqual">
      <formula>0</formula>
    </cfRule>
  </conditionalFormatting>
  <conditionalFormatting sqref="L356">
    <cfRule type="expression" dxfId="3208" priority="7495" stopIfTrue="1">
      <formula>OR($L$356="F/S",$L$356="")</formula>
    </cfRule>
    <cfRule type="cellIs" dxfId="3207" priority="7496" stopIfTrue="1" operator="notEqual">
      <formula>0</formula>
    </cfRule>
  </conditionalFormatting>
  <conditionalFormatting sqref="O356">
    <cfRule type="expression" dxfId="3206" priority="7497" stopIfTrue="1">
      <formula>OR($O$356="F/S",$O$356="")</formula>
    </cfRule>
    <cfRule type="cellIs" dxfId="3205" priority="7498" stopIfTrue="1" operator="notEqual">
      <formula>0</formula>
    </cfRule>
  </conditionalFormatting>
  <conditionalFormatting sqref="L378">
    <cfRule type="expression" dxfId="3204" priority="7499" stopIfTrue="1">
      <formula>OR($L$378="F/S",$L$378="")</formula>
    </cfRule>
    <cfRule type="cellIs" dxfId="3203" priority="7500" stopIfTrue="1" operator="notEqual">
      <formula>0</formula>
    </cfRule>
  </conditionalFormatting>
  <conditionalFormatting sqref="O378">
    <cfRule type="expression" dxfId="3202" priority="7501" stopIfTrue="1">
      <formula>OR($O$378="F/S",$O$378="")</formula>
    </cfRule>
    <cfRule type="cellIs" dxfId="3201" priority="7502" stopIfTrue="1" operator="notEqual">
      <formula>0</formula>
    </cfRule>
  </conditionalFormatting>
  <conditionalFormatting sqref="L400">
    <cfRule type="expression" dxfId="3200" priority="7503" stopIfTrue="1">
      <formula>OR($L$400="F/S",$L$400="")</formula>
    </cfRule>
    <cfRule type="cellIs" dxfId="3199" priority="7504" stopIfTrue="1" operator="notEqual">
      <formula>0</formula>
    </cfRule>
  </conditionalFormatting>
  <conditionalFormatting sqref="O400">
    <cfRule type="expression" dxfId="3198" priority="7505" stopIfTrue="1">
      <formula>OR($O$400="F/S",$O$400="")</formula>
    </cfRule>
    <cfRule type="cellIs" dxfId="3197" priority="7506" stopIfTrue="1" operator="notEqual">
      <formula>0</formula>
    </cfRule>
  </conditionalFormatting>
  <conditionalFormatting sqref="L515">
    <cfRule type="expression" dxfId="3196" priority="7507" stopIfTrue="1">
      <formula>OR($L$515="F/S",$L$515="")</formula>
    </cfRule>
    <cfRule type="cellIs" dxfId="3195" priority="7508" stopIfTrue="1" operator="notEqual">
      <formula>0</formula>
    </cfRule>
  </conditionalFormatting>
  <conditionalFormatting sqref="O515">
    <cfRule type="expression" dxfId="3194" priority="7509" stopIfTrue="1">
      <formula>OR($O$515="F/S",$O$515="")</formula>
    </cfRule>
    <cfRule type="cellIs" dxfId="3193" priority="7510" stopIfTrue="1" operator="notEqual">
      <formula>0</formula>
    </cfRule>
  </conditionalFormatting>
  <conditionalFormatting sqref="L535">
    <cfRule type="expression" dxfId="3192" priority="7511" stopIfTrue="1">
      <formula>OR($L$535="F/S",$L$535="")</formula>
    </cfRule>
    <cfRule type="cellIs" dxfId="3191" priority="7512" stopIfTrue="1" operator="notEqual">
      <formula>0</formula>
    </cfRule>
  </conditionalFormatting>
  <conditionalFormatting sqref="O535">
    <cfRule type="expression" dxfId="3190" priority="7513" stopIfTrue="1">
      <formula>OR($O$535="F/S",$O$535="")</formula>
    </cfRule>
    <cfRule type="cellIs" dxfId="3189" priority="7514" stopIfTrue="1" operator="notEqual">
      <formula>0</formula>
    </cfRule>
  </conditionalFormatting>
  <conditionalFormatting sqref="L579">
    <cfRule type="expression" dxfId="3188" priority="7515" stopIfTrue="1">
      <formula>OR($L$579="F/S",$L$579="")</formula>
    </cfRule>
    <cfRule type="cellIs" dxfId="3187" priority="7516" stopIfTrue="1" operator="notEqual">
      <formula>0</formula>
    </cfRule>
  </conditionalFormatting>
  <conditionalFormatting sqref="O579">
    <cfRule type="expression" dxfId="3186" priority="7517" stopIfTrue="1">
      <formula>OR($O$579="F/S",$O$579="")</formula>
    </cfRule>
    <cfRule type="cellIs" dxfId="3185" priority="7518" stopIfTrue="1" operator="notEqual">
      <formula>0</formula>
    </cfRule>
  </conditionalFormatting>
  <conditionalFormatting sqref="L601">
    <cfRule type="expression" dxfId="3184" priority="7519" stopIfTrue="1">
      <formula>OR($L$601="F/S",$L$601="")</formula>
    </cfRule>
    <cfRule type="cellIs" dxfId="3183" priority="7520" stopIfTrue="1" operator="notEqual">
      <formula>0</formula>
    </cfRule>
  </conditionalFormatting>
  <conditionalFormatting sqref="O601">
    <cfRule type="expression" dxfId="3182" priority="7521" stopIfTrue="1">
      <formula>OR($O$601="F/S",$O$601="")</formula>
    </cfRule>
    <cfRule type="cellIs" dxfId="3181" priority="7522" stopIfTrue="1" operator="notEqual">
      <formula>0</formula>
    </cfRule>
  </conditionalFormatting>
  <conditionalFormatting sqref="L611">
    <cfRule type="expression" dxfId="3180" priority="7523" stopIfTrue="1">
      <formula>OR($L$611="F/S",$L$611="")</formula>
    </cfRule>
    <cfRule type="cellIs" dxfId="3179" priority="7524" stopIfTrue="1" operator="notEqual">
      <formula>0</formula>
    </cfRule>
  </conditionalFormatting>
  <conditionalFormatting sqref="O611">
    <cfRule type="expression" dxfId="3178" priority="7525" stopIfTrue="1">
      <formula>OR($O$611="F/S",$O$611="")</formula>
    </cfRule>
    <cfRule type="cellIs" dxfId="3177" priority="7526" stopIfTrue="1" operator="notEqual">
      <formula>0</formula>
    </cfRule>
  </conditionalFormatting>
  <conditionalFormatting sqref="L618">
    <cfRule type="expression" dxfId="3176" priority="7527" stopIfTrue="1">
      <formula>OR($L$618="F/S",$L$618="")</formula>
    </cfRule>
    <cfRule type="cellIs" dxfId="3175" priority="7528" stopIfTrue="1" operator="notEqual">
      <formula>0</formula>
    </cfRule>
  </conditionalFormatting>
  <conditionalFormatting sqref="O618">
    <cfRule type="expression" dxfId="3174" priority="7529" stopIfTrue="1">
      <formula>OR($O$618="F/S",$O$618="")</formula>
    </cfRule>
    <cfRule type="cellIs" dxfId="3173" priority="7530" stopIfTrue="1" operator="notEqual">
      <formula>0</formula>
    </cfRule>
  </conditionalFormatting>
  <conditionalFormatting sqref="L629">
    <cfRule type="expression" dxfId="3172" priority="7531" stopIfTrue="1">
      <formula>OR($L$629="F/S",$L$629="")</formula>
    </cfRule>
    <cfRule type="cellIs" dxfId="3171" priority="7532" stopIfTrue="1" operator="notEqual">
      <formula>0</formula>
    </cfRule>
  </conditionalFormatting>
  <conditionalFormatting sqref="O629">
    <cfRule type="expression" dxfId="3170" priority="7533" stopIfTrue="1">
      <formula>OR($O$629="F/S",$O$629="")</formula>
    </cfRule>
    <cfRule type="cellIs" dxfId="3169" priority="7534" stopIfTrue="1" operator="notEqual">
      <formula>0</formula>
    </cfRule>
  </conditionalFormatting>
  <conditionalFormatting sqref="L648">
    <cfRule type="expression" dxfId="3168" priority="7535" stopIfTrue="1">
      <formula>OR($L$648="F/S",$L$648="")</formula>
    </cfRule>
    <cfRule type="cellIs" dxfId="3167" priority="7536" stopIfTrue="1" operator="notEqual">
      <formula>0</formula>
    </cfRule>
  </conditionalFormatting>
  <conditionalFormatting sqref="O648">
    <cfRule type="expression" dxfId="3166" priority="7537" stopIfTrue="1">
      <formula>OR($O$648="F/S",$O$648="")</formula>
    </cfRule>
    <cfRule type="cellIs" dxfId="3165" priority="7538" stopIfTrue="1" operator="notEqual">
      <formula>0</formula>
    </cfRule>
  </conditionalFormatting>
  <conditionalFormatting sqref="L658">
    <cfRule type="expression" dxfId="3164" priority="7539" stopIfTrue="1">
      <formula>OR($L$658="F/S",$L$658="")</formula>
    </cfRule>
    <cfRule type="cellIs" dxfId="3163" priority="7540" stopIfTrue="1" operator="notEqual">
      <formula>0</formula>
    </cfRule>
  </conditionalFormatting>
  <conditionalFormatting sqref="O658">
    <cfRule type="expression" dxfId="3162" priority="7541" stopIfTrue="1">
      <formula>OR($O$658="F/S",$O$658="")</formula>
    </cfRule>
    <cfRule type="cellIs" dxfId="3161" priority="7542" stopIfTrue="1" operator="notEqual">
      <formula>0</formula>
    </cfRule>
  </conditionalFormatting>
  <conditionalFormatting sqref="L485">
    <cfRule type="expression" dxfId="3160" priority="7543" stopIfTrue="1">
      <formula>OR($L$485="F/S",$L$485="")</formula>
    </cfRule>
    <cfRule type="cellIs" dxfId="3159" priority="7544" stopIfTrue="1" operator="notEqual">
      <formula>0</formula>
    </cfRule>
  </conditionalFormatting>
  <conditionalFormatting sqref="O485">
    <cfRule type="expression" dxfId="3158" priority="7545" stopIfTrue="1">
      <formula>OR($O$485="F/S",$O$485="")</formula>
    </cfRule>
    <cfRule type="cellIs" dxfId="3157" priority="7546" stopIfTrue="1" operator="notEqual">
      <formula>0</formula>
    </cfRule>
  </conditionalFormatting>
  <conditionalFormatting sqref="L500">
    <cfRule type="expression" dxfId="3156" priority="7547" stopIfTrue="1">
      <formula>OR($L$500="F/S",$L$500="")</formula>
    </cfRule>
    <cfRule type="cellIs" dxfId="3155" priority="7548" stopIfTrue="1" operator="notEqual">
      <formula>0</formula>
    </cfRule>
  </conditionalFormatting>
  <conditionalFormatting sqref="O500">
    <cfRule type="expression" dxfId="3154" priority="7549" stopIfTrue="1">
      <formula>OR($O$500="F/S",$O$500="")</formula>
    </cfRule>
    <cfRule type="cellIs" dxfId="3153" priority="7550" stopIfTrue="1" operator="notEqual">
      <formula>0</formula>
    </cfRule>
  </conditionalFormatting>
  <conditionalFormatting sqref="L559">
    <cfRule type="expression" dxfId="3152" priority="7551" stopIfTrue="1">
      <formula>OR($L$559="F/S",$L$559="")</formula>
    </cfRule>
    <cfRule type="cellIs" dxfId="3151" priority="7552" stopIfTrue="1" operator="notEqual">
      <formula>0</formula>
    </cfRule>
  </conditionalFormatting>
  <conditionalFormatting sqref="O559">
    <cfRule type="expression" dxfId="3150" priority="7553" stopIfTrue="1">
      <formula>OR($O$559="F/S",$O$559="")</formula>
    </cfRule>
    <cfRule type="cellIs" dxfId="3149" priority="7554" stopIfTrue="1" operator="notEqual">
      <formula>0</formula>
    </cfRule>
  </conditionalFormatting>
  <conditionalFormatting sqref="L569">
    <cfRule type="expression" dxfId="3148" priority="7555" stopIfTrue="1">
      <formula>OR($L$569="F/S",$L$569="")</formula>
    </cfRule>
    <cfRule type="cellIs" dxfId="3147" priority="7556" stopIfTrue="1" operator="notEqual">
      <formula>0</formula>
    </cfRule>
  </conditionalFormatting>
  <conditionalFormatting sqref="O569">
    <cfRule type="expression" dxfId="3146" priority="7557" stopIfTrue="1">
      <formula>OR($O$569="F/S",$O$569="")</formula>
    </cfRule>
    <cfRule type="cellIs" dxfId="3145" priority="7558" stopIfTrue="1" operator="notEqual">
      <formula>0</formula>
    </cfRule>
  </conditionalFormatting>
  <conditionalFormatting sqref="L668">
    <cfRule type="expression" dxfId="3144" priority="7563" stopIfTrue="1">
      <formula>OR($L$668="F/S",$L$668="")</formula>
    </cfRule>
    <cfRule type="cellIs" dxfId="3143" priority="7564" stopIfTrue="1" operator="notEqual">
      <formula>0</formula>
    </cfRule>
  </conditionalFormatting>
  <conditionalFormatting sqref="O668">
    <cfRule type="expression" dxfId="3142" priority="7565" stopIfTrue="1">
      <formula>OR($O$668="F/S",$O$668="")</formula>
    </cfRule>
    <cfRule type="cellIs" dxfId="3141" priority="7566" stopIfTrue="1" operator="notEqual">
      <formula>0</formula>
    </cfRule>
  </conditionalFormatting>
  <conditionalFormatting sqref="L678">
    <cfRule type="expression" dxfId="3140" priority="7567" stopIfTrue="1">
      <formula>OR($L$678="F/S",$L$678="")</formula>
    </cfRule>
    <cfRule type="cellIs" dxfId="3139" priority="7568" stopIfTrue="1" operator="notEqual">
      <formula>0</formula>
    </cfRule>
  </conditionalFormatting>
  <conditionalFormatting sqref="O678">
    <cfRule type="expression" dxfId="3138" priority="7569" stopIfTrue="1">
      <formula>OR($O$678="F/S",$O$678="")</formula>
    </cfRule>
    <cfRule type="cellIs" dxfId="3137" priority="7570" stopIfTrue="1" operator="notEqual">
      <formula>0</formula>
    </cfRule>
  </conditionalFormatting>
  <conditionalFormatting sqref="L688">
    <cfRule type="expression" dxfId="3136" priority="7571" stopIfTrue="1">
      <formula>OR($L$688="F/S",$L$688="")</formula>
    </cfRule>
    <cfRule type="cellIs" dxfId="3135" priority="7572" stopIfTrue="1" operator="notEqual">
      <formula>0</formula>
    </cfRule>
  </conditionalFormatting>
  <conditionalFormatting sqref="O688">
    <cfRule type="expression" dxfId="3134" priority="7573" stopIfTrue="1">
      <formula>OR($O$688="F/S",$O$688="")</formula>
    </cfRule>
    <cfRule type="cellIs" dxfId="3133" priority="7574" stopIfTrue="1" operator="notEqual">
      <formula>0</formula>
    </cfRule>
  </conditionalFormatting>
  <conditionalFormatting sqref="L698">
    <cfRule type="expression" dxfId="3132" priority="7579" stopIfTrue="1">
      <formula>OR($L$698="F/S",$L$698="")</formula>
    </cfRule>
    <cfRule type="cellIs" dxfId="3131" priority="7580" stopIfTrue="1" operator="notEqual">
      <formula>0</formula>
    </cfRule>
  </conditionalFormatting>
  <conditionalFormatting sqref="O698">
    <cfRule type="expression" dxfId="3130" priority="7581" stopIfTrue="1">
      <formula>OR($O$698="F/S",$O$698="")</formula>
    </cfRule>
    <cfRule type="cellIs" dxfId="3129" priority="7582" stopIfTrue="1" operator="notEqual">
      <formula>0</formula>
    </cfRule>
  </conditionalFormatting>
  <conditionalFormatting sqref="L706">
    <cfRule type="expression" dxfId="3128" priority="7583" stopIfTrue="1">
      <formula>OR($L$706="F/S",$L$706="")</formula>
    </cfRule>
    <cfRule type="cellIs" dxfId="3127" priority="7584" stopIfTrue="1" operator="notEqual">
      <formula>0</formula>
    </cfRule>
  </conditionalFormatting>
  <conditionalFormatting sqref="O706">
    <cfRule type="expression" dxfId="3126" priority="7585" stopIfTrue="1">
      <formula>OR($O$706="F/S",$O$706="")</formula>
    </cfRule>
    <cfRule type="cellIs" dxfId="3125" priority="7586" stopIfTrue="1" operator="notEqual">
      <formula>0</formula>
    </cfRule>
  </conditionalFormatting>
  <conditionalFormatting sqref="L721">
    <cfRule type="expression" dxfId="3124" priority="7587" stopIfTrue="1">
      <formula>OR($L$721="F/S",$L$721="")</formula>
    </cfRule>
    <cfRule type="cellIs" dxfId="3123" priority="7588" stopIfTrue="1" operator="notEqual">
      <formula>0</formula>
    </cfRule>
  </conditionalFormatting>
  <conditionalFormatting sqref="O721">
    <cfRule type="expression" dxfId="3122" priority="7589" stopIfTrue="1">
      <formula>OR($O$721="F/S",$O$721="")</formula>
    </cfRule>
    <cfRule type="cellIs" dxfId="3121" priority="7590" stopIfTrue="1" operator="notEqual">
      <formula>0</formula>
    </cfRule>
  </conditionalFormatting>
  <conditionalFormatting sqref="L740">
    <cfRule type="expression" dxfId="3120" priority="7591" stopIfTrue="1">
      <formula>OR($L$740="F/S",$L$740="")</formula>
    </cfRule>
    <cfRule type="cellIs" dxfId="3119" priority="7592" stopIfTrue="1" operator="notEqual">
      <formula>0</formula>
    </cfRule>
  </conditionalFormatting>
  <conditionalFormatting sqref="O740">
    <cfRule type="expression" dxfId="3118" priority="7593" stopIfTrue="1">
      <formula>OR($O$740="F/S",$O$740="")</formula>
    </cfRule>
    <cfRule type="cellIs" dxfId="3117" priority="7594" stopIfTrue="1" operator="notEqual">
      <formula>0</formula>
    </cfRule>
  </conditionalFormatting>
  <conditionalFormatting sqref="L848">
    <cfRule type="expression" dxfId="3116" priority="7595" stopIfTrue="1">
      <formula>OR($L$848="F/S",$L$848="")</formula>
    </cfRule>
    <cfRule type="cellIs" dxfId="3115" priority="7596" stopIfTrue="1" operator="notEqual">
      <formula>0</formula>
    </cfRule>
  </conditionalFormatting>
  <conditionalFormatting sqref="O848">
    <cfRule type="expression" dxfId="3114" priority="7597" stopIfTrue="1">
      <formula>OR($O$848="F/S",$O$848="")</formula>
    </cfRule>
    <cfRule type="cellIs" dxfId="3113" priority="7598" stopIfTrue="1" operator="notEqual">
      <formula>0</formula>
    </cfRule>
  </conditionalFormatting>
  <conditionalFormatting sqref="L859">
    <cfRule type="expression" dxfId="3112" priority="7599" stopIfTrue="1">
      <formula>OR($L$859="F/S",$L$859="")</formula>
    </cfRule>
    <cfRule type="cellIs" dxfId="3111" priority="7600" stopIfTrue="1" operator="notEqual">
      <formula>0</formula>
    </cfRule>
  </conditionalFormatting>
  <conditionalFormatting sqref="O859">
    <cfRule type="expression" dxfId="3110" priority="7601" stopIfTrue="1">
      <formula>OR($O$859="F/S",$O$859="")</formula>
    </cfRule>
    <cfRule type="cellIs" dxfId="3109" priority="7602" stopIfTrue="1" operator="notEqual">
      <formula>0</formula>
    </cfRule>
  </conditionalFormatting>
  <conditionalFormatting sqref="L871">
    <cfRule type="expression" dxfId="3108" priority="7603" stopIfTrue="1">
      <formula>OR($L$871="F/S",$L$871="")</formula>
    </cfRule>
    <cfRule type="cellIs" dxfId="3107" priority="7604" stopIfTrue="1" operator="notEqual">
      <formula>0</formula>
    </cfRule>
  </conditionalFormatting>
  <conditionalFormatting sqref="O871">
    <cfRule type="expression" dxfId="3106" priority="7605" stopIfTrue="1">
      <formula>OR($O$871="F/S",$O$871="")</formula>
    </cfRule>
    <cfRule type="cellIs" dxfId="3105" priority="7606" stopIfTrue="1" operator="notEqual">
      <formula>0</formula>
    </cfRule>
  </conditionalFormatting>
  <conditionalFormatting sqref="L890">
    <cfRule type="expression" dxfId="3104" priority="7607" stopIfTrue="1">
      <formula>OR($L$890="F/S",$L$890="")</formula>
    </cfRule>
    <cfRule type="cellIs" dxfId="3103" priority="7608" stopIfTrue="1" operator="notEqual">
      <formula>0</formula>
    </cfRule>
  </conditionalFormatting>
  <conditionalFormatting sqref="O890">
    <cfRule type="expression" dxfId="3102" priority="7609" stopIfTrue="1">
      <formula>OR($O$890="F/S",$O$890="")</formula>
    </cfRule>
    <cfRule type="cellIs" dxfId="3101" priority="7610" stopIfTrue="1" operator="notEqual">
      <formula>0</formula>
    </cfRule>
  </conditionalFormatting>
  <conditionalFormatting sqref="L910">
    <cfRule type="expression" dxfId="3100" priority="7615" stopIfTrue="1">
      <formula>OR($L$910="F/S",$L$910="")</formula>
    </cfRule>
    <cfRule type="cellIs" dxfId="3099" priority="7616" stopIfTrue="1" operator="notEqual">
      <formula>0</formula>
    </cfRule>
  </conditionalFormatting>
  <conditionalFormatting sqref="O910">
    <cfRule type="expression" dxfId="3098" priority="7617" stopIfTrue="1">
      <formula>OR($O$910="F/S",$O$910="")</formula>
    </cfRule>
    <cfRule type="cellIs" dxfId="3097" priority="7618" stopIfTrue="1" operator="notEqual">
      <formula>0</formula>
    </cfRule>
  </conditionalFormatting>
  <conditionalFormatting sqref="L900">
    <cfRule type="expression" dxfId="3096" priority="7619" stopIfTrue="1">
      <formula>OR($L$900="F/S",$L$900="")</formula>
    </cfRule>
    <cfRule type="cellIs" dxfId="3095" priority="7620" stopIfTrue="1" operator="notEqual">
      <formula>0</formula>
    </cfRule>
  </conditionalFormatting>
  <conditionalFormatting sqref="O900">
    <cfRule type="expression" dxfId="3094" priority="7621" stopIfTrue="1">
      <formula>OR($O$900="F/S",$O$900="")</formula>
    </cfRule>
    <cfRule type="cellIs" dxfId="3093" priority="7622" stopIfTrue="1" operator="notEqual">
      <formula>0</formula>
    </cfRule>
  </conditionalFormatting>
  <conditionalFormatting sqref="L934">
    <cfRule type="expression" dxfId="3092" priority="7627" stopIfTrue="1">
      <formula>OR($L$934="F/S",$L$934="")</formula>
    </cfRule>
    <cfRule type="cellIs" dxfId="3091" priority="7628" stopIfTrue="1" operator="notEqual">
      <formula>0</formula>
    </cfRule>
  </conditionalFormatting>
  <conditionalFormatting sqref="O934">
    <cfRule type="expression" dxfId="3090" priority="7629" stopIfTrue="1">
      <formula>OR($O$934="F/S",$O$934="")</formula>
    </cfRule>
    <cfRule type="cellIs" dxfId="3089" priority="7630" stopIfTrue="1" operator="notEqual">
      <formula>0</formula>
    </cfRule>
  </conditionalFormatting>
  <conditionalFormatting sqref="L944">
    <cfRule type="expression" dxfId="3088" priority="7631" stopIfTrue="1">
      <formula>OR($L$944="F/S",$L$944="")</formula>
    </cfRule>
    <cfRule type="cellIs" dxfId="3087" priority="7632" stopIfTrue="1" operator="notEqual">
      <formula>0</formula>
    </cfRule>
  </conditionalFormatting>
  <conditionalFormatting sqref="O944">
    <cfRule type="expression" dxfId="3086" priority="7633" stopIfTrue="1">
      <formula>OR($O$944="F/S",$O$944="")</formula>
    </cfRule>
    <cfRule type="cellIs" dxfId="3085" priority="7634" stopIfTrue="1" operator="notEqual">
      <formula>0</formula>
    </cfRule>
  </conditionalFormatting>
  <conditionalFormatting sqref="L956">
    <cfRule type="expression" dxfId="3084" priority="7635" stopIfTrue="1">
      <formula>OR($L$956="F/S",$L$956="")</formula>
    </cfRule>
    <cfRule type="cellIs" dxfId="3083" priority="7636" stopIfTrue="1" operator="notEqual">
      <formula>0</formula>
    </cfRule>
  </conditionalFormatting>
  <conditionalFormatting sqref="O956">
    <cfRule type="expression" dxfId="3082" priority="7637" stopIfTrue="1">
      <formula>OR($O$956="F/S",$O$956="")</formula>
    </cfRule>
    <cfRule type="cellIs" dxfId="3081" priority="7638" stopIfTrue="1" operator="notEqual">
      <formula>0</formula>
    </cfRule>
  </conditionalFormatting>
  <conditionalFormatting sqref="L967">
    <cfRule type="expression" dxfId="3080" priority="7639" stopIfTrue="1">
      <formula>OR($L$967="F/S",$L$967="")</formula>
    </cfRule>
    <cfRule type="cellIs" dxfId="3079" priority="7640" stopIfTrue="1" operator="notEqual">
      <formula>0</formula>
    </cfRule>
  </conditionalFormatting>
  <conditionalFormatting sqref="O967">
    <cfRule type="expression" dxfId="3078" priority="7641" stopIfTrue="1">
      <formula>OR($O$967="F/S",$O$967="")</formula>
    </cfRule>
    <cfRule type="cellIs" dxfId="3077" priority="7642" stopIfTrue="1" operator="notEqual">
      <formula>0</formula>
    </cfRule>
  </conditionalFormatting>
  <conditionalFormatting sqref="L977">
    <cfRule type="expression" dxfId="3076" priority="7643" stopIfTrue="1">
      <formula>OR($L$977="F/S",$L$977="")</formula>
    </cfRule>
    <cfRule type="cellIs" dxfId="3075" priority="7644" stopIfTrue="1" operator="notEqual">
      <formula>0</formula>
    </cfRule>
  </conditionalFormatting>
  <conditionalFormatting sqref="O977">
    <cfRule type="expression" dxfId="3074" priority="7645" stopIfTrue="1">
      <formula>OR($O$977="F/S",$O$977="")</formula>
    </cfRule>
    <cfRule type="cellIs" dxfId="3073" priority="7646" stopIfTrue="1" operator="notEqual">
      <formula>0</formula>
    </cfRule>
  </conditionalFormatting>
  <conditionalFormatting sqref="L988">
    <cfRule type="expression" dxfId="3072" priority="7647" stopIfTrue="1">
      <formula>OR($L$988="F/S",$L$988="")</formula>
    </cfRule>
    <cfRule type="cellIs" dxfId="3071" priority="7648" stopIfTrue="1" operator="notEqual">
      <formula>0</formula>
    </cfRule>
  </conditionalFormatting>
  <conditionalFormatting sqref="O988">
    <cfRule type="expression" dxfId="3070" priority="7649" stopIfTrue="1">
      <formula>OR($O$988="F/S",$O$988="")</formula>
    </cfRule>
    <cfRule type="cellIs" dxfId="3069" priority="7650" stopIfTrue="1" operator="notEqual">
      <formula>0</formula>
    </cfRule>
  </conditionalFormatting>
  <conditionalFormatting sqref="L1013">
    <cfRule type="expression" dxfId="3068" priority="7651" stopIfTrue="1">
      <formula>OR($L$1013="F/S",$L$1013="")</formula>
    </cfRule>
    <cfRule type="cellIs" dxfId="3067" priority="7652" stopIfTrue="1" operator="notEqual">
      <formula>0</formula>
    </cfRule>
  </conditionalFormatting>
  <conditionalFormatting sqref="O1013">
    <cfRule type="expression" dxfId="3066" priority="7653" stopIfTrue="1">
      <formula>OR($O$1013="F/S",$O$1013="")</formula>
    </cfRule>
    <cfRule type="cellIs" dxfId="3065" priority="7654" stopIfTrue="1" operator="notEqual">
      <formula>0</formula>
    </cfRule>
  </conditionalFormatting>
  <conditionalFormatting sqref="L1043">
    <cfRule type="expression" dxfId="3064" priority="7655" stopIfTrue="1">
      <formula>OR($L$1043="F/S",$L$1043="")</formula>
    </cfRule>
    <cfRule type="cellIs" dxfId="3063" priority="7656" stopIfTrue="1" operator="notEqual">
      <formula>0</formula>
    </cfRule>
  </conditionalFormatting>
  <conditionalFormatting sqref="O1043">
    <cfRule type="expression" dxfId="3062" priority="7657" stopIfTrue="1">
      <formula>OR($O$1043="F/S",$O$1043="")</formula>
    </cfRule>
    <cfRule type="cellIs" dxfId="3061" priority="7658" stopIfTrue="1" operator="notEqual">
      <formula>0</formula>
    </cfRule>
  </conditionalFormatting>
  <conditionalFormatting sqref="L1219">
    <cfRule type="expression" dxfId="3060" priority="7659" stopIfTrue="1">
      <formula>OR($L$1219="F/S",$L$1219="")</formula>
    </cfRule>
    <cfRule type="cellIs" dxfId="3059" priority="7660" stopIfTrue="1" operator="notEqual">
      <formula>0</formula>
    </cfRule>
  </conditionalFormatting>
  <conditionalFormatting sqref="O1219">
    <cfRule type="expression" dxfId="3058" priority="7661" stopIfTrue="1">
      <formula>OR($O$1219="F/S",$O$1219="")</formula>
    </cfRule>
    <cfRule type="cellIs" dxfId="3057" priority="7662" stopIfTrue="1" operator="notEqual">
      <formula>0</formula>
    </cfRule>
  </conditionalFormatting>
  <conditionalFormatting sqref="L1307">
    <cfRule type="expression" dxfId="3056" priority="7663" stopIfTrue="1">
      <formula>OR($L$1307="F/S",$L$1307="")</formula>
    </cfRule>
    <cfRule type="cellIs" dxfId="3055" priority="7664" stopIfTrue="1" operator="notEqual">
      <formula>0</formula>
    </cfRule>
  </conditionalFormatting>
  <conditionalFormatting sqref="O1307">
    <cfRule type="expression" dxfId="3054" priority="7665" stopIfTrue="1">
      <formula>OR($O$1307="F/S",$O$1307="")</formula>
    </cfRule>
    <cfRule type="cellIs" dxfId="3053" priority="7666" stopIfTrue="1" operator="notEqual">
      <formula>0</formula>
    </cfRule>
  </conditionalFormatting>
  <conditionalFormatting sqref="L1409">
    <cfRule type="expression" dxfId="3052" priority="7667" stopIfTrue="1">
      <formula>OR($L$1409="F/S",$L$1409="")</formula>
    </cfRule>
    <cfRule type="cellIs" dxfId="3051" priority="7668" stopIfTrue="1" operator="notEqual">
      <formula>0</formula>
    </cfRule>
  </conditionalFormatting>
  <conditionalFormatting sqref="O1409">
    <cfRule type="expression" dxfId="3050" priority="7669" stopIfTrue="1">
      <formula>OR($O$1409="F/S",$O$1409="")</formula>
    </cfRule>
    <cfRule type="cellIs" dxfId="3049" priority="7670" stopIfTrue="1" operator="notEqual">
      <formula>0</formula>
    </cfRule>
  </conditionalFormatting>
  <conditionalFormatting sqref="L1116">
    <cfRule type="expression" dxfId="3048" priority="7671" stopIfTrue="1">
      <formula>OR($L$1116="F/S",$L$1116="")</formula>
    </cfRule>
    <cfRule type="cellIs" dxfId="3047" priority="7672" stopIfTrue="1" operator="notEqual">
      <formula>0</formula>
    </cfRule>
  </conditionalFormatting>
  <conditionalFormatting sqref="O1116">
    <cfRule type="expression" dxfId="3046" priority="7673" stopIfTrue="1">
      <formula>OR($O$1116="F/S",$O$1116="")</formula>
    </cfRule>
    <cfRule type="cellIs" dxfId="3045" priority="7674" stopIfTrue="1" operator="notEqual">
      <formula>0</formula>
    </cfRule>
  </conditionalFormatting>
  <conditionalFormatting sqref="L1326">
    <cfRule type="expression" dxfId="3044" priority="7675" stopIfTrue="1">
      <formula>OR($L$1326="F/S",$L$1326="")</formula>
    </cfRule>
    <cfRule type="cellIs" dxfId="3043" priority="7676" stopIfTrue="1" operator="notEqual">
      <formula>0</formula>
    </cfRule>
  </conditionalFormatting>
  <conditionalFormatting sqref="O1326">
    <cfRule type="expression" dxfId="3042" priority="7677" stopIfTrue="1">
      <formula>OR($O$1326="F/S",$O$1326="")</formula>
    </cfRule>
    <cfRule type="cellIs" dxfId="3041" priority="7678" stopIfTrue="1" operator="notEqual">
      <formula>0</formula>
    </cfRule>
  </conditionalFormatting>
  <conditionalFormatting sqref="L1348">
    <cfRule type="expression" dxfId="3040" priority="7679" stopIfTrue="1">
      <formula>OR($L$1348="F/S",$L$1348="")</formula>
    </cfRule>
    <cfRule type="cellIs" dxfId="3039" priority="7680" stopIfTrue="1" operator="notEqual">
      <formula>0</formula>
    </cfRule>
  </conditionalFormatting>
  <conditionalFormatting sqref="O1348">
    <cfRule type="expression" dxfId="3038" priority="7681" stopIfTrue="1">
      <formula>OR($O$1348="F/S",$O$1348="")</formula>
    </cfRule>
    <cfRule type="cellIs" dxfId="3037" priority="7682" stopIfTrue="1" operator="notEqual">
      <formula>0</formula>
    </cfRule>
  </conditionalFormatting>
  <conditionalFormatting sqref="L1469">
    <cfRule type="expression" dxfId="3036" priority="7683" stopIfTrue="1">
      <formula>OR($L$1469="F/S",$L$1469="")</formula>
    </cfRule>
    <cfRule type="cellIs" dxfId="3035" priority="7684" stopIfTrue="1" operator="notEqual">
      <formula>0</formula>
    </cfRule>
  </conditionalFormatting>
  <conditionalFormatting sqref="O1469">
    <cfRule type="expression" dxfId="3034" priority="7685" stopIfTrue="1">
      <formula>OR($O$1469="F/S",$O$1469="")</formula>
    </cfRule>
    <cfRule type="cellIs" dxfId="3033" priority="7686" stopIfTrue="1" operator="notEqual">
      <formula>0</formula>
    </cfRule>
  </conditionalFormatting>
  <conditionalFormatting sqref="L1510">
    <cfRule type="expression" dxfId="3032" priority="7687" stopIfTrue="1">
      <formula>OR($L$1510="F/S",$L$1510="")</formula>
    </cfRule>
    <cfRule type="cellIs" dxfId="3031" priority="7688" stopIfTrue="1" operator="notEqual">
      <formula>0</formula>
    </cfRule>
  </conditionalFormatting>
  <conditionalFormatting sqref="O1510">
    <cfRule type="expression" dxfId="3030" priority="7689" stopIfTrue="1">
      <formula>OR($O$1510="F/S",$O$1510="")</formula>
    </cfRule>
    <cfRule type="cellIs" dxfId="3029" priority="7690" stopIfTrue="1" operator="notEqual">
      <formula>0</formula>
    </cfRule>
  </conditionalFormatting>
  <conditionalFormatting sqref="L1520">
    <cfRule type="expression" dxfId="3028" priority="7691" stopIfTrue="1">
      <formula>OR($L$1520="F/S",$L$1520="")</formula>
    </cfRule>
    <cfRule type="cellIs" dxfId="3027" priority="7692" stopIfTrue="1" operator="notEqual">
      <formula>0</formula>
    </cfRule>
  </conditionalFormatting>
  <conditionalFormatting sqref="O1520">
    <cfRule type="expression" dxfId="3026" priority="7693" stopIfTrue="1">
      <formula>OR($O$1520="F/S",$O$1520="")</formula>
    </cfRule>
    <cfRule type="cellIs" dxfId="3025" priority="7694" stopIfTrue="1" operator="notEqual">
      <formula>0</formula>
    </cfRule>
  </conditionalFormatting>
  <conditionalFormatting sqref="L1527">
    <cfRule type="expression" dxfId="3024" priority="7695" stopIfTrue="1">
      <formula>OR($L$1527="F/S",$L$1527="")</formula>
    </cfRule>
    <cfRule type="cellIs" dxfId="3023" priority="7696" stopIfTrue="1" operator="notEqual">
      <formula>0</formula>
    </cfRule>
  </conditionalFormatting>
  <conditionalFormatting sqref="O1527">
    <cfRule type="expression" dxfId="3022" priority="7697" stopIfTrue="1">
      <formula>OR($O$1527="F/S",$O$1527="")</formula>
    </cfRule>
    <cfRule type="cellIs" dxfId="3021" priority="7698" stopIfTrue="1" operator="notEqual">
      <formula>0</formula>
    </cfRule>
  </conditionalFormatting>
  <conditionalFormatting sqref="L1538">
    <cfRule type="expression" dxfId="3020" priority="7699" stopIfTrue="1">
      <formula>OR($L$1538="F/S",$L$1538="")</formula>
    </cfRule>
    <cfRule type="cellIs" dxfId="3019" priority="7700" stopIfTrue="1" operator="notEqual">
      <formula>0</formula>
    </cfRule>
  </conditionalFormatting>
  <conditionalFormatting sqref="O1538">
    <cfRule type="expression" dxfId="3018" priority="7701" stopIfTrue="1">
      <formula>OR($O$1538="F/S",$O$1538="")</formula>
    </cfRule>
    <cfRule type="cellIs" dxfId="3017" priority="7702" stopIfTrue="1" operator="notEqual">
      <formula>0</formula>
    </cfRule>
  </conditionalFormatting>
  <conditionalFormatting sqref="L1557">
    <cfRule type="expression" dxfId="3016" priority="7703" stopIfTrue="1">
      <formula>OR($L$1557="F/S",$L$1557="")</formula>
    </cfRule>
    <cfRule type="cellIs" dxfId="3015" priority="7704" stopIfTrue="1" operator="notEqual">
      <formula>0</formula>
    </cfRule>
  </conditionalFormatting>
  <conditionalFormatting sqref="O1557">
    <cfRule type="expression" dxfId="3014" priority="7705" stopIfTrue="1">
      <formula>OR($O$1557="F/S",$O$1557="")</formula>
    </cfRule>
    <cfRule type="cellIs" dxfId="3013" priority="7706" stopIfTrue="1" operator="notEqual">
      <formula>0</formula>
    </cfRule>
  </conditionalFormatting>
  <conditionalFormatting sqref="L1567">
    <cfRule type="expression" dxfId="3012" priority="7707" stopIfTrue="1">
      <formula>OR($L$1567="F/S",$L$1567="")</formula>
    </cfRule>
    <cfRule type="cellIs" dxfId="3011" priority="7708" stopIfTrue="1" operator="notEqual">
      <formula>0</formula>
    </cfRule>
  </conditionalFormatting>
  <conditionalFormatting sqref="O1567">
    <cfRule type="expression" dxfId="3010" priority="7709" stopIfTrue="1">
      <formula>OR($O$1567="F/S",$O$1567="")</formula>
    </cfRule>
    <cfRule type="cellIs" dxfId="3009" priority="7710" stopIfTrue="1" operator="notEqual">
      <formula>0</formula>
    </cfRule>
  </conditionalFormatting>
  <conditionalFormatting sqref="L1577">
    <cfRule type="expression" dxfId="3008" priority="7711" stopIfTrue="1">
      <formula>OR($L$1577="F/S",$L$1577="")</formula>
    </cfRule>
    <cfRule type="cellIs" dxfId="3007" priority="7712" stopIfTrue="1" operator="notEqual">
      <formula>0</formula>
    </cfRule>
  </conditionalFormatting>
  <conditionalFormatting sqref="O1577">
    <cfRule type="expression" dxfId="3006" priority="7713" stopIfTrue="1">
      <formula>OR($O$1577="F/S",$O$1577="")</formula>
    </cfRule>
    <cfRule type="cellIs" dxfId="3005" priority="7714" stopIfTrue="1" operator="notEqual">
      <formula>0</formula>
    </cfRule>
  </conditionalFormatting>
  <conditionalFormatting sqref="L1365">
    <cfRule type="expression" dxfId="3004" priority="7715" stopIfTrue="1">
      <formula>OR($L$1365="F/S",$L$1365="")</formula>
    </cfRule>
    <cfRule type="cellIs" dxfId="3003" priority="7716" stopIfTrue="1" operator="notEqual">
      <formula>0</formula>
    </cfRule>
  </conditionalFormatting>
  <conditionalFormatting sqref="O1365">
    <cfRule type="expression" dxfId="3002" priority="7717" stopIfTrue="1">
      <formula>OR($O$1365="F/S",$O$1365="")</formula>
    </cfRule>
    <cfRule type="cellIs" dxfId="3001" priority="7718" stopIfTrue="1" operator="notEqual">
      <formula>0</formula>
    </cfRule>
  </conditionalFormatting>
  <conditionalFormatting sqref="L1387">
    <cfRule type="expression" dxfId="3000" priority="7719" stopIfTrue="1">
      <formula>OR($L$1387="F/S",$L$1387="")</formula>
    </cfRule>
    <cfRule type="cellIs" dxfId="2999" priority="7720" stopIfTrue="1" operator="notEqual">
      <formula>0</formula>
    </cfRule>
  </conditionalFormatting>
  <conditionalFormatting sqref="O1387">
    <cfRule type="expression" dxfId="2998" priority="7721" stopIfTrue="1">
      <formula>OR($O$1387="F/S",$O$1387="")</formula>
    </cfRule>
    <cfRule type="cellIs" dxfId="2997" priority="7722" stopIfTrue="1" operator="notEqual">
      <formula>0</formula>
    </cfRule>
  </conditionalFormatting>
  <conditionalFormatting sqref="L1587">
    <cfRule type="expression" dxfId="2996" priority="7723" stopIfTrue="1">
      <formula>OR($L$1587="F/S",$L$1587="")</formula>
    </cfRule>
    <cfRule type="cellIs" dxfId="2995" priority="7724" stopIfTrue="1" operator="notEqual">
      <formula>0</formula>
    </cfRule>
  </conditionalFormatting>
  <conditionalFormatting sqref="O1587">
    <cfRule type="expression" dxfId="2994" priority="7725" stopIfTrue="1">
      <formula>OR($O$1587="F/S",$O$1587="")</formula>
    </cfRule>
    <cfRule type="cellIs" dxfId="2993" priority="7726" stopIfTrue="1" operator="notEqual">
      <formula>0</formula>
    </cfRule>
  </conditionalFormatting>
  <conditionalFormatting sqref="L1428">
    <cfRule type="expression" dxfId="2992" priority="7727" stopIfTrue="1">
      <formula>OR($L$1428="F/S",$L$1428="")</formula>
    </cfRule>
    <cfRule type="cellIs" dxfId="2991" priority="7728" stopIfTrue="1" operator="notEqual">
      <formula>0</formula>
    </cfRule>
  </conditionalFormatting>
  <conditionalFormatting sqref="O1428">
    <cfRule type="expression" dxfId="2990" priority="7729" stopIfTrue="1">
      <formula>OR($O$1428="F/S",$O$1428="")</formula>
    </cfRule>
    <cfRule type="cellIs" dxfId="2989" priority="7730" stopIfTrue="1" operator="notEqual">
      <formula>0</formula>
    </cfRule>
  </conditionalFormatting>
  <conditionalFormatting sqref="L1449">
    <cfRule type="expression" dxfId="2988" priority="7731" stopIfTrue="1">
      <formula>OR($L$1449="F/S",$L$1449="")</formula>
    </cfRule>
    <cfRule type="cellIs" dxfId="2987" priority="7732" stopIfTrue="1" operator="notEqual">
      <formula>0</formula>
    </cfRule>
  </conditionalFormatting>
  <conditionalFormatting sqref="O1449">
    <cfRule type="expression" dxfId="2986" priority="7733" stopIfTrue="1">
      <formula>OR($O$1449="F/S",$O$1449="")</formula>
    </cfRule>
    <cfRule type="cellIs" dxfId="2985" priority="7734" stopIfTrue="1" operator="notEqual">
      <formula>0</formula>
    </cfRule>
  </conditionalFormatting>
  <conditionalFormatting sqref="L1459">
    <cfRule type="expression" dxfId="2984" priority="7735" stopIfTrue="1">
      <formula>OR($L$1459="F/S",$L$1459="")</formula>
    </cfRule>
    <cfRule type="cellIs" dxfId="2983" priority="7736" stopIfTrue="1" operator="notEqual">
      <formula>0</formula>
    </cfRule>
  </conditionalFormatting>
  <conditionalFormatting sqref="O1459">
    <cfRule type="expression" dxfId="2982" priority="7737" stopIfTrue="1">
      <formula>OR($O$1459="F/S",$O$1459="")</formula>
    </cfRule>
    <cfRule type="cellIs" dxfId="2981" priority="7738" stopIfTrue="1" operator="notEqual">
      <formula>0</formula>
    </cfRule>
  </conditionalFormatting>
  <conditionalFormatting sqref="L1597">
    <cfRule type="expression" dxfId="2980" priority="7739" stopIfTrue="1">
      <formula>OR($L$1597="F/S",$L$1597="")</formula>
    </cfRule>
    <cfRule type="cellIs" dxfId="2979" priority="7740" stopIfTrue="1" operator="notEqual">
      <formula>0</formula>
    </cfRule>
  </conditionalFormatting>
  <conditionalFormatting sqref="O1597">
    <cfRule type="expression" dxfId="2978" priority="7741" stopIfTrue="1">
      <formula>OR($O$1597="F/S",$O$1597="")</formula>
    </cfRule>
    <cfRule type="cellIs" dxfId="2977" priority="7742" stopIfTrue="1" operator="notEqual">
      <formula>0</formula>
    </cfRule>
  </conditionalFormatting>
  <conditionalFormatting sqref="L1607">
    <cfRule type="expression" dxfId="2976" priority="7747" stopIfTrue="1">
      <formula>OR($L$1607="F/S",$L$1607="")</formula>
    </cfRule>
    <cfRule type="cellIs" dxfId="2975" priority="7748" stopIfTrue="1" operator="notEqual">
      <formula>0</formula>
    </cfRule>
  </conditionalFormatting>
  <conditionalFormatting sqref="O1607">
    <cfRule type="expression" dxfId="2974" priority="7749" stopIfTrue="1">
      <formula>OR($O$1607="F/S",$O$1607="")</formula>
    </cfRule>
    <cfRule type="cellIs" dxfId="2973" priority="7750" stopIfTrue="1" operator="notEqual">
      <formula>0</formula>
    </cfRule>
  </conditionalFormatting>
  <conditionalFormatting sqref="L1617">
    <cfRule type="expression" dxfId="2972" priority="7751" stopIfTrue="1">
      <formula>OR($L$1617="F/S",$L$1617="")</formula>
    </cfRule>
    <cfRule type="cellIs" dxfId="2971" priority="7752" stopIfTrue="1" operator="notEqual">
      <formula>0</formula>
    </cfRule>
  </conditionalFormatting>
  <conditionalFormatting sqref="O1617">
    <cfRule type="expression" dxfId="2970" priority="7753" stopIfTrue="1">
      <formula>OR($O$1617="F/S",$O$1617="")</formula>
    </cfRule>
    <cfRule type="cellIs" dxfId="2969" priority="7754" stopIfTrue="1" operator="notEqual">
      <formula>0</formula>
    </cfRule>
  </conditionalFormatting>
  <conditionalFormatting sqref="L1636">
    <cfRule type="expression" dxfId="2968" priority="7755" stopIfTrue="1">
      <formula>OR($L$1636="F/S",$L$1636="")</formula>
    </cfRule>
    <cfRule type="cellIs" dxfId="2967" priority="7756" stopIfTrue="1" operator="notEqual">
      <formula>0</formula>
    </cfRule>
  </conditionalFormatting>
  <conditionalFormatting sqref="O1636">
    <cfRule type="expression" dxfId="2966" priority="7757" stopIfTrue="1">
      <formula>OR($O$1636="F/S",$O$1636="")</formula>
    </cfRule>
    <cfRule type="cellIs" dxfId="2965" priority="7758" stopIfTrue="1" operator="notEqual">
      <formula>0</formula>
    </cfRule>
  </conditionalFormatting>
  <conditionalFormatting sqref="L1655">
    <cfRule type="expression" dxfId="2964" priority="7759" stopIfTrue="1">
      <formula>OR($L$1655="F/S",$L$1655="")</formula>
    </cfRule>
    <cfRule type="cellIs" dxfId="2963" priority="7760" stopIfTrue="1" operator="notEqual">
      <formula>0</formula>
    </cfRule>
  </conditionalFormatting>
  <conditionalFormatting sqref="O1655">
    <cfRule type="expression" dxfId="2962" priority="7761" stopIfTrue="1">
      <formula>OR($O$1655="F/S",$O$1655="")</formula>
    </cfRule>
    <cfRule type="cellIs" dxfId="2961" priority="7762" stopIfTrue="1" operator="notEqual">
      <formula>0</formula>
    </cfRule>
  </conditionalFormatting>
  <conditionalFormatting sqref="L1665">
    <cfRule type="expression" dxfId="2960" priority="7763" stopIfTrue="1">
      <formula>OR($L$1665="F/S",$L$1665="")</formula>
    </cfRule>
    <cfRule type="cellIs" dxfId="2959" priority="7764" stopIfTrue="1" operator="notEqual">
      <formula>0</formula>
    </cfRule>
  </conditionalFormatting>
  <conditionalFormatting sqref="O1665">
    <cfRule type="expression" dxfId="2958" priority="7765" stopIfTrue="1">
      <formula>OR($O$1665="F/S",$O$1665="")</formula>
    </cfRule>
    <cfRule type="cellIs" dxfId="2957" priority="7766" stopIfTrue="1" operator="notEqual">
      <formula>0</formula>
    </cfRule>
  </conditionalFormatting>
  <conditionalFormatting sqref="L1736">
    <cfRule type="expression" dxfId="2956" priority="7767" stopIfTrue="1">
      <formula>OR($L$1736="F/S",$L$1736="")</formula>
    </cfRule>
    <cfRule type="cellIs" dxfId="2955" priority="7768" stopIfTrue="1" operator="notEqual">
      <formula>0</formula>
    </cfRule>
  </conditionalFormatting>
  <conditionalFormatting sqref="O1736">
    <cfRule type="expression" dxfId="2954" priority="7769" stopIfTrue="1">
      <formula>OR($O$1736="F/S",$O$1736="")</formula>
    </cfRule>
    <cfRule type="cellIs" dxfId="2953" priority="7770" stopIfTrue="1" operator="notEqual">
      <formula>0</formula>
    </cfRule>
  </conditionalFormatting>
  <conditionalFormatting sqref="L1682">
    <cfRule type="expression" dxfId="2952" priority="7771" stopIfTrue="1">
      <formula>OR($L$1682="F/S",$L$1682="")</formula>
    </cfRule>
    <cfRule type="cellIs" dxfId="2951" priority="7772" stopIfTrue="1" operator="notEqual">
      <formula>0</formula>
    </cfRule>
  </conditionalFormatting>
  <conditionalFormatting sqref="O1682">
    <cfRule type="expression" dxfId="2950" priority="7773" stopIfTrue="1">
      <formula>OR($O$1682="F/S",$O$1682="")</formula>
    </cfRule>
    <cfRule type="cellIs" dxfId="2949" priority="7774" stopIfTrue="1" operator="notEqual">
      <formula>0</formula>
    </cfRule>
  </conditionalFormatting>
  <conditionalFormatting sqref="L1699">
    <cfRule type="expression" dxfId="2948" priority="7775" stopIfTrue="1">
      <formula>OR($L$1699="F/S",$L$1699="")</formula>
    </cfRule>
    <cfRule type="cellIs" dxfId="2947" priority="7776" stopIfTrue="1" operator="notEqual">
      <formula>0</formula>
    </cfRule>
  </conditionalFormatting>
  <conditionalFormatting sqref="O1699">
    <cfRule type="expression" dxfId="2946" priority="7777" stopIfTrue="1">
      <formula>OR($O$1699="F/S",$O$1699="")</formula>
    </cfRule>
    <cfRule type="cellIs" dxfId="2945" priority="7778" stopIfTrue="1" operator="notEqual">
      <formula>0</formula>
    </cfRule>
  </conditionalFormatting>
  <conditionalFormatting sqref="L1716">
    <cfRule type="expression" dxfId="2944" priority="7779" stopIfTrue="1">
      <formula>OR($L$1716="F/S",$L$1716="")</formula>
    </cfRule>
    <cfRule type="cellIs" dxfId="2943" priority="7780" stopIfTrue="1" operator="notEqual">
      <formula>0</formula>
    </cfRule>
  </conditionalFormatting>
  <conditionalFormatting sqref="O1716">
    <cfRule type="expression" dxfId="2942" priority="7781" stopIfTrue="1">
      <formula>OR($O$1716="F/S",$O$1716="")</formula>
    </cfRule>
    <cfRule type="cellIs" dxfId="2941" priority="7782" stopIfTrue="1" operator="notEqual">
      <formula>0</formula>
    </cfRule>
  </conditionalFormatting>
  <conditionalFormatting sqref="L1726">
    <cfRule type="expression" dxfId="2940" priority="7783" stopIfTrue="1">
      <formula>OR($L$1726="F/S",$L$1726="")</formula>
    </cfRule>
    <cfRule type="cellIs" dxfId="2939" priority="7784" stopIfTrue="1" operator="notEqual">
      <formula>0</formula>
    </cfRule>
  </conditionalFormatting>
  <conditionalFormatting sqref="O1726">
    <cfRule type="expression" dxfId="2938" priority="7785" stopIfTrue="1">
      <formula>OR($O$1726="F/S",$O$1726="")</formula>
    </cfRule>
    <cfRule type="cellIs" dxfId="2937" priority="7786" stopIfTrue="1" operator="notEqual">
      <formula>0</formula>
    </cfRule>
  </conditionalFormatting>
  <conditionalFormatting sqref="L1753">
    <cfRule type="expression" dxfId="2936" priority="7787" stopIfTrue="1">
      <formula>OR($L$1753="F/S",$L$1753="")</formula>
    </cfRule>
    <cfRule type="cellIs" dxfId="2935" priority="7788" stopIfTrue="1" operator="notEqual">
      <formula>0</formula>
    </cfRule>
  </conditionalFormatting>
  <conditionalFormatting sqref="O1753">
    <cfRule type="expression" dxfId="2934" priority="7789" stopIfTrue="1">
      <formula>OR($O$1753="F/S",$O$1753="")</formula>
    </cfRule>
    <cfRule type="cellIs" dxfId="2933" priority="7790" stopIfTrue="1" operator="notEqual">
      <formula>0</formula>
    </cfRule>
  </conditionalFormatting>
  <conditionalFormatting sqref="L1774">
    <cfRule type="expression" dxfId="2932" priority="7795" stopIfTrue="1">
      <formula>OR($L$1774="F/S",$L$1774="")</formula>
    </cfRule>
    <cfRule type="cellIs" dxfId="2931" priority="7796" stopIfTrue="1" operator="notEqual">
      <formula>0</formula>
    </cfRule>
  </conditionalFormatting>
  <conditionalFormatting sqref="O1774">
    <cfRule type="expression" dxfId="2930" priority="7797" stopIfTrue="1">
      <formula>OR($O$1774="F/S",$O$1774="")</formula>
    </cfRule>
    <cfRule type="cellIs" dxfId="2929" priority="7798" stopIfTrue="1" operator="notEqual">
      <formula>0</formula>
    </cfRule>
  </conditionalFormatting>
  <conditionalFormatting sqref="L1764">
    <cfRule type="expression" dxfId="2928" priority="7803" stopIfTrue="1">
      <formula>OR($L$1764="F/S",$L$1764="")</formula>
    </cfRule>
    <cfRule type="cellIs" dxfId="2927" priority="7804" stopIfTrue="1" operator="notEqual">
      <formula>0</formula>
    </cfRule>
  </conditionalFormatting>
  <conditionalFormatting sqref="O1764">
    <cfRule type="expression" dxfId="2926" priority="7805" stopIfTrue="1">
      <formula>OR($O$1764="F/S",$O$1764="")</formula>
    </cfRule>
    <cfRule type="cellIs" dxfId="2925" priority="7806" stopIfTrue="1" operator="notEqual">
      <formula>0</formula>
    </cfRule>
  </conditionalFormatting>
  <conditionalFormatting sqref="L1790">
    <cfRule type="expression" dxfId="2924" priority="7819" stopIfTrue="1">
      <formula>OR($L$1790="F/S",$L$1790="")</formula>
    </cfRule>
    <cfRule type="cellIs" dxfId="2923" priority="7820" stopIfTrue="1" operator="notEqual">
      <formula>0</formula>
    </cfRule>
  </conditionalFormatting>
  <conditionalFormatting sqref="O1790">
    <cfRule type="expression" dxfId="2922" priority="7821" stopIfTrue="1">
      <formula>OR($O$1790="F/S",$O$1790="")</formula>
    </cfRule>
    <cfRule type="cellIs" dxfId="2921" priority="7822" stopIfTrue="1" operator="notEqual">
      <formula>0</formula>
    </cfRule>
  </conditionalFormatting>
  <conditionalFormatting sqref="L1799">
    <cfRule type="expression" dxfId="2920" priority="7823" stopIfTrue="1">
      <formula>OR($L$1799="F/S",$L$1799="")</formula>
    </cfRule>
    <cfRule type="cellIs" dxfId="2919" priority="7824" stopIfTrue="1" operator="notEqual">
      <formula>0</formula>
    </cfRule>
  </conditionalFormatting>
  <conditionalFormatting sqref="O1799">
    <cfRule type="expression" dxfId="2918" priority="7825" stopIfTrue="1">
      <formula>OR($O$1799="F/S",$O$1799="")</formula>
    </cfRule>
    <cfRule type="cellIs" dxfId="2917" priority="7826" stopIfTrue="1" operator="notEqual">
      <formula>0</formula>
    </cfRule>
  </conditionalFormatting>
  <conditionalFormatting sqref="L1812">
    <cfRule type="expression" dxfId="2916" priority="7827" stopIfTrue="1">
      <formula>OR($L$1812="F/S",$L$1812="")</formula>
    </cfRule>
    <cfRule type="cellIs" dxfId="2915" priority="7828" stopIfTrue="1" operator="notEqual">
      <formula>0</formula>
    </cfRule>
  </conditionalFormatting>
  <conditionalFormatting sqref="O1812">
    <cfRule type="expression" dxfId="2914" priority="7829" stopIfTrue="1">
      <formula>OR($O$1812="F/S",$O$1812="")</formula>
    </cfRule>
    <cfRule type="cellIs" dxfId="2913" priority="7830" stopIfTrue="1" operator="notEqual">
      <formula>0</formula>
    </cfRule>
  </conditionalFormatting>
  <conditionalFormatting sqref="L1823">
    <cfRule type="expression" dxfId="2912" priority="7831" stopIfTrue="1">
      <formula>OR($L$1823="F/S",$L$1823="")</formula>
    </cfRule>
    <cfRule type="cellIs" dxfId="2911" priority="7832" stopIfTrue="1" operator="notEqual">
      <formula>0</formula>
    </cfRule>
  </conditionalFormatting>
  <conditionalFormatting sqref="O1823">
    <cfRule type="expression" dxfId="2910" priority="7833" stopIfTrue="1">
      <formula>OR($O$1823="F/S",$O$1823="")</formula>
    </cfRule>
    <cfRule type="cellIs" dxfId="2909" priority="7834" stopIfTrue="1" operator="notEqual">
      <formula>0</formula>
    </cfRule>
  </conditionalFormatting>
  <conditionalFormatting sqref="L1838">
    <cfRule type="expression" dxfId="2908" priority="7835" stopIfTrue="1">
      <formula>OR($L$1838="F/S",$L$1838="")</formula>
    </cfRule>
    <cfRule type="cellIs" dxfId="2907" priority="7836" stopIfTrue="1" operator="notEqual">
      <formula>0</formula>
    </cfRule>
  </conditionalFormatting>
  <conditionalFormatting sqref="O1838">
    <cfRule type="expression" dxfId="2906" priority="7837" stopIfTrue="1">
      <formula>OR($O$1838="F/S",$O$1838="")</formula>
    </cfRule>
    <cfRule type="cellIs" dxfId="2905" priority="7838" stopIfTrue="1" operator="notEqual">
      <formula>0</formula>
    </cfRule>
  </conditionalFormatting>
  <conditionalFormatting sqref="L1853">
    <cfRule type="expression" dxfId="2904" priority="7839" stopIfTrue="1">
      <formula>OR($L$1853="F/S",$L$1853="")</formula>
    </cfRule>
    <cfRule type="cellIs" dxfId="2903" priority="7840" stopIfTrue="1" operator="notEqual">
      <formula>0</formula>
    </cfRule>
  </conditionalFormatting>
  <conditionalFormatting sqref="O1853">
    <cfRule type="expression" dxfId="2902" priority="7841" stopIfTrue="1">
      <formula>OR($O$1853="F/S",$O$1853="")</formula>
    </cfRule>
    <cfRule type="cellIs" dxfId="2901" priority="7842" stopIfTrue="1" operator="notEqual">
      <formula>0</formula>
    </cfRule>
  </conditionalFormatting>
  <conditionalFormatting sqref="L1927">
    <cfRule type="expression" dxfId="2900" priority="7855" stopIfTrue="1">
      <formula>OR($L$1927="F/S",$L$1927="")</formula>
    </cfRule>
    <cfRule type="cellIs" dxfId="2899" priority="7856" stopIfTrue="1" operator="notEqual">
      <formula>0</formula>
    </cfRule>
  </conditionalFormatting>
  <conditionalFormatting sqref="O1927">
    <cfRule type="expression" dxfId="2898" priority="7857" stopIfTrue="1">
      <formula>OR($O$1927="F/S",$O$1927="")</formula>
    </cfRule>
    <cfRule type="cellIs" dxfId="2897" priority="7858" stopIfTrue="1" operator="notEqual">
      <formula>0</formula>
    </cfRule>
  </conditionalFormatting>
  <conditionalFormatting sqref="L1869">
    <cfRule type="expression" dxfId="2896" priority="7859" stopIfTrue="1">
      <formula>OR($L$1869="F/S",$L$1869="")</formula>
    </cfRule>
    <cfRule type="cellIs" dxfId="2895" priority="7860" stopIfTrue="1" operator="notEqual">
      <formula>0</formula>
    </cfRule>
  </conditionalFormatting>
  <conditionalFormatting sqref="O1869">
    <cfRule type="expression" dxfId="2894" priority="7861" stopIfTrue="1">
      <formula>OR($O$1869="F/S",$O$1869="")</formula>
    </cfRule>
    <cfRule type="cellIs" dxfId="2893" priority="7862" stopIfTrue="1" operator="notEqual">
      <formula>0</formula>
    </cfRule>
  </conditionalFormatting>
  <conditionalFormatting sqref="L1882">
    <cfRule type="expression" dxfId="2892" priority="7863" stopIfTrue="1">
      <formula>OR($L$1882="F/S",$L$1882="")</formula>
    </cfRule>
    <cfRule type="cellIs" dxfId="2891" priority="7864" stopIfTrue="1" operator="notEqual">
      <formula>0</formula>
    </cfRule>
  </conditionalFormatting>
  <conditionalFormatting sqref="O1882">
    <cfRule type="expression" dxfId="2890" priority="7865" stopIfTrue="1">
      <formula>OR($O$1882="F/S",$O$1882="")</formula>
    </cfRule>
    <cfRule type="cellIs" dxfId="2889" priority="7866" stopIfTrue="1" operator="notEqual">
      <formula>0</formula>
    </cfRule>
  </conditionalFormatting>
  <conditionalFormatting sqref="L1895">
    <cfRule type="expression" dxfId="2888" priority="7867" stopIfTrue="1">
      <formula>OR($L$1895="F/S",$L$1895="")</formula>
    </cfRule>
    <cfRule type="cellIs" dxfId="2887" priority="7868" stopIfTrue="1" operator="notEqual">
      <formula>0</formula>
    </cfRule>
  </conditionalFormatting>
  <conditionalFormatting sqref="O1895">
    <cfRule type="expression" dxfId="2886" priority="7869" stopIfTrue="1">
      <formula>OR($O$1895="F/S",$O$1895="")</formula>
    </cfRule>
    <cfRule type="cellIs" dxfId="2885" priority="7870" stopIfTrue="1" operator="notEqual">
      <formula>0</formula>
    </cfRule>
  </conditionalFormatting>
  <conditionalFormatting sqref="L1908">
    <cfRule type="expression" dxfId="2884" priority="7871" stopIfTrue="1">
      <formula>OR($L$1908="F/S",$L$1908="")</formula>
    </cfRule>
    <cfRule type="cellIs" dxfId="2883" priority="7872" stopIfTrue="1" operator="notEqual">
      <formula>0</formula>
    </cfRule>
  </conditionalFormatting>
  <conditionalFormatting sqref="O1908">
    <cfRule type="expression" dxfId="2882" priority="7873" stopIfTrue="1">
      <formula>OR($O$1908="F/S",$O$1908="")</formula>
    </cfRule>
    <cfRule type="cellIs" dxfId="2881" priority="7874" stopIfTrue="1" operator="notEqual">
      <formula>0</formula>
    </cfRule>
  </conditionalFormatting>
  <conditionalFormatting sqref="L1947">
    <cfRule type="expression" dxfId="2880" priority="7875" stopIfTrue="1">
      <formula>OR($L$1947="F/S",$L$1947="")</formula>
    </cfRule>
    <cfRule type="cellIs" dxfId="2879" priority="7876" stopIfTrue="1" operator="notEqual">
      <formula>0</formula>
    </cfRule>
  </conditionalFormatting>
  <conditionalFormatting sqref="O1947">
    <cfRule type="expression" dxfId="2878" priority="7877" stopIfTrue="1">
      <formula>OR($O$1947="F/S",$O$1947="")</formula>
    </cfRule>
    <cfRule type="cellIs" dxfId="2877" priority="7878" stopIfTrue="1" operator="notEqual">
      <formula>0</formula>
    </cfRule>
  </conditionalFormatting>
  <conditionalFormatting sqref="L1971">
    <cfRule type="expression" dxfId="2876" priority="7883" stopIfTrue="1">
      <formula>OR($L$1971="F/S",$L$1971="")</formula>
    </cfRule>
    <cfRule type="cellIs" dxfId="2875" priority="7884" stopIfTrue="1" operator="notEqual">
      <formula>0</formula>
    </cfRule>
  </conditionalFormatting>
  <conditionalFormatting sqref="O1971">
    <cfRule type="expression" dxfId="2874" priority="7885" stopIfTrue="1">
      <formula>OR($O$1971="F/S",$O$1971="")</formula>
    </cfRule>
    <cfRule type="cellIs" dxfId="2873" priority="7886" stopIfTrue="1" operator="notEqual">
      <formula>0</formula>
    </cfRule>
  </conditionalFormatting>
  <conditionalFormatting sqref="L1986">
    <cfRule type="expression" dxfId="2872" priority="7887" stopIfTrue="1">
      <formula>OR($L$1986="F/S",$L$1986="")</formula>
    </cfRule>
    <cfRule type="cellIs" dxfId="2871" priority="7888" stopIfTrue="1" operator="notEqual">
      <formula>0</formula>
    </cfRule>
  </conditionalFormatting>
  <conditionalFormatting sqref="O1986">
    <cfRule type="expression" dxfId="2870" priority="7889" stopIfTrue="1">
      <formula>OR($O$1986="F/S",$O$1986="")</formula>
    </cfRule>
    <cfRule type="cellIs" dxfId="2869" priority="7890" stopIfTrue="1" operator="notEqual">
      <formula>0</formula>
    </cfRule>
  </conditionalFormatting>
  <conditionalFormatting sqref="L2001">
    <cfRule type="expression" dxfId="2868" priority="7891" stopIfTrue="1">
      <formula>OR($L$2001="F/S",$L$2001="")</formula>
    </cfRule>
    <cfRule type="cellIs" dxfId="2867" priority="7892" stopIfTrue="1" operator="notEqual">
      <formula>0</formula>
    </cfRule>
  </conditionalFormatting>
  <conditionalFormatting sqref="O2001">
    <cfRule type="expression" dxfId="2866" priority="7893" stopIfTrue="1">
      <formula>OR($O$2001="F/S",$O$2001="")</formula>
    </cfRule>
    <cfRule type="cellIs" dxfId="2865" priority="7894" stopIfTrue="1" operator="notEqual">
      <formula>0</formula>
    </cfRule>
  </conditionalFormatting>
  <conditionalFormatting sqref="L2021">
    <cfRule type="expression" dxfId="2864" priority="7895" stopIfTrue="1">
      <formula>OR($L$2021="F/S",$L$2021="")</formula>
    </cfRule>
    <cfRule type="cellIs" dxfId="2863" priority="7896" stopIfTrue="1" operator="notEqual">
      <formula>0</formula>
    </cfRule>
  </conditionalFormatting>
  <conditionalFormatting sqref="O2021">
    <cfRule type="expression" dxfId="2862" priority="7897" stopIfTrue="1">
      <formula>OR($O$2021="F/S",$O$2021="")</formula>
    </cfRule>
    <cfRule type="cellIs" dxfId="2861" priority="7898" stopIfTrue="1" operator="notEqual">
      <formula>0</formula>
    </cfRule>
  </conditionalFormatting>
  <conditionalFormatting sqref="L1961">
    <cfRule type="expression" dxfId="2860" priority="7899" stopIfTrue="1">
      <formula>OR($L$1961="F/S",$L$1961="")</formula>
    </cfRule>
    <cfRule type="cellIs" dxfId="2859" priority="7900" stopIfTrue="1" operator="notEqual">
      <formula>0</formula>
    </cfRule>
  </conditionalFormatting>
  <conditionalFormatting sqref="O1961">
    <cfRule type="expression" dxfId="2858" priority="7901" stopIfTrue="1">
      <formula>OR($O$1961="F/S",$O$1961="")</formula>
    </cfRule>
    <cfRule type="cellIs" dxfId="2857" priority="7902" stopIfTrue="1" operator="notEqual">
      <formula>0</formula>
    </cfRule>
  </conditionalFormatting>
  <conditionalFormatting sqref="L2013">
    <cfRule type="expression" dxfId="2856" priority="7907" stopIfTrue="1">
      <formula>OR($L$2013="F/S",$L$2013="")</formula>
    </cfRule>
    <cfRule type="cellIs" dxfId="2855" priority="7908" stopIfTrue="1" operator="notEqual">
      <formula>0</formula>
    </cfRule>
  </conditionalFormatting>
  <conditionalFormatting sqref="O2013">
    <cfRule type="expression" dxfId="2854" priority="7909" stopIfTrue="1">
      <formula>OR($O$2013="F/S",$O$2013="")</formula>
    </cfRule>
    <cfRule type="cellIs" dxfId="2853" priority="7910" stopIfTrue="1" operator="notEqual">
      <formula>0</formula>
    </cfRule>
  </conditionalFormatting>
  <conditionalFormatting sqref="L2032">
    <cfRule type="expression" dxfId="2852" priority="7911" stopIfTrue="1">
      <formula>OR($L$2032="F/S",$L$2032="")</formula>
    </cfRule>
    <cfRule type="cellIs" dxfId="2851" priority="7912" stopIfTrue="1" operator="notEqual">
      <formula>0</formula>
    </cfRule>
  </conditionalFormatting>
  <conditionalFormatting sqref="O2032">
    <cfRule type="expression" dxfId="2850" priority="7913" stopIfTrue="1">
      <formula>OR($O$2032="F/S",$O$2032="")</formula>
    </cfRule>
    <cfRule type="cellIs" dxfId="2849" priority="7914" stopIfTrue="1" operator="notEqual">
      <formula>0</formula>
    </cfRule>
  </conditionalFormatting>
  <conditionalFormatting sqref="L2048">
    <cfRule type="expression" dxfId="2848" priority="7915" stopIfTrue="1">
      <formula>OR($L$2048="F/S",$L$2048="")</formula>
    </cfRule>
    <cfRule type="cellIs" dxfId="2847" priority="7916" stopIfTrue="1" operator="notEqual">
      <formula>0</formula>
    </cfRule>
  </conditionalFormatting>
  <conditionalFormatting sqref="O2048">
    <cfRule type="expression" dxfId="2846" priority="7917" stopIfTrue="1">
      <formula>OR($O$2048="F/S",$O$2048="")</formula>
    </cfRule>
    <cfRule type="cellIs" dxfId="2845" priority="7918" stopIfTrue="1" operator="notEqual">
      <formula>0</formula>
    </cfRule>
  </conditionalFormatting>
  <conditionalFormatting sqref="L2063">
    <cfRule type="expression" dxfId="2844" priority="7919" stopIfTrue="1">
      <formula>OR($L$2063="F/S",$L$2063="")</formula>
    </cfRule>
    <cfRule type="cellIs" dxfId="2843" priority="7920" stopIfTrue="1" operator="notEqual">
      <formula>0</formula>
    </cfRule>
  </conditionalFormatting>
  <conditionalFormatting sqref="O2063">
    <cfRule type="expression" dxfId="2842" priority="7921" stopIfTrue="1">
      <formula>OR($O$2063="F/S",$O$2063="")</formula>
    </cfRule>
    <cfRule type="cellIs" dxfId="2841" priority="7922" stopIfTrue="1" operator="notEqual">
      <formula>0</formula>
    </cfRule>
  </conditionalFormatting>
  <conditionalFormatting sqref="L2137">
    <cfRule type="expression" dxfId="2840" priority="7935" stopIfTrue="1">
      <formula>OR($L$2137="F/S",$L$2137="")</formula>
    </cfRule>
    <cfRule type="cellIs" dxfId="2839" priority="7936" stopIfTrue="1" operator="notEqual">
      <formula>0</formula>
    </cfRule>
  </conditionalFormatting>
  <conditionalFormatting sqref="O2137">
    <cfRule type="expression" dxfId="2838" priority="7937" stopIfTrue="1">
      <formula>OR($O$2137="F/S",$O$2137="")</formula>
    </cfRule>
    <cfRule type="cellIs" dxfId="2837" priority="7938" stopIfTrue="1" operator="notEqual">
      <formula>0</formula>
    </cfRule>
  </conditionalFormatting>
  <conditionalFormatting sqref="L2079">
    <cfRule type="expression" dxfId="2836" priority="7939" stopIfTrue="1">
      <formula>OR($L$2079="F/S",$L$2079="")</formula>
    </cfRule>
    <cfRule type="cellIs" dxfId="2835" priority="7940" stopIfTrue="1" operator="notEqual">
      <formula>0</formula>
    </cfRule>
  </conditionalFormatting>
  <conditionalFormatting sqref="O2079">
    <cfRule type="expression" dxfId="2834" priority="7941" stopIfTrue="1">
      <formula>OR($O$2079="F/S",$O$2079="")</formula>
    </cfRule>
    <cfRule type="cellIs" dxfId="2833" priority="7942" stopIfTrue="1" operator="notEqual">
      <formula>0</formula>
    </cfRule>
  </conditionalFormatting>
  <conditionalFormatting sqref="L2092">
    <cfRule type="expression" dxfId="2832" priority="7943" stopIfTrue="1">
      <formula>OR($L$2092="F/S",$L$2092="")</formula>
    </cfRule>
    <cfRule type="cellIs" dxfId="2831" priority="7944" stopIfTrue="1" operator="notEqual">
      <formula>0</formula>
    </cfRule>
  </conditionalFormatting>
  <conditionalFormatting sqref="O2092">
    <cfRule type="expression" dxfId="2830" priority="7945" stopIfTrue="1">
      <formula>OR($O$2092="F/S",$O$2092="")</formula>
    </cfRule>
    <cfRule type="cellIs" dxfId="2829" priority="7946" stopIfTrue="1" operator="notEqual">
      <formula>0</formula>
    </cfRule>
  </conditionalFormatting>
  <conditionalFormatting sqref="L2105">
    <cfRule type="expression" dxfId="2828" priority="7947" stopIfTrue="1">
      <formula>OR($L$2105="F/S",$L$2105="")</formula>
    </cfRule>
    <cfRule type="cellIs" dxfId="2827" priority="7948" stopIfTrue="1" operator="notEqual">
      <formula>0</formula>
    </cfRule>
  </conditionalFormatting>
  <conditionalFormatting sqref="O2105">
    <cfRule type="expression" dxfId="2826" priority="7949" stopIfTrue="1">
      <formula>OR($O$2105="F/S",$O$2105="")</formula>
    </cfRule>
    <cfRule type="cellIs" dxfId="2825" priority="7950" stopIfTrue="1" operator="notEqual">
      <formula>0</formula>
    </cfRule>
  </conditionalFormatting>
  <conditionalFormatting sqref="L2118">
    <cfRule type="expression" dxfId="2824" priority="7951" stopIfTrue="1">
      <formula>OR($L$2118="F/S",$L$2118="")</formula>
    </cfRule>
    <cfRule type="cellIs" dxfId="2823" priority="7952" stopIfTrue="1" operator="notEqual">
      <formula>0</formula>
    </cfRule>
  </conditionalFormatting>
  <conditionalFormatting sqref="O2118">
    <cfRule type="expression" dxfId="2822" priority="7953" stopIfTrue="1">
      <formula>OR($O$2118="F/S",$O$2118="")</formula>
    </cfRule>
    <cfRule type="cellIs" dxfId="2821" priority="7954" stopIfTrue="1" operator="notEqual">
      <formula>0</formula>
    </cfRule>
  </conditionalFormatting>
  <conditionalFormatting sqref="L2157">
    <cfRule type="expression" dxfId="2820" priority="7955" stopIfTrue="1">
      <formula>OR($L$2157="F/S",$L$2157="")</formula>
    </cfRule>
    <cfRule type="cellIs" dxfId="2819" priority="7956" stopIfTrue="1" operator="notEqual">
      <formula>0</formula>
    </cfRule>
  </conditionalFormatting>
  <conditionalFormatting sqref="O2157">
    <cfRule type="expression" dxfId="2818" priority="7957" stopIfTrue="1">
      <formula>OR($O$2157="F/S",$O$2157="")</formula>
    </cfRule>
    <cfRule type="cellIs" dxfId="2817" priority="7958" stopIfTrue="1" operator="notEqual">
      <formula>0</formula>
    </cfRule>
  </conditionalFormatting>
  <conditionalFormatting sqref="L2171">
    <cfRule type="expression" dxfId="2816" priority="7959" stopIfTrue="1">
      <formula>OR($L$2171="F/S",$L$2171="")</formula>
    </cfRule>
    <cfRule type="cellIs" dxfId="2815" priority="7960" stopIfTrue="1" operator="notEqual">
      <formula>0</formula>
    </cfRule>
  </conditionalFormatting>
  <conditionalFormatting sqref="O2171">
    <cfRule type="expression" dxfId="2814" priority="7961" stopIfTrue="1">
      <formula>OR($O$2171="F/S",$O$2171="")</formula>
    </cfRule>
    <cfRule type="cellIs" dxfId="2813" priority="7962" stopIfTrue="1" operator="notEqual">
      <formula>0</formula>
    </cfRule>
  </conditionalFormatting>
  <conditionalFormatting sqref="L2181">
    <cfRule type="expression" dxfId="2812" priority="7963" stopIfTrue="1">
      <formula>OR($L$2181="F/S",$L$2181="")</formula>
    </cfRule>
    <cfRule type="cellIs" dxfId="2811" priority="7964" stopIfTrue="1" operator="notEqual">
      <formula>0</formula>
    </cfRule>
  </conditionalFormatting>
  <conditionalFormatting sqref="O2181">
    <cfRule type="expression" dxfId="2810" priority="7965" stopIfTrue="1">
      <formula>OR($O$2181="F/S",$O$2181="")</formula>
    </cfRule>
    <cfRule type="cellIs" dxfId="2809" priority="7966" stopIfTrue="1" operator="notEqual">
      <formula>0</formula>
    </cfRule>
  </conditionalFormatting>
  <conditionalFormatting sqref="L2202">
    <cfRule type="expression" dxfId="2808" priority="7967" stopIfTrue="1">
      <formula>OR($L$2202="F/S",$L$2202="")</formula>
    </cfRule>
    <cfRule type="cellIs" dxfId="2807" priority="7968" stopIfTrue="1" operator="notEqual">
      <formula>0</formula>
    </cfRule>
  </conditionalFormatting>
  <conditionalFormatting sqref="O2202">
    <cfRule type="expression" dxfId="2806" priority="7969" stopIfTrue="1">
      <formula>OR($O$2202="F/S",$O$2202="")</formula>
    </cfRule>
    <cfRule type="cellIs" dxfId="2805" priority="7970" stopIfTrue="1" operator="notEqual">
      <formula>0</formula>
    </cfRule>
  </conditionalFormatting>
  <conditionalFormatting sqref="L2234">
    <cfRule type="expression" dxfId="2804" priority="7971" stopIfTrue="1">
      <formula>OR($L$2234="F/S",$L$2234="")</formula>
    </cfRule>
    <cfRule type="cellIs" dxfId="2803" priority="7972" stopIfTrue="1" operator="notEqual">
      <formula>0</formula>
    </cfRule>
  </conditionalFormatting>
  <conditionalFormatting sqref="O2234">
    <cfRule type="expression" dxfId="2802" priority="7973" stopIfTrue="1">
      <formula>OR($O$2234="F/S",$O$2234="")</formula>
    </cfRule>
    <cfRule type="cellIs" dxfId="2801" priority="7974" stopIfTrue="1" operator="notEqual">
      <formula>0</formula>
    </cfRule>
  </conditionalFormatting>
  <conditionalFormatting sqref="L2247">
    <cfRule type="expression" dxfId="2800" priority="7975" stopIfTrue="1">
      <formula>OR($L$2247="F/S",$L$2247="")</formula>
    </cfRule>
    <cfRule type="cellIs" dxfId="2799" priority="7976" stopIfTrue="1" operator="notEqual">
      <formula>0</formula>
    </cfRule>
  </conditionalFormatting>
  <conditionalFormatting sqref="O2247">
    <cfRule type="expression" dxfId="2798" priority="7977" stopIfTrue="1">
      <formula>OR($O$2247="F/S",$O$2247="")</formula>
    </cfRule>
    <cfRule type="cellIs" dxfId="2797" priority="7978" stopIfTrue="1" operator="notEqual">
      <formula>0</formula>
    </cfRule>
  </conditionalFormatting>
  <conditionalFormatting sqref="L2260">
    <cfRule type="expression" dxfId="2796" priority="7979" stopIfTrue="1">
      <formula>OR($L$2260="F/S",$L$2260="")</formula>
    </cfRule>
    <cfRule type="cellIs" dxfId="2795" priority="7980" stopIfTrue="1" operator="notEqual">
      <formula>0</formula>
    </cfRule>
  </conditionalFormatting>
  <conditionalFormatting sqref="O2260">
    <cfRule type="expression" dxfId="2794" priority="7981" stopIfTrue="1">
      <formula>OR($O$2260="F/S",$O$2260="")</formula>
    </cfRule>
    <cfRule type="cellIs" dxfId="2793" priority="7982" stopIfTrue="1" operator="notEqual">
      <formula>0</formula>
    </cfRule>
  </conditionalFormatting>
  <conditionalFormatting sqref="L2315">
    <cfRule type="expression" dxfId="2792" priority="7987" stopIfTrue="1">
      <formula>OR($L$2315="F/S",$L$2315="")</formula>
    </cfRule>
    <cfRule type="cellIs" dxfId="2791" priority="7988" stopIfTrue="1" operator="notEqual">
      <formula>0</formula>
    </cfRule>
  </conditionalFormatting>
  <conditionalFormatting sqref="O2315">
    <cfRule type="expression" dxfId="2790" priority="7989" stopIfTrue="1">
      <formula>OR($O$2315="F/S",$O$2315="")</formula>
    </cfRule>
    <cfRule type="cellIs" dxfId="2789" priority="7990" stopIfTrue="1" operator="notEqual">
      <formula>0</formula>
    </cfRule>
  </conditionalFormatting>
  <conditionalFormatting sqref="L2273">
    <cfRule type="expression" dxfId="2788" priority="7999" stopIfTrue="1">
      <formula>OR($L$2273="F/S",$L$2273="")</formula>
    </cfRule>
    <cfRule type="cellIs" dxfId="2787" priority="8000" stopIfTrue="1" operator="notEqual">
      <formula>0</formula>
    </cfRule>
  </conditionalFormatting>
  <conditionalFormatting sqref="O2273">
    <cfRule type="expression" dxfId="2786" priority="8001" stopIfTrue="1">
      <formula>OR($O$2273="F/S",$O$2273="")</formula>
    </cfRule>
    <cfRule type="cellIs" dxfId="2785" priority="8002" stopIfTrue="1" operator="notEqual">
      <formula>0</formula>
    </cfRule>
  </conditionalFormatting>
  <conditionalFormatting sqref="L2293">
    <cfRule type="expression" dxfId="2784" priority="8003" stopIfTrue="1">
      <formula>OR($L$2293="F/S",$L$2293="")</formula>
    </cfRule>
    <cfRule type="cellIs" dxfId="2783" priority="8004" stopIfTrue="1" operator="notEqual">
      <formula>0</formula>
    </cfRule>
  </conditionalFormatting>
  <conditionalFormatting sqref="O2293">
    <cfRule type="expression" dxfId="2782" priority="8005" stopIfTrue="1">
      <formula>OR($O$2293="F/S",$O$2293="")</formula>
    </cfRule>
    <cfRule type="cellIs" dxfId="2781" priority="8006" stopIfTrue="1" operator="notEqual">
      <formula>0</formula>
    </cfRule>
  </conditionalFormatting>
  <conditionalFormatting sqref="L2349">
    <cfRule type="expression" dxfId="2780" priority="8007" stopIfTrue="1">
      <formula>OR($L$2349="F/S",$L$2349="")</formula>
    </cfRule>
    <cfRule type="cellIs" dxfId="2779" priority="8008" stopIfTrue="1" operator="notEqual">
      <formula>0</formula>
    </cfRule>
  </conditionalFormatting>
  <conditionalFormatting sqref="O2349">
    <cfRule type="expression" dxfId="2778" priority="8009" stopIfTrue="1">
      <formula>OR($O$2349="F/S",$O$2349="")</formula>
    </cfRule>
    <cfRule type="cellIs" dxfId="2777" priority="8010" stopIfTrue="1" operator="notEqual">
      <formula>0</formula>
    </cfRule>
  </conditionalFormatting>
  <conditionalFormatting sqref="L2330">
    <cfRule type="expression" dxfId="2776" priority="8011" stopIfTrue="1">
      <formula>OR($L$2330="F/S",$L$2330="")</formula>
    </cfRule>
    <cfRule type="cellIs" dxfId="2775" priority="8012" stopIfTrue="1" operator="notEqual">
      <formula>0</formula>
    </cfRule>
  </conditionalFormatting>
  <conditionalFormatting sqref="O2330">
    <cfRule type="expression" dxfId="2774" priority="8013" stopIfTrue="1">
      <formula>OR($O$2330="F/S",$O$2330="")</formula>
    </cfRule>
    <cfRule type="cellIs" dxfId="2773" priority="8014" stopIfTrue="1" operator="notEqual">
      <formula>0</formula>
    </cfRule>
  </conditionalFormatting>
  <conditionalFormatting sqref="L2378">
    <cfRule type="expression" dxfId="2772" priority="8019" stopIfTrue="1">
      <formula>OR($L$2378="F/S",$L$2378="")</formula>
    </cfRule>
    <cfRule type="cellIs" dxfId="2771" priority="8020" stopIfTrue="1" operator="notEqual">
      <formula>0</formula>
    </cfRule>
  </conditionalFormatting>
  <conditionalFormatting sqref="O2378">
    <cfRule type="expression" dxfId="2770" priority="8021" stopIfTrue="1">
      <formula>OR($O$2378="F/S",$O$2378="")</formula>
    </cfRule>
    <cfRule type="cellIs" dxfId="2769" priority="8022" stopIfTrue="1" operator="notEqual">
      <formula>0</formula>
    </cfRule>
  </conditionalFormatting>
  <conditionalFormatting sqref="L2391">
    <cfRule type="expression" dxfId="2768" priority="8027" stopIfTrue="1">
      <formula>OR($L$2391="F/S",$L$2391="")</formula>
    </cfRule>
    <cfRule type="cellIs" dxfId="2767" priority="8028" stopIfTrue="1" operator="notEqual">
      <formula>0</formula>
    </cfRule>
  </conditionalFormatting>
  <conditionalFormatting sqref="O2391">
    <cfRule type="expression" dxfId="2766" priority="8029" stopIfTrue="1">
      <formula>OR($O$2391="F/S",$O$2391="")</formula>
    </cfRule>
    <cfRule type="cellIs" dxfId="2765" priority="8030" stopIfTrue="1" operator="notEqual">
      <formula>0</formula>
    </cfRule>
  </conditionalFormatting>
  <conditionalFormatting sqref="L2368">
    <cfRule type="expression" dxfId="2764" priority="8031" stopIfTrue="1">
      <formula>OR($L$2368="F/S",$L$2368="")</formula>
    </cfRule>
    <cfRule type="cellIs" dxfId="2763" priority="8032" stopIfTrue="1" operator="notEqual">
      <formula>0</formula>
    </cfRule>
  </conditionalFormatting>
  <conditionalFormatting sqref="O2368">
    <cfRule type="expression" dxfId="2762" priority="8033" stopIfTrue="1">
      <formula>OR($O$2368="F/S",$O$2368="")</formula>
    </cfRule>
    <cfRule type="cellIs" dxfId="2761" priority="8034" stopIfTrue="1" operator="notEqual">
      <formula>0</formula>
    </cfRule>
  </conditionalFormatting>
  <conditionalFormatting sqref="L2401">
    <cfRule type="expression" dxfId="2760" priority="8035" stopIfTrue="1">
      <formula>OR($L$2401="F/S",$L$2401="")</formula>
    </cfRule>
    <cfRule type="cellIs" dxfId="2759" priority="8036" stopIfTrue="1" operator="notEqual">
      <formula>0</formula>
    </cfRule>
  </conditionalFormatting>
  <conditionalFormatting sqref="O2401">
    <cfRule type="expression" dxfId="2758" priority="8037" stopIfTrue="1">
      <formula>OR($O$2401="F/S",$O$2401="")</formula>
    </cfRule>
    <cfRule type="cellIs" dxfId="2757" priority="8038" stopIfTrue="1" operator="notEqual">
      <formula>0</formula>
    </cfRule>
  </conditionalFormatting>
  <conditionalFormatting sqref="L2463">
    <cfRule type="expression" dxfId="2756" priority="8039" stopIfTrue="1">
      <formula>OR($L$2463="F/S",$L$2463="")</formula>
    </cfRule>
    <cfRule type="cellIs" dxfId="2755" priority="8040" stopIfTrue="1" operator="notEqual">
      <formula>0</formula>
    </cfRule>
  </conditionalFormatting>
  <conditionalFormatting sqref="O2463">
    <cfRule type="expression" dxfId="2754" priority="8041" stopIfTrue="1">
      <formula>OR($O$2463="F/S",$O$2463="")</formula>
    </cfRule>
    <cfRule type="cellIs" dxfId="2753" priority="8042" stopIfTrue="1" operator="notEqual">
      <formula>0</formula>
    </cfRule>
  </conditionalFormatting>
  <conditionalFormatting sqref="L2497">
    <cfRule type="expression" dxfId="2752" priority="8047" stopIfTrue="1">
      <formula>OR($L$2497="F/S",$L$2497="")</formula>
    </cfRule>
    <cfRule type="cellIs" dxfId="2751" priority="8048" stopIfTrue="1" operator="notEqual">
      <formula>0</formula>
    </cfRule>
  </conditionalFormatting>
  <conditionalFormatting sqref="O2497">
    <cfRule type="expression" dxfId="2750" priority="8049" stopIfTrue="1">
      <formula>OR($O$2497="F/S",$O$2497="")</formula>
    </cfRule>
    <cfRule type="cellIs" dxfId="2749" priority="8050" stopIfTrue="1" operator="notEqual">
      <formula>0</formula>
    </cfRule>
  </conditionalFormatting>
  <conditionalFormatting sqref="L2506">
    <cfRule type="expression" dxfId="2748" priority="8051" stopIfTrue="1">
      <formula>OR($L$2506="F/S",$L$2506="")</formula>
    </cfRule>
    <cfRule type="cellIs" dxfId="2747" priority="8052" stopIfTrue="1" operator="notEqual">
      <formula>0</formula>
    </cfRule>
  </conditionalFormatting>
  <conditionalFormatting sqref="O2506">
    <cfRule type="expression" dxfId="2746" priority="8053" stopIfTrue="1">
      <formula>OR($O$2506="F/S",$O$2506="")</formula>
    </cfRule>
    <cfRule type="cellIs" dxfId="2745" priority="8054" stopIfTrue="1" operator="notEqual">
      <formula>0</formula>
    </cfRule>
  </conditionalFormatting>
  <conditionalFormatting sqref="L2520">
    <cfRule type="expression" dxfId="2744" priority="8055" stopIfTrue="1">
      <formula>OR($L$2520="F/S",$L$2520="")</formula>
    </cfRule>
    <cfRule type="cellIs" dxfId="2743" priority="8056" stopIfTrue="1" operator="notEqual">
      <formula>0</formula>
    </cfRule>
  </conditionalFormatting>
  <conditionalFormatting sqref="O2520">
    <cfRule type="expression" dxfId="2742" priority="8057" stopIfTrue="1">
      <formula>OR($O$2520="F/S",$O$2520="")</formula>
    </cfRule>
    <cfRule type="cellIs" dxfId="2741" priority="8058" stopIfTrue="1" operator="notEqual">
      <formula>0</formula>
    </cfRule>
  </conditionalFormatting>
  <conditionalFormatting sqref="L2557">
    <cfRule type="expression" dxfId="2740" priority="8091" stopIfTrue="1">
      <formula>OR($L$2557="F/S",$L$2557="")</formula>
    </cfRule>
    <cfRule type="cellIs" dxfId="2739" priority="8092" stopIfTrue="1" operator="notEqual">
      <formula>0</formula>
    </cfRule>
  </conditionalFormatting>
  <conditionalFormatting sqref="O2557">
    <cfRule type="expression" dxfId="2738" priority="8093" stopIfTrue="1">
      <formula>OR($O$2557="F/S",$O$2557="")</formula>
    </cfRule>
    <cfRule type="cellIs" dxfId="2737" priority="8094" stopIfTrue="1" operator="notEqual">
      <formula>0</formula>
    </cfRule>
  </conditionalFormatting>
  <conditionalFormatting sqref="L2599">
    <cfRule type="expression" dxfId="2736" priority="8095" stopIfTrue="1">
      <formula>OR($L$2599="F/S",$L$2599="")</formula>
    </cfRule>
    <cfRule type="cellIs" dxfId="2735" priority="8096" stopIfTrue="1" operator="notEqual">
      <formula>0</formula>
    </cfRule>
  </conditionalFormatting>
  <conditionalFormatting sqref="O2599">
    <cfRule type="expression" dxfId="2734" priority="8097" stopIfTrue="1">
      <formula>OR($O$2599="F/S",$O$2599="")</formula>
    </cfRule>
    <cfRule type="cellIs" dxfId="2733" priority="8098" stopIfTrue="1" operator="notEqual">
      <formula>0</formula>
    </cfRule>
  </conditionalFormatting>
  <conditionalFormatting sqref="L2618">
    <cfRule type="expression" dxfId="2732" priority="8099" stopIfTrue="1">
      <formula>OR($L$2618="F/S",$L$2618="")</formula>
    </cfRule>
    <cfRule type="cellIs" dxfId="2731" priority="8100" stopIfTrue="1" operator="notEqual">
      <formula>0</formula>
    </cfRule>
  </conditionalFormatting>
  <conditionalFormatting sqref="O2618">
    <cfRule type="expression" dxfId="2730" priority="8101" stopIfTrue="1">
      <formula>OR($O$2618="F/S",$O$2618="")</formula>
    </cfRule>
    <cfRule type="cellIs" dxfId="2729" priority="8102" stopIfTrue="1" operator="notEqual">
      <formula>0</formula>
    </cfRule>
  </conditionalFormatting>
  <conditionalFormatting sqref="L2628">
    <cfRule type="expression" dxfId="2728" priority="8119" stopIfTrue="1">
      <formula>OR($L$2628="F/S",$L$2628="")</formula>
    </cfRule>
    <cfRule type="cellIs" dxfId="2727" priority="8120" stopIfTrue="1" operator="notEqual">
      <formula>0</formula>
    </cfRule>
  </conditionalFormatting>
  <conditionalFormatting sqref="O2628">
    <cfRule type="expression" dxfId="2726" priority="8121" stopIfTrue="1">
      <formula>OR($O$2628="F/S",$O$2628="")</formula>
    </cfRule>
    <cfRule type="cellIs" dxfId="2725" priority="8122" stopIfTrue="1" operator="notEqual">
      <formula>0</formula>
    </cfRule>
  </conditionalFormatting>
  <conditionalFormatting sqref="L2639">
    <cfRule type="expression" dxfId="2724" priority="8127" stopIfTrue="1">
      <formula>OR($L$2639="F/S",$L$2639="")</formula>
    </cfRule>
    <cfRule type="cellIs" dxfId="2723" priority="8128" stopIfTrue="1" operator="notEqual">
      <formula>0</formula>
    </cfRule>
  </conditionalFormatting>
  <conditionalFormatting sqref="O2639">
    <cfRule type="expression" dxfId="2722" priority="8129" stopIfTrue="1">
      <formula>OR($O$2639="F/S",$O$2639="")</formula>
    </cfRule>
    <cfRule type="cellIs" dxfId="2721" priority="8130" stopIfTrue="1" operator="notEqual">
      <formula>0</formula>
    </cfRule>
  </conditionalFormatting>
  <conditionalFormatting sqref="L2648">
    <cfRule type="expression" dxfId="2720" priority="8131" stopIfTrue="1">
      <formula>OR($L$2648="F/S",$L$2648="")</formula>
    </cfRule>
    <cfRule type="cellIs" dxfId="2719" priority="8132" stopIfTrue="1" operator="notEqual">
      <formula>0</formula>
    </cfRule>
  </conditionalFormatting>
  <conditionalFormatting sqref="O2648">
    <cfRule type="expression" dxfId="2718" priority="8133" stopIfTrue="1">
      <formula>OR($O$2648="F/S",$O$2648="")</formula>
    </cfRule>
    <cfRule type="cellIs" dxfId="2717" priority="8134" stopIfTrue="1" operator="notEqual">
      <formula>0</formula>
    </cfRule>
  </conditionalFormatting>
  <conditionalFormatting sqref="L2705">
    <cfRule type="expression" dxfId="2716" priority="8139" stopIfTrue="1">
      <formula>OR($L$2705="F/S",$L$2705="")</formula>
    </cfRule>
    <cfRule type="cellIs" dxfId="2715" priority="8140" stopIfTrue="1" operator="notEqual">
      <formula>0</formula>
    </cfRule>
  </conditionalFormatting>
  <conditionalFormatting sqref="O2705">
    <cfRule type="expression" dxfId="2714" priority="8141" stopIfTrue="1">
      <formula>OR($O$2705="F/S",$O$2705="")</formula>
    </cfRule>
    <cfRule type="cellIs" dxfId="2713" priority="8142" stopIfTrue="1" operator="notEqual">
      <formula>0</formula>
    </cfRule>
  </conditionalFormatting>
  <conditionalFormatting sqref="L2719">
    <cfRule type="expression" dxfId="2712" priority="8143" stopIfTrue="1">
      <formula>OR($L$2719="F/S",$L$2719="")</formula>
    </cfRule>
    <cfRule type="cellIs" dxfId="2711" priority="8144" stopIfTrue="1" operator="notEqual">
      <formula>0</formula>
    </cfRule>
  </conditionalFormatting>
  <conditionalFormatting sqref="O2719">
    <cfRule type="expression" dxfId="2710" priority="8145" stopIfTrue="1">
      <formula>OR($O$2719="F/S",$O$2719="")</formula>
    </cfRule>
    <cfRule type="cellIs" dxfId="2709" priority="8146" stopIfTrue="1" operator="notEqual">
      <formula>0</formula>
    </cfRule>
  </conditionalFormatting>
  <conditionalFormatting sqref="L2733">
    <cfRule type="expression" dxfId="2708" priority="8147" stopIfTrue="1">
      <formula>OR($L$2733="F/S",$L$2733="")</formula>
    </cfRule>
    <cfRule type="cellIs" dxfId="2707" priority="8148" stopIfTrue="1" operator="notEqual">
      <formula>0</formula>
    </cfRule>
  </conditionalFormatting>
  <conditionalFormatting sqref="O2733">
    <cfRule type="expression" dxfId="2706" priority="8149" stopIfTrue="1">
      <formula>OR($O$2733="F/S",$O$2733="")</formula>
    </cfRule>
    <cfRule type="cellIs" dxfId="2705" priority="8150" stopIfTrue="1" operator="notEqual">
      <formula>0</formula>
    </cfRule>
  </conditionalFormatting>
  <conditionalFormatting sqref="L2748">
    <cfRule type="expression" dxfId="2704" priority="8151" stopIfTrue="1">
      <formula>OR($L$2748="F/S",$L$2748="")</formula>
    </cfRule>
    <cfRule type="cellIs" dxfId="2703" priority="8152" stopIfTrue="1" operator="notEqual">
      <formula>0</formula>
    </cfRule>
  </conditionalFormatting>
  <conditionalFormatting sqref="O2748">
    <cfRule type="expression" dxfId="2702" priority="8153" stopIfTrue="1">
      <formula>OR($O$2748="F/S",$O$2748="")</formula>
    </cfRule>
    <cfRule type="cellIs" dxfId="2701" priority="8154" stopIfTrue="1" operator="notEqual">
      <formula>0</formula>
    </cfRule>
  </conditionalFormatting>
  <conditionalFormatting sqref="L2761">
    <cfRule type="expression" dxfId="2700" priority="8155" stopIfTrue="1">
      <formula>OR($L$2761="F/S",$L$2761="")</formula>
    </cfRule>
    <cfRule type="cellIs" dxfId="2699" priority="8156" stopIfTrue="1" operator="notEqual">
      <formula>0</formula>
    </cfRule>
  </conditionalFormatting>
  <conditionalFormatting sqref="O2761">
    <cfRule type="expression" dxfId="2698" priority="8157" stopIfTrue="1">
      <formula>OR($O$2761="F/S",$O$2761="")</formula>
    </cfRule>
    <cfRule type="cellIs" dxfId="2697" priority="8158" stopIfTrue="1" operator="notEqual">
      <formula>0</formula>
    </cfRule>
  </conditionalFormatting>
  <conditionalFormatting sqref="L2771">
    <cfRule type="expression" dxfId="2696" priority="8175" stopIfTrue="1">
      <formula>OR($L$2771="F/S",$L$2771="")</formula>
    </cfRule>
    <cfRule type="cellIs" dxfId="2695" priority="8176" stopIfTrue="1" operator="notEqual">
      <formula>0</formula>
    </cfRule>
  </conditionalFormatting>
  <conditionalFormatting sqref="O2771">
    <cfRule type="expression" dxfId="2694" priority="8177" stopIfTrue="1">
      <formula>OR($O$2771="F/S",$O$2771="")</formula>
    </cfRule>
    <cfRule type="cellIs" dxfId="2693" priority="8178" stopIfTrue="1" operator="notEqual">
      <formula>0</formula>
    </cfRule>
  </conditionalFormatting>
  <conditionalFormatting sqref="L2781">
    <cfRule type="expression" dxfId="2692" priority="8183" stopIfTrue="1">
      <formula>OR($L$2781="F/S",$L$2781="")</formula>
    </cfRule>
    <cfRule type="cellIs" dxfId="2691" priority="8184" stopIfTrue="1" operator="notEqual">
      <formula>0</formula>
    </cfRule>
  </conditionalFormatting>
  <conditionalFormatting sqref="O2781">
    <cfRule type="expression" dxfId="2690" priority="8185" stopIfTrue="1">
      <formula>OR($O$2781="F/S",$O$2781="")</formula>
    </cfRule>
    <cfRule type="cellIs" dxfId="2689" priority="8186" stopIfTrue="1" operator="notEqual">
      <formula>0</formula>
    </cfRule>
  </conditionalFormatting>
  <conditionalFormatting sqref="L2797">
    <cfRule type="expression" dxfId="2688" priority="8187" stopIfTrue="1">
      <formula>OR($L$2797="F/S",$L$2797="")</formula>
    </cfRule>
    <cfRule type="cellIs" dxfId="2687" priority="8188" stopIfTrue="1" operator="notEqual">
      <formula>0</formula>
    </cfRule>
  </conditionalFormatting>
  <conditionalFormatting sqref="O2797">
    <cfRule type="expression" dxfId="2686" priority="8189" stopIfTrue="1">
      <formula>OR($O$2797="F/S",$O$2797="")</formula>
    </cfRule>
    <cfRule type="cellIs" dxfId="2685" priority="8190" stopIfTrue="1" operator="notEqual">
      <formula>0</formula>
    </cfRule>
  </conditionalFormatting>
  <conditionalFormatting sqref="L2810">
    <cfRule type="expression" dxfId="2684" priority="8191" stopIfTrue="1">
      <formula>OR($L$2810="F/S",$L$2810="")</formula>
    </cfRule>
    <cfRule type="cellIs" dxfId="2683" priority="8192" stopIfTrue="1" operator="notEqual">
      <formula>0</formula>
    </cfRule>
  </conditionalFormatting>
  <conditionalFormatting sqref="O2810">
    <cfRule type="expression" dxfId="2682" priority="8193" stopIfTrue="1">
      <formula>OR($O$2810="F/S",$O$2810="")</formula>
    </cfRule>
    <cfRule type="cellIs" dxfId="2681" priority="8194" stopIfTrue="1" operator="notEqual">
      <formula>0</formula>
    </cfRule>
  </conditionalFormatting>
  <conditionalFormatting sqref="L2821">
    <cfRule type="expression" dxfId="2680" priority="8195" stopIfTrue="1">
      <formula>OR($L$2821="F/S",$L$2821="")</formula>
    </cfRule>
    <cfRule type="cellIs" dxfId="2679" priority="8196" stopIfTrue="1" operator="notEqual">
      <formula>0</formula>
    </cfRule>
  </conditionalFormatting>
  <conditionalFormatting sqref="O2821">
    <cfRule type="expression" dxfId="2678" priority="8197" stopIfTrue="1">
      <formula>OR($O$2821="F/S",$O$2821="")</formula>
    </cfRule>
    <cfRule type="cellIs" dxfId="2677" priority="8198" stopIfTrue="1" operator="notEqual">
      <formula>0</formula>
    </cfRule>
  </conditionalFormatting>
  <conditionalFormatting sqref="L2830">
    <cfRule type="expression" dxfId="2676" priority="8199" stopIfTrue="1">
      <formula>OR($L$2830="F/S",$L$2830="")</formula>
    </cfRule>
    <cfRule type="cellIs" dxfId="2675" priority="8200" stopIfTrue="1" operator="notEqual">
      <formula>0</formula>
    </cfRule>
  </conditionalFormatting>
  <conditionalFormatting sqref="O2830">
    <cfRule type="expression" dxfId="2674" priority="8201" stopIfTrue="1">
      <formula>OR($O$2830="F/S",$O$2830="")</formula>
    </cfRule>
    <cfRule type="cellIs" dxfId="2673" priority="8202" stopIfTrue="1" operator="notEqual">
      <formula>0</formula>
    </cfRule>
  </conditionalFormatting>
  <conditionalFormatting sqref="L2877">
    <cfRule type="expression" dxfId="2672" priority="8211" stopIfTrue="1">
      <formula>OR($L$2877="F/S",$L$2877="")</formula>
    </cfRule>
    <cfRule type="cellIs" dxfId="2671" priority="8212" stopIfTrue="1" operator="notEqual">
      <formula>0</formula>
    </cfRule>
  </conditionalFormatting>
  <conditionalFormatting sqref="O2877">
    <cfRule type="expression" dxfId="2670" priority="8213" stopIfTrue="1">
      <formula>OR($O$2877="F/S",$O$2877="")</formula>
    </cfRule>
    <cfRule type="cellIs" dxfId="2669" priority="8214" stopIfTrue="1" operator="notEqual">
      <formula>0</formula>
    </cfRule>
  </conditionalFormatting>
  <conditionalFormatting sqref="L2847">
    <cfRule type="expression" dxfId="2668" priority="8215" stopIfTrue="1">
      <formula>OR($L$2847="F/S",$L$2847="")</formula>
    </cfRule>
    <cfRule type="cellIs" dxfId="2667" priority="8216" stopIfTrue="1" operator="notEqual">
      <formula>0</formula>
    </cfRule>
  </conditionalFormatting>
  <conditionalFormatting sqref="O2847">
    <cfRule type="expression" dxfId="2666" priority="8217" stopIfTrue="1">
      <formula>OR($O$2847="F/S",$O$2847="")</formula>
    </cfRule>
    <cfRule type="cellIs" dxfId="2665" priority="8218" stopIfTrue="1" operator="notEqual">
      <formula>0</formula>
    </cfRule>
  </conditionalFormatting>
  <conditionalFormatting sqref="L2862">
    <cfRule type="expression" dxfId="2664" priority="8219" stopIfTrue="1">
      <formula>OR($L$2862="F/S",$L$2862="")</formula>
    </cfRule>
    <cfRule type="cellIs" dxfId="2663" priority="8220" stopIfTrue="1" operator="notEqual">
      <formula>0</formula>
    </cfRule>
  </conditionalFormatting>
  <conditionalFormatting sqref="O2862">
    <cfRule type="expression" dxfId="2662" priority="8221" stopIfTrue="1">
      <formula>OR($O$2862="F/S",$O$2862="")</formula>
    </cfRule>
    <cfRule type="cellIs" dxfId="2661" priority="8222" stopIfTrue="1" operator="notEqual">
      <formula>0</formula>
    </cfRule>
  </conditionalFormatting>
  <conditionalFormatting sqref="L2897">
    <cfRule type="expression" dxfId="2660" priority="8223" stopIfTrue="1">
      <formula>OR($L$2897="F/S",$L$2897="")</formula>
    </cfRule>
    <cfRule type="cellIs" dxfId="2659" priority="8224" stopIfTrue="1" operator="notEqual">
      <formula>0</formula>
    </cfRule>
  </conditionalFormatting>
  <conditionalFormatting sqref="O2897">
    <cfRule type="expression" dxfId="2658" priority="8225" stopIfTrue="1">
      <formula>OR($O$2897="F/S",$O$2897="")</formula>
    </cfRule>
    <cfRule type="cellIs" dxfId="2657" priority="8226" stopIfTrue="1" operator="notEqual">
      <formula>0</formula>
    </cfRule>
  </conditionalFormatting>
  <conditionalFormatting sqref="L2908">
    <cfRule type="expression" dxfId="2656" priority="8231" stopIfTrue="1">
      <formula>OR($L$2908="F/S",$L$2908="")</formula>
    </cfRule>
    <cfRule type="cellIs" dxfId="2655" priority="8232" stopIfTrue="1" operator="notEqual">
      <formula>0</formula>
    </cfRule>
  </conditionalFormatting>
  <conditionalFormatting sqref="O2908">
    <cfRule type="expression" dxfId="2654" priority="8233" stopIfTrue="1">
      <formula>OR($O$2908="F/S",$O$2908="")</formula>
    </cfRule>
    <cfRule type="cellIs" dxfId="2653" priority="8234" stopIfTrue="1" operator="notEqual">
      <formula>0</formula>
    </cfRule>
  </conditionalFormatting>
  <conditionalFormatting sqref="L2920">
    <cfRule type="expression" dxfId="2652" priority="8235" stopIfTrue="1">
      <formula>OR($L$2920="F/S",$L$2920="")</formula>
    </cfRule>
    <cfRule type="cellIs" dxfId="2651" priority="8236" stopIfTrue="1" operator="notEqual">
      <formula>0</formula>
    </cfRule>
  </conditionalFormatting>
  <conditionalFormatting sqref="O2920">
    <cfRule type="expression" dxfId="2650" priority="8237" stopIfTrue="1">
      <formula>OR($O$2920="F/S",$O$2920="")</formula>
    </cfRule>
    <cfRule type="cellIs" dxfId="2649" priority="8238" stopIfTrue="1" operator="notEqual">
      <formula>0</formula>
    </cfRule>
  </conditionalFormatting>
  <conditionalFormatting sqref="L2982">
    <cfRule type="expression" dxfId="2648" priority="8251" stopIfTrue="1">
      <formula>OR($L$2982="F/S",$L$2982="")</formula>
    </cfRule>
    <cfRule type="cellIs" dxfId="2647" priority="8252" stopIfTrue="1" operator="notEqual">
      <formula>0</formula>
    </cfRule>
  </conditionalFormatting>
  <conditionalFormatting sqref="O2982">
    <cfRule type="expression" dxfId="2646" priority="8253" stopIfTrue="1">
      <formula>OR($O$2982="F/S",$O$2982="")</formula>
    </cfRule>
    <cfRule type="cellIs" dxfId="2645" priority="8254" stopIfTrue="1" operator="notEqual">
      <formula>0</formula>
    </cfRule>
  </conditionalFormatting>
  <conditionalFormatting sqref="L3006">
    <cfRule type="expression" dxfId="2644" priority="8259" stopIfTrue="1">
      <formula>OR($L$3006="F/S",$L$3006="")</formula>
    </cfRule>
    <cfRule type="cellIs" dxfId="2643" priority="8260" stopIfTrue="1" operator="notEqual">
      <formula>0</formula>
    </cfRule>
  </conditionalFormatting>
  <conditionalFormatting sqref="O3006">
    <cfRule type="expression" dxfId="2642" priority="8261" stopIfTrue="1">
      <formula>OR($O$3006="F/S",$O$3006="")</formula>
    </cfRule>
    <cfRule type="cellIs" dxfId="2641" priority="8262" stopIfTrue="1" operator="notEqual">
      <formula>0</formula>
    </cfRule>
  </conditionalFormatting>
  <conditionalFormatting sqref="L3043">
    <cfRule type="expression" dxfId="2640" priority="8267" stopIfTrue="1">
      <formula>OR($L$3043="F/S",$L$3043="")</formula>
    </cfRule>
    <cfRule type="cellIs" dxfId="2639" priority="8268" stopIfTrue="1" operator="notEqual">
      <formula>0</formula>
    </cfRule>
  </conditionalFormatting>
  <conditionalFormatting sqref="O3043">
    <cfRule type="expression" dxfId="2638" priority="8269" stopIfTrue="1">
      <formula>OR($O$3043="F/S",$O$3043="")</formula>
    </cfRule>
    <cfRule type="cellIs" dxfId="2637" priority="8270" stopIfTrue="1" operator="notEqual">
      <formula>0</formula>
    </cfRule>
  </conditionalFormatting>
  <conditionalFormatting sqref="L3113">
    <cfRule type="expression" dxfId="2636" priority="8283" stopIfTrue="1">
      <formula>OR($L$3113="F/S",$L$3113="")</formula>
    </cfRule>
    <cfRule type="cellIs" dxfId="2635" priority="8284" stopIfTrue="1" operator="notEqual">
      <formula>0</formula>
    </cfRule>
  </conditionalFormatting>
  <conditionalFormatting sqref="O3113">
    <cfRule type="expression" dxfId="2634" priority="8285" stopIfTrue="1">
      <formula>OR($O$3113="F/S",$O$3113="")</formula>
    </cfRule>
    <cfRule type="cellIs" dxfId="2633" priority="8286" stopIfTrue="1" operator="notEqual">
      <formula>0</formula>
    </cfRule>
  </conditionalFormatting>
  <conditionalFormatting sqref="L3126">
    <cfRule type="expression" dxfId="2632" priority="8287" stopIfTrue="1">
      <formula>OR($L$3126="F/S",$L$3126="")</formula>
    </cfRule>
    <cfRule type="cellIs" dxfId="2631" priority="8288" stopIfTrue="1" operator="notEqual">
      <formula>0</formula>
    </cfRule>
  </conditionalFormatting>
  <conditionalFormatting sqref="O3126">
    <cfRule type="expression" dxfId="2630" priority="8289" stopIfTrue="1">
      <formula>OR($O$3126="F/S",$O$3126="")</formula>
    </cfRule>
    <cfRule type="cellIs" dxfId="2629" priority="8290" stopIfTrue="1" operator="notEqual">
      <formula>0</formula>
    </cfRule>
  </conditionalFormatting>
  <conditionalFormatting sqref="L3162">
    <cfRule type="expression" dxfId="2628" priority="8291" stopIfTrue="1">
      <formula>OR($L$3162="F/S",$L$3162="")</formula>
    </cfRule>
    <cfRule type="cellIs" dxfId="2627" priority="8292" stopIfTrue="1" operator="notEqual">
      <formula>0</formula>
    </cfRule>
  </conditionalFormatting>
  <conditionalFormatting sqref="O3162">
    <cfRule type="expression" dxfId="2626" priority="8293" stopIfTrue="1">
      <formula>OR($O$3162="F/S",$O$3162="")</formula>
    </cfRule>
    <cfRule type="cellIs" dxfId="2625" priority="8294" stopIfTrue="1" operator="notEqual">
      <formula>0</formula>
    </cfRule>
  </conditionalFormatting>
  <conditionalFormatting sqref="L3175">
    <cfRule type="expression" dxfId="2624" priority="8303" stopIfTrue="1">
      <formula>OR($L$3175="F/S",$L$3175="")</formula>
    </cfRule>
    <cfRule type="cellIs" dxfId="2623" priority="8304" stopIfTrue="1" operator="notEqual">
      <formula>0</formula>
    </cfRule>
  </conditionalFormatting>
  <conditionalFormatting sqref="O3175">
    <cfRule type="expression" dxfId="2622" priority="8305" stopIfTrue="1">
      <formula>OR($O$3175="F/S",$O$3175="")</formula>
    </cfRule>
    <cfRule type="cellIs" dxfId="2621" priority="8306" stopIfTrue="1" operator="notEqual">
      <formula>0</formula>
    </cfRule>
  </conditionalFormatting>
  <conditionalFormatting sqref="L3192">
    <cfRule type="expression" dxfId="2620" priority="8307" stopIfTrue="1">
      <formula>OR($L$3192="F/S",$L$3192="")</formula>
    </cfRule>
    <cfRule type="cellIs" dxfId="2619" priority="8308" stopIfTrue="1" operator="notEqual">
      <formula>0</formula>
    </cfRule>
  </conditionalFormatting>
  <conditionalFormatting sqref="O3192">
    <cfRule type="expression" dxfId="2618" priority="8309" stopIfTrue="1">
      <formula>OR($O$3192="F/S",$O$3192="")</formula>
    </cfRule>
    <cfRule type="cellIs" dxfId="2617" priority="8310" stopIfTrue="1" operator="notEqual">
      <formula>0</formula>
    </cfRule>
  </conditionalFormatting>
  <conditionalFormatting sqref="L3204">
    <cfRule type="expression" dxfId="2616" priority="8311" stopIfTrue="1">
      <formula>OR($L$3204="F/S",$L$3204="")</formula>
    </cfRule>
    <cfRule type="cellIs" dxfId="2615" priority="8312" stopIfTrue="1" operator="notEqual">
      <formula>0</formula>
    </cfRule>
  </conditionalFormatting>
  <conditionalFormatting sqref="O3204">
    <cfRule type="expression" dxfId="2614" priority="8313" stopIfTrue="1">
      <formula>OR($O$3204="F/S",$O$3204="")</formula>
    </cfRule>
    <cfRule type="cellIs" dxfId="2613" priority="8314" stopIfTrue="1" operator="notEqual">
      <formula>0</formula>
    </cfRule>
  </conditionalFormatting>
  <conditionalFormatting sqref="L3217">
    <cfRule type="expression" dxfId="2612" priority="8315" stopIfTrue="1">
      <formula>OR($L$3217="F/S",$L$3217="")</formula>
    </cfRule>
    <cfRule type="cellIs" dxfId="2611" priority="8316" stopIfTrue="1" operator="notEqual">
      <formula>0</formula>
    </cfRule>
  </conditionalFormatting>
  <conditionalFormatting sqref="O3217">
    <cfRule type="expression" dxfId="2610" priority="8317" stopIfTrue="1">
      <formula>OR($O$3217="F/S",$O$3217="")</formula>
    </cfRule>
    <cfRule type="cellIs" dxfId="2609" priority="8318" stopIfTrue="1" operator="notEqual">
      <formula>0</formula>
    </cfRule>
  </conditionalFormatting>
  <conditionalFormatting sqref="L3229">
    <cfRule type="expression" dxfId="2608" priority="8319" stopIfTrue="1">
      <formula>OR($L$3229="F/S",$L$3229="")</formula>
    </cfRule>
    <cfRule type="cellIs" dxfId="2607" priority="8320" stopIfTrue="1" operator="notEqual">
      <formula>0</formula>
    </cfRule>
  </conditionalFormatting>
  <conditionalFormatting sqref="O3229">
    <cfRule type="expression" dxfId="2606" priority="8321" stopIfTrue="1">
      <formula>OR($O$3229="F/S",$O$3229="")</formula>
    </cfRule>
    <cfRule type="cellIs" dxfId="2605" priority="8322" stopIfTrue="1" operator="notEqual">
      <formula>0</formula>
    </cfRule>
  </conditionalFormatting>
  <conditionalFormatting sqref="L3244">
    <cfRule type="expression" dxfId="2604" priority="8323" stopIfTrue="1">
      <formula>OR($L$3244="F/S",$L$3244="")</formula>
    </cfRule>
    <cfRule type="cellIs" dxfId="2603" priority="8324" stopIfTrue="1" operator="notEqual">
      <formula>0</formula>
    </cfRule>
  </conditionalFormatting>
  <conditionalFormatting sqref="O3244">
    <cfRule type="expression" dxfId="2602" priority="8325" stopIfTrue="1">
      <formula>OR($O$3244="F/S",$O$3244="")</formula>
    </cfRule>
    <cfRule type="cellIs" dxfId="2601" priority="8326" stopIfTrue="1" operator="notEqual">
      <formula>0</formula>
    </cfRule>
  </conditionalFormatting>
  <conditionalFormatting sqref="L3260">
    <cfRule type="expression" dxfId="2600" priority="8327" stopIfTrue="1">
      <formula>OR($L$3260="F/S",$L$3260="")</formula>
    </cfRule>
    <cfRule type="cellIs" dxfId="2599" priority="8328" stopIfTrue="1" operator="notEqual">
      <formula>0</formula>
    </cfRule>
  </conditionalFormatting>
  <conditionalFormatting sqref="O3260">
    <cfRule type="expression" dxfId="2598" priority="8329" stopIfTrue="1">
      <formula>OR($O$3260="F/S",$O$3260="")</formula>
    </cfRule>
    <cfRule type="cellIs" dxfId="2597" priority="8330" stopIfTrue="1" operator="notEqual">
      <formula>0</formula>
    </cfRule>
  </conditionalFormatting>
  <conditionalFormatting sqref="L3273">
    <cfRule type="expression" dxfId="2596" priority="8331" stopIfTrue="1">
      <formula>OR($L$3273="F/S",$L$3273="")</formula>
    </cfRule>
    <cfRule type="cellIs" dxfId="2595" priority="8332" stopIfTrue="1" operator="notEqual">
      <formula>0</formula>
    </cfRule>
  </conditionalFormatting>
  <conditionalFormatting sqref="O3273">
    <cfRule type="expression" dxfId="2594" priority="8333" stopIfTrue="1">
      <formula>OR($O$3273="F/S",$O$3273="")</formula>
    </cfRule>
    <cfRule type="cellIs" dxfId="2593" priority="8334" stopIfTrue="1" operator="notEqual">
      <formula>0</formula>
    </cfRule>
  </conditionalFormatting>
  <conditionalFormatting sqref="L3280">
    <cfRule type="expression" dxfId="2592" priority="8335" stopIfTrue="1">
      <formula>OR($L$3280="F/S",$L$3280="")</formula>
    </cfRule>
    <cfRule type="cellIs" dxfId="2591" priority="8336" stopIfTrue="1" operator="notEqual">
      <formula>0</formula>
    </cfRule>
  </conditionalFormatting>
  <conditionalFormatting sqref="O3280">
    <cfRule type="expression" dxfId="2590" priority="8337" stopIfTrue="1">
      <formula>OR($O$3280="F/S",$O$3280="")</formula>
    </cfRule>
    <cfRule type="cellIs" dxfId="2589" priority="8338" stopIfTrue="1" operator="notEqual">
      <formula>0</formula>
    </cfRule>
  </conditionalFormatting>
  <conditionalFormatting sqref="L3290">
    <cfRule type="expression" dxfId="2588" priority="8339" stopIfTrue="1">
      <formula>OR($L$3290="F/S",$L$3290="")</formula>
    </cfRule>
    <cfRule type="cellIs" dxfId="2587" priority="8340" stopIfTrue="1" operator="notEqual">
      <formula>0</formula>
    </cfRule>
  </conditionalFormatting>
  <conditionalFormatting sqref="O3290">
    <cfRule type="expression" dxfId="2586" priority="8341" stopIfTrue="1">
      <formula>OR($O$3290="F/S",$O$3290="")</formula>
    </cfRule>
    <cfRule type="cellIs" dxfId="2585" priority="8342" stopIfTrue="1" operator="notEqual">
      <formula>0</formula>
    </cfRule>
  </conditionalFormatting>
  <conditionalFormatting sqref="L3310">
    <cfRule type="expression" dxfId="2584" priority="8343" stopIfTrue="1">
      <formula>OR($L$3310="F/S",$L$3310="")</formula>
    </cfRule>
    <cfRule type="cellIs" dxfId="2583" priority="8344" stopIfTrue="1" operator="notEqual">
      <formula>0</formula>
    </cfRule>
  </conditionalFormatting>
  <conditionalFormatting sqref="O3310">
    <cfRule type="expression" dxfId="2582" priority="8345" stopIfTrue="1">
      <formula>OR($O$3310="F/S",$O$3310="")</formula>
    </cfRule>
    <cfRule type="cellIs" dxfId="2581" priority="8346" stopIfTrue="1" operator="notEqual">
      <formula>0</formula>
    </cfRule>
  </conditionalFormatting>
  <conditionalFormatting sqref="L5218">
    <cfRule type="expression" dxfId="2580" priority="8347" stopIfTrue="1">
      <formula>OR($L$5218="F/S",$L$5218="")</formula>
    </cfRule>
    <cfRule type="cellIs" dxfId="2579" priority="8348" stopIfTrue="1" operator="notEqual">
      <formula>0</formula>
    </cfRule>
  </conditionalFormatting>
  <conditionalFormatting sqref="O5218">
    <cfRule type="expression" dxfId="2578" priority="8349" stopIfTrue="1">
      <formula>OR($O$5218="F/S",$O$5218="")</formula>
    </cfRule>
    <cfRule type="cellIs" dxfId="2577" priority="8350" stopIfTrue="1" operator="notEqual">
      <formula>0</formula>
    </cfRule>
  </conditionalFormatting>
  <conditionalFormatting sqref="L5204">
    <cfRule type="expression" dxfId="2576" priority="8351" stopIfTrue="1">
      <formula>OR($L$5204="F/S",$L$5204="")</formula>
    </cfRule>
    <cfRule type="cellIs" dxfId="2575" priority="8352" stopIfTrue="1" operator="notEqual">
      <formula>0</formula>
    </cfRule>
  </conditionalFormatting>
  <conditionalFormatting sqref="O5204">
    <cfRule type="expression" dxfId="2574" priority="8353" stopIfTrue="1">
      <formula>OR($O$5204="F/S",$O$5204="")</formula>
    </cfRule>
    <cfRule type="cellIs" dxfId="2573" priority="8354" stopIfTrue="1" operator="notEqual">
      <formula>0</formula>
    </cfRule>
  </conditionalFormatting>
  <conditionalFormatting sqref="L3323">
    <cfRule type="expression" dxfId="2572" priority="8355" stopIfTrue="1">
      <formula>OR($L$3323="F/S",$L$3323="")</formula>
    </cfRule>
    <cfRule type="cellIs" dxfId="2571" priority="8356" stopIfTrue="1" operator="notEqual">
      <formula>0</formula>
    </cfRule>
  </conditionalFormatting>
  <conditionalFormatting sqref="O3323">
    <cfRule type="expression" dxfId="2570" priority="8357" stopIfTrue="1">
      <formula>OR($O$3323="F/S",$O$3323="")</formula>
    </cfRule>
    <cfRule type="cellIs" dxfId="2569" priority="8358" stopIfTrue="1" operator="notEqual">
      <formula>0</formula>
    </cfRule>
  </conditionalFormatting>
  <conditionalFormatting sqref="L3363">
    <cfRule type="expression" dxfId="2568" priority="8359" stopIfTrue="1">
      <formula>OR($L$3363="F/S",$L$3363="")</formula>
    </cfRule>
    <cfRule type="cellIs" dxfId="2567" priority="8360" stopIfTrue="1" operator="notEqual">
      <formula>0</formula>
    </cfRule>
  </conditionalFormatting>
  <conditionalFormatting sqref="O3363">
    <cfRule type="expression" dxfId="2566" priority="8361" stopIfTrue="1">
      <formula>OR($O$3363="F/S",$O$3363="")</formula>
    </cfRule>
    <cfRule type="cellIs" dxfId="2565" priority="8362" stopIfTrue="1" operator="notEqual">
      <formula>0</formula>
    </cfRule>
  </conditionalFormatting>
  <conditionalFormatting sqref="L3333">
    <cfRule type="expression" dxfId="2564" priority="8363" stopIfTrue="1">
      <formula>OR($L$3333="F/S",$L$3333="")</formula>
    </cfRule>
    <cfRule type="cellIs" dxfId="2563" priority="8364" stopIfTrue="1" operator="notEqual">
      <formula>0</formula>
    </cfRule>
  </conditionalFormatting>
  <conditionalFormatting sqref="O3333">
    <cfRule type="expression" dxfId="2562" priority="8365" stopIfTrue="1">
      <formula>OR($O$3333="F/S",$O$3333="")</formula>
    </cfRule>
    <cfRule type="cellIs" dxfId="2561" priority="8366" stopIfTrue="1" operator="notEqual">
      <formula>0</formula>
    </cfRule>
  </conditionalFormatting>
  <conditionalFormatting sqref="L3343">
    <cfRule type="expression" dxfId="2560" priority="8367" stopIfTrue="1">
      <formula>OR($L$3343="F/S",$L$3343="")</formula>
    </cfRule>
    <cfRule type="cellIs" dxfId="2559" priority="8368" stopIfTrue="1" operator="notEqual">
      <formula>0</formula>
    </cfRule>
  </conditionalFormatting>
  <conditionalFormatting sqref="O3343">
    <cfRule type="expression" dxfId="2558" priority="8369" stopIfTrue="1">
      <formula>OR($O$3343="F/S",$O$3343="")</formula>
    </cfRule>
    <cfRule type="cellIs" dxfId="2557" priority="8370" stopIfTrue="1" operator="notEqual">
      <formula>0</formula>
    </cfRule>
  </conditionalFormatting>
  <conditionalFormatting sqref="L3353">
    <cfRule type="expression" dxfId="2556" priority="8371" stopIfTrue="1">
      <formula>OR($L$3353="F/S",$L$3353="")</formula>
    </cfRule>
    <cfRule type="cellIs" dxfId="2555" priority="8372" stopIfTrue="1" operator="notEqual">
      <formula>0</formula>
    </cfRule>
  </conditionalFormatting>
  <conditionalFormatting sqref="O3353">
    <cfRule type="expression" dxfId="2554" priority="8373" stopIfTrue="1">
      <formula>OR($O$3353="F/S",$O$3353="")</formula>
    </cfRule>
    <cfRule type="cellIs" dxfId="2553" priority="8374" stopIfTrue="1" operator="notEqual">
      <formula>0</formula>
    </cfRule>
  </conditionalFormatting>
  <conditionalFormatting sqref="L3374">
    <cfRule type="expression" dxfId="2552" priority="8375" stopIfTrue="1">
      <formula>OR($L$3374="F/S",$L$3374="")</formula>
    </cfRule>
    <cfRule type="cellIs" dxfId="2551" priority="8376" stopIfTrue="1" operator="notEqual">
      <formula>0</formula>
    </cfRule>
  </conditionalFormatting>
  <conditionalFormatting sqref="O3374">
    <cfRule type="expression" dxfId="2550" priority="8377" stopIfTrue="1">
      <formula>OR($O$3374="F/S",$O$3374="")</formula>
    </cfRule>
    <cfRule type="cellIs" dxfId="2549" priority="8378" stopIfTrue="1" operator="notEqual">
      <formula>0</formula>
    </cfRule>
  </conditionalFormatting>
  <conditionalFormatting sqref="L3413">
    <cfRule type="expression" dxfId="2548" priority="8379" stopIfTrue="1">
      <formula>OR($L$3413="F/S",$L$3413="")</formula>
    </cfRule>
    <cfRule type="cellIs" dxfId="2547" priority="8380" stopIfTrue="1" operator="notEqual">
      <formula>0</formula>
    </cfRule>
  </conditionalFormatting>
  <conditionalFormatting sqref="O3413">
    <cfRule type="expression" dxfId="2546" priority="8381" stopIfTrue="1">
      <formula>OR($O$3413="F/S",$O$3413="")</formula>
    </cfRule>
    <cfRule type="cellIs" dxfId="2545" priority="8382" stopIfTrue="1" operator="notEqual">
      <formula>0</formula>
    </cfRule>
  </conditionalFormatting>
  <conditionalFormatting sqref="L3385">
    <cfRule type="expression" dxfId="2544" priority="8383" stopIfTrue="1">
      <formula>OR($L$3385="F/S",$L$3385="")</formula>
    </cfRule>
    <cfRule type="cellIs" dxfId="2543" priority="8384" stopIfTrue="1" operator="notEqual">
      <formula>0</formula>
    </cfRule>
  </conditionalFormatting>
  <conditionalFormatting sqref="O3385">
    <cfRule type="expression" dxfId="2542" priority="8385" stopIfTrue="1">
      <formula>OR($O$3385="F/S",$O$3385="")</formula>
    </cfRule>
    <cfRule type="cellIs" dxfId="2541" priority="8386" stopIfTrue="1" operator="notEqual">
      <formula>0</formula>
    </cfRule>
  </conditionalFormatting>
  <conditionalFormatting sqref="L3398">
    <cfRule type="expression" dxfId="2540" priority="8387" stopIfTrue="1">
      <formula>OR($L$3398="F/S",$L$3398="")</formula>
    </cfRule>
    <cfRule type="cellIs" dxfId="2539" priority="8388" stopIfTrue="1" operator="notEqual">
      <formula>0</formula>
    </cfRule>
  </conditionalFormatting>
  <conditionalFormatting sqref="O3398">
    <cfRule type="expression" dxfId="2538" priority="8389" stopIfTrue="1">
      <formula>OR($O$3398="F/S",$O$3398="")</formula>
    </cfRule>
    <cfRule type="cellIs" dxfId="2537" priority="8390" stopIfTrue="1" operator="notEqual">
      <formula>0</formula>
    </cfRule>
  </conditionalFormatting>
  <conditionalFormatting sqref="L3425">
    <cfRule type="expression" dxfId="2536" priority="8391" stopIfTrue="1">
      <formula>OR($L$3425="F/S",$L$3425="")</formula>
    </cfRule>
    <cfRule type="cellIs" dxfId="2535" priority="8392" stopIfTrue="1" operator="notEqual">
      <formula>0</formula>
    </cfRule>
  </conditionalFormatting>
  <conditionalFormatting sqref="O3425">
    <cfRule type="expression" dxfId="2534" priority="8393" stopIfTrue="1">
      <formula>OR($O$3425="F/S",$O$3425="")</formula>
    </cfRule>
    <cfRule type="cellIs" dxfId="2533" priority="8394" stopIfTrue="1" operator="notEqual">
      <formula>0</formula>
    </cfRule>
  </conditionalFormatting>
  <conditionalFormatting sqref="L3436">
    <cfRule type="expression" dxfId="2532" priority="8395" stopIfTrue="1">
      <formula>OR($L$3436="F/S",$L$3436="")</formula>
    </cfRule>
    <cfRule type="cellIs" dxfId="2531" priority="8396" stopIfTrue="1" operator="notEqual">
      <formula>0</formula>
    </cfRule>
  </conditionalFormatting>
  <conditionalFormatting sqref="O3436">
    <cfRule type="expression" dxfId="2530" priority="8397" stopIfTrue="1">
      <formula>OR($O$3436="F/S",$O$3436="")</formula>
    </cfRule>
    <cfRule type="cellIs" dxfId="2529" priority="8398" stopIfTrue="1" operator="notEqual">
      <formula>0</formula>
    </cfRule>
  </conditionalFormatting>
  <conditionalFormatting sqref="L3447">
    <cfRule type="expression" dxfId="2528" priority="8399" stopIfTrue="1">
      <formula>OR($L$3447="F/S",$L$3447="")</formula>
    </cfRule>
    <cfRule type="cellIs" dxfId="2527" priority="8400" stopIfTrue="1" operator="notEqual">
      <formula>0</formula>
    </cfRule>
  </conditionalFormatting>
  <conditionalFormatting sqref="O3447">
    <cfRule type="expression" dxfId="2526" priority="8401" stopIfTrue="1">
      <formula>OR($O$3447="F/S",$O$3447="")</formula>
    </cfRule>
    <cfRule type="cellIs" dxfId="2525" priority="8402" stopIfTrue="1" operator="notEqual">
      <formula>0</formula>
    </cfRule>
  </conditionalFormatting>
  <conditionalFormatting sqref="L3475">
    <cfRule type="expression" dxfId="2524" priority="8403" stopIfTrue="1">
      <formula>OR($L$3475="F/S",$L$3475="")</formula>
    </cfRule>
    <cfRule type="cellIs" dxfId="2523" priority="8404" stopIfTrue="1" operator="notEqual">
      <formula>0</formula>
    </cfRule>
  </conditionalFormatting>
  <conditionalFormatting sqref="O3475">
    <cfRule type="expression" dxfId="2522" priority="8405" stopIfTrue="1">
      <formula>OR($O$3475="F/S",$O$3475="")</formula>
    </cfRule>
    <cfRule type="cellIs" dxfId="2521" priority="8406" stopIfTrue="1" operator="notEqual">
      <formula>0</formula>
    </cfRule>
  </conditionalFormatting>
  <conditionalFormatting sqref="L3458">
    <cfRule type="expression" dxfId="2520" priority="8407" stopIfTrue="1">
      <formula>OR($L$3458="F/S",$L$3458="")</formula>
    </cfRule>
    <cfRule type="cellIs" dxfId="2519" priority="8408" stopIfTrue="1" operator="notEqual">
      <formula>0</formula>
    </cfRule>
  </conditionalFormatting>
  <conditionalFormatting sqref="O3458">
    <cfRule type="expression" dxfId="2518" priority="8409" stopIfTrue="1">
      <formula>OR($O$3458="F/S",$O$3458="")</formula>
    </cfRule>
    <cfRule type="cellIs" dxfId="2517" priority="8410" stopIfTrue="1" operator="notEqual">
      <formula>0</formula>
    </cfRule>
  </conditionalFormatting>
  <conditionalFormatting sqref="L3495">
    <cfRule type="expression" dxfId="2516" priority="8411" stopIfTrue="1">
      <formula>OR($L$3495="F/S",$L$3495="")</formula>
    </cfRule>
    <cfRule type="cellIs" dxfId="2515" priority="8412" stopIfTrue="1" operator="notEqual">
      <formula>0</formula>
    </cfRule>
  </conditionalFormatting>
  <conditionalFormatting sqref="O3495">
    <cfRule type="expression" dxfId="2514" priority="8413" stopIfTrue="1">
      <formula>OR($O$3495="F/S",$O$3495="")</formula>
    </cfRule>
    <cfRule type="cellIs" dxfId="2513" priority="8414" stopIfTrue="1" operator="notEqual">
      <formula>0</formula>
    </cfRule>
  </conditionalFormatting>
  <conditionalFormatting sqref="L3485">
    <cfRule type="expression" dxfId="2512" priority="8415" stopIfTrue="1">
      <formula>OR($L$3485="F/S",$L$3485="")</formula>
    </cfRule>
    <cfRule type="cellIs" dxfId="2511" priority="8416" stopIfTrue="1" operator="notEqual">
      <formula>0</formula>
    </cfRule>
  </conditionalFormatting>
  <conditionalFormatting sqref="O3485">
    <cfRule type="expression" dxfId="2510" priority="8417" stopIfTrue="1">
      <formula>OR($O$3485="F/S",$O$3485="")</formula>
    </cfRule>
    <cfRule type="cellIs" dxfId="2509" priority="8418" stopIfTrue="1" operator="notEqual">
      <formula>0</formula>
    </cfRule>
  </conditionalFormatting>
  <conditionalFormatting sqref="L3505">
    <cfRule type="expression" dxfId="2508" priority="8419" stopIfTrue="1">
      <formula>OR($L$3505="F/S",$L$3505="")</formula>
    </cfRule>
    <cfRule type="cellIs" dxfId="2507" priority="8420" stopIfTrue="1" operator="notEqual">
      <formula>0</formula>
    </cfRule>
  </conditionalFormatting>
  <conditionalFormatting sqref="O3505">
    <cfRule type="expression" dxfId="2506" priority="8421" stopIfTrue="1">
      <formula>OR($O$3505="F/S",$O$3505="")</formula>
    </cfRule>
    <cfRule type="cellIs" dxfId="2505" priority="8422" stopIfTrue="1" operator="notEqual">
      <formula>0</formula>
    </cfRule>
  </conditionalFormatting>
  <conditionalFormatting sqref="L3515">
    <cfRule type="expression" dxfId="2504" priority="8423" stopIfTrue="1">
      <formula>OR($L$3515="F/S",$L$3515="")</formula>
    </cfRule>
    <cfRule type="cellIs" dxfId="2503" priority="8424" stopIfTrue="1" operator="notEqual">
      <formula>0</formula>
    </cfRule>
  </conditionalFormatting>
  <conditionalFormatting sqref="O3515">
    <cfRule type="expression" dxfId="2502" priority="8425" stopIfTrue="1">
      <formula>OR($O$3515="F/S",$O$3515="")</formula>
    </cfRule>
    <cfRule type="cellIs" dxfId="2501" priority="8426" stopIfTrue="1" operator="notEqual">
      <formula>0</formula>
    </cfRule>
  </conditionalFormatting>
  <conditionalFormatting sqref="L3535">
    <cfRule type="expression" dxfId="2500" priority="8431" stopIfTrue="1">
      <formula>OR($L$3535="F/S",$L$3535="")</formula>
    </cfRule>
    <cfRule type="cellIs" dxfId="2499" priority="8432" stopIfTrue="1" operator="notEqual">
      <formula>0</formula>
    </cfRule>
  </conditionalFormatting>
  <conditionalFormatting sqref="O3535">
    <cfRule type="expression" dxfId="2498" priority="8433" stopIfTrue="1">
      <formula>OR($O$3535="F/S",$O$3535="")</formula>
    </cfRule>
    <cfRule type="cellIs" dxfId="2497" priority="8434" stopIfTrue="1" operator="notEqual">
      <formula>0</formula>
    </cfRule>
  </conditionalFormatting>
  <conditionalFormatting sqref="L3562">
    <cfRule type="expression" dxfId="2496" priority="8435" stopIfTrue="1">
      <formula>OR($L$3562="F/S",$L$3562="")</formula>
    </cfRule>
    <cfRule type="cellIs" dxfId="2495" priority="8436" stopIfTrue="1" operator="notEqual">
      <formula>0</formula>
    </cfRule>
  </conditionalFormatting>
  <conditionalFormatting sqref="O3562">
    <cfRule type="expression" dxfId="2494" priority="8437" stopIfTrue="1">
      <formula>OR($O$3562="F/S",$O$3562="")</formula>
    </cfRule>
    <cfRule type="cellIs" dxfId="2493" priority="8438" stopIfTrue="1" operator="notEqual">
      <formula>0</formula>
    </cfRule>
  </conditionalFormatting>
  <conditionalFormatting sqref="L3572">
    <cfRule type="expression" dxfId="2492" priority="8439" stopIfTrue="1">
      <formula>OR($L$3572="F/S",$L$3572="")</formula>
    </cfRule>
    <cfRule type="cellIs" dxfId="2491" priority="8440" stopIfTrue="1" operator="notEqual">
      <formula>0</formula>
    </cfRule>
  </conditionalFormatting>
  <conditionalFormatting sqref="O3572">
    <cfRule type="expression" dxfId="2490" priority="8441" stopIfTrue="1">
      <formula>OR($O$3572="F/S",$O$3572="")</formula>
    </cfRule>
    <cfRule type="cellIs" dxfId="2489" priority="8442" stopIfTrue="1" operator="notEqual">
      <formula>0</formula>
    </cfRule>
  </conditionalFormatting>
  <conditionalFormatting sqref="L3592">
    <cfRule type="expression" dxfId="2488" priority="8443" stopIfTrue="1">
      <formula>OR($L$3592="F/S",$L$3592="")</formula>
    </cfRule>
    <cfRule type="cellIs" dxfId="2487" priority="8444" stopIfTrue="1" operator="notEqual">
      <formula>0</formula>
    </cfRule>
  </conditionalFormatting>
  <conditionalFormatting sqref="O3592">
    <cfRule type="expression" dxfId="2486" priority="8445" stopIfTrue="1">
      <formula>OR($O$3592="F/S",$O$3592="")</formula>
    </cfRule>
    <cfRule type="cellIs" dxfId="2485" priority="8446" stopIfTrue="1" operator="notEqual">
      <formula>0</formula>
    </cfRule>
  </conditionalFormatting>
  <conditionalFormatting sqref="L3582">
    <cfRule type="expression" dxfId="2484" priority="8451" stopIfTrue="1">
      <formula>OR($L$3582="F/S",$L$3582="")</formula>
    </cfRule>
    <cfRule type="cellIs" dxfId="2483" priority="8452" stopIfTrue="1" operator="notEqual">
      <formula>0</formula>
    </cfRule>
  </conditionalFormatting>
  <conditionalFormatting sqref="O3582">
    <cfRule type="expression" dxfId="2482" priority="8453" stopIfTrue="1">
      <formula>OR($O$3582="F/S",$O$3582="")</formula>
    </cfRule>
    <cfRule type="cellIs" dxfId="2481" priority="8454" stopIfTrue="1" operator="notEqual">
      <formula>0</formula>
    </cfRule>
  </conditionalFormatting>
  <conditionalFormatting sqref="L3545">
    <cfRule type="expression" dxfId="2480" priority="8455" stopIfTrue="1">
      <formula>OR($L$3545="F/S",$L$3545="")</formula>
    </cfRule>
    <cfRule type="cellIs" dxfId="2479" priority="8456" stopIfTrue="1" operator="notEqual">
      <formula>0</formula>
    </cfRule>
  </conditionalFormatting>
  <conditionalFormatting sqref="O3545">
    <cfRule type="expression" dxfId="2478" priority="8457" stopIfTrue="1">
      <formula>OR($O$3545="F/S",$O$3545="")</formula>
    </cfRule>
    <cfRule type="cellIs" dxfId="2477" priority="8458" stopIfTrue="1" operator="notEqual">
      <formula>0</formula>
    </cfRule>
  </conditionalFormatting>
  <conditionalFormatting sqref="L3602">
    <cfRule type="expression" dxfId="2476" priority="8459" stopIfTrue="1">
      <formula>OR($L$3602="F/S",$L$3602="")</formula>
    </cfRule>
    <cfRule type="cellIs" dxfId="2475" priority="8460" stopIfTrue="1" operator="notEqual">
      <formula>0</formula>
    </cfRule>
  </conditionalFormatting>
  <conditionalFormatting sqref="O3602">
    <cfRule type="expression" dxfId="2474" priority="8461" stopIfTrue="1">
      <formula>OR($O$3602="F/S",$O$3602="")</formula>
    </cfRule>
    <cfRule type="cellIs" dxfId="2473" priority="8462" stopIfTrue="1" operator="notEqual">
      <formula>0</formula>
    </cfRule>
  </conditionalFormatting>
  <conditionalFormatting sqref="L3622">
    <cfRule type="expression" dxfId="2472" priority="8463" stopIfTrue="1">
      <formula>OR($L$3622="F/S",$L$3622="")</formula>
    </cfRule>
    <cfRule type="cellIs" dxfId="2471" priority="8464" stopIfTrue="1" operator="notEqual">
      <formula>0</formula>
    </cfRule>
  </conditionalFormatting>
  <conditionalFormatting sqref="O3622">
    <cfRule type="expression" dxfId="2470" priority="8465" stopIfTrue="1">
      <formula>OR($O$3622="F/S",$O$3622="")</formula>
    </cfRule>
    <cfRule type="cellIs" dxfId="2469" priority="8466" stopIfTrue="1" operator="notEqual">
      <formula>0</formula>
    </cfRule>
  </conditionalFormatting>
  <conditionalFormatting sqref="L3632">
    <cfRule type="expression" dxfId="2468" priority="8467" stopIfTrue="1">
      <formula>OR($L$3632="F/S",$L$3632="")</formula>
    </cfRule>
    <cfRule type="cellIs" dxfId="2467" priority="8468" stopIfTrue="1" operator="notEqual">
      <formula>0</formula>
    </cfRule>
  </conditionalFormatting>
  <conditionalFormatting sqref="O3632">
    <cfRule type="expression" dxfId="2466" priority="8469" stopIfTrue="1">
      <formula>OR($O$3632="F/S",$O$3632="")</formula>
    </cfRule>
    <cfRule type="cellIs" dxfId="2465" priority="8470" stopIfTrue="1" operator="notEqual">
      <formula>0</formula>
    </cfRule>
  </conditionalFormatting>
  <conditionalFormatting sqref="L3661">
    <cfRule type="expression" dxfId="2464" priority="8471" stopIfTrue="1">
      <formula>OR($L$3661="F/S",$L$3661="")</formula>
    </cfRule>
    <cfRule type="cellIs" dxfId="2463" priority="8472" stopIfTrue="1" operator="notEqual">
      <formula>0</formula>
    </cfRule>
  </conditionalFormatting>
  <conditionalFormatting sqref="O3661">
    <cfRule type="expression" dxfId="2462" priority="8473" stopIfTrue="1">
      <formula>OR($O$3661="F/S",$O$3661="")</formula>
    </cfRule>
    <cfRule type="cellIs" dxfId="2461" priority="8474" stopIfTrue="1" operator="notEqual">
      <formula>0</formula>
    </cfRule>
  </conditionalFormatting>
  <conditionalFormatting sqref="L3685">
    <cfRule type="expression" dxfId="2460" priority="8475" stopIfTrue="1">
      <formula>OR($L$3685="F/S",$L$3685="")</formula>
    </cfRule>
    <cfRule type="cellIs" dxfId="2459" priority="8476" stopIfTrue="1" operator="notEqual">
      <formula>0</formula>
    </cfRule>
  </conditionalFormatting>
  <conditionalFormatting sqref="O3685">
    <cfRule type="expression" dxfId="2458" priority="8477" stopIfTrue="1">
      <formula>OR($O$3685="F/S",$O$3685="")</formula>
    </cfRule>
    <cfRule type="cellIs" dxfId="2457" priority="8478" stopIfTrue="1" operator="notEqual">
      <formula>0</formula>
    </cfRule>
  </conditionalFormatting>
  <conditionalFormatting sqref="L3717">
    <cfRule type="expression" dxfId="2456" priority="8479" stopIfTrue="1">
      <formula>OR($L$3717="F/S",$L$3717="")</formula>
    </cfRule>
    <cfRule type="cellIs" dxfId="2455" priority="8480" stopIfTrue="1" operator="notEqual">
      <formula>0</formula>
    </cfRule>
  </conditionalFormatting>
  <conditionalFormatting sqref="O3717">
    <cfRule type="expression" dxfId="2454" priority="8481" stopIfTrue="1">
      <formula>OR($O$3717="F/S",$O$3717="")</formula>
    </cfRule>
    <cfRule type="cellIs" dxfId="2453" priority="8482" stopIfTrue="1" operator="notEqual">
      <formula>0</formula>
    </cfRule>
  </conditionalFormatting>
  <conditionalFormatting sqref="L3731">
    <cfRule type="expression" dxfId="2452" priority="8487" stopIfTrue="1">
      <formula>OR($L$3731="F/S",$L$3731="")</formula>
    </cfRule>
    <cfRule type="cellIs" dxfId="2451" priority="8488" stopIfTrue="1" operator="notEqual">
      <formula>0</formula>
    </cfRule>
  </conditionalFormatting>
  <conditionalFormatting sqref="O3731">
    <cfRule type="expression" dxfId="2450" priority="8489" stopIfTrue="1">
      <formula>OR($O$3731="F/S",$O$3731="")</formula>
    </cfRule>
    <cfRule type="cellIs" dxfId="2449" priority="8490" stopIfTrue="1" operator="notEqual">
      <formula>0</formula>
    </cfRule>
  </conditionalFormatting>
  <conditionalFormatting sqref="L3750">
    <cfRule type="expression" dxfId="2448" priority="8491" stopIfTrue="1">
      <formula>OR($L$3750="F/S",$L$3750="")</formula>
    </cfRule>
    <cfRule type="cellIs" dxfId="2447" priority="8492" stopIfTrue="1" operator="notEqual">
      <formula>0</formula>
    </cfRule>
  </conditionalFormatting>
  <conditionalFormatting sqref="O3750">
    <cfRule type="expression" dxfId="2446" priority="8493" stopIfTrue="1">
      <formula>OR($O$3750="F/S",$O$3750="")</formula>
    </cfRule>
    <cfRule type="cellIs" dxfId="2445" priority="8494" stopIfTrue="1" operator="notEqual">
      <formula>0</formula>
    </cfRule>
  </conditionalFormatting>
  <conditionalFormatting sqref="L3774">
    <cfRule type="expression" dxfId="2444" priority="8495" stopIfTrue="1">
      <formula>OR($L$3774="F/S",$L$3774="")</formula>
    </cfRule>
    <cfRule type="cellIs" dxfId="2443" priority="8496" stopIfTrue="1" operator="notEqual">
      <formula>0</formula>
    </cfRule>
  </conditionalFormatting>
  <conditionalFormatting sqref="O3774">
    <cfRule type="expression" dxfId="2442" priority="8497" stopIfTrue="1">
      <formula>OR($O$3774="F/S",$O$3774="")</formula>
    </cfRule>
    <cfRule type="cellIs" dxfId="2441" priority="8498" stopIfTrue="1" operator="notEqual">
      <formula>0</formula>
    </cfRule>
  </conditionalFormatting>
  <conditionalFormatting sqref="L3794">
    <cfRule type="expression" dxfId="2440" priority="8499" stopIfTrue="1">
      <formula>OR($L$3794="F/S",$L$3794="")</formula>
    </cfRule>
    <cfRule type="cellIs" dxfId="2439" priority="8500" stopIfTrue="1" operator="notEqual">
      <formula>0</formula>
    </cfRule>
  </conditionalFormatting>
  <conditionalFormatting sqref="O3794">
    <cfRule type="expression" dxfId="2438" priority="8501" stopIfTrue="1">
      <formula>OR($O$3794="F/S",$O$3794="")</formula>
    </cfRule>
    <cfRule type="cellIs" dxfId="2437" priority="8502" stopIfTrue="1" operator="notEqual">
      <formula>0</formula>
    </cfRule>
  </conditionalFormatting>
  <conditionalFormatting sqref="L3805">
    <cfRule type="expression" dxfId="2436" priority="8503" stopIfTrue="1">
      <formula>OR($L$3805="F/S",$L$3805="")</formula>
    </cfRule>
    <cfRule type="cellIs" dxfId="2435" priority="8504" stopIfTrue="1" operator="notEqual">
      <formula>0</formula>
    </cfRule>
  </conditionalFormatting>
  <conditionalFormatting sqref="O3805">
    <cfRule type="expression" dxfId="2434" priority="8505" stopIfTrue="1">
      <formula>OR($O$3805="F/S",$O$3805="")</formula>
    </cfRule>
    <cfRule type="cellIs" dxfId="2433" priority="8506" stopIfTrue="1" operator="notEqual">
      <formula>0</formula>
    </cfRule>
  </conditionalFormatting>
  <conditionalFormatting sqref="L3822">
    <cfRule type="expression" dxfId="2432" priority="8507" stopIfTrue="1">
      <formula>OR($L$3822="F/S",$L$3822="")</formula>
    </cfRule>
    <cfRule type="cellIs" dxfId="2431" priority="8508" stopIfTrue="1" operator="notEqual">
      <formula>0</formula>
    </cfRule>
  </conditionalFormatting>
  <conditionalFormatting sqref="O3822">
    <cfRule type="expression" dxfId="2430" priority="8509" stopIfTrue="1">
      <formula>OR($O$3822="F/S",$O$3822="")</formula>
    </cfRule>
    <cfRule type="cellIs" dxfId="2429" priority="8510" stopIfTrue="1" operator="notEqual">
      <formula>0</formula>
    </cfRule>
  </conditionalFormatting>
  <conditionalFormatting sqref="L3833">
    <cfRule type="expression" dxfId="2428" priority="8511" stopIfTrue="1">
      <formula>OR($L$3833="F/S",$L$3833="")</formula>
    </cfRule>
    <cfRule type="cellIs" dxfId="2427" priority="8512" stopIfTrue="1" operator="notEqual">
      <formula>0</formula>
    </cfRule>
  </conditionalFormatting>
  <conditionalFormatting sqref="O3833">
    <cfRule type="expression" dxfId="2426" priority="8513" stopIfTrue="1">
      <formula>OR($O$3833="F/S",$O$3833="")</formula>
    </cfRule>
    <cfRule type="cellIs" dxfId="2425" priority="8514" stopIfTrue="1" operator="notEqual">
      <formula>0</formula>
    </cfRule>
  </conditionalFormatting>
  <conditionalFormatting sqref="L3860">
    <cfRule type="expression" dxfId="2424" priority="8515" stopIfTrue="1">
      <formula>OR($L$3860="F/S",$L$3860="")</formula>
    </cfRule>
    <cfRule type="cellIs" dxfId="2423" priority="8516" stopIfTrue="1" operator="notEqual">
      <formula>0</formula>
    </cfRule>
  </conditionalFormatting>
  <conditionalFormatting sqref="O3860">
    <cfRule type="expression" dxfId="2422" priority="8517" stopIfTrue="1">
      <formula>OR($O$3860="F/S",$O$3860="")</formula>
    </cfRule>
    <cfRule type="cellIs" dxfId="2421" priority="8518" stopIfTrue="1" operator="notEqual">
      <formula>0</formula>
    </cfRule>
  </conditionalFormatting>
  <conditionalFormatting sqref="L3843">
    <cfRule type="expression" dxfId="2420" priority="8519" stopIfTrue="1">
      <formula>OR($L$3843="F/S",$L$3843="")</formula>
    </cfRule>
    <cfRule type="cellIs" dxfId="2419" priority="8520" stopIfTrue="1" operator="notEqual">
      <formula>0</formula>
    </cfRule>
  </conditionalFormatting>
  <conditionalFormatting sqref="O3843">
    <cfRule type="expression" dxfId="2418" priority="8521" stopIfTrue="1">
      <formula>OR($O$3843="F/S",$O$3843="")</formula>
    </cfRule>
    <cfRule type="cellIs" dxfId="2417" priority="8522" stopIfTrue="1" operator="notEqual">
      <formula>0</formula>
    </cfRule>
  </conditionalFormatting>
  <conditionalFormatting sqref="L3890">
    <cfRule type="expression" dxfId="2416" priority="8523" stopIfTrue="1">
      <formula>OR($L$3890="F/S",$L$3890="")</formula>
    </cfRule>
    <cfRule type="cellIs" dxfId="2415" priority="8524" stopIfTrue="1" operator="notEqual">
      <formula>0</formula>
    </cfRule>
  </conditionalFormatting>
  <conditionalFormatting sqref="O3890">
    <cfRule type="expression" dxfId="2414" priority="8525" stopIfTrue="1">
      <formula>OR($O$3890="F/S",$O$3890="")</formula>
    </cfRule>
    <cfRule type="cellIs" dxfId="2413" priority="8526" stopIfTrue="1" operator="notEqual">
      <formula>0</formula>
    </cfRule>
  </conditionalFormatting>
  <conditionalFormatting sqref="L3870">
    <cfRule type="expression" dxfId="2412" priority="8527" stopIfTrue="1">
      <formula>OR($L$3870="F/S",$L$3870="")</formula>
    </cfRule>
    <cfRule type="cellIs" dxfId="2411" priority="8528" stopIfTrue="1" operator="notEqual">
      <formula>0</formula>
    </cfRule>
  </conditionalFormatting>
  <conditionalFormatting sqref="O3870">
    <cfRule type="expression" dxfId="2410" priority="8529" stopIfTrue="1">
      <formula>OR($O$3870="F/S",$O$3870="")</formula>
    </cfRule>
    <cfRule type="cellIs" dxfId="2409" priority="8530" stopIfTrue="1" operator="notEqual">
      <formula>0</formula>
    </cfRule>
  </conditionalFormatting>
  <conditionalFormatting sqref="L3880">
    <cfRule type="expression" dxfId="2408" priority="8531" stopIfTrue="1">
      <formula>OR($L$3880="F/S",$L$3880="")</formula>
    </cfRule>
    <cfRule type="cellIs" dxfId="2407" priority="8532" stopIfTrue="1" operator="notEqual">
      <formula>0</formula>
    </cfRule>
  </conditionalFormatting>
  <conditionalFormatting sqref="O3880">
    <cfRule type="expression" dxfId="2406" priority="8533" stopIfTrue="1">
      <formula>OR($O$3880="F/S",$O$3880="")</formula>
    </cfRule>
    <cfRule type="cellIs" dxfId="2405" priority="8534" stopIfTrue="1" operator="notEqual">
      <formula>0</formula>
    </cfRule>
  </conditionalFormatting>
  <conditionalFormatting sqref="L3900">
    <cfRule type="expression" dxfId="2404" priority="8535" stopIfTrue="1">
      <formula>OR($L$3900="F/S",$L$3900="")</formula>
    </cfRule>
    <cfRule type="cellIs" dxfId="2403" priority="8536" stopIfTrue="1" operator="notEqual">
      <formula>0</formula>
    </cfRule>
  </conditionalFormatting>
  <conditionalFormatting sqref="O3900">
    <cfRule type="expression" dxfId="2402" priority="8537" stopIfTrue="1">
      <formula>OR($O$3900="F/S",$O$3900="")</formula>
    </cfRule>
    <cfRule type="cellIs" dxfId="2401" priority="8538" stopIfTrue="1" operator="notEqual">
      <formula>0</formula>
    </cfRule>
  </conditionalFormatting>
  <conditionalFormatting sqref="L3764">
    <cfRule type="expression" dxfId="2400" priority="8539" stopIfTrue="1">
      <formula>OR($L$3764="F/S",$L$3764="")</formula>
    </cfRule>
    <cfRule type="cellIs" dxfId="2399" priority="8540" stopIfTrue="1" operator="notEqual">
      <formula>0</formula>
    </cfRule>
  </conditionalFormatting>
  <conditionalFormatting sqref="O3764">
    <cfRule type="expression" dxfId="2398" priority="8541" stopIfTrue="1">
      <formula>OR($O$3764="F/S",$O$3764="")</formula>
    </cfRule>
    <cfRule type="cellIs" dxfId="2397" priority="8542" stopIfTrue="1" operator="notEqual">
      <formula>0</formula>
    </cfRule>
  </conditionalFormatting>
  <conditionalFormatting sqref="L3920">
    <cfRule type="expression" dxfId="2396" priority="8543" stopIfTrue="1">
      <formula>OR($L$3920="F/S",$L$3920="")</formula>
    </cfRule>
    <cfRule type="cellIs" dxfId="2395" priority="8544" stopIfTrue="1" operator="notEqual">
      <formula>0</formula>
    </cfRule>
  </conditionalFormatting>
  <conditionalFormatting sqref="O3920">
    <cfRule type="expression" dxfId="2394" priority="8545" stopIfTrue="1">
      <formula>OR($O$3920="F/S",$O$3920="")</formula>
    </cfRule>
    <cfRule type="cellIs" dxfId="2393" priority="8546" stopIfTrue="1" operator="notEqual">
      <formula>0</formula>
    </cfRule>
  </conditionalFormatting>
  <conditionalFormatting sqref="L3931">
    <cfRule type="expression" dxfId="2392" priority="8547" stopIfTrue="1">
      <formula>OR($L$3931="F/S",$L$3931="")</formula>
    </cfRule>
    <cfRule type="cellIs" dxfId="2391" priority="8548" stopIfTrue="1" operator="notEqual">
      <formula>0</formula>
    </cfRule>
  </conditionalFormatting>
  <conditionalFormatting sqref="O3931">
    <cfRule type="expression" dxfId="2390" priority="8549" stopIfTrue="1">
      <formula>OR($O$3931="F/S",$O$3931="")</formula>
    </cfRule>
    <cfRule type="cellIs" dxfId="2389" priority="8550" stopIfTrue="1" operator="notEqual">
      <formula>0</formula>
    </cfRule>
  </conditionalFormatting>
  <conditionalFormatting sqref="L3941">
    <cfRule type="expression" dxfId="2388" priority="8551" stopIfTrue="1">
      <formula>OR($L$3941="F/S",$L$3941="")</formula>
    </cfRule>
    <cfRule type="cellIs" dxfId="2387" priority="8552" stopIfTrue="1" operator="notEqual">
      <formula>0</formula>
    </cfRule>
  </conditionalFormatting>
  <conditionalFormatting sqref="O3941">
    <cfRule type="expression" dxfId="2386" priority="8553" stopIfTrue="1">
      <formula>OR($O$3941="F/S",$O$3941="")</formula>
    </cfRule>
    <cfRule type="cellIs" dxfId="2385" priority="8554" stopIfTrue="1" operator="notEqual">
      <formula>0</formula>
    </cfRule>
  </conditionalFormatting>
  <conditionalFormatting sqref="L3951">
    <cfRule type="expression" dxfId="2384" priority="8555" stopIfTrue="1">
      <formula>OR($L$3951="F/S",$L$3951="")</formula>
    </cfRule>
    <cfRule type="cellIs" dxfId="2383" priority="8556" stopIfTrue="1" operator="notEqual">
      <formula>0</formula>
    </cfRule>
  </conditionalFormatting>
  <conditionalFormatting sqref="O3951">
    <cfRule type="expression" dxfId="2382" priority="8557" stopIfTrue="1">
      <formula>OR($O$3951="F/S",$O$3951="")</formula>
    </cfRule>
    <cfRule type="cellIs" dxfId="2381" priority="8558" stopIfTrue="1" operator="notEqual">
      <formula>0</formula>
    </cfRule>
  </conditionalFormatting>
  <conditionalFormatting sqref="L3961">
    <cfRule type="expression" dxfId="2380" priority="8559" stopIfTrue="1">
      <formula>OR($L$3961="F/S",$L$3961="")</formula>
    </cfRule>
    <cfRule type="cellIs" dxfId="2379" priority="8560" stopIfTrue="1" operator="notEqual">
      <formula>0</formula>
    </cfRule>
  </conditionalFormatting>
  <conditionalFormatting sqref="O3961">
    <cfRule type="expression" dxfId="2378" priority="8561" stopIfTrue="1">
      <formula>OR($O$3961="F/S",$O$3961="")</formula>
    </cfRule>
    <cfRule type="cellIs" dxfId="2377" priority="8562" stopIfTrue="1" operator="notEqual">
      <formula>0</formula>
    </cfRule>
  </conditionalFormatting>
  <conditionalFormatting sqref="L3972">
    <cfRule type="expression" dxfId="2376" priority="8563" stopIfTrue="1">
      <formula>OR($L$3972="F/S",$L$3972="")</formula>
    </cfRule>
    <cfRule type="cellIs" dxfId="2375" priority="8564" stopIfTrue="1" operator="notEqual">
      <formula>0</formula>
    </cfRule>
  </conditionalFormatting>
  <conditionalFormatting sqref="O3972">
    <cfRule type="expression" dxfId="2374" priority="8565" stopIfTrue="1">
      <formula>OR($O$3972="F/S",$O$3972="")</formula>
    </cfRule>
    <cfRule type="cellIs" dxfId="2373" priority="8566" stopIfTrue="1" operator="notEqual">
      <formula>0</formula>
    </cfRule>
  </conditionalFormatting>
  <conditionalFormatting sqref="L3983">
    <cfRule type="expression" dxfId="2372" priority="8567" stopIfTrue="1">
      <formula>OR($L$3983="F/S",$L$3983="")</formula>
    </cfRule>
    <cfRule type="cellIs" dxfId="2371" priority="8568" stopIfTrue="1" operator="notEqual">
      <formula>0</formula>
    </cfRule>
  </conditionalFormatting>
  <conditionalFormatting sqref="O3983">
    <cfRule type="expression" dxfId="2370" priority="8569" stopIfTrue="1">
      <formula>OR($O$3983="F/S",$O$3983="")</formula>
    </cfRule>
    <cfRule type="cellIs" dxfId="2369" priority="8570" stopIfTrue="1" operator="notEqual">
      <formula>0</formula>
    </cfRule>
  </conditionalFormatting>
  <conditionalFormatting sqref="L4001">
    <cfRule type="expression" dxfId="2368" priority="8575" stopIfTrue="1">
      <formula>OR($L$4001="F/S",$L$4001="")</formula>
    </cfRule>
    <cfRule type="cellIs" dxfId="2367" priority="8576" stopIfTrue="1" operator="notEqual">
      <formula>0</formula>
    </cfRule>
  </conditionalFormatting>
  <conditionalFormatting sqref="O4001">
    <cfRule type="expression" dxfId="2366" priority="8577" stopIfTrue="1">
      <formula>OR($O$4001="F/S",$O$4001="")</formula>
    </cfRule>
    <cfRule type="cellIs" dxfId="2365" priority="8578" stopIfTrue="1" operator="notEqual">
      <formula>0</formula>
    </cfRule>
  </conditionalFormatting>
  <conditionalFormatting sqref="L4014">
    <cfRule type="expression" dxfId="2364" priority="8579" stopIfTrue="1">
      <formula>OR($L$4014="F/S",$L$4014="")</formula>
    </cfRule>
    <cfRule type="cellIs" dxfId="2363" priority="8580" stopIfTrue="1" operator="notEqual">
      <formula>0</formula>
    </cfRule>
  </conditionalFormatting>
  <conditionalFormatting sqref="O4014">
    <cfRule type="expression" dxfId="2362" priority="8581" stopIfTrue="1">
      <formula>OR($O$4014="F/S",$O$4014="")</formula>
    </cfRule>
    <cfRule type="cellIs" dxfId="2361" priority="8582" stopIfTrue="1" operator="notEqual">
      <formula>0</formula>
    </cfRule>
  </conditionalFormatting>
  <conditionalFormatting sqref="L4024">
    <cfRule type="expression" dxfId="2360" priority="8583" stopIfTrue="1">
      <formula>OR($L$4024="F/S",$L$4024="")</formula>
    </cfRule>
    <cfRule type="cellIs" dxfId="2359" priority="8584" stopIfTrue="1" operator="notEqual">
      <formula>0</formula>
    </cfRule>
  </conditionalFormatting>
  <conditionalFormatting sqref="O4024">
    <cfRule type="expression" dxfId="2358" priority="8585" stopIfTrue="1">
      <formula>OR($O$4024="F/S",$O$4024="")</formula>
    </cfRule>
    <cfRule type="cellIs" dxfId="2357" priority="8586" stopIfTrue="1" operator="notEqual">
      <formula>0</formula>
    </cfRule>
  </conditionalFormatting>
  <conditionalFormatting sqref="L4034">
    <cfRule type="expression" dxfId="2356" priority="8587" stopIfTrue="1">
      <formula>OR($L$4034="F/S",$L$4034="")</formula>
    </cfRule>
    <cfRule type="cellIs" dxfId="2355" priority="8588" stopIfTrue="1" operator="notEqual">
      <formula>0</formula>
    </cfRule>
  </conditionalFormatting>
  <conditionalFormatting sqref="O4034">
    <cfRule type="expression" dxfId="2354" priority="8589" stopIfTrue="1">
      <formula>OR($O$4034="F/S",$O$4034="")</formula>
    </cfRule>
    <cfRule type="cellIs" dxfId="2353" priority="8590" stopIfTrue="1" operator="notEqual">
      <formula>0</formula>
    </cfRule>
  </conditionalFormatting>
  <conditionalFormatting sqref="L4044">
    <cfRule type="expression" dxfId="2352" priority="8591" stopIfTrue="1">
      <formula>OR($L$4044="F/S",$L$4044="")</formula>
    </cfRule>
    <cfRule type="cellIs" dxfId="2351" priority="8592" stopIfTrue="1" operator="notEqual">
      <formula>0</formula>
    </cfRule>
  </conditionalFormatting>
  <conditionalFormatting sqref="O4044">
    <cfRule type="expression" dxfId="2350" priority="8593" stopIfTrue="1">
      <formula>OR($O$4044="F/S",$O$4044="")</formula>
    </cfRule>
    <cfRule type="cellIs" dxfId="2349" priority="8594" stopIfTrue="1" operator="notEqual">
      <formula>0</formula>
    </cfRule>
  </conditionalFormatting>
  <conditionalFormatting sqref="L4055">
    <cfRule type="expression" dxfId="2348" priority="8595" stopIfTrue="1">
      <formula>OR($L$4055="F/S",$L$4055="")</formula>
    </cfRule>
    <cfRule type="cellIs" dxfId="2347" priority="8596" stopIfTrue="1" operator="notEqual">
      <formula>0</formula>
    </cfRule>
  </conditionalFormatting>
  <conditionalFormatting sqref="O4055">
    <cfRule type="expression" dxfId="2346" priority="8597" stopIfTrue="1">
      <formula>OR($O$4055="F/S",$O$4055="")</formula>
    </cfRule>
    <cfRule type="cellIs" dxfId="2345" priority="8598" stopIfTrue="1" operator="notEqual">
      <formula>0</formula>
    </cfRule>
  </conditionalFormatting>
  <conditionalFormatting sqref="L4065">
    <cfRule type="expression" dxfId="2344" priority="8599" stopIfTrue="1">
      <formula>OR($L$4065="F/S",$L$4065="")</formula>
    </cfRule>
    <cfRule type="cellIs" dxfId="2343" priority="8600" stopIfTrue="1" operator="notEqual">
      <formula>0</formula>
    </cfRule>
  </conditionalFormatting>
  <conditionalFormatting sqref="O4065">
    <cfRule type="expression" dxfId="2342" priority="8601" stopIfTrue="1">
      <formula>OR($O$4065="F/S",$O$4065="")</formula>
    </cfRule>
    <cfRule type="cellIs" dxfId="2341" priority="8602" stopIfTrue="1" operator="notEqual">
      <formula>0</formula>
    </cfRule>
  </conditionalFormatting>
  <conditionalFormatting sqref="L4078">
    <cfRule type="expression" dxfId="2340" priority="8603" stopIfTrue="1">
      <formula>OR($L$4078="F/S",$L$4078="")</formula>
    </cfRule>
    <cfRule type="cellIs" dxfId="2339" priority="8604" stopIfTrue="1" operator="notEqual">
      <formula>0</formula>
    </cfRule>
  </conditionalFormatting>
  <conditionalFormatting sqref="O4078">
    <cfRule type="expression" dxfId="2338" priority="8605" stopIfTrue="1">
      <formula>OR($O$4078="F/S",$O$4078="")</formula>
    </cfRule>
    <cfRule type="cellIs" dxfId="2337" priority="8606" stopIfTrue="1" operator="notEqual">
      <formula>0</formula>
    </cfRule>
  </conditionalFormatting>
  <conditionalFormatting sqref="L4088">
    <cfRule type="expression" dxfId="2336" priority="8607" stopIfTrue="1">
      <formula>OR($L$4088="F/S",$L$4088="")</formula>
    </cfRule>
    <cfRule type="cellIs" dxfId="2335" priority="8608" stopIfTrue="1" operator="notEqual">
      <formula>0</formula>
    </cfRule>
  </conditionalFormatting>
  <conditionalFormatting sqref="O4088">
    <cfRule type="expression" dxfId="2334" priority="8609" stopIfTrue="1">
      <formula>OR($O$4088="F/S",$O$4088="")</formula>
    </cfRule>
    <cfRule type="cellIs" dxfId="2333" priority="8610" stopIfTrue="1" operator="notEqual">
      <formula>0</formula>
    </cfRule>
  </conditionalFormatting>
  <conditionalFormatting sqref="L4111">
    <cfRule type="expression" dxfId="2332" priority="8611" stopIfTrue="1">
      <formula>OR($L$4111="F/S",$L$4111="")</formula>
    </cfRule>
    <cfRule type="cellIs" dxfId="2331" priority="8612" stopIfTrue="1" operator="notEqual">
      <formula>0</formula>
    </cfRule>
  </conditionalFormatting>
  <conditionalFormatting sqref="O4111">
    <cfRule type="expression" dxfId="2330" priority="8613" stopIfTrue="1">
      <formula>OR($O$4111="F/S",$O$4111="")</formula>
    </cfRule>
    <cfRule type="cellIs" dxfId="2329" priority="8614" stopIfTrue="1" operator="notEqual">
      <formula>0</formula>
    </cfRule>
  </conditionalFormatting>
  <conditionalFormatting sqref="L4122">
    <cfRule type="expression" dxfId="2328" priority="8615" stopIfTrue="1">
      <formula>OR($L$4122="F/S",$L$4122="")</formula>
    </cfRule>
    <cfRule type="cellIs" dxfId="2327" priority="8616" stopIfTrue="1" operator="notEqual">
      <formula>0</formula>
    </cfRule>
  </conditionalFormatting>
  <conditionalFormatting sqref="O4122">
    <cfRule type="expression" dxfId="2326" priority="8617" stopIfTrue="1">
      <formula>OR($O$4122="F/S",$O$4122="")</formula>
    </cfRule>
    <cfRule type="cellIs" dxfId="2325" priority="8618" stopIfTrue="1" operator="notEqual">
      <formula>0</formula>
    </cfRule>
  </conditionalFormatting>
  <conditionalFormatting sqref="L4140">
    <cfRule type="expression" dxfId="2324" priority="8619" stopIfTrue="1">
      <formula>OR($L$4140="F/S",$L$4140="")</formula>
    </cfRule>
    <cfRule type="cellIs" dxfId="2323" priority="8620" stopIfTrue="1" operator="notEqual">
      <formula>0</formula>
    </cfRule>
  </conditionalFormatting>
  <conditionalFormatting sqref="O4140">
    <cfRule type="expression" dxfId="2322" priority="8621" stopIfTrue="1">
      <formula>OR($O$4140="F/S",$O$4140="")</formula>
    </cfRule>
    <cfRule type="cellIs" dxfId="2321" priority="8622" stopIfTrue="1" operator="notEqual">
      <formula>0</formula>
    </cfRule>
  </conditionalFormatting>
  <conditionalFormatting sqref="L4151">
    <cfRule type="expression" dxfId="2320" priority="8623" stopIfTrue="1">
      <formula>OR($L$4151="F/S",$L$4151="")</formula>
    </cfRule>
    <cfRule type="cellIs" dxfId="2319" priority="8624" stopIfTrue="1" operator="notEqual">
      <formula>0</formula>
    </cfRule>
  </conditionalFormatting>
  <conditionalFormatting sqref="O4151">
    <cfRule type="expression" dxfId="2318" priority="8625" stopIfTrue="1">
      <formula>OR($O$4151="F/S",$O$4151="")</formula>
    </cfRule>
    <cfRule type="cellIs" dxfId="2317" priority="8626" stopIfTrue="1" operator="notEqual">
      <formula>0</formula>
    </cfRule>
  </conditionalFormatting>
  <conditionalFormatting sqref="L4161">
    <cfRule type="expression" dxfId="2316" priority="8627" stopIfTrue="1">
      <formula>OR($L$4161="F/S",$L$4161="")</formula>
    </cfRule>
    <cfRule type="cellIs" dxfId="2315" priority="8628" stopIfTrue="1" operator="notEqual">
      <formula>0</formula>
    </cfRule>
  </conditionalFormatting>
  <conditionalFormatting sqref="O4161">
    <cfRule type="expression" dxfId="2314" priority="8629" stopIfTrue="1">
      <formula>OR($O$4161="F/S",$O$4161="")</formula>
    </cfRule>
    <cfRule type="cellIs" dxfId="2313" priority="8630" stopIfTrue="1" operator="notEqual">
      <formula>0</formula>
    </cfRule>
  </conditionalFormatting>
  <conditionalFormatting sqref="L4172">
    <cfRule type="expression" dxfId="2312" priority="8631" stopIfTrue="1">
      <formula>OR($L$4172="F/S",$L$4172="")</formula>
    </cfRule>
    <cfRule type="cellIs" dxfId="2311" priority="8632" stopIfTrue="1" operator="notEqual">
      <formula>0</formula>
    </cfRule>
  </conditionalFormatting>
  <conditionalFormatting sqref="O4172">
    <cfRule type="expression" dxfId="2310" priority="8633" stopIfTrue="1">
      <formula>OR($O$4172="F/S",$O$4172="")</formula>
    </cfRule>
    <cfRule type="cellIs" dxfId="2309" priority="8634" stopIfTrue="1" operator="notEqual">
      <formula>0</formula>
    </cfRule>
  </conditionalFormatting>
  <conditionalFormatting sqref="L4182">
    <cfRule type="expression" dxfId="2308" priority="8635" stopIfTrue="1">
      <formula>OR($L$4182="F/S",$L$4182="")</formula>
    </cfRule>
    <cfRule type="cellIs" dxfId="2307" priority="8636" stopIfTrue="1" operator="notEqual">
      <formula>0</formula>
    </cfRule>
  </conditionalFormatting>
  <conditionalFormatting sqref="O4182">
    <cfRule type="expression" dxfId="2306" priority="8637" stopIfTrue="1">
      <formula>OR($O$4182="F/S",$O$4182="")</formula>
    </cfRule>
    <cfRule type="cellIs" dxfId="2305" priority="8638" stopIfTrue="1" operator="notEqual">
      <formula>0</formula>
    </cfRule>
  </conditionalFormatting>
  <conditionalFormatting sqref="L4202">
    <cfRule type="expression" dxfId="2304" priority="8639" stopIfTrue="1">
      <formula>OR($L$4202="F/S",$L$4202="")</formula>
    </cfRule>
    <cfRule type="cellIs" dxfId="2303" priority="8640" stopIfTrue="1" operator="notEqual">
      <formula>0</formula>
    </cfRule>
  </conditionalFormatting>
  <conditionalFormatting sqref="O4202">
    <cfRule type="expression" dxfId="2302" priority="8641" stopIfTrue="1">
      <formula>OR($O$4202="F/S",$O$4202="")</formula>
    </cfRule>
    <cfRule type="cellIs" dxfId="2301" priority="8642" stopIfTrue="1" operator="notEqual">
      <formula>0</formula>
    </cfRule>
  </conditionalFormatting>
  <conditionalFormatting sqref="L4217">
    <cfRule type="expression" dxfId="2300" priority="8643" stopIfTrue="1">
      <formula>OR($L$4217="F/S",$L$4217="")</formula>
    </cfRule>
    <cfRule type="cellIs" dxfId="2299" priority="8644" stopIfTrue="1" operator="notEqual">
      <formula>0</formula>
    </cfRule>
  </conditionalFormatting>
  <conditionalFormatting sqref="O4217">
    <cfRule type="expression" dxfId="2298" priority="8645" stopIfTrue="1">
      <formula>OR($O$4217="F/S",$O$4217="")</formula>
    </cfRule>
    <cfRule type="cellIs" dxfId="2297" priority="8646" stopIfTrue="1" operator="notEqual">
      <formula>0</formula>
    </cfRule>
  </conditionalFormatting>
  <conditionalFormatting sqref="L4226">
    <cfRule type="expression" dxfId="2296" priority="8655" stopIfTrue="1">
      <formula>OR($L$4226="F/S",$L$4226="")</formula>
    </cfRule>
    <cfRule type="cellIs" dxfId="2295" priority="8656" stopIfTrue="1" operator="notEqual">
      <formula>0</formula>
    </cfRule>
  </conditionalFormatting>
  <conditionalFormatting sqref="O4226">
    <cfRule type="expression" dxfId="2294" priority="8657" stopIfTrue="1">
      <formula>OR($O$4226="F/S",$O$4226="")</formula>
    </cfRule>
    <cfRule type="cellIs" dxfId="2293" priority="8658" stopIfTrue="1" operator="notEqual">
      <formula>0</formula>
    </cfRule>
  </conditionalFormatting>
  <conditionalFormatting sqref="L4237">
    <cfRule type="expression" dxfId="2292" priority="8659" stopIfTrue="1">
      <formula>OR($L$4237="F/S",$L$4237="")</formula>
    </cfRule>
    <cfRule type="cellIs" dxfId="2291" priority="8660" stopIfTrue="1" operator="notEqual">
      <formula>0</formula>
    </cfRule>
  </conditionalFormatting>
  <conditionalFormatting sqref="O4237">
    <cfRule type="expression" dxfId="2290" priority="8661" stopIfTrue="1">
      <formula>OR($O$4237="F/S",$O$4237="")</formula>
    </cfRule>
    <cfRule type="cellIs" dxfId="2289" priority="8662" stopIfTrue="1" operator="notEqual">
      <formula>0</formula>
    </cfRule>
  </conditionalFormatting>
  <conditionalFormatting sqref="L4251">
    <cfRule type="expression" dxfId="2288" priority="8663" stopIfTrue="1">
      <formula>OR($L$4251="F/S",$L$4251="")</formula>
    </cfRule>
    <cfRule type="cellIs" dxfId="2287" priority="8664" stopIfTrue="1" operator="notEqual">
      <formula>0</formula>
    </cfRule>
  </conditionalFormatting>
  <conditionalFormatting sqref="O4251">
    <cfRule type="expression" dxfId="2286" priority="8665" stopIfTrue="1">
      <formula>OR($O$4251="F/S",$O$4251="")</formula>
    </cfRule>
    <cfRule type="cellIs" dxfId="2285" priority="8666" stopIfTrue="1" operator="notEqual">
      <formula>0</formula>
    </cfRule>
  </conditionalFormatting>
  <conditionalFormatting sqref="L4265">
    <cfRule type="expression" dxfId="2284" priority="8667" stopIfTrue="1">
      <formula>OR($L$4265="F/S",$L$4265="")</formula>
    </cfRule>
    <cfRule type="cellIs" dxfId="2283" priority="8668" stopIfTrue="1" operator="notEqual">
      <formula>0</formula>
    </cfRule>
  </conditionalFormatting>
  <conditionalFormatting sqref="O4265">
    <cfRule type="expression" dxfId="2282" priority="8669" stopIfTrue="1">
      <formula>OR($O$4265="F/S",$O$4265="")</formula>
    </cfRule>
    <cfRule type="cellIs" dxfId="2281" priority="8670" stopIfTrue="1" operator="notEqual">
      <formula>0</formula>
    </cfRule>
  </conditionalFormatting>
  <conditionalFormatting sqref="L4273">
    <cfRule type="expression" dxfId="2280" priority="8671" stopIfTrue="1">
      <formula>OR($L$4273="F/S",$L$4273="")</formula>
    </cfRule>
    <cfRule type="cellIs" dxfId="2279" priority="8672" stopIfTrue="1" operator="notEqual">
      <formula>0</formula>
    </cfRule>
  </conditionalFormatting>
  <conditionalFormatting sqref="O4273">
    <cfRule type="expression" dxfId="2278" priority="8673" stopIfTrue="1">
      <formula>OR($O$4273="F/S",$O$4273="")</formula>
    </cfRule>
    <cfRule type="cellIs" dxfId="2277" priority="8674" stopIfTrue="1" operator="notEqual">
      <formula>0</formula>
    </cfRule>
  </conditionalFormatting>
  <conditionalFormatting sqref="L4291 L4301">
    <cfRule type="expression" dxfId="2276" priority="8675" stopIfTrue="1">
      <formula>OR($L$4291="F/S",$L$4291="")</formula>
    </cfRule>
    <cfRule type="cellIs" dxfId="2275" priority="8676" stopIfTrue="1" operator="notEqual">
      <formula>0</formula>
    </cfRule>
  </conditionalFormatting>
  <conditionalFormatting sqref="O4291 O4301">
    <cfRule type="expression" dxfId="2274" priority="8677" stopIfTrue="1">
      <formula>OR($O$4291="F/S",$O$4291="")</formula>
    </cfRule>
    <cfRule type="cellIs" dxfId="2273" priority="8678" stopIfTrue="1" operator="notEqual">
      <formula>0</formula>
    </cfRule>
  </conditionalFormatting>
  <conditionalFormatting sqref="L4301">
    <cfRule type="expression" dxfId="2272" priority="8679" stopIfTrue="1">
      <formula>OR($L$4301="F/S",$L$4301="")</formula>
    </cfRule>
    <cfRule type="cellIs" dxfId="2271" priority="8680" stopIfTrue="1" operator="notEqual">
      <formula>0</formula>
    </cfRule>
  </conditionalFormatting>
  <conditionalFormatting sqref="O4301">
    <cfRule type="expression" dxfId="2270" priority="8681" stopIfTrue="1">
      <formula>OR($O$4301="F/S",$O$4301="")</formula>
    </cfRule>
    <cfRule type="cellIs" dxfId="2269" priority="8682" stopIfTrue="1" operator="notEqual">
      <formula>0</formula>
    </cfRule>
  </conditionalFormatting>
  <conditionalFormatting sqref="L4312">
    <cfRule type="expression" dxfId="2268" priority="8683" stopIfTrue="1">
      <formula>OR($L$4312="F/S",$L$4312="")</formula>
    </cfRule>
    <cfRule type="cellIs" dxfId="2267" priority="8684" stopIfTrue="1" operator="notEqual">
      <formula>0</formula>
    </cfRule>
  </conditionalFormatting>
  <conditionalFormatting sqref="O4312">
    <cfRule type="expression" dxfId="2266" priority="8685" stopIfTrue="1">
      <formula>OR($O$4312="F/S",$O$4312="")</formula>
    </cfRule>
    <cfRule type="cellIs" dxfId="2265" priority="8686" stopIfTrue="1" operator="notEqual">
      <formula>0</formula>
    </cfRule>
  </conditionalFormatting>
  <conditionalFormatting sqref="L4321">
    <cfRule type="expression" dxfId="2264" priority="8687" stopIfTrue="1">
      <formula>OR($L$4321="F/S",$L$4321="")</formula>
    </cfRule>
    <cfRule type="cellIs" dxfId="2263" priority="8688" stopIfTrue="1" operator="notEqual">
      <formula>0</formula>
    </cfRule>
  </conditionalFormatting>
  <conditionalFormatting sqref="O4321">
    <cfRule type="expression" dxfId="2262" priority="8689" stopIfTrue="1">
      <formula>OR($O$4321="F/S",$O$4321="")</formula>
    </cfRule>
    <cfRule type="cellIs" dxfId="2261" priority="8690" stopIfTrue="1" operator="notEqual">
      <formula>0</formula>
    </cfRule>
  </conditionalFormatting>
  <conditionalFormatting sqref="L4355">
    <cfRule type="expression" dxfId="2260" priority="8691" stopIfTrue="1">
      <formula>OR($L$4355="F/S",$L$4355="")</formula>
    </cfRule>
    <cfRule type="cellIs" dxfId="2259" priority="8692" stopIfTrue="1" operator="notEqual">
      <formula>0</formula>
    </cfRule>
  </conditionalFormatting>
  <conditionalFormatting sqref="O4355">
    <cfRule type="expression" dxfId="2258" priority="8693" stopIfTrue="1">
      <formula>OR($O$4355="F/S",$O$4355="")</formula>
    </cfRule>
    <cfRule type="cellIs" dxfId="2257" priority="8694" stopIfTrue="1" operator="notEqual">
      <formula>0</formula>
    </cfRule>
  </conditionalFormatting>
  <conditionalFormatting sqref="L4334">
    <cfRule type="expression" dxfId="2256" priority="8695" stopIfTrue="1">
      <formula>OR($L$4334="F/S",$L$4334="")</formula>
    </cfRule>
    <cfRule type="cellIs" dxfId="2255" priority="8696" stopIfTrue="1" operator="notEqual">
      <formula>0</formula>
    </cfRule>
  </conditionalFormatting>
  <conditionalFormatting sqref="O4334">
    <cfRule type="expression" dxfId="2254" priority="8697" stopIfTrue="1">
      <formula>OR($O$4334="F/S",$O$4334="")</formula>
    </cfRule>
    <cfRule type="cellIs" dxfId="2253" priority="8698" stopIfTrue="1" operator="notEqual">
      <formula>0</formula>
    </cfRule>
  </conditionalFormatting>
  <conditionalFormatting sqref="L4344">
    <cfRule type="expression" dxfId="2252" priority="8699" stopIfTrue="1">
      <formula>OR($L$4344="F/S",$L$4344="")</formula>
    </cfRule>
    <cfRule type="cellIs" dxfId="2251" priority="8700" stopIfTrue="1" operator="notEqual">
      <formula>0</formula>
    </cfRule>
  </conditionalFormatting>
  <conditionalFormatting sqref="O4344">
    <cfRule type="expression" dxfId="2250" priority="8701" stopIfTrue="1">
      <formula>OR($O$4344="F/S",$O$4344="")</formula>
    </cfRule>
    <cfRule type="cellIs" dxfId="2249" priority="8702" stopIfTrue="1" operator="notEqual">
      <formula>0</formula>
    </cfRule>
  </conditionalFormatting>
  <conditionalFormatting sqref="L4428">
    <cfRule type="expression" dxfId="2248" priority="8707" stopIfTrue="1">
      <formula>OR($L$4428="F/S",$L$4428="")</formula>
    </cfRule>
    <cfRule type="cellIs" dxfId="2247" priority="8708" stopIfTrue="1" operator="notEqual">
      <formula>0</formula>
    </cfRule>
  </conditionalFormatting>
  <conditionalFormatting sqref="O4428">
    <cfRule type="expression" dxfId="2246" priority="8709" stopIfTrue="1">
      <formula>OR($O$4428="F/S",$O$4428="")</formula>
    </cfRule>
    <cfRule type="cellIs" dxfId="2245" priority="8710" stopIfTrue="1" operator="notEqual">
      <formula>0</formula>
    </cfRule>
  </conditionalFormatting>
  <conditionalFormatting sqref="L4441">
    <cfRule type="expression" dxfId="2244" priority="8711" stopIfTrue="1">
      <formula>OR($L$4441="F/S",$L$4441="")</formula>
    </cfRule>
    <cfRule type="cellIs" dxfId="2243" priority="8712" stopIfTrue="1" operator="notEqual">
      <formula>0</formula>
    </cfRule>
  </conditionalFormatting>
  <conditionalFormatting sqref="O4441">
    <cfRule type="expression" dxfId="2242" priority="8713" stopIfTrue="1">
      <formula>OR($O$4441="F/S",$O$4441="")</formula>
    </cfRule>
    <cfRule type="cellIs" dxfId="2241" priority="8714" stopIfTrue="1" operator="notEqual">
      <formula>0</formula>
    </cfRule>
  </conditionalFormatting>
  <conditionalFormatting sqref="L4453">
    <cfRule type="expression" dxfId="2240" priority="8715" stopIfTrue="1">
      <formula>OR($L$4453="F/S",$L$4453="")</formula>
    </cfRule>
    <cfRule type="cellIs" dxfId="2239" priority="8716" stopIfTrue="1" operator="notEqual">
      <formula>0</formula>
    </cfRule>
  </conditionalFormatting>
  <conditionalFormatting sqref="O4453">
    <cfRule type="expression" dxfId="2238" priority="8717" stopIfTrue="1">
      <formula>OR($O$4453="F/S",$O$4453="")</formula>
    </cfRule>
    <cfRule type="cellIs" dxfId="2237" priority="8718" stopIfTrue="1" operator="notEqual">
      <formula>0</formula>
    </cfRule>
  </conditionalFormatting>
  <conditionalFormatting sqref="L4461">
    <cfRule type="expression" dxfId="2236" priority="8719" stopIfTrue="1">
      <formula>OR($L$4461="F/S",$L$4461="")</formula>
    </cfRule>
    <cfRule type="cellIs" dxfId="2235" priority="8720" stopIfTrue="1" operator="notEqual">
      <formula>0</formula>
    </cfRule>
  </conditionalFormatting>
  <conditionalFormatting sqref="O4461">
    <cfRule type="expression" dxfId="2234" priority="8721" stopIfTrue="1">
      <formula>OR($O$4461="F/S",$O$4461="")</formula>
    </cfRule>
    <cfRule type="cellIs" dxfId="2233" priority="8722" stopIfTrue="1" operator="notEqual">
      <formula>0</formula>
    </cfRule>
  </conditionalFormatting>
  <conditionalFormatting sqref="L4478">
    <cfRule type="expression" dxfId="2232" priority="8723" stopIfTrue="1">
      <formula>OR($L$4478="F/S",$L$4478="")</formula>
    </cfRule>
    <cfRule type="cellIs" dxfId="2231" priority="8724" stopIfTrue="1" operator="notEqual">
      <formula>0</formula>
    </cfRule>
  </conditionalFormatting>
  <conditionalFormatting sqref="O4478">
    <cfRule type="expression" dxfId="2230" priority="8725" stopIfTrue="1">
      <formula>OR($O$4478="F/S",$O$4478="")</formula>
    </cfRule>
    <cfRule type="cellIs" dxfId="2229" priority="8726" stopIfTrue="1" operator="notEqual">
      <formula>0</formula>
    </cfRule>
  </conditionalFormatting>
  <conditionalFormatting sqref="L4364">
    <cfRule type="expression" dxfId="2228" priority="8727" stopIfTrue="1">
      <formula>OR($L$4364="F/S",$L$4364="")</formula>
    </cfRule>
    <cfRule type="cellIs" dxfId="2227" priority="8728" stopIfTrue="1" operator="notEqual">
      <formula>0</formula>
    </cfRule>
  </conditionalFormatting>
  <conditionalFormatting sqref="O4364">
    <cfRule type="expression" dxfId="2226" priority="8729" stopIfTrue="1">
      <formula>OR($O$4364="F/S",$O$4364="")</formula>
    </cfRule>
    <cfRule type="cellIs" dxfId="2225" priority="8730" stopIfTrue="1" operator="notEqual">
      <formula>0</formula>
    </cfRule>
  </conditionalFormatting>
  <conditionalFormatting sqref="L4371">
    <cfRule type="expression" dxfId="2224" priority="8731" stopIfTrue="1">
      <formula>OR($L$4371="F/S",$L$4371="")</formula>
    </cfRule>
    <cfRule type="cellIs" dxfId="2223" priority="8732" stopIfTrue="1" operator="notEqual">
      <formula>0</formula>
    </cfRule>
  </conditionalFormatting>
  <conditionalFormatting sqref="O4371">
    <cfRule type="expression" dxfId="2222" priority="8733" stopIfTrue="1">
      <formula>OR($O$4371="F/S",$O$4371="")</formula>
    </cfRule>
    <cfRule type="cellIs" dxfId="2221" priority="8734" stopIfTrue="1" operator="notEqual">
      <formula>0</formula>
    </cfRule>
  </conditionalFormatting>
  <conditionalFormatting sqref="L4396">
    <cfRule type="expression" dxfId="2220" priority="8735" stopIfTrue="1">
      <formula>OR($L$4396="F/S",$L$4396="")</formula>
    </cfRule>
    <cfRule type="cellIs" dxfId="2219" priority="8736" stopIfTrue="1" operator="notEqual">
      <formula>0</formula>
    </cfRule>
  </conditionalFormatting>
  <conditionalFormatting sqref="O4396">
    <cfRule type="expression" dxfId="2218" priority="8737" stopIfTrue="1">
      <formula>OR($O$4396="F/S",$O$4396="")</formula>
    </cfRule>
    <cfRule type="cellIs" dxfId="2217" priority="8738" stopIfTrue="1" operator="notEqual">
      <formula>0</formula>
    </cfRule>
  </conditionalFormatting>
  <conditionalFormatting sqref="L4417">
    <cfRule type="expression" dxfId="2216" priority="8739" stopIfTrue="1">
      <formula>OR($L$4417="F/S",$L$4417="")</formula>
    </cfRule>
    <cfRule type="cellIs" dxfId="2215" priority="8740" stopIfTrue="1" operator="notEqual">
      <formula>0</formula>
    </cfRule>
  </conditionalFormatting>
  <conditionalFormatting sqref="O4417">
    <cfRule type="expression" dxfId="2214" priority="8741" stopIfTrue="1">
      <formula>OR($O$4417="F/S",$O$4417="")</formula>
    </cfRule>
    <cfRule type="cellIs" dxfId="2213" priority="8742" stopIfTrue="1" operator="notEqual">
      <formula>0</formula>
    </cfRule>
  </conditionalFormatting>
  <conditionalFormatting sqref="L4616">
    <cfRule type="expression" dxfId="2212" priority="8743" stopIfTrue="1">
      <formula>OR($L$4616="F/S",$L$4616="")</formula>
    </cfRule>
    <cfRule type="cellIs" dxfId="2211" priority="8744" stopIfTrue="1" operator="notEqual">
      <formula>0</formula>
    </cfRule>
  </conditionalFormatting>
  <conditionalFormatting sqref="O4616">
    <cfRule type="expression" dxfId="2210" priority="8745" stopIfTrue="1">
      <formula>OR($O$4616="F/S",$O$4616="")</formula>
    </cfRule>
    <cfRule type="cellIs" dxfId="2209" priority="8746" stopIfTrue="1" operator="notEqual">
      <formula>0</formula>
    </cfRule>
  </conditionalFormatting>
  <conditionalFormatting sqref="L4492">
    <cfRule type="expression" dxfId="2208" priority="8747" stopIfTrue="1">
      <formula>OR($L$4492="F/S",$L$4492="")</formula>
    </cfRule>
    <cfRule type="cellIs" dxfId="2207" priority="8748" stopIfTrue="1" operator="notEqual">
      <formula>0</formula>
    </cfRule>
  </conditionalFormatting>
  <conditionalFormatting sqref="O4492">
    <cfRule type="expression" dxfId="2206" priority="8749" stopIfTrue="1">
      <formula>OR($O$4492="F/S",$O$4492="")</formula>
    </cfRule>
    <cfRule type="cellIs" dxfId="2205" priority="8750" stopIfTrue="1" operator="notEqual">
      <formula>0</formula>
    </cfRule>
  </conditionalFormatting>
  <conditionalFormatting sqref="L4502">
    <cfRule type="expression" dxfId="2204" priority="8751" stopIfTrue="1">
      <formula>OR($L$4502="F/S",$L$4502="")</formula>
    </cfRule>
    <cfRule type="cellIs" dxfId="2203" priority="8752" stopIfTrue="1" operator="notEqual">
      <formula>0</formula>
    </cfRule>
  </conditionalFormatting>
  <conditionalFormatting sqref="O4502">
    <cfRule type="expression" dxfId="2202" priority="8753" stopIfTrue="1">
      <formula>OR($O$4502="F/S",$O$4502="")</formula>
    </cfRule>
    <cfRule type="cellIs" dxfId="2201" priority="8754" stopIfTrue="1" operator="notEqual">
      <formula>0</formula>
    </cfRule>
  </conditionalFormatting>
  <conditionalFormatting sqref="L4511">
    <cfRule type="expression" dxfId="2200" priority="8755" stopIfTrue="1">
      <formula>OR($L$4511="F/S",$L$4511="")</formula>
    </cfRule>
    <cfRule type="cellIs" dxfId="2199" priority="8756" stopIfTrue="1" operator="notEqual">
      <formula>0</formula>
    </cfRule>
  </conditionalFormatting>
  <conditionalFormatting sqref="O4511">
    <cfRule type="expression" dxfId="2198" priority="8757" stopIfTrue="1">
      <formula>OR($O$4511="F/S",$O$4511="")</formula>
    </cfRule>
    <cfRule type="cellIs" dxfId="2197" priority="8758" stopIfTrue="1" operator="notEqual">
      <formula>0</formula>
    </cfRule>
  </conditionalFormatting>
  <conditionalFormatting sqref="L4520">
    <cfRule type="expression" dxfId="2196" priority="8759" stopIfTrue="1">
      <formula>OR($L$4520="F/S",$L$4520="")</formula>
    </cfRule>
    <cfRule type="cellIs" dxfId="2195" priority="8760" stopIfTrue="1" operator="notEqual">
      <formula>0</formula>
    </cfRule>
  </conditionalFormatting>
  <conditionalFormatting sqref="O4520">
    <cfRule type="expression" dxfId="2194" priority="8761" stopIfTrue="1">
      <formula>OR($O$4520="F/S",$O$4520="")</formula>
    </cfRule>
    <cfRule type="cellIs" dxfId="2193" priority="8762" stopIfTrue="1" operator="notEqual">
      <formula>0</formula>
    </cfRule>
  </conditionalFormatting>
  <conditionalFormatting sqref="L4544">
    <cfRule type="expression" dxfId="2192" priority="8763" stopIfTrue="1">
      <formula>OR($L$4544="F/S",$L$4544="")</formula>
    </cfRule>
    <cfRule type="cellIs" dxfId="2191" priority="8764" stopIfTrue="1" operator="notEqual">
      <formula>0</formula>
    </cfRule>
  </conditionalFormatting>
  <conditionalFormatting sqref="O4544">
    <cfRule type="expression" dxfId="2190" priority="8765" stopIfTrue="1">
      <formula>OR($O$4544="F/S",$O$4544="")</formula>
    </cfRule>
    <cfRule type="cellIs" dxfId="2189" priority="8766" stopIfTrue="1" operator="notEqual">
      <formula>0</formula>
    </cfRule>
  </conditionalFormatting>
  <conditionalFormatting sqref="L4567">
    <cfRule type="expression" dxfId="2188" priority="8767" stopIfTrue="1">
      <formula>OR($L$4567="F/S",$L$4567="")</formula>
    </cfRule>
    <cfRule type="cellIs" dxfId="2187" priority="8768" stopIfTrue="1" operator="notEqual">
      <formula>0</formula>
    </cfRule>
  </conditionalFormatting>
  <conditionalFormatting sqref="O4567">
    <cfRule type="expression" dxfId="2186" priority="8769" stopIfTrue="1">
      <formula>OR($O$4567="F/S",$O$4567="")</formula>
    </cfRule>
    <cfRule type="cellIs" dxfId="2185" priority="8770" stopIfTrue="1" operator="notEqual">
      <formula>0</formula>
    </cfRule>
  </conditionalFormatting>
  <conditionalFormatting sqref="L4586">
    <cfRule type="expression" dxfId="2184" priority="8771" stopIfTrue="1">
      <formula>OR($L$4586="F/S",$L$4586="")</formula>
    </cfRule>
    <cfRule type="cellIs" dxfId="2183" priority="8772" stopIfTrue="1" operator="notEqual">
      <formula>0</formula>
    </cfRule>
  </conditionalFormatting>
  <conditionalFormatting sqref="O4586">
    <cfRule type="expression" dxfId="2182" priority="8773" stopIfTrue="1">
      <formula>OR($O$4586="F/S",$O$4586="")</formula>
    </cfRule>
    <cfRule type="cellIs" dxfId="2181" priority="8774" stopIfTrue="1" operator="notEqual">
      <formula>0</formula>
    </cfRule>
  </conditionalFormatting>
  <conditionalFormatting sqref="L4601">
    <cfRule type="expression" dxfId="2180" priority="8775" stopIfTrue="1">
      <formula>OR($L$4601="F/S",$L$4601="")</formula>
    </cfRule>
    <cfRule type="cellIs" dxfId="2179" priority="8776" stopIfTrue="1" operator="notEqual">
      <formula>0</formula>
    </cfRule>
  </conditionalFormatting>
  <conditionalFormatting sqref="O4601">
    <cfRule type="expression" dxfId="2178" priority="8777" stopIfTrue="1">
      <formula>OR($O$4601="F/S",$O$4601="")</formula>
    </cfRule>
    <cfRule type="cellIs" dxfId="2177" priority="8778" stopIfTrue="1" operator="notEqual">
      <formula>0</formula>
    </cfRule>
  </conditionalFormatting>
  <conditionalFormatting sqref="L4858">
    <cfRule type="expression" dxfId="2176" priority="8779" stopIfTrue="1">
      <formula>OR($L$4858="F/S",$L$4858="")</formula>
    </cfRule>
    <cfRule type="cellIs" dxfId="2175" priority="8780" stopIfTrue="1" operator="notEqual">
      <formula>0</formula>
    </cfRule>
  </conditionalFormatting>
  <conditionalFormatting sqref="O4858">
    <cfRule type="expression" dxfId="2174" priority="8781" stopIfTrue="1">
      <formula>OR($O$4858="F/S",$O$4858="")</formula>
    </cfRule>
    <cfRule type="cellIs" dxfId="2173" priority="8782" stopIfTrue="1" operator="notEqual">
      <formula>0</formula>
    </cfRule>
  </conditionalFormatting>
  <conditionalFormatting sqref="L4831">
    <cfRule type="expression" dxfId="2172" priority="8783" stopIfTrue="1">
      <formula>OR($L$4831="F/S",$L$4831="")</formula>
    </cfRule>
    <cfRule type="cellIs" dxfId="2171" priority="8784" stopIfTrue="1" operator="notEqual">
      <formula>0</formula>
    </cfRule>
  </conditionalFormatting>
  <conditionalFormatting sqref="O4831">
    <cfRule type="expression" dxfId="2170" priority="8785" stopIfTrue="1">
      <formula>OR($O$4831="F/S",$O$4831="")</formula>
    </cfRule>
    <cfRule type="cellIs" dxfId="2169" priority="8786" stopIfTrue="1" operator="notEqual">
      <formula>0</formula>
    </cfRule>
  </conditionalFormatting>
  <conditionalFormatting sqref="L4809">
    <cfRule type="expression" dxfId="2168" priority="8787" stopIfTrue="1">
      <formula>OR($L$4809="F/S",$L$4809="")</formula>
    </cfRule>
    <cfRule type="cellIs" dxfId="2167" priority="8788" stopIfTrue="1" operator="notEqual">
      <formula>0</formula>
    </cfRule>
  </conditionalFormatting>
  <conditionalFormatting sqref="O4809">
    <cfRule type="expression" dxfId="2166" priority="8789" stopIfTrue="1">
      <formula>OR($O$4809="F/S",$O$4809="")</formula>
    </cfRule>
    <cfRule type="cellIs" dxfId="2165" priority="8790" stopIfTrue="1" operator="notEqual">
      <formula>0</formula>
    </cfRule>
  </conditionalFormatting>
  <conditionalFormatting sqref="L4908">
    <cfRule type="expression" dxfId="2164" priority="8791" stopIfTrue="1">
      <formula>OR($L$4908="F/S",$L$4908="")</formula>
    </cfRule>
    <cfRule type="cellIs" dxfId="2163" priority="8792" stopIfTrue="1" operator="notEqual">
      <formula>0</formula>
    </cfRule>
  </conditionalFormatting>
  <conditionalFormatting sqref="O4908">
    <cfRule type="expression" dxfId="2162" priority="8793" stopIfTrue="1">
      <formula>OR($O$4908="F/S",$O$4908="")</formula>
    </cfRule>
    <cfRule type="cellIs" dxfId="2161" priority="8794" stopIfTrue="1" operator="notEqual">
      <formula>0</formula>
    </cfRule>
  </conditionalFormatting>
  <conditionalFormatting sqref="L4780">
    <cfRule type="expression" dxfId="2160" priority="8795" stopIfTrue="1">
      <formula>OR($L$4780="F/S",$L$4780="")</formula>
    </cfRule>
    <cfRule type="cellIs" dxfId="2159" priority="8796" stopIfTrue="1" operator="notEqual">
      <formula>0</formula>
    </cfRule>
  </conditionalFormatting>
  <conditionalFormatting sqref="O4780">
    <cfRule type="expression" dxfId="2158" priority="8797" stopIfTrue="1">
      <formula>OR($O$4780="F/S",$O$4780="")</formula>
    </cfRule>
    <cfRule type="cellIs" dxfId="2157" priority="8798" stopIfTrue="1" operator="notEqual">
      <formula>0</formula>
    </cfRule>
  </conditionalFormatting>
  <conditionalFormatting sqref="L4626">
    <cfRule type="expression" dxfId="2156" priority="8799" stopIfTrue="1">
      <formula>OR($L$4626="F/S",$L$4626="")</formula>
    </cfRule>
    <cfRule type="cellIs" dxfId="2155" priority="8800" stopIfTrue="1" operator="notEqual">
      <formula>0</formula>
    </cfRule>
  </conditionalFormatting>
  <conditionalFormatting sqref="O4626">
    <cfRule type="expression" dxfId="2154" priority="8801" stopIfTrue="1">
      <formula>OR($O$4626="F/S",$O$4626="")</formula>
    </cfRule>
    <cfRule type="cellIs" dxfId="2153" priority="8802" stopIfTrue="1" operator="notEqual">
      <formula>0</formula>
    </cfRule>
  </conditionalFormatting>
  <conditionalFormatting sqref="L4637">
    <cfRule type="expression" dxfId="2152" priority="8803" stopIfTrue="1">
      <formula>OR($L$4637="F/S",$L$4637="")</formula>
    </cfRule>
    <cfRule type="cellIs" dxfId="2151" priority="8804" stopIfTrue="1" operator="notEqual">
      <formula>0</formula>
    </cfRule>
  </conditionalFormatting>
  <conditionalFormatting sqref="O4637">
    <cfRule type="expression" dxfId="2150" priority="8805" stopIfTrue="1">
      <formula>OR($O$4637="F/S",$O$4637="")</formula>
    </cfRule>
    <cfRule type="cellIs" dxfId="2149" priority="8806" stopIfTrue="1" operator="notEqual">
      <formula>0</formula>
    </cfRule>
  </conditionalFormatting>
  <conditionalFormatting sqref="L4656">
    <cfRule type="expression" dxfId="2148" priority="8807" stopIfTrue="1">
      <formula>OR($L$4656="F/S",$L$4656="")</formula>
    </cfRule>
    <cfRule type="cellIs" dxfId="2147" priority="8808" stopIfTrue="1" operator="notEqual">
      <formula>0</formula>
    </cfRule>
  </conditionalFormatting>
  <conditionalFormatting sqref="O4656">
    <cfRule type="expression" dxfId="2146" priority="8809" stopIfTrue="1">
      <formula>OR($O$4656="F/S",$O$4656="")</formula>
    </cfRule>
    <cfRule type="cellIs" dxfId="2145" priority="8810" stopIfTrue="1" operator="notEqual">
      <formula>0</formula>
    </cfRule>
  </conditionalFormatting>
  <conditionalFormatting sqref="L4667">
    <cfRule type="expression" dxfId="2144" priority="8811" stopIfTrue="1">
      <formula>OR($L$4667="F/S",$L$4667="")</formula>
    </cfRule>
    <cfRule type="cellIs" dxfId="2143" priority="8812" stopIfTrue="1" operator="notEqual">
      <formula>0</formula>
    </cfRule>
  </conditionalFormatting>
  <conditionalFormatting sqref="O4667">
    <cfRule type="expression" dxfId="2142" priority="8813" stopIfTrue="1">
      <formula>OR($O$4667="F/S",$O$4667="")</formula>
    </cfRule>
    <cfRule type="cellIs" dxfId="2141" priority="8814" stopIfTrue="1" operator="notEqual">
      <formula>0</formula>
    </cfRule>
  </conditionalFormatting>
  <conditionalFormatting sqref="L4687">
    <cfRule type="expression" dxfId="2140" priority="8815" stopIfTrue="1">
      <formula>OR($L$4687="F/S",$L$4687="")</formula>
    </cfRule>
    <cfRule type="cellIs" dxfId="2139" priority="8816" stopIfTrue="1" operator="notEqual">
      <formula>0</formula>
    </cfRule>
  </conditionalFormatting>
  <conditionalFormatting sqref="O4687">
    <cfRule type="expression" dxfId="2138" priority="8817" stopIfTrue="1">
      <formula>OR($O$4687="F/S",$O$4687="")</formula>
    </cfRule>
    <cfRule type="cellIs" dxfId="2137" priority="8818" stopIfTrue="1" operator="notEqual">
      <formula>0</formula>
    </cfRule>
  </conditionalFormatting>
  <conditionalFormatting sqref="L4698">
    <cfRule type="expression" dxfId="2136" priority="8819" stopIfTrue="1">
      <formula>OR($L$4698="F/S",$L$4698="")</formula>
    </cfRule>
    <cfRule type="cellIs" dxfId="2135" priority="8820" stopIfTrue="1" operator="notEqual">
      <formula>0</formula>
    </cfRule>
  </conditionalFormatting>
  <conditionalFormatting sqref="O4698">
    <cfRule type="expression" dxfId="2134" priority="8821" stopIfTrue="1">
      <formula>OR($O$4698="F/S",$O$4698="")</formula>
    </cfRule>
    <cfRule type="cellIs" dxfId="2133" priority="8822" stopIfTrue="1" operator="notEqual">
      <formula>0</formula>
    </cfRule>
  </conditionalFormatting>
  <conditionalFormatting sqref="L4718">
    <cfRule type="expression" dxfId="2132" priority="8823" stopIfTrue="1">
      <formula>OR($L$4718="F/S",$L$4718="")</formula>
    </cfRule>
    <cfRule type="cellIs" dxfId="2131" priority="8824" stopIfTrue="1" operator="notEqual">
      <formula>0</formula>
    </cfRule>
  </conditionalFormatting>
  <conditionalFormatting sqref="O4718">
    <cfRule type="expression" dxfId="2130" priority="8825" stopIfTrue="1">
      <formula>OR($O$4718="F/S",$O$4718="")</formula>
    </cfRule>
    <cfRule type="cellIs" dxfId="2129" priority="8826" stopIfTrue="1" operator="notEqual">
      <formula>0</formula>
    </cfRule>
  </conditionalFormatting>
  <conditionalFormatting sqref="L4754">
    <cfRule type="expression" dxfId="2128" priority="8827" stopIfTrue="1">
      <formula>OR($L$4754="F/S",$L$4754="")</formula>
    </cfRule>
    <cfRule type="cellIs" dxfId="2127" priority="8828" stopIfTrue="1" operator="notEqual">
      <formula>0</formula>
    </cfRule>
  </conditionalFormatting>
  <conditionalFormatting sqref="O4754">
    <cfRule type="expression" dxfId="2126" priority="8829" stopIfTrue="1">
      <formula>OR($O$4754="F/S",$O$4754="")</formula>
    </cfRule>
    <cfRule type="cellIs" dxfId="2125" priority="8830" stopIfTrue="1" operator="notEqual">
      <formula>0</formula>
    </cfRule>
  </conditionalFormatting>
  <conditionalFormatting sqref="L4769">
    <cfRule type="expression" dxfId="2124" priority="8831" stopIfTrue="1">
      <formula>OR($L$4769="F/S",$L$4769="")</formula>
    </cfRule>
    <cfRule type="cellIs" dxfId="2123" priority="8832" stopIfTrue="1" operator="notEqual">
      <formula>0</formula>
    </cfRule>
  </conditionalFormatting>
  <conditionalFormatting sqref="O4769">
    <cfRule type="expression" dxfId="2122" priority="8833" stopIfTrue="1">
      <formula>OR($O$4769="F/S",$O$4769="")</formula>
    </cfRule>
    <cfRule type="cellIs" dxfId="2121" priority="8834" stopIfTrue="1" operator="notEqual">
      <formula>0</formula>
    </cfRule>
  </conditionalFormatting>
  <conditionalFormatting sqref="L4729">
    <cfRule type="expression" dxfId="2120" priority="8835" stopIfTrue="1">
      <formula>OR($L$4729="F/S",$L$4729="")</formula>
    </cfRule>
    <cfRule type="cellIs" dxfId="2119" priority="8836" stopIfTrue="1" operator="notEqual">
      <formula>0</formula>
    </cfRule>
  </conditionalFormatting>
  <conditionalFormatting sqref="O4729">
    <cfRule type="expression" dxfId="2118" priority="8837" stopIfTrue="1">
      <formula>OR($O$4729="F/S",$O$4729="")</formula>
    </cfRule>
    <cfRule type="cellIs" dxfId="2117" priority="8838" stopIfTrue="1" operator="notEqual">
      <formula>0</formula>
    </cfRule>
  </conditionalFormatting>
  <conditionalFormatting sqref="L4886">
    <cfRule type="expression" dxfId="2116" priority="8839" stopIfTrue="1">
      <formula>OR($L$4886="F/S",$L$4886="")</formula>
    </cfRule>
    <cfRule type="cellIs" dxfId="2115" priority="8840" stopIfTrue="1" operator="notEqual">
      <formula>0</formula>
    </cfRule>
  </conditionalFormatting>
  <conditionalFormatting sqref="O4886">
    <cfRule type="expression" dxfId="2114" priority="8841" stopIfTrue="1">
      <formula>OR($O$4886="F/S",$O$4886="")</formula>
    </cfRule>
    <cfRule type="cellIs" dxfId="2113" priority="8842" stopIfTrue="1" operator="notEqual">
      <formula>0</formula>
    </cfRule>
  </conditionalFormatting>
  <conditionalFormatting sqref="L4872">
    <cfRule type="expression" dxfId="2112" priority="8843" stopIfTrue="1">
      <formula>OR($L$4872="F/S",$L$4872="")</formula>
    </cfRule>
    <cfRule type="cellIs" dxfId="2111" priority="8844" stopIfTrue="1" operator="notEqual">
      <formula>0</formula>
    </cfRule>
  </conditionalFormatting>
  <conditionalFormatting sqref="O4872">
    <cfRule type="expression" dxfId="2110" priority="8845" stopIfTrue="1">
      <formula>OR($O$4872="F/S",$O$4872="")</formula>
    </cfRule>
    <cfRule type="cellIs" dxfId="2109" priority="8846" stopIfTrue="1" operator="notEqual">
      <formula>0</formula>
    </cfRule>
  </conditionalFormatting>
  <conditionalFormatting sqref="L4923">
    <cfRule type="expression" dxfId="2108" priority="8847" stopIfTrue="1">
      <formula>OR($L$4923="F/S",$L$4923="")</formula>
    </cfRule>
    <cfRule type="cellIs" dxfId="2107" priority="8848" stopIfTrue="1" operator="notEqual">
      <formula>0</formula>
    </cfRule>
  </conditionalFormatting>
  <conditionalFormatting sqref="O4923">
    <cfRule type="expression" dxfId="2106" priority="8849" stopIfTrue="1">
      <formula>OR($O$4923="F/S",$O$4923="")</formula>
    </cfRule>
    <cfRule type="cellIs" dxfId="2105" priority="8850" stopIfTrue="1" operator="notEqual">
      <formula>0</formula>
    </cfRule>
  </conditionalFormatting>
  <conditionalFormatting sqref="L4936">
    <cfRule type="expression" dxfId="2104" priority="8851" stopIfTrue="1">
      <formula>OR($L$4936="F/S",$L$4936="")</formula>
    </cfRule>
    <cfRule type="cellIs" dxfId="2103" priority="8852" stopIfTrue="1" operator="notEqual">
      <formula>0</formula>
    </cfRule>
  </conditionalFormatting>
  <conditionalFormatting sqref="O4936">
    <cfRule type="expression" dxfId="2102" priority="8853" stopIfTrue="1">
      <formula>OR($O$4936="F/S",$O$4936="")</formula>
    </cfRule>
    <cfRule type="cellIs" dxfId="2101" priority="8854" stopIfTrue="1" operator="notEqual">
      <formula>0</formula>
    </cfRule>
  </conditionalFormatting>
  <conditionalFormatting sqref="L4954">
    <cfRule type="expression" dxfId="2100" priority="8855" stopIfTrue="1">
      <formula>OR($L$4954="F/S",$L$4954="")</formula>
    </cfRule>
    <cfRule type="cellIs" dxfId="2099" priority="8856" stopIfTrue="1" operator="notEqual">
      <formula>0</formula>
    </cfRule>
  </conditionalFormatting>
  <conditionalFormatting sqref="O4954">
    <cfRule type="expression" dxfId="2098" priority="8857" stopIfTrue="1">
      <formula>OR($O$4954="F/S",$O$4954="")</formula>
    </cfRule>
    <cfRule type="cellIs" dxfId="2097" priority="8858" stopIfTrue="1" operator="notEqual">
      <formula>0</formula>
    </cfRule>
  </conditionalFormatting>
  <conditionalFormatting sqref="L4967">
    <cfRule type="expression" dxfId="2096" priority="8859" stopIfTrue="1">
      <formula>OR($L$4967="F/S",$L$4967="")</formula>
    </cfRule>
    <cfRule type="cellIs" dxfId="2095" priority="8860" stopIfTrue="1" operator="notEqual">
      <formula>0</formula>
    </cfRule>
  </conditionalFormatting>
  <conditionalFormatting sqref="O4967">
    <cfRule type="expression" dxfId="2094" priority="8861" stopIfTrue="1">
      <formula>OR($O$4967="F/S",$O$4967="")</formula>
    </cfRule>
    <cfRule type="cellIs" dxfId="2093" priority="8862" stopIfTrue="1" operator="notEqual">
      <formula>0</formula>
    </cfRule>
  </conditionalFormatting>
  <conditionalFormatting sqref="L4975">
    <cfRule type="expression" dxfId="2092" priority="8863" stopIfTrue="1">
      <formula>OR($L$4975="F/S",$L$4975="")</formula>
    </cfRule>
    <cfRule type="cellIs" dxfId="2091" priority="8864" stopIfTrue="1" operator="notEqual">
      <formula>0</formula>
    </cfRule>
  </conditionalFormatting>
  <conditionalFormatting sqref="O4975">
    <cfRule type="expression" dxfId="2090" priority="8865" stopIfTrue="1">
      <formula>OR($O$4975="F/S",$O$4975="")</formula>
    </cfRule>
    <cfRule type="cellIs" dxfId="2089" priority="8866" stopIfTrue="1" operator="notEqual">
      <formula>0</formula>
    </cfRule>
  </conditionalFormatting>
  <conditionalFormatting sqref="L5878">
    <cfRule type="expression" dxfId="2088" priority="8867" stopIfTrue="1">
      <formula>OR($L$5878="F/S",$L$5878="")</formula>
    </cfRule>
    <cfRule type="cellIs" dxfId="2087" priority="8868" stopIfTrue="1" operator="notEqual">
      <formula>0</formula>
    </cfRule>
  </conditionalFormatting>
  <conditionalFormatting sqref="O5878">
    <cfRule type="expression" dxfId="2086" priority="8869" stopIfTrue="1">
      <formula>OR($O$5878="F/S",$O$5878="")</formula>
    </cfRule>
    <cfRule type="cellIs" dxfId="2085" priority="8870" stopIfTrue="1" operator="notEqual">
      <formula>0</formula>
    </cfRule>
  </conditionalFormatting>
  <conditionalFormatting sqref="L5030">
    <cfRule type="expression" dxfId="2084" priority="8871" stopIfTrue="1">
      <formula>OR($L$5030="F/S",$L$5030="")</formula>
    </cfRule>
    <cfRule type="cellIs" dxfId="2083" priority="8872" stopIfTrue="1" operator="notEqual">
      <formula>0</formula>
    </cfRule>
  </conditionalFormatting>
  <conditionalFormatting sqref="O5030">
    <cfRule type="expression" dxfId="2082" priority="8873" stopIfTrue="1">
      <formula>OR($O$5030="F/S",$O$5030="")</formula>
    </cfRule>
    <cfRule type="cellIs" dxfId="2081" priority="8874" stopIfTrue="1" operator="notEqual">
      <formula>0</formula>
    </cfRule>
  </conditionalFormatting>
  <conditionalFormatting sqref="L5889">
    <cfRule type="expression" dxfId="2080" priority="8875" stopIfTrue="1">
      <formula>OR($L$5889="F/S",$L$5889="")</formula>
    </cfRule>
    <cfRule type="cellIs" dxfId="2079" priority="8876" stopIfTrue="1" operator="notEqual">
      <formula>0</formula>
    </cfRule>
  </conditionalFormatting>
  <conditionalFormatting sqref="O5889">
    <cfRule type="expression" dxfId="2078" priority="8877" stopIfTrue="1">
      <formula>OR($O$5889="F/S",$O$5889="")</formula>
    </cfRule>
    <cfRule type="cellIs" dxfId="2077" priority="8878" stopIfTrue="1" operator="notEqual">
      <formula>0</formula>
    </cfRule>
  </conditionalFormatting>
  <conditionalFormatting sqref="L5900">
    <cfRule type="expression" dxfId="2076" priority="8879" stopIfTrue="1">
      <formula>OR($L$5900="F/S",$L$5900="")</formula>
    </cfRule>
    <cfRule type="cellIs" dxfId="2075" priority="8880" stopIfTrue="1" operator="notEqual">
      <formula>0</formula>
    </cfRule>
  </conditionalFormatting>
  <conditionalFormatting sqref="O5900">
    <cfRule type="expression" dxfId="2074" priority="8881" stopIfTrue="1">
      <formula>OR($O$5900="F/S",$O$5900="")</formula>
    </cfRule>
    <cfRule type="cellIs" dxfId="2073" priority="8882" stopIfTrue="1" operator="notEqual">
      <formula>0</formula>
    </cfRule>
  </conditionalFormatting>
  <conditionalFormatting sqref="L5911">
    <cfRule type="expression" dxfId="2072" priority="8883" stopIfTrue="1">
      <formula>OR($L$5911="F/S",$L$5911="")</formula>
    </cfRule>
    <cfRule type="cellIs" dxfId="2071" priority="8884" stopIfTrue="1" operator="notEqual">
      <formula>0</formula>
    </cfRule>
  </conditionalFormatting>
  <conditionalFormatting sqref="O5911">
    <cfRule type="expression" dxfId="2070" priority="8885" stopIfTrue="1">
      <formula>OR($O$5911="F/S",$O$5911="")</formula>
    </cfRule>
    <cfRule type="cellIs" dxfId="2069" priority="8886" stopIfTrue="1" operator="notEqual">
      <formula>0</formula>
    </cfRule>
  </conditionalFormatting>
  <conditionalFormatting sqref="L5922">
    <cfRule type="expression" dxfId="2068" priority="8887" stopIfTrue="1">
      <formula>OR($L$5922="F/S",$L$5922="")</formula>
    </cfRule>
    <cfRule type="cellIs" dxfId="2067" priority="8888" stopIfTrue="1" operator="notEqual">
      <formula>0</formula>
    </cfRule>
  </conditionalFormatting>
  <conditionalFormatting sqref="O5922">
    <cfRule type="expression" dxfId="2066" priority="8889" stopIfTrue="1">
      <formula>OR($O$5922="F/S",$O$5922="")</formula>
    </cfRule>
    <cfRule type="cellIs" dxfId="2065" priority="8890" stopIfTrue="1" operator="notEqual">
      <formula>0</formula>
    </cfRule>
  </conditionalFormatting>
  <conditionalFormatting sqref="L5046">
    <cfRule type="expression" dxfId="2064" priority="8891" stopIfTrue="1">
      <formula>OR($L$5046="F/S",$L$5046="")</formula>
    </cfRule>
    <cfRule type="cellIs" dxfId="2063" priority="8892" stopIfTrue="1" operator="notEqual">
      <formula>0</formula>
    </cfRule>
  </conditionalFormatting>
  <conditionalFormatting sqref="O5046">
    <cfRule type="expression" dxfId="2062" priority="8893" stopIfTrue="1">
      <formula>OR($O$5046="F/S",$O$5046="")</formula>
    </cfRule>
    <cfRule type="cellIs" dxfId="2061" priority="8894" stopIfTrue="1" operator="notEqual">
      <formula>0</formula>
    </cfRule>
  </conditionalFormatting>
  <conditionalFormatting sqref="L5933">
    <cfRule type="expression" dxfId="2060" priority="8895" stopIfTrue="1">
      <formula>OR($L$5933="F/S",$L$5933="")</formula>
    </cfRule>
    <cfRule type="cellIs" dxfId="2059" priority="8896" stopIfTrue="1" operator="notEqual">
      <formula>0</formula>
    </cfRule>
  </conditionalFormatting>
  <conditionalFormatting sqref="O5933">
    <cfRule type="expression" dxfId="2058" priority="8897" stopIfTrue="1">
      <formula>OR($O$5933="F/S",$O$5933="")</formula>
    </cfRule>
    <cfRule type="cellIs" dxfId="2057" priority="8898" stopIfTrue="1" operator="notEqual">
      <formula>0</formula>
    </cfRule>
  </conditionalFormatting>
  <conditionalFormatting sqref="L5944">
    <cfRule type="expression" dxfId="2056" priority="8899" stopIfTrue="1">
      <formula>OR($L$5944="F/S",$L$5944="")</formula>
    </cfRule>
    <cfRule type="cellIs" dxfId="2055" priority="8900" stopIfTrue="1" operator="notEqual">
      <formula>0</formula>
    </cfRule>
  </conditionalFormatting>
  <conditionalFormatting sqref="O5944">
    <cfRule type="expression" dxfId="2054" priority="8901" stopIfTrue="1">
      <formula>OR($O$5944="F/S",$O$5944="")</formula>
    </cfRule>
    <cfRule type="cellIs" dxfId="2053" priority="8902" stopIfTrue="1" operator="notEqual">
      <formula>0</formula>
    </cfRule>
  </conditionalFormatting>
  <conditionalFormatting sqref="L5955">
    <cfRule type="expression" dxfId="2052" priority="8903" stopIfTrue="1">
      <formula>OR($L$5955="F/S",$L$5955="")</formula>
    </cfRule>
    <cfRule type="cellIs" dxfId="2051" priority="8904" stopIfTrue="1" operator="notEqual">
      <formula>0</formula>
    </cfRule>
  </conditionalFormatting>
  <conditionalFormatting sqref="O5955">
    <cfRule type="expression" dxfId="2050" priority="8905" stopIfTrue="1">
      <formula>OR($O$5955="F/S",$O$5955="")</formula>
    </cfRule>
    <cfRule type="cellIs" dxfId="2049" priority="8906" stopIfTrue="1" operator="notEqual">
      <formula>0</formula>
    </cfRule>
  </conditionalFormatting>
  <conditionalFormatting sqref="L5966">
    <cfRule type="expression" dxfId="2048" priority="8907" stopIfTrue="1">
      <formula>OR($L$5966="F/S",$L$5966="")</formula>
    </cfRule>
    <cfRule type="cellIs" dxfId="2047" priority="8908" stopIfTrue="1" operator="notEqual">
      <formula>0</formula>
    </cfRule>
  </conditionalFormatting>
  <conditionalFormatting sqref="O5966">
    <cfRule type="expression" dxfId="2046" priority="8909" stopIfTrue="1">
      <formula>OR($O$5966="F/S",$O$5966="")</formula>
    </cfRule>
    <cfRule type="cellIs" dxfId="2045" priority="8910" stopIfTrue="1" operator="notEqual">
      <formula>0</formula>
    </cfRule>
  </conditionalFormatting>
  <conditionalFormatting sqref="L5062">
    <cfRule type="expression" dxfId="2044" priority="8911" stopIfTrue="1">
      <formula>OR($L$5062="F/S",$L$5062="")</formula>
    </cfRule>
    <cfRule type="cellIs" dxfId="2043" priority="8912" stopIfTrue="1" operator="notEqual">
      <formula>0</formula>
    </cfRule>
  </conditionalFormatting>
  <conditionalFormatting sqref="O5062">
    <cfRule type="expression" dxfId="2042" priority="8913" stopIfTrue="1">
      <formula>OR($O$5062="F/S",$O$5062="")</formula>
    </cfRule>
    <cfRule type="cellIs" dxfId="2041" priority="8914" stopIfTrue="1" operator="notEqual">
      <formula>0</formula>
    </cfRule>
  </conditionalFormatting>
  <conditionalFormatting sqref="L5985">
    <cfRule type="expression" dxfId="2040" priority="8915" stopIfTrue="1">
      <formula>OR($L$5985="F/S",$L$5985="")</formula>
    </cfRule>
    <cfRule type="cellIs" dxfId="2039" priority="8916" stopIfTrue="1" operator="notEqual">
      <formula>0</formula>
    </cfRule>
  </conditionalFormatting>
  <conditionalFormatting sqref="O5985">
    <cfRule type="expression" dxfId="2038" priority="8917" stopIfTrue="1">
      <formula>OR($O$5985="F/S",$O$5985="")</formula>
    </cfRule>
    <cfRule type="cellIs" dxfId="2037" priority="8918" stopIfTrue="1" operator="notEqual">
      <formula>0</formula>
    </cfRule>
  </conditionalFormatting>
  <conditionalFormatting sqref="L6006">
    <cfRule type="expression" dxfId="2036" priority="8919" stopIfTrue="1">
      <formula>OR($L$6006="F/S",$L$6006="")</formula>
    </cfRule>
    <cfRule type="cellIs" dxfId="2035" priority="8920" stopIfTrue="1" operator="notEqual">
      <formula>0</formula>
    </cfRule>
  </conditionalFormatting>
  <conditionalFormatting sqref="O6006">
    <cfRule type="expression" dxfId="2034" priority="8921" stopIfTrue="1">
      <formula>OR($O$6006="F/S",$O$6006="")</formula>
    </cfRule>
    <cfRule type="cellIs" dxfId="2033" priority="8922" stopIfTrue="1" operator="notEqual">
      <formula>0</formula>
    </cfRule>
  </conditionalFormatting>
  <conditionalFormatting sqref="L5073">
    <cfRule type="expression" dxfId="2032" priority="8923" stopIfTrue="1">
      <formula>OR($L$5073="F/S",$L$5073="")</formula>
    </cfRule>
    <cfRule type="cellIs" dxfId="2031" priority="8924" stopIfTrue="1" operator="notEqual">
      <formula>0</formula>
    </cfRule>
  </conditionalFormatting>
  <conditionalFormatting sqref="O5073">
    <cfRule type="expression" dxfId="2030" priority="8925" stopIfTrue="1">
      <formula>OR($O$5073="F/S",$O$5073="")</formula>
    </cfRule>
    <cfRule type="cellIs" dxfId="2029" priority="8926" stopIfTrue="1" operator="notEqual">
      <formula>0</formula>
    </cfRule>
  </conditionalFormatting>
  <conditionalFormatting sqref="L6017">
    <cfRule type="expression" dxfId="2028" priority="8927" stopIfTrue="1">
      <formula>OR($L$6017="F/S",$L$6017="")</formula>
    </cfRule>
    <cfRule type="cellIs" dxfId="2027" priority="8928" stopIfTrue="1" operator="notEqual">
      <formula>0</formula>
    </cfRule>
  </conditionalFormatting>
  <conditionalFormatting sqref="O6017">
    <cfRule type="expression" dxfId="2026" priority="8929" stopIfTrue="1">
      <formula>OR($O$6017="F/S",$O$6017="")</formula>
    </cfRule>
    <cfRule type="cellIs" dxfId="2025" priority="8930" stopIfTrue="1" operator="notEqual">
      <formula>0</formula>
    </cfRule>
  </conditionalFormatting>
  <conditionalFormatting sqref="L5084">
    <cfRule type="expression" dxfId="2024" priority="8931" stopIfTrue="1">
      <formula>OR($L$5084="F/S",$L$5084="")</formula>
    </cfRule>
    <cfRule type="cellIs" dxfId="2023" priority="8932" stopIfTrue="1" operator="notEqual">
      <formula>0</formula>
    </cfRule>
  </conditionalFormatting>
  <conditionalFormatting sqref="O5084">
    <cfRule type="expression" dxfId="2022" priority="8933" stopIfTrue="1">
      <formula>OR($O$5084="F/S",$O$5084="")</formula>
    </cfRule>
    <cfRule type="cellIs" dxfId="2021" priority="8934" stopIfTrue="1" operator="notEqual">
      <formula>0</formula>
    </cfRule>
  </conditionalFormatting>
  <conditionalFormatting sqref="L6029">
    <cfRule type="expression" dxfId="2020" priority="8935" stopIfTrue="1">
      <formula>OR($L$6029="F/S",$L$6029="")</formula>
    </cfRule>
    <cfRule type="cellIs" dxfId="2019" priority="8936" stopIfTrue="1" operator="notEqual">
      <formula>0</formula>
    </cfRule>
  </conditionalFormatting>
  <conditionalFormatting sqref="O6029">
    <cfRule type="expression" dxfId="2018" priority="8937" stopIfTrue="1">
      <formula>OR($O$6029="F/S",$O$6029="")</formula>
    </cfRule>
    <cfRule type="cellIs" dxfId="2017" priority="8938" stopIfTrue="1" operator="notEqual">
      <formula>0</formula>
    </cfRule>
  </conditionalFormatting>
  <conditionalFormatting sqref="L6041">
    <cfRule type="expression" dxfId="2016" priority="8939" stopIfTrue="1">
      <formula>OR($L$6041="F/S",$L$6041="")</formula>
    </cfRule>
    <cfRule type="cellIs" dxfId="2015" priority="8940" stopIfTrue="1" operator="notEqual">
      <formula>0</formula>
    </cfRule>
  </conditionalFormatting>
  <conditionalFormatting sqref="O6041">
    <cfRule type="expression" dxfId="2014" priority="8941" stopIfTrue="1">
      <formula>OR($O$6041="F/S",$O$6041="")</formula>
    </cfRule>
    <cfRule type="cellIs" dxfId="2013" priority="8942" stopIfTrue="1" operator="notEqual">
      <formula>0</formula>
    </cfRule>
  </conditionalFormatting>
  <conditionalFormatting sqref="L5095">
    <cfRule type="expression" dxfId="2012" priority="8943" stopIfTrue="1">
      <formula>OR($L$5095="F/S",$L$5095="")</formula>
    </cfRule>
    <cfRule type="cellIs" dxfId="2011" priority="8944" stopIfTrue="1" operator="notEqual">
      <formula>0</formula>
    </cfRule>
  </conditionalFormatting>
  <conditionalFormatting sqref="O5095">
    <cfRule type="expression" dxfId="2010" priority="8945" stopIfTrue="1">
      <formula>OR($O$5095="F/S",$O$5095="")</formula>
    </cfRule>
    <cfRule type="cellIs" dxfId="2009" priority="8946" stopIfTrue="1" operator="notEqual">
      <formula>0</formula>
    </cfRule>
  </conditionalFormatting>
  <conditionalFormatting sqref="L5106">
    <cfRule type="expression" dxfId="2008" priority="8947" stopIfTrue="1">
      <formula>OR($L$5106="F/S",$L$5106="")</formula>
    </cfRule>
    <cfRule type="cellIs" dxfId="2007" priority="8948" stopIfTrue="1" operator="notEqual">
      <formula>0</formula>
    </cfRule>
  </conditionalFormatting>
  <conditionalFormatting sqref="O5106">
    <cfRule type="expression" dxfId="2006" priority="8949" stopIfTrue="1">
      <formula>OR($O$5106="F/S",$O$5106="")</formula>
    </cfRule>
    <cfRule type="cellIs" dxfId="2005" priority="8950" stopIfTrue="1" operator="notEqual">
      <formula>0</formula>
    </cfRule>
  </conditionalFormatting>
  <conditionalFormatting sqref="L5129">
    <cfRule type="expression" dxfId="2004" priority="8951" stopIfTrue="1">
      <formula>OR($L$5129="F/S",$L$5129="")</formula>
    </cfRule>
    <cfRule type="cellIs" dxfId="2003" priority="8952" stopIfTrue="1" operator="notEqual">
      <formula>0</formula>
    </cfRule>
  </conditionalFormatting>
  <conditionalFormatting sqref="O5129">
    <cfRule type="expression" dxfId="2002" priority="8953" stopIfTrue="1">
      <formula>OR($O$5129="F/S",$O$5129="")</formula>
    </cfRule>
    <cfRule type="cellIs" dxfId="2001" priority="8954" stopIfTrue="1" operator="notEqual">
      <formula>0</formula>
    </cfRule>
  </conditionalFormatting>
  <conditionalFormatting sqref="L5137">
    <cfRule type="expression" dxfId="2000" priority="8955" stopIfTrue="1">
      <formula>OR($L$5137="F/S",$L$5137="")</formula>
    </cfRule>
    <cfRule type="cellIs" dxfId="1999" priority="8956" stopIfTrue="1" operator="notEqual">
      <formula>0</formula>
    </cfRule>
  </conditionalFormatting>
  <conditionalFormatting sqref="O5137">
    <cfRule type="expression" dxfId="1998" priority="8957" stopIfTrue="1">
      <formula>OR($O$5137="F/S",$O$5137="")</formula>
    </cfRule>
    <cfRule type="cellIs" dxfId="1997" priority="8958" stopIfTrue="1" operator="notEqual">
      <formula>0</formula>
    </cfRule>
  </conditionalFormatting>
  <conditionalFormatting sqref="L5166">
    <cfRule type="expression" dxfId="1996" priority="8963" stopIfTrue="1">
      <formula>OR($L$5166="F/S",$L$5166="")</formula>
    </cfRule>
    <cfRule type="cellIs" dxfId="1995" priority="8964" stopIfTrue="1" operator="notEqual">
      <formula>0</formula>
    </cfRule>
  </conditionalFormatting>
  <conditionalFormatting sqref="O5166">
    <cfRule type="expression" dxfId="1994" priority="8965" stopIfTrue="1">
      <formula>OR($O$5166="F/S",$O$5166="")</formula>
    </cfRule>
    <cfRule type="cellIs" dxfId="1993" priority="8966" stopIfTrue="1" operator="notEqual">
      <formula>0</formula>
    </cfRule>
  </conditionalFormatting>
  <conditionalFormatting sqref="L5182">
    <cfRule type="expression" dxfId="1992" priority="8967" stopIfTrue="1">
      <formula>OR($L$5182="F/S",$L$5182="")</formula>
    </cfRule>
    <cfRule type="cellIs" dxfId="1991" priority="8968" stopIfTrue="1" operator="notEqual">
      <formula>0</formula>
    </cfRule>
  </conditionalFormatting>
  <conditionalFormatting sqref="O5182">
    <cfRule type="expression" dxfId="1990" priority="8969" stopIfTrue="1">
      <formula>OR($O$5182="F/S",$O$5182="")</formula>
    </cfRule>
    <cfRule type="cellIs" dxfId="1989" priority="8970" stopIfTrue="1" operator="notEqual">
      <formula>0</formula>
    </cfRule>
  </conditionalFormatting>
  <conditionalFormatting sqref="L5146">
    <cfRule type="expression" dxfId="1988" priority="8971" stopIfTrue="1">
      <formula>OR($L$5146="F/S",$L$5146="")</formula>
    </cfRule>
    <cfRule type="cellIs" dxfId="1987" priority="8972" stopIfTrue="1" operator="notEqual">
      <formula>0</formula>
    </cfRule>
  </conditionalFormatting>
  <conditionalFormatting sqref="O5146">
    <cfRule type="expression" dxfId="1986" priority="8973" stopIfTrue="1">
      <formula>OR($O$5146="F/S",$O$5146="")</formula>
    </cfRule>
    <cfRule type="cellIs" dxfId="1985" priority="8974" stopIfTrue="1" operator="notEqual">
      <formula>0</formula>
    </cfRule>
  </conditionalFormatting>
  <conditionalFormatting sqref="L5156">
    <cfRule type="expression" dxfId="1984" priority="8975" stopIfTrue="1">
      <formula>OR($L$5156="F/S",$L$5156="")</formula>
    </cfRule>
    <cfRule type="cellIs" dxfId="1983" priority="8976" stopIfTrue="1" operator="notEqual">
      <formula>0</formula>
    </cfRule>
  </conditionalFormatting>
  <conditionalFormatting sqref="O5156">
    <cfRule type="expression" dxfId="1982" priority="8977" stopIfTrue="1">
      <formula>OR($O$5156="F/S",$O$5156="")</formula>
    </cfRule>
    <cfRule type="cellIs" dxfId="1981" priority="8978" stopIfTrue="1" operator="notEqual">
      <formula>0</formula>
    </cfRule>
  </conditionalFormatting>
  <conditionalFormatting sqref="L6064">
    <cfRule type="expression" dxfId="1980" priority="8979" stopIfTrue="1">
      <formula>OR($L$6064="F/S",$L$6064="")</formula>
    </cfRule>
    <cfRule type="cellIs" dxfId="1979" priority="8980" stopIfTrue="1" operator="notEqual">
      <formula>0</formula>
    </cfRule>
  </conditionalFormatting>
  <conditionalFormatting sqref="O6064">
    <cfRule type="expression" dxfId="1978" priority="8981" stopIfTrue="1">
      <formula>OR($O$6064="F/S",$O$6064="")</formula>
    </cfRule>
    <cfRule type="cellIs" dxfId="1977" priority="8982" stopIfTrue="1" operator="notEqual">
      <formula>0</formula>
    </cfRule>
  </conditionalFormatting>
  <conditionalFormatting sqref="L6073">
    <cfRule type="expression" dxfId="1976" priority="8983" stopIfTrue="1">
      <formula>OR($L$6073="F/S",$L$6073="")</formula>
    </cfRule>
    <cfRule type="cellIs" dxfId="1975" priority="8984" stopIfTrue="1" operator="notEqual">
      <formula>0</formula>
    </cfRule>
  </conditionalFormatting>
  <conditionalFormatting sqref="O6073">
    <cfRule type="expression" dxfId="1974" priority="8985" stopIfTrue="1">
      <formula>OR($O$6073="F/S",$O$6073="")</formula>
    </cfRule>
    <cfRule type="cellIs" dxfId="1973" priority="8986" stopIfTrue="1" operator="notEqual">
      <formula>0</formula>
    </cfRule>
  </conditionalFormatting>
  <conditionalFormatting sqref="L6084">
    <cfRule type="expression" dxfId="1972" priority="8987" stopIfTrue="1">
      <formula>OR($L$6084="F/S",$L$6084="")</formula>
    </cfRule>
    <cfRule type="cellIs" dxfId="1971" priority="8988" stopIfTrue="1" operator="notEqual">
      <formula>0</formula>
    </cfRule>
  </conditionalFormatting>
  <conditionalFormatting sqref="O6084">
    <cfRule type="expression" dxfId="1970" priority="8989" stopIfTrue="1">
      <formula>OR($O$6084="F/S",$O$6084="")</formula>
    </cfRule>
    <cfRule type="cellIs" dxfId="1969" priority="8990" stopIfTrue="1" operator="notEqual">
      <formula>0</formula>
    </cfRule>
  </conditionalFormatting>
  <conditionalFormatting sqref="L6093">
    <cfRule type="expression" dxfId="1968" priority="8991" stopIfTrue="1">
      <formula>OR($L$6093="F/S",$L$6093="")</formula>
    </cfRule>
    <cfRule type="cellIs" dxfId="1967" priority="8992" stopIfTrue="1" operator="notEqual">
      <formula>0</formula>
    </cfRule>
  </conditionalFormatting>
  <conditionalFormatting sqref="O6093">
    <cfRule type="expression" dxfId="1966" priority="8993" stopIfTrue="1">
      <formula>OR($O$6093="F/S",$O$6093="")</formula>
    </cfRule>
    <cfRule type="cellIs" dxfId="1965" priority="8994" stopIfTrue="1" operator="notEqual">
      <formula>0</formula>
    </cfRule>
  </conditionalFormatting>
  <conditionalFormatting sqref="L6102">
    <cfRule type="expression" dxfId="1964" priority="8995" stopIfTrue="1">
      <formula>OR($L$6102="F/S",$L$6102="")</formula>
    </cfRule>
    <cfRule type="cellIs" dxfId="1963" priority="8996" stopIfTrue="1" operator="notEqual">
      <formula>0</formula>
    </cfRule>
  </conditionalFormatting>
  <conditionalFormatting sqref="O6102">
    <cfRule type="expression" dxfId="1962" priority="8997" stopIfTrue="1">
      <formula>OR($O$6102="F/S",$O$6102="")</formula>
    </cfRule>
    <cfRule type="cellIs" dxfId="1961" priority="8998" stopIfTrue="1" operator="notEqual">
      <formula>0</formula>
    </cfRule>
  </conditionalFormatting>
  <conditionalFormatting sqref="L6116">
    <cfRule type="expression" dxfId="1960" priority="8999" stopIfTrue="1">
      <formula>OR($L$6116="F/S",$L$6116="")</formula>
    </cfRule>
    <cfRule type="cellIs" dxfId="1959" priority="9000" stopIfTrue="1" operator="notEqual">
      <formula>0</formula>
    </cfRule>
  </conditionalFormatting>
  <conditionalFormatting sqref="O6116">
    <cfRule type="expression" dxfId="1958" priority="9001" stopIfTrue="1">
      <formula>OR($O$6116="F/S",$O$6116="")</formula>
    </cfRule>
    <cfRule type="cellIs" dxfId="1957" priority="9002" stopIfTrue="1" operator="notEqual">
      <formula>0</formula>
    </cfRule>
  </conditionalFormatting>
  <conditionalFormatting sqref="L6126">
    <cfRule type="expression" dxfId="1956" priority="9003" stopIfTrue="1">
      <formula>OR($L$6126="F/S",$L$6126="")</formula>
    </cfRule>
    <cfRule type="cellIs" dxfId="1955" priority="9004" stopIfTrue="1" operator="notEqual">
      <formula>0</formula>
    </cfRule>
  </conditionalFormatting>
  <conditionalFormatting sqref="O6126">
    <cfRule type="expression" dxfId="1954" priority="9005" stopIfTrue="1">
      <formula>OR($O$6126="F/S",$O$6126="")</formula>
    </cfRule>
    <cfRule type="cellIs" dxfId="1953" priority="9006" stopIfTrue="1" operator="notEqual">
      <formula>0</formula>
    </cfRule>
  </conditionalFormatting>
  <conditionalFormatting sqref="L6135">
    <cfRule type="expression" dxfId="1952" priority="9007" stopIfTrue="1">
      <formula>OR($L$6135="F/S",$L$6135="")</formula>
    </cfRule>
    <cfRule type="cellIs" dxfId="1951" priority="9008" stopIfTrue="1" operator="notEqual">
      <formula>0</formula>
    </cfRule>
  </conditionalFormatting>
  <conditionalFormatting sqref="O6135">
    <cfRule type="expression" dxfId="1950" priority="9009" stopIfTrue="1">
      <formula>OR($O$6135="F/S",$O$6135="")</formula>
    </cfRule>
    <cfRule type="cellIs" dxfId="1949" priority="9010" stopIfTrue="1" operator="notEqual">
      <formula>0</formula>
    </cfRule>
  </conditionalFormatting>
  <conditionalFormatting sqref="L6146">
    <cfRule type="expression" dxfId="1948" priority="9011" stopIfTrue="1">
      <formula>OR($L$6146="F/S",$L$6146="")</formula>
    </cfRule>
    <cfRule type="cellIs" dxfId="1947" priority="9012" stopIfTrue="1" operator="notEqual">
      <formula>0</formula>
    </cfRule>
  </conditionalFormatting>
  <conditionalFormatting sqref="O6146">
    <cfRule type="expression" dxfId="1946" priority="9013" stopIfTrue="1">
      <formula>OR($O$6146="F/S",$O$6146="")</formula>
    </cfRule>
    <cfRule type="cellIs" dxfId="1945" priority="9014" stopIfTrue="1" operator="notEqual">
      <formula>0</formula>
    </cfRule>
  </conditionalFormatting>
  <conditionalFormatting sqref="L6155">
    <cfRule type="expression" dxfId="1944" priority="9015" stopIfTrue="1">
      <formula>OR($L$6155="F/S",$L$6155="")</formula>
    </cfRule>
    <cfRule type="cellIs" dxfId="1943" priority="9016" stopIfTrue="1" operator="notEqual">
      <formula>0</formula>
    </cfRule>
  </conditionalFormatting>
  <conditionalFormatting sqref="O6155">
    <cfRule type="expression" dxfId="1942" priority="9017" stopIfTrue="1">
      <formula>OR($O$6155="F/S",$O$6155="")</formula>
    </cfRule>
    <cfRule type="cellIs" dxfId="1941" priority="9018" stopIfTrue="1" operator="notEqual">
      <formula>0</formula>
    </cfRule>
  </conditionalFormatting>
  <conditionalFormatting sqref="L6164">
    <cfRule type="expression" dxfId="1940" priority="9019" stopIfTrue="1">
      <formula>OR($L$6164="F/S",$L$6164="")</formula>
    </cfRule>
    <cfRule type="cellIs" dxfId="1939" priority="9020" stopIfTrue="1" operator="notEqual">
      <formula>0</formula>
    </cfRule>
  </conditionalFormatting>
  <conditionalFormatting sqref="O6164">
    <cfRule type="expression" dxfId="1938" priority="9021" stopIfTrue="1">
      <formula>OR($O$6164="F/S",$O$6164="")</formula>
    </cfRule>
    <cfRule type="cellIs" dxfId="1937" priority="9022" stopIfTrue="1" operator="notEqual">
      <formula>0</formula>
    </cfRule>
  </conditionalFormatting>
  <conditionalFormatting sqref="L6173">
    <cfRule type="expression" dxfId="1936" priority="9023" stopIfTrue="1">
      <formula>OR($L$6173="F/S",$L$6173="")</formula>
    </cfRule>
    <cfRule type="cellIs" dxfId="1935" priority="9024" stopIfTrue="1" operator="notEqual">
      <formula>0</formula>
    </cfRule>
  </conditionalFormatting>
  <conditionalFormatting sqref="O6173">
    <cfRule type="expression" dxfId="1934" priority="9025" stopIfTrue="1">
      <formula>OR($O$6173="F/S",$O$6173="")</formula>
    </cfRule>
    <cfRule type="cellIs" dxfId="1933" priority="9026" stopIfTrue="1" operator="notEqual">
      <formula>0</formula>
    </cfRule>
  </conditionalFormatting>
  <conditionalFormatting sqref="L6195">
    <cfRule type="expression" dxfId="1932" priority="9027" stopIfTrue="1">
      <formula>OR($L$6195="F/S",$L$6195="")</formula>
    </cfRule>
    <cfRule type="cellIs" dxfId="1931" priority="9028" stopIfTrue="1" operator="notEqual">
      <formula>0</formula>
    </cfRule>
  </conditionalFormatting>
  <conditionalFormatting sqref="O6195">
    <cfRule type="expression" dxfId="1930" priority="9029" stopIfTrue="1">
      <formula>OR($O$6195="F/S",$O$6195="")</formula>
    </cfRule>
    <cfRule type="cellIs" dxfId="1929" priority="9030" stopIfTrue="1" operator="notEqual">
      <formula>0</formula>
    </cfRule>
  </conditionalFormatting>
  <conditionalFormatting sqref="L6222">
    <cfRule type="expression" dxfId="1928" priority="9031" stopIfTrue="1">
      <formula>OR($L$6222="F/S",$L$6222="")</formula>
    </cfRule>
    <cfRule type="cellIs" dxfId="1927" priority="9032" stopIfTrue="1" operator="notEqual">
      <formula>0</formula>
    </cfRule>
  </conditionalFormatting>
  <conditionalFormatting sqref="O6222">
    <cfRule type="expression" dxfId="1926" priority="9033" stopIfTrue="1">
      <formula>OR($O$6222="F/S",$O$6222="")</formula>
    </cfRule>
    <cfRule type="cellIs" dxfId="1925" priority="9034" stopIfTrue="1" operator="notEqual">
      <formula>0</formula>
    </cfRule>
  </conditionalFormatting>
  <conditionalFormatting sqref="L6251">
    <cfRule type="expression" dxfId="1924" priority="9035" stopIfTrue="1">
      <formula>OR($L$6251="F/S",$L$6251="")</formula>
    </cfRule>
    <cfRule type="cellIs" dxfId="1923" priority="9036" stopIfTrue="1" operator="notEqual">
      <formula>0</formula>
    </cfRule>
  </conditionalFormatting>
  <conditionalFormatting sqref="O6251">
    <cfRule type="expression" dxfId="1922" priority="9037" stopIfTrue="1">
      <formula>OR($O$6251="F/S",$O$6251="")</formula>
    </cfRule>
    <cfRule type="cellIs" dxfId="1921" priority="9038" stopIfTrue="1" operator="notEqual">
      <formula>0</formula>
    </cfRule>
  </conditionalFormatting>
  <conditionalFormatting sqref="L5631">
    <cfRule type="expression" dxfId="1920" priority="9039" stopIfTrue="1">
      <formula>OR($L$5631="F/S",$L$5631="")</formula>
    </cfRule>
    <cfRule type="cellIs" dxfId="1919" priority="9040" stopIfTrue="1" operator="notEqual">
      <formula>0</formula>
    </cfRule>
  </conditionalFormatting>
  <conditionalFormatting sqref="O5631">
    <cfRule type="expression" dxfId="1918" priority="9041" stopIfTrue="1">
      <formula>OR($O$5631="F/S",$O$5631="")</formula>
    </cfRule>
    <cfRule type="cellIs" dxfId="1917" priority="9042" stopIfTrue="1" operator="notEqual">
      <formula>0</formula>
    </cfRule>
  </conditionalFormatting>
  <conditionalFormatting sqref="L5644">
    <cfRule type="expression" dxfId="1916" priority="9043" stopIfTrue="1">
      <formula>OR($L$5644="F/S",$L$5644="")</formula>
    </cfRule>
    <cfRule type="cellIs" dxfId="1915" priority="9044" stopIfTrue="1" operator="notEqual">
      <formula>0</formula>
    </cfRule>
  </conditionalFormatting>
  <conditionalFormatting sqref="O5644">
    <cfRule type="expression" dxfId="1914" priority="9045" stopIfTrue="1">
      <formula>OR($O$5644="F/S",$O$5644="")</formula>
    </cfRule>
    <cfRule type="cellIs" dxfId="1913" priority="9046" stopIfTrue="1" operator="notEqual">
      <formula>0</formula>
    </cfRule>
  </conditionalFormatting>
  <conditionalFormatting sqref="L5657">
    <cfRule type="expression" dxfId="1912" priority="9047" stopIfTrue="1">
      <formula>OR($L$5657="F/S",$L$5657="")</formula>
    </cfRule>
    <cfRule type="cellIs" dxfId="1911" priority="9048" stopIfTrue="1" operator="notEqual">
      <formula>0</formula>
    </cfRule>
  </conditionalFormatting>
  <conditionalFormatting sqref="O5657">
    <cfRule type="expression" dxfId="1910" priority="9049" stopIfTrue="1">
      <formula>OR($O$5657="F/S",$O$5657="")</formula>
    </cfRule>
    <cfRule type="cellIs" dxfId="1909" priority="9050" stopIfTrue="1" operator="notEqual">
      <formula>0</formula>
    </cfRule>
  </conditionalFormatting>
  <conditionalFormatting sqref="L5667">
    <cfRule type="expression" dxfId="1908" priority="9051" stopIfTrue="1">
      <formula>OR($L$5667="F/S",$L$5667="")</formula>
    </cfRule>
    <cfRule type="cellIs" dxfId="1907" priority="9052" stopIfTrue="1" operator="notEqual">
      <formula>0</formula>
    </cfRule>
  </conditionalFormatting>
  <conditionalFormatting sqref="O5667">
    <cfRule type="expression" dxfId="1906" priority="9053" stopIfTrue="1">
      <formula>OR($O$5667="F/S",$O$5667="")</formula>
    </cfRule>
    <cfRule type="cellIs" dxfId="1905" priority="9054" stopIfTrue="1" operator="notEqual">
      <formula>0</formula>
    </cfRule>
  </conditionalFormatting>
  <conditionalFormatting sqref="L5677">
    <cfRule type="expression" dxfId="1904" priority="9055" stopIfTrue="1">
      <formula>OR($L$5677="F/S",$L$5677="")</formula>
    </cfRule>
    <cfRule type="cellIs" dxfId="1903" priority="9056" stopIfTrue="1" operator="notEqual">
      <formula>0</formula>
    </cfRule>
  </conditionalFormatting>
  <conditionalFormatting sqref="O5677">
    <cfRule type="expression" dxfId="1902" priority="9057" stopIfTrue="1">
      <formula>OR($O$5677="F/S",$O$5677="")</formula>
    </cfRule>
    <cfRule type="cellIs" dxfId="1901" priority="9058" stopIfTrue="1" operator="notEqual">
      <formula>0</formula>
    </cfRule>
  </conditionalFormatting>
  <conditionalFormatting sqref="L5687">
    <cfRule type="expression" dxfId="1900" priority="9059" stopIfTrue="1">
      <formula>OR($L$5687="F/S",$L$5687="")</formula>
    </cfRule>
    <cfRule type="cellIs" dxfId="1899" priority="9060" stopIfTrue="1" operator="notEqual">
      <formula>0</formula>
    </cfRule>
  </conditionalFormatting>
  <conditionalFormatting sqref="O5687">
    <cfRule type="expression" dxfId="1898" priority="9061" stopIfTrue="1">
      <formula>OR($O$5687="F/S",$O$5687="")</formula>
    </cfRule>
    <cfRule type="cellIs" dxfId="1897" priority="9062" stopIfTrue="1" operator="notEqual">
      <formula>0</formula>
    </cfRule>
  </conditionalFormatting>
  <conditionalFormatting sqref="L5697">
    <cfRule type="expression" dxfId="1896" priority="9063" stopIfTrue="1">
      <formula>OR($L$5697="F/S",$L$5697="")</formula>
    </cfRule>
    <cfRule type="cellIs" dxfId="1895" priority="9064" stopIfTrue="1" operator="notEqual">
      <formula>0</formula>
    </cfRule>
  </conditionalFormatting>
  <conditionalFormatting sqref="O5697">
    <cfRule type="expression" dxfId="1894" priority="9065" stopIfTrue="1">
      <formula>OR($O$5697="F/S",$O$5697="")</formula>
    </cfRule>
    <cfRule type="cellIs" dxfId="1893" priority="9066" stopIfTrue="1" operator="notEqual">
      <formula>0</formula>
    </cfRule>
  </conditionalFormatting>
  <conditionalFormatting sqref="L5707">
    <cfRule type="expression" dxfId="1892" priority="9067" stopIfTrue="1">
      <formula>OR($L$5707="F/S",$L$5707="")</formula>
    </cfRule>
    <cfRule type="cellIs" dxfId="1891" priority="9068" stopIfTrue="1" operator="notEqual">
      <formula>0</formula>
    </cfRule>
  </conditionalFormatting>
  <conditionalFormatting sqref="O5707">
    <cfRule type="expression" dxfId="1890" priority="9069" stopIfTrue="1">
      <formula>OR($O$5707="F/S",$O$5707="")</formula>
    </cfRule>
    <cfRule type="cellIs" dxfId="1889" priority="9070" stopIfTrue="1" operator="notEqual">
      <formula>0</formula>
    </cfRule>
  </conditionalFormatting>
  <conditionalFormatting sqref="L5717">
    <cfRule type="expression" dxfId="1888" priority="9071" stopIfTrue="1">
      <formula>OR($L$5717="F/S",$L$5717="")</formula>
    </cfRule>
    <cfRule type="cellIs" dxfId="1887" priority="9072" stopIfTrue="1" operator="notEqual">
      <formula>0</formula>
    </cfRule>
  </conditionalFormatting>
  <conditionalFormatting sqref="O5717">
    <cfRule type="expression" dxfId="1886" priority="9073" stopIfTrue="1">
      <formula>OR($O$5717="F/S",$O$5717="")</formula>
    </cfRule>
    <cfRule type="cellIs" dxfId="1885" priority="9074" stopIfTrue="1" operator="notEqual">
      <formula>0</formula>
    </cfRule>
  </conditionalFormatting>
  <conditionalFormatting sqref="L5727">
    <cfRule type="expression" dxfId="1884" priority="9075" stopIfTrue="1">
      <formula>OR($L$5727="F/S",$L$5727="")</formula>
    </cfRule>
    <cfRule type="cellIs" dxfId="1883" priority="9076" stopIfTrue="1" operator="notEqual">
      <formula>0</formula>
    </cfRule>
  </conditionalFormatting>
  <conditionalFormatting sqref="O5727">
    <cfRule type="expression" dxfId="1882" priority="9077" stopIfTrue="1">
      <formula>OR($O$5727="F/S",$O$5727="")</formula>
    </cfRule>
    <cfRule type="cellIs" dxfId="1881" priority="9078" stopIfTrue="1" operator="notEqual">
      <formula>0</formula>
    </cfRule>
  </conditionalFormatting>
  <conditionalFormatting sqref="L5737">
    <cfRule type="expression" dxfId="1880" priority="9079" stopIfTrue="1">
      <formula>OR($L$5737="F/S",$L$5737="")</formula>
    </cfRule>
    <cfRule type="cellIs" dxfId="1879" priority="9080" stopIfTrue="1" operator="notEqual">
      <formula>0</formula>
    </cfRule>
  </conditionalFormatting>
  <conditionalFormatting sqref="O5737">
    <cfRule type="expression" dxfId="1878" priority="9081" stopIfTrue="1">
      <formula>OR($O$5737="F/S",$O$5737="")</formula>
    </cfRule>
    <cfRule type="cellIs" dxfId="1877" priority="9082" stopIfTrue="1" operator="notEqual">
      <formula>0</formula>
    </cfRule>
  </conditionalFormatting>
  <conditionalFormatting sqref="L5747">
    <cfRule type="expression" dxfId="1876" priority="9083" stopIfTrue="1">
      <formula>OR($L$5747="F/S",$L$5747="")</formula>
    </cfRule>
    <cfRule type="cellIs" dxfId="1875" priority="9084" stopIfTrue="1" operator="notEqual">
      <formula>0</formula>
    </cfRule>
  </conditionalFormatting>
  <conditionalFormatting sqref="O5747">
    <cfRule type="expression" dxfId="1874" priority="9085" stopIfTrue="1">
      <formula>OR($O$5747="F/S",$O$5747="")</formula>
    </cfRule>
    <cfRule type="cellIs" dxfId="1873" priority="9086" stopIfTrue="1" operator="notEqual">
      <formula>0</formula>
    </cfRule>
  </conditionalFormatting>
  <conditionalFormatting sqref="L5755">
    <cfRule type="expression" dxfId="1872" priority="9087" stopIfTrue="1">
      <formula>OR($L$5755="F/S",$L$5755="")</formula>
    </cfRule>
    <cfRule type="cellIs" dxfId="1871" priority="9088" stopIfTrue="1" operator="notEqual">
      <formula>0</formula>
    </cfRule>
  </conditionalFormatting>
  <conditionalFormatting sqref="O5755">
    <cfRule type="expression" dxfId="1870" priority="9089" stopIfTrue="1">
      <formula>OR($O$5755="F/S",$O$5755="")</formula>
    </cfRule>
    <cfRule type="cellIs" dxfId="1869" priority="9090" stopIfTrue="1" operator="notEqual">
      <formula>0</formula>
    </cfRule>
  </conditionalFormatting>
  <conditionalFormatting sqref="L5770">
    <cfRule type="expression" dxfId="1868" priority="9091" stopIfTrue="1">
      <formula>OR($L$5770="F/S",$L$5770="")</formula>
    </cfRule>
    <cfRule type="cellIs" dxfId="1867" priority="9092" stopIfTrue="1" operator="notEqual">
      <formula>0</formula>
    </cfRule>
  </conditionalFormatting>
  <conditionalFormatting sqref="O5770">
    <cfRule type="expression" dxfId="1866" priority="9093" stopIfTrue="1">
      <formula>OR($O$5770="F/S",$O$5770="")</formula>
    </cfRule>
    <cfRule type="cellIs" dxfId="1865" priority="9094" stopIfTrue="1" operator="notEqual">
      <formula>0</formula>
    </cfRule>
  </conditionalFormatting>
  <conditionalFormatting sqref="L5193">
    <cfRule type="expression" dxfId="1864" priority="9095" stopIfTrue="1">
      <formula>OR($L$5193="F/S",$L$5193="")</formula>
    </cfRule>
    <cfRule type="cellIs" dxfId="1863" priority="9096" stopIfTrue="1" operator="notEqual">
      <formula>0</formula>
    </cfRule>
  </conditionalFormatting>
  <conditionalFormatting sqref="O5193">
    <cfRule type="expression" dxfId="1862" priority="9097" stopIfTrue="1">
      <formula>OR($O$5193="F/S",$O$5193="")</formula>
    </cfRule>
    <cfRule type="cellIs" dxfId="1861" priority="9098" stopIfTrue="1" operator="notEqual">
      <formula>0</formula>
    </cfRule>
  </conditionalFormatting>
  <conditionalFormatting sqref="L5329">
    <cfRule type="expression" dxfId="1860" priority="9111" stopIfTrue="1">
      <formula>OR($L$5329="F/S",$L$5329="")</formula>
    </cfRule>
    <cfRule type="cellIs" dxfId="1859" priority="9112" stopIfTrue="1" operator="notEqual">
      <formula>0</formula>
    </cfRule>
  </conditionalFormatting>
  <conditionalFormatting sqref="O5329">
    <cfRule type="expression" dxfId="1858" priority="9113" stopIfTrue="1">
      <formula>OR($O$5329="F/S",$O$5329="")</formula>
    </cfRule>
    <cfRule type="cellIs" dxfId="1857" priority="9114" stopIfTrue="1" operator="notEqual">
      <formula>0</formula>
    </cfRule>
  </conditionalFormatting>
  <conditionalFormatting sqref="L5346">
    <cfRule type="expression" dxfId="1856" priority="9115" stopIfTrue="1">
      <formula>OR($L$5346="F/S",$L$5346="")</formula>
    </cfRule>
    <cfRule type="cellIs" dxfId="1855" priority="9116" stopIfTrue="1" operator="notEqual">
      <formula>0</formula>
    </cfRule>
  </conditionalFormatting>
  <conditionalFormatting sqref="O5346">
    <cfRule type="expression" dxfId="1854" priority="9117" stopIfTrue="1">
      <formula>OR($O$5346="F/S",$O$5346="")</formula>
    </cfRule>
    <cfRule type="cellIs" dxfId="1853" priority="9118" stopIfTrue="1" operator="notEqual">
      <formula>0</formula>
    </cfRule>
  </conditionalFormatting>
  <conditionalFormatting sqref="L5363">
    <cfRule type="expression" dxfId="1852" priority="9119" stopIfTrue="1">
      <formula>OR($L$5363="F/S",$L$5363="")</formula>
    </cfRule>
    <cfRule type="cellIs" dxfId="1851" priority="9120" stopIfTrue="1" operator="notEqual">
      <formula>0</formula>
    </cfRule>
  </conditionalFormatting>
  <conditionalFormatting sqref="O5363">
    <cfRule type="expression" dxfId="1850" priority="9121" stopIfTrue="1">
      <formula>OR($O$5363="F/S",$O$5363="")</formula>
    </cfRule>
    <cfRule type="cellIs" dxfId="1849" priority="9122" stopIfTrue="1" operator="notEqual">
      <formula>0</formula>
    </cfRule>
  </conditionalFormatting>
  <conditionalFormatting sqref="L5379">
    <cfRule type="expression" dxfId="1848" priority="9123" stopIfTrue="1">
      <formula>OR($L$5379="F/S",$L$5379="")</formula>
    </cfRule>
    <cfRule type="cellIs" dxfId="1847" priority="9124" stopIfTrue="1" operator="notEqual">
      <formula>0</formula>
    </cfRule>
  </conditionalFormatting>
  <conditionalFormatting sqref="O5379">
    <cfRule type="expression" dxfId="1846" priority="9125" stopIfTrue="1">
      <formula>OR($O$5379="F/S",$O$5379="")</formula>
    </cfRule>
    <cfRule type="cellIs" dxfId="1845" priority="9126" stopIfTrue="1" operator="notEqual">
      <formula>0</formula>
    </cfRule>
  </conditionalFormatting>
  <conditionalFormatting sqref="L5395">
    <cfRule type="expression" dxfId="1844" priority="9127" stopIfTrue="1">
      <formula>OR($L$5395="F/S",$L$5395="")</formula>
    </cfRule>
    <cfRule type="cellIs" dxfId="1843" priority="9128" stopIfTrue="1" operator="notEqual">
      <formula>0</formula>
    </cfRule>
  </conditionalFormatting>
  <conditionalFormatting sqref="O5395">
    <cfRule type="expression" dxfId="1842" priority="9129" stopIfTrue="1">
      <formula>OR($O$5395="F/S",$O$5395="")</formula>
    </cfRule>
    <cfRule type="cellIs" dxfId="1841" priority="9130" stopIfTrue="1" operator="notEqual">
      <formula>0</formula>
    </cfRule>
  </conditionalFormatting>
  <conditionalFormatting sqref="L5429">
    <cfRule type="expression" dxfId="1840" priority="9131" stopIfTrue="1">
      <formula>OR($L$5429="F/S",$L$5429="")</formula>
    </cfRule>
    <cfRule type="cellIs" dxfId="1839" priority="9132" stopIfTrue="1" operator="notEqual">
      <formula>0</formula>
    </cfRule>
  </conditionalFormatting>
  <conditionalFormatting sqref="O5429">
    <cfRule type="expression" dxfId="1838" priority="9133" stopIfTrue="1">
      <formula>OR($O$5429="F/S",$O$5429="")</formula>
    </cfRule>
    <cfRule type="cellIs" dxfId="1837" priority="9134" stopIfTrue="1" operator="notEqual">
      <formula>0</formula>
    </cfRule>
  </conditionalFormatting>
  <conditionalFormatting sqref="L5464">
    <cfRule type="expression" dxfId="1836" priority="9135" stopIfTrue="1">
      <formula>OR($L$5464="F/S",$L$5464="")</formula>
    </cfRule>
    <cfRule type="cellIs" dxfId="1835" priority="9136" stopIfTrue="1" operator="notEqual">
      <formula>0</formula>
    </cfRule>
  </conditionalFormatting>
  <conditionalFormatting sqref="O5464">
    <cfRule type="expression" dxfId="1834" priority="9137" stopIfTrue="1">
      <formula>OR($O$5464="F/S",$O$5464="")</formula>
    </cfRule>
    <cfRule type="cellIs" dxfId="1833" priority="9138" stopIfTrue="1" operator="notEqual">
      <formula>0</formula>
    </cfRule>
  </conditionalFormatting>
  <conditionalFormatting sqref="L5611">
    <cfRule type="expression" dxfId="1832" priority="9139" stopIfTrue="1">
      <formula>OR($L$5611="F/S",$L$5611="")</formula>
    </cfRule>
    <cfRule type="cellIs" dxfId="1831" priority="9140" stopIfTrue="1" operator="notEqual">
      <formula>0</formula>
    </cfRule>
  </conditionalFormatting>
  <conditionalFormatting sqref="O5611">
    <cfRule type="expression" dxfId="1830" priority="9141" stopIfTrue="1">
      <formula>OR($O$5611="F/S",$O$5611="")</formula>
    </cfRule>
    <cfRule type="cellIs" dxfId="1829" priority="9142" stopIfTrue="1" operator="notEqual">
      <formula>0</formula>
    </cfRule>
  </conditionalFormatting>
  <conditionalFormatting sqref="L5585">
    <cfRule type="expression" dxfId="1828" priority="9159" stopIfTrue="1">
      <formula>OR($L$5585="F/S",$L$5585="")</formula>
    </cfRule>
    <cfRule type="cellIs" dxfId="1827" priority="9160" stopIfTrue="1" operator="notEqual">
      <formula>0</formula>
    </cfRule>
  </conditionalFormatting>
  <conditionalFormatting sqref="O5585">
    <cfRule type="expression" dxfId="1826" priority="9161" stopIfTrue="1">
      <formula>OR($O$5585="F/S",$O$5585="")</formula>
    </cfRule>
    <cfRule type="cellIs" dxfId="1825" priority="9162" stopIfTrue="1" operator="notEqual">
      <formula>0</formula>
    </cfRule>
  </conditionalFormatting>
  <conditionalFormatting sqref="L5784">
    <cfRule type="expression" dxfId="1824" priority="9167" stopIfTrue="1">
      <formula>OR($L$5784="F/S",$L$5784="")</formula>
    </cfRule>
    <cfRule type="cellIs" dxfId="1823" priority="9168" stopIfTrue="1" operator="notEqual">
      <formula>0</formula>
    </cfRule>
  </conditionalFormatting>
  <conditionalFormatting sqref="O5784">
    <cfRule type="expression" dxfId="1822" priority="9169" stopIfTrue="1">
      <formula>OR($O$5784="F/S",$O$5784="")</formula>
    </cfRule>
    <cfRule type="cellIs" dxfId="1821" priority="9170" stopIfTrue="1" operator="notEqual">
      <formula>0</formula>
    </cfRule>
  </conditionalFormatting>
  <conditionalFormatting sqref="L5285">
    <cfRule type="expression" dxfId="1820" priority="9171" stopIfTrue="1">
      <formula>OR($L$5285="F/S",$L$5285="")</formula>
    </cfRule>
    <cfRule type="cellIs" dxfId="1819" priority="9172" stopIfTrue="1" operator="notEqual">
      <formula>0</formula>
    </cfRule>
  </conditionalFormatting>
  <conditionalFormatting sqref="O5285">
    <cfRule type="expression" dxfId="1818" priority="9173" stopIfTrue="1">
      <formula>OR($O$5285="F/S",$O$5285="")</formula>
    </cfRule>
    <cfRule type="cellIs" dxfId="1817" priority="9174" stopIfTrue="1" operator="notEqual">
      <formula>0</formula>
    </cfRule>
  </conditionalFormatting>
  <conditionalFormatting sqref="L5558">
    <cfRule type="expression" dxfId="1816" priority="9175" stopIfTrue="1">
      <formula>OR($L$5558="F/S",$L$5558="")</formula>
    </cfRule>
    <cfRule type="cellIs" dxfId="1815" priority="9176" stopIfTrue="1" operator="notEqual">
      <formula>0</formula>
    </cfRule>
  </conditionalFormatting>
  <conditionalFormatting sqref="O5558">
    <cfRule type="expression" dxfId="1814" priority="9177" stopIfTrue="1">
      <formula>OR($O$5558="F/S",$O$5558="")</formula>
    </cfRule>
    <cfRule type="cellIs" dxfId="1813" priority="9178" stopIfTrue="1" operator="notEqual">
      <formula>0</formula>
    </cfRule>
  </conditionalFormatting>
  <conditionalFormatting sqref="L5567">
    <cfRule type="expression" dxfId="1812" priority="9179" stopIfTrue="1">
      <formula>OR($L$5567="F/S",$L$5567="")</formula>
    </cfRule>
    <cfRule type="cellIs" dxfId="1811" priority="9180" stopIfTrue="1" operator="notEqual">
      <formula>0</formula>
    </cfRule>
  </conditionalFormatting>
  <conditionalFormatting sqref="O5567">
    <cfRule type="expression" dxfId="1810" priority="9181" stopIfTrue="1">
      <formula>OR($O$5567="F/S",$O$5567="")</formula>
    </cfRule>
    <cfRule type="cellIs" dxfId="1809" priority="9182" stopIfTrue="1" operator="notEqual">
      <formula>0</formula>
    </cfRule>
  </conditionalFormatting>
  <conditionalFormatting sqref="L5300">
    <cfRule type="expression" dxfId="1808" priority="9207" stopIfTrue="1">
      <formula>OR($L$5300="F/S",$L$5300="")</formula>
    </cfRule>
    <cfRule type="cellIs" dxfId="1807" priority="9208" stopIfTrue="1" operator="notEqual">
      <formula>0</formula>
    </cfRule>
  </conditionalFormatting>
  <conditionalFormatting sqref="O5300">
    <cfRule type="expression" dxfId="1806" priority="9209" stopIfTrue="1">
      <formula>OR($O$5300="F/S",$O$5300="")</formula>
    </cfRule>
    <cfRule type="cellIs" dxfId="1805" priority="9210" stopIfTrue="1" operator="notEqual">
      <formula>0</formula>
    </cfRule>
  </conditionalFormatting>
  <conditionalFormatting sqref="L5315">
    <cfRule type="expression" dxfId="1804" priority="9211" stopIfTrue="1">
      <formula>OR($L$5315="F/S",$L$5315="")</formula>
    </cfRule>
    <cfRule type="cellIs" dxfId="1803" priority="9212" stopIfTrue="1" operator="notEqual">
      <formula>0</formula>
    </cfRule>
  </conditionalFormatting>
  <conditionalFormatting sqref="O5315">
    <cfRule type="expression" dxfId="1802" priority="9213" stopIfTrue="1">
      <formula>OR($O$5315="F/S",$O$5315="")</formula>
    </cfRule>
    <cfRule type="cellIs" dxfId="1801" priority="9214" stopIfTrue="1" operator="notEqual">
      <formula>0</formula>
    </cfRule>
  </conditionalFormatting>
  <conditionalFormatting sqref="L5814">
    <cfRule type="expression" dxfId="1800" priority="9215" stopIfTrue="1">
      <formula>OR($L$5814="F/S",$L$5814="")</formula>
    </cfRule>
    <cfRule type="cellIs" dxfId="1799" priority="9216" stopIfTrue="1" operator="notEqual">
      <formula>0</formula>
    </cfRule>
  </conditionalFormatting>
  <conditionalFormatting sqref="O5814">
    <cfRule type="expression" dxfId="1798" priority="9217" stopIfTrue="1">
      <formula>OR($O$5814="F/S",$O$5814="")</formula>
    </cfRule>
    <cfRule type="cellIs" dxfId="1797" priority="9218" stopIfTrue="1" operator="notEqual">
      <formula>0</formula>
    </cfRule>
  </conditionalFormatting>
  <conditionalFormatting sqref="L5856">
    <cfRule type="expression" dxfId="1796" priority="9219" stopIfTrue="1">
      <formula>OR($L$5856="F/S",$L$5856="")</formula>
    </cfRule>
    <cfRule type="cellIs" dxfId="1795" priority="9220" stopIfTrue="1" operator="notEqual">
      <formula>0</formula>
    </cfRule>
  </conditionalFormatting>
  <conditionalFormatting sqref="O5856">
    <cfRule type="expression" dxfId="1794" priority="9221" stopIfTrue="1">
      <formula>OR($O$5856="F/S",$O$5856="")</formula>
    </cfRule>
    <cfRule type="cellIs" dxfId="1793" priority="9222" stopIfTrue="1" operator="notEqual">
      <formula>0</formula>
    </cfRule>
  </conditionalFormatting>
  <conditionalFormatting sqref="L5846">
    <cfRule type="expression" dxfId="1792" priority="9223" stopIfTrue="1">
      <formula>OR($L$5846="F/S",$L$5846="")</formula>
    </cfRule>
    <cfRule type="cellIs" dxfId="1791" priority="9224" stopIfTrue="1" operator="notEqual">
      <formula>0</formula>
    </cfRule>
  </conditionalFormatting>
  <conditionalFormatting sqref="O5846">
    <cfRule type="expression" dxfId="1790" priority="9225" stopIfTrue="1">
      <formula>OR($O$5846="F/S",$O$5846="")</formula>
    </cfRule>
    <cfRule type="cellIs" dxfId="1789" priority="9226" stopIfTrue="1" operator="notEqual">
      <formula>0</formula>
    </cfRule>
  </conditionalFormatting>
  <conditionalFormatting sqref="L5866">
    <cfRule type="expression" dxfId="1788" priority="9227" stopIfTrue="1">
      <formula>OR($L$5866="F/S",$L$5866="")</formula>
    </cfRule>
    <cfRule type="cellIs" dxfId="1787" priority="9228" stopIfTrue="1" operator="notEqual">
      <formula>0</formula>
    </cfRule>
  </conditionalFormatting>
  <conditionalFormatting sqref="O5866">
    <cfRule type="expression" dxfId="1786" priority="9229" stopIfTrue="1">
      <formula>OR($O$5866="F/S",$O$5866="")</formula>
    </cfRule>
    <cfRule type="cellIs" dxfId="1785" priority="9230" stopIfTrue="1" operator="notEqual">
      <formula>0</formula>
    </cfRule>
  </conditionalFormatting>
  <conditionalFormatting sqref="L4994">
    <cfRule type="expression" dxfId="1784" priority="9231" stopIfTrue="1">
      <formula>OR($L$4994="F/S",$L$4994="")</formula>
    </cfRule>
    <cfRule type="cellIs" dxfId="1783" priority="9232" stopIfTrue="1" operator="notEqual">
      <formula>0</formula>
    </cfRule>
  </conditionalFormatting>
  <conditionalFormatting sqref="O4994">
    <cfRule type="expression" dxfId="1782" priority="9233" stopIfTrue="1">
      <formula>OR($O$4994="F/S",$O$4994="")</formula>
    </cfRule>
    <cfRule type="cellIs" dxfId="1781" priority="9234" stopIfTrue="1" operator="notEqual">
      <formula>0</formula>
    </cfRule>
  </conditionalFormatting>
  <conditionalFormatting sqref="L5008">
    <cfRule type="expression" dxfId="1780" priority="9235" stopIfTrue="1">
      <formula>OR($L$5008="F/S",$L$5008="")</formula>
    </cfRule>
    <cfRule type="cellIs" dxfId="1779" priority="9236" stopIfTrue="1" operator="notEqual">
      <formula>0</formula>
    </cfRule>
  </conditionalFormatting>
  <conditionalFormatting sqref="O5008">
    <cfRule type="expression" dxfId="1778" priority="9237" stopIfTrue="1">
      <formula>OR($O$5008="F/S",$O$5008="")</formula>
    </cfRule>
    <cfRule type="cellIs" dxfId="1777" priority="9238" stopIfTrue="1" operator="notEqual">
      <formula>0</formula>
    </cfRule>
  </conditionalFormatting>
  <conditionalFormatting sqref="L5018">
    <cfRule type="expression" dxfId="1776" priority="9239" stopIfTrue="1">
      <formula>OR($L$5018="F/S",$L$5018="")</formula>
    </cfRule>
    <cfRule type="cellIs" dxfId="1775" priority="9240" stopIfTrue="1" operator="notEqual">
      <formula>0</formula>
    </cfRule>
  </conditionalFormatting>
  <conditionalFormatting sqref="O5018">
    <cfRule type="expression" dxfId="1774" priority="9241" stopIfTrue="1">
      <formula>OR($O$5018="F/S",$O$5018="")</formula>
    </cfRule>
    <cfRule type="cellIs" dxfId="1773" priority="9242" stopIfTrue="1" operator="notEqual">
      <formula>0</formula>
    </cfRule>
  </conditionalFormatting>
  <conditionalFormatting sqref="H2701">
    <cfRule type="expression" dxfId="1772" priority="9247">
      <formula>AND(H$2701&lt;&gt;0,H$2701&lt;&gt;"")</formula>
    </cfRule>
    <cfRule type="expression" dxfId="1771" priority="9248" stopIfTrue="1">
      <formula>H$2702&lt;&gt;"√"</formula>
    </cfRule>
  </conditionalFormatting>
  <conditionalFormatting sqref="P2701">
    <cfRule type="expression" dxfId="1770" priority="9249">
      <formula>AND(P$2701&lt;&gt;0,P$2701&lt;&gt;"")</formula>
    </cfRule>
    <cfRule type="expression" dxfId="1769" priority="9250" stopIfTrue="1">
      <formula>P$2702&lt;&gt;"√"</formula>
    </cfRule>
  </conditionalFormatting>
  <conditionalFormatting sqref="K2703">
    <cfRule type="expression" dxfId="1768" priority="9251">
      <formula>AND($K$2703&lt;&gt;0,$K$2703&lt;&gt;"")</formula>
    </cfRule>
    <cfRule type="expression" dxfId="1767" priority="9252" stopIfTrue="1">
      <formula>$L$2703&lt;&gt;"√"</formula>
    </cfRule>
  </conditionalFormatting>
  <conditionalFormatting sqref="H3109">
    <cfRule type="expression" dxfId="1766" priority="9253">
      <formula>AND(H$3109&lt;&gt;0,H$3109&lt;&gt;"")</formula>
    </cfRule>
    <cfRule type="expression" dxfId="1765" priority="9254" stopIfTrue="1">
      <formula>H$3110&lt;&gt;"√"</formula>
    </cfRule>
  </conditionalFormatting>
  <conditionalFormatting sqref="P3109">
    <cfRule type="expression" dxfId="1764" priority="9255">
      <formula>AND(P$3109&lt;&gt;0,P$3109&lt;&gt;"")</formula>
    </cfRule>
    <cfRule type="expression" dxfId="1763" priority="9256" stopIfTrue="1">
      <formula>P$3110&lt;&gt;"√"</formula>
    </cfRule>
  </conditionalFormatting>
  <conditionalFormatting sqref="K3111">
    <cfRule type="expression" dxfId="1762" priority="9257">
      <formula>AND($K$3111&lt;&gt;0,$K$3111&lt;&gt;"")</formula>
    </cfRule>
    <cfRule type="expression" dxfId="1761" priority="9258" stopIfTrue="1">
      <formula>$L$3111&lt;&gt;"√"</formula>
    </cfRule>
  </conditionalFormatting>
  <conditionalFormatting sqref="G4376:G4394">
    <cfRule type="expression" dxfId="1760" priority="9262">
      <formula>$D4376&gt;1</formula>
    </cfRule>
    <cfRule type="expression" dxfId="1759" priority="9263">
      <formula>$C4376="%IN"</formula>
    </cfRule>
    <cfRule type="expression" dxfId="1758" priority="9264" stopIfTrue="1">
      <formula>$E4376=0</formula>
    </cfRule>
  </conditionalFormatting>
  <conditionalFormatting sqref="G5881:G5886">
    <cfRule type="expression" dxfId="1757" priority="9265">
      <formula>$D5881&gt;1</formula>
    </cfRule>
    <cfRule type="expression" dxfId="1756" priority="9266">
      <formula>$C5881="%IN"</formula>
    </cfRule>
    <cfRule type="expression" dxfId="1755" priority="9267" stopIfTrue="1">
      <formula>$E5881=0</formula>
    </cfRule>
  </conditionalFormatting>
  <conditionalFormatting sqref="G5892:G5897">
    <cfRule type="expression" dxfId="1754" priority="9268">
      <formula>$D5892&gt;1</formula>
    </cfRule>
    <cfRule type="expression" dxfId="1753" priority="9269">
      <formula>$C5892="%IN"</formula>
    </cfRule>
    <cfRule type="expression" dxfId="1752" priority="9270" stopIfTrue="1">
      <formula>$E5892=0</formula>
    </cfRule>
  </conditionalFormatting>
  <conditionalFormatting sqref="G5903:G5908">
    <cfRule type="expression" dxfId="1751" priority="9271">
      <formula>$D5903&gt;1</formula>
    </cfRule>
    <cfRule type="expression" dxfId="1750" priority="9272">
      <formula>$C5903="%IN"</formula>
    </cfRule>
    <cfRule type="expression" dxfId="1749" priority="9273" stopIfTrue="1">
      <formula>$E5903=0</formula>
    </cfRule>
  </conditionalFormatting>
  <conditionalFormatting sqref="G5914:G5919">
    <cfRule type="expression" dxfId="1748" priority="9274">
      <formula>$D5914&gt;1</formula>
    </cfRule>
    <cfRule type="expression" dxfId="1747" priority="9275">
      <formula>$C5914="%IN"</formula>
    </cfRule>
    <cfRule type="expression" dxfId="1746" priority="9276" stopIfTrue="1">
      <formula>$E5914=0</formula>
    </cfRule>
  </conditionalFormatting>
  <conditionalFormatting sqref="G5925:G5930">
    <cfRule type="expression" dxfId="1745" priority="9277">
      <formula>$D5925&gt;1</formula>
    </cfRule>
    <cfRule type="expression" dxfId="1744" priority="9278">
      <formula>$C5925="%IN"</formula>
    </cfRule>
    <cfRule type="expression" dxfId="1743" priority="9279" stopIfTrue="1">
      <formula>$E5925=0</formula>
    </cfRule>
  </conditionalFormatting>
  <conditionalFormatting sqref="G5936:G5941">
    <cfRule type="expression" dxfId="1742" priority="9280">
      <formula>$D5936&gt;1</formula>
    </cfRule>
    <cfRule type="expression" dxfId="1741" priority="9281">
      <formula>$C5936="%IN"</formula>
    </cfRule>
    <cfRule type="expression" dxfId="1740" priority="9282" stopIfTrue="1">
      <formula>$E5936=0</formula>
    </cfRule>
  </conditionalFormatting>
  <conditionalFormatting sqref="G5947:G5952">
    <cfRule type="expression" dxfId="1739" priority="9283">
      <formula>$D5947&gt;1</formula>
    </cfRule>
    <cfRule type="expression" dxfId="1738" priority="9284">
      <formula>$C5947="%IN"</formula>
    </cfRule>
    <cfRule type="expression" dxfId="1737" priority="9285" stopIfTrue="1">
      <formula>$E5947=0</formula>
    </cfRule>
  </conditionalFormatting>
  <conditionalFormatting sqref="G5958:G5963">
    <cfRule type="expression" dxfId="1736" priority="9286">
      <formula>$D5958&gt;1</formula>
    </cfRule>
    <cfRule type="expression" dxfId="1735" priority="9287">
      <formula>$C5958="%IN"</formula>
    </cfRule>
    <cfRule type="expression" dxfId="1734" priority="9288" stopIfTrue="1">
      <formula>$E5958=0</formula>
    </cfRule>
  </conditionalFormatting>
  <conditionalFormatting sqref="G5969:G5982">
    <cfRule type="expression" dxfId="1733" priority="9289">
      <formula>$D5969&gt;1</formula>
    </cfRule>
    <cfRule type="expression" dxfId="1732" priority="9290">
      <formula>$C5969="%IN"</formula>
    </cfRule>
    <cfRule type="expression" dxfId="1731" priority="9291" stopIfTrue="1">
      <formula>$E5969=0</formula>
    </cfRule>
  </conditionalFormatting>
  <conditionalFormatting sqref="G5988:G6003">
    <cfRule type="expression" dxfId="1730" priority="9292">
      <formula>$D5988&gt;1</formula>
    </cfRule>
    <cfRule type="expression" dxfId="1729" priority="9293">
      <formula>$C5988="%IN"</formula>
    </cfRule>
    <cfRule type="expression" dxfId="1728" priority="9294" stopIfTrue="1">
      <formula>$E5988=0</formula>
    </cfRule>
  </conditionalFormatting>
  <conditionalFormatting sqref="G6009:G6014">
    <cfRule type="expression" dxfId="1727" priority="9295">
      <formula>$D6009&gt;1</formula>
    </cfRule>
    <cfRule type="expression" dxfId="1726" priority="9296">
      <formula>$C6009="%IN"</formula>
    </cfRule>
    <cfRule type="expression" dxfId="1725" priority="9297" stopIfTrue="1">
      <formula>$E6009=0</formula>
    </cfRule>
  </conditionalFormatting>
  <conditionalFormatting sqref="G6020:G6026">
    <cfRule type="expression" dxfId="1724" priority="9298">
      <formula>$D6020&gt;1</formula>
    </cfRule>
    <cfRule type="expression" dxfId="1723" priority="9299">
      <formula>$C6020="%IN"</formula>
    </cfRule>
    <cfRule type="expression" dxfId="1722" priority="9300" stopIfTrue="1">
      <formula>$E6020=0</formula>
    </cfRule>
  </conditionalFormatting>
  <conditionalFormatting sqref="G6032:G6038">
    <cfRule type="expression" dxfId="1721" priority="9301">
      <formula>$D6032&gt;1</formula>
    </cfRule>
    <cfRule type="expression" dxfId="1720" priority="9302">
      <formula>$C6032="%IN"</formula>
    </cfRule>
    <cfRule type="expression" dxfId="1719" priority="9303" stopIfTrue="1">
      <formula>$E6032=0</formula>
    </cfRule>
  </conditionalFormatting>
  <conditionalFormatting sqref="G6044:G6060">
    <cfRule type="expression" dxfId="1718" priority="9304">
      <formula>$D6044&gt;1</formula>
    </cfRule>
    <cfRule type="expression" dxfId="1717" priority="9305">
      <formula>$C6044="%IN"</formula>
    </cfRule>
    <cfRule type="expression" dxfId="1716" priority="9306" stopIfTrue="1">
      <formula>$E6044=0</formula>
    </cfRule>
  </conditionalFormatting>
  <conditionalFormatting sqref="G6067:G6070">
    <cfRule type="expression" dxfId="1715" priority="9307">
      <formula>$D6067&gt;1</formula>
    </cfRule>
    <cfRule type="expression" dxfId="1714" priority="9308">
      <formula>$C6067="%IN"</formula>
    </cfRule>
    <cfRule type="expression" dxfId="1713" priority="9309" stopIfTrue="1">
      <formula>$E6067=0</formula>
    </cfRule>
  </conditionalFormatting>
  <conditionalFormatting sqref="G6076:G6081">
    <cfRule type="expression" dxfId="1712" priority="9310">
      <formula>$D6076&gt;1</formula>
    </cfRule>
    <cfRule type="expression" dxfId="1711" priority="9311">
      <formula>$C6076="%IN"</formula>
    </cfRule>
    <cfRule type="expression" dxfId="1710" priority="9312" stopIfTrue="1">
      <formula>$E6076=0</formula>
    </cfRule>
  </conditionalFormatting>
  <conditionalFormatting sqref="G6087:G6090">
    <cfRule type="expression" dxfId="1709" priority="9313">
      <formula>$D6087&gt;1</formula>
    </cfRule>
    <cfRule type="expression" dxfId="1708" priority="9314">
      <formula>$C6087="%IN"</formula>
    </cfRule>
    <cfRule type="expression" dxfId="1707" priority="9315" stopIfTrue="1">
      <formula>$E6087=0</formula>
    </cfRule>
  </conditionalFormatting>
  <conditionalFormatting sqref="G6096:G6099">
    <cfRule type="expression" dxfId="1706" priority="9316">
      <formula>$D6096&gt;1</formula>
    </cfRule>
    <cfRule type="expression" dxfId="1705" priority="9317">
      <formula>$C6096="%IN"</formula>
    </cfRule>
    <cfRule type="expression" dxfId="1704" priority="9318" stopIfTrue="1">
      <formula>$E6096=0</formula>
    </cfRule>
  </conditionalFormatting>
  <conditionalFormatting sqref="G6119:G6123">
    <cfRule type="expression" dxfId="1703" priority="9322">
      <formula>$D6119&gt;1</formula>
    </cfRule>
    <cfRule type="expression" dxfId="1702" priority="9323">
      <formula>$C6119="%IN"</formula>
    </cfRule>
    <cfRule type="expression" dxfId="1701" priority="9324" stopIfTrue="1">
      <formula>$E6119=0</formula>
    </cfRule>
  </conditionalFormatting>
  <conditionalFormatting sqref="G6129:G6132">
    <cfRule type="expression" dxfId="1700" priority="9325">
      <formula>$D6129&gt;1</formula>
    </cfRule>
    <cfRule type="expression" dxfId="1699" priority="9326">
      <formula>$C6129="%IN"</formula>
    </cfRule>
    <cfRule type="expression" dxfId="1698" priority="9327" stopIfTrue="1">
      <formula>$E6129=0</formula>
    </cfRule>
  </conditionalFormatting>
  <conditionalFormatting sqref="G6138:G6143">
    <cfRule type="expression" dxfId="1697" priority="9328">
      <formula>$D6138&gt;1</formula>
    </cfRule>
    <cfRule type="expression" dxfId="1696" priority="9329">
      <formula>$C6138="%IN"</formula>
    </cfRule>
    <cfRule type="expression" dxfId="1695" priority="9330" stopIfTrue="1">
      <formula>$E6138=0</formula>
    </cfRule>
  </conditionalFormatting>
  <conditionalFormatting sqref="G6149:G6152">
    <cfRule type="expression" dxfId="1694" priority="9331">
      <formula>$D6149&gt;1</formula>
    </cfRule>
    <cfRule type="expression" dxfId="1693" priority="9332">
      <formula>$C6149="%IN"</formula>
    </cfRule>
    <cfRule type="expression" dxfId="1692" priority="9333" stopIfTrue="1">
      <formula>$E6149=0</formula>
    </cfRule>
  </conditionalFormatting>
  <conditionalFormatting sqref="G6158:G6161">
    <cfRule type="expression" dxfId="1691" priority="9334">
      <formula>$D6158&gt;1</formula>
    </cfRule>
    <cfRule type="expression" dxfId="1690" priority="9335">
      <formula>$C6158="%IN"</formula>
    </cfRule>
    <cfRule type="expression" dxfId="1689" priority="9336" stopIfTrue="1">
      <formula>$E6158=0</formula>
    </cfRule>
  </conditionalFormatting>
  <conditionalFormatting sqref="G6167:G6170">
    <cfRule type="expression" dxfId="1688" priority="9337">
      <formula>$D6167&gt;1</formula>
    </cfRule>
    <cfRule type="expression" dxfId="1687" priority="9338">
      <formula>$C6167="%IN"</formula>
    </cfRule>
    <cfRule type="expression" dxfId="1686" priority="9339" stopIfTrue="1">
      <formula>$E6167=0</formula>
    </cfRule>
  </conditionalFormatting>
  <conditionalFormatting sqref="G6198:G6219">
    <cfRule type="expression" dxfId="1685" priority="9343">
      <formula>$D6198&gt;1</formula>
    </cfRule>
    <cfRule type="expression" dxfId="1684" priority="9344">
      <formula>$C6198="%IN"</formula>
    </cfRule>
    <cfRule type="expression" dxfId="1683" priority="9345" stopIfTrue="1">
      <formula>$E6198=0</formula>
    </cfRule>
  </conditionalFormatting>
  <conditionalFormatting sqref="G6225:G6248">
    <cfRule type="expression" dxfId="1682" priority="9346">
      <formula>$D6225&gt;1</formula>
    </cfRule>
    <cfRule type="expression" dxfId="1681" priority="9347">
      <formula>$C6225="%IN"</formula>
    </cfRule>
    <cfRule type="expression" dxfId="1680" priority="9348" stopIfTrue="1">
      <formula>$E6225=0</formula>
    </cfRule>
  </conditionalFormatting>
  <conditionalFormatting sqref="G6254:G6257">
    <cfRule type="expression" dxfId="1679" priority="9349">
      <formula>$D6254&gt;1</formula>
    </cfRule>
    <cfRule type="expression" dxfId="1678" priority="9350">
      <formula>$C6254="%IN"</formula>
    </cfRule>
    <cfRule type="expression" dxfId="1677" priority="9351" stopIfTrue="1">
      <formula>$E6254=0</formula>
    </cfRule>
  </conditionalFormatting>
  <conditionalFormatting sqref="G13:G17">
    <cfRule type="expression" dxfId="1676" priority="9352">
      <formula>$D13&gt;1</formula>
    </cfRule>
    <cfRule type="expression" dxfId="1675" priority="9353">
      <formula>$C13="%IN"</formula>
    </cfRule>
    <cfRule type="expression" dxfId="1674" priority="9354" stopIfTrue="1">
      <formula>$E13=0</formula>
    </cfRule>
  </conditionalFormatting>
  <conditionalFormatting sqref="I448">
    <cfRule type="expression" dxfId="1673" priority="447" stopIfTrue="1">
      <formula>$I448="适用"</formula>
    </cfRule>
    <cfRule type="expression" dxfId="1672" priority="448" stopIfTrue="1">
      <formula>$I448="不适用"</formula>
    </cfRule>
  </conditionalFormatting>
  <conditionalFormatting sqref="I762">
    <cfRule type="expression" dxfId="1671" priority="430" stopIfTrue="1">
      <formula>$I762="适用"</formula>
    </cfRule>
    <cfRule type="expression" dxfId="1670" priority="431" stopIfTrue="1">
      <formula>$I762="不适用"</formula>
    </cfRule>
  </conditionalFormatting>
  <conditionalFormatting sqref="Q762:Q777">
    <cfRule type="expression" dxfId="1669" priority="429" stopIfTrue="1">
      <formula>$Q762="请输入"</formula>
    </cfRule>
  </conditionalFormatting>
  <conditionalFormatting sqref="L1057">
    <cfRule type="expression" dxfId="1668" priority="9361" stopIfTrue="1">
      <formula>OR($L$1057="F/S",$L$1057="")</formula>
    </cfRule>
    <cfRule type="cellIs" dxfId="1667" priority="9362" stopIfTrue="1" operator="notEqual">
      <formula>0</formula>
    </cfRule>
  </conditionalFormatting>
  <conditionalFormatting sqref="O1057">
    <cfRule type="expression" dxfId="1666" priority="9363" stopIfTrue="1">
      <formula>OR($O$1057="F/S",$O$1057="")</formula>
    </cfRule>
    <cfRule type="cellIs" dxfId="1665" priority="9364" stopIfTrue="1" operator="notEqual">
      <formula>0</formula>
    </cfRule>
  </conditionalFormatting>
  <conditionalFormatting sqref="G4997:G5006">
    <cfRule type="expression" dxfId="1664" priority="9368">
      <formula>$D4997&gt;1</formula>
    </cfRule>
    <cfRule type="expression" dxfId="1663" priority="9369">
      <formula>$C4997="%IN"</formula>
    </cfRule>
    <cfRule type="expression" dxfId="1662" priority="9370" stopIfTrue="1">
      <formula>$E4997=0</formula>
    </cfRule>
  </conditionalFormatting>
  <conditionalFormatting sqref="G6105:G6113">
    <cfRule type="expression" dxfId="1661" priority="9371">
      <formula>$D6105&gt;1</formula>
    </cfRule>
    <cfRule type="expression" dxfId="1660" priority="9372">
      <formula>$C6105="%IN"</formula>
    </cfRule>
    <cfRule type="expression" dxfId="1659" priority="9373" stopIfTrue="1">
      <formula>$E6105=0</formula>
    </cfRule>
  </conditionalFormatting>
  <conditionalFormatting sqref="G5400:G5427">
    <cfRule type="expression" dxfId="1658" priority="9374">
      <formula>$D5400&gt;1</formula>
    </cfRule>
    <cfRule type="expression" dxfId="1657" priority="9375">
      <formula>$C5400="%IN"</formula>
    </cfRule>
    <cfRule type="expression" dxfId="1656" priority="9376" stopIfTrue="1">
      <formula>$E5400=0</formula>
    </cfRule>
  </conditionalFormatting>
  <conditionalFormatting sqref="G5434:G5461">
    <cfRule type="expression" dxfId="1655" priority="9377">
      <formula>$D5434&gt;1</formula>
    </cfRule>
    <cfRule type="expression" dxfId="1654" priority="9378">
      <formula>$C5434="%IN"</formula>
    </cfRule>
    <cfRule type="expression" dxfId="1653" priority="9379" stopIfTrue="1">
      <formula>$E5434=0</formula>
    </cfRule>
  </conditionalFormatting>
  <conditionalFormatting sqref="G3739">
    <cfRule type="expression" dxfId="1652" priority="412">
      <formula>$D3739&gt;1</formula>
    </cfRule>
    <cfRule type="expression" dxfId="1651" priority="413">
      <formula>$C3739="%IN"</formula>
    </cfRule>
    <cfRule type="expression" dxfId="1650" priority="414" stopIfTrue="1">
      <formula>$E3739=0</formula>
    </cfRule>
  </conditionalFormatting>
  <conditionalFormatting sqref="L1079:L1100">
    <cfRule type="expression" dxfId="1649" priority="9383" stopIfTrue="1">
      <formula>OR($L$1079="F/S",$L$1079="")</formula>
    </cfRule>
    <cfRule type="cellIs" dxfId="1648" priority="9384" stopIfTrue="1" operator="notEqual">
      <formula>0</formula>
    </cfRule>
  </conditionalFormatting>
  <conditionalFormatting sqref="O1079:O1100">
    <cfRule type="expression" dxfId="1647" priority="9385" stopIfTrue="1">
      <formula>OR($O$1079="F/S",$O$1079="")</formula>
    </cfRule>
    <cfRule type="cellIs" dxfId="1646" priority="9386" stopIfTrue="1" operator="notEqual">
      <formula>0</formula>
    </cfRule>
  </conditionalFormatting>
  <conditionalFormatting sqref="L1101:L1115">
    <cfRule type="expression" dxfId="1645" priority="9390" stopIfTrue="1">
      <formula>OR($L$1101="F/S",$L$1101="")</formula>
    </cfRule>
    <cfRule type="cellIs" dxfId="1644" priority="9391" stopIfTrue="1" operator="notEqual">
      <formula>0</formula>
    </cfRule>
  </conditionalFormatting>
  <conditionalFormatting sqref="O1101:O1115">
    <cfRule type="expression" dxfId="1643" priority="9392" stopIfTrue="1">
      <formula>OR($O$1101="F/S",$O$1101="")</formula>
    </cfRule>
    <cfRule type="cellIs" dxfId="1642" priority="9393" stopIfTrue="1" operator="notEqual">
      <formula>0</formula>
    </cfRule>
  </conditionalFormatting>
  <conditionalFormatting sqref="L415">
    <cfRule type="expression" dxfId="1641" priority="9403" stopIfTrue="1">
      <formula>OR($L$415="F/S",$L$415="")</formula>
    </cfRule>
    <cfRule type="cellIs" dxfId="1640" priority="9404" stopIfTrue="1" operator="notEqual">
      <formula>0</formula>
    </cfRule>
  </conditionalFormatting>
  <conditionalFormatting sqref="O415">
    <cfRule type="expression" dxfId="1639" priority="9405" stopIfTrue="1">
      <formula>OR($O$415="F/S",$O$415="")</formula>
    </cfRule>
    <cfRule type="cellIs" dxfId="1638" priority="9406" stopIfTrue="1" operator="notEqual">
      <formula>0</formula>
    </cfRule>
  </conditionalFormatting>
  <conditionalFormatting sqref="I415">
    <cfRule type="expression" dxfId="1637" priority="396" stopIfTrue="1">
      <formula>$I415="适用"</formula>
    </cfRule>
    <cfRule type="expression" dxfId="1636" priority="397" stopIfTrue="1">
      <formula>$I415="不适用"</formula>
    </cfRule>
  </conditionalFormatting>
  <conditionalFormatting sqref="Q415">
    <cfRule type="expression" dxfId="1635" priority="395" stopIfTrue="1">
      <formula>$Q415="请输入"</formula>
    </cfRule>
  </conditionalFormatting>
  <conditionalFormatting sqref="G3461:G3466">
    <cfRule type="expression" dxfId="1634" priority="9410">
      <formula>$D3461&gt;1</formula>
    </cfRule>
    <cfRule type="expression" dxfId="1633" priority="9411">
      <formula>$C3461="%IN"</formula>
    </cfRule>
    <cfRule type="expression" dxfId="1632" priority="9412" stopIfTrue="1">
      <formula>$E3461=0</formula>
    </cfRule>
  </conditionalFormatting>
  <conditionalFormatting sqref="G3846:G3851">
    <cfRule type="expression" dxfId="1631" priority="9416">
      <formula>$D3846&gt;1</formula>
    </cfRule>
    <cfRule type="expression" dxfId="1630" priority="9417">
      <formula>$C3846="%IN"</formula>
    </cfRule>
    <cfRule type="expression" dxfId="1629" priority="9418" stopIfTrue="1">
      <formula>$E3846=0</formula>
    </cfRule>
  </conditionalFormatting>
  <conditionalFormatting sqref="G62:G67">
    <cfRule type="expression" dxfId="1628" priority="9419">
      <formula>$D62&gt;1</formula>
    </cfRule>
    <cfRule type="expression" dxfId="1627" priority="9420">
      <formula>$C62="%IN"</formula>
    </cfRule>
    <cfRule type="expression" dxfId="1626" priority="9421" stopIfTrue="1">
      <formula>$E62=0</formula>
    </cfRule>
  </conditionalFormatting>
  <conditionalFormatting sqref="G671:G676">
    <cfRule type="expression" dxfId="1625" priority="9422">
      <formula>$D671&gt;1</formula>
    </cfRule>
    <cfRule type="expression" dxfId="1624" priority="9423">
      <formula>$C671="%IN"</formula>
    </cfRule>
    <cfRule type="expression" dxfId="1623" priority="9424" stopIfTrue="1">
      <formula>$E671=0</formula>
    </cfRule>
  </conditionalFormatting>
  <conditionalFormatting sqref="G3377:G3382">
    <cfRule type="expression" dxfId="1622" priority="9425">
      <formula>$D3377&gt;1</formula>
    </cfRule>
    <cfRule type="expression" dxfId="1621" priority="9426">
      <formula>$C3377="%IN"</formula>
    </cfRule>
    <cfRule type="expression" dxfId="1620" priority="9427" stopIfTrue="1">
      <formula>$E3377=0</formula>
    </cfRule>
  </conditionalFormatting>
  <conditionalFormatting sqref="G3488:G3493">
    <cfRule type="expression" dxfId="1619" priority="9428">
      <formula>$D3488&gt;1</formula>
    </cfRule>
    <cfRule type="expression" dxfId="1618" priority="9429">
      <formula>$C3488="%IN"</formula>
    </cfRule>
    <cfRule type="expression" dxfId="1617" priority="9430" stopIfTrue="1">
      <formula>$E3488=0</formula>
    </cfRule>
  </conditionalFormatting>
  <conditionalFormatting sqref="G3883:G3888">
    <cfRule type="expression" dxfId="1616" priority="9431">
      <formula>$D3883&gt;1</formula>
    </cfRule>
    <cfRule type="expression" dxfId="1615" priority="9432">
      <formula>$C3883="%IN"</formula>
    </cfRule>
    <cfRule type="expression" dxfId="1614" priority="9433" stopIfTrue="1">
      <formula>$E3883=0</formula>
    </cfRule>
  </conditionalFormatting>
  <conditionalFormatting sqref="G2194:G2199">
    <cfRule type="expression" dxfId="1613" priority="9434">
      <formula>$D2194&gt;1</formula>
    </cfRule>
    <cfRule type="expression" dxfId="1612" priority="9435">
      <formula>$C2194="%IN"</formula>
    </cfRule>
    <cfRule type="expression" dxfId="1611" priority="9436" stopIfTrue="1">
      <formula>$E2194=0</formula>
    </cfRule>
  </conditionalFormatting>
  <conditionalFormatting sqref="G4143:G4148">
    <cfRule type="expression" dxfId="1610" priority="9437">
      <formula>$D4143&gt;1</formula>
    </cfRule>
    <cfRule type="expression" dxfId="1609" priority="9438">
      <formula>$C4143="%IN"</formula>
    </cfRule>
    <cfRule type="expression" dxfId="1608" priority="9439" stopIfTrue="1">
      <formula>$E4143=0</formula>
    </cfRule>
  </conditionalFormatting>
  <conditionalFormatting sqref="G4164:G4169">
    <cfRule type="expression" dxfId="1607" priority="9440">
      <formula>$D4164&gt;1</formula>
    </cfRule>
    <cfRule type="expression" dxfId="1606" priority="9441">
      <formula>$C4164="%IN"</formula>
    </cfRule>
    <cfRule type="expression" dxfId="1605" priority="9442" stopIfTrue="1">
      <formula>$E4164=0</formula>
    </cfRule>
  </conditionalFormatting>
  <conditionalFormatting sqref="G2404:G2409">
    <cfRule type="expression" dxfId="1604" priority="9443">
      <formula>$D2404&gt;1</formula>
    </cfRule>
    <cfRule type="expression" dxfId="1603" priority="9444">
      <formula>$C2404="%IN"</formula>
    </cfRule>
    <cfRule type="expression" dxfId="1602" priority="9445" stopIfTrue="1">
      <formula>$E2404=0</formula>
    </cfRule>
  </conditionalFormatting>
  <conditionalFormatting sqref="L306:L307 L310:L315">
    <cfRule type="expression" dxfId="1601" priority="9446" stopIfTrue="1">
      <formula>OR($L$306="F/S",$L$306="")</formula>
    </cfRule>
    <cfRule type="cellIs" dxfId="1600" priority="9447" stopIfTrue="1" operator="notEqual">
      <formula>0</formula>
    </cfRule>
  </conditionalFormatting>
  <conditionalFormatting sqref="O306:O315">
    <cfRule type="expression" dxfId="1599" priority="9448" stopIfTrue="1">
      <formula>OR($O$306="F/S",$O$306="")</formula>
    </cfRule>
    <cfRule type="cellIs" dxfId="1598" priority="9449" stopIfTrue="1" operator="notEqual">
      <formula>0</formula>
    </cfRule>
  </conditionalFormatting>
  <conditionalFormatting sqref="I306">
    <cfRule type="expression" dxfId="1597" priority="377" stopIfTrue="1">
      <formula>$I306="适用"</formula>
    </cfRule>
    <cfRule type="expression" dxfId="1596" priority="378" stopIfTrue="1">
      <formula>$I306="不适用"</formula>
    </cfRule>
  </conditionalFormatting>
  <conditionalFormatting sqref="G309:G314">
    <cfRule type="expression" dxfId="1595" priority="9450">
      <formula>$D309&gt;1</formula>
    </cfRule>
    <cfRule type="expression" dxfId="1594" priority="9451">
      <formula>$C309="%IN"</formula>
    </cfRule>
    <cfRule type="expression" dxfId="1593" priority="9452" stopIfTrue="1">
      <formula>$E309=0</formula>
    </cfRule>
  </conditionalFormatting>
  <conditionalFormatting sqref="L2191:L2192 L2195:L2200">
    <cfRule type="expression" dxfId="1592" priority="9453" stopIfTrue="1">
      <formula>OR($L$2191="F/S",$L$2191="")</formula>
    </cfRule>
    <cfRule type="cellIs" dxfId="1591" priority="9454" stopIfTrue="1" operator="notEqual">
      <formula>0</formula>
    </cfRule>
  </conditionalFormatting>
  <conditionalFormatting sqref="O2191:O2200">
    <cfRule type="expression" dxfId="1590" priority="9455" stopIfTrue="1">
      <formula>OR($O$2191="F/S",$O$2191="")</formula>
    </cfRule>
    <cfRule type="cellIs" dxfId="1589" priority="9456" stopIfTrue="1" operator="notEqual">
      <formula>0</formula>
    </cfRule>
  </conditionalFormatting>
  <conditionalFormatting sqref="L4100:L4102 L4104:L4109">
    <cfRule type="expression" dxfId="1588" priority="9457" stopIfTrue="1">
      <formula>OR($L$4100="F/S",$L$4100="")</formula>
    </cfRule>
    <cfRule type="cellIs" dxfId="1587" priority="9458" stopIfTrue="1" operator="notEqual">
      <formula>0</formula>
    </cfRule>
  </conditionalFormatting>
  <conditionalFormatting sqref="O4100:O4109">
    <cfRule type="expression" dxfId="1586" priority="9459" stopIfTrue="1">
      <formula>OR($O$4100="F/S",$O$4100="")</formula>
    </cfRule>
    <cfRule type="cellIs" dxfId="1585" priority="9460" stopIfTrue="1" operator="notEqual">
      <formula>0</formula>
    </cfRule>
  </conditionalFormatting>
  <conditionalFormatting sqref="I4100">
    <cfRule type="expression" dxfId="1584" priority="357" stopIfTrue="1">
      <formula>$I4100="适用"</formula>
    </cfRule>
    <cfRule type="expression" dxfId="1583" priority="358" stopIfTrue="1">
      <formula>$I4100="不适用"</formula>
    </cfRule>
  </conditionalFormatting>
  <conditionalFormatting sqref="G4103:G4108">
    <cfRule type="expression" dxfId="1582" priority="9461">
      <formula>$D4103&gt;1</formula>
    </cfRule>
    <cfRule type="expression" dxfId="1581" priority="9462">
      <formula>$C4103="%IN"</formula>
    </cfRule>
    <cfRule type="expression" dxfId="1580" priority="9463" stopIfTrue="1">
      <formula>$E4103=0</formula>
    </cfRule>
  </conditionalFormatting>
  <conditionalFormatting sqref="G681:G686">
    <cfRule type="expression" dxfId="1579" priority="9464">
      <formula>$D681&gt;1</formula>
    </cfRule>
    <cfRule type="expression" dxfId="1578" priority="9465">
      <formula>$C681="%IN"</formula>
    </cfRule>
    <cfRule type="expression" dxfId="1577" priority="9466" stopIfTrue="1">
      <formula>$E681=0</formula>
    </cfRule>
  </conditionalFormatting>
  <conditionalFormatting sqref="G1590:G1595">
    <cfRule type="expression" dxfId="1576" priority="9470">
      <formula>$D1590&gt;1</formula>
    </cfRule>
    <cfRule type="expression" dxfId="1575" priority="9471">
      <formula>$C1590="%IN"</formula>
    </cfRule>
    <cfRule type="expression" dxfId="1574" priority="9472" stopIfTrue="1">
      <formula>$E1590=0</formula>
    </cfRule>
  </conditionalFormatting>
  <conditionalFormatting sqref="G1600:G1605">
    <cfRule type="expression" dxfId="1573" priority="9473">
      <formula>$D1600&gt;1</formula>
    </cfRule>
    <cfRule type="expression" dxfId="1572" priority="9474">
      <formula>$C1600="%IN"</formula>
    </cfRule>
    <cfRule type="expression" dxfId="1571" priority="9475" stopIfTrue="1">
      <formula>$E1600=0</formula>
    </cfRule>
  </conditionalFormatting>
  <conditionalFormatting sqref="G3498:G3503">
    <cfRule type="expression" dxfId="1570" priority="9476">
      <formula>$D3498&gt;1</formula>
    </cfRule>
    <cfRule type="expression" dxfId="1569" priority="9477">
      <formula>$C3498="%IN"</formula>
    </cfRule>
    <cfRule type="expression" dxfId="1568" priority="9478" stopIfTrue="1">
      <formula>$E3498=0</formula>
    </cfRule>
  </conditionalFormatting>
  <conditionalFormatting sqref="G3595:G3600">
    <cfRule type="expression" dxfId="1567" priority="9479">
      <formula>$D3595&gt;1</formula>
    </cfRule>
    <cfRule type="expression" dxfId="1566" priority="9480">
      <formula>$C3595="%IN"</formula>
    </cfRule>
    <cfRule type="expression" dxfId="1565" priority="9481" stopIfTrue="1">
      <formula>$E3595=0</formula>
    </cfRule>
  </conditionalFormatting>
  <conditionalFormatting sqref="G3893:G3898">
    <cfRule type="expression" dxfId="1564" priority="9482">
      <formula>$D3893&gt;1</formula>
    </cfRule>
    <cfRule type="expression" dxfId="1563" priority="9483">
      <formula>$C3893="%IN"</formula>
    </cfRule>
    <cfRule type="expression" dxfId="1562" priority="9484" stopIfTrue="1">
      <formula>$E3893=0</formula>
    </cfRule>
  </conditionalFormatting>
  <conditionalFormatting sqref="I2530">
    <cfRule type="expression" dxfId="1561" priority="347" stopIfTrue="1">
      <formula>$I2530="适用"</formula>
    </cfRule>
    <cfRule type="expression" dxfId="1560" priority="348" stopIfTrue="1">
      <formula>$I2530="不适用"</formula>
    </cfRule>
  </conditionalFormatting>
  <conditionalFormatting sqref="Q2530:Q2555">
    <cfRule type="expression" dxfId="1559" priority="346" stopIfTrue="1">
      <formula>$Q2530="请输入"</formula>
    </cfRule>
  </conditionalFormatting>
  <conditionalFormatting sqref="L2543:L2544 L2546:L2555">
    <cfRule type="expression" dxfId="1558" priority="9488" stopIfTrue="1">
      <formula>OR($L$2543="F/S",$L$2543="")</formula>
    </cfRule>
    <cfRule type="cellIs" dxfId="1557" priority="9489" stopIfTrue="1" operator="notEqual">
      <formula>0</formula>
    </cfRule>
  </conditionalFormatting>
  <conditionalFormatting sqref="O2543:O2555">
    <cfRule type="expression" dxfId="1556" priority="9490" stopIfTrue="1">
      <formula>OR($O$2543="F/S",$O$2543="")</formula>
    </cfRule>
    <cfRule type="cellIs" dxfId="1555" priority="9491" stopIfTrue="1" operator="notEqual">
      <formula>0</formula>
    </cfRule>
  </conditionalFormatting>
  <conditionalFormatting sqref="I2543">
    <cfRule type="expression" dxfId="1554" priority="340" stopIfTrue="1">
      <formula>$I2543="适用"</formula>
    </cfRule>
    <cfRule type="expression" dxfId="1553" priority="341" stopIfTrue="1">
      <formula>$I2543="不适用"</formula>
    </cfRule>
  </conditionalFormatting>
  <conditionalFormatting sqref="Q2543:Q2555">
    <cfRule type="expression" dxfId="1552" priority="339" stopIfTrue="1">
      <formula>$Q2543="请输入"</formula>
    </cfRule>
  </conditionalFormatting>
  <conditionalFormatting sqref="G2533:G2541">
    <cfRule type="expression" dxfId="1551" priority="9495">
      <formula>$D2533&gt;1</formula>
    </cfRule>
    <cfRule type="expression" dxfId="1550" priority="9496">
      <formula>$C2533="%IN"</formula>
    </cfRule>
    <cfRule type="expression" dxfId="1549" priority="9497" stopIfTrue="1">
      <formula>$E2533=0</formula>
    </cfRule>
  </conditionalFormatting>
  <conditionalFormatting sqref="G2546:G2554">
    <cfRule type="expression" dxfId="1548" priority="9498">
      <formula>$D2546&gt;1</formula>
    </cfRule>
    <cfRule type="expression" dxfId="1547" priority="9499">
      <formula>$C2546="%IN"</formula>
    </cfRule>
    <cfRule type="expression" dxfId="1546" priority="9500" stopIfTrue="1">
      <formula>$E2546=0</formula>
    </cfRule>
  </conditionalFormatting>
  <conditionalFormatting sqref="L1502:L1509 L1491:L1493 L1496:L1497">
    <cfRule type="expression" dxfId="1545" priority="9504" stopIfTrue="1">
      <formula>OR($L$1491="F/S",$L$1491="")</formula>
    </cfRule>
    <cfRule type="cellIs" dxfId="1544" priority="9505" stopIfTrue="1" operator="notEqual">
      <formula>0</formula>
    </cfRule>
  </conditionalFormatting>
  <conditionalFormatting sqref="O1491:O1509">
    <cfRule type="expression" dxfId="1543" priority="9506" stopIfTrue="1">
      <formula>OR($O$1491="F/S",$O$1491="")</formula>
    </cfRule>
    <cfRule type="cellIs" dxfId="1542" priority="9507" stopIfTrue="1" operator="notEqual">
      <formula>0</formula>
    </cfRule>
  </conditionalFormatting>
  <conditionalFormatting sqref="L2412">
    <cfRule type="expression" dxfId="1541" priority="9511" stopIfTrue="1">
      <formula>OR($L$2412="F/S",$L$2412="")</formula>
    </cfRule>
    <cfRule type="cellIs" dxfId="1540" priority="9512" stopIfTrue="1" operator="notEqual">
      <formula>0</formula>
    </cfRule>
  </conditionalFormatting>
  <conditionalFormatting sqref="O2412:O2430">
    <cfRule type="expression" dxfId="1539" priority="9513" stopIfTrue="1">
      <formula>OR($O$2412="F/S",$O$2412="")</formula>
    </cfRule>
    <cfRule type="cellIs" dxfId="1538" priority="9514" stopIfTrue="1" operator="notEqual">
      <formula>0</formula>
    </cfRule>
  </conditionalFormatting>
  <conditionalFormatting sqref="I2412">
    <cfRule type="expression" dxfId="1537" priority="320" stopIfTrue="1">
      <formula>$I2412="适用"</formula>
    </cfRule>
    <cfRule type="expression" dxfId="1536" priority="321" stopIfTrue="1">
      <formula>$I2412="不适用"</formula>
    </cfRule>
  </conditionalFormatting>
  <conditionalFormatting sqref="G2417:G2422">
    <cfRule type="expression" dxfId="1535" priority="9515">
      <formula>$D2417&gt;1</formula>
    </cfRule>
    <cfRule type="expression" dxfId="1534" priority="9516">
      <formula>$C2417="%IN"</formula>
    </cfRule>
    <cfRule type="expression" dxfId="1533" priority="9517" stopIfTrue="1">
      <formula>$E2417=0</formula>
    </cfRule>
  </conditionalFormatting>
  <conditionalFormatting sqref="L2431">
    <cfRule type="expression" dxfId="1532" priority="9518" stopIfTrue="1">
      <formula>OR($L$2431="F/S",$L$2431="")</formula>
    </cfRule>
    <cfRule type="cellIs" dxfId="1531" priority="9519" stopIfTrue="1" operator="notEqual">
      <formula>0</formula>
    </cfRule>
  </conditionalFormatting>
  <conditionalFormatting sqref="O2431:O2462">
    <cfRule type="expression" dxfId="1530" priority="9520" stopIfTrue="1">
      <formula>OR($O$2431="F/S",$O$2431="")</formula>
    </cfRule>
    <cfRule type="cellIs" dxfId="1529" priority="9521" stopIfTrue="1" operator="notEqual">
      <formula>0</formula>
    </cfRule>
  </conditionalFormatting>
  <conditionalFormatting sqref="I2431">
    <cfRule type="expression" dxfId="1528" priority="313" stopIfTrue="1">
      <formula>$I2431="适用"</formula>
    </cfRule>
    <cfRule type="expression" dxfId="1527" priority="314" stopIfTrue="1">
      <formula>$I2431="不适用"</formula>
    </cfRule>
  </conditionalFormatting>
  <conditionalFormatting sqref="G2434:G2454">
    <cfRule type="expression" dxfId="1526" priority="9522">
      <formula>$D2434&gt;1</formula>
    </cfRule>
    <cfRule type="expression" dxfId="1525" priority="9523">
      <formula>$C2434="%IN"</formula>
    </cfRule>
    <cfRule type="expression" dxfId="1524" priority="9524" stopIfTrue="1">
      <formula>$E2434=0</formula>
    </cfRule>
  </conditionalFormatting>
  <conditionalFormatting sqref="L1027:L1028 L1036:L1042">
    <cfRule type="expression" dxfId="1523" priority="9528" stopIfTrue="1">
      <formula>OR($L$1027="F/S",$L$1027="")</formula>
    </cfRule>
    <cfRule type="cellIs" dxfId="1522" priority="9529" stopIfTrue="1" operator="notEqual">
      <formula>0</formula>
    </cfRule>
  </conditionalFormatting>
  <conditionalFormatting sqref="O1027:O1042">
    <cfRule type="expression" dxfId="1521" priority="9530" stopIfTrue="1">
      <formula>OR($O$1027="F/S",$O$1027="")</formula>
    </cfRule>
    <cfRule type="cellIs" dxfId="1520" priority="9531" stopIfTrue="1" operator="notEqual">
      <formula>0</formula>
    </cfRule>
  </conditionalFormatting>
  <conditionalFormatting sqref="I1027">
    <cfRule type="expression" dxfId="1519" priority="306" stopIfTrue="1">
      <formula>$I1027="适用"</formula>
    </cfRule>
    <cfRule type="expression" dxfId="1518" priority="307" stopIfTrue="1">
      <formula>$I1027="不适用"</formula>
    </cfRule>
  </conditionalFormatting>
  <conditionalFormatting sqref="I1131">
    <cfRule type="expression" dxfId="1517" priority="299" stopIfTrue="1">
      <formula>$I1131="适用"</formula>
    </cfRule>
    <cfRule type="expression" dxfId="1516" priority="300" stopIfTrue="1">
      <formula>$I1131="不适用"</formula>
    </cfRule>
  </conditionalFormatting>
  <conditionalFormatting sqref="Q1131:Q1218">
    <cfRule type="expression" dxfId="1515" priority="298" stopIfTrue="1">
      <formula>$Q1131="请输入"</formula>
    </cfRule>
  </conditionalFormatting>
  <conditionalFormatting sqref="L1145:L1147 L1149:L1166 L1237 L1234:L1235">
    <cfRule type="expression" dxfId="1514" priority="9544" stopIfTrue="1">
      <formula>OR($L$1145="F/S",$L$1145="")</formula>
    </cfRule>
    <cfRule type="cellIs" dxfId="1513" priority="9545" stopIfTrue="1" operator="notEqual">
      <formula>0</formula>
    </cfRule>
  </conditionalFormatting>
  <conditionalFormatting sqref="O1145:O1166">
    <cfRule type="expression" dxfId="1512" priority="9546" stopIfTrue="1">
      <formula>OR($O$1145="F/S",$O$1145="")</formula>
    </cfRule>
    <cfRule type="cellIs" dxfId="1511" priority="9547" stopIfTrue="1" operator="notEqual">
      <formula>0</formula>
    </cfRule>
  </conditionalFormatting>
  <conditionalFormatting sqref="I1145">
    <cfRule type="expression" dxfId="1510" priority="289" stopIfTrue="1">
      <formula>$I1145="适用"</formula>
    </cfRule>
    <cfRule type="expression" dxfId="1509" priority="290" stopIfTrue="1">
      <formula>$I1145="不适用"</formula>
    </cfRule>
  </conditionalFormatting>
  <conditionalFormatting sqref="Q1145:Q1218">
    <cfRule type="expression" dxfId="1508" priority="288" stopIfTrue="1">
      <formula>$Q1145="请输入"</formula>
    </cfRule>
  </conditionalFormatting>
  <conditionalFormatting sqref="L1167:L1188">
    <cfRule type="expression" dxfId="1507" priority="9551" stopIfTrue="1">
      <formula>OR($L$1167="F/S",$L$1167="")</formula>
    </cfRule>
    <cfRule type="cellIs" dxfId="1506" priority="9552" stopIfTrue="1" operator="notEqual">
      <formula>0</formula>
    </cfRule>
  </conditionalFormatting>
  <conditionalFormatting sqref="O1167:O1188">
    <cfRule type="expression" dxfId="1505" priority="9553" stopIfTrue="1">
      <formula>OR($O$1167="F/S",$O$1167="")</formula>
    </cfRule>
    <cfRule type="cellIs" dxfId="1504" priority="9554" stopIfTrue="1" operator="notEqual">
      <formula>0</formula>
    </cfRule>
  </conditionalFormatting>
  <conditionalFormatting sqref="I1167">
    <cfRule type="expression" dxfId="1503" priority="282" stopIfTrue="1">
      <formula>$I1167="适用"</formula>
    </cfRule>
    <cfRule type="expression" dxfId="1502" priority="283" stopIfTrue="1">
      <formula>$I1167="不适用"</formula>
    </cfRule>
  </conditionalFormatting>
  <conditionalFormatting sqref="Q1167:Q1218">
    <cfRule type="expression" dxfId="1501" priority="281" stopIfTrue="1">
      <formula>$Q1167="请输入"</formula>
    </cfRule>
  </conditionalFormatting>
  <conditionalFormatting sqref="L1189:L1203">
    <cfRule type="expression" dxfId="1500" priority="9558" stopIfTrue="1">
      <formula>OR($L$1189="F/S",$L$1189="")</formula>
    </cfRule>
    <cfRule type="cellIs" dxfId="1499" priority="9559" stopIfTrue="1" operator="notEqual">
      <formula>0</formula>
    </cfRule>
  </conditionalFormatting>
  <conditionalFormatting sqref="O1189:O1203">
    <cfRule type="expression" dxfId="1498" priority="9560" stopIfTrue="1">
      <formula>OR($O$1189="F/S",$O$1189="")</formula>
    </cfRule>
    <cfRule type="cellIs" dxfId="1497" priority="9561" stopIfTrue="1" operator="notEqual">
      <formula>0</formula>
    </cfRule>
  </conditionalFormatting>
  <conditionalFormatting sqref="I1189">
    <cfRule type="expression" dxfId="1496" priority="275" stopIfTrue="1">
      <formula>$I1189="适用"</formula>
    </cfRule>
    <cfRule type="expression" dxfId="1495" priority="276" stopIfTrue="1">
      <formula>$I1189="不适用"</formula>
    </cfRule>
  </conditionalFormatting>
  <conditionalFormatting sqref="Q1189:Q1218">
    <cfRule type="expression" dxfId="1494" priority="274" stopIfTrue="1">
      <formula>$Q1189="请输入"</formula>
    </cfRule>
  </conditionalFormatting>
  <conditionalFormatting sqref="L1204:L1218">
    <cfRule type="expression" dxfId="1493" priority="9565" stopIfTrue="1">
      <formula>OR($L$1204="F/S",$L$1204="")</formula>
    </cfRule>
    <cfRule type="cellIs" dxfId="1492" priority="9566" stopIfTrue="1" operator="notEqual">
      <formula>0</formula>
    </cfRule>
  </conditionalFormatting>
  <conditionalFormatting sqref="O1204:O1218">
    <cfRule type="expression" dxfId="1491" priority="9567" stopIfTrue="1">
      <formula>OR($O$1204="F/S",$O$1204="")</formula>
    </cfRule>
    <cfRule type="cellIs" dxfId="1490" priority="9568" stopIfTrue="1" operator="notEqual">
      <formula>0</formula>
    </cfRule>
  </conditionalFormatting>
  <conditionalFormatting sqref="I1204">
    <cfRule type="expression" dxfId="1489" priority="268" stopIfTrue="1">
      <formula>$I1204="适用"</formula>
    </cfRule>
    <cfRule type="expression" dxfId="1488" priority="269" stopIfTrue="1">
      <formula>$I1204="不适用"</formula>
    </cfRule>
  </conditionalFormatting>
  <conditionalFormatting sqref="Q1204:Q1218">
    <cfRule type="expression" dxfId="1487" priority="267" stopIfTrue="1">
      <formula>$Q1204="请输入"</formula>
    </cfRule>
  </conditionalFormatting>
  <conditionalFormatting sqref="L1233:L1247 L1252:L1254">
    <cfRule type="expression" dxfId="1486" priority="9572" stopIfTrue="1">
      <formula>OR($L$1233="F/S",$L$1233="")</formula>
    </cfRule>
    <cfRule type="cellIs" dxfId="1485" priority="9573" stopIfTrue="1" operator="notEqual">
      <formula>0</formula>
    </cfRule>
  </conditionalFormatting>
  <conditionalFormatting sqref="O1233:O1254">
    <cfRule type="expression" dxfId="1484" priority="9574" stopIfTrue="1">
      <formula>OR($O$1233="F/S",$O$1233="")</formula>
    </cfRule>
    <cfRule type="cellIs" dxfId="1483" priority="9575" stopIfTrue="1" operator="notEqual">
      <formula>0</formula>
    </cfRule>
  </conditionalFormatting>
  <conditionalFormatting sqref="I1233">
    <cfRule type="expression" dxfId="1482" priority="261" stopIfTrue="1">
      <formula>$I1233="适用"</formula>
    </cfRule>
    <cfRule type="expression" dxfId="1481" priority="262" stopIfTrue="1">
      <formula>$I1233="不适用"</formula>
    </cfRule>
  </conditionalFormatting>
  <conditionalFormatting sqref="Q1233:Q1306">
    <cfRule type="expression" dxfId="1480" priority="260" stopIfTrue="1">
      <formula>$Q1233="请输入"</formula>
    </cfRule>
  </conditionalFormatting>
  <conditionalFormatting sqref="L1255:L1276">
    <cfRule type="expression" dxfId="1479" priority="9579" stopIfTrue="1">
      <formula>OR($L$1255="F/S",$L$1255="")</formula>
    </cfRule>
    <cfRule type="cellIs" dxfId="1478" priority="9580" stopIfTrue="1" operator="notEqual">
      <formula>0</formula>
    </cfRule>
  </conditionalFormatting>
  <conditionalFormatting sqref="O1255:O1276">
    <cfRule type="expression" dxfId="1477" priority="9581" stopIfTrue="1">
      <formula>OR($O$1255="F/S",$O$1255="")</formula>
    </cfRule>
    <cfRule type="cellIs" dxfId="1476" priority="9582" stopIfTrue="1" operator="notEqual">
      <formula>0</formula>
    </cfRule>
  </conditionalFormatting>
  <conditionalFormatting sqref="I1255">
    <cfRule type="expression" dxfId="1475" priority="254" stopIfTrue="1">
      <formula>$I1255="适用"</formula>
    </cfRule>
    <cfRule type="expression" dxfId="1474" priority="255" stopIfTrue="1">
      <formula>$I1255="不适用"</formula>
    </cfRule>
  </conditionalFormatting>
  <conditionalFormatting sqref="Q1255:Q1306">
    <cfRule type="expression" dxfId="1473" priority="253" stopIfTrue="1">
      <formula>$Q1255="请输入"</formula>
    </cfRule>
  </conditionalFormatting>
  <conditionalFormatting sqref="L1277:L1291">
    <cfRule type="expression" dxfId="1472" priority="9586" stopIfTrue="1">
      <formula>OR($L$1277="F/S",$L$1277="")</formula>
    </cfRule>
    <cfRule type="cellIs" dxfId="1471" priority="9587" stopIfTrue="1" operator="notEqual">
      <formula>0</formula>
    </cfRule>
  </conditionalFormatting>
  <conditionalFormatting sqref="O1277:O1291">
    <cfRule type="expression" dxfId="1470" priority="9588" stopIfTrue="1">
      <formula>OR($O$1277="F/S",$O$1277="")</formula>
    </cfRule>
    <cfRule type="cellIs" dxfId="1469" priority="9589" stopIfTrue="1" operator="notEqual">
      <formula>0</formula>
    </cfRule>
  </conditionalFormatting>
  <conditionalFormatting sqref="I1277">
    <cfRule type="expression" dxfId="1468" priority="247" stopIfTrue="1">
      <formula>$I1277="适用"</formula>
    </cfRule>
    <cfRule type="expression" dxfId="1467" priority="248" stopIfTrue="1">
      <formula>$I1277="不适用"</formula>
    </cfRule>
  </conditionalFormatting>
  <conditionalFormatting sqref="Q1277:Q1306">
    <cfRule type="expression" dxfId="1466" priority="246" stopIfTrue="1">
      <formula>$Q1277="请输入"</formula>
    </cfRule>
  </conditionalFormatting>
  <conditionalFormatting sqref="L1292:L1306">
    <cfRule type="expression" dxfId="1465" priority="9593" stopIfTrue="1">
      <formula>OR($L$1292="F/S",$L$1292="")</formula>
    </cfRule>
    <cfRule type="cellIs" dxfId="1464" priority="9594" stopIfTrue="1" operator="notEqual">
      <formula>0</formula>
    </cfRule>
  </conditionalFormatting>
  <conditionalFormatting sqref="O1292:O1306">
    <cfRule type="expression" dxfId="1463" priority="9595" stopIfTrue="1">
      <formula>OR($O$1292="F/S",$O$1292="")</formula>
    </cfRule>
    <cfRule type="cellIs" dxfId="1462" priority="9596" stopIfTrue="1" operator="notEqual">
      <formula>0</formula>
    </cfRule>
  </conditionalFormatting>
  <conditionalFormatting sqref="I1292">
    <cfRule type="expression" dxfId="1461" priority="240" stopIfTrue="1">
      <formula>$I1292="适用"</formula>
    </cfRule>
    <cfRule type="expression" dxfId="1460" priority="241" stopIfTrue="1">
      <formula>$I1292="不适用"</formula>
    </cfRule>
  </conditionalFormatting>
  <conditionalFormatting sqref="Q1292:Q1306">
    <cfRule type="expression" dxfId="1459" priority="239" stopIfTrue="1">
      <formula>$Q1292="请输入"</formula>
    </cfRule>
  </conditionalFormatting>
  <conditionalFormatting sqref="G1209:G1217">
    <cfRule type="expression" dxfId="1458" priority="9609">
      <formula>$D1209&gt;1</formula>
    </cfRule>
    <cfRule type="expression" dxfId="1457" priority="9610">
      <formula>$C1209="%IN"</formula>
    </cfRule>
    <cfRule type="expression" dxfId="1456" priority="9611" stopIfTrue="1">
      <formula>$E1209=0</formula>
    </cfRule>
  </conditionalFormatting>
  <conditionalFormatting sqref="G1282:G1290">
    <cfRule type="expression" dxfId="1455" priority="9618">
      <formula>$D1282&gt;1</formula>
    </cfRule>
    <cfRule type="expression" dxfId="1454" priority="9619">
      <formula>$C1282="%IN"</formula>
    </cfRule>
    <cfRule type="expression" dxfId="1453" priority="9620" stopIfTrue="1">
      <formula>$E1282=0</formula>
    </cfRule>
  </conditionalFormatting>
  <conditionalFormatting sqref="G1297:G1305">
    <cfRule type="expression" dxfId="1452" priority="9621">
      <formula>$D1297&gt;1</formula>
    </cfRule>
    <cfRule type="expression" dxfId="1451" priority="9622">
      <formula>$C1297="%IN"</formula>
    </cfRule>
    <cfRule type="expression" dxfId="1450" priority="9623" stopIfTrue="1">
      <formula>$E1297=0</formula>
    </cfRule>
  </conditionalFormatting>
  <conditionalFormatting sqref="G1282:G1289">
    <cfRule type="expression" dxfId="1449" priority="207">
      <formula>$D1282&gt;1</formula>
    </cfRule>
    <cfRule type="expression" dxfId="1448" priority="208">
      <formula>$C1282="%IN"</formula>
    </cfRule>
    <cfRule type="expression" dxfId="1447" priority="209" stopIfTrue="1">
      <formula>$E1282=0</formula>
    </cfRule>
  </conditionalFormatting>
  <conditionalFormatting sqref="G1282:G1289">
    <cfRule type="expression" dxfId="1446" priority="204">
      <formula>$D1282&gt;1</formula>
    </cfRule>
    <cfRule type="expression" dxfId="1445" priority="205">
      <formula>$C1282="%IN"</formula>
    </cfRule>
    <cfRule type="expression" dxfId="1444" priority="206" stopIfTrue="1">
      <formula>$E1282=0</formula>
    </cfRule>
  </conditionalFormatting>
  <conditionalFormatting sqref="G1121:G1129">
    <cfRule type="expression" dxfId="1443" priority="9630">
      <formula>$D1121&gt;1</formula>
    </cfRule>
    <cfRule type="expression" dxfId="1442" priority="9631">
      <formula>$C1121="%IN"</formula>
    </cfRule>
    <cfRule type="expression" dxfId="1441" priority="9632" stopIfTrue="1">
      <formula>$E1121=0</formula>
    </cfRule>
  </conditionalFormatting>
  <conditionalFormatting sqref="G1194:G1202">
    <cfRule type="expression" dxfId="1440" priority="9633">
      <formula>$D1194&gt;1</formula>
    </cfRule>
    <cfRule type="expression" dxfId="1439" priority="9634">
      <formula>$C1194="%IN"</formula>
    </cfRule>
    <cfRule type="expression" dxfId="1438" priority="9635" stopIfTrue="1">
      <formula>$E1194=0</formula>
    </cfRule>
  </conditionalFormatting>
  <conditionalFormatting sqref="G1282:G1289">
    <cfRule type="expression" dxfId="1437" priority="201">
      <formula>$D1282&gt;1</formula>
    </cfRule>
    <cfRule type="expression" dxfId="1436" priority="202">
      <formula>$C1282="%IN"</formula>
    </cfRule>
    <cfRule type="expression" dxfId="1435" priority="203" stopIfTrue="1">
      <formula>$E1282=0</formula>
    </cfRule>
  </conditionalFormatting>
  <conditionalFormatting sqref="G1106:G1114">
    <cfRule type="expression" dxfId="1434" priority="9636">
      <formula>$D1106&gt;1</formula>
    </cfRule>
    <cfRule type="expression" dxfId="1433" priority="9637">
      <formula>$C1106="%IN"</formula>
    </cfRule>
    <cfRule type="expression" dxfId="1432" priority="9638" stopIfTrue="1">
      <formula>$E1106=0</formula>
    </cfRule>
  </conditionalFormatting>
  <conditionalFormatting sqref="L2218:L2219 L2227:L2233">
    <cfRule type="expression" dxfId="1431" priority="9651" stopIfTrue="1">
      <formula>OR($L$2218="F/S",$L$2218="")</formula>
    </cfRule>
    <cfRule type="cellIs" dxfId="1430" priority="9652" stopIfTrue="1" operator="notEqual">
      <formula>0</formula>
    </cfRule>
  </conditionalFormatting>
  <conditionalFormatting sqref="O2218:O2219 O2227:O2233">
    <cfRule type="expression" dxfId="1429" priority="9653" stopIfTrue="1">
      <formula>OR($O$2218="F/S",$O$2218="")</formula>
    </cfRule>
    <cfRule type="cellIs" dxfId="1428" priority="9654" stopIfTrue="1" operator="notEqual">
      <formula>0</formula>
    </cfRule>
  </conditionalFormatting>
  <conditionalFormatting sqref="I2218">
    <cfRule type="expression" dxfId="1427" priority="193" stopIfTrue="1">
      <formula>$I2218="适用"</formula>
    </cfRule>
    <cfRule type="expression" dxfId="1426" priority="194" stopIfTrue="1">
      <formula>$I2218="不适用"</formula>
    </cfRule>
  </conditionalFormatting>
  <conditionalFormatting sqref="G2320:G2328">
    <cfRule type="expression" dxfId="1425" priority="9658">
      <formula>$D2320&gt;1</formula>
    </cfRule>
    <cfRule type="expression" dxfId="1424" priority="9659">
      <formula>$C2320="%IN"</formula>
    </cfRule>
    <cfRule type="expression" dxfId="1423" priority="9660" stopIfTrue="1">
      <formula>$E2320=0</formula>
    </cfRule>
  </conditionalFormatting>
  <conditionalFormatting sqref="G420:G428">
    <cfRule type="expression" dxfId="1422" priority="9664">
      <formula>$D420&gt;1</formula>
    </cfRule>
    <cfRule type="expression" dxfId="1421" priority="9665">
      <formula>$C420="%IN"</formula>
    </cfRule>
    <cfRule type="expression" dxfId="1420" priority="9666" stopIfTrue="1">
      <formula>$E420=0</formula>
    </cfRule>
  </conditionalFormatting>
  <conditionalFormatting sqref="G405:G413">
    <cfRule type="expression" dxfId="1419" priority="9667">
      <formula>$D405&gt;1</formula>
    </cfRule>
    <cfRule type="expression" dxfId="1418" priority="9668">
      <formula>$C405="%IN"</formula>
    </cfRule>
    <cfRule type="expression" dxfId="1417" priority="9669" stopIfTrue="1">
      <formula>$E405=0</formula>
    </cfRule>
  </conditionalFormatting>
  <conditionalFormatting sqref="G112:G117 G693:G695 G435:G439">
    <cfRule type="expression" dxfId="1416" priority="9673">
      <formula>$D112&gt;1</formula>
    </cfRule>
    <cfRule type="expression" dxfId="1415" priority="9674">
      <formula>$C112="%IN"</formula>
    </cfRule>
    <cfRule type="expression" dxfId="1414" priority="9675" stopIfTrue="1">
      <formula>$E112=0</formula>
    </cfRule>
  </conditionalFormatting>
  <conditionalFormatting sqref="G133:G136">
    <cfRule type="expression" dxfId="1413" priority="9676">
      <formula>$D133&gt;1</formula>
    </cfRule>
    <cfRule type="expression" dxfId="1412" priority="9677">
      <formula>$C133="%IN"</formula>
    </cfRule>
    <cfRule type="expression" dxfId="1411" priority="9678" stopIfTrue="1">
      <formula>$E133=0</formula>
    </cfRule>
  </conditionalFormatting>
  <conditionalFormatting sqref="G74:G87">
    <cfRule type="expression" dxfId="1410" priority="9682">
      <formula>$D74&gt;1</formula>
    </cfRule>
    <cfRule type="expression" dxfId="1409" priority="9683">
      <formula>$C74="%IN"</formula>
    </cfRule>
    <cfRule type="expression" dxfId="1408" priority="9684" stopIfTrue="1">
      <formula>$E74=0</formula>
    </cfRule>
  </conditionalFormatting>
  <conditionalFormatting sqref="G163:G168">
    <cfRule type="expression" dxfId="1407" priority="9688">
      <formula>$D163&gt;1</formula>
    </cfRule>
    <cfRule type="expression" dxfId="1406" priority="9689">
      <formula>$C163="%IN"</formula>
    </cfRule>
    <cfRule type="expression" dxfId="1405" priority="9690" stopIfTrue="1">
      <formula>$E163=0</formula>
    </cfRule>
  </conditionalFormatting>
  <conditionalFormatting sqref="G175:G183">
    <cfRule type="expression" dxfId="1404" priority="9691">
      <formula>$D175&gt;1</formula>
    </cfRule>
    <cfRule type="expression" dxfId="1403" priority="9692">
      <formula>$C175="%IN"</formula>
    </cfRule>
    <cfRule type="expression" dxfId="1402" priority="9693" stopIfTrue="1">
      <formula>$E175=0</formula>
    </cfRule>
  </conditionalFormatting>
  <conditionalFormatting sqref="G197:G205">
    <cfRule type="expression" dxfId="1401" priority="9694">
      <formula>$D197&gt;1</formula>
    </cfRule>
    <cfRule type="expression" dxfId="1400" priority="9695">
      <formula>$C197="%IN"</formula>
    </cfRule>
    <cfRule type="expression" dxfId="1399" priority="9696" stopIfTrue="1">
      <formula>$E197=0</formula>
    </cfRule>
  </conditionalFormatting>
  <conditionalFormatting sqref="G256:G264">
    <cfRule type="expression" dxfId="1398" priority="9700">
      <formula>$D256&gt;1</formula>
    </cfRule>
    <cfRule type="expression" dxfId="1397" priority="9701">
      <formula>$C256="%IN"</formula>
    </cfRule>
    <cfRule type="expression" dxfId="1396" priority="9702" stopIfTrue="1">
      <formula>$E256=0</formula>
    </cfRule>
  </conditionalFormatting>
  <conditionalFormatting sqref="G276:G284">
    <cfRule type="expression" dxfId="1395" priority="9703">
      <formula>$D276&gt;1</formula>
    </cfRule>
    <cfRule type="expression" dxfId="1394" priority="9704">
      <formula>$C276="%IN"</formula>
    </cfRule>
    <cfRule type="expression" dxfId="1393" priority="9705" stopIfTrue="1">
      <formula>$E276=0</formula>
    </cfRule>
  </conditionalFormatting>
  <conditionalFormatting sqref="G289:G291">
    <cfRule type="expression" dxfId="1392" priority="9706">
      <formula>$D289&gt;1</formula>
    </cfRule>
    <cfRule type="expression" dxfId="1391" priority="9707">
      <formula>$C289="%IN"</formula>
    </cfRule>
    <cfRule type="expression" dxfId="1390" priority="9708" stopIfTrue="1">
      <formula>$E289=0</formula>
    </cfRule>
  </conditionalFormatting>
  <conditionalFormatting sqref="G296:G304">
    <cfRule type="expression" dxfId="1389" priority="9709">
      <formula>$D296&gt;1</formula>
    </cfRule>
    <cfRule type="expression" dxfId="1388" priority="9710">
      <formula>$C296="%IN"</formula>
    </cfRule>
    <cfRule type="expression" dxfId="1387" priority="9711" stopIfTrue="1">
      <formula>$E296=0</formula>
    </cfRule>
  </conditionalFormatting>
  <conditionalFormatting sqref="H188">
    <cfRule type="expression" dxfId="1386" priority="9712">
      <formula>AND(H$188&lt;&gt;0,H$188&lt;&gt;"")</formula>
    </cfRule>
    <cfRule type="expression" dxfId="1385" priority="9713" stopIfTrue="1">
      <formula>H$189&lt;&gt;"√"</formula>
    </cfRule>
  </conditionalFormatting>
  <conditionalFormatting sqref="J188">
    <cfRule type="expression" dxfId="1384" priority="9714">
      <formula>AND(J$188&lt;&gt;0,J$188&lt;&gt;"")</formula>
    </cfRule>
    <cfRule type="expression" dxfId="1383" priority="9715" stopIfTrue="1">
      <formula>J$189&lt;&gt;"√"</formula>
    </cfRule>
  </conditionalFormatting>
  <conditionalFormatting sqref="L188">
    <cfRule type="expression" dxfId="1382" priority="9716">
      <formula>AND(L$188&lt;&gt;0,L$188&lt;&gt;"")</formula>
    </cfRule>
    <cfRule type="expression" dxfId="1381" priority="9717" stopIfTrue="1">
      <formula>L$189&lt;&gt;"√"</formula>
    </cfRule>
  </conditionalFormatting>
  <conditionalFormatting sqref="K190">
    <cfRule type="expression" dxfId="1380" priority="9718">
      <formula>AND($K$190&lt;&gt;0,$K$190&lt;&gt;"")</formula>
    </cfRule>
    <cfRule type="expression" dxfId="1379" priority="9719" stopIfTrue="1">
      <formula>$L$190&lt;&gt;"√"</formula>
    </cfRule>
  </conditionalFormatting>
  <conditionalFormatting sqref="H210">
    <cfRule type="expression" dxfId="1378" priority="9720">
      <formula>AND(H$210&lt;&gt;0,H$210&lt;&gt;"")</formula>
    </cfRule>
    <cfRule type="expression" dxfId="1377" priority="9721" stopIfTrue="1">
      <formula>H$211&lt;&gt;"√"</formula>
    </cfRule>
  </conditionalFormatting>
  <conditionalFormatting sqref="I210">
    <cfRule type="expression" dxfId="1376" priority="9722">
      <formula>AND(I$210&lt;&gt;0,I$210&lt;&gt;"")</formula>
    </cfRule>
    <cfRule type="expression" dxfId="1375" priority="9723" stopIfTrue="1">
      <formula>I$211&lt;&gt;"√"</formula>
    </cfRule>
  </conditionalFormatting>
  <conditionalFormatting sqref="K212">
    <cfRule type="expression" dxfId="1374" priority="9724">
      <formula>AND($K$212&lt;&gt;0,$K$212&lt;&gt;"")</formula>
    </cfRule>
    <cfRule type="expression" dxfId="1373" priority="9725" stopIfTrue="1">
      <formula>$L$212&lt;&gt;"√"</formula>
    </cfRule>
  </conditionalFormatting>
  <conditionalFormatting sqref="H232">
    <cfRule type="expression" dxfId="1372" priority="9726">
      <formula>AND(H$232&lt;&gt;0,H$232&lt;&gt;"")</formula>
    </cfRule>
    <cfRule type="expression" dxfId="1371" priority="9727" stopIfTrue="1">
      <formula>H$233&lt;&gt;"√"</formula>
    </cfRule>
  </conditionalFormatting>
  <conditionalFormatting sqref="I232">
    <cfRule type="expression" dxfId="1370" priority="9728">
      <formula>AND(I$232&lt;&gt;0,I$232&lt;&gt;"")</formula>
    </cfRule>
    <cfRule type="expression" dxfId="1369" priority="9729" stopIfTrue="1">
      <formula>I$233&lt;&gt;"√"</formula>
    </cfRule>
  </conditionalFormatting>
  <conditionalFormatting sqref="K234">
    <cfRule type="expression" dxfId="1368" priority="9730">
      <formula>AND($K$234&lt;&gt;0,$K$234&lt;&gt;"")</formula>
    </cfRule>
    <cfRule type="expression" dxfId="1367" priority="9731" stopIfTrue="1">
      <formula>$L$234&lt;&gt;"√"</formula>
    </cfRule>
  </conditionalFormatting>
  <conditionalFormatting sqref="H269">
    <cfRule type="expression" dxfId="1366" priority="9732">
      <formula>AND(H$269&lt;&gt;0,H$269&lt;&gt;"")</formula>
    </cfRule>
    <cfRule type="expression" dxfId="1365" priority="9733" stopIfTrue="1">
      <formula>H$270&lt;&gt;"√"</formula>
    </cfRule>
  </conditionalFormatting>
  <conditionalFormatting sqref="N269">
    <cfRule type="expression" dxfId="1364" priority="9734">
      <formula>AND(N$269&lt;&gt;0,N$269&lt;&gt;"")</formula>
    </cfRule>
    <cfRule type="expression" dxfId="1363" priority="9735" stopIfTrue="1">
      <formula>N$270&lt;&gt;"√"</formula>
    </cfRule>
  </conditionalFormatting>
  <conditionalFormatting sqref="K271">
    <cfRule type="expression" dxfId="1362" priority="9736">
      <formula>AND($K$271&lt;&gt;0,$K$271&lt;&gt;"")</formula>
    </cfRule>
    <cfRule type="expression" dxfId="1361" priority="9737" stopIfTrue="1">
      <formula>$L$271&lt;&gt;"√"</formula>
    </cfRule>
  </conditionalFormatting>
  <conditionalFormatting sqref="G320:G332">
    <cfRule type="expression" dxfId="1360" priority="9738">
      <formula>$D320&gt;1</formula>
    </cfRule>
    <cfRule type="expression" dxfId="1359" priority="9739">
      <formula>$C320="%IN"</formula>
    </cfRule>
    <cfRule type="expression" dxfId="1358" priority="9740" stopIfTrue="1">
      <formula>$E320=0</formula>
    </cfRule>
  </conditionalFormatting>
  <conditionalFormatting sqref="G339:G347">
    <cfRule type="expression" dxfId="1357" priority="9741">
      <formula>$D339&gt;1</formula>
    </cfRule>
    <cfRule type="expression" dxfId="1356" priority="9742">
      <formula>$C339="%IN"</formula>
    </cfRule>
    <cfRule type="expression" dxfId="1355" priority="9743" stopIfTrue="1">
      <formula>$E339=0</formula>
    </cfRule>
  </conditionalFormatting>
  <conditionalFormatting sqref="G361:G369">
    <cfRule type="expression" dxfId="1354" priority="9747">
      <formula>$D361&gt;1</formula>
    </cfRule>
    <cfRule type="expression" dxfId="1353" priority="9748">
      <formula>$C361="%IN"</formula>
    </cfRule>
    <cfRule type="expression" dxfId="1352" priority="9749" stopIfTrue="1">
      <formula>$E361=0</formula>
    </cfRule>
  </conditionalFormatting>
  <conditionalFormatting sqref="G383:G391">
    <cfRule type="expression" dxfId="1351" priority="9750">
      <formula>$D383&gt;1</formula>
    </cfRule>
    <cfRule type="expression" dxfId="1350" priority="9751">
      <formula>$C383="%IN"</formula>
    </cfRule>
    <cfRule type="expression" dxfId="1349" priority="9752" stopIfTrue="1">
      <formula>$E383=0</formula>
    </cfRule>
  </conditionalFormatting>
  <conditionalFormatting sqref="G453:G459">
    <cfRule type="expression" dxfId="1348" priority="9753">
      <formula>$D453&gt;1</formula>
    </cfRule>
    <cfRule type="expression" dxfId="1347" priority="9754">
      <formula>$C453="%IN"</formula>
    </cfRule>
    <cfRule type="expression" dxfId="1346" priority="9755" stopIfTrue="1">
      <formula>$E453=0</formula>
    </cfRule>
  </conditionalFormatting>
  <conditionalFormatting sqref="G473:G483">
    <cfRule type="expression" dxfId="1345" priority="9756">
      <formula>$D473&gt;1</formula>
    </cfRule>
    <cfRule type="expression" dxfId="1344" priority="9757">
      <formula>$C473="%IN"</formula>
    </cfRule>
    <cfRule type="expression" dxfId="1343" priority="9758" stopIfTrue="1">
      <formula>$E473=0</formula>
    </cfRule>
  </conditionalFormatting>
  <conditionalFormatting sqref="G584:G592">
    <cfRule type="expression" dxfId="1342" priority="9759">
      <formula>$D584&gt;1</formula>
    </cfRule>
    <cfRule type="expression" dxfId="1341" priority="9760">
      <formula>$C584="%IN"</formula>
    </cfRule>
    <cfRule type="expression" dxfId="1340" priority="9761" stopIfTrue="1">
      <formula>$E584=0</formula>
    </cfRule>
  </conditionalFormatting>
  <conditionalFormatting sqref="G632:G646">
    <cfRule type="expression" dxfId="1339" priority="9771">
      <formula>$D632&gt;1</formula>
    </cfRule>
    <cfRule type="expression" dxfId="1338" priority="9772">
      <formula>$C632="%IN"</formula>
    </cfRule>
    <cfRule type="expression" dxfId="1337" priority="9773" stopIfTrue="1">
      <formula>$E632=0</formula>
    </cfRule>
  </conditionalFormatting>
  <conditionalFormatting sqref="G562:G567">
    <cfRule type="expression" dxfId="1336" priority="9780">
      <formula>$D562&gt;1</formula>
    </cfRule>
    <cfRule type="expression" dxfId="1335" priority="9781">
      <formula>$C562="%IN"</formula>
    </cfRule>
    <cfRule type="expression" dxfId="1334" priority="9782" stopIfTrue="1">
      <formula>$E562=0</formula>
    </cfRule>
  </conditionalFormatting>
  <conditionalFormatting sqref="G572:G577">
    <cfRule type="expression" dxfId="1333" priority="9783">
      <formula>$D572&gt;1</formula>
    </cfRule>
    <cfRule type="expression" dxfId="1332" priority="9784">
      <formula>$C572="%IN"</formula>
    </cfRule>
    <cfRule type="expression" dxfId="1331" priority="9785" stopIfTrue="1">
      <formula>$E572=0</formula>
    </cfRule>
  </conditionalFormatting>
  <conditionalFormatting sqref="G219:G227">
    <cfRule type="expression" dxfId="1330" priority="9786">
      <formula>$D219&gt;1</formula>
    </cfRule>
    <cfRule type="expression" dxfId="1329" priority="9787">
      <formula>$C219="%IN"</formula>
    </cfRule>
    <cfRule type="expression" dxfId="1328" priority="9788" stopIfTrue="1">
      <formula>$E219=0</formula>
    </cfRule>
  </conditionalFormatting>
  <conditionalFormatting sqref="G125:G128">
    <cfRule type="expression" dxfId="1327" priority="9789">
      <formula>$D125&gt;1</formula>
    </cfRule>
    <cfRule type="expression" dxfId="1326" priority="9790">
      <formula>$C125="%IN"</formula>
    </cfRule>
    <cfRule type="expression" dxfId="1325" priority="9791" stopIfTrue="1">
      <formula>$E125=0</formula>
    </cfRule>
  </conditionalFormatting>
  <conditionalFormatting sqref="G701:G704">
    <cfRule type="expression" dxfId="1324" priority="9792">
      <formula>$D701&gt;1</formula>
    </cfRule>
    <cfRule type="expression" dxfId="1323" priority="9793">
      <formula>$C701="%IN"</formula>
    </cfRule>
    <cfRule type="expression" dxfId="1322" priority="9794" stopIfTrue="1">
      <formula>$E701=0</formula>
    </cfRule>
  </conditionalFormatting>
  <conditionalFormatting sqref="G853:G856">
    <cfRule type="expression" dxfId="1321" priority="9807">
      <formula>$D853&gt;1</formula>
    </cfRule>
    <cfRule type="expression" dxfId="1320" priority="9808">
      <formula>$C853="%IN"</formula>
    </cfRule>
    <cfRule type="expression" dxfId="1319" priority="9809" stopIfTrue="1">
      <formula>$E853=0</formula>
    </cfRule>
  </conditionalFormatting>
  <conditionalFormatting sqref="G903:G908">
    <cfRule type="expression" dxfId="1318" priority="9810">
      <formula>$D903&gt;1</formula>
    </cfRule>
    <cfRule type="expression" dxfId="1317" priority="9811">
      <formula>$C903="%IN"</formula>
    </cfRule>
    <cfRule type="expression" dxfId="1316" priority="9812" stopIfTrue="1">
      <formula>$E903=0</formula>
    </cfRule>
  </conditionalFormatting>
  <conditionalFormatting sqref="G913:G918">
    <cfRule type="expression" dxfId="1315" priority="9813">
      <formula>$D913&gt;1</formula>
    </cfRule>
    <cfRule type="expression" dxfId="1314" priority="9814">
      <formula>$C913="%IN"</formula>
    </cfRule>
    <cfRule type="expression" dxfId="1313" priority="9815" stopIfTrue="1">
      <formula>$E913=0</formula>
    </cfRule>
  </conditionalFormatting>
  <conditionalFormatting sqref="G959:G964">
    <cfRule type="expression" dxfId="1312" priority="9819">
      <formula>$D959&gt;1</formula>
    </cfRule>
    <cfRule type="expression" dxfId="1311" priority="9820">
      <formula>$C959="%IN"</formula>
    </cfRule>
    <cfRule type="expression" dxfId="1310" priority="9821" stopIfTrue="1">
      <formula>$E959=0</formula>
    </cfRule>
  </conditionalFormatting>
  <conditionalFormatting sqref="G947:G954">
    <cfRule type="expression" dxfId="1309" priority="9822">
      <formula>$D947&gt;1</formula>
    </cfRule>
    <cfRule type="expression" dxfId="1308" priority="9823">
      <formula>$C947="%IN"</formula>
    </cfRule>
    <cfRule type="expression" dxfId="1307" priority="9824" stopIfTrue="1">
      <formula>$E947=0</formula>
    </cfRule>
  </conditionalFormatting>
  <conditionalFormatting sqref="G970:G975">
    <cfRule type="expression" dxfId="1306" priority="9825">
      <formula>$D970&gt;1</formula>
    </cfRule>
    <cfRule type="expression" dxfId="1305" priority="9826">
      <formula>$C970="%IN"</formula>
    </cfRule>
    <cfRule type="expression" dxfId="1304" priority="9827" stopIfTrue="1">
      <formula>$E970=0</formula>
    </cfRule>
  </conditionalFormatting>
  <conditionalFormatting sqref="G980:G985">
    <cfRule type="expression" dxfId="1303" priority="9828">
      <formula>$D980&gt;1</formula>
    </cfRule>
    <cfRule type="expression" dxfId="1302" priority="9829">
      <formula>$C980="%IN"</formula>
    </cfRule>
    <cfRule type="expression" dxfId="1301" priority="9830" stopIfTrue="1">
      <formula>$E980=0</formula>
    </cfRule>
  </conditionalFormatting>
  <conditionalFormatting sqref="G991:G1004">
    <cfRule type="expression" dxfId="1300" priority="9837">
      <formula>$D991&gt;1</formula>
    </cfRule>
    <cfRule type="expression" dxfId="1299" priority="9838">
      <formula>$C991="%IN"</formula>
    </cfRule>
    <cfRule type="expression" dxfId="1298" priority="9839" stopIfTrue="1">
      <formula>$E991=0</formula>
    </cfRule>
  </conditionalFormatting>
  <conditionalFormatting sqref="G1030:G1034">
    <cfRule type="expression" dxfId="1297" priority="9843">
      <formula>$D1030&gt;1</formula>
    </cfRule>
    <cfRule type="expression" dxfId="1296" priority="9844">
      <formula>$C1030="%IN"</formula>
    </cfRule>
    <cfRule type="expression" dxfId="1295" priority="9845" stopIfTrue="1">
      <formula>$E1030=0</formula>
    </cfRule>
  </conditionalFormatting>
  <conditionalFormatting sqref="G1046:G1055">
    <cfRule type="expression" dxfId="1294" priority="9846">
      <formula>$D1046&gt;1</formula>
    </cfRule>
    <cfRule type="expression" dxfId="1293" priority="9847">
      <formula>$C1046="%IN"</formula>
    </cfRule>
    <cfRule type="expression" dxfId="1292" priority="9848" stopIfTrue="1">
      <formula>$E1046=0</formula>
    </cfRule>
  </conditionalFormatting>
  <conditionalFormatting sqref="G1062:G1070">
    <cfRule type="expression" dxfId="1291" priority="9849">
      <formula>$D1062&gt;1</formula>
    </cfRule>
    <cfRule type="expression" dxfId="1290" priority="9850">
      <formula>$C1062="%IN"</formula>
    </cfRule>
    <cfRule type="expression" dxfId="1289" priority="9851" stopIfTrue="1">
      <formula>$E1062=0</formula>
    </cfRule>
  </conditionalFormatting>
  <conditionalFormatting sqref="G1084:G1092">
    <cfRule type="expression" dxfId="1288" priority="9852">
      <formula>$D1084&gt;1</formula>
    </cfRule>
    <cfRule type="expression" dxfId="1287" priority="9853">
      <formula>$C1084="%IN"</formula>
    </cfRule>
    <cfRule type="expression" dxfId="1286" priority="9854" stopIfTrue="1">
      <formula>$E1084=0</formula>
    </cfRule>
  </conditionalFormatting>
  <conditionalFormatting sqref="G1134:G1143">
    <cfRule type="expression" dxfId="1285" priority="9855">
      <formula>$D1134&gt;1</formula>
    </cfRule>
    <cfRule type="expression" dxfId="1284" priority="9856">
      <formula>$C1134="%IN"</formula>
    </cfRule>
    <cfRule type="expression" dxfId="1283" priority="9857" stopIfTrue="1">
      <formula>$E1134=0</formula>
    </cfRule>
  </conditionalFormatting>
  <conditionalFormatting sqref="G1150:G1158">
    <cfRule type="expression" dxfId="1282" priority="9858">
      <formula>$D1150&gt;1</formula>
    </cfRule>
    <cfRule type="expression" dxfId="1281" priority="9859">
      <formula>$C1150="%IN"</formula>
    </cfRule>
    <cfRule type="expression" dxfId="1280" priority="9860" stopIfTrue="1">
      <formula>$E1150=0</formula>
    </cfRule>
  </conditionalFormatting>
  <conditionalFormatting sqref="G1172:G1180">
    <cfRule type="expression" dxfId="1279" priority="9861">
      <formula>$D1172&gt;1</formula>
    </cfRule>
    <cfRule type="expression" dxfId="1278" priority="9862">
      <formula>$C1172="%IN"</formula>
    </cfRule>
    <cfRule type="expression" dxfId="1277" priority="9863" stopIfTrue="1">
      <formula>$E1172=0</formula>
    </cfRule>
  </conditionalFormatting>
  <conditionalFormatting sqref="G1222:G1231">
    <cfRule type="expression" dxfId="1276" priority="9864">
      <formula>$D1222&gt;1</formula>
    </cfRule>
    <cfRule type="expression" dxfId="1275" priority="9865">
      <formula>$C1222="%IN"</formula>
    </cfRule>
    <cfRule type="expression" dxfId="1274" priority="9866" stopIfTrue="1">
      <formula>$E1222=0</formula>
    </cfRule>
  </conditionalFormatting>
  <conditionalFormatting sqref="G1238:G1246">
    <cfRule type="expression" dxfId="1273" priority="9867">
      <formula>$D1238&gt;1</formula>
    </cfRule>
    <cfRule type="expression" dxfId="1272" priority="9868">
      <formula>$C1238="%IN"</formula>
    </cfRule>
    <cfRule type="expression" dxfId="1271" priority="9869" stopIfTrue="1">
      <formula>$E1238=0</formula>
    </cfRule>
  </conditionalFormatting>
  <conditionalFormatting sqref="G1260:G1268">
    <cfRule type="expression" dxfId="1270" priority="9870">
      <formula>$D1260&gt;1</formula>
    </cfRule>
    <cfRule type="expression" dxfId="1269" priority="9871">
      <formula>$C1260="%IN"</formula>
    </cfRule>
    <cfRule type="expression" dxfId="1268" priority="9872" stopIfTrue="1">
      <formula>$E1260=0</formula>
    </cfRule>
  </conditionalFormatting>
  <conditionalFormatting sqref="G1312:G1317">
    <cfRule type="expression" dxfId="1267" priority="9873">
      <formula>$D1312&gt;1</formula>
    </cfRule>
    <cfRule type="expression" dxfId="1266" priority="9874">
      <formula>$C1312="%IN"</formula>
    </cfRule>
    <cfRule type="expression" dxfId="1265" priority="9875" stopIfTrue="1">
      <formula>$E1312=0</formula>
    </cfRule>
  </conditionalFormatting>
  <conditionalFormatting sqref="G1331:G1339">
    <cfRule type="expression" dxfId="1264" priority="9876">
      <formula>$D1331&gt;1</formula>
    </cfRule>
    <cfRule type="expression" dxfId="1263" priority="9877">
      <formula>$C1331="%IN"</formula>
    </cfRule>
    <cfRule type="expression" dxfId="1262" priority="9878" stopIfTrue="1">
      <formula>$E1331=0</formula>
    </cfRule>
  </conditionalFormatting>
  <conditionalFormatting sqref="G1353:G1363">
    <cfRule type="expression" dxfId="1261" priority="9879">
      <formula>$D1353&gt;1</formula>
    </cfRule>
    <cfRule type="expression" dxfId="1260" priority="9880">
      <formula>$C1353="%IN"</formula>
    </cfRule>
    <cfRule type="expression" dxfId="1259" priority="9881" stopIfTrue="1">
      <formula>$E1353=0</formula>
    </cfRule>
  </conditionalFormatting>
  <conditionalFormatting sqref="G1474:G1482">
    <cfRule type="expression" dxfId="1258" priority="9882">
      <formula>$D1474&gt;1</formula>
    </cfRule>
    <cfRule type="expression" dxfId="1257" priority="9883">
      <formula>$C1474="%IN"</formula>
    </cfRule>
    <cfRule type="expression" dxfId="1256" priority="9884" stopIfTrue="1">
      <formula>$E1474=0</formula>
    </cfRule>
  </conditionalFormatting>
  <conditionalFormatting sqref="G1452:G1457">
    <cfRule type="expression" dxfId="1255" priority="9903">
      <formula>$D1452&gt;1</formula>
    </cfRule>
    <cfRule type="expression" dxfId="1254" priority="9904">
      <formula>$C1452="%IN"</formula>
    </cfRule>
    <cfRule type="expression" dxfId="1253" priority="9905" stopIfTrue="1">
      <formula>$E1452=0</formula>
    </cfRule>
  </conditionalFormatting>
  <conditionalFormatting sqref="G1462:G1467">
    <cfRule type="expression" dxfId="1252" priority="9906">
      <formula>$D1462&gt;1</formula>
    </cfRule>
    <cfRule type="expression" dxfId="1251" priority="9907">
      <formula>$C1462="%IN"</formula>
    </cfRule>
    <cfRule type="expression" dxfId="1250" priority="9908" stopIfTrue="1">
      <formula>$E1462=0</formula>
    </cfRule>
  </conditionalFormatting>
  <conditionalFormatting sqref="G1612:G1614">
    <cfRule type="expression" dxfId="1249" priority="9909">
      <formula>$D1612&gt;1</formula>
    </cfRule>
    <cfRule type="expression" dxfId="1248" priority="9910">
      <formula>$C1612="%IN"</formula>
    </cfRule>
    <cfRule type="expression" dxfId="1247" priority="9911" stopIfTrue="1">
      <formula>$E1612=0</formula>
    </cfRule>
  </conditionalFormatting>
  <conditionalFormatting sqref="G1622:G1634">
    <cfRule type="expression" dxfId="1246" priority="9912">
      <formula>$D1622&gt;1</formula>
    </cfRule>
    <cfRule type="expression" dxfId="1245" priority="9913">
      <formula>$C1622="%IN"</formula>
    </cfRule>
    <cfRule type="expression" dxfId="1244" priority="9914" stopIfTrue="1">
      <formula>$E1622=0</formula>
    </cfRule>
  </conditionalFormatting>
  <conditionalFormatting sqref="G1641:G1653">
    <cfRule type="expression" dxfId="1243" priority="9915">
      <formula>$D1641&gt;1</formula>
    </cfRule>
    <cfRule type="expression" dxfId="1242" priority="9916">
      <formula>$C1641="%IN"</formula>
    </cfRule>
    <cfRule type="expression" dxfId="1241" priority="9917" stopIfTrue="1">
      <formula>$E1641=0</formula>
    </cfRule>
  </conditionalFormatting>
  <conditionalFormatting sqref="G1719:G1724">
    <cfRule type="expression" dxfId="1240" priority="9924">
      <formula>$D1719&gt;1</formula>
    </cfRule>
    <cfRule type="expression" dxfId="1239" priority="9925">
      <formula>$C1719="%IN"</formula>
    </cfRule>
    <cfRule type="expression" dxfId="1238" priority="9926" stopIfTrue="1">
      <formula>$E1719=0</formula>
    </cfRule>
  </conditionalFormatting>
  <conditionalFormatting sqref="G1729:G1734">
    <cfRule type="expression" dxfId="1237" priority="9927">
      <formula>$D1729&gt;1</formula>
    </cfRule>
    <cfRule type="expression" dxfId="1236" priority="9928">
      <formula>$C1729="%IN"</formula>
    </cfRule>
    <cfRule type="expression" dxfId="1235" priority="9929" stopIfTrue="1">
      <formula>$E1729=0</formula>
    </cfRule>
  </conditionalFormatting>
  <conditionalFormatting sqref="G1739:G1751">
    <cfRule type="expression" dxfId="1234" priority="9930">
      <formula>$D1739&gt;1</formula>
    </cfRule>
    <cfRule type="expression" dxfId="1233" priority="9931">
      <formula>$C1739="%IN"</formula>
    </cfRule>
    <cfRule type="expression" dxfId="1232" priority="9932" stopIfTrue="1">
      <formula>$E1739=0</formula>
    </cfRule>
  </conditionalFormatting>
  <conditionalFormatting sqref="G1756:G1761">
    <cfRule type="expression" dxfId="1231" priority="9933">
      <formula>$D1756&gt;1</formula>
    </cfRule>
    <cfRule type="expression" dxfId="1230" priority="9934">
      <formula>$C1756="%IN"</formula>
    </cfRule>
    <cfRule type="expression" dxfId="1229" priority="9935" stopIfTrue="1">
      <formula>$E1756=0</formula>
    </cfRule>
  </conditionalFormatting>
  <conditionalFormatting sqref="G1779:G1787">
    <cfRule type="expression" dxfId="1228" priority="9936">
      <formula>$D1779&gt;1</formula>
    </cfRule>
    <cfRule type="expression" dxfId="1227" priority="9937">
      <formula>$C1779="%IN"</formula>
    </cfRule>
    <cfRule type="expression" dxfId="1226" priority="9938" stopIfTrue="1">
      <formula>$E1779=0</formula>
    </cfRule>
  </conditionalFormatting>
  <conditionalFormatting sqref="G1793:G1797">
    <cfRule type="expression" dxfId="1225" priority="9939">
      <formula>$D1793&gt;1</formula>
    </cfRule>
    <cfRule type="expression" dxfId="1224" priority="9940">
      <formula>$C1793="%IN"</formula>
    </cfRule>
    <cfRule type="expression" dxfId="1223" priority="9941" stopIfTrue="1">
      <formula>$E1793=0</formula>
    </cfRule>
  </conditionalFormatting>
  <conditionalFormatting sqref="G1856:G1860">
    <cfRule type="expression" dxfId="1222" priority="9942">
      <formula>$D1856&gt;1</formula>
    </cfRule>
    <cfRule type="expression" dxfId="1221" priority="9943">
      <formula>$C1856="%IN"</formula>
    </cfRule>
    <cfRule type="expression" dxfId="1220" priority="9944" stopIfTrue="1">
      <formula>$E1856=0</formula>
    </cfRule>
  </conditionalFormatting>
  <conditionalFormatting sqref="G1872:G1880">
    <cfRule type="expression" dxfId="1219" priority="9945">
      <formula>$D1872&gt;1</formula>
    </cfRule>
    <cfRule type="expression" dxfId="1218" priority="9946">
      <formula>$C1872="%IN"</formula>
    </cfRule>
    <cfRule type="expression" dxfId="1217" priority="9947" stopIfTrue="1">
      <formula>$E1872=0</formula>
    </cfRule>
  </conditionalFormatting>
  <conditionalFormatting sqref="G1885:G1893">
    <cfRule type="expression" dxfId="1216" priority="9948">
      <formula>$D1885&gt;1</formula>
    </cfRule>
    <cfRule type="expression" dxfId="1215" priority="9949">
      <formula>$C1885="%IN"</formula>
    </cfRule>
    <cfRule type="expression" dxfId="1214" priority="9950" stopIfTrue="1">
      <formula>$E1885=0</formula>
    </cfRule>
  </conditionalFormatting>
  <conditionalFormatting sqref="G1898:G1906">
    <cfRule type="expression" dxfId="1213" priority="9951">
      <formula>$D1898&gt;1</formula>
    </cfRule>
    <cfRule type="expression" dxfId="1212" priority="9952">
      <formula>$C1898="%IN"</formula>
    </cfRule>
    <cfRule type="expression" dxfId="1211" priority="9953" stopIfTrue="1">
      <formula>$E1898=0</formula>
    </cfRule>
  </conditionalFormatting>
  <conditionalFormatting sqref="G1913:G1918">
    <cfRule type="expression" dxfId="1210" priority="9954">
      <formula>$D1913&gt;1</formula>
    </cfRule>
    <cfRule type="expression" dxfId="1209" priority="9955">
      <formula>$C1913="%IN"</formula>
    </cfRule>
    <cfRule type="expression" dxfId="1208" priority="9956" stopIfTrue="1">
      <formula>$E1913=0</formula>
    </cfRule>
  </conditionalFormatting>
  <conditionalFormatting sqref="G1932:G1944">
    <cfRule type="expression" dxfId="1207" priority="9957">
      <formula>$D1932&gt;1</formula>
    </cfRule>
    <cfRule type="expression" dxfId="1206" priority="9958">
      <formula>$C1932="%IN"</formula>
    </cfRule>
    <cfRule type="expression" dxfId="1205" priority="9959" stopIfTrue="1">
      <formula>$E1932=0</formula>
    </cfRule>
  </conditionalFormatting>
  <conditionalFormatting sqref="G1976:G1984">
    <cfRule type="expression" dxfId="1204" priority="9963">
      <formula>$D1976&gt;1</formula>
    </cfRule>
    <cfRule type="expression" dxfId="1203" priority="9964">
      <formula>$C1976="%IN"</formula>
    </cfRule>
    <cfRule type="expression" dxfId="1202" priority="9965" stopIfTrue="1">
      <formula>$E1976=0</formula>
    </cfRule>
  </conditionalFormatting>
  <conditionalFormatting sqref="G1991:G1999">
    <cfRule type="expression" dxfId="1201" priority="9966">
      <formula>$D1991&gt;1</formula>
    </cfRule>
    <cfRule type="expression" dxfId="1200" priority="9967">
      <formula>$C1991="%IN"</formula>
    </cfRule>
    <cfRule type="expression" dxfId="1199" priority="9968" stopIfTrue="1">
      <formula>$E1991=0</formula>
    </cfRule>
  </conditionalFormatting>
  <conditionalFormatting sqref="G2004:G2011">
    <cfRule type="expression" dxfId="1198" priority="9969">
      <formula>$D2004&gt;1</formula>
    </cfRule>
    <cfRule type="expression" dxfId="1197" priority="9970">
      <formula>$C2004="%IN"</formula>
    </cfRule>
    <cfRule type="expression" dxfId="1196" priority="9971" stopIfTrue="1">
      <formula>$E2004=0</formula>
    </cfRule>
  </conditionalFormatting>
  <conditionalFormatting sqref="G2024:G2029">
    <cfRule type="expression" dxfId="1195" priority="9972">
      <formula>$D2024&gt;1</formula>
    </cfRule>
    <cfRule type="expression" dxfId="1194" priority="9973">
      <formula>$C2024="%IN"</formula>
    </cfRule>
    <cfRule type="expression" dxfId="1193" priority="9974" stopIfTrue="1">
      <formula>$E2024=0</formula>
    </cfRule>
  </conditionalFormatting>
  <conditionalFormatting sqref="G2035:G2046">
    <cfRule type="expression" dxfId="1192" priority="9975">
      <formula>$D2035&gt;1</formula>
    </cfRule>
    <cfRule type="expression" dxfId="1191" priority="9976">
      <formula>$C2035="%IN"</formula>
    </cfRule>
    <cfRule type="expression" dxfId="1190" priority="9977" stopIfTrue="1">
      <formula>$E2035=0</formula>
    </cfRule>
  </conditionalFormatting>
  <conditionalFormatting sqref="G2053:G2061">
    <cfRule type="expression" dxfId="1189" priority="9978">
      <formula>$D2053&gt;1</formula>
    </cfRule>
    <cfRule type="expression" dxfId="1188" priority="9979">
      <formula>$C2053="%IN"</formula>
    </cfRule>
    <cfRule type="expression" dxfId="1187" priority="9980" stopIfTrue="1">
      <formula>$E2053=0</formula>
    </cfRule>
  </conditionalFormatting>
  <conditionalFormatting sqref="G2123:G2128">
    <cfRule type="expression" dxfId="1186" priority="9993">
      <formula>$D2123&gt;1</formula>
    </cfRule>
    <cfRule type="expression" dxfId="1185" priority="9994">
      <formula>$C2123="%IN"</formula>
    </cfRule>
    <cfRule type="expression" dxfId="1184" priority="9995" stopIfTrue="1">
      <formula>$E2123=0</formula>
    </cfRule>
  </conditionalFormatting>
  <conditionalFormatting sqref="G2184:G2189">
    <cfRule type="expression" dxfId="1183" priority="9996">
      <formula>$D2184&gt;1</formula>
    </cfRule>
    <cfRule type="expression" dxfId="1182" priority="9997">
      <formula>$C2184="%IN"</formula>
    </cfRule>
    <cfRule type="expression" dxfId="1181" priority="9998" stopIfTrue="1">
      <formula>$E2184=0</formula>
    </cfRule>
  </conditionalFormatting>
  <conditionalFormatting sqref="G2207:G2216">
    <cfRule type="expression" dxfId="1180" priority="9999">
      <formula>$D2207&gt;1</formula>
    </cfRule>
    <cfRule type="expression" dxfId="1179" priority="10000">
      <formula>$C2207="%IN"</formula>
    </cfRule>
    <cfRule type="expression" dxfId="1178" priority="10001" stopIfTrue="1">
      <formula>$E2207=0</formula>
    </cfRule>
  </conditionalFormatting>
  <conditionalFormatting sqref="G2221:G2225">
    <cfRule type="expression" dxfId="1177" priority="10002">
      <formula>$D2221&gt;1</formula>
    </cfRule>
    <cfRule type="expression" dxfId="1176" priority="10003">
      <formula>$C2221="%IN"</formula>
    </cfRule>
    <cfRule type="expression" dxfId="1175" priority="10004" stopIfTrue="1">
      <formula>$E2221=0</formula>
    </cfRule>
  </conditionalFormatting>
  <conditionalFormatting sqref="G2237:G2245">
    <cfRule type="expression" dxfId="1174" priority="10005">
      <formula>$D2237&gt;1</formula>
    </cfRule>
    <cfRule type="expression" dxfId="1173" priority="10006">
      <formula>$C2237="%IN"</formula>
    </cfRule>
    <cfRule type="expression" dxfId="1172" priority="10007" stopIfTrue="1">
      <formula>$E2237=0</formula>
    </cfRule>
  </conditionalFormatting>
  <conditionalFormatting sqref="G2250:G2258">
    <cfRule type="expression" dxfId="1171" priority="10008">
      <formula>$D2250&gt;1</formula>
    </cfRule>
    <cfRule type="expression" dxfId="1170" priority="10009">
      <formula>$C2250="%IN"</formula>
    </cfRule>
    <cfRule type="expression" dxfId="1169" priority="10010" stopIfTrue="1">
      <formula>$E2250=0</formula>
    </cfRule>
  </conditionalFormatting>
  <conditionalFormatting sqref="G2263:G2271">
    <cfRule type="expression" dxfId="1168" priority="10011">
      <formula>$D2263&gt;1</formula>
    </cfRule>
    <cfRule type="expression" dxfId="1167" priority="10012">
      <formula>$C2263="%IN"</formula>
    </cfRule>
    <cfRule type="expression" dxfId="1166" priority="10013" stopIfTrue="1">
      <formula>$E2263=0</formula>
    </cfRule>
  </conditionalFormatting>
  <conditionalFormatting sqref="G2278:G2284">
    <cfRule type="expression" dxfId="1165" priority="10014">
      <formula>$D2278&gt;1</formula>
    </cfRule>
    <cfRule type="expression" dxfId="1164" priority="10015">
      <formula>$C2278="%IN"</formula>
    </cfRule>
    <cfRule type="expression" dxfId="1163" priority="10016" stopIfTrue="1">
      <formula>$E2278=0</formula>
    </cfRule>
  </conditionalFormatting>
  <conditionalFormatting sqref="G2298:G2306">
    <cfRule type="expression" dxfId="1162" priority="10017">
      <formula>$D2298&gt;1</formula>
    </cfRule>
    <cfRule type="expression" dxfId="1161" priority="10018">
      <formula>$C2298="%IN"</formula>
    </cfRule>
    <cfRule type="expression" dxfId="1160" priority="10019" stopIfTrue="1">
      <formula>$E2298=0</formula>
    </cfRule>
  </conditionalFormatting>
  <conditionalFormatting sqref="G2335:G2340">
    <cfRule type="expression" dxfId="1159" priority="10020">
      <formula>$D2335&gt;1</formula>
    </cfRule>
    <cfRule type="expression" dxfId="1158" priority="10021">
      <formula>$C2335="%IN"</formula>
    </cfRule>
    <cfRule type="expression" dxfId="1157" priority="10022" stopIfTrue="1">
      <formula>$E2335=0</formula>
    </cfRule>
  </conditionalFormatting>
  <conditionalFormatting sqref="G2381:G2389">
    <cfRule type="expression" dxfId="1156" priority="10026">
      <formula>$D2381&gt;1</formula>
    </cfRule>
    <cfRule type="expression" dxfId="1155" priority="10027">
      <formula>$C2381="%IN"</formula>
    </cfRule>
    <cfRule type="expression" dxfId="1154" priority="10028" stopIfTrue="1">
      <formula>$E2381=0</formula>
    </cfRule>
  </conditionalFormatting>
  <conditionalFormatting sqref="G2394:G2399">
    <cfRule type="expression" dxfId="1153" priority="10029">
      <formula>$D2394&gt;1</formula>
    </cfRule>
    <cfRule type="expression" dxfId="1152" priority="10030">
      <formula>$C2394="%IN"</formula>
    </cfRule>
    <cfRule type="expression" dxfId="1151" priority="10031" stopIfTrue="1">
      <formula>$E2394=0</formula>
    </cfRule>
  </conditionalFormatting>
  <conditionalFormatting sqref="G2371:G2376">
    <cfRule type="expression" dxfId="1150" priority="10032">
      <formula>$D2371&gt;1</formula>
    </cfRule>
    <cfRule type="expression" dxfId="1149" priority="10033">
      <formula>$C2371="%IN"</formula>
    </cfRule>
    <cfRule type="expression" dxfId="1148" priority="10034" stopIfTrue="1">
      <formula>$E2371=0</formula>
    </cfRule>
  </conditionalFormatting>
  <conditionalFormatting sqref="G2468:G2494">
    <cfRule type="expression" dxfId="1147" priority="10035">
      <formula>$D2468&gt;1</formula>
    </cfRule>
    <cfRule type="expression" dxfId="1146" priority="10036">
      <formula>$C2468="%IN"</formula>
    </cfRule>
    <cfRule type="expression" dxfId="1145" priority="10037" stopIfTrue="1">
      <formula>$E2468=0</formula>
    </cfRule>
  </conditionalFormatting>
  <conditionalFormatting sqref="G2509:G2517">
    <cfRule type="expression" dxfId="1144" priority="10038">
      <formula>$D2509&gt;1</formula>
    </cfRule>
    <cfRule type="expression" dxfId="1143" priority="10039">
      <formula>$C2509="%IN"</formula>
    </cfRule>
    <cfRule type="expression" dxfId="1142" priority="10040" stopIfTrue="1">
      <formula>$E2509=0</formula>
    </cfRule>
  </conditionalFormatting>
  <conditionalFormatting sqref="G2631:G2636">
    <cfRule type="expression" dxfId="1141" priority="10041">
      <formula>$D2631&gt;1</formula>
    </cfRule>
    <cfRule type="expression" dxfId="1140" priority="10042">
      <formula>$C2631="%IN"</formula>
    </cfRule>
    <cfRule type="expression" dxfId="1139" priority="10043" stopIfTrue="1">
      <formula>$E2631=0</formula>
    </cfRule>
  </conditionalFormatting>
  <conditionalFormatting sqref="G2722:G2731">
    <cfRule type="expression" dxfId="1138" priority="10044">
      <formula>$D2722&gt;1</formula>
    </cfRule>
    <cfRule type="expression" dxfId="1137" priority="10045">
      <formula>$C2722="%IN"</formula>
    </cfRule>
    <cfRule type="expression" dxfId="1136" priority="10046" stopIfTrue="1">
      <formula>$E2722=0</formula>
    </cfRule>
  </conditionalFormatting>
  <conditionalFormatting sqref="G2736:G2746">
    <cfRule type="expression" dxfId="1135" priority="10047">
      <formula>$D2736&gt;1</formula>
    </cfRule>
    <cfRule type="expression" dxfId="1134" priority="10048">
      <formula>$C2736="%IN"</formula>
    </cfRule>
    <cfRule type="expression" dxfId="1133" priority="10049" stopIfTrue="1">
      <formula>$E2736=0</formula>
    </cfRule>
  </conditionalFormatting>
  <conditionalFormatting sqref="G2751:G2759">
    <cfRule type="expression" dxfId="1132" priority="10050">
      <formula>$D2751&gt;1</formula>
    </cfRule>
    <cfRule type="expression" dxfId="1131" priority="10051">
      <formula>$C2751="%IN"</formula>
    </cfRule>
    <cfRule type="expression" dxfId="1130" priority="10052" stopIfTrue="1">
      <formula>$E2751=0</formula>
    </cfRule>
  </conditionalFormatting>
  <conditionalFormatting sqref="G2708:G2717">
    <cfRule type="expression" dxfId="1129" priority="10053">
      <formula>$D2708&gt;1</formula>
    </cfRule>
    <cfRule type="expression" dxfId="1128" priority="10054">
      <formula>$C2708="%IN"</formula>
    </cfRule>
    <cfRule type="expression" dxfId="1127" priority="10055" stopIfTrue="1">
      <formula>$E2708=0</formula>
    </cfRule>
  </conditionalFormatting>
  <conditionalFormatting sqref="I920">
    <cfRule type="expression" dxfId="1126" priority="177" stopIfTrue="1">
      <formula>$I920="适用"</formula>
    </cfRule>
    <cfRule type="expression" dxfId="1125" priority="178" stopIfTrue="1">
      <formula>$I920="不适用"</formula>
    </cfRule>
  </conditionalFormatting>
  <conditionalFormatting sqref="Q920:Q921 Q923:Q932">
    <cfRule type="expression" dxfId="1124" priority="176" stopIfTrue="1">
      <formula>$Q920="请输入"</formula>
    </cfRule>
  </conditionalFormatting>
  <conditionalFormatting sqref="G923:G931">
    <cfRule type="expression" dxfId="1123" priority="10056">
      <formula>$D923&gt;1</formula>
    </cfRule>
    <cfRule type="expression" dxfId="1122" priority="10057">
      <formula>$C923="%IN"</formula>
    </cfRule>
    <cfRule type="expression" dxfId="1121" priority="10058" stopIfTrue="1">
      <formula>$E923=0</formula>
    </cfRule>
  </conditionalFormatting>
  <conditionalFormatting sqref="G2784:G2794">
    <cfRule type="expression" dxfId="1120" priority="10062">
      <formula>$D2784&gt;1</formula>
    </cfRule>
    <cfRule type="expression" dxfId="1119" priority="10063">
      <formula>$C2784="%IN"</formula>
    </cfRule>
    <cfRule type="expression" dxfId="1118" priority="10064" stopIfTrue="1">
      <formula>$E2784=0</formula>
    </cfRule>
  </conditionalFormatting>
  <conditionalFormatting sqref="G2774:G2779">
    <cfRule type="expression" dxfId="1117" priority="10065">
      <formula>$D2774&gt;1</formula>
    </cfRule>
    <cfRule type="expression" dxfId="1116" priority="10066">
      <formula>$C2774="%IN"</formula>
    </cfRule>
    <cfRule type="expression" dxfId="1115" priority="10067" stopIfTrue="1">
      <formula>$E2774=0</formula>
    </cfRule>
  </conditionalFormatting>
  <conditionalFormatting sqref="G2764:G2769">
    <cfRule type="expression" dxfId="1114" priority="10068">
      <formula>$D2764&gt;1</formula>
    </cfRule>
    <cfRule type="expression" dxfId="1113" priority="10069">
      <formula>$C2764="%IN"</formula>
    </cfRule>
    <cfRule type="expression" dxfId="1112" priority="10070" stopIfTrue="1">
      <formula>$E2764=0</formula>
    </cfRule>
  </conditionalFormatting>
  <conditionalFormatting sqref="G2813:G2818">
    <cfRule type="expression" dxfId="1111" priority="10071">
      <formula>$D2813&gt;1</formula>
    </cfRule>
    <cfRule type="expression" dxfId="1110" priority="10072">
      <formula>$C2813="%IN"</formula>
    </cfRule>
    <cfRule type="expression" dxfId="1109" priority="10073" stopIfTrue="1">
      <formula>$E2813=0</formula>
    </cfRule>
  </conditionalFormatting>
  <conditionalFormatting sqref="G2850:G2860">
    <cfRule type="expression" dxfId="1108" priority="10074">
      <formula>$D2850&gt;1</formula>
    </cfRule>
    <cfRule type="expression" dxfId="1107" priority="10075">
      <formula>$C2850="%IN"</formula>
    </cfRule>
    <cfRule type="expression" dxfId="1106" priority="10076" stopIfTrue="1">
      <formula>$E2850=0</formula>
    </cfRule>
  </conditionalFormatting>
  <conditionalFormatting sqref="G2865:G2875">
    <cfRule type="expression" dxfId="1105" priority="10077">
      <formula>$D2865&gt;1</formula>
    </cfRule>
    <cfRule type="expression" dxfId="1104" priority="10078">
      <formula>$C2865="%IN"</formula>
    </cfRule>
    <cfRule type="expression" dxfId="1103" priority="10079" stopIfTrue="1">
      <formula>$E2865=0</formula>
    </cfRule>
  </conditionalFormatting>
  <conditionalFormatting sqref="G2880:G2888">
    <cfRule type="expression" dxfId="1102" priority="10080">
      <formula>$D2880&gt;1</formula>
    </cfRule>
    <cfRule type="expression" dxfId="1101" priority="10081">
      <formula>$C2880="%IN"</formula>
    </cfRule>
    <cfRule type="expression" dxfId="1100" priority="10082" stopIfTrue="1">
      <formula>$E2880=0</formula>
    </cfRule>
  </conditionalFormatting>
  <conditionalFormatting sqref="G2900:G2905">
    <cfRule type="expression" dxfId="1099" priority="10083">
      <formula>$D2900&gt;1</formula>
    </cfRule>
    <cfRule type="expression" dxfId="1098" priority="10084">
      <formula>$C2900="%IN"</formula>
    </cfRule>
    <cfRule type="expression" dxfId="1097" priority="10085" stopIfTrue="1">
      <formula>$E2900=0</formula>
    </cfRule>
  </conditionalFormatting>
  <conditionalFormatting sqref="G3116:G3124">
    <cfRule type="expression" dxfId="1096" priority="10086">
      <formula>$D3116&gt;1</formula>
    </cfRule>
    <cfRule type="expression" dxfId="1095" priority="10087">
      <formula>$C3116="%IN"</formula>
    </cfRule>
    <cfRule type="expression" dxfId="1094" priority="10088" stopIfTrue="1">
      <formula>$E3116=0</formula>
    </cfRule>
  </conditionalFormatting>
  <conditionalFormatting sqref="G3129:G3134">
    <cfRule type="expression" dxfId="1093" priority="10089">
      <formula>$D3129&gt;1</formula>
    </cfRule>
    <cfRule type="expression" dxfId="1092" priority="10090">
      <formula>$C3129="%IN"</formula>
    </cfRule>
    <cfRule type="expression" dxfId="1091" priority="10091" stopIfTrue="1">
      <formula>$E3129=0</formula>
    </cfRule>
  </conditionalFormatting>
  <conditionalFormatting sqref="G3165:G3172">
    <cfRule type="expression" dxfId="1090" priority="10099">
      <formula>$D3165&gt;1</formula>
    </cfRule>
    <cfRule type="expression" dxfId="1089" priority="10100">
      <formula>$C3165="%IN"</formula>
    </cfRule>
    <cfRule type="expression" dxfId="1088" priority="10101" stopIfTrue="1">
      <formula>$E3165=0</formula>
    </cfRule>
  </conditionalFormatting>
  <conditionalFormatting sqref="L3136">
    <cfRule type="expression" dxfId="1087" priority="10102" stopIfTrue="1">
      <formula>OR($L$3136="F/S",$L$3136="")</formula>
    </cfRule>
    <cfRule type="cellIs" dxfId="1086" priority="10103" stopIfTrue="1" operator="notEqual">
      <formula>0</formula>
    </cfRule>
  </conditionalFormatting>
  <conditionalFormatting sqref="O3136:O3148">
    <cfRule type="expression" dxfId="1085" priority="10104" stopIfTrue="1">
      <formula>OR($O$3136="F/S",$O$3136="")</formula>
    </cfRule>
    <cfRule type="cellIs" dxfId="1084" priority="10105" stopIfTrue="1" operator="notEqual">
      <formula>0</formula>
    </cfRule>
  </conditionalFormatting>
  <conditionalFormatting sqref="I3136">
    <cfRule type="expression" dxfId="1083" priority="163" stopIfTrue="1">
      <formula>$I3136="适用"</formula>
    </cfRule>
    <cfRule type="expression" dxfId="1082" priority="164" stopIfTrue="1">
      <formula>$I3136="不适用"</formula>
    </cfRule>
  </conditionalFormatting>
  <conditionalFormatting sqref="Q3136:Q3161">
    <cfRule type="expression" dxfId="1081" priority="162" stopIfTrue="1">
      <formula>$Q3136="请输入"</formula>
    </cfRule>
  </conditionalFormatting>
  <conditionalFormatting sqref="L3149">
    <cfRule type="expression" dxfId="1080" priority="10109" stopIfTrue="1">
      <formula>OR($L$3149="F/S",$L$3149="")</formula>
    </cfRule>
    <cfRule type="cellIs" dxfId="1079" priority="10110" stopIfTrue="1" operator="notEqual">
      <formula>0</formula>
    </cfRule>
  </conditionalFormatting>
  <conditionalFormatting sqref="O3149">
    <cfRule type="expression" dxfId="1078" priority="10111" stopIfTrue="1">
      <formula>OR($O$3149="F/S",$O$3149="")</formula>
    </cfRule>
    <cfRule type="cellIs" dxfId="1077" priority="10112" stopIfTrue="1" operator="notEqual">
      <formula>0</formula>
    </cfRule>
  </conditionalFormatting>
  <conditionalFormatting sqref="I3149">
    <cfRule type="expression" dxfId="1076" priority="156" stopIfTrue="1">
      <formula>$I3149="适用"</formula>
    </cfRule>
    <cfRule type="expression" dxfId="1075" priority="157" stopIfTrue="1">
      <formula>$I3149="不适用"</formula>
    </cfRule>
  </conditionalFormatting>
  <conditionalFormatting sqref="Q3149:Q3161">
    <cfRule type="expression" dxfId="1074" priority="155" stopIfTrue="1">
      <formula>$Q3149="请输入"</formula>
    </cfRule>
  </conditionalFormatting>
  <conditionalFormatting sqref="G3139:G3147">
    <cfRule type="expression" dxfId="1073" priority="10116">
      <formula>$D3139&gt;1</formula>
    </cfRule>
    <cfRule type="expression" dxfId="1072" priority="10117">
      <formula>$C3139="%IN"</formula>
    </cfRule>
    <cfRule type="expression" dxfId="1071" priority="10118" stopIfTrue="1">
      <formula>$E3139=0</formula>
    </cfRule>
  </conditionalFormatting>
  <conditionalFormatting sqref="G3152:G3160">
    <cfRule type="expression" dxfId="1070" priority="10119">
      <formula>$D3152&gt;1</formula>
    </cfRule>
    <cfRule type="expression" dxfId="1069" priority="10120">
      <formula>$C3152="%IN"</formula>
    </cfRule>
    <cfRule type="expression" dxfId="1068" priority="10121" stopIfTrue="1">
      <formula>$E3152=0</formula>
    </cfRule>
  </conditionalFormatting>
  <conditionalFormatting sqref="G3197:G3202">
    <cfRule type="expression" dxfId="1067" priority="10122">
      <formula>$D3197&gt;1</formula>
    </cfRule>
    <cfRule type="expression" dxfId="1066" priority="10123">
      <formula>$C3197="%IN"</formula>
    </cfRule>
    <cfRule type="expression" dxfId="1065" priority="10124" stopIfTrue="1">
      <formula>$E3197=0</formula>
    </cfRule>
  </conditionalFormatting>
  <conditionalFormatting sqref="G3209:G3214">
    <cfRule type="expression" dxfId="1064" priority="10125">
      <formula>$D3209&gt;1</formula>
    </cfRule>
    <cfRule type="expression" dxfId="1063" priority="10126">
      <formula>$C3209="%IN"</formula>
    </cfRule>
    <cfRule type="expression" dxfId="1062" priority="10127" stopIfTrue="1">
      <formula>$E3209=0</formula>
    </cfRule>
  </conditionalFormatting>
  <conditionalFormatting sqref="G3293:G3300">
    <cfRule type="expression" dxfId="1061" priority="10128">
      <formula>$D3293&gt;1</formula>
    </cfRule>
    <cfRule type="expression" dxfId="1060" priority="10129">
      <formula>$C3293="%IN"</formula>
    </cfRule>
    <cfRule type="expression" dxfId="1059" priority="10130" stopIfTrue="1">
      <formula>$E3293=0</formula>
    </cfRule>
  </conditionalFormatting>
  <conditionalFormatting sqref="G3249:G3258">
    <cfRule type="expression" dxfId="1058" priority="10131">
      <formula>$D3249&gt;1</formula>
    </cfRule>
    <cfRule type="expression" dxfId="1057" priority="10132">
      <formula>$C3249="%IN"</formula>
    </cfRule>
    <cfRule type="expression" dxfId="1056" priority="10133" stopIfTrue="1">
      <formula>$E3249=0</formula>
    </cfRule>
  </conditionalFormatting>
  <conditionalFormatting sqref="G3265:G3271">
    <cfRule type="expression" dxfId="1055" priority="10134">
      <formula>$D3265&gt;1</formula>
    </cfRule>
    <cfRule type="expression" dxfId="1054" priority="10135">
      <formula>$C3265="%IN"</formula>
    </cfRule>
    <cfRule type="expression" dxfId="1053" priority="10136" stopIfTrue="1">
      <formula>$E3265=0</formula>
    </cfRule>
  </conditionalFormatting>
  <conditionalFormatting sqref="G3276:G3278">
    <cfRule type="expression" dxfId="1052" priority="10137">
      <formula>$D3276&gt;1</formula>
    </cfRule>
    <cfRule type="expression" dxfId="1051" priority="10138">
      <formula>$C3276="%IN"</formula>
    </cfRule>
    <cfRule type="expression" dxfId="1050" priority="10139" stopIfTrue="1">
      <formula>$E3276=0</formula>
    </cfRule>
  </conditionalFormatting>
  <conditionalFormatting sqref="G3283:G3288">
    <cfRule type="expression" dxfId="1049" priority="10140">
      <formula>$D3283&gt;1</formula>
    </cfRule>
    <cfRule type="expression" dxfId="1048" priority="10141">
      <formula>$C3283="%IN"</formula>
    </cfRule>
    <cfRule type="expression" dxfId="1047" priority="10142" stopIfTrue="1">
      <formula>$E3283=0</formula>
    </cfRule>
  </conditionalFormatting>
  <conditionalFormatting sqref="G3336:G3341">
    <cfRule type="expression" dxfId="1046" priority="10143">
      <formula>$D3336&gt;1</formula>
    </cfRule>
    <cfRule type="expression" dxfId="1045" priority="10144">
      <formula>$C3336="%IN"</formula>
    </cfRule>
    <cfRule type="expression" dxfId="1044" priority="10145" stopIfTrue="1">
      <formula>$E3336=0</formula>
    </cfRule>
  </conditionalFormatting>
  <conditionalFormatting sqref="G3346:G3351">
    <cfRule type="expression" dxfId="1043" priority="10146">
      <formula>$D3346&gt;1</formula>
    </cfRule>
    <cfRule type="expression" dxfId="1042" priority="10147">
      <formula>$C3346="%IN"</formula>
    </cfRule>
    <cfRule type="expression" dxfId="1041" priority="10148" stopIfTrue="1">
      <formula>$E3346=0</formula>
    </cfRule>
  </conditionalFormatting>
  <conditionalFormatting sqref="G3356:G3361">
    <cfRule type="expression" dxfId="1040" priority="10149">
      <formula>$D3356&gt;1</formula>
    </cfRule>
    <cfRule type="expression" dxfId="1039" priority="10150">
      <formula>$C3356="%IN"</formula>
    </cfRule>
    <cfRule type="expression" dxfId="1038" priority="10151" stopIfTrue="1">
      <formula>$E3356=0</formula>
    </cfRule>
  </conditionalFormatting>
  <conditionalFormatting sqref="G3450:G3456">
    <cfRule type="expression" dxfId="1037" priority="10152">
      <formula>$D3450&gt;1</formula>
    </cfRule>
    <cfRule type="expression" dxfId="1036" priority="10153">
      <formula>$C3450="%IN"</formula>
    </cfRule>
    <cfRule type="expression" dxfId="1035" priority="10154" stopIfTrue="1">
      <formula>$E3450=0</formula>
    </cfRule>
  </conditionalFormatting>
  <conditionalFormatting sqref="G3478:G3483">
    <cfRule type="expression" dxfId="1034" priority="10155">
      <formula>$D3478&gt;1</formula>
    </cfRule>
    <cfRule type="expression" dxfId="1033" priority="10156">
      <formula>$C3478="%IN"</formula>
    </cfRule>
    <cfRule type="expression" dxfId="1032" priority="10157" stopIfTrue="1">
      <formula>$E3478=0</formula>
    </cfRule>
  </conditionalFormatting>
  <conditionalFormatting sqref="G3508:G3513">
    <cfRule type="expression" dxfId="1031" priority="10158">
      <formula>$D3508&gt;1</formula>
    </cfRule>
    <cfRule type="expression" dxfId="1030" priority="10159">
      <formula>$C3508="%IN"</formula>
    </cfRule>
    <cfRule type="expression" dxfId="1029" priority="10160" stopIfTrue="1">
      <formula>$E3508=0</formula>
    </cfRule>
  </conditionalFormatting>
  <conditionalFormatting sqref="G3575:G3580">
    <cfRule type="expression" dxfId="1028" priority="10161">
      <formula>$D3575&gt;1</formula>
    </cfRule>
    <cfRule type="expression" dxfId="1027" priority="10162">
      <formula>$C3575="%IN"</formula>
    </cfRule>
    <cfRule type="expression" dxfId="1026" priority="10163" stopIfTrue="1">
      <formula>$E3575=0</formula>
    </cfRule>
  </conditionalFormatting>
  <conditionalFormatting sqref="G3585:G3590">
    <cfRule type="expression" dxfId="1025" priority="10164">
      <formula>$D3585&gt;1</formula>
    </cfRule>
    <cfRule type="expression" dxfId="1024" priority="10165">
      <formula>$C3585="%IN"</formula>
    </cfRule>
    <cfRule type="expression" dxfId="1023" priority="10166" stopIfTrue="1">
      <formula>$E3585=0</formula>
    </cfRule>
  </conditionalFormatting>
  <conditionalFormatting sqref="G3625:G3630">
    <cfRule type="expression" dxfId="1022" priority="10167">
      <formula>$D3625&gt;1</formula>
    </cfRule>
    <cfRule type="expression" dxfId="1021" priority="10168">
      <formula>$C3625="%IN"</formula>
    </cfRule>
    <cfRule type="expression" dxfId="1020" priority="10169" stopIfTrue="1">
      <formula>$E3625=0</formula>
    </cfRule>
  </conditionalFormatting>
  <conditionalFormatting sqref="G3635:G3652">
    <cfRule type="expression" dxfId="1019" priority="10170">
      <formula>$D3635&gt;1</formula>
    </cfRule>
    <cfRule type="expression" dxfId="1018" priority="10171">
      <formula>$C3635="%IN"</formula>
    </cfRule>
    <cfRule type="expression" dxfId="1017" priority="10172" stopIfTrue="1">
      <formula>$E3635=0</formula>
    </cfRule>
  </conditionalFormatting>
  <conditionalFormatting sqref="G3688:G3715">
    <cfRule type="expression" dxfId="1016" priority="10176">
      <formula>$D3688&gt;1</formula>
    </cfRule>
    <cfRule type="expression" dxfId="1015" priority="10177">
      <formula>$C3688="%IN"</formula>
    </cfRule>
    <cfRule type="expression" dxfId="1014" priority="10178" stopIfTrue="1">
      <formula>$E3688=0</formula>
    </cfRule>
  </conditionalFormatting>
  <conditionalFormatting sqref="G3797:G3802">
    <cfRule type="expression" dxfId="1013" priority="10179">
      <formula>$D3797&gt;1</formula>
    </cfRule>
    <cfRule type="expression" dxfId="1012" priority="10180">
      <formula>$C3797="%IN"</formula>
    </cfRule>
    <cfRule type="expression" dxfId="1011" priority="10181" stopIfTrue="1">
      <formula>$E3797=0</formula>
    </cfRule>
  </conditionalFormatting>
  <conditionalFormatting sqref="G3836:G3841">
    <cfRule type="expression" dxfId="1010" priority="10182">
      <formula>$D3836&gt;1</formula>
    </cfRule>
    <cfRule type="expression" dxfId="1009" priority="10183">
      <formula>$C3836="%IN"</formula>
    </cfRule>
    <cfRule type="expression" dxfId="1008" priority="10184" stopIfTrue="1">
      <formula>$E3836=0</formula>
    </cfRule>
  </conditionalFormatting>
  <conditionalFormatting sqref="G3863:G3868">
    <cfRule type="expression" dxfId="1007" priority="10185">
      <formula>$D3863&gt;1</formula>
    </cfRule>
    <cfRule type="expression" dxfId="1006" priority="10186">
      <formula>$C3863="%IN"</formula>
    </cfRule>
    <cfRule type="expression" dxfId="1005" priority="10187" stopIfTrue="1">
      <formula>$E3863=0</formula>
    </cfRule>
  </conditionalFormatting>
  <conditionalFormatting sqref="G3873:G3878">
    <cfRule type="expression" dxfId="1004" priority="10188">
      <formula>$D3873&gt;1</formula>
    </cfRule>
    <cfRule type="expression" dxfId="1003" priority="10189">
      <formula>$C3873="%IN"</formula>
    </cfRule>
    <cfRule type="expression" dxfId="1002" priority="10190" stopIfTrue="1">
      <formula>$E3873=0</formula>
    </cfRule>
  </conditionalFormatting>
  <conditionalFormatting sqref="G3934:G3939">
    <cfRule type="expression" dxfId="1001" priority="10191">
      <formula>$D3934&gt;1</formula>
    </cfRule>
    <cfRule type="expression" dxfId="1000" priority="10192">
      <formula>$C3934="%IN"</formula>
    </cfRule>
    <cfRule type="expression" dxfId="999" priority="10193" stopIfTrue="1">
      <formula>$E3934=0</formula>
    </cfRule>
  </conditionalFormatting>
  <conditionalFormatting sqref="G3944:G3949">
    <cfRule type="expression" dxfId="998" priority="10194">
      <formula>$D3944&gt;1</formula>
    </cfRule>
    <cfRule type="expression" dxfId="997" priority="10195">
      <formula>$C3944="%IN"</formula>
    </cfRule>
    <cfRule type="expression" dxfId="996" priority="10196" stopIfTrue="1">
      <formula>$E3944=0</formula>
    </cfRule>
  </conditionalFormatting>
  <conditionalFormatting sqref="G3954:G3959">
    <cfRule type="expression" dxfId="995" priority="10197">
      <formula>$D3954&gt;1</formula>
    </cfRule>
    <cfRule type="expression" dxfId="994" priority="10198">
      <formula>$C3954="%IN"</formula>
    </cfRule>
    <cfRule type="expression" dxfId="993" priority="10199" stopIfTrue="1">
      <formula>$E3954=0</formula>
    </cfRule>
  </conditionalFormatting>
  <conditionalFormatting sqref="G3964:G3969">
    <cfRule type="expression" dxfId="992" priority="10200">
      <formula>$D3964&gt;1</formula>
    </cfRule>
    <cfRule type="expression" dxfId="991" priority="10201">
      <formula>$C3964="%IN"</formula>
    </cfRule>
    <cfRule type="expression" dxfId="990" priority="10202" stopIfTrue="1">
      <formula>$E3964=0</formula>
    </cfRule>
  </conditionalFormatting>
  <conditionalFormatting sqref="G4004:G4012">
    <cfRule type="expression" dxfId="989" priority="10203">
      <formula>$D4004&gt;1</formula>
    </cfRule>
    <cfRule type="expression" dxfId="988" priority="10204">
      <formula>$C4004="%IN"</formula>
    </cfRule>
    <cfRule type="expression" dxfId="987" priority="10205" stopIfTrue="1">
      <formula>$E4004=0</formula>
    </cfRule>
  </conditionalFormatting>
  <conditionalFormatting sqref="G4017:G4022">
    <cfRule type="expression" dxfId="986" priority="10206">
      <formula>$D4017&gt;1</formula>
    </cfRule>
    <cfRule type="expression" dxfId="985" priority="10207">
      <formula>$C4017="%IN"</formula>
    </cfRule>
    <cfRule type="expression" dxfId="984" priority="10208" stopIfTrue="1">
      <formula>$E4017=0</formula>
    </cfRule>
  </conditionalFormatting>
  <conditionalFormatting sqref="G4027:G4032">
    <cfRule type="expression" dxfId="983" priority="10209">
      <formula>$D4027&gt;1</formula>
    </cfRule>
    <cfRule type="expression" dxfId="982" priority="10210">
      <formula>$C4027="%IN"</formula>
    </cfRule>
    <cfRule type="expression" dxfId="981" priority="10211" stopIfTrue="1">
      <formula>$E4027=0</formula>
    </cfRule>
  </conditionalFormatting>
  <conditionalFormatting sqref="G4037:G4042">
    <cfRule type="expression" dxfId="980" priority="10212">
      <formula>$D4037&gt;1</formula>
    </cfRule>
    <cfRule type="expression" dxfId="979" priority="10213">
      <formula>$C4037="%IN"</formula>
    </cfRule>
    <cfRule type="expression" dxfId="978" priority="10214" stopIfTrue="1">
      <formula>$E4037=0</formula>
    </cfRule>
  </conditionalFormatting>
  <conditionalFormatting sqref="G4081:G4086">
    <cfRule type="expression" dxfId="977" priority="10215">
      <formula>$D4081&gt;1</formula>
    </cfRule>
    <cfRule type="expression" dxfId="976" priority="10216">
      <formula>$C4081="%IN"</formula>
    </cfRule>
    <cfRule type="expression" dxfId="975" priority="10217" stopIfTrue="1">
      <formula>$E4081=0</formula>
    </cfRule>
  </conditionalFormatting>
  <conditionalFormatting sqref="G4125:G4131">
    <cfRule type="expression" dxfId="974" priority="10218">
      <formula>$D4125&gt;1</formula>
    </cfRule>
    <cfRule type="expression" dxfId="973" priority="10219">
      <formula>$C4125="%IN"</formula>
    </cfRule>
    <cfRule type="expression" dxfId="972" priority="10220" stopIfTrue="1">
      <formula>$E4125=0</formula>
    </cfRule>
  </conditionalFormatting>
  <conditionalFormatting sqref="G4154:G4159">
    <cfRule type="expression" dxfId="971" priority="10221">
      <formula>$D4154&gt;1</formula>
    </cfRule>
    <cfRule type="expression" dxfId="970" priority="10222">
      <formula>$C4154="%IN"</formula>
    </cfRule>
    <cfRule type="expression" dxfId="969" priority="10223" stopIfTrue="1">
      <formula>$E4154=0</formula>
    </cfRule>
  </conditionalFormatting>
  <conditionalFormatting sqref="G4175:G4180">
    <cfRule type="expression" dxfId="968" priority="10224">
      <formula>$D4175&gt;1</formula>
    </cfRule>
    <cfRule type="expression" dxfId="967" priority="10225">
      <formula>$C4175="%IN"</formula>
    </cfRule>
    <cfRule type="expression" dxfId="966" priority="10226" stopIfTrue="1">
      <formula>$E4175=0</formula>
    </cfRule>
  </conditionalFormatting>
  <conditionalFormatting sqref="G4229:G4235">
    <cfRule type="expression" dxfId="965" priority="10236">
      <formula>$D4229&gt;1</formula>
    </cfRule>
    <cfRule type="expression" dxfId="964" priority="10237">
      <formula>$C4229="%IN"</formula>
    </cfRule>
    <cfRule type="expression" dxfId="963" priority="10238" stopIfTrue="1">
      <formula>$E4229=0</formula>
    </cfRule>
  </conditionalFormatting>
  <conditionalFormatting sqref="G4242:G4248">
    <cfRule type="expression" dxfId="962" priority="10239">
      <formula>$D4242&gt;1</formula>
    </cfRule>
    <cfRule type="expression" dxfId="961" priority="10240">
      <formula>$C4242="%IN"</formula>
    </cfRule>
    <cfRule type="expression" dxfId="960" priority="10241" stopIfTrue="1">
      <formula>$E4242=0</formula>
    </cfRule>
  </conditionalFormatting>
  <conditionalFormatting sqref="G4185:G4200">
    <cfRule type="expression" dxfId="959" priority="10245">
      <formula>$D4185&gt;1</formula>
    </cfRule>
    <cfRule type="expression" dxfId="958" priority="10246">
      <formula>$C4185="%IN"</formula>
    </cfRule>
    <cfRule type="expression" dxfId="957" priority="10247" stopIfTrue="1">
      <formula>$E4185=0</formula>
    </cfRule>
  </conditionalFormatting>
  <conditionalFormatting sqref="G4205:G4215">
    <cfRule type="expression" dxfId="956" priority="10248">
      <formula>$D4205&gt;1</formula>
    </cfRule>
    <cfRule type="expression" dxfId="955" priority="10249">
      <formula>$C4205="%IN"</formula>
    </cfRule>
    <cfRule type="expression" dxfId="954" priority="10250" stopIfTrue="1">
      <formula>$E4205=0</formula>
    </cfRule>
  </conditionalFormatting>
  <conditionalFormatting sqref="G4220:G4224">
    <cfRule type="expression" dxfId="953" priority="10251">
      <formula>$D4220&gt;1</formula>
    </cfRule>
    <cfRule type="expression" dxfId="952" priority="10252">
      <formula>$C4220="%IN"</formula>
    </cfRule>
    <cfRule type="expression" dxfId="951" priority="10253" stopIfTrue="1">
      <formula>$E4220=0</formula>
    </cfRule>
  </conditionalFormatting>
  <conditionalFormatting sqref="G4268:G4271">
    <cfRule type="expression" dxfId="950" priority="10254">
      <formula>$D4268&gt;1</formula>
    </cfRule>
    <cfRule type="expression" dxfId="949" priority="10255">
      <formula>$C4268="%IN"</formula>
    </cfRule>
    <cfRule type="expression" dxfId="948" priority="10256" stopIfTrue="1">
      <formula>$E4268=0</formula>
    </cfRule>
  </conditionalFormatting>
  <conditionalFormatting sqref="G4294:G4299">
    <cfRule type="expression" dxfId="947" priority="10260">
      <formula>$D4294&gt;1</formula>
    </cfRule>
    <cfRule type="expression" dxfId="946" priority="10261">
      <formula>$C4294="%IN"</formula>
    </cfRule>
    <cfRule type="expression" dxfId="945" priority="10262" stopIfTrue="1">
      <formula>$E4294=0</formula>
    </cfRule>
  </conditionalFormatting>
  <conditionalFormatting sqref="G4304:G4309">
    <cfRule type="expression" dxfId="944" priority="10263">
      <formula>$D4304&gt;1</formula>
    </cfRule>
    <cfRule type="expression" dxfId="943" priority="10264">
      <formula>$C4304="%IN"</formula>
    </cfRule>
    <cfRule type="expression" dxfId="942" priority="10265" stopIfTrue="1">
      <formula>$E4304=0</formula>
    </cfRule>
  </conditionalFormatting>
  <conditionalFormatting sqref="G4326:G4331">
    <cfRule type="expression" dxfId="941" priority="10266">
      <formula>$D4326&gt;1</formula>
    </cfRule>
    <cfRule type="expression" dxfId="940" priority="10267">
      <formula>$C4326="%IN"</formula>
    </cfRule>
    <cfRule type="expression" dxfId="939" priority="10268" stopIfTrue="1">
      <formula>$E4326=0</formula>
    </cfRule>
  </conditionalFormatting>
  <conditionalFormatting sqref="G4337:G4342">
    <cfRule type="expression" dxfId="938" priority="10269">
      <formula>$D4337&gt;1</formula>
    </cfRule>
    <cfRule type="expression" dxfId="937" priority="10270">
      <formula>$C4337="%IN"</formula>
    </cfRule>
    <cfRule type="expression" dxfId="936" priority="10271" stopIfTrue="1">
      <formula>$E4337=0</formula>
    </cfRule>
  </conditionalFormatting>
  <conditionalFormatting sqref="G4349:G4352">
    <cfRule type="expression" dxfId="935" priority="10272">
      <formula>$D4349&gt;1</formula>
    </cfRule>
    <cfRule type="expression" dxfId="934" priority="10273">
      <formula>$C4349="%IN"</formula>
    </cfRule>
    <cfRule type="expression" dxfId="933" priority="10274" stopIfTrue="1">
      <formula>$E4349=0</formula>
    </cfRule>
  </conditionalFormatting>
  <conditionalFormatting sqref="G4367:G4368">
    <cfRule type="expression" dxfId="932" priority="10278">
      <formula>$D4367&gt;1</formula>
    </cfRule>
    <cfRule type="expression" dxfId="931" priority="10279">
      <formula>$C4367="%IN"</formula>
    </cfRule>
    <cfRule type="expression" dxfId="930" priority="10280" stopIfTrue="1">
      <formula>$E4367=0</formula>
    </cfRule>
  </conditionalFormatting>
  <conditionalFormatting sqref="G4401:G4414">
    <cfRule type="expression" dxfId="929" priority="10281">
      <formula>$D4401&gt;1</formula>
    </cfRule>
    <cfRule type="expression" dxfId="928" priority="10282">
      <formula>$C4401="%IN"</formula>
    </cfRule>
    <cfRule type="expression" dxfId="927" priority="10283" stopIfTrue="1">
      <formula>$E4401=0</formula>
    </cfRule>
  </conditionalFormatting>
  <conditionalFormatting sqref="G4420:G4425">
    <cfRule type="expression" dxfId="926" priority="10284">
      <formula>$D4420&gt;1</formula>
    </cfRule>
    <cfRule type="expression" dxfId="925" priority="10285">
      <formula>$C4420="%IN"</formula>
    </cfRule>
    <cfRule type="expression" dxfId="924" priority="10286" stopIfTrue="1">
      <formula>$E4420=0</formula>
    </cfRule>
  </conditionalFormatting>
  <conditionalFormatting sqref="G4444:G4450">
    <cfRule type="expression" dxfId="923" priority="10287">
      <formula>$D4444&gt;1</formula>
    </cfRule>
    <cfRule type="expression" dxfId="922" priority="10288">
      <formula>$C4444="%IN"</formula>
    </cfRule>
    <cfRule type="expression" dxfId="921" priority="10289" stopIfTrue="1">
      <formula>$E4444=0</formula>
    </cfRule>
  </conditionalFormatting>
  <conditionalFormatting sqref="G4481:G4487">
    <cfRule type="expression" dxfId="920" priority="10290">
      <formula>$D4481&gt;1</formula>
    </cfRule>
    <cfRule type="expression" dxfId="919" priority="10291">
      <formula>$C4481="%IN"</formula>
    </cfRule>
    <cfRule type="expression" dxfId="918" priority="10292" stopIfTrue="1">
      <formula>$E4481=0</formula>
    </cfRule>
  </conditionalFormatting>
  <conditionalFormatting sqref="G4497:G4500">
    <cfRule type="expression" dxfId="917" priority="10293">
      <formula>$D4497&gt;1</formula>
    </cfRule>
    <cfRule type="expression" dxfId="916" priority="10294">
      <formula>$C4497="%IN"</formula>
    </cfRule>
    <cfRule type="expression" dxfId="915" priority="10295" stopIfTrue="1">
      <formula>$E4497=0</formula>
    </cfRule>
  </conditionalFormatting>
  <conditionalFormatting sqref="G4505:G4509">
    <cfRule type="expression" dxfId="914" priority="10296">
      <formula>$D4505&gt;1</formula>
    </cfRule>
    <cfRule type="expression" dxfId="913" priority="10297">
      <formula>$C4505="%IN"</formula>
    </cfRule>
    <cfRule type="expression" dxfId="912" priority="10298" stopIfTrue="1">
      <formula>$E4505=0</formula>
    </cfRule>
  </conditionalFormatting>
  <conditionalFormatting sqref="G4514:G4518">
    <cfRule type="expression" dxfId="911" priority="10299">
      <formula>$D4514&gt;1</formula>
    </cfRule>
    <cfRule type="expression" dxfId="910" priority="10300">
      <formula>$C4514="%IN"</formula>
    </cfRule>
    <cfRule type="expression" dxfId="909" priority="10301" stopIfTrue="1">
      <formula>$E4514=0</formula>
    </cfRule>
  </conditionalFormatting>
  <conditionalFormatting sqref="G4525:G4535">
    <cfRule type="expression" dxfId="908" priority="10302">
      <formula>$D4525&gt;1</formula>
    </cfRule>
    <cfRule type="expression" dxfId="907" priority="10303">
      <formula>$C4525="%IN"</formula>
    </cfRule>
    <cfRule type="expression" dxfId="906" priority="10304" stopIfTrue="1">
      <formula>$E4525=0</formula>
    </cfRule>
  </conditionalFormatting>
  <conditionalFormatting sqref="G4549:G4558">
    <cfRule type="expression" dxfId="905" priority="10305">
      <formula>$D4549&gt;1</formula>
    </cfRule>
    <cfRule type="expression" dxfId="904" priority="10306">
      <formula>$C4549="%IN"</formula>
    </cfRule>
    <cfRule type="expression" dxfId="903" priority="10307" stopIfTrue="1">
      <formula>$E4549=0</formula>
    </cfRule>
  </conditionalFormatting>
  <conditionalFormatting sqref="G4572:G4577">
    <cfRule type="expression" dxfId="902" priority="10308">
      <formula>$D4572&gt;1</formula>
    </cfRule>
    <cfRule type="expression" dxfId="901" priority="10309">
      <formula>$C4572="%IN"</formula>
    </cfRule>
    <cfRule type="expression" dxfId="900" priority="10310" stopIfTrue="1">
      <formula>$E4572=0</formula>
    </cfRule>
  </conditionalFormatting>
  <conditionalFormatting sqref="G4589:G4599">
    <cfRule type="expression" dxfId="899" priority="10311">
      <formula>$D4589&gt;1</formula>
    </cfRule>
    <cfRule type="expression" dxfId="898" priority="10312">
      <formula>$C4589="%IN"</formula>
    </cfRule>
    <cfRule type="expression" dxfId="897" priority="10313" stopIfTrue="1">
      <formula>$E4589=0</formula>
    </cfRule>
  </conditionalFormatting>
  <conditionalFormatting sqref="G4604:G4614">
    <cfRule type="expression" dxfId="896" priority="10314">
      <formula>$D4604&gt;1</formula>
    </cfRule>
    <cfRule type="expression" dxfId="895" priority="10315">
      <formula>$C4604="%IN"</formula>
    </cfRule>
    <cfRule type="expression" dxfId="894" priority="10316" stopIfTrue="1">
      <formula>$E4604=0</formula>
    </cfRule>
  </conditionalFormatting>
  <conditionalFormatting sqref="G4619:G4624">
    <cfRule type="expression" dxfId="893" priority="10317">
      <formula>$D4619&gt;1</formula>
    </cfRule>
    <cfRule type="expression" dxfId="892" priority="10318">
      <formula>$C4619="%IN"</formula>
    </cfRule>
    <cfRule type="expression" dxfId="891" priority="10319" stopIfTrue="1">
      <formula>$E4619=0</formula>
    </cfRule>
  </conditionalFormatting>
  <conditionalFormatting sqref="G4629:G4634">
    <cfRule type="expression" dxfId="890" priority="10320">
      <formula>$D4629&gt;1</formula>
    </cfRule>
    <cfRule type="expression" dxfId="889" priority="10321">
      <formula>$C4629="%IN"</formula>
    </cfRule>
    <cfRule type="expression" dxfId="888" priority="10322" stopIfTrue="1">
      <formula>$E4629=0</formula>
    </cfRule>
  </conditionalFormatting>
  <conditionalFormatting sqref="G4659:G4664">
    <cfRule type="expression" dxfId="887" priority="10326">
      <formula>$D4659&gt;1</formula>
    </cfRule>
    <cfRule type="expression" dxfId="886" priority="10327">
      <formula>$C4659="%IN"</formula>
    </cfRule>
    <cfRule type="expression" dxfId="885" priority="10328" stopIfTrue="1">
      <formula>$E4659=0</formula>
    </cfRule>
  </conditionalFormatting>
  <conditionalFormatting sqref="G4690:G4695">
    <cfRule type="expression" dxfId="884" priority="10329">
      <formula>$D4690&gt;1</formula>
    </cfRule>
    <cfRule type="expression" dxfId="883" priority="10330">
      <formula>$C4690="%IN"</formula>
    </cfRule>
    <cfRule type="expression" dxfId="882" priority="10331" stopIfTrue="1">
      <formula>$E4690=0</formula>
    </cfRule>
  </conditionalFormatting>
  <conditionalFormatting sqref="G4701:G4716">
    <cfRule type="expression" dxfId="881" priority="10332">
      <formula>$D4701&gt;1</formula>
    </cfRule>
    <cfRule type="expression" dxfId="880" priority="10333">
      <formula>$C4701="%IN"</formula>
    </cfRule>
    <cfRule type="expression" dxfId="879" priority="10334" stopIfTrue="1">
      <formula>$E4701=0</formula>
    </cfRule>
  </conditionalFormatting>
  <conditionalFormatting sqref="G4721:G4726">
    <cfRule type="expression" dxfId="878" priority="10335">
      <formula>$D4721&gt;1</formula>
    </cfRule>
    <cfRule type="expression" dxfId="877" priority="10336">
      <formula>$C4721="%IN"</formula>
    </cfRule>
    <cfRule type="expression" dxfId="876" priority="10337" stopIfTrue="1">
      <formula>$E4721=0</formula>
    </cfRule>
  </conditionalFormatting>
  <conditionalFormatting sqref="G4772:G4777">
    <cfRule type="expression" dxfId="875" priority="10338">
      <formula>$D4772&gt;1</formula>
    </cfRule>
    <cfRule type="expression" dxfId="874" priority="10339">
      <formula>$C4772="%IN"</formula>
    </cfRule>
    <cfRule type="expression" dxfId="873" priority="10340" stopIfTrue="1">
      <formula>$E4772=0</formula>
    </cfRule>
  </conditionalFormatting>
  <conditionalFormatting sqref="G4783:G4787 G4794:G4798">
    <cfRule type="expression" dxfId="872" priority="10341">
      <formula>$D4783&gt;1</formula>
    </cfRule>
    <cfRule type="expression" dxfId="871" priority="10342">
      <formula>$C4783="%IN"</formula>
    </cfRule>
    <cfRule type="expression" dxfId="870" priority="10343" stopIfTrue="1">
      <formula>$E4783=0</formula>
    </cfRule>
  </conditionalFormatting>
  <conditionalFormatting sqref="L4845:L4857">
    <cfRule type="expression" dxfId="869" priority="10344" stopIfTrue="1">
      <formula>OR($L$4845="F/S",$L$4845="")</formula>
    </cfRule>
    <cfRule type="cellIs" dxfId="868" priority="10345" stopIfTrue="1" operator="notEqual">
      <formula>0</formula>
    </cfRule>
  </conditionalFormatting>
  <conditionalFormatting sqref="O4845:O4857">
    <cfRule type="expression" dxfId="867" priority="10346" stopIfTrue="1">
      <formula>OR($O$4845="F/S",$O$4845="")</formula>
    </cfRule>
    <cfRule type="cellIs" dxfId="866" priority="10347" stopIfTrue="1" operator="notEqual">
      <formula>0</formula>
    </cfRule>
  </conditionalFormatting>
  <conditionalFormatting sqref="I4845">
    <cfRule type="expression" dxfId="865" priority="149" stopIfTrue="1">
      <formula>$I4845="适用"</formula>
    </cfRule>
    <cfRule type="expression" dxfId="864" priority="150" stopIfTrue="1">
      <formula>$I4845="不适用"</formula>
    </cfRule>
  </conditionalFormatting>
  <conditionalFormatting sqref="Q4845:Q4857">
    <cfRule type="expression" dxfId="863" priority="148" stopIfTrue="1">
      <formula>$Q4845="请输入"</formula>
    </cfRule>
  </conditionalFormatting>
  <conditionalFormatting sqref="G4848:G4856">
    <cfRule type="expression" dxfId="862" priority="10348">
      <formula>$D4848&gt;1</formula>
    </cfRule>
    <cfRule type="expression" dxfId="861" priority="10349">
      <formula>$C4848="%IN"</formula>
    </cfRule>
    <cfRule type="expression" dxfId="860" priority="10350" stopIfTrue="1">
      <formula>$E4848=0</formula>
    </cfRule>
  </conditionalFormatting>
  <conditionalFormatting sqref="G4861:G4869">
    <cfRule type="expression" dxfId="859" priority="10351">
      <formula>$D4861&gt;1</formula>
    </cfRule>
    <cfRule type="expression" dxfId="858" priority="10352">
      <formula>$C4861="%IN"</formula>
    </cfRule>
    <cfRule type="expression" dxfId="857" priority="10353" stopIfTrue="1">
      <formula>$E4861=0</formula>
    </cfRule>
  </conditionalFormatting>
  <conditionalFormatting sqref="G4456:G4458">
    <cfRule type="expression" dxfId="856" priority="10354">
      <formula>$D4456&gt;1</formula>
    </cfRule>
    <cfRule type="expression" dxfId="855" priority="10355">
      <formula>$C4456="%IN"</formula>
    </cfRule>
    <cfRule type="expression" dxfId="854" priority="10356" stopIfTrue="1">
      <formula>$E4456=0</formula>
    </cfRule>
  </conditionalFormatting>
  <conditionalFormatting sqref="G4939:G4944">
    <cfRule type="expression" dxfId="853" priority="10357">
      <formula>$D4939&gt;1</formula>
    </cfRule>
    <cfRule type="expression" dxfId="852" priority="10358">
      <formula>$C4939="%IN"</formula>
    </cfRule>
    <cfRule type="expression" dxfId="851" priority="10359" stopIfTrue="1">
      <formula>$E4939=0</formula>
    </cfRule>
  </conditionalFormatting>
  <conditionalFormatting sqref="G4957:G4964">
    <cfRule type="expression" dxfId="850" priority="10360">
      <formula>$D4957&gt;1</formula>
    </cfRule>
    <cfRule type="expression" dxfId="849" priority="10361">
      <formula>$C4957="%IN"</formula>
    </cfRule>
    <cfRule type="expression" dxfId="848" priority="10362" stopIfTrue="1">
      <formula>$E4957=0</formula>
    </cfRule>
  </conditionalFormatting>
  <conditionalFormatting sqref="G5011:G5016">
    <cfRule type="expression" dxfId="847" priority="10366">
      <formula>$D5011&gt;1</formula>
    </cfRule>
    <cfRule type="expression" dxfId="846" priority="10367">
      <formula>$C5011="%IN"</formula>
    </cfRule>
    <cfRule type="expression" dxfId="845" priority="10368" stopIfTrue="1">
      <formula>$E5011=0</formula>
    </cfRule>
  </conditionalFormatting>
  <conditionalFormatting sqref="G5021:G5026">
    <cfRule type="expression" dxfId="844" priority="10369">
      <formula>$D5021&gt;1</formula>
    </cfRule>
    <cfRule type="expression" dxfId="843" priority="10370">
      <formula>$C5021="%IN"</formula>
    </cfRule>
    <cfRule type="expression" dxfId="842" priority="10371" stopIfTrue="1">
      <formula>$E5021=0</formula>
    </cfRule>
  </conditionalFormatting>
  <conditionalFormatting sqref="G5033:G5043">
    <cfRule type="expression" dxfId="841" priority="10372">
      <formula>$D5033&gt;1</formula>
    </cfRule>
    <cfRule type="expression" dxfId="840" priority="10373">
      <formula>$C5033="%IN"</formula>
    </cfRule>
    <cfRule type="expression" dxfId="839" priority="10374" stopIfTrue="1">
      <formula>$E5033=0</formula>
    </cfRule>
  </conditionalFormatting>
  <conditionalFormatting sqref="G5049:G5059">
    <cfRule type="expression" dxfId="838" priority="10375">
      <formula>$D5049&gt;1</formula>
    </cfRule>
    <cfRule type="expression" dxfId="837" priority="10376">
      <formula>$C5049="%IN"</formula>
    </cfRule>
    <cfRule type="expression" dxfId="836" priority="10377" stopIfTrue="1">
      <formula>$E5049=0</formula>
    </cfRule>
  </conditionalFormatting>
  <conditionalFormatting sqref="G5065:G5070">
    <cfRule type="expression" dxfId="835" priority="10378">
      <formula>$D5065&gt;1</formula>
    </cfRule>
    <cfRule type="expression" dxfId="834" priority="10379">
      <formula>$C5065="%IN"</formula>
    </cfRule>
    <cfRule type="expression" dxfId="833" priority="10380" stopIfTrue="1">
      <formula>$E5065=0</formula>
    </cfRule>
  </conditionalFormatting>
  <conditionalFormatting sqref="G5076:G5081">
    <cfRule type="expression" dxfId="832" priority="10381">
      <formula>$D5076&gt;1</formula>
    </cfRule>
    <cfRule type="expression" dxfId="831" priority="10382">
      <formula>$C5076="%IN"</formula>
    </cfRule>
    <cfRule type="expression" dxfId="830" priority="10383" stopIfTrue="1">
      <formula>$E5076=0</formula>
    </cfRule>
  </conditionalFormatting>
  <conditionalFormatting sqref="G5087:G5092">
    <cfRule type="expression" dxfId="829" priority="10384">
      <formula>$D5087&gt;1</formula>
    </cfRule>
    <cfRule type="expression" dxfId="828" priority="10385">
      <formula>$C5087="%IN"</formula>
    </cfRule>
    <cfRule type="expression" dxfId="827" priority="10386" stopIfTrue="1">
      <formula>$E5087=0</formula>
    </cfRule>
  </conditionalFormatting>
  <conditionalFormatting sqref="G5098:G5103">
    <cfRule type="expression" dxfId="826" priority="10387">
      <formula>$D5098&gt;1</formula>
    </cfRule>
    <cfRule type="expression" dxfId="825" priority="10388">
      <formula>$C5098="%IN"</formula>
    </cfRule>
    <cfRule type="expression" dxfId="824" priority="10389" stopIfTrue="1">
      <formula>$E5098=0</formula>
    </cfRule>
  </conditionalFormatting>
  <conditionalFormatting sqref="G5185:G5190">
    <cfRule type="expression" dxfId="823" priority="10390">
      <formula>$D5185&gt;1</formula>
    </cfRule>
    <cfRule type="expression" dxfId="822" priority="10391">
      <formula>$C5185="%IN"</formula>
    </cfRule>
    <cfRule type="expression" dxfId="821" priority="10392" stopIfTrue="1">
      <formula>$E5185=0</formula>
    </cfRule>
  </conditionalFormatting>
  <conditionalFormatting sqref="G5207:G5215">
    <cfRule type="expression" dxfId="820" priority="10399">
      <formula>$D5207&gt;1</formula>
    </cfRule>
    <cfRule type="expression" dxfId="819" priority="10400">
      <formula>$C5207="%IN"</formula>
    </cfRule>
    <cfRule type="expression" dxfId="818" priority="10401" stopIfTrue="1">
      <formula>$E5207=0</formula>
    </cfRule>
  </conditionalFormatting>
  <conditionalFormatting sqref="G5561:G5565">
    <cfRule type="expression" dxfId="817" priority="10405">
      <formula>$D5561&gt;1</formula>
    </cfRule>
    <cfRule type="expression" dxfId="816" priority="10406">
      <formula>$C5561="%IN"</formula>
    </cfRule>
    <cfRule type="expression" dxfId="815" priority="10407" stopIfTrue="1">
      <formula>$E5561=0</formula>
    </cfRule>
  </conditionalFormatting>
  <conditionalFormatting sqref="G5634:G5642">
    <cfRule type="expression" dxfId="814" priority="10408">
      <formula>$D5634&gt;1</formula>
    </cfRule>
    <cfRule type="expression" dxfId="813" priority="10409">
      <formula>$C5634="%IN"</formula>
    </cfRule>
    <cfRule type="expression" dxfId="812" priority="10410" stopIfTrue="1">
      <formula>$E5634=0</formula>
    </cfRule>
  </conditionalFormatting>
  <conditionalFormatting sqref="G5647:G5655">
    <cfRule type="expression" dxfId="811" priority="10411">
      <formula>$D5647&gt;1</formula>
    </cfRule>
    <cfRule type="expression" dxfId="810" priority="10412">
      <formula>$C5647="%IN"</formula>
    </cfRule>
    <cfRule type="expression" dxfId="809" priority="10413" stopIfTrue="1">
      <formula>$E5647=0</formula>
    </cfRule>
  </conditionalFormatting>
  <conditionalFormatting sqref="G5660:G5665">
    <cfRule type="expression" dxfId="808" priority="10414">
      <formula>$D5660&gt;1</formula>
    </cfRule>
    <cfRule type="expression" dxfId="807" priority="10415">
      <formula>$C5660="%IN"</formula>
    </cfRule>
    <cfRule type="expression" dxfId="806" priority="10416" stopIfTrue="1">
      <formula>$E5660=0</formula>
    </cfRule>
  </conditionalFormatting>
  <conditionalFormatting sqref="G5670:G5675">
    <cfRule type="expression" dxfId="805" priority="10417">
      <formula>$D5670&gt;1</formula>
    </cfRule>
    <cfRule type="expression" dxfId="804" priority="10418">
      <formula>$C5670="%IN"</formula>
    </cfRule>
    <cfRule type="expression" dxfId="803" priority="10419" stopIfTrue="1">
      <formula>$E5670=0</formula>
    </cfRule>
  </conditionalFormatting>
  <conditionalFormatting sqref="G5680:G5685">
    <cfRule type="expression" dxfId="802" priority="10420">
      <formula>$D5680&gt;1</formula>
    </cfRule>
    <cfRule type="expression" dxfId="801" priority="10421">
      <formula>$C5680="%IN"</formula>
    </cfRule>
    <cfRule type="expression" dxfId="800" priority="10422" stopIfTrue="1">
      <formula>$E5680=0</formula>
    </cfRule>
  </conditionalFormatting>
  <conditionalFormatting sqref="G5690:G5695">
    <cfRule type="expression" dxfId="799" priority="10423">
      <formula>$D5690&gt;1</formula>
    </cfRule>
    <cfRule type="expression" dxfId="798" priority="10424">
      <formula>$C5690="%IN"</formula>
    </cfRule>
    <cfRule type="expression" dxfId="797" priority="10425" stopIfTrue="1">
      <formula>$E5690=0</formula>
    </cfRule>
  </conditionalFormatting>
  <conditionalFormatting sqref="G5710:G5715">
    <cfRule type="expression" dxfId="796" priority="10426">
      <formula>$D5710&gt;1</formula>
    </cfRule>
    <cfRule type="expression" dxfId="795" priority="10427">
      <formula>$C5710="%IN"</formula>
    </cfRule>
    <cfRule type="expression" dxfId="794" priority="10428" stopIfTrue="1">
      <formula>$E5710=0</formula>
    </cfRule>
  </conditionalFormatting>
  <conditionalFormatting sqref="G5730:G5735">
    <cfRule type="expression" dxfId="793" priority="10429">
      <formula>$D5730&gt;1</formula>
    </cfRule>
    <cfRule type="expression" dxfId="792" priority="10430">
      <formula>$C5730="%IN"</formula>
    </cfRule>
    <cfRule type="expression" dxfId="791" priority="10431" stopIfTrue="1">
      <formula>$E5730=0</formula>
    </cfRule>
  </conditionalFormatting>
  <conditionalFormatting sqref="G5760:G5768">
    <cfRule type="expression" dxfId="790" priority="10432">
      <formula>$D5760&gt;1</formula>
    </cfRule>
    <cfRule type="expression" dxfId="789" priority="10433">
      <formula>$C5760="%IN"</formula>
    </cfRule>
    <cfRule type="expression" dxfId="788" priority="10434" stopIfTrue="1">
      <formula>$E5760=0</formula>
    </cfRule>
  </conditionalFormatting>
  <conditionalFormatting sqref="G5773:G5781">
    <cfRule type="expression" dxfId="787" priority="10435">
      <formula>$D5773&gt;1</formula>
    </cfRule>
    <cfRule type="expression" dxfId="786" priority="10436">
      <formula>$C5773="%IN"</formula>
    </cfRule>
    <cfRule type="expression" dxfId="785" priority="10437" stopIfTrue="1">
      <formula>$E5773=0</formula>
    </cfRule>
  </conditionalFormatting>
  <conditionalFormatting sqref="I5805">
    <cfRule type="expression" dxfId="784" priority="136" stopIfTrue="1">
      <formula>$I5805="适用"</formula>
    </cfRule>
    <cfRule type="expression" dxfId="783" priority="137" stopIfTrue="1">
      <formula>$I5805="不适用"</formula>
    </cfRule>
  </conditionalFormatting>
  <conditionalFormatting sqref="G5808:G5811">
    <cfRule type="expression" dxfId="782" priority="10438">
      <formula>$D5808&gt;1</formula>
    </cfRule>
    <cfRule type="expression" dxfId="781" priority="10439">
      <formula>$C5808="%IN"</formula>
    </cfRule>
    <cfRule type="expression" dxfId="780" priority="10440" stopIfTrue="1">
      <formula>$E5808=0</formula>
    </cfRule>
  </conditionalFormatting>
  <conditionalFormatting sqref="G5859:G5864">
    <cfRule type="expression" dxfId="779" priority="10441">
      <formula>$D5859&gt;1</formula>
    </cfRule>
    <cfRule type="expression" dxfId="778" priority="10442">
      <formula>$C5859="%IN"</formula>
    </cfRule>
    <cfRule type="expression" dxfId="777" priority="10443" stopIfTrue="1">
      <formula>$E5859=0</formula>
    </cfRule>
  </conditionalFormatting>
  <conditionalFormatting sqref="G5869:G5874">
    <cfRule type="expression" dxfId="776" priority="10444">
      <formula>$D5869&gt;1</formula>
    </cfRule>
    <cfRule type="expression" dxfId="775" priority="10445">
      <formula>$C5869="%IN"</formula>
    </cfRule>
    <cfRule type="expression" dxfId="774" priority="10446" stopIfTrue="1">
      <formula>$E5869=0</formula>
    </cfRule>
  </conditionalFormatting>
  <conditionalFormatting sqref="G1508">
    <cfRule type="expression" dxfId="773" priority="129">
      <formula>$D1508&gt;1</formula>
    </cfRule>
    <cfRule type="expression" dxfId="772" priority="130">
      <formula>$C1508="%IN"</formula>
    </cfRule>
    <cfRule type="expression" dxfId="771" priority="131" stopIfTrue="1">
      <formula>$E1508=0</formula>
    </cfRule>
  </conditionalFormatting>
  <conditionalFormatting sqref="G4276:G4281">
    <cfRule type="expression" dxfId="770" priority="10447">
      <formula>$D4276&gt;1</formula>
    </cfRule>
    <cfRule type="expression" dxfId="769" priority="10448">
      <formula>$C4276="%IN"</formula>
    </cfRule>
    <cfRule type="expression" dxfId="768" priority="10449" stopIfTrue="1">
      <formula>$E4276=0</formula>
    </cfRule>
  </conditionalFormatting>
  <conditionalFormatting sqref="G6176:G6192">
    <cfRule type="expression" dxfId="767" priority="10450">
      <formula>$D6176&gt;1</formula>
    </cfRule>
    <cfRule type="expression" dxfId="766" priority="10451">
      <formula>$C6176="%IN"</formula>
    </cfRule>
    <cfRule type="expression" dxfId="765" priority="10452" stopIfTrue="1">
      <formula>$E6176=0</formula>
    </cfRule>
  </conditionalFormatting>
  <conditionalFormatting sqref="G141:G144">
    <cfRule type="expression" dxfId="764" priority="10453">
      <formula>$D141&gt;1</formula>
    </cfRule>
    <cfRule type="expression" dxfId="763" priority="10454">
      <formula>$C141="%IN"</formula>
    </cfRule>
    <cfRule type="expression" dxfId="762" priority="10455" stopIfTrue="1">
      <formula>$E141=0</formula>
    </cfRule>
  </conditionalFormatting>
  <conditionalFormatting sqref="G604:G609">
    <cfRule type="expression" dxfId="761" priority="10456">
      <formula>$D604&gt;1</formula>
    </cfRule>
    <cfRule type="expression" dxfId="760" priority="10457">
      <formula>$C604="%IN"</formula>
    </cfRule>
    <cfRule type="expression" dxfId="759" priority="10458" stopIfTrue="1">
      <formula>$E604=0</formula>
    </cfRule>
  </conditionalFormatting>
  <conditionalFormatting sqref="G614:G616">
    <cfRule type="expression" dxfId="758" priority="10459">
      <formula>$D614&gt;1</formula>
    </cfRule>
    <cfRule type="expression" dxfId="757" priority="10460">
      <formula>$C614="%IN"</formula>
    </cfRule>
    <cfRule type="expression" dxfId="756" priority="10461" stopIfTrue="1">
      <formula>$E614=0</formula>
    </cfRule>
  </conditionalFormatting>
  <conditionalFormatting sqref="G621:G626">
    <cfRule type="expression" dxfId="755" priority="10462">
      <formula>$D621&gt;1</formula>
    </cfRule>
    <cfRule type="expression" dxfId="754" priority="10463">
      <formula>$C621="%IN"</formula>
    </cfRule>
    <cfRule type="expression" dxfId="753" priority="10464" stopIfTrue="1">
      <formula>$E621=0</formula>
    </cfRule>
  </conditionalFormatting>
  <conditionalFormatting sqref="G651:G656">
    <cfRule type="expression" dxfId="752" priority="10465">
      <formula>$D651&gt;1</formula>
    </cfRule>
    <cfRule type="expression" dxfId="751" priority="10466">
      <formula>$C651="%IN"</formula>
    </cfRule>
    <cfRule type="expression" dxfId="750" priority="10467" stopIfTrue="1">
      <formula>$E651=0</formula>
    </cfRule>
  </conditionalFormatting>
  <conditionalFormatting sqref="G661:G666">
    <cfRule type="expression" dxfId="749" priority="10468">
      <formula>$D661&gt;1</formula>
    </cfRule>
    <cfRule type="expression" dxfId="748" priority="10469">
      <formula>$C661="%IN"</formula>
    </cfRule>
    <cfRule type="expression" dxfId="747" priority="10470" stopIfTrue="1">
      <formula>$E661=0</formula>
    </cfRule>
  </conditionalFormatting>
  <conditionalFormatting sqref="G1016:G1025">
    <cfRule type="expression" dxfId="746" priority="10471">
      <formula>$D1016&gt;1</formula>
    </cfRule>
    <cfRule type="expression" dxfId="745" priority="10472">
      <formula>$C1016="%IN"</formula>
    </cfRule>
    <cfRule type="expression" dxfId="744" priority="10473" stopIfTrue="1">
      <formula>$E1016=0</formula>
    </cfRule>
  </conditionalFormatting>
  <conditionalFormatting sqref="G1513:G1518">
    <cfRule type="expression" dxfId="743" priority="10474">
      <formula>$D1513&gt;1</formula>
    </cfRule>
    <cfRule type="expression" dxfId="742" priority="10475">
      <formula>$C1513="%IN"</formula>
    </cfRule>
    <cfRule type="expression" dxfId="741" priority="10476" stopIfTrue="1">
      <formula>$E1513=0</formula>
    </cfRule>
  </conditionalFormatting>
  <conditionalFormatting sqref="G1523:G1525">
    <cfRule type="expression" dxfId="740" priority="10477">
      <formula>$D1523&gt;1</formula>
    </cfRule>
    <cfRule type="expression" dxfId="739" priority="10478">
      <formula>$C1523="%IN"</formula>
    </cfRule>
    <cfRule type="expression" dxfId="738" priority="10479" stopIfTrue="1">
      <formula>$E1523=0</formula>
    </cfRule>
  </conditionalFormatting>
  <conditionalFormatting sqref="G1530:G1535">
    <cfRule type="expression" dxfId="737" priority="10480">
      <formula>$D1530&gt;1</formula>
    </cfRule>
    <cfRule type="expression" dxfId="736" priority="10481">
      <formula>$C1530="%IN"</formula>
    </cfRule>
    <cfRule type="expression" dxfId="735" priority="10482" stopIfTrue="1">
      <formula>$E1530=0</formula>
    </cfRule>
  </conditionalFormatting>
  <conditionalFormatting sqref="G1560:G1565">
    <cfRule type="expression" dxfId="734" priority="10483">
      <formula>$D1560&gt;1</formula>
    </cfRule>
    <cfRule type="expression" dxfId="733" priority="10484">
      <formula>$C1560="%IN"</formula>
    </cfRule>
    <cfRule type="expression" dxfId="732" priority="10485" stopIfTrue="1">
      <formula>$E1560=0</formula>
    </cfRule>
  </conditionalFormatting>
  <conditionalFormatting sqref="G1570:G1575">
    <cfRule type="expression" dxfId="731" priority="10486">
      <formula>$D1570&gt;1</formula>
    </cfRule>
    <cfRule type="expression" dxfId="730" priority="10487">
      <formula>$C1570="%IN"</formula>
    </cfRule>
    <cfRule type="expression" dxfId="729" priority="10488" stopIfTrue="1">
      <formula>$E1570=0</formula>
    </cfRule>
  </conditionalFormatting>
  <conditionalFormatting sqref="G1580:G1585">
    <cfRule type="expression" dxfId="728" priority="10489">
      <formula>$D1580&gt;1</formula>
    </cfRule>
    <cfRule type="expression" dxfId="727" priority="10490">
      <formula>$C1580="%IN"</formula>
    </cfRule>
    <cfRule type="expression" dxfId="726" priority="10491" stopIfTrue="1">
      <formula>$E1580=0</formula>
    </cfRule>
  </conditionalFormatting>
  <conditionalFormatting sqref="L236:L250">
    <cfRule type="expression" dxfId="725" priority="10492" stopIfTrue="1">
      <formula>OR($L$236="F/S",$L$236="")</formula>
    </cfRule>
    <cfRule type="cellIs" dxfId="724" priority="10493" stopIfTrue="1" operator="notEqual">
      <formula>0</formula>
    </cfRule>
  </conditionalFormatting>
  <conditionalFormatting sqref="O236:O250">
    <cfRule type="expression" dxfId="723" priority="10494" stopIfTrue="1">
      <formula>OR($O$236="F/S",$O$236="")</formula>
    </cfRule>
    <cfRule type="cellIs" dxfId="722" priority="10495" stopIfTrue="1" operator="notEqual">
      <formula>0</formula>
    </cfRule>
  </conditionalFormatting>
  <conditionalFormatting sqref="I236">
    <cfRule type="expression" dxfId="721" priority="127" stopIfTrue="1">
      <formula>$I236="适用"</formula>
    </cfRule>
    <cfRule type="expression" dxfId="720" priority="128" stopIfTrue="1">
      <formula>$I236="不适用"</formula>
    </cfRule>
  </conditionalFormatting>
  <conditionalFormatting sqref="Q236:Q250">
    <cfRule type="expression" dxfId="719" priority="126" stopIfTrue="1">
      <formula>$Q236="请输入"</formula>
    </cfRule>
  </conditionalFormatting>
  <conditionalFormatting sqref="G241:G249">
    <cfRule type="expression" dxfId="718" priority="10496">
      <formula>$D241&gt;1</formula>
    </cfRule>
    <cfRule type="expression" dxfId="717" priority="10497">
      <formula>$C241="%IN"</formula>
    </cfRule>
    <cfRule type="expression" dxfId="716" priority="10498" stopIfTrue="1">
      <formula>$E241=0</formula>
    </cfRule>
  </conditionalFormatting>
  <conditionalFormatting sqref="G3416:G3422">
    <cfRule type="expression" dxfId="715" priority="10499">
      <formula>$D3416&gt;1</formula>
    </cfRule>
    <cfRule type="expression" dxfId="714" priority="10500">
      <formula>$C3416="%IN"</formula>
    </cfRule>
    <cfRule type="expression" dxfId="713" priority="10501" stopIfTrue="1">
      <formula>$E3416=0</formula>
    </cfRule>
  </conditionalFormatting>
  <conditionalFormatting sqref="G1433:G1440">
    <cfRule type="expression" dxfId="712" priority="10502">
      <formula>$D1433&gt;1</formula>
    </cfRule>
    <cfRule type="expression" dxfId="711" priority="10503">
      <formula>$C1433="%IN"</formula>
    </cfRule>
    <cfRule type="expression" dxfId="710" priority="10504" stopIfTrue="1">
      <formula>$E1433=0</formula>
    </cfRule>
  </conditionalFormatting>
  <conditionalFormatting sqref="G1658:G1663">
    <cfRule type="expression" dxfId="709" priority="10505">
      <formula>$D1658&gt;1</formula>
    </cfRule>
    <cfRule type="expression" dxfId="708" priority="10506">
      <formula>$C1658="%IN"</formula>
    </cfRule>
    <cfRule type="expression" dxfId="707" priority="10507" stopIfTrue="1">
      <formula>$E1658=0</formula>
    </cfRule>
  </conditionalFormatting>
  <conditionalFormatting sqref="G1668:G1673">
    <cfRule type="expression" dxfId="706" priority="10508">
      <formula>$D1668&gt;1</formula>
    </cfRule>
    <cfRule type="expression" dxfId="705" priority="10509">
      <formula>$C1668="%IN"</formula>
    </cfRule>
    <cfRule type="expression" dxfId="704" priority="10510" stopIfTrue="1">
      <formula>$E1668=0</formula>
    </cfRule>
  </conditionalFormatting>
  <conditionalFormatting sqref="G3664:G3676">
    <cfRule type="expression" dxfId="703" priority="10511">
      <formula>$D3664&gt;1</formula>
    </cfRule>
    <cfRule type="expression" dxfId="702" priority="10512">
      <formula>$C3664="%IN"</formula>
    </cfRule>
    <cfRule type="expression" dxfId="701" priority="10513" stopIfTrue="1">
      <formula>$E3664=0</formula>
    </cfRule>
  </conditionalFormatting>
  <conditionalFormatting sqref="Q4301">
    <cfRule type="expression" dxfId="700" priority="121" stopIfTrue="1">
      <formula>$Q4301="请输入"</formula>
    </cfRule>
  </conditionalFormatting>
  <conditionalFormatting sqref="I4301">
    <cfRule type="expression" dxfId="699" priority="119" stopIfTrue="1">
      <formula>$I4301="适用"</formula>
    </cfRule>
    <cfRule type="expression" dxfId="698" priority="120" stopIfTrue="1">
      <formula>$I4301="不适用"</formula>
    </cfRule>
  </conditionalFormatting>
  <conditionalFormatting sqref="G4732:G4738">
    <cfRule type="expression" dxfId="697" priority="10514">
      <formula>$D4732&gt;1</formula>
    </cfRule>
    <cfRule type="expression" dxfId="696" priority="10515">
      <formula>$C4732="%IN"</formula>
    </cfRule>
    <cfRule type="expression" dxfId="695" priority="10516" stopIfTrue="1">
      <formula>$E4732=0</formula>
    </cfRule>
  </conditionalFormatting>
  <conditionalFormatting sqref="G4978:G4991">
    <cfRule type="expression" dxfId="694" priority="10517">
      <formula>$D4978&gt;1</formula>
    </cfRule>
    <cfRule type="expression" dxfId="693" priority="10518">
      <formula>$C4978="%IN"</formula>
    </cfRule>
    <cfRule type="expression" dxfId="692" priority="10519" stopIfTrue="1">
      <formula>$E4978=0</formula>
    </cfRule>
  </conditionalFormatting>
  <conditionalFormatting sqref="G5196:G5201">
    <cfRule type="expression" dxfId="691" priority="10520">
      <formula>$D5196&gt;1</formula>
    </cfRule>
    <cfRule type="expression" dxfId="690" priority="10521">
      <formula>$C5196="%IN"</formula>
    </cfRule>
    <cfRule type="expression" dxfId="689" priority="10522" stopIfTrue="1">
      <formula>$E5196=0</formula>
    </cfRule>
  </conditionalFormatting>
  <conditionalFormatting sqref="I5510">
    <cfRule type="expression" dxfId="688" priority="113" stopIfTrue="1">
      <formula>$I5510="适用"</formula>
    </cfRule>
    <cfRule type="expression" dxfId="687" priority="114" stopIfTrue="1">
      <formula>$I5510="不适用"</formula>
    </cfRule>
  </conditionalFormatting>
  <conditionalFormatting sqref="G5469:G5508">
    <cfRule type="expression" dxfId="686" priority="10526">
      <formula>$D5469&gt;1</formula>
    </cfRule>
    <cfRule type="expression" dxfId="685" priority="10527">
      <formula>$C5469="%IN"</formula>
    </cfRule>
    <cfRule type="expression" dxfId="684" priority="10528" stopIfTrue="1">
      <formula>$E5469=0</formula>
    </cfRule>
  </conditionalFormatting>
  <conditionalFormatting sqref="G5515:G5556">
    <cfRule type="expression" dxfId="683" priority="10529">
      <formula>$D5515&gt;1</formula>
    </cfRule>
    <cfRule type="expression" dxfId="682" priority="10530">
      <formula>$C5515="%IN"</formula>
    </cfRule>
    <cfRule type="expression" dxfId="681" priority="10531" stopIfTrue="1">
      <formula>$E5515=0</formula>
    </cfRule>
  </conditionalFormatting>
  <conditionalFormatting sqref="L4740:L4752">
    <cfRule type="expression" dxfId="680" priority="10532" stopIfTrue="1">
      <formula>OR($L$4740="F/S",$L$4740="")</formula>
    </cfRule>
    <cfRule type="cellIs" dxfId="679" priority="10533" stopIfTrue="1" operator="notEqual">
      <formula>0</formula>
    </cfRule>
  </conditionalFormatting>
  <conditionalFormatting sqref="O4740:O4752">
    <cfRule type="expression" dxfId="678" priority="10534" stopIfTrue="1">
      <formula>OR($O$4740="F/S",$O$4740="")</formula>
    </cfRule>
    <cfRule type="cellIs" dxfId="677" priority="10535" stopIfTrue="1" operator="notEqual">
      <formula>0</formula>
    </cfRule>
  </conditionalFormatting>
  <conditionalFormatting sqref="I4740">
    <cfRule type="expression" dxfId="676" priority="106" stopIfTrue="1">
      <formula>$I4740="适用"</formula>
    </cfRule>
    <cfRule type="expression" dxfId="675" priority="107" stopIfTrue="1">
      <formula>$I4740="不适用"</formula>
    </cfRule>
  </conditionalFormatting>
  <conditionalFormatting sqref="Q4740:Q4752">
    <cfRule type="expression" dxfId="674" priority="105" stopIfTrue="1">
      <formula>$Q4740="请输入"</formula>
    </cfRule>
  </conditionalFormatting>
  <conditionalFormatting sqref="G4743:G4751">
    <cfRule type="expression" dxfId="673" priority="10536">
      <formula>$D4743&gt;1</formula>
    </cfRule>
    <cfRule type="expression" dxfId="672" priority="10537">
      <formula>$C4743="%IN"</formula>
    </cfRule>
    <cfRule type="expression" dxfId="671" priority="10538" stopIfTrue="1">
      <formula>$E4743=0</formula>
    </cfRule>
  </conditionalFormatting>
  <conditionalFormatting sqref="G2835:G2845">
    <cfRule type="expression" dxfId="670" priority="10539">
      <formula>$D2835&gt;1</formula>
    </cfRule>
    <cfRule type="expression" dxfId="669" priority="10540">
      <formula>$C2835="%IN"</formula>
    </cfRule>
    <cfRule type="expression" dxfId="668" priority="10541" stopIfTrue="1">
      <formula>$E2835=0</formula>
    </cfRule>
  </conditionalFormatting>
  <conditionalFormatting sqref="H352">
    <cfRule type="expression" dxfId="667" priority="10542">
      <formula>AND(H$352&lt;&gt;0,H$352&lt;&gt;"")</formula>
    </cfRule>
    <cfRule type="expression" dxfId="666" priority="10543" stopIfTrue="1">
      <formula>H$353&lt;&gt;"√"</formula>
    </cfRule>
  </conditionalFormatting>
  <conditionalFormatting sqref="J352">
    <cfRule type="expression" dxfId="665" priority="10544">
      <formula>AND(J$352&lt;&gt;0,J$352&lt;&gt;"")</formula>
    </cfRule>
    <cfRule type="expression" dxfId="664" priority="10545" stopIfTrue="1">
      <formula>J$353&lt;&gt;"√"</formula>
    </cfRule>
  </conditionalFormatting>
  <conditionalFormatting sqref="L352">
    <cfRule type="expression" dxfId="663" priority="10546">
      <formula>AND(L$352&lt;&gt;0,L$352&lt;&gt;"")</formula>
    </cfRule>
    <cfRule type="expression" dxfId="662" priority="10547" stopIfTrue="1">
      <formula>L$353&lt;&gt;"√"</formula>
    </cfRule>
  </conditionalFormatting>
  <conditionalFormatting sqref="K354">
    <cfRule type="expression" dxfId="661" priority="10548">
      <formula>AND($K$354&lt;&gt;0,$K$354&lt;&gt;"")</formula>
    </cfRule>
    <cfRule type="expression" dxfId="660" priority="10549" stopIfTrue="1">
      <formula>$L$354&lt;&gt;"√"</formula>
    </cfRule>
  </conditionalFormatting>
  <conditionalFormatting sqref="H374">
    <cfRule type="expression" dxfId="659" priority="10550">
      <formula>AND(H$374&lt;&gt;0,H$374&lt;&gt;"")</formula>
    </cfRule>
    <cfRule type="expression" dxfId="658" priority="10551" stopIfTrue="1">
      <formula>H$375&lt;&gt;"√"</formula>
    </cfRule>
  </conditionalFormatting>
  <conditionalFormatting sqref="I374">
    <cfRule type="expression" dxfId="657" priority="10552">
      <formula>AND(I$374&lt;&gt;0,I$374&lt;&gt;"")</formula>
    </cfRule>
    <cfRule type="expression" dxfId="656" priority="10553" stopIfTrue="1">
      <formula>I$375&lt;&gt;"√"</formula>
    </cfRule>
  </conditionalFormatting>
  <conditionalFormatting sqref="K376">
    <cfRule type="expression" dxfId="655" priority="10554">
      <formula>AND($K$376&lt;&gt;0,$K$376&lt;&gt;"")</formula>
    </cfRule>
    <cfRule type="expression" dxfId="654" priority="10555" stopIfTrue="1">
      <formula>$L$376&lt;&gt;"√"</formula>
    </cfRule>
  </conditionalFormatting>
  <conditionalFormatting sqref="H396">
    <cfRule type="expression" dxfId="653" priority="10556">
      <formula>AND(H$396&lt;&gt;0,H$396&lt;&gt;"")</formula>
    </cfRule>
    <cfRule type="expression" dxfId="652" priority="10557" stopIfTrue="1">
      <formula>H$397&lt;&gt;"√"</formula>
    </cfRule>
  </conditionalFormatting>
  <conditionalFormatting sqref="I396">
    <cfRule type="expression" dxfId="651" priority="10558">
      <formula>AND(I$396&lt;&gt;0,I$396&lt;&gt;"")</formula>
    </cfRule>
    <cfRule type="expression" dxfId="650" priority="10559" stopIfTrue="1">
      <formula>I$397&lt;&gt;"√"</formula>
    </cfRule>
  </conditionalFormatting>
  <conditionalFormatting sqref="K398">
    <cfRule type="expression" dxfId="649" priority="10560">
      <formula>AND($K$398&lt;&gt;0,$K$398&lt;&gt;"")</formula>
    </cfRule>
    <cfRule type="expression" dxfId="648" priority="10561" stopIfTrue="1">
      <formula>$L$398&lt;&gt;"√"</formula>
    </cfRule>
  </conditionalFormatting>
  <conditionalFormatting sqref="H444">
    <cfRule type="expression" dxfId="647" priority="10562">
      <formula>AND(H$444&lt;&gt;0,H$444&lt;&gt;"")</formula>
    </cfRule>
    <cfRule type="expression" dxfId="646" priority="10563" stopIfTrue="1">
      <formula>H$445&lt;&gt;"√"</formula>
    </cfRule>
  </conditionalFormatting>
  <conditionalFormatting sqref="J444">
    <cfRule type="expression" dxfId="645" priority="10564">
      <formula>AND(J$444&lt;&gt;0,J$444&lt;&gt;"")</formula>
    </cfRule>
    <cfRule type="expression" dxfId="644" priority="10565" stopIfTrue="1">
      <formula>J$445&lt;&gt;"√"</formula>
    </cfRule>
  </conditionalFormatting>
  <conditionalFormatting sqref="L444">
    <cfRule type="expression" dxfId="643" priority="10566">
      <formula>AND(L$444&lt;&gt;0,L$444&lt;&gt;"")</formula>
    </cfRule>
    <cfRule type="expression" dxfId="642" priority="10567" stopIfTrue="1">
      <formula>L$445&lt;&gt;"√"</formula>
    </cfRule>
  </conditionalFormatting>
  <conditionalFormatting sqref="K446">
    <cfRule type="expression" dxfId="641" priority="10568">
      <formula>AND($K$446&lt;&gt;0,$K$446&lt;&gt;"")</formula>
    </cfRule>
    <cfRule type="expression" dxfId="640" priority="10569" stopIfTrue="1">
      <formula>$L$446&lt;&gt;"√"</formula>
    </cfRule>
  </conditionalFormatting>
  <conditionalFormatting sqref="H597">
    <cfRule type="expression" dxfId="639" priority="10570">
      <formula>AND(H$597&lt;&gt;0,H$597&lt;&gt;"")</formula>
    </cfRule>
    <cfRule type="expression" dxfId="638" priority="10571" stopIfTrue="1">
      <formula>H$598&lt;&gt;"√"</formula>
    </cfRule>
  </conditionalFormatting>
  <conditionalFormatting sqref="N597">
    <cfRule type="expression" dxfId="637" priority="10572">
      <formula>AND(N$597&lt;&gt;0,N$597&lt;&gt;"")</formula>
    </cfRule>
    <cfRule type="expression" dxfId="636" priority="10573" stopIfTrue="1">
      <formula>N$598&lt;&gt;"√"</formula>
    </cfRule>
  </conditionalFormatting>
  <conditionalFormatting sqref="K599">
    <cfRule type="expression" dxfId="635" priority="10574">
      <formula>AND($K$599&lt;&gt;0,$K$599&lt;&gt;"")</formula>
    </cfRule>
    <cfRule type="expression" dxfId="634" priority="10575" stopIfTrue="1">
      <formula>$L$599&lt;&gt;"√"</formula>
    </cfRule>
  </conditionalFormatting>
  <conditionalFormatting sqref="H464">
    <cfRule type="expression" dxfId="633" priority="10576">
      <formula>AND(H$464&lt;&gt;0,H$464&lt;&gt;"")</formula>
    </cfRule>
    <cfRule type="expression" dxfId="632" priority="10577" stopIfTrue="1">
      <formula>H$465&lt;&gt;"√"</formula>
    </cfRule>
  </conditionalFormatting>
  <conditionalFormatting sqref="I464">
    <cfRule type="expression" dxfId="631" priority="10578">
      <formula>AND(I$464&lt;&gt;0,I$464&lt;&gt;"")</formula>
    </cfRule>
    <cfRule type="expression" dxfId="630" priority="10579" stopIfTrue="1">
      <formula>I$465&lt;&gt;"√"</formula>
    </cfRule>
  </conditionalFormatting>
  <conditionalFormatting sqref="K466">
    <cfRule type="expression" dxfId="629" priority="10580">
      <formula>AND($K$466&lt;&gt;0,$K$466&lt;&gt;"")</formula>
    </cfRule>
    <cfRule type="expression" dxfId="628" priority="10581" stopIfTrue="1">
      <formula>$L$466&lt;&gt;"√"</formula>
    </cfRule>
  </conditionalFormatting>
  <conditionalFormatting sqref="H531">
    <cfRule type="expression" dxfId="627" priority="10582">
      <formula>AND(H$531&lt;&gt;0,H$531&lt;&gt;"")</formula>
    </cfRule>
    <cfRule type="expression" dxfId="626" priority="10583" stopIfTrue="1">
      <formula>H$532&lt;&gt;"√"</formula>
    </cfRule>
  </conditionalFormatting>
  <conditionalFormatting sqref="I531">
    <cfRule type="expression" dxfId="625" priority="10584">
      <formula>AND(I$531&lt;&gt;0,I$531&lt;&gt;"")</formula>
    </cfRule>
    <cfRule type="expression" dxfId="624" priority="10585" stopIfTrue="1">
      <formula>I$532&lt;&gt;"√"</formula>
    </cfRule>
  </conditionalFormatting>
  <conditionalFormatting sqref="K533">
    <cfRule type="expression" dxfId="623" priority="10586">
      <formula>AND($K$533&lt;&gt;0,$K$533&lt;&gt;"")</formula>
    </cfRule>
    <cfRule type="expression" dxfId="622" priority="10587" stopIfTrue="1">
      <formula>$L$533&lt;&gt;"√"</formula>
    </cfRule>
  </conditionalFormatting>
  <conditionalFormatting sqref="H555">
    <cfRule type="expression" dxfId="621" priority="10588">
      <formula>AND(H$555&lt;&gt;0,H$555&lt;&gt;"")</formula>
    </cfRule>
    <cfRule type="expression" dxfId="620" priority="10589" stopIfTrue="1">
      <formula>H$556&lt;&gt;"√"</formula>
    </cfRule>
  </conditionalFormatting>
  <conditionalFormatting sqref="I555">
    <cfRule type="expression" dxfId="619" priority="10590">
      <formula>AND(I$555&lt;&gt;0,I$555&lt;&gt;"")</formula>
    </cfRule>
    <cfRule type="expression" dxfId="618" priority="10591" stopIfTrue="1">
      <formula>I$556&lt;&gt;"√"</formula>
    </cfRule>
  </conditionalFormatting>
  <conditionalFormatting sqref="K557">
    <cfRule type="expression" dxfId="617" priority="10592">
      <formula>AND($K$557&lt;&gt;0,$K$557&lt;&gt;"")</formula>
    </cfRule>
    <cfRule type="expression" dxfId="616" priority="10593" stopIfTrue="1">
      <formula>$L$557&lt;&gt;"√"</formula>
    </cfRule>
  </conditionalFormatting>
  <conditionalFormatting sqref="H1039">
    <cfRule type="expression" dxfId="615" priority="10611">
      <formula>AND(H$1039&lt;&gt;0,H$1039&lt;&gt;"")</formula>
    </cfRule>
    <cfRule type="expression" dxfId="614" priority="10612" stopIfTrue="1">
      <formula>H$1040&lt;&gt;"√"</formula>
    </cfRule>
  </conditionalFormatting>
  <conditionalFormatting sqref="I1039">
    <cfRule type="expression" dxfId="613" priority="10613">
      <formula>AND(I$1039&lt;&gt;0,I$1039&lt;&gt;"")</formula>
    </cfRule>
    <cfRule type="expression" dxfId="612" priority="10614" stopIfTrue="1">
      <formula>I$1040&lt;&gt;"√"</formula>
    </cfRule>
  </conditionalFormatting>
  <conditionalFormatting sqref="J1039">
    <cfRule type="expression" dxfId="611" priority="10615">
      <formula>AND(J$1039&lt;&gt;0,J$1039&lt;&gt;"")</formula>
    </cfRule>
    <cfRule type="expression" dxfId="610" priority="10616" stopIfTrue="1">
      <formula>J$1040&lt;&gt;"√"</formula>
    </cfRule>
  </conditionalFormatting>
  <conditionalFormatting sqref="K1041">
    <cfRule type="expression" dxfId="609" priority="10617">
      <formula>AND($K$1041&lt;&gt;0,$K$1041&lt;&gt;"")</formula>
    </cfRule>
    <cfRule type="expression" dxfId="608" priority="10618" stopIfTrue="1">
      <formula>$L$1041&lt;&gt;"√"</formula>
    </cfRule>
  </conditionalFormatting>
  <conditionalFormatting sqref="H1322">
    <cfRule type="expression" dxfId="607" priority="10619">
      <formula>AND(H$1322&lt;&gt;0,H$1322&lt;&gt;"")</formula>
    </cfRule>
    <cfRule type="expression" dxfId="606" priority="10620" stopIfTrue="1">
      <formula>H$1323&lt;&gt;"√"</formula>
    </cfRule>
  </conditionalFormatting>
  <conditionalFormatting sqref="J1322">
    <cfRule type="expression" dxfId="605" priority="10621">
      <formula>AND(J$1322&lt;&gt;0,J$1322&lt;&gt;"")</formula>
    </cfRule>
    <cfRule type="expression" dxfId="604" priority="10622" stopIfTrue="1">
      <formula>J$1323&lt;&gt;"√"</formula>
    </cfRule>
  </conditionalFormatting>
  <conditionalFormatting sqref="L1322">
    <cfRule type="expression" dxfId="603" priority="10623">
      <formula>AND(L$1322&lt;&gt;0,L$1322&lt;&gt;"")</formula>
    </cfRule>
    <cfRule type="expression" dxfId="602" priority="10624" stopIfTrue="1">
      <formula>L$1323&lt;&gt;"√"</formula>
    </cfRule>
  </conditionalFormatting>
  <conditionalFormatting sqref="K1324">
    <cfRule type="expression" dxfId="601" priority="10625">
      <formula>AND($K$1324&lt;&gt;0,$K$1324&lt;&gt;"")</formula>
    </cfRule>
    <cfRule type="expression" dxfId="600" priority="10626" stopIfTrue="1">
      <formula>$L$1324&lt;&gt;"√"</formula>
    </cfRule>
  </conditionalFormatting>
  <conditionalFormatting sqref="H1487">
    <cfRule type="expression" dxfId="599" priority="10627">
      <formula>AND(H$1487&lt;&gt;0,H$1487&lt;&gt;"")</formula>
    </cfRule>
    <cfRule type="expression" dxfId="598" priority="10628" stopIfTrue="1">
      <formula>H$1488&lt;&gt;"√"</formula>
    </cfRule>
  </conditionalFormatting>
  <conditionalFormatting sqref="N1487">
    <cfRule type="expression" dxfId="597" priority="10629">
      <formula>AND(N$1487&lt;&gt;0,N$1487&lt;&gt;"")</formula>
    </cfRule>
    <cfRule type="expression" dxfId="596" priority="10630" stopIfTrue="1">
      <formula>N$1488&lt;&gt;"√"</formula>
    </cfRule>
  </conditionalFormatting>
  <conditionalFormatting sqref="K1489">
    <cfRule type="expression" dxfId="595" priority="10631">
      <formula>AND($K$1489&lt;&gt;0,$K$1489&lt;&gt;"")</formula>
    </cfRule>
    <cfRule type="expression" dxfId="594" priority="10632" stopIfTrue="1">
      <formula>$L$1489&lt;&gt;"√"</formula>
    </cfRule>
  </conditionalFormatting>
  <conditionalFormatting sqref="H1075">
    <cfRule type="expression" dxfId="593" priority="10634">
      <formula>AND(H$1075&lt;&gt;0,H$1075&lt;&gt;"")</formula>
    </cfRule>
    <cfRule type="expression" dxfId="592" priority="10635" stopIfTrue="1">
      <formula>H$1076&lt;&gt;"√"</formula>
    </cfRule>
  </conditionalFormatting>
  <conditionalFormatting sqref="I1075">
    <cfRule type="expression" dxfId="591" priority="10636">
      <formula>AND(I$1075&lt;&gt;0,I$1075&lt;&gt;"")</formula>
    </cfRule>
    <cfRule type="expression" dxfId="590" priority="10637" stopIfTrue="1">
      <formula>I$1076&lt;&gt;"√"</formula>
    </cfRule>
  </conditionalFormatting>
  <conditionalFormatting sqref="K1077">
    <cfRule type="expression" dxfId="589" priority="10638">
      <formula>AND($K$1077&lt;&gt;0,$K$1077&lt;&gt;"")</formula>
    </cfRule>
    <cfRule type="expression" dxfId="588" priority="10639" stopIfTrue="1">
      <formula>$L$1077&lt;&gt;"√"</formula>
    </cfRule>
  </conditionalFormatting>
  <conditionalFormatting sqref="H1097">
    <cfRule type="expression" dxfId="587" priority="10640">
      <formula>AND(H$1097&lt;&gt;0,H$1097&lt;&gt;"")</formula>
    </cfRule>
    <cfRule type="expression" dxfId="586" priority="10641" stopIfTrue="1">
      <formula>H$1098&lt;&gt;"√"</formula>
    </cfRule>
  </conditionalFormatting>
  <conditionalFormatting sqref="I1097">
    <cfRule type="expression" dxfId="585" priority="10642">
      <formula>AND(I$1097&lt;&gt;0,I$1097&lt;&gt;"")</formula>
    </cfRule>
    <cfRule type="expression" dxfId="584" priority="10643" stopIfTrue="1">
      <formula>I$1098&lt;&gt;"√"</formula>
    </cfRule>
  </conditionalFormatting>
  <conditionalFormatting sqref="K1099">
    <cfRule type="expression" dxfId="583" priority="10644">
      <formula>AND($K$1099&lt;&gt;0,$K$1099&lt;&gt;"")</formula>
    </cfRule>
    <cfRule type="expression" dxfId="582" priority="10645" stopIfTrue="1">
      <formula>$L$1099&lt;&gt;"√"</formula>
    </cfRule>
  </conditionalFormatting>
  <conditionalFormatting sqref="H1163">
    <cfRule type="expression" dxfId="581" priority="10646">
      <formula>AND(H$1163&lt;&gt;0,H$1163&lt;&gt;"")</formula>
    </cfRule>
    <cfRule type="expression" dxfId="580" priority="10647" stopIfTrue="1">
      <formula>H$1164&lt;&gt;"√"</formula>
    </cfRule>
  </conditionalFormatting>
  <conditionalFormatting sqref="I1163">
    <cfRule type="expression" dxfId="579" priority="10648">
      <formula>AND(I$1163&lt;&gt;0,I$1163&lt;&gt;"")</formula>
    </cfRule>
    <cfRule type="expression" dxfId="578" priority="10649" stopIfTrue="1">
      <formula>I$1164&lt;&gt;"√"</formula>
    </cfRule>
  </conditionalFormatting>
  <conditionalFormatting sqref="K1165">
    <cfRule type="expression" dxfId="577" priority="10650">
      <formula>AND($K$1165&lt;&gt;0,$K$1165&lt;&gt;"")</formula>
    </cfRule>
    <cfRule type="expression" dxfId="576" priority="10651" stopIfTrue="1">
      <formula>$L$1165&lt;&gt;"√"</formula>
    </cfRule>
  </conditionalFormatting>
  <conditionalFormatting sqref="H1185">
    <cfRule type="expression" dxfId="575" priority="10652">
      <formula>AND(H$1185&lt;&gt;0,H$1185&lt;&gt;"")</formula>
    </cfRule>
    <cfRule type="expression" dxfId="574" priority="10653" stopIfTrue="1">
      <formula>H$1186&lt;&gt;"√"</formula>
    </cfRule>
  </conditionalFormatting>
  <conditionalFormatting sqref="I1185">
    <cfRule type="expression" dxfId="573" priority="10654">
      <formula>AND(I$1185&lt;&gt;0,I$1185&lt;&gt;"")</formula>
    </cfRule>
    <cfRule type="expression" dxfId="572" priority="10655" stopIfTrue="1">
      <formula>I$1186&lt;&gt;"√"</formula>
    </cfRule>
  </conditionalFormatting>
  <conditionalFormatting sqref="K1187">
    <cfRule type="expression" dxfId="571" priority="10656">
      <formula>AND($K$1187&lt;&gt;0,$K$1187&lt;&gt;"")</formula>
    </cfRule>
    <cfRule type="expression" dxfId="570" priority="10657" stopIfTrue="1">
      <formula>$L$1187&lt;&gt;"√"</formula>
    </cfRule>
  </conditionalFormatting>
  <conditionalFormatting sqref="H1251">
    <cfRule type="expression" dxfId="569" priority="10658">
      <formula>AND(H$1251&lt;&gt;0,H$1251&lt;&gt;"")</formula>
    </cfRule>
    <cfRule type="expression" dxfId="568" priority="10659" stopIfTrue="1">
      <formula>H$1252&lt;&gt;"√"</formula>
    </cfRule>
  </conditionalFormatting>
  <conditionalFormatting sqref="I1251">
    <cfRule type="expression" dxfId="567" priority="10660">
      <formula>AND(I$1251&lt;&gt;0,I$1251&lt;&gt;"")</formula>
    </cfRule>
    <cfRule type="expression" dxfId="566" priority="10661" stopIfTrue="1">
      <formula>I$1252&lt;&gt;"√"</formula>
    </cfRule>
  </conditionalFormatting>
  <conditionalFormatting sqref="K1253">
    <cfRule type="expression" dxfId="565" priority="10662">
      <formula>AND($K$1253&lt;&gt;0,$K$1253&lt;&gt;"")</formula>
    </cfRule>
    <cfRule type="expression" dxfId="564" priority="10663" stopIfTrue="1">
      <formula>$L$1253&lt;&gt;"√"</formula>
    </cfRule>
  </conditionalFormatting>
  <conditionalFormatting sqref="H1273">
    <cfRule type="expression" dxfId="563" priority="10664">
      <formula>AND(H$1273&lt;&gt;0,H$1273&lt;&gt;"")</formula>
    </cfRule>
    <cfRule type="expression" dxfId="562" priority="10665" stopIfTrue="1">
      <formula>H$1274&lt;&gt;"√"</formula>
    </cfRule>
  </conditionalFormatting>
  <conditionalFormatting sqref="I1273">
    <cfRule type="expression" dxfId="561" priority="10666">
      <formula>AND(I$1273&lt;&gt;0,I$1273&lt;&gt;"")</formula>
    </cfRule>
    <cfRule type="expression" dxfId="560" priority="10667" stopIfTrue="1">
      <formula>I$1274&lt;&gt;"√"</formula>
    </cfRule>
  </conditionalFormatting>
  <conditionalFormatting sqref="K1275">
    <cfRule type="expression" dxfId="559" priority="10668">
      <formula>AND($K$1275&lt;&gt;0,$K$1275&lt;&gt;"")</formula>
    </cfRule>
    <cfRule type="expression" dxfId="558" priority="10669" stopIfTrue="1">
      <formula>$L$1275&lt;&gt;"√"</formula>
    </cfRule>
  </conditionalFormatting>
  <conditionalFormatting sqref="H1344">
    <cfRule type="expression" dxfId="557" priority="10670">
      <formula>AND(H$1344&lt;&gt;0,H$1344&lt;&gt;"")</formula>
    </cfRule>
    <cfRule type="expression" dxfId="556" priority="10671" stopIfTrue="1">
      <formula>H$1345&lt;&gt;"√"</formula>
    </cfRule>
  </conditionalFormatting>
  <conditionalFormatting sqref="I1344">
    <cfRule type="expression" dxfId="555" priority="10672">
      <formula>AND(I$1344&lt;&gt;0,I$1344&lt;&gt;"")</formula>
    </cfRule>
    <cfRule type="expression" dxfId="554" priority="10673" stopIfTrue="1">
      <formula>I$1345&lt;&gt;"√"</formula>
    </cfRule>
  </conditionalFormatting>
  <conditionalFormatting sqref="K1346">
    <cfRule type="expression" dxfId="553" priority="10674">
      <formula>AND($K$1346&lt;&gt;0,$K$1346&lt;&gt;"")</formula>
    </cfRule>
    <cfRule type="expression" dxfId="552" priority="10675" stopIfTrue="1">
      <formula>$L$1346&lt;&gt;"√"</formula>
    </cfRule>
  </conditionalFormatting>
  <conditionalFormatting sqref="H1383">
    <cfRule type="expression" dxfId="551" priority="10676">
      <formula>AND(H$1383&lt;&gt;0,H$1383&lt;&gt;"")</formula>
    </cfRule>
    <cfRule type="expression" dxfId="550" priority="10677" stopIfTrue="1">
      <formula>H$1384&lt;&gt;"√"</formula>
    </cfRule>
  </conditionalFormatting>
  <conditionalFormatting sqref="J1383">
    <cfRule type="expression" dxfId="549" priority="10678">
      <formula>AND(J$1383&lt;&gt;0,J$1383&lt;&gt;"")</formula>
    </cfRule>
    <cfRule type="expression" dxfId="548" priority="10679" stopIfTrue="1">
      <formula>J$1384&lt;&gt;"√"</formula>
    </cfRule>
  </conditionalFormatting>
  <conditionalFormatting sqref="L1383">
    <cfRule type="expression" dxfId="547" priority="10680">
      <formula>AND(L$1383&lt;&gt;0,L$1383&lt;&gt;"")</formula>
    </cfRule>
    <cfRule type="expression" dxfId="546" priority="10681" stopIfTrue="1">
      <formula>L$1384&lt;&gt;"√"</formula>
    </cfRule>
  </conditionalFormatting>
  <conditionalFormatting sqref="K1385">
    <cfRule type="expression" dxfId="545" priority="10682">
      <formula>AND($K$1385&lt;&gt;0,$K$1385&lt;&gt;"")</formula>
    </cfRule>
    <cfRule type="expression" dxfId="544" priority="10683" stopIfTrue="1">
      <formula>$L$1385&lt;&gt;"√"</formula>
    </cfRule>
  </conditionalFormatting>
  <conditionalFormatting sqref="H1405">
    <cfRule type="expression" dxfId="543" priority="10684">
      <formula>AND(H$1405&lt;&gt;0,H$1405&lt;&gt;"")</formula>
    </cfRule>
    <cfRule type="expression" dxfId="542" priority="10685" stopIfTrue="1">
      <formula>H$1406&lt;&gt;"√"</formula>
    </cfRule>
  </conditionalFormatting>
  <conditionalFormatting sqref="J1405">
    <cfRule type="expression" dxfId="541" priority="10686">
      <formula>AND(J$1405&lt;&gt;0,J$1405&lt;&gt;"")</formula>
    </cfRule>
    <cfRule type="expression" dxfId="540" priority="10687" stopIfTrue="1">
      <formula>J$1406&lt;&gt;"√"</formula>
    </cfRule>
  </conditionalFormatting>
  <conditionalFormatting sqref="L1405">
    <cfRule type="expression" dxfId="539" priority="10688">
      <formula>AND(L$1405&lt;&gt;0,L$1405&lt;&gt;"")</formula>
    </cfRule>
    <cfRule type="expression" dxfId="538" priority="10689" stopIfTrue="1">
      <formula>L$1406&lt;&gt;"√"</formula>
    </cfRule>
  </conditionalFormatting>
  <conditionalFormatting sqref="K1407">
    <cfRule type="expression" dxfId="537" priority="10690">
      <formula>AND($K$1407&lt;&gt;0,$K$1407&lt;&gt;"")</formula>
    </cfRule>
    <cfRule type="expression" dxfId="536" priority="10691" stopIfTrue="1">
      <formula>$L$1407&lt;&gt;"√"</formula>
    </cfRule>
  </conditionalFormatting>
  <conditionalFormatting sqref="H1424">
    <cfRule type="expression" dxfId="535" priority="10692">
      <formula>AND(H$1424&lt;&gt;0,H$1424&lt;&gt;"")</formula>
    </cfRule>
    <cfRule type="expression" dxfId="534" priority="10693" stopIfTrue="1">
      <formula>H$1425&lt;&gt;"√"</formula>
    </cfRule>
  </conditionalFormatting>
  <conditionalFormatting sqref="I1424">
    <cfRule type="expression" dxfId="533" priority="10694">
      <formula>AND(I$1424&lt;&gt;0,I$1424&lt;&gt;"")</formula>
    </cfRule>
    <cfRule type="expression" dxfId="532" priority="10695" stopIfTrue="1">
      <formula>I$1425&lt;&gt;"√"</formula>
    </cfRule>
  </conditionalFormatting>
  <conditionalFormatting sqref="K1426">
    <cfRule type="expression" dxfId="531" priority="10696">
      <formula>AND($K$1426&lt;&gt;0,$K$1426&lt;&gt;"")</formula>
    </cfRule>
    <cfRule type="expression" dxfId="530" priority="10697" stopIfTrue="1">
      <formula>$L$1426&lt;&gt;"√"</formula>
    </cfRule>
  </conditionalFormatting>
  <conditionalFormatting sqref="H1445">
    <cfRule type="expression" dxfId="529" priority="10698">
      <formula>AND(H$1445&lt;&gt;0,H$1445&lt;&gt;"")</formula>
    </cfRule>
    <cfRule type="expression" dxfId="528" priority="10699" stopIfTrue="1">
      <formula>H$1446&lt;&gt;"√"</formula>
    </cfRule>
  </conditionalFormatting>
  <conditionalFormatting sqref="J1445">
    <cfRule type="expression" dxfId="527" priority="10700">
      <formula>AND(J$1445&lt;&gt;0,J$1445&lt;&gt;"")</formula>
    </cfRule>
    <cfRule type="expression" dxfId="526" priority="10701" stopIfTrue="1">
      <formula>J$1446&lt;&gt;"√"</formula>
    </cfRule>
  </conditionalFormatting>
  <conditionalFormatting sqref="K1447">
    <cfRule type="expression" dxfId="525" priority="10702">
      <formula>AND($K$1447&lt;&gt;0,$K$1447&lt;&gt;"")</formula>
    </cfRule>
    <cfRule type="expression" dxfId="524" priority="10703" stopIfTrue="1">
      <formula>$L$1447&lt;&gt;"√"</formula>
    </cfRule>
  </conditionalFormatting>
  <conditionalFormatting sqref="H1009">
    <cfRule type="expression" dxfId="523" priority="10704">
      <formula>AND(H$1009&lt;&gt;0,H$1009&lt;&gt;"")</formula>
    </cfRule>
    <cfRule type="expression" dxfId="522" priority="10705" stopIfTrue="1">
      <formula>H$1010&lt;&gt;"√"</formula>
    </cfRule>
  </conditionalFormatting>
  <conditionalFormatting sqref="I1009">
    <cfRule type="expression" dxfId="521" priority="10706">
      <formula>AND(I$1009&lt;&gt;0,I$1009&lt;&gt;"")</formula>
    </cfRule>
    <cfRule type="expression" dxfId="520" priority="10707" stopIfTrue="1">
      <formula>I$1010&lt;&gt;"√"</formula>
    </cfRule>
  </conditionalFormatting>
  <conditionalFormatting sqref="K1011">
    <cfRule type="expression" dxfId="519" priority="10708">
      <formula>AND($K$1011&lt;&gt;0,$K$1011&lt;&gt;"")</formula>
    </cfRule>
    <cfRule type="expression" dxfId="518" priority="10709" stopIfTrue="1">
      <formula>$L$1011&lt;&gt;"√"</formula>
    </cfRule>
  </conditionalFormatting>
  <conditionalFormatting sqref="H1678">
    <cfRule type="expression" dxfId="517" priority="10710">
      <formula>AND(H$1678&lt;&gt;0,H$1678&lt;&gt;"")</formula>
    </cfRule>
    <cfRule type="expression" dxfId="516" priority="10711" stopIfTrue="1">
      <formula>H$1679&lt;&gt;"√"</formula>
    </cfRule>
  </conditionalFormatting>
  <conditionalFormatting sqref="K1680">
    <cfRule type="expression" dxfId="515" priority="10712">
      <formula>AND($K$1680&lt;&gt;0,$K$1680&lt;&gt;"")</formula>
    </cfRule>
    <cfRule type="expression" dxfId="514" priority="10713" stopIfTrue="1">
      <formula>$L$1680&lt;&gt;"√"</formula>
    </cfRule>
  </conditionalFormatting>
  <conditionalFormatting sqref="K1695">
    <cfRule type="expression" dxfId="513" priority="10714">
      <formula>AND(K$1695&lt;&gt;0,K$1695&lt;&gt;"")</formula>
    </cfRule>
    <cfRule type="expression" dxfId="512" priority="10715" stopIfTrue="1">
      <formula>K$1696&lt;&gt;"√"</formula>
    </cfRule>
  </conditionalFormatting>
  <conditionalFormatting sqref="L1695">
    <cfRule type="expression" dxfId="511" priority="10716">
      <formula>AND(L$1695&lt;&gt;0,L$1695&lt;&gt;"")</formula>
    </cfRule>
    <cfRule type="expression" dxfId="510" priority="10717" stopIfTrue="1">
      <formula>L$1696&lt;&gt;"√"</formula>
    </cfRule>
  </conditionalFormatting>
  <conditionalFormatting sqref="M1695">
    <cfRule type="expression" dxfId="509" priority="10718">
      <formula>AND(M$1695&lt;&gt;0,M$1695&lt;&gt;"")</formula>
    </cfRule>
    <cfRule type="expression" dxfId="508" priority="10719" stopIfTrue="1">
      <formula>M$1696&lt;&gt;"√"</formula>
    </cfRule>
  </conditionalFormatting>
  <conditionalFormatting sqref="K1697">
    <cfRule type="expression" dxfId="507" priority="10720">
      <formula>AND($K$1697&lt;&gt;0,$K$1697&lt;&gt;"")</formula>
    </cfRule>
    <cfRule type="expression" dxfId="506" priority="10721" stopIfTrue="1">
      <formula>$L$1697&lt;&gt;"√"</formula>
    </cfRule>
  </conditionalFormatting>
  <conditionalFormatting sqref="I1712">
    <cfRule type="expression" dxfId="505" priority="10722">
      <formula>AND(I$1712&lt;&gt;0,I$1712&lt;&gt;"")</formula>
    </cfRule>
    <cfRule type="expression" dxfId="504" priority="10723" stopIfTrue="1">
      <formula>I$1713&lt;&gt;"√"</formula>
    </cfRule>
  </conditionalFormatting>
  <conditionalFormatting sqref="L1712">
    <cfRule type="expression" dxfId="503" priority="10724">
      <formula>AND(L$1712&lt;&gt;0,L$1712&lt;&gt;"")</formula>
    </cfRule>
    <cfRule type="expression" dxfId="502" priority="10725" stopIfTrue="1">
      <formula>L$1713&lt;&gt;"√"</formula>
    </cfRule>
  </conditionalFormatting>
  <conditionalFormatting sqref="M1712">
    <cfRule type="expression" dxfId="501" priority="10726">
      <formula>AND(M$1712&lt;&gt;0,M$1712&lt;&gt;"")</formula>
    </cfRule>
    <cfRule type="expression" dxfId="500" priority="10727" stopIfTrue="1">
      <formula>M$1713&lt;&gt;"√"</formula>
    </cfRule>
  </conditionalFormatting>
  <conditionalFormatting sqref="K1714">
    <cfRule type="expression" dxfId="499" priority="10728">
      <formula>AND($K$1714&lt;&gt;0,$K$1714&lt;&gt;"")</formula>
    </cfRule>
    <cfRule type="expression" dxfId="498" priority="10729" stopIfTrue="1">
      <formula>$L$1714&lt;&gt;"√"</formula>
    </cfRule>
  </conditionalFormatting>
  <conditionalFormatting sqref="H1865">
    <cfRule type="expression" dxfId="497" priority="10730">
      <formula>AND(H$1865&lt;&gt;0,H$1865&lt;&gt;"")</formula>
    </cfRule>
    <cfRule type="expression" dxfId="496" priority="10731" stopIfTrue="1">
      <formula>H$1866&lt;&gt;"√"</formula>
    </cfRule>
  </conditionalFormatting>
  <conditionalFormatting sqref="I1865">
    <cfRule type="expression" dxfId="495" priority="10732">
      <formula>AND(I$1865&lt;&gt;0,I$1865&lt;&gt;"")</formula>
    </cfRule>
    <cfRule type="expression" dxfId="494" priority="10733" stopIfTrue="1">
      <formula>I$1866&lt;&gt;"√"</formula>
    </cfRule>
  </conditionalFormatting>
  <conditionalFormatting sqref="J1865">
    <cfRule type="expression" dxfId="493" priority="10734">
      <formula>AND(J$1865&lt;&gt;0,J$1865&lt;&gt;"")</formula>
    </cfRule>
    <cfRule type="expression" dxfId="492" priority="10735" stopIfTrue="1">
      <formula>J$1866&lt;&gt;"√"</formula>
    </cfRule>
  </conditionalFormatting>
  <conditionalFormatting sqref="K1867">
    <cfRule type="expression" dxfId="491" priority="10736">
      <formula>AND($K$1867&lt;&gt;0,$K$1867&lt;&gt;"")</formula>
    </cfRule>
    <cfRule type="expression" dxfId="490" priority="10737" stopIfTrue="1">
      <formula>$L$1867&lt;&gt;"√"</formula>
    </cfRule>
  </conditionalFormatting>
  <conditionalFormatting sqref="H1923">
    <cfRule type="expression" dxfId="489" priority="10738">
      <formula>AND(H$1923&lt;&gt;0,H$1923&lt;&gt;"")</formula>
    </cfRule>
    <cfRule type="expression" dxfId="488" priority="10739" stopIfTrue="1">
      <formula>H$1924&lt;&gt;"√"</formula>
    </cfRule>
  </conditionalFormatting>
  <conditionalFormatting sqref="N1923">
    <cfRule type="expression" dxfId="487" priority="10740">
      <formula>AND(N$1923&lt;&gt;0,N$1923&lt;&gt;"")</formula>
    </cfRule>
    <cfRule type="expression" dxfId="486" priority="10741" stopIfTrue="1">
      <formula>N$1924&lt;&gt;"√"</formula>
    </cfRule>
  </conditionalFormatting>
  <conditionalFormatting sqref="K1925">
    <cfRule type="expression" dxfId="485" priority="10742">
      <formula>AND($K$1925&lt;&gt;0,$K$1925&lt;&gt;"")</formula>
    </cfRule>
    <cfRule type="expression" dxfId="484" priority="10743" stopIfTrue="1">
      <formula>$L$1925&lt;&gt;"√"</formula>
    </cfRule>
  </conditionalFormatting>
  <conditionalFormatting sqref="H2230">
    <cfRule type="expression" dxfId="483" priority="10745">
      <formula>AND(H$2230&lt;&gt;0,H$2230&lt;&gt;"")</formula>
    </cfRule>
    <cfRule type="expression" dxfId="482" priority="10746" stopIfTrue="1">
      <formula>H$2231&lt;&gt;"√"</formula>
    </cfRule>
  </conditionalFormatting>
  <conditionalFormatting sqref="I2230">
    <cfRule type="expression" dxfId="481" priority="10747">
      <formula>AND(I$2230&lt;&gt;0,I$2230&lt;&gt;"")</formula>
    </cfRule>
    <cfRule type="expression" dxfId="480" priority="10748" stopIfTrue="1">
      <formula>I$2231&lt;&gt;"√"</formula>
    </cfRule>
  </conditionalFormatting>
  <conditionalFormatting sqref="J2230">
    <cfRule type="expression" dxfId="479" priority="10749">
      <formula>AND(J$2230&lt;&gt;0,J$2230&lt;&gt;"")</formula>
    </cfRule>
    <cfRule type="expression" dxfId="478" priority="10750" stopIfTrue="1">
      <formula>J$2231&lt;&gt;"√"</formula>
    </cfRule>
  </conditionalFormatting>
  <conditionalFormatting sqref="K2232">
    <cfRule type="expression" dxfId="477" priority="10751">
      <formula>AND($K$2232&lt;&gt;0,$K$2232&lt;&gt;"")</formula>
    </cfRule>
    <cfRule type="expression" dxfId="476" priority="10752" stopIfTrue="1">
      <formula>$L$2232&lt;&gt;"√"</formula>
    </cfRule>
  </conditionalFormatting>
  <conditionalFormatting sqref="H2289">
    <cfRule type="expression" dxfId="475" priority="10754">
      <formula>AND(H$2289&lt;&gt;0,H$2289&lt;&gt;"")</formula>
    </cfRule>
    <cfRule type="expression" dxfId="474" priority="10755" stopIfTrue="1">
      <formula>H$2290&lt;&gt;"√"</formula>
    </cfRule>
  </conditionalFormatting>
  <conditionalFormatting sqref="J2289">
    <cfRule type="expression" dxfId="473" priority="10756">
      <formula>AND(J$2289&lt;&gt;0,J$2289&lt;&gt;"")</formula>
    </cfRule>
    <cfRule type="expression" dxfId="472" priority="10757" stopIfTrue="1">
      <formula>J$2290&lt;&gt;"√"</formula>
    </cfRule>
  </conditionalFormatting>
  <conditionalFormatting sqref="L2289">
    <cfRule type="expression" dxfId="471" priority="10758">
      <formula>AND(L$2289&lt;&gt;0,L$2289&lt;&gt;"")</formula>
    </cfRule>
    <cfRule type="expression" dxfId="470" priority="10759" stopIfTrue="1">
      <formula>L$2290&lt;&gt;"√"</formula>
    </cfRule>
  </conditionalFormatting>
  <conditionalFormatting sqref="K2291">
    <cfRule type="expression" dxfId="469" priority="10760">
      <formula>AND($K$2291&lt;&gt;0,$K$2291&lt;&gt;"")</formula>
    </cfRule>
    <cfRule type="expression" dxfId="468" priority="10761" stopIfTrue="1">
      <formula>$L$2291&lt;&gt;"√"</formula>
    </cfRule>
  </conditionalFormatting>
  <conditionalFormatting sqref="H2311">
    <cfRule type="expression" dxfId="467" priority="10762">
      <formula>AND(H$2311&lt;&gt;0,H$2311&lt;&gt;"")</formula>
    </cfRule>
    <cfRule type="expression" dxfId="466" priority="10763" stopIfTrue="1">
      <formula>H$2312&lt;&gt;"√"</formula>
    </cfRule>
  </conditionalFormatting>
  <conditionalFormatting sqref="I2311">
    <cfRule type="expression" dxfId="465" priority="10764">
      <formula>AND(I$2311&lt;&gt;0,I$2311&lt;&gt;"")</formula>
    </cfRule>
    <cfRule type="expression" dxfId="464" priority="10765" stopIfTrue="1">
      <formula>I$2312&lt;&gt;"√"</formula>
    </cfRule>
  </conditionalFormatting>
  <conditionalFormatting sqref="K2313">
    <cfRule type="expression" dxfId="463" priority="10766">
      <formula>AND($K$2313&lt;&gt;0,$K$2313&lt;&gt;"")</formula>
    </cfRule>
    <cfRule type="expression" dxfId="462" priority="10767" stopIfTrue="1">
      <formula>$L$2313&lt;&gt;"√"</formula>
    </cfRule>
  </conditionalFormatting>
  <conditionalFormatting sqref="H2345">
    <cfRule type="expression" dxfId="461" priority="10768">
      <formula>AND(H$2345&lt;&gt;0,H$2345&lt;&gt;"")</formula>
    </cfRule>
    <cfRule type="expression" dxfId="460" priority="10769" stopIfTrue="1">
      <formula>H$2346&lt;&gt;"√"</formula>
    </cfRule>
  </conditionalFormatting>
  <conditionalFormatting sqref="N2345">
    <cfRule type="expression" dxfId="459" priority="10770">
      <formula>AND(N$2345&lt;&gt;0,N$2345&lt;&gt;"")</formula>
    </cfRule>
    <cfRule type="expression" dxfId="458" priority="10771" stopIfTrue="1">
      <formula>N$2346&lt;&gt;"√"</formula>
    </cfRule>
  </conditionalFormatting>
  <conditionalFormatting sqref="K2347">
    <cfRule type="expression" dxfId="457" priority="10772">
      <formula>AND($K$2347&lt;&gt;0,$K$2347&lt;&gt;"")</formula>
    </cfRule>
    <cfRule type="expression" dxfId="456" priority="10773" stopIfTrue="1">
      <formula>$L$2347&lt;&gt;"√"</formula>
    </cfRule>
  </conditionalFormatting>
  <conditionalFormatting sqref="H2459">
    <cfRule type="expression" dxfId="455" priority="10774">
      <formula>AND(H$2459&lt;&gt;0,H$2459&lt;&gt;"")</formula>
    </cfRule>
    <cfRule type="expression" dxfId="454" priority="10775" stopIfTrue="1">
      <formula>H$2460&lt;&gt;"√"</formula>
    </cfRule>
  </conditionalFormatting>
  <conditionalFormatting sqref="K2459">
    <cfRule type="expression" dxfId="453" priority="10776">
      <formula>AND(K$2459&lt;&gt;0,K$2459&lt;&gt;"")</formula>
    </cfRule>
    <cfRule type="expression" dxfId="452" priority="10777" stopIfTrue="1">
      <formula>K$2460&lt;&gt;"√"</formula>
    </cfRule>
  </conditionalFormatting>
  <conditionalFormatting sqref="M2459">
    <cfRule type="expression" dxfId="451" priority="10778">
      <formula>AND(M$2459&lt;&gt;0,M$2459&lt;&gt;"")</formula>
    </cfRule>
    <cfRule type="expression" dxfId="450" priority="10779" stopIfTrue="1">
      <formula>M$2460&lt;&gt;"√"</formula>
    </cfRule>
  </conditionalFormatting>
  <conditionalFormatting sqref="K2461">
    <cfRule type="expression" dxfId="449" priority="10780">
      <formula>AND($K$2461&lt;&gt;0,$K$2461&lt;&gt;"")</formula>
    </cfRule>
    <cfRule type="expression" dxfId="448" priority="10781" stopIfTrue="1">
      <formula>$L$2461&lt;&gt;"√"</formula>
    </cfRule>
  </conditionalFormatting>
  <conditionalFormatting sqref="I2427">
    <cfRule type="expression" dxfId="447" priority="10782">
      <formula>AND(I$2427&lt;&gt;0,I$2427&lt;&gt;"")</formula>
    </cfRule>
    <cfRule type="expression" dxfId="446" priority="10783" stopIfTrue="1">
      <formula>I$2428&lt;&gt;"√"</formula>
    </cfRule>
  </conditionalFormatting>
  <conditionalFormatting sqref="J2427">
    <cfRule type="expression" dxfId="445" priority="10784">
      <formula>AND(J$2427&lt;&gt;0,J$2427&lt;&gt;"")</formula>
    </cfRule>
    <cfRule type="expression" dxfId="444" priority="10785" stopIfTrue="1">
      <formula>J$2428&lt;&gt;"√"</formula>
    </cfRule>
  </conditionalFormatting>
  <conditionalFormatting sqref="M2427">
    <cfRule type="expression" dxfId="443" priority="10786">
      <formula>AND(M$2427&lt;&gt;0,M$2427&lt;&gt;"")</formula>
    </cfRule>
    <cfRule type="expression" dxfId="442" priority="10787" stopIfTrue="1">
      <formula>M$2428&lt;&gt;"√"</formula>
    </cfRule>
  </conditionalFormatting>
  <conditionalFormatting sqref="K2429">
    <cfRule type="expression" dxfId="441" priority="10788">
      <formula>AND($K$2429&lt;&gt;0,$K$2429&lt;&gt;"")</formula>
    </cfRule>
    <cfRule type="expression" dxfId="440" priority="10789" stopIfTrue="1">
      <formula>$L$2429&lt;&gt;"√"</formula>
    </cfRule>
  </conditionalFormatting>
  <conditionalFormatting sqref="H2893">
    <cfRule type="expression" dxfId="439" priority="10792">
      <formula>AND(H$2893&lt;&gt;0,H$2893&lt;&gt;"")</formula>
    </cfRule>
    <cfRule type="expression" dxfId="438" priority="10793" stopIfTrue="1">
      <formula>H$2894&lt;&gt;"√"</formula>
    </cfRule>
  </conditionalFormatting>
  <conditionalFormatting sqref="I2893">
    <cfRule type="expression" dxfId="437" priority="10794">
      <formula>AND(I$2893&lt;&gt;0,I$2893&lt;&gt;"")</formula>
    </cfRule>
    <cfRule type="expression" dxfId="436" priority="10795" stopIfTrue="1">
      <formula>I$2894&lt;&gt;"√"</formula>
    </cfRule>
  </conditionalFormatting>
  <conditionalFormatting sqref="K2895">
    <cfRule type="expression" dxfId="435" priority="10796">
      <formula>AND($K$2895&lt;&gt;0,$K$2895&lt;&gt;"")</formula>
    </cfRule>
    <cfRule type="expression" dxfId="434" priority="10797" stopIfTrue="1">
      <formula>$L$2895&lt;&gt;"√"</formula>
    </cfRule>
  </conditionalFormatting>
  <conditionalFormatting sqref="H3471">
    <cfRule type="expression" dxfId="433" priority="10798">
      <formula>AND(H$3471&lt;&gt;0,H$3471&lt;&gt;"")</formula>
    </cfRule>
    <cfRule type="expression" dxfId="432" priority="10799" stopIfTrue="1">
      <formula>H$3472&lt;&gt;"√"</formula>
    </cfRule>
  </conditionalFormatting>
  <conditionalFormatting sqref="I3471">
    <cfRule type="expression" dxfId="431" priority="10800">
      <formula>AND(I$3471&lt;&gt;0,I$3471&lt;&gt;"")</formula>
    </cfRule>
    <cfRule type="expression" dxfId="430" priority="10801" stopIfTrue="1">
      <formula>I$3472&lt;&gt;"√"</formula>
    </cfRule>
  </conditionalFormatting>
  <conditionalFormatting sqref="K3473">
    <cfRule type="expression" dxfId="429" priority="10802">
      <formula>AND($K$3473&lt;&gt;0,$K$3473&lt;&gt;"")</formula>
    </cfRule>
    <cfRule type="expression" dxfId="428" priority="10803" stopIfTrue="1">
      <formula>$L$3473&lt;&gt;"√"</formula>
    </cfRule>
  </conditionalFormatting>
  <conditionalFormatting sqref="H3558">
    <cfRule type="expression" dxfId="427" priority="10804">
      <formula>AND(H$3558&lt;&gt;0,H$3558&lt;&gt;"")</formula>
    </cfRule>
    <cfRule type="expression" dxfId="426" priority="10805" stopIfTrue="1">
      <formula>H$3559&lt;&gt;"√"</formula>
    </cfRule>
  </conditionalFormatting>
  <conditionalFormatting sqref="I3558">
    <cfRule type="expression" dxfId="425" priority="10806">
      <formula>AND(I$3558&lt;&gt;0,I$3558&lt;&gt;"")</formula>
    </cfRule>
    <cfRule type="expression" dxfId="424" priority="10807" stopIfTrue="1">
      <formula>I$3559&lt;&gt;"√"</formula>
    </cfRule>
  </conditionalFormatting>
  <conditionalFormatting sqref="K3560">
    <cfRule type="expression" dxfId="423" priority="10808">
      <formula>AND($K$3560&lt;&gt;0,$K$3560&lt;&gt;"")</formula>
    </cfRule>
    <cfRule type="expression" dxfId="422" priority="10809" stopIfTrue="1">
      <formula>$L$3560&lt;&gt;"√"</formula>
    </cfRule>
  </conditionalFormatting>
  <conditionalFormatting sqref="G3548:G3553">
    <cfRule type="expression" dxfId="421" priority="10810">
      <formula>$D3548&gt;1</formula>
    </cfRule>
    <cfRule type="expression" dxfId="420" priority="10811">
      <formula>$C3548="%IN"</formula>
    </cfRule>
    <cfRule type="expression" dxfId="419" priority="10812" stopIfTrue="1">
      <formula>$E3548=0</formula>
    </cfRule>
  </conditionalFormatting>
  <conditionalFormatting sqref="H3657">
    <cfRule type="expression" dxfId="418" priority="10813">
      <formula>AND(H$3657&lt;&gt;0,H$3657&lt;&gt;"")</formula>
    </cfRule>
    <cfRule type="expression" dxfId="417" priority="10814" stopIfTrue="1">
      <formula>H$3658&lt;&gt;"√"</formula>
    </cfRule>
  </conditionalFormatting>
  <conditionalFormatting sqref="I3657">
    <cfRule type="expression" dxfId="416" priority="10815">
      <formula>AND(I$3657&lt;&gt;0,I$3657&lt;&gt;"")</formula>
    </cfRule>
    <cfRule type="expression" dxfId="415" priority="10816" stopIfTrue="1">
      <formula>I$3658&lt;&gt;"√"</formula>
    </cfRule>
  </conditionalFormatting>
  <conditionalFormatting sqref="J3657">
    <cfRule type="expression" dxfId="414" priority="10817">
      <formula>AND(J$3657&lt;&gt;0,J$3657&lt;&gt;"")</formula>
    </cfRule>
    <cfRule type="expression" dxfId="413" priority="10818" stopIfTrue="1">
      <formula>J$3658&lt;&gt;"√"</formula>
    </cfRule>
  </conditionalFormatting>
  <conditionalFormatting sqref="K3657">
    <cfRule type="expression" dxfId="412" priority="10819">
      <formula>AND(K$3657&lt;&gt;0,K$3657&lt;&gt;"")</formula>
    </cfRule>
    <cfRule type="expression" dxfId="411" priority="10820" stopIfTrue="1">
      <formula>K$3658&lt;&gt;"√"</formula>
    </cfRule>
  </conditionalFormatting>
  <conditionalFormatting sqref="K3659">
    <cfRule type="expression" dxfId="410" priority="10821">
      <formula>AND($K$3659&lt;&gt;0,$K$3659&lt;&gt;"")</formula>
    </cfRule>
    <cfRule type="expression" dxfId="409" priority="10822" stopIfTrue="1">
      <formula>$L$3659&lt;&gt;"√"</formula>
    </cfRule>
  </conditionalFormatting>
  <conditionalFormatting sqref="H3681">
    <cfRule type="expression" dxfId="408" priority="10823">
      <formula>AND(H$3681&lt;&gt;0,H$3681&lt;&gt;"")</formula>
    </cfRule>
    <cfRule type="expression" dxfId="407" priority="10824" stopIfTrue="1">
      <formula>H$3682&lt;&gt;"√"</formula>
    </cfRule>
  </conditionalFormatting>
  <conditionalFormatting sqref="I3681">
    <cfRule type="expression" dxfId="406" priority="10825">
      <formula>AND(I$3681&lt;&gt;0,I$3681&lt;&gt;"")</formula>
    </cfRule>
    <cfRule type="expression" dxfId="405" priority="10826" stopIfTrue="1">
      <formula>I$3682&lt;&gt;"√"</formula>
    </cfRule>
  </conditionalFormatting>
  <conditionalFormatting sqref="J3681">
    <cfRule type="expression" dxfId="404" priority="10827">
      <formula>AND(J$3681&lt;&gt;0,J$3681&lt;&gt;"")</formula>
    </cfRule>
    <cfRule type="expression" dxfId="403" priority="10828" stopIfTrue="1">
      <formula>J$3682&lt;&gt;"√"</formula>
    </cfRule>
  </conditionalFormatting>
  <conditionalFormatting sqref="K3681">
    <cfRule type="expression" dxfId="402" priority="10829">
      <formula>AND(K$3681&lt;&gt;0,K$3681&lt;&gt;"")</formula>
    </cfRule>
    <cfRule type="expression" dxfId="401" priority="10830" stopIfTrue="1">
      <formula>K$3682&lt;&gt;"√"</formula>
    </cfRule>
  </conditionalFormatting>
  <conditionalFormatting sqref="K3683">
    <cfRule type="expression" dxfId="400" priority="10831">
      <formula>AND($K$3683&lt;&gt;0,$K$3683&lt;&gt;"")</formula>
    </cfRule>
    <cfRule type="expression" dxfId="399" priority="10832" stopIfTrue="1">
      <formula>$L$3683&lt;&gt;"√"</formula>
    </cfRule>
  </conditionalFormatting>
  <conditionalFormatting sqref="H3856">
    <cfRule type="expression" dxfId="398" priority="10834">
      <formula>AND(H$3856&lt;&gt;0,H$3856&lt;&gt;"")</formula>
    </cfRule>
    <cfRule type="expression" dxfId="397" priority="10835" stopIfTrue="1">
      <formula>H$3857&lt;&gt;"√"</formula>
    </cfRule>
  </conditionalFormatting>
  <conditionalFormatting sqref="I3856">
    <cfRule type="expression" dxfId="396" priority="10836">
      <formula>AND(I$3856&lt;&gt;0,I$3856&lt;&gt;"")</formula>
    </cfRule>
    <cfRule type="expression" dxfId="395" priority="10837" stopIfTrue="1">
      <formula>I$3857&lt;&gt;"√"</formula>
    </cfRule>
  </conditionalFormatting>
  <conditionalFormatting sqref="K3858">
    <cfRule type="expression" dxfId="394" priority="10838">
      <formula>AND($K$3858&lt;&gt;0,$K$3858&lt;&gt;"")</formula>
    </cfRule>
    <cfRule type="expression" dxfId="393" priority="10839" stopIfTrue="1">
      <formula>$L$3858&lt;&gt;"√"</formula>
    </cfRule>
  </conditionalFormatting>
  <conditionalFormatting sqref="H4136">
    <cfRule type="expression" dxfId="392" priority="10840">
      <formula>AND(H$4136&lt;&gt;0,H$4136&lt;&gt;"")</formula>
    </cfRule>
    <cfRule type="expression" dxfId="391" priority="10841" stopIfTrue="1">
      <formula>H$4137&lt;&gt;"√"</formula>
    </cfRule>
  </conditionalFormatting>
  <conditionalFormatting sqref="I4136">
    <cfRule type="expression" dxfId="390" priority="10842">
      <formula>AND(I$4136&lt;&gt;0,I$4136&lt;&gt;"")</formula>
    </cfRule>
    <cfRule type="expression" dxfId="389" priority="10843" stopIfTrue="1">
      <formula>I$4137&lt;&gt;"√"</formula>
    </cfRule>
  </conditionalFormatting>
  <conditionalFormatting sqref="K4138">
    <cfRule type="expression" dxfId="388" priority="10844">
      <formula>AND($K$4138&lt;&gt;0,$K$4138&lt;&gt;"")</formula>
    </cfRule>
    <cfRule type="expression" dxfId="387" priority="10845" stopIfTrue="1">
      <formula>$L$4138&lt;&gt;"√"</formula>
    </cfRule>
  </conditionalFormatting>
  <conditionalFormatting sqref="H4286">
    <cfRule type="expression" dxfId="386" priority="10846">
      <formula>AND(H$4286&lt;&gt;0,H$4286&lt;&gt;"")</formula>
    </cfRule>
    <cfRule type="expression" dxfId="385" priority="10847" stopIfTrue="1">
      <formula>H$4287&lt;&gt;"√"</formula>
    </cfRule>
  </conditionalFormatting>
  <conditionalFormatting sqref="M4286">
    <cfRule type="expression" dxfId="384" priority="10848">
      <formula>AND(M$4286&lt;&gt;0,M$4286&lt;&gt;"")</formula>
    </cfRule>
    <cfRule type="expression" dxfId="383" priority="10849" stopIfTrue="1">
      <formula>M$4287&lt;&gt;"√"</formula>
    </cfRule>
  </conditionalFormatting>
  <conditionalFormatting sqref="K4288">
    <cfRule type="expression" dxfId="382" priority="10850">
      <formula>AND($K$4288&lt;&gt;0,$K$4288&lt;&gt;"")</formula>
    </cfRule>
    <cfRule type="expression" dxfId="381" priority="10851" stopIfTrue="1">
      <formula>$L$4288&lt;&gt;"√"</formula>
    </cfRule>
  </conditionalFormatting>
  <conditionalFormatting sqref="G4645">
    <cfRule type="expression" dxfId="380" priority="10860">
      <formula>$D4644&gt;1</formula>
    </cfRule>
    <cfRule type="expression" dxfId="379" priority="10861">
      <formula>$C4644="%IN"</formula>
    </cfRule>
    <cfRule type="expression" dxfId="378" priority="10862" stopIfTrue="1">
      <formula>$E4644=0</formula>
    </cfRule>
  </conditionalFormatting>
  <conditionalFormatting sqref="G4644">
    <cfRule type="expression" dxfId="377" priority="10867">
      <formula>$D4645&gt;1</formula>
    </cfRule>
    <cfRule type="expression" dxfId="376" priority="10868">
      <formula>$C4645="%IN"</formula>
    </cfRule>
    <cfRule type="expression" dxfId="375" priority="10869" stopIfTrue="1">
      <formula>$E4645=0</formula>
    </cfRule>
  </conditionalFormatting>
  <conditionalFormatting sqref="H4804">
    <cfRule type="expression" dxfId="374" priority="10870">
      <formula>AND(H$4804&lt;&gt;0,H$4804&lt;&gt;"")</formula>
    </cfRule>
    <cfRule type="expression" dxfId="373" priority="10871" stopIfTrue="1">
      <formula>H$4805&lt;&gt;"√"</formula>
    </cfRule>
  </conditionalFormatting>
  <conditionalFormatting sqref="K4806">
    <cfRule type="expression" dxfId="372" priority="10872">
      <formula>AND($K$4806&lt;&gt;0,$K$4806&lt;&gt;"")</formula>
    </cfRule>
    <cfRule type="expression" dxfId="371" priority="10873" stopIfTrue="1">
      <formula>$L$4806&lt;&gt;"√"</formula>
    </cfRule>
  </conditionalFormatting>
  <conditionalFormatting sqref="L777">
    <cfRule type="expression" dxfId="370" priority="10875" stopIfTrue="1">
      <formula>OR($L$777="F/S",$L$777="")</formula>
    </cfRule>
    <cfRule type="cellIs" dxfId="369" priority="10876" stopIfTrue="1" operator="notEqual">
      <formula>0</formula>
    </cfRule>
  </conditionalFormatting>
  <conditionalFormatting sqref="O777">
    <cfRule type="expression" dxfId="368" priority="10877" stopIfTrue="1">
      <formula>OR($O$777="F/S",$O$777="")</formula>
    </cfRule>
    <cfRule type="cellIs" dxfId="367" priority="10878" stopIfTrue="1" operator="notEqual">
      <formula>0</formula>
    </cfRule>
  </conditionalFormatting>
  <conditionalFormatting sqref="I777">
    <cfRule type="expression" dxfId="366" priority="69" stopIfTrue="1">
      <formula>$I777="适用"</formula>
    </cfRule>
    <cfRule type="expression" dxfId="365" priority="70" stopIfTrue="1">
      <formula>$I777="不适用"</formula>
    </cfRule>
  </conditionalFormatting>
  <conditionalFormatting sqref="Q777">
    <cfRule type="expression" dxfId="364" priority="68" stopIfTrue="1">
      <formula>$Q777="请输入"</formula>
    </cfRule>
  </conditionalFormatting>
  <conditionalFormatting sqref="L792:L794 L796:L803">
    <cfRule type="expression" dxfId="363" priority="10882" stopIfTrue="1">
      <formula>OR($L$792="F/S",$L$792="")</formula>
    </cfRule>
    <cfRule type="cellIs" dxfId="362" priority="10883" stopIfTrue="1" operator="notEqual">
      <formula>0</formula>
    </cfRule>
  </conditionalFormatting>
  <conditionalFormatting sqref="O792:O810">
    <cfRule type="expression" dxfId="361" priority="10884" stopIfTrue="1">
      <formula>OR($O$792="F/S",$O$792="")</formula>
    </cfRule>
    <cfRule type="cellIs" dxfId="360" priority="10885" stopIfTrue="1" operator="notEqual">
      <formula>0</formula>
    </cfRule>
  </conditionalFormatting>
  <conditionalFormatting sqref="I792">
    <cfRule type="expression" dxfId="359" priority="59" stopIfTrue="1">
      <formula>$I792="适用"</formula>
    </cfRule>
    <cfRule type="expression" dxfId="358" priority="60" stopIfTrue="1">
      <formula>$I792="不适用"</formula>
    </cfRule>
  </conditionalFormatting>
  <conditionalFormatting sqref="L811:L813 L816:L825">
    <cfRule type="expression" dxfId="357" priority="10889" stopIfTrue="1">
      <formula>OR($L$811="F/S",$L$811="")</formula>
    </cfRule>
    <cfRule type="cellIs" dxfId="356" priority="10890" stopIfTrue="1" operator="notEqual">
      <formula>0</formula>
    </cfRule>
  </conditionalFormatting>
  <conditionalFormatting sqref="O811:O832">
    <cfRule type="expression" dxfId="355" priority="10891" stopIfTrue="1">
      <formula>OR($O$811="F/S",$O$811="")</formula>
    </cfRule>
    <cfRule type="cellIs" dxfId="354" priority="10892" stopIfTrue="1" operator="notEqual">
      <formula>0</formula>
    </cfRule>
  </conditionalFormatting>
  <conditionalFormatting sqref="I811">
    <cfRule type="expression" dxfId="353" priority="49" stopIfTrue="1">
      <formula>$I811="适用"</formula>
    </cfRule>
    <cfRule type="expression" dxfId="352" priority="50" stopIfTrue="1">
      <formula>$I811="不适用"</formula>
    </cfRule>
  </conditionalFormatting>
  <conditionalFormatting sqref="L833:L835 L838:L847">
    <cfRule type="expression" dxfId="351" priority="10896" stopIfTrue="1">
      <formula>OR($L$833="F/S",$L$833="")</formula>
    </cfRule>
    <cfRule type="cellIs" dxfId="350" priority="10897" stopIfTrue="1" operator="notEqual">
      <formula>0</formula>
    </cfRule>
  </conditionalFormatting>
  <conditionalFormatting sqref="O833:O847">
    <cfRule type="expression" dxfId="349" priority="10898" stopIfTrue="1">
      <formula>OR($O$833="F/S",$O$833="")</formula>
    </cfRule>
    <cfRule type="cellIs" dxfId="348" priority="10899" stopIfTrue="1" operator="notEqual">
      <formula>0</formula>
    </cfRule>
  </conditionalFormatting>
  <conditionalFormatting sqref="I833">
    <cfRule type="expression" dxfId="347" priority="42" stopIfTrue="1">
      <formula>$I833="适用"</formula>
    </cfRule>
    <cfRule type="expression" dxfId="346" priority="43" stopIfTrue="1">
      <formula>$I833="不适用"</formula>
    </cfRule>
  </conditionalFormatting>
  <conditionalFormatting sqref="Q833:Q847">
    <cfRule type="expression" dxfId="345" priority="41" stopIfTrue="1">
      <formula>$Q833="请输入"</formula>
    </cfRule>
  </conditionalFormatting>
  <conditionalFormatting sqref="G711:G719">
    <cfRule type="expression" dxfId="344" priority="10915">
      <formula>$D711&gt;1</formula>
    </cfRule>
    <cfRule type="expression" dxfId="343" priority="10916">
      <formula>$C711="%IN"</formula>
    </cfRule>
    <cfRule type="expression" dxfId="342" priority="10917" stopIfTrue="1">
      <formula>$E711=0</formula>
    </cfRule>
  </conditionalFormatting>
  <conditionalFormatting sqref="G726:G731">
    <cfRule type="expression" dxfId="341" priority="10918">
      <formula>$D726&gt;1</formula>
    </cfRule>
    <cfRule type="expression" dxfId="340" priority="10919">
      <formula>$C726="%IN"</formula>
    </cfRule>
    <cfRule type="expression" dxfId="339" priority="10920" stopIfTrue="1">
      <formula>$E726=0</formula>
    </cfRule>
  </conditionalFormatting>
  <conditionalFormatting sqref="G745:G753">
    <cfRule type="expression" dxfId="338" priority="10921">
      <formula>$D745&gt;1</formula>
    </cfRule>
    <cfRule type="expression" dxfId="337" priority="10922">
      <formula>$C745="%IN"</formula>
    </cfRule>
    <cfRule type="expression" dxfId="336" priority="10923" stopIfTrue="1">
      <formula>$E745=0</formula>
    </cfRule>
  </conditionalFormatting>
  <conditionalFormatting sqref="G767:G775">
    <cfRule type="expression" dxfId="335" priority="10924">
      <formula>$D767&gt;1</formula>
    </cfRule>
    <cfRule type="expression" dxfId="334" priority="10925">
      <formula>$C767="%IN"</formula>
    </cfRule>
    <cfRule type="expression" dxfId="333" priority="10926" stopIfTrue="1">
      <formula>$E767=0</formula>
    </cfRule>
  </conditionalFormatting>
  <conditionalFormatting sqref="G782:G790">
    <cfRule type="expression" dxfId="332" priority="10927">
      <formula>$D782&gt;1</formula>
    </cfRule>
    <cfRule type="expression" dxfId="331" priority="10928">
      <formula>$C782="%IN"</formula>
    </cfRule>
    <cfRule type="expression" dxfId="330" priority="10929" stopIfTrue="1">
      <formula>$E782=0</formula>
    </cfRule>
  </conditionalFormatting>
  <conditionalFormatting sqref="G797:G802">
    <cfRule type="expression" dxfId="329" priority="10930">
      <formula>$D797&gt;1</formula>
    </cfRule>
    <cfRule type="expression" dxfId="328" priority="10931">
      <formula>$C797="%IN"</formula>
    </cfRule>
    <cfRule type="expression" dxfId="327" priority="10932" stopIfTrue="1">
      <formula>$E797=0</formula>
    </cfRule>
  </conditionalFormatting>
  <conditionalFormatting sqref="G816:G824">
    <cfRule type="expression" dxfId="326" priority="10933">
      <formula>$D816&gt;1</formula>
    </cfRule>
    <cfRule type="expression" dxfId="325" priority="10934">
      <formula>$C816="%IN"</formula>
    </cfRule>
    <cfRule type="expression" dxfId="324" priority="10935" stopIfTrue="1">
      <formula>$E816=0</formula>
    </cfRule>
  </conditionalFormatting>
  <conditionalFormatting sqref="G838:G846">
    <cfRule type="expression" dxfId="323" priority="10936">
      <formula>$D838&gt;1</formula>
    </cfRule>
    <cfRule type="expression" dxfId="322" priority="10937">
      <formula>$C838="%IN"</formula>
    </cfRule>
    <cfRule type="expression" dxfId="321" priority="10938" stopIfTrue="1">
      <formula>$E838=0</formula>
    </cfRule>
  </conditionalFormatting>
  <conditionalFormatting sqref="J736">
    <cfRule type="expression" dxfId="320" priority="10939">
      <formula>AND(J$736&lt;&gt;0,J$736&lt;&gt;"")</formula>
    </cfRule>
    <cfRule type="expression" dxfId="319" priority="10940" stopIfTrue="1">
      <formula>J$737&lt;&gt;"√"</formula>
    </cfRule>
  </conditionalFormatting>
  <conditionalFormatting sqref="K738">
    <cfRule type="expression" dxfId="318" priority="10941">
      <formula>AND($K$738&lt;&gt;0,$K$738&lt;&gt;"")</formula>
    </cfRule>
    <cfRule type="expression" dxfId="317" priority="10942" stopIfTrue="1">
      <formula>$L$738&lt;&gt;"√"</formula>
    </cfRule>
  </conditionalFormatting>
  <conditionalFormatting sqref="J758">
    <cfRule type="expression" dxfId="316" priority="10943">
      <formula>AND(J$758&lt;&gt;0,J$758&lt;&gt;"")</formula>
    </cfRule>
    <cfRule type="expression" dxfId="315" priority="10944" stopIfTrue="1">
      <formula>J$759&lt;&gt;"√"</formula>
    </cfRule>
  </conditionalFormatting>
  <conditionalFormatting sqref="K760">
    <cfRule type="expression" dxfId="314" priority="10945">
      <formula>AND($K$760&lt;&gt;0,$K$760&lt;&gt;"")</formula>
    </cfRule>
    <cfRule type="expression" dxfId="313" priority="10946" stopIfTrue="1">
      <formula>$L$760&lt;&gt;"√"</formula>
    </cfRule>
  </conditionalFormatting>
  <conditionalFormatting sqref="J807">
    <cfRule type="expression" dxfId="312" priority="10947">
      <formula>AND(J$807&lt;&gt;0,J$807&lt;&gt;"")</formula>
    </cfRule>
    <cfRule type="expression" dxfId="311" priority="10948" stopIfTrue="1">
      <formula>J$808&lt;&gt;"√"</formula>
    </cfRule>
  </conditionalFormatting>
  <conditionalFormatting sqref="K809">
    <cfRule type="expression" dxfId="310" priority="10949">
      <formula>AND($K$809&lt;&gt;0,$K$809&lt;&gt;"")</formula>
    </cfRule>
    <cfRule type="expression" dxfId="309" priority="10950" stopIfTrue="1">
      <formula>$L$809&lt;&gt;"√"</formula>
    </cfRule>
  </conditionalFormatting>
  <conditionalFormatting sqref="J829">
    <cfRule type="expression" dxfId="308" priority="10951">
      <formula>AND(J$829&lt;&gt;0,J$829&lt;&gt;"")</formula>
    </cfRule>
    <cfRule type="expression" dxfId="307" priority="10952" stopIfTrue="1">
      <formula>J$830&lt;&gt;"√"</formula>
    </cfRule>
  </conditionalFormatting>
  <conditionalFormatting sqref="K831">
    <cfRule type="expression" dxfId="306" priority="10953">
      <formula>AND($K$831&lt;&gt;0,$K$831&lt;&gt;"")</formula>
    </cfRule>
    <cfRule type="expression" dxfId="305" priority="10954" stopIfTrue="1">
      <formula>$L$831&lt;&gt;"√"</formula>
    </cfRule>
  </conditionalFormatting>
  <conditionalFormatting sqref="G1966:G1969">
    <cfRule type="expression" dxfId="304" priority="10955">
      <formula>$D1966&gt;1</formula>
    </cfRule>
    <cfRule type="expression" dxfId="303" priority="10956">
      <formula>$C1966="%IN"</formula>
    </cfRule>
    <cfRule type="expression" dxfId="302" priority="10957" stopIfTrue="1">
      <formula>$E1966=0</formula>
    </cfRule>
  </conditionalFormatting>
  <conditionalFormatting sqref="G2066:G2070">
    <cfRule type="expression" dxfId="301" priority="10958">
      <formula>$D2066&gt;1</formula>
    </cfRule>
    <cfRule type="expression" dxfId="300" priority="10959">
      <formula>$C2066="%IN"</formula>
    </cfRule>
    <cfRule type="expression" dxfId="299" priority="10960" stopIfTrue="1">
      <formula>$E2066=0</formula>
    </cfRule>
  </conditionalFormatting>
  <conditionalFormatting sqref="G2082:G2090">
    <cfRule type="expression" dxfId="298" priority="10961">
      <formula>$D2082&gt;1</formula>
    </cfRule>
    <cfRule type="expression" dxfId="297" priority="10962">
      <formula>$C2082="%IN"</formula>
    </cfRule>
    <cfRule type="expression" dxfId="296" priority="10963" stopIfTrue="1">
      <formula>$E2082=0</formula>
    </cfRule>
  </conditionalFormatting>
  <conditionalFormatting sqref="G2095:G2103">
    <cfRule type="expression" dxfId="295" priority="10964">
      <formula>$D2095&gt;1</formula>
    </cfRule>
    <cfRule type="expression" dxfId="294" priority="10965">
      <formula>$C2095="%IN"</formula>
    </cfRule>
    <cfRule type="expression" dxfId="293" priority="10966" stopIfTrue="1">
      <formula>$E2095=0</formula>
    </cfRule>
  </conditionalFormatting>
  <conditionalFormatting sqref="G2108:G2116">
    <cfRule type="expression" dxfId="292" priority="10967">
      <formula>$D2108&gt;1</formula>
    </cfRule>
    <cfRule type="expression" dxfId="291" priority="10968">
      <formula>$C2108="%IN"</formula>
    </cfRule>
    <cfRule type="expression" dxfId="290" priority="10969" stopIfTrue="1">
      <formula>$E2108=0</formula>
    </cfRule>
  </conditionalFormatting>
  <conditionalFormatting sqref="N2133">
    <cfRule type="expression" dxfId="289" priority="10970">
      <formula>AND(N$2133&lt;&gt;0,N$2133&lt;&gt;"")</formula>
    </cfRule>
    <cfRule type="expression" dxfId="288" priority="10971" stopIfTrue="1">
      <formula>N$2134&lt;&gt;"√"</formula>
    </cfRule>
  </conditionalFormatting>
  <conditionalFormatting sqref="K2135">
    <cfRule type="expression" dxfId="287" priority="10972">
      <formula>AND($K$2135&lt;&gt;0,$K$2135&lt;&gt;"")</formula>
    </cfRule>
    <cfRule type="expression" dxfId="286" priority="10973" stopIfTrue="1">
      <formula>$L$2135&lt;&gt;"√"</formula>
    </cfRule>
  </conditionalFormatting>
  <conditionalFormatting sqref="I2075">
    <cfRule type="expression" dxfId="285" priority="10974">
      <formula>AND(I$2075&lt;&gt;0,I$2075&lt;&gt;"")</formula>
    </cfRule>
    <cfRule type="expression" dxfId="284" priority="10975" stopIfTrue="1">
      <formula>I$2076&lt;&gt;"√"</formula>
    </cfRule>
  </conditionalFormatting>
  <conditionalFormatting sqref="K2077">
    <cfRule type="expression" dxfId="283" priority="10976">
      <formula>AND($K$2077&lt;&gt;0,$K$2077&lt;&gt;"")</formula>
    </cfRule>
    <cfRule type="expression" dxfId="282" priority="10977" stopIfTrue="1">
      <formula>$L$2077&lt;&gt;"√"</formula>
    </cfRule>
  </conditionalFormatting>
  <conditionalFormatting sqref="S3:S4 S7">
    <cfRule type="containsText" dxfId="281" priority="30" stopIfTrue="1" operator="containsText" text="删除">
      <formula>NOT(ISERROR(SEARCH("删除",S3)))</formula>
    </cfRule>
    <cfRule type="containsText" dxfId="280" priority="31" stopIfTrue="1" operator="containsText" text="修改">
      <formula>NOT(ISERROR(SEARCH("修改",S3)))</formula>
    </cfRule>
    <cfRule type="containsText" dxfId="279" priority="32" stopIfTrue="1" operator="containsText" text="新增">
      <formula>NOT(ISERROR(SEARCH("新增",S3)))</formula>
    </cfRule>
  </conditionalFormatting>
  <conditionalFormatting sqref="G3184">
    <cfRule type="expression" dxfId="278" priority="25" stopIfTrue="1">
      <formula>$D3184&gt;1</formula>
    </cfRule>
    <cfRule type="expression" dxfId="277" priority="26" stopIfTrue="1">
      <formula>$C3184="%IN"</formula>
    </cfRule>
  </conditionalFormatting>
  <conditionalFormatting sqref="G3185">
    <cfRule type="expression" dxfId="276" priority="23" stopIfTrue="1">
      <formula>$D3185&gt;1</formula>
    </cfRule>
    <cfRule type="expression" dxfId="275" priority="24" stopIfTrue="1">
      <formula>$C3185="%IN"</formula>
    </cfRule>
  </conditionalFormatting>
  <conditionalFormatting sqref="G3187">
    <cfRule type="expression" dxfId="274" priority="21" stopIfTrue="1">
      <formula>$D3187&gt;1</formula>
    </cfRule>
    <cfRule type="expression" dxfId="273" priority="22" stopIfTrue="1">
      <formula>$C3187="%IN"</formula>
    </cfRule>
  </conditionalFormatting>
  <conditionalFormatting sqref="G3186">
    <cfRule type="expression" dxfId="272" priority="19" stopIfTrue="1">
      <formula>$D3186&gt;1</formula>
    </cfRule>
    <cfRule type="expression" dxfId="271" priority="20" stopIfTrue="1">
      <formula>$C3186="%IN"</formula>
    </cfRule>
  </conditionalFormatting>
  <conditionalFormatting sqref="G4788 G4793">
    <cfRule type="expression" dxfId="270" priority="16">
      <formula>$D4788&gt;1</formula>
    </cfRule>
    <cfRule type="expression" dxfId="269" priority="17">
      <formula>$C4788="%IN"</formula>
    </cfRule>
    <cfRule type="expression" dxfId="268" priority="18" stopIfTrue="1">
      <formula>$E4788=0</formula>
    </cfRule>
  </conditionalFormatting>
  <conditionalFormatting sqref="G4789">
    <cfRule type="expression" dxfId="267" priority="10">
      <formula>$D4789&gt;1</formula>
    </cfRule>
    <cfRule type="expression" dxfId="266" priority="11">
      <formula>$C4789="%IN"</formula>
    </cfRule>
    <cfRule type="expression" dxfId="265" priority="12" stopIfTrue="1">
      <formula>$E4789=0</formula>
    </cfRule>
  </conditionalFormatting>
  <conditionalFormatting sqref="G4790">
    <cfRule type="expression" dxfId="264" priority="7">
      <formula>$D4790&gt;1</formula>
    </cfRule>
    <cfRule type="expression" dxfId="263" priority="8">
      <formula>$C4790="%IN"</formula>
    </cfRule>
    <cfRule type="expression" dxfId="262" priority="9" stopIfTrue="1">
      <formula>$E4790=0</formula>
    </cfRule>
  </conditionalFormatting>
  <conditionalFormatting sqref="G4791">
    <cfRule type="expression" dxfId="261" priority="4">
      <formula>$D4791&gt;1</formula>
    </cfRule>
    <cfRule type="expression" dxfId="260" priority="5">
      <formula>$C4791="%IN"</formula>
    </cfRule>
    <cfRule type="expression" dxfId="259" priority="6" stopIfTrue="1">
      <formula>$E4791=0</formula>
    </cfRule>
  </conditionalFormatting>
  <conditionalFormatting sqref="G4792">
    <cfRule type="expression" dxfId="258" priority="1">
      <formula>$D4792&gt;1</formula>
    </cfRule>
    <cfRule type="expression" dxfId="257" priority="2">
      <formula>$C4792="%IN"</formula>
    </cfRule>
    <cfRule type="expression" dxfId="256" priority="3" stopIfTrue="1">
      <formula>$E4792=0</formula>
    </cfRule>
  </conditionalFormatting>
  <dataValidations count="18">
    <dataValidation type="list" allowBlank="1" showInputMessage="1" showErrorMessage="1" sqref="T3">
      <formula1>"Specific,Abstract"</formula1>
    </dataValidation>
    <dataValidation type="list" allowBlank="1" showInputMessage="1" showErrorMessage="1" sqref="T4">
      <formula1>"YYYY年M月D日,YYYY.M.D"</formula1>
    </dataValidation>
    <dataValidation type="decimal" allowBlank="1" showInputMessage="1" showErrorMessage="1" errorTitle="REAL" error="请输入数值！" sqref="I5903:I5909 H1966:K1970 H2880:I2888 H3613:H3620 H3595:I3601 H3346:H3352 H3526:H3533 H3276:K3279 M2417:M2422 H3635:K3636 H3625:K3631 H3498:I3504 P3401:P3411 M3401:M3409 H3401:J3409 H3373 H3366:H3371 H3283:I3289 H3222:M3228 H2764:H2770 J3173:M3173 N3228 J3240:N3240 J3321:K3321 H3265:K3272 H3326:I3332 H2824:I2828 H3313:I3321 H3293:I3301 H3233:I3240 H3336:H3342 I2066:I2070 H3166:H3173 H3139:K3148 J2764:L2770 J2751:J2760 J3129:L3135 H3129:H3135 M3135 H3116:H3125 H2900:H2906 H2417:H2423 J3116:J3125 M3116:M3125 P3116:P3125 H2642:I2646 H3077:H3089 H3063:H3075 H3049:K3061 L3063:P3075 L3077:P3089 M3049:P3061 P3091:P3104 H3091:H3103 I3105:O3105 H3009:M3041 P3009:P3041 H3002:P3004 N3001:P3001 H3001:L3001 H3000:P3000 L2927:O2928 K2955:O2956 K2950:O2952 K2947:O2948 K2944:O2945 K2941:O2942 K2964:O2966 K2961:O2962 K2958:O2959 I2981:N2981 H2978:H2981 H2975:H2976 H2972:H2973 H2969:H2970 H2964:H2966 H2961:H2962 H2958:H2959 H2955:H2956 H2950:H2952 H2947:H2948 H2944:H2945 H2941:H2942 H2936:J2938 H2933:J2934 H2930:J2931 H2927:J2928 L2933:O2934 L2930:O2931 L2936:O2938 O2975:O2976 O2972:O2973 O2969:O2970 O2978:O2981 H2913:M2918 J2865:K2876 P2880:P2896 J2906:M2906 M2800:M2809 H2813:I2819 H2800:J2809 M2880:M2896 H2850:M2861 H2706:H2707 M2751:M2760 P2687:P2696 H2687:H2696 I2696:O2697 H2676:H2685 L2676:P2685 L2665:P2674 M2654:P2663 I2035:P2047 H2665:H2674 H2654:K2663 H2631:K2637 M2637 M2627 H2621:H2627 J2621:L2627 H2602:P2617 H2404:H2410 J2404:J2410 H3422:H3423 I3417:I3423 H1779:L1788 H1793:H1798 I1795:I1798 J1702:K1708 H1872:H1881 J1872:K1881 H1885:H1894 J1885:K1894 H1898:H1907 J1898:K1907 H1856:J1860 H1938:H1945 H1934:H1935 H1932:K1932 I1937:I1945 I1935 J1936:J1945 K1934:K1945 M1891:M1894 P1872:P1881 I1843:J1850 H1843:H1852 H1828:J1837 I1804:J1808 H1804:H1810 P1804:P1810 L1810:N1810 H1815:I1821 I1852:J1852 P1828:P1837 P1843:P1852 L1852:N1852 K1837:M1837 I1810:J1810 P1932:P1945 M1932:M1945 M1953:M1960 K1952:M1952 K1954:L1960 H1767:J1773 H1956:J1960 P1913:P1926 O1762 P1898:P1907 M1904:M1907 P1885:P1894 H4125:I4131 H1976:O1985 H1991:K2000 M1991:M2000 Q1976:Q1985 P1991:P2000 H2004:J2012 H2024:I2030 L2024:L2030 H2047 H2045 M1224:M1232 H2053:H2062 L2062 H383:I391 M339 J339:J347 H604:H610 I621:I628 I661:J667 J604:K610 J2108:J2117 H2184:H2190 H2207:M2217 I1913:M1919 H2237:H2246 J2237:K2246 H2250:H2259 J2250:K2259 H2263:H2272 J2263:K2272 H2221:J2225 H2278:H2284 J2278:J2284 M2278:M2285 H2298:I2306 L339:L347 H361:I369 P2053:P2062 H2016:M2020 P2004:P2012 M2004:M2012 M2298:M2314 P2278:P2292 K2144:K2155 I2145 H2142:K2142 P2142:P2155 P2263:P2272 P2250:P2259 P2237:P2246 M2263:M2272 M2250:M2259 M2237:M2246 M2142:M2155 H241:I250 I651:J657 H141:H145 M174:M175 P2123:P2136 J2199:J2200 H2169:J2170 K2163:L2170 M2162:M2170 H2174:H2180 J2146:J2147 I2147 H2144:H2145 H2148:J2155 P2335:P2348 P2298:P2314 H2320:I2329 J2358:J2359 I2359 H2356:H2357 I2357 H2360:J2367 K2356:K2367 M2354:M2367 P2354:P2367 H2354:K2354 I2371:J2377 I2381:J2390 H2394:I2400 P2381:P2390 M2381:M2390 H2481:R2495 I2434:J2455 I2335:M2341 H2469:R2479 H2561:K2573 H2595:K2598 H2585:K2593 H2575:K2583 J2523:J2529 H2523:H2529 P2523:P2529 J2500:J2505 H2500:H2505 P2594:P2598 P2585:P2592 P2575:P2583 P2570:P2573 P2561:P2568 M2523:M2529 P2509:P2518 P2500:P2505 M2594:M2598 M2585:M2592 M2575:M2583 M2570:M2573 M2561:M2568 M2500:M2505 I2504:I2505 H2533:K2542 I2528:I2529 H2546:K2555 M2533:M2542 H2509:K2518 H2708:K2718 H2751:H2760 H2734 P2751:P2760 H2736:H2747 H2722:K2732 H2785:H2795 H2774:K2780 M2780 P2800:P2809 H2720:H2721 H3152:J3161 M3152:M3161 P3152:P3161 H3197:M3203 H3209:M3215 P3372 I3388:K3397 H3397 H3428:I3434 M3388:M3397 H3411:J3411 P3388:P3397 M3411 H3377:H3383 J3377:J3383 H3450:I3457 H3478:H3484 H3508:H3514 H3575:H3581 H3585:I3591 H3488:H3494 J3488:J3494 H3439:I3445 K3342 H3461:I3466 H3356:H3362 J993:J1005 H1658:H1664 J1433:J1440 H1433:H1440 H1513:H1519 M923:M932 H923:J932 H913:I919 H903:I909 H882:H889 H2835:M2846 M1878:M1881 L3986:L3991 H1016:I1026 H864:H870 J864:J870 M862:M870 H875:H880 H3180:M3190 H893:H899 H1462:J1468 K1452:K1458 H980:H986 L1433:L1441 J970:J971 K969:K972 M991:M1012 J973:K976 J951:K955 P991:P1012 J947:K949 H937:I942 H1452:I1458 H1523:J1526 L1372:L1378 H970:I976 J1513:K1519 P1523:P1526 M1523:M1526 I1542:I1547 I1549:I1556 L1542:L1547 L1549:L1556 I1560:I1566 I1530:I1537 J1394:J1400 J1392 H1392 L1394:L1400 H1394:H1400 H947:I955 I1400:I1401 L1392 H1331:I1339 H1496:K1496 P1046:P1056 H1282:I1291 H1502:H1509 H1209:I1218 M1048:M1056 I1501:I1509 J1500:J1509 K1498:K1509 I1499 H1498:H1499 M1062:M1078 P1062:P1078 M1121:M1130 H1297:I1306 P1121:P1130 L1312:L1317 P1312:P1325 P1331:P1347 M1331:M1347 M1357:M1364 H1354:I1364 P1353:P1355 M1353:M1355 P1474:P1490 P1222:P1232 H1106:I1115 H1194:I1203 H1121:I1130 M1313:M1318 H1260:I1268 J1312:J1317 H1312:H1317 H1030:J1034 H1238:I1246 H1172:I1180 J1222:K1232 H1222:H1232 H1084:I1092 J1134:K1144 H1134:H1144 I1474:M1483 J1046:K1056 H1046:H1056 P1357:P1364 H1370 J1372:J1378 H1372:H1378 L1370 J1370 H959:H965 I1570:J1576 H1641:M1654 I1580:J1586 H1622:M1635 P923:P932 M1685:M1690 H1668:H1673 H1612:N1615 H1600:K1606 H1590:H1596 J1590:J1596 H1719:K1725 H1756:N1762 J1739:K1752 H1729:I1735 M1900:M1902 M1887:M1889 M1874:M1876 M1046 M1222 H3249:I3259 J3249:K3249 J3251:K3259 H3767:I3772 H3565:H3571 H3815:I3821 H3777:I3779 H3781:I3784 H3786:I3793 H3808:I3808 H3753:K3762 M3986:P3992 H3721:I3729 H3734:K3749 H3688:K3690 H3692:K3703 H3705:K3708 H3710:K3716 H3797:H3803 H3836:I3842 H3863:H3869 H3873:H3879 H3934:I3940 H3944:I3950 H3954:H3960 K3954:Q3960 H3964:I3970 H3893:I3899 Q4071:Q4076 H3665:K3676 L4071:L4076 H4058:I4064 H3883:H3889 H4005:I4013 J3883:J3889 K4069:Q4069 K4064:L4064 K4017:K4023 H4037:H4043 K4037:K4043 K4027:K4033 H4027:H4033 H4017:H4023 H4047:H4053 J4047:J4053 H3975:I3982 H3923:I3929 H3825:H3831 K3970:L3970 K3986:K3992 I3831 H3911:H3918 H3810:I3813 H3986:H3992 H3548:I3554 Q3986:Q3991 H1474:H1482 N1474:N1482 H1062:I1070 H1150:I1158 H1414:I1419 H992:I1004 H1913:H1918 N1913:N1918 L2278:L2284 H2335:H2340 N2335:N2340 H2434:H2454 L2434:L2455 K2434:K2454 M2434:M2454 K2417:L2423 I2417:J2422 H3638:K3652 H3846:I3851 H3538:I3544 H4220:I4225 H4185:I4201 H4268:K4272 H4317:N4320 H4304:N4310 H4294:I4300 H4205:I4216 H4154:K4160 H4175:I4181 H4143:H4149 J4143:J4149 H4164:H4170 J4164:J4170 J4181:K4181 M4081:M4087 H4114:I4120 K4081:K4087 H4103:H4109 H4093:O4099 J4103:J4109 K4263 H4254:I4263 H4349:O4353 K4326:M4332 J4337:J4343 L4337:L4343 I4326:I4332 J4132 H5622:K5629 H5859:H5865 H5808:M5812 J5875:K5875 M5670:M5676 I5680:J5686 I5690:J5696 H5710:H5716 H5730:H5736 H5760:M5769 I5773:J5782 H6181:H6193 I5914:I5920 H6199:J6205 I6020:I6027 I5958:I5964 I5936:I5942 I5881:I5887 H5562:H5566 H5575:H5576 H5570:H5573 P5647:P5656 H5578 M5561:M5566 H5700:H5706 H5720:H5726 P5570:P5584 H5740:J5746 H5580:H5584 P5773:P5782 M5773:M5782 P5634:P5643 M5634:M5643 I5706:J5706 P5561:P5566 M5647:M5656 H5754:J5754 M5570:M5584 I5726:J5726 P5760:P5769 H5869:H5875 I5634:J5643 H5750:I5753 H6105:H6114 I5647:J5656 H6226:J6234 K5845 I5855:K5855 H5787:I5804 J5865:K5865 H5849:H5855 M5660:M5666 H6119:H6124 H6129:H6133 H6138:H6144 H6149:H6153 H6158:J6162 H6167:J6171 H6254:H6258 H6067:H6071 I5947:I5953 I6044:I6061 I6032:I6039 I6009:I6015 I5988:I6004 I5969:I5983 I5925:I5931 H6236:J6249 H6207:J6220 I5892:I5898 H6096:H6100 H6087:H6091 H6076:H6082 H6176:H6179 I5831:I5845 I5817:I5829 H5817:H5830 H5832:H5845 H5411:I5414 H5406:I5409 H5401:I5404 J5267:J5270 J5272:J5275 H5277:H5283 H5252:H5255 H5257:H5260 H5262:H5265 H5267:H5270 H5272:H5275 K5283 H5318:H5327 P5318:P5327 M5318:M5327 J5318:J5327 J5305:K5314 H5305:H5314 H4276:H4281 P5305:P5314 H5290:H5299 J5290:K5299 I4276:L4282 M4276:M4281 J5277:J5283 J5252:J5255 J5257:J5260 J5262:J5265 K5435:K5462 P5434:P5462 H5368:M5378 H5351:M5362 H5384:M5394 H5334:M5345 L5434:M5462 H5455:I5462 P5351:P5362 P5334:P5345 H5435:I5438 H5440:I5443 H5445:I5448 H5450:I5453 P5394 H5416:I5419 H5421:I5428 P5378 H5516:K5548 H5550:K5557 H5470:K5500 H5502:K5509 J5247:J5250 H4732:I4739 H5185:H5191 H5098:I5104 H5087:I5093 H5076:I5082 H5065:I5071 H5049:I5060 H5033:I5044 H5021:L5027 H5011:N5017 H4957:J4965 H4939:I4945 H4456:K4459 H4861:I4870 H4431:M4440 P4415 H4401:N4415 H4420:K4426 H4481:H4488 H4464:I4477 H4388:H4395 M4497:M4501 M4834:M4843 P4398 P4431:P4440 P4497:P4501 P4834:P4843 H4757:I4768 H4444:K4451 I4842:I4843 H4358:K4362 I4827:I4828 H4848:I4857 H4376:H4378 H4819:H4828 H4812:H4813 I4812:I4819 K4376:P4387 H4381:H4384 I4376:J4395 K4390:P4395 H4721:I4727 H4701:I4717 H4690:I4696 H4659:I4665 H4640:I4655 H4629:I4635 H4619:I4625 H4604:H4615 H4589:H4600 H4572:K4578 H4549:K4559 H4525:K4536 H4514:I4519 H4505:I4510 H4497:K4501 H5247:H5250 H4772:I4778 H5169:I5181 H5140:I5145 J4834:J4843 H5159:H5165 H5149:H5155 I5165 I5155 H5109:I5128 H5132:I5136 I4883:I4884 H4670:I4686 H4834:H4843 H4926:J4935 H4970:I4974 H4367:K4369 P4875:P4884 H4875:H4884 J4875:J4884 I4889:I4906 H4890 H4893:H4906 H4997:I5007 H4978:I4992 H5207:H5216 J5216:K5216 H4743:I4752 J5237:J5240 J5232:J5235 H5222:H5225 H5237:H5240 H5232:H5235 H5227:H5230 J5202:K5202 H5196:H5202 J5222:J5225 J5227:J5230 H2199:H2200 M5306:M5314 K4132:K4139 J838:J847 J782:J791 J767:J776 M767:M776 J797:J802 P767:P776 J745:J753 N853:N856 H856:H857 J816:J824 I853:M857 J726:J731 L435:L439 H453:I459 N584:N592 H584:H592 P745:P761 M745:M761 J711:J720 H520:I526 O540:O550 H490 J490 H492:H499 J492:J499 H405:I414 L490 P473:P484 P453:P467 H562:I568 H572:J578 I584:M593 H474:I484 K562:K568 M453:M467 M473:M484 Q540:Q550 H435:H439 J435:J439 H420:I429 P435:P447 P383:P399 M405:M414 M383:M399 M361:M377 M341:M348 P361:P377 P405:P414 H125:M129 H701:H705 I704:I705 P219:P235 N551:N558 H541:I550 H163:H169 P72:P88 H74:I88 H133:I137 L175:L183 H197:I205 H276:H285 H289:J292 I296:I305 H309:H315 J309:J315 H149:I152 I256:M265 H256:H264 M333 N256:N264 M26:M33 P320:P333 P339:P355 J35:K42 J333 M296:M305 P296:P305 M44:M47 J49:K58 J276:J285 M197:M213 M276:M285 M289:M292 P197:P213 M219:M235 P256:P272 P276:P285 P289:P292 H321:I333 M35:M42 H44:H47 J82:J84 H13:I19 P171:P191 H106:H107 I101:I107 I94:I99 M72:M88 J72 J80 J87:J88 H154:I159 J175:J183 H35:H42 H49:H58 H339:H347 M177:M184 L507:L514 H507:H514 H505 J505 L505 J507:J514 L492:L499 H693:N696 H681:K687 M171:M172 J701:J705 H175:H183 J26:K33 H62:H69 M726:M739 P726:P739 M49:M58 H26:H33 H112:I118 M701:M705 P701:P705 J74 J44:K47 H219:I228 J671:J677 H671:H677 M435:M440 H614:J617 H640:H647 H633:H638 J640:J647 J633:J638 M614:M617 P584:P600 P614:P617 H2123:M2129 J2082:J2091 J2095:J2104 N2123:N2128 H4783:I4798">
      <formula1>-922337203685477</formula1>
      <formula2>922337203685477</formula2>
    </dataValidation>
    <dataValidation type="list" allowBlank="1" showErrorMessage="1" sqref="I6251 I3602 I3592 I3582 I3572 I3562 I3545 I3535 I3515 I3505 I3495 I3485 I3475 I3458 I3447 I3436 I3632 I3622 I3175 I3192 I3204 I3217 I3229 I3244 I3260 I3273 I3280 I3290 I3310 I3323 I3162 I3126 I3043 I3113 I3006 I2920 I2982 I2877 I2897 I2908 I2862 I2781 I2748 I2733 I2719 I2761 I2639 I2648 I2705 I2618 I2628 I1774 I1764 I1882 I1869 I1790 I1799 I1812 I1823 I1838 I1853 I1927 I1961 I1947 I1895 I1908 I1971 I1986 I2001 I2079 I2032 I2048 I2063 I2092 I2021 I2013 I2293 I2273 I2260 I2247 I2234 I2118 I2105 I2202 I2181 I2171 I2157 I2191 I2137 I2330 I2218 I2315 I2349 I2368 I2391 I2378 I2401 I2463 I2412 I2431 I2599 I2557 I2520 I2506 I2497 I2530 I2543 I2771 I2797 I2810 I2821 I2830 I2847 I3374 I3385 I3398 I3413 I3425 I3353 I3343 I3333 I3363 I3661 I3136 I3149 I890 I859 I871 I900 I910 I1527 I1538 I1557 I1520 I1510 I1587 I1577 I1567 I1387 I1491 I1043 I1219 I1027 I1057 I1079 I1101 I1116 I1307 I1326 I1348 I1469 I1131 I1145 I1167 I1189 I1204 I1233 I1255 I1277 I1292 I1365 I1013 I988 I977 I967 I956 I944 I934 I1409 I1428 I1449 I1459 I1736 I1665 I1655 I1617 I1636 I1753 I1726 I1682 I1699 I1716 I1607 I1597 I920 I3983 I3972 I3961 I3951 I3941 I3931 I3920 I3900 I3890 I3880 I3870 I3860 I3843 I3833 I3822 I3805 I3794 I3774 I3764 I3750 I3731 I3717 I3685 I4001 I4065 I4055 I4034 I4024 I4014 I4044 I4740 I5510 I4237 I4251 I4265 I4273 I4291 I4301 I4312 I4321 I4334 I4344 I4226 I4217 I4100 I4111 I4122 I4140 I4151 I4161 I4172 I4182 I4202 I4078 I4088 I5805 I5558 I5567 I5585 I5611 I5755 I5737 I5717 I5697 I5677 I5657 I5631 I5784 I5644 I5667 I5687 I5707 I5727 I5747 I5770 I5814 I5846 I5856 I5866 I5878 I5889 I5900 I5911 I5922 I5933 I5944 I5955 I5966 I5985 I6006 I6017 I6029 I6041 I6064 I6073 I6084 I6093 I6102 I6116 I6126 I6135 I6146 I6155 I6164 I6173 I6195 I6222 I5315 I5300 I5285 I5429 I5395 I5379 I5363 I5346 I5329 I5464 I4845 I4355 I4364 I4371 I4396 I4417 I4428 I4441 I4453 I4461 I4478 I4492 I4502 I4511 I4520 I4544 I4567 I4586 I4601 I4616 I4626 I4637 I4656 I4667 I4687 I4698 I4718 I4729 I4754 I4769 I4780 I4809 I4831 I4858 I5182 I5166 I5156 I5146 I5137 I5106 I5095 I5084 I5073 I5062 I5046 I5030 I5018 I5008 I4994 I4975 I4967 I4954 I4936 I4923 I4908 I4886 I4872 I5129 I5218 I5204 I5193 I811 I792 I777 I762 I833 I848 I740 I170 I160 I146 I138 I130 I120 I20 I10 I109 I71 I59 I90 I317 I334 I293 I192 I214 I251 I273 I286 I306 I500 I688 I706 I721 I678 I698 I579 I601 I611 I618 I629 I648 I658 I668 I535 I569 I559 I415 I448 I515 I468 I485 I400 I378 I356 I430 I236">
      <formula1>"适用,不适用"</formula1>
    </dataValidation>
    <dataValidation type="textLength" operator="equal" allowBlank="1" showErrorMessage="1" errorTitle="REAL" error="请勿在此单元格输入！" sqref="H6235:K6235 H3780:I3780 H3664:K3664 H3637:K3637 H3165:I3165 H2784:I2784 M3048:P3048 H3048:K3048 L3062:P3062 H3062 L3076:P3076 H3076 P3090 H3090 M3001 H2999:P2999 H2995:P2995 H2991:P2991 H2987:P2987 O2967:O2968 H2967:H2968 K2963:O2963 H2963 K2960:O2960 H2960 K2957:O2957 H2957 K2953:O2954 H2953:H2954 K2949:O2949 H2949 K2946:O2946 H2946 K2943:O2943 H2943 K2939:O2940 H2939:H2940 L2935:O2935 H2935:J2935 L2932:O2932 H2932:J2932 L2929:O2929 H2929:J2929 L2925:O2926 H2925:J2926 O2971 O2977 H2977 O2974 H2974 H2971 H2675:P2675 H2664:P2664 H2653:P2653 H1933:K1933 K1953:L1953 K2162:L2162 H2143:K2143 H2355:K2355 H2480:R2480 H2468:R2468 H2594:K2594 H2584:P2584 H2560:P2560 H2574:P2574 L2593:P2593 L2569:P2569 H2686:P2686 H3518:I3518 H3525:I3525 H3612:I3612 H3605:I3605 H3232:I3232 I3416 H881:I881 H874:I874 H1393:L1393 H1541:L1541 H1548:L1548 H1497:K1497 L1356:P1356 H1353:J1353 H1371:L1371 J950:K950 H991:K991 H3814:I3814 H3809:I3809 H3720:I3720 H3691:K3691 H3704:K3704 H3709:K3709 H3910:I3910 J4069:J4070 H4068:Q4068 H4004:K4004 H3903:I3903 H3785:I3785 H5614:K5614 H5579:K5579 H5577:K5577 H5574:K5574 H6180:K6180 H5561:J5561 H5603:R5604 H5599:R5599 H5590:R5590 H5621:K5621 H6225:K6225 H6198:K6198 H6206:K6206 H5276:J5276 H5271:J5271 H5266:J5266 H5261:J5261 H5256:J5256 H5410:J5410 H5405:J5405 H5400:J5400 H5434:J5434 H5439:J5439 H5444:J5444 H5449:J5449 H5454:J5454 H5420:J5420 H5415:J5415 H5549:K5549 H5515:K5515 H5501:K5501 H5469:K5469 H5251:J5251 H5236:J5236 H5226:J5226 H5231:J5231 H5221:J5221 H5246:J5246 I5241 H320:I320 H25:M25 H100:I100 H93:I93 H48:M48 H153:I153 H34:M34 H43:M43 H632:J632 H639:J639 H540:J540 H473:J473 H491:L491 H506:L506">
      <formula1>0</formula1>
    </dataValidation>
    <dataValidation type="list" showDropDown="1" showInputMessage="1" errorTitle="REAL" error="该单元格不能填写，显示为‘—’。" prompt="如已执行新金融准则，则该单元格不能填写，显示为‘—’" sqref="H5831 H1952:J1955 I1793:I1794 H2162:J2168 H3416:H3421 H4889 H4814:H4818 K4388:P4389 H4891:H4892 J2194:J2198 H2194:H2198 H5241:H5245 J5241:J5245 H101:H105 H94:H99">
      <formula1>"—"</formula1>
    </dataValidation>
    <dataValidation type="list" showDropDown="1" showErrorMessage="1" errorTitle="REAL" error="该单元格不能填写，显示为‘—’。" prompt="如已执行新金融准则，则该单元格不能填写，显示为‘—’" sqref="I5830 J1935 H1936:I1936 H1937 I1934:J1934 H2035:H2044 H2046 L2053:O2061 J3250:K3250 H4379:H4380 H4385:H4387 H853:H855 I701:I703">
      <formula1>"—"</formula1>
    </dataValidation>
    <dataValidation type="decimal" allowBlank="1" showInputMessage="1" showErrorMessage="1" errorTitle="WPE" error="请输入数值！" sqref="I5186:I5191 L4139 L4132:L4137 N2024:O2030 I3581:K3581 J1391 H1391 J1016:J1026 J1014 L1391 J1664:K1664 K1735 J1674:K1681 I1674 L4181 N2016:O2020 H504 L489 H489 J489 N550 J504 L504">
      <formula1>-922337203685477</formula1>
      <formula2>922337203685477</formula2>
    </dataValidation>
    <dataValidation type="list" showDropDown="1" showErrorMessage="1" errorTitle="REAL" error="该单元格不能填写，显示为‘—’。" sqref="I4875:I4882 L3410:O3410 I3410:J3410 I3372:O3372 L3048:L3061 I3062:K3104 L3090:O3104 I2967:N2980 I2939:J2966 K2925:K2938 I2687:O2695 L2654:L2663 I2676:K2685 I2665:K2674 L1804:O1809 L1843:O1851 K1828:M1836 I1851:K1851 I1809:K1809 I2144:J2144 J2145 H2146:I2146 H2147 I2356:J2356 J2357 H2358:I2358 H2359 I2523:I2527 I2500:I2503 H3388:H3396 I1498:J1498 J1499 H1501 H1500:I1500 I4820:I4826 I4834:I4841">
      <formula1>"—"</formula1>
    </dataValidation>
    <dataValidation type="list" allowBlank="1" showInputMessage="1" showErrorMessage="1" sqref="L4951 L4288 M4287 H4287 L4138 H4137:I4137 L3307 H3306:I3306 L3111 P3110 H3110 H2702 P2702 L2703 L3997:L3998 Q3997 H1040:J1040 L1041 H1323 J1323 L1323:L1324 H1488 N1488 L1489 H1076:I1076 L1077 H1098:I1098 L1099 H1164:I1164 L1165 H1186:I1186 L1187 H1252:I1252 L1253 H1274:I1274 L1275 H1345:I1345 L1346 H1384 J1384 L1384:L1385 H1406 J1406 L1406:L1407 H1425:I1425 L1426 H1446 J1446 L1447 H1010:I1010 L1011 H1679 L1680 K1696 M1696 L1696:L1697 I1713 M1713 L1713:L1714 H1866:J1866 L1867 H1924 N1924 L1925 H2231:J2231 L2232 H2290 J2290 L2290:L2291 H2312:I2312 L2313 H2346 N2346 L2347 H2460 K2460 M2460 L2461 I2428:J2428 M2428 L2429 H2894:I2894 L2895 H3472:I3472 L3473 H3559:I3559 L3560 H3658:K3658 L3659 H3682:K3682 L3683 H3857:I3857 L3858 H4541:K4541 L4542 H4564:K4564 L4565 H4583:K4583 L4584 H4950:I4950 H4805 L4806 L738 J737 L271 N270 H270 L234 H233:I233 L212 H211:I211 L189:L190 J189 H189 H353 J353 L353:L354 H375:I375 L376 H397:I397 L398 H445 J445 L445:L446 H598 N598 L599 H465:I465 L466 H532:I532 L533 H556:I556 L557 J759 L760 J808 L809 J830 L831 N2134 L2135 I2076 L2077">
      <formula1>"√,×,N/A,？"</formula1>
    </dataValidation>
    <dataValidation type="list" allowBlank="1" sqref="M2865">
      <formula1>"分募股资金,金融机构贷款,其他来源"</formula1>
    </dataValidation>
    <dataValidation allowBlank="1" showInputMessage="1" prompt="如果某附注小表内的所有数据单元格加起来为零，则判断为该附注小表还没有被输入。_x000a_例外情况：_x000a_对某些特殊小表，如其内容全为文本，则此判断不尽准确。" sqref="Q20 P8"/>
    <dataValidation allowBlank="1" showInputMessage="1" prompt="所有标记为&quot;#Logical!&quot;(不合逻辑)项目数简单加计" sqref="K7"/>
    <dataValidation allowBlank="1" showInputMessage="1" prompt="期末或本期核对差异简单加计数" sqref="H7"/>
    <dataValidation allowBlank="1" showInputMessage="1" prompt="一个附注小表内的各项目名称必须保持唯一。行项目重复数统计：若某附注小表内有3个项目名都为“人民币”，则统计为3；同时，另一附注小表内有2个项目名都为“其他”，则统计为 3+2=5" sqref="M7"/>
    <dataValidation allowBlank="1" showInputMessage="1" prompt="年初或上年核对差异简单加计数" sqref="I7"/>
    <dataValidation allowBlank="1" showInputMessage="1" prompt="某些注释表与报表勾稽核对的数据，因不在最后一行（合计行），无法事先确定具体行次，须手工设置取数公式以与报表数勾稽核对。" sqref="P7"/>
    <dataValidation type="list" allowBlank="1" showInputMessage="1" showErrorMessage="1" sqref="S3:S4 S7">
      <formula1>"新增行,修改行,删除行"</formula1>
    </dataValidation>
  </dataValidations>
  <hyperlinks>
    <hyperlink ref="H7" location="Notes!Sheet_Check1" display="=SUMIF($J:$J,&quot;附注列报*&quot;,$L:$L)"/>
    <hyperlink ref="I7" location="Notes!Sheet_Check1" display="=SUMIF($J:$J,&quot;附注列报*&quot;,$O:$O)"/>
    <hyperlink ref="K7" location="Notes!Sheet_Check1" display="=COUNTIF($L:$L,&quot;#Logical!&quot;)+COUNTIF($O:$O,&quot;#Logical!&quot;)"/>
    <hyperlink ref="F6261" location="Notes!G7" display="^"/>
    <hyperlink ref="O24" location="Notes!NOTE_1704a" display="Notes!NOTE_1704a"/>
    <hyperlink ref="O1639" location="Notes!NOTE_1400a" display="Notes!NOTE_1400a"/>
    <hyperlink ref="K4875" location="Notes!NOTE_1121i" display="Notes!NOTE_1121i"/>
    <hyperlink ref="K4876" location="Notes!NOTE_1122u" display="Notes!NOTE_1122u"/>
    <hyperlink ref="K4877" location="Notes!NOTE_1221y" display="Notes!NOTE_1221y"/>
    <hyperlink ref="K4878" location="Notes!NOTE_1124f" display="Notes!NOTE_1124f"/>
    <hyperlink ref="K4879" location="Notes!NOTE_1505k" display="Notes!NOTE_1505k"/>
    <hyperlink ref="K4880" location="Notes!NOTE_1508k" display="Notes!NOTE_1508k"/>
    <hyperlink ref="K4881" location="Notes!NOTE_1531g" display="Notes!NOTE_1531g"/>
    <hyperlink ref="K4890" location="Notes!NOTE_1400b" display="Notes!NOTE_1400b"/>
    <hyperlink ref="K4893" location="Notes!NOTE_1511b" display="Notes!NOTE_1511b"/>
    <hyperlink ref="K4894" location="Notes!NOTE_1521h" display="Notes!NOTE_1521h"/>
    <hyperlink ref="K4895" location="Notes!NOTE_1601k" display="Notes!NOTE_1601k"/>
    <hyperlink ref="K4896" location="Notes!NOTE_1605a" display="Notes!NOTE_1605a"/>
    <hyperlink ref="K4897" location="Notes!NOTE_1604g" display="Notes!NOTE_1604g"/>
    <hyperlink ref="K4898" location="Notes!NOTE_1621c" display="Notes!NOTE_1621c"/>
    <hyperlink ref="K4899" location="Notes!NOTE_1631b" display="Notes!NOTE_1631b"/>
    <hyperlink ref="K4900" location="Notes!NOTE_1701a" display="Notes!NOTE_1701a"/>
    <hyperlink ref="K4901" location="Notes!NOTE_1711b" display="Notes!NOTE_1711b"/>
    <hyperlink ref="K4902" location="Notes!NOTE_1315f" display="Notes!NOTE_1315f"/>
    <hyperlink ref="L671" location="Notes!NOTE_1704a" display="Notes!NOTE_1704a"/>
    <hyperlink ref="L3377" location="Notes!NOTE_1704a" display="Notes!NOTE_1704a"/>
    <hyperlink ref="L3488" location="Notes!NOTE_1704a" display="Notes!NOTE_1704a"/>
    <hyperlink ref="L3883" location="Notes!NOTE_1704a" display="Notes!NOTE_1704a"/>
    <hyperlink ref="L4047" location="Notes!NOTE_1704a" display="Notes!NOTE_1704a"/>
    <hyperlink ref="L4143" location="Notes!NOTE_1704a" display="Notes!NOTE_1704a"/>
    <hyperlink ref="L4164" location="Notes!NOTE_1704a" display="Notes!NOTE_1704a"/>
    <hyperlink ref="L2404" location="Notes!NOTE_1704a" display="Notes!NOTE_1704a"/>
    <hyperlink ref="L309" location="Notes!NOTE_1704a" display="Notes!NOTE_1704a"/>
    <hyperlink ref="L2194" location="Notes!NOTE_1704a" display="Notes!NOTE_1704a"/>
    <hyperlink ref="M681" location="Notes!NOTE_9120o" display="Notes!NOTE_9120o"/>
    <hyperlink ref="K913" location="Notes!NOTE_9120o" display="Notes!NOTE_9120o"/>
    <hyperlink ref="L1590" location="Notes!NOTE_1704a" display="Notes!NOTE_1704a"/>
    <hyperlink ref="M1600" location="Notes!NOTE_9120o" display="Notes!NOTE_9120o"/>
    <hyperlink ref="K3498" location="Notes!NOTE_9120p" display="Notes!NOTE_9120p"/>
    <hyperlink ref="K3595" location="Notes!NOTE_9120p" display="Notes!NOTE_9120p"/>
    <hyperlink ref="K3893" location="Notes!NOTE_9120p" display="Notes!NOTE_9120p"/>
    <hyperlink ref="M186" location="Notes!NOTE_1121e" display="Notes!NOTE_1121e"/>
    <hyperlink ref="L208" location="Notes!NOTE_1121f" display="Notes!NOTE_1121f"/>
    <hyperlink ref="K230" location="Notes!NOTE_1121f" display="Notes!NOTE_1121f"/>
    <hyperlink ref="O267" location="Notes!NOTE_1121e" display="Notes!NOTE_1121e"/>
    <hyperlink ref="L4103" location="Notes!NOTE_1704a" display="Notes!NOTE_1704a"/>
    <hyperlink ref="K5221" location="Notes!NOTE_1015a" display="Notes!NOTE_1015a"/>
    <hyperlink ref="K5226" location="Notes!NOTE_1121m" display="Notes!NOTE_1121m"/>
    <hyperlink ref="K5231" location="Notes!NOTE_1122c" display="Notes!NOTE_1122c"/>
    <hyperlink ref="K5236" location="Notes!NOTE_1221c" display="Notes!NOTE_1221c"/>
    <hyperlink ref="K5241" location="Notes!NOTE_1501f" display="Notes!NOTE_1501f"/>
    <hyperlink ref="K5246" location="Notes!NOTE_1531f" display="Notes!NOTE_1531f"/>
    <hyperlink ref="K5261" location="Notes!NOTE_2001c" display="Notes!NOTE_2001c"/>
    <hyperlink ref="K5251" location="Notes!NOTE_2202d" display="Notes!NOTE_2202d"/>
    <hyperlink ref="K5256" location="Notes!NOTE_2241g" display="Notes!NOTE_2241g"/>
    <hyperlink ref="K5271" location="Notes!NOTE_2501c" display="Notes!NOTE_2501c"/>
    <hyperlink ref="K5266" location="Notes!NOTE_2502e" display="Notes!NOTE_2502e"/>
    <hyperlink ref="K5276" location="Notes!NOTE_2701d" display="Notes!NOTE_2701d"/>
    <hyperlink ref="M350" location="Notes!NOTE_1122j" display="Notes!NOTE_1122j"/>
    <hyperlink ref="L372" location="Notes!NOTE_1122p" display="Notes!NOTE_1122p"/>
    <hyperlink ref="K394" location="Notes!NOTE_1122p" display="Notes!NOTE_1122p"/>
    <hyperlink ref="M442" location="Notes!NOTE_1122j" display="Notes!NOTE_1122j"/>
    <hyperlink ref="O595" location="Notes!NOTE_1122j" display="Notes!NOTE_1122j"/>
    <hyperlink ref="L462" location="Notes!NOTE_1122q" display="Notes!NOTE_1122q"/>
    <hyperlink ref="L529" location="Notes!NOTE_1122a" display="Notes!NOTE_1122a"/>
    <hyperlink ref="K553" location="Notes!NOTE_1122a" display="Notes!NOTE_1122a"/>
    <hyperlink ref="K1037" location="Notes!NOTE_1221j" display="Notes!NOTE_1221j"/>
    <hyperlink ref="M1320" location="Notes!NOTE_1221j" display="Notes!NOTE_1221j"/>
    <hyperlink ref="O1485" location="Notes!NOTE_1221j" display="Notes!NOTE_1221j"/>
    <hyperlink ref="O1030" location="Notes!NOTE_122101" display="Notes!NOTE_122101"/>
    <hyperlink ref="O1031" location="Notes!NOTE_122102" display="Notes!NOTE_122102"/>
    <hyperlink ref="O1032" location="Notes!NOTE_122103" display="Notes!NOTE_122103"/>
    <hyperlink ref="L1073" location="Notes!NOTE_122101" display="Notes!NOTE_122101"/>
    <hyperlink ref="K1095" location="Notes!NOTE_122101" display="Notes!NOTE_122101"/>
    <hyperlink ref="L1161" location="Notes!NOTE_122102" display="Notes!NOTE_122102"/>
    <hyperlink ref="K1183" location="Notes!NOTE_122102" display="Notes!NOTE_122102"/>
    <hyperlink ref="L1249" location="Notes!NOTE_122103" display="Notes!NOTE_122103"/>
    <hyperlink ref="K1271" location="Notes!NOTE_122103" display="Notes!NOTE_122103"/>
    <hyperlink ref="L1342" location="Notes!NOTE_1221t" display="Notes!NOTE_1221t"/>
    <hyperlink ref="M1381" location="Notes!NOTE_1221l" display="Notes!NOTE_1221l"/>
    <hyperlink ref="M1403" location="Notes!NOTE_1221l" display="Notes!NOTE_1221l"/>
    <hyperlink ref="L1422" location="Notes!NOTE_1221a" display="Notes!NOTE_1221a"/>
    <hyperlink ref="M1443" location="Notes!NOTE_1221a" display="Notes!NOTE_1221a"/>
    <hyperlink ref="J1007" location="Notes!NOTE_1221l" display="Notes!NOTE_1221l"/>
    <hyperlink ref="I1676" location="Notes!NOTE_1400a" display="Notes!NOTE_1400a"/>
    <hyperlink ref="N1693" location="Notes!NOTE_1400a" display="Notes!NOTE_1400a"/>
    <hyperlink ref="N1710" location="Notes!NOTE_1400a" display="Notes!NOTE_1400a"/>
    <hyperlink ref="K1863" location="Notes!NOTE_1505a" display="Notes!NOTE_1505a"/>
    <hyperlink ref="O1921" location="Notes!NOTE_1505a" display="Notes!NOTE_1505a"/>
    <hyperlink ref="O1856" location="Notes!NOTE_1505c" display="Notes!NOTE_1505c"/>
    <hyperlink ref="O1857" location="Notes!NOTE_1505d" display="Notes!NOTE_1505d"/>
    <hyperlink ref="O1858" location="Notes!NOTE_1505e" display="Notes!NOTE_1505e"/>
    <hyperlink ref="M2066" location="Notes!NOTE_1508d" display="Notes!NOTE_1508d"/>
    <hyperlink ref="M2067" location="Notes!NOTE_1508e" display="Notes!NOTE_1508e"/>
    <hyperlink ref="M2068" location="Notes!NOTE_1508f" display="Notes!NOTE_1508f"/>
    <hyperlink ref="K2228" location="Notes!NOTE_1531a" display="Notes!NOTE_1531a"/>
    <hyperlink ref="O2221" location="Notes!NOTE_1531i" display="Notes!NOTE_1531i"/>
    <hyperlink ref="O2222" location="Notes!NOTE_1531j" display="Notes!NOTE_1531j"/>
    <hyperlink ref="O2223" location="Notes!NOTE_1531k" display="Notes!NOTE_1531k"/>
    <hyperlink ref="M2287" location="Notes!NOTE_1531a" display="Notes!NOTE_1531a"/>
    <hyperlink ref="L2309" location="Notes!NOTE_1531p" display="Notes!NOTE_1531p"/>
    <hyperlink ref="O2343" location="Notes!NOTE_1531a" display="Notes!NOTE_1531a"/>
    <hyperlink ref="N2457" location="Notes!NOTE_1511c" display="Notes!NOTE_1511c"/>
    <hyperlink ref="N2425" location="Notes!NOTE_1511b" display="Notes!NOTE_1511b"/>
    <hyperlink ref="M2642" location="Notes!NOTE_1601k" display="Notes!NOTE_1601k"/>
    <hyperlink ref="M2643" location="Notes!NOTE_1606b" display="Notes!NOTE_1606b"/>
    <hyperlink ref="M2824" location="Notes!NOTE_1604a" display="Notes!NOTE_1604a"/>
    <hyperlink ref="M2825" location="Notes!NOTE_1605a" display="Notes!NOTE_1605a"/>
    <hyperlink ref="J3303" location="Notes!NOTE_1829e" display="Notes!NOTE_1829e"/>
    <hyperlink ref="J3469" location="Notes!NOTE_2202e" display="Notes!NOTE_2202e"/>
    <hyperlink ref="J3556" location="Notes!NOTE_2205f" display="Notes!NOTE_2205f"/>
    <hyperlink ref="L3655" location="Notes!NOTE_2211a" display="Notes!NOTE_2211a"/>
    <hyperlink ref="L3679" location="Notes!NOTE_2211a" display="Notes!NOTE_2211a"/>
    <hyperlink ref="M3767" location="Notes!NOTE_2231a" display="Notes!NOTE_2231a"/>
    <hyperlink ref="M3768" location="Notes!NOTE_2232a" display="Notes!NOTE_2232a"/>
    <hyperlink ref="M3769" location="Notes!NOTE_2241e" display="Notes!NOTE_2241e"/>
    <hyperlink ref="J3854" location="Notes!NOTE_2241e" display="Notes!NOTE_2241e"/>
    <hyperlink ref="M3934" location="Notes!NOTE_2501a" display="Notes!NOTE_2501a"/>
    <hyperlink ref="M3935" location="Notes!NOTE_2502b" display="Notes!NOTE_2502b"/>
    <hyperlink ref="M3936" location="Notes!NOTE_2706a" display="Notes!NOTE_2706a"/>
    <hyperlink ref="R3994" location="Notes!NOTE_2396a" display="Notes!NOTE_2396a"/>
    <hyperlink ref="J4134" location="Notes!NOTE_2706a" display="Notes!NOTE_2706a"/>
    <hyperlink ref="O4284" location="Notes!NOTE_2401a" display="Notes!NOTE_2401a"/>
    <hyperlink ref="P4276" location="Notes!NOTE_9371h" display="Notes!NOTE_9371h"/>
    <hyperlink ref="P4277" location="Notes!NOTE_9371i" display="Notes!NOTE_9371i"/>
    <hyperlink ref="N5290" location="Notes!NOTE_2401b" display="Notes!NOTE_2401b"/>
    <hyperlink ref="N5305" location="Notes!NOTE_2401b" display="Notes!NOTE_2401b"/>
    <hyperlink ref="N4640" location="Notes!NOTE_2221a" display="Notes!NOTE_2221a"/>
    <hyperlink ref="N4783" location="Notes!NOTE_9371h" display="Notes!NOTE_9371h"/>
    <hyperlink ref="N4784" location="Notes!NOTE_9371i" display="Notes!NOTE_9371i"/>
    <hyperlink ref="K4801" location="Notes!NOTE_2401b" display="Notes!NOTE_2401b"/>
    <hyperlink ref="L4812" location="Notes!NOTE_1511b" display="Notes!NOTE_1511b"/>
    <hyperlink ref="K4947" location="Notes!NOTE_6710a" display="Notes!NOTE_6710a"/>
    <hyperlink ref="L4939" location="Notes!NOTE_9371h" display="Notes!NOTE_9371h"/>
    <hyperlink ref="L4940" location="Notes!NOTE_9371i" display="Notes!NOTE_9371i"/>
    <hyperlink ref="N5291" location="Notes!NOTE_6710b" display="Notes!NOTE_6710b"/>
    <hyperlink ref="N5306" location="Notes!NOTE_6710b" display="Notes!NOTE_6710b"/>
    <hyperlink ref="M4970" location="Notes!NOTE_2221a" display="Notes!NOTE_2221a"/>
    <hyperlink ref="L734" location="Notes!NOTE_1124b" display="Notes!NOTE_1124b"/>
    <hyperlink ref="L756" location="Notes!NOTE_1124b" display="Notes!NOTE_1124b"/>
    <hyperlink ref="L805" location="Notes!NOTE_1124g" display="Notes!NOTE_1124g"/>
    <hyperlink ref="L827" location="Notes!NOTE_1124g" display="Notes!NOTE_1124g"/>
    <hyperlink ref="R853" location="Notes!NOTE_1124b" display="Notes!NOTE_1124b"/>
    <hyperlink ref="R854" location="Notes!NOTE_1124g" display="Notes!NOTE_1124g"/>
    <hyperlink ref="M1795" location="Notes!NOTE_1531a" display="Notes!NOTE_1531a"/>
    <hyperlink ref="M1793" location="Notes!NOTE_1505a" display="Notes!NOTE_1505a"/>
    <hyperlink ref="M1794" location="Notes!NOTE_1508a" display="Notes!NOTE_1508a"/>
    <hyperlink ref="O2131" location="Notes!NOTE_1508c" display="Notes!NOTE_1508c"/>
    <hyperlink ref="J2073" location="Notes!NOTE_1508a" display="Notes!NOTE_1508a"/>
  </hyperlinks>
  <pageMargins left="0.75" right="0.75" top="1" bottom="1" header="0.5" footer="0.5"/>
  <pageSetup paperSize="9" orientation="portrait" blackAndWhite="1"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pageSetUpPr fitToPage="1"/>
  </sheetPr>
  <dimension ref="A1:P66"/>
  <sheetViews>
    <sheetView showZeros="0" workbookViewId="0">
      <selection activeCell="G13" sqref="G13"/>
    </sheetView>
  </sheetViews>
  <sheetFormatPr defaultRowHeight="12"/>
  <cols>
    <col min="1" max="4" width="0.140625" style="2797" customWidth="1"/>
    <col min="5" max="5" width="28.7109375" style="1665" customWidth="1"/>
    <col min="6" max="6" width="6.7109375" style="1665" customWidth="1"/>
    <col min="7" max="8" width="14.7109375" style="1665" customWidth="1"/>
    <col min="9" max="9" width="28.7109375" style="1665" customWidth="1"/>
    <col min="10" max="10" width="6.7109375" style="1665" customWidth="1"/>
    <col min="11" max="12" width="14.7109375" style="1665" customWidth="1"/>
    <col min="13" max="13" width="15.7109375" style="1665" customWidth="1"/>
    <col min="14" max="256" width="9.140625" style="1665"/>
    <col min="257" max="260" width="0.140625" style="1665" customWidth="1"/>
    <col min="261" max="261" width="28.7109375" style="1665" customWidth="1"/>
    <col min="262" max="262" width="6.7109375" style="1665" customWidth="1"/>
    <col min="263" max="264" width="14.7109375" style="1665" customWidth="1"/>
    <col min="265" max="265" width="28.7109375" style="1665" customWidth="1"/>
    <col min="266" max="266" width="6.7109375" style="1665" customWidth="1"/>
    <col min="267" max="268" width="14.7109375" style="1665" customWidth="1"/>
    <col min="269" max="269" width="15.7109375" style="1665" customWidth="1"/>
    <col min="270" max="512" width="9.140625" style="1665"/>
    <col min="513" max="516" width="0.140625" style="1665" customWidth="1"/>
    <col min="517" max="517" width="28.7109375" style="1665" customWidth="1"/>
    <col min="518" max="518" width="6.7109375" style="1665" customWidth="1"/>
    <col min="519" max="520" width="14.7109375" style="1665" customWidth="1"/>
    <col min="521" max="521" width="28.7109375" style="1665" customWidth="1"/>
    <col min="522" max="522" width="6.7109375" style="1665" customWidth="1"/>
    <col min="523" max="524" width="14.7109375" style="1665" customWidth="1"/>
    <col min="525" max="525" width="15.7109375" style="1665" customWidth="1"/>
    <col min="526" max="768" width="9.140625" style="1665"/>
    <col min="769" max="772" width="0.140625" style="1665" customWidth="1"/>
    <col min="773" max="773" width="28.7109375" style="1665" customWidth="1"/>
    <col min="774" max="774" width="6.7109375" style="1665" customWidth="1"/>
    <col min="775" max="776" width="14.7109375" style="1665" customWidth="1"/>
    <col min="777" max="777" width="28.7109375" style="1665" customWidth="1"/>
    <col min="778" max="778" width="6.7109375" style="1665" customWidth="1"/>
    <col min="779" max="780" width="14.7109375" style="1665" customWidth="1"/>
    <col min="781" max="781" width="15.7109375" style="1665" customWidth="1"/>
    <col min="782" max="1024" width="9.140625" style="1665"/>
    <col min="1025" max="1028" width="0.140625" style="1665" customWidth="1"/>
    <col min="1029" max="1029" width="28.7109375" style="1665" customWidth="1"/>
    <col min="1030" max="1030" width="6.7109375" style="1665" customWidth="1"/>
    <col min="1031" max="1032" width="14.7109375" style="1665" customWidth="1"/>
    <col min="1033" max="1033" width="28.7109375" style="1665" customWidth="1"/>
    <col min="1034" max="1034" width="6.7109375" style="1665" customWidth="1"/>
    <col min="1035" max="1036" width="14.7109375" style="1665" customWidth="1"/>
    <col min="1037" max="1037" width="15.7109375" style="1665" customWidth="1"/>
    <col min="1038" max="1280" width="9.140625" style="1665"/>
    <col min="1281" max="1284" width="0.140625" style="1665" customWidth="1"/>
    <col min="1285" max="1285" width="28.7109375" style="1665" customWidth="1"/>
    <col min="1286" max="1286" width="6.7109375" style="1665" customWidth="1"/>
    <col min="1287" max="1288" width="14.7109375" style="1665" customWidth="1"/>
    <col min="1289" max="1289" width="28.7109375" style="1665" customWidth="1"/>
    <col min="1290" max="1290" width="6.7109375" style="1665" customWidth="1"/>
    <col min="1291" max="1292" width="14.7109375" style="1665" customWidth="1"/>
    <col min="1293" max="1293" width="15.7109375" style="1665" customWidth="1"/>
    <col min="1294" max="1536" width="9.140625" style="1665"/>
    <col min="1537" max="1540" width="0.140625" style="1665" customWidth="1"/>
    <col min="1541" max="1541" width="28.7109375" style="1665" customWidth="1"/>
    <col min="1542" max="1542" width="6.7109375" style="1665" customWidth="1"/>
    <col min="1543" max="1544" width="14.7109375" style="1665" customWidth="1"/>
    <col min="1545" max="1545" width="28.7109375" style="1665" customWidth="1"/>
    <col min="1546" max="1546" width="6.7109375" style="1665" customWidth="1"/>
    <col min="1547" max="1548" width="14.7109375" style="1665" customWidth="1"/>
    <col min="1549" max="1549" width="15.7109375" style="1665" customWidth="1"/>
    <col min="1550" max="1792" width="9.140625" style="1665"/>
    <col min="1793" max="1796" width="0.140625" style="1665" customWidth="1"/>
    <col min="1797" max="1797" width="28.7109375" style="1665" customWidth="1"/>
    <col min="1798" max="1798" width="6.7109375" style="1665" customWidth="1"/>
    <col min="1799" max="1800" width="14.7109375" style="1665" customWidth="1"/>
    <col min="1801" max="1801" width="28.7109375" style="1665" customWidth="1"/>
    <col min="1802" max="1802" width="6.7109375" style="1665" customWidth="1"/>
    <col min="1803" max="1804" width="14.7109375" style="1665" customWidth="1"/>
    <col min="1805" max="1805" width="15.7109375" style="1665" customWidth="1"/>
    <col min="1806" max="2048" width="9.140625" style="1665"/>
    <col min="2049" max="2052" width="0.140625" style="1665" customWidth="1"/>
    <col min="2053" max="2053" width="28.7109375" style="1665" customWidth="1"/>
    <col min="2054" max="2054" width="6.7109375" style="1665" customWidth="1"/>
    <col min="2055" max="2056" width="14.7109375" style="1665" customWidth="1"/>
    <col min="2057" max="2057" width="28.7109375" style="1665" customWidth="1"/>
    <col min="2058" max="2058" width="6.7109375" style="1665" customWidth="1"/>
    <col min="2059" max="2060" width="14.7109375" style="1665" customWidth="1"/>
    <col min="2061" max="2061" width="15.7109375" style="1665" customWidth="1"/>
    <col min="2062" max="2304" width="9.140625" style="1665"/>
    <col min="2305" max="2308" width="0.140625" style="1665" customWidth="1"/>
    <col min="2309" max="2309" width="28.7109375" style="1665" customWidth="1"/>
    <col min="2310" max="2310" width="6.7109375" style="1665" customWidth="1"/>
    <col min="2311" max="2312" width="14.7109375" style="1665" customWidth="1"/>
    <col min="2313" max="2313" width="28.7109375" style="1665" customWidth="1"/>
    <col min="2314" max="2314" width="6.7109375" style="1665" customWidth="1"/>
    <col min="2315" max="2316" width="14.7109375" style="1665" customWidth="1"/>
    <col min="2317" max="2317" width="15.7109375" style="1665" customWidth="1"/>
    <col min="2318" max="2560" width="9.140625" style="1665"/>
    <col min="2561" max="2564" width="0.140625" style="1665" customWidth="1"/>
    <col min="2565" max="2565" width="28.7109375" style="1665" customWidth="1"/>
    <col min="2566" max="2566" width="6.7109375" style="1665" customWidth="1"/>
    <col min="2567" max="2568" width="14.7109375" style="1665" customWidth="1"/>
    <col min="2569" max="2569" width="28.7109375" style="1665" customWidth="1"/>
    <col min="2570" max="2570" width="6.7109375" style="1665" customWidth="1"/>
    <col min="2571" max="2572" width="14.7109375" style="1665" customWidth="1"/>
    <col min="2573" max="2573" width="15.7109375" style="1665" customWidth="1"/>
    <col min="2574" max="2816" width="9.140625" style="1665"/>
    <col min="2817" max="2820" width="0.140625" style="1665" customWidth="1"/>
    <col min="2821" max="2821" width="28.7109375" style="1665" customWidth="1"/>
    <col min="2822" max="2822" width="6.7109375" style="1665" customWidth="1"/>
    <col min="2823" max="2824" width="14.7109375" style="1665" customWidth="1"/>
    <col min="2825" max="2825" width="28.7109375" style="1665" customWidth="1"/>
    <col min="2826" max="2826" width="6.7109375" style="1665" customWidth="1"/>
    <col min="2827" max="2828" width="14.7109375" style="1665" customWidth="1"/>
    <col min="2829" max="2829" width="15.7109375" style="1665" customWidth="1"/>
    <col min="2830" max="3072" width="9.140625" style="1665"/>
    <col min="3073" max="3076" width="0.140625" style="1665" customWidth="1"/>
    <col min="3077" max="3077" width="28.7109375" style="1665" customWidth="1"/>
    <col min="3078" max="3078" width="6.7109375" style="1665" customWidth="1"/>
    <col min="3079" max="3080" width="14.7109375" style="1665" customWidth="1"/>
    <col min="3081" max="3081" width="28.7109375" style="1665" customWidth="1"/>
    <col min="3082" max="3082" width="6.7109375" style="1665" customWidth="1"/>
    <col min="3083" max="3084" width="14.7109375" style="1665" customWidth="1"/>
    <col min="3085" max="3085" width="15.7109375" style="1665" customWidth="1"/>
    <col min="3086" max="3328" width="9.140625" style="1665"/>
    <col min="3329" max="3332" width="0.140625" style="1665" customWidth="1"/>
    <col min="3333" max="3333" width="28.7109375" style="1665" customWidth="1"/>
    <col min="3334" max="3334" width="6.7109375" style="1665" customWidth="1"/>
    <col min="3335" max="3336" width="14.7109375" style="1665" customWidth="1"/>
    <col min="3337" max="3337" width="28.7109375" style="1665" customWidth="1"/>
    <col min="3338" max="3338" width="6.7109375" style="1665" customWidth="1"/>
    <col min="3339" max="3340" width="14.7109375" style="1665" customWidth="1"/>
    <col min="3341" max="3341" width="15.7109375" style="1665" customWidth="1"/>
    <col min="3342" max="3584" width="9.140625" style="1665"/>
    <col min="3585" max="3588" width="0.140625" style="1665" customWidth="1"/>
    <col min="3589" max="3589" width="28.7109375" style="1665" customWidth="1"/>
    <col min="3590" max="3590" width="6.7109375" style="1665" customWidth="1"/>
    <col min="3591" max="3592" width="14.7109375" style="1665" customWidth="1"/>
    <col min="3593" max="3593" width="28.7109375" style="1665" customWidth="1"/>
    <col min="3594" max="3594" width="6.7109375" style="1665" customWidth="1"/>
    <col min="3595" max="3596" width="14.7109375" style="1665" customWidth="1"/>
    <col min="3597" max="3597" width="15.7109375" style="1665" customWidth="1"/>
    <col min="3598" max="3840" width="9.140625" style="1665"/>
    <col min="3841" max="3844" width="0.140625" style="1665" customWidth="1"/>
    <col min="3845" max="3845" width="28.7109375" style="1665" customWidth="1"/>
    <col min="3846" max="3846" width="6.7109375" style="1665" customWidth="1"/>
    <col min="3847" max="3848" width="14.7109375" style="1665" customWidth="1"/>
    <col min="3849" max="3849" width="28.7109375" style="1665" customWidth="1"/>
    <col min="3850" max="3850" width="6.7109375" style="1665" customWidth="1"/>
    <col min="3851" max="3852" width="14.7109375" style="1665" customWidth="1"/>
    <col min="3853" max="3853" width="15.7109375" style="1665" customWidth="1"/>
    <col min="3854" max="4096" width="9.140625" style="1665"/>
    <col min="4097" max="4100" width="0.140625" style="1665" customWidth="1"/>
    <col min="4101" max="4101" width="28.7109375" style="1665" customWidth="1"/>
    <col min="4102" max="4102" width="6.7109375" style="1665" customWidth="1"/>
    <col min="4103" max="4104" width="14.7109375" style="1665" customWidth="1"/>
    <col min="4105" max="4105" width="28.7109375" style="1665" customWidth="1"/>
    <col min="4106" max="4106" width="6.7109375" style="1665" customWidth="1"/>
    <col min="4107" max="4108" width="14.7109375" style="1665" customWidth="1"/>
    <col min="4109" max="4109" width="15.7109375" style="1665" customWidth="1"/>
    <col min="4110" max="4352" width="9.140625" style="1665"/>
    <col min="4353" max="4356" width="0.140625" style="1665" customWidth="1"/>
    <col min="4357" max="4357" width="28.7109375" style="1665" customWidth="1"/>
    <col min="4358" max="4358" width="6.7109375" style="1665" customWidth="1"/>
    <col min="4359" max="4360" width="14.7109375" style="1665" customWidth="1"/>
    <col min="4361" max="4361" width="28.7109375" style="1665" customWidth="1"/>
    <col min="4362" max="4362" width="6.7109375" style="1665" customWidth="1"/>
    <col min="4363" max="4364" width="14.7109375" style="1665" customWidth="1"/>
    <col min="4365" max="4365" width="15.7109375" style="1665" customWidth="1"/>
    <col min="4366" max="4608" width="9.140625" style="1665"/>
    <col min="4609" max="4612" width="0.140625" style="1665" customWidth="1"/>
    <col min="4613" max="4613" width="28.7109375" style="1665" customWidth="1"/>
    <col min="4614" max="4614" width="6.7109375" style="1665" customWidth="1"/>
    <col min="4615" max="4616" width="14.7109375" style="1665" customWidth="1"/>
    <col min="4617" max="4617" width="28.7109375" style="1665" customWidth="1"/>
    <col min="4618" max="4618" width="6.7109375" style="1665" customWidth="1"/>
    <col min="4619" max="4620" width="14.7109375" style="1665" customWidth="1"/>
    <col min="4621" max="4621" width="15.7109375" style="1665" customWidth="1"/>
    <col min="4622" max="4864" width="9.140625" style="1665"/>
    <col min="4865" max="4868" width="0.140625" style="1665" customWidth="1"/>
    <col min="4869" max="4869" width="28.7109375" style="1665" customWidth="1"/>
    <col min="4870" max="4870" width="6.7109375" style="1665" customWidth="1"/>
    <col min="4871" max="4872" width="14.7109375" style="1665" customWidth="1"/>
    <col min="4873" max="4873" width="28.7109375" style="1665" customWidth="1"/>
    <col min="4874" max="4874" width="6.7109375" style="1665" customWidth="1"/>
    <col min="4875" max="4876" width="14.7109375" style="1665" customWidth="1"/>
    <col min="4877" max="4877" width="15.7109375" style="1665" customWidth="1"/>
    <col min="4878" max="5120" width="9.140625" style="1665"/>
    <col min="5121" max="5124" width="0.140625" style="1665" customWidth="1"/>
    <col min="5125" max="5125" width="28.7109375" style="1665" customWidth="1"/>
    <col min="5126" max="5126" width="6.7109375" style="1665" customWidth="1"/>
    <col min="5127" max="5128" width="14.7109375" style="1665" customWidth="1"/>
    <col min="5129" max="5129" width="28.7109375" style="1665" customWidth="1"/>
    <col min="5130" max="5130" width="6.7109375" style="1665" customWidth="1"/>
    <col min="5131" max="5132" width="14.7109375" style="1665" customWidth="1"/>
    <col min="5133" max="5133" width="15.7109375" style="1665" customWidth="1"/>
    <col min="5134" max="5376" width="9.140625" style="1665"/>
    <col min="5377" max="5380" width="0.140625" style="1665" customWidth="1"/>
    <col min="5381" max="5381" width="28.7109375" style="1665" customWidth="1"/>
    <col min="5382" max="5382" width="6.7109375" style="1665" customWidth="1"/>
    <col min="5383" max="5384" width="14.7109375" style="1665" customWidth="1"/>
    <col min="5385" max="5385" width="28.7109375" style="1665" customWidth="1"/>
    <col min="5386" max="5386" width="6.7109375" style="1665" customWidth="1"/>
    <col min="5387" max="5388" width="14.7109375" style="1665" customWidth="1"/>
    <col min="5389" max="5389" width="15.7109375" style="1665" customWidth="1"/>
    <col min="5390" max="5632" width="9.140625" style="1665"/>
    <col min="5633" max="5636" width="0.140625" style="1665" customWidth="1"/>
    <col min="5637" max="5637" width="28.7109375" style="1665" customWidth="1"/>
    <col min="5638" max="5638" width="6.7109375" style="1665" customWidth="1"/>
    <col min="5639" max="5640" width="14.7109375" style="1665" customWidth="1"/>
    <col min="5641" max="5641" width="28.7109375" style="1665" customWidth="1"/>
    <col min="5642" max="5642" width="6.7109375" style="1665" customWidth="1"/>
    <col min="5643" max="5644" width="14.7109375" style="1665" customWidth="1"/>
    <col min="5645" max="5645" width="15.7109375" style="1665" customWidth="1"/>
    <col min="5646" max="5888" width="9.140625" style="1665"/>
    <col min="5889" max="5892" width="0.140625" style="1665" customWidth="1"/>
    <col min="5893" max="5893" width="28.7109375" style="1665" customWidth="1"/>
    <col min="5894" max="5894" width="6.7109375" style="1665" customWidth="1"/>
    <col min="5895" max="5896" width="14.7109375" style="1665" customWidth="1"/>
    <col min="5897" max="5897" width="28.7109375" style="1665" customWidth="1"/>
    <col min="5898" max="5898" width="6.7109375" style="1665" customWidth="1"/>
    <col min="5899" max="5900" width="14.7109375" style="1665" customWidth="1"/>
    <col min="5901" max="5901" width="15.7109375" style="1665" customWidth="1"/>
    <col min="5902" max="6144" width="9.140625" style="1665"/>
    <col min="6145" max="6148" width="0.140625" style="1665" customWidth="1"/>
    <col min="6149" max="6149" width="28.7109375" style="1665" customWidth="1"/>
    <col min="6150" max="6150" width="6.7109375" style="1665" customWidth="1"/>
    <col min="6151" max="6152" width="14.7109375" style="1665" customWidth="1"/>
    <col min="6153" max="6153" width="28.7109375" style="1665" customWidth="1"/>
    <col min="6154" max="6154" width="6.7109375" style="1665" customWidth="1"/>
    <col min="6155" max="6156" width="14.7109375" style="1665" customWidth="1"/>
    <col min="6157" max="6157" width="15.7109375" style="1665" customWidth="1"/>
    <col min="6158" max="6400" width="9.140625" style="1665"/>
    <col min="6401" max="6404" width="0.140625" style="1665" customWidth="1"/>
    <col min="6405" max="6405" width="28.7109375" style="1665" customWidth="1"/>
    <col min="6406" max="6406" width="6.7109375" style="1665" customWidth="1"/>
    <col min="6407" max="6408" width="14.7109375" style="1665" customWidth="1"/>
    <col min="6409" max="6409" width="28.7109375" style="1665" customWidth="1"/>
    <col min="6410" max="6410" width="6.7109375" style="1665" customWidth="1"/>
    <col min="6411" max="6412" width="14.7109375" style="1665" customWidth="1"/>
    <col min="6413" max="6413" width="15.7109375" style="1665" customWidth="1"/>
    <col min="6414" max="6656" width="9.140625" style="1665"/>
    <col min="6657" max="6660" width="0.140625" style="1665" customWidth="1"/>
    <col min="6661" max="6661" width="28.7109375" style="1665" customWidth="1"/>
    <col min="6662" max="6662" width="6.7109375" style="1665" customWidth="1"/>
    <col min="6663" max="6664" width="14.7109375" style="1665" customWidth="1"/>
    <col min="6665" max="6665" width="28.7109375" style="1665" customWidth="1"/>
    <col min="6666" max="6666" width="6.7109375" style="1665" customWidth="1"/>
    <col min="6667" max="6668" width="14.7109375" style="1665" customWidth="1"/>
    <col min="6669" max="6669" width="15.7109375" style="1665" customWidth="1"/>
    <col min="6670" max="6912" width="9.140625" style="1665"/>
    <col min="6913" max="6916" width="0.140625" style="1665" customWidth="1"/>
    <col min="6917" max="6917" width="28.7109375" style="1665" customWidth="1"/>
    <col min="6918" max="6918" width="6.7109375" style="1665" customWidth="1"/>
    <col min="6919" max="6920" width="14.7109375" style="1665" customWidth="1"/>
    <col min="6921" max="6921" width="28.7109375" style="1665" customWidth="1"/>
    <col min="6922" max="6922" width="6.7109375" style="1665" customWidth="1"/>
    <col min="6923" max="6924" width="14.7109375" style="1665" customWidth="1"/>
    <col min="6925" max="6925" width="15.7109375" style="1665" customWidth="1"/>
    <col min="6926" max="7168" width="9.140625" style="1665"/>
    <col min="7169" max="7172" width="0.140625" style="1665" customWidth="1"/>
    <col min="7173" max="7173" width="28.7109375" style="1665" customWidth="1"/>
    <col min="7174" max="7174" width="6.7109375" style="1665" customWidth="1"/>
    <col min="7175" max="7176" width="14.7109375" style="1665" customWidth="1"/>
    <col min="7177" max="7177" width="28.7109375" style="1665" customWidth="1"/>
    <col min="7178" max="7178" width="6.7109375" style="1665" customWidth="1"/>
    <col min="7179" max="7180" width="14.7109375" style="1665" customWidth="1"/>
    <col min="7181" max="7181" width="15.7109375" style="1665" customWidth="1"/>
    <col min="7182" max="7424" width="9.140625" style="1665"/>
    <col min="7425" max="7428" width="0.140625" style="1665" customWidth="1"/>
    <col min="7429" max="7429" width="28.7109375" style="1665" customWidth="1"/>
    <col min="7430" max="7430" width="6.7109375" style="1665" customWidth="1"/>
    <col min="7431" max="7432" width="14.7109375" style="1665" customWidth="1"/>
    <col min="7433" max="7433" width="28.7109375" style="1665" customWidth="1"/>
    <col min="7434" max="7434" width="6.7109375" style="1665" customWidth="1"/>
    <col min="7435" max="7436" width="14.7109375" style="1665" customWidth="1"/>
    <col min="7437" max="7437" width="15.7109375" style="1665" customWidth="1"/>
    <col min="7438" max="7680" width="9.140625" style="1665"/>
    <col min="7681" max="7684" width="0.140625" style="1665" customWidth="1"/>
    <col min="7685" max="7685" width="28.7109375" style="1665" customWidth="1"/>
    <col min="7686" max="7686" width="6.7109375" style="1665" customWidth="1"/>
    <col min="7687" max="7688" width="14.7109375" style="1665" customWidth="1"/>
    <col min="7689" max="7689" width="28.7109375" style="1665" customWidth="1"/>
    <col min="7690" max="7690" width="6.7109375" style="1665" customWidth="1"/>
    <col min="7691" max="7692" width="14.7109375" style="1665" customWidth="1"/>
    <col min="7693" max="7693" width="15.7109375" style="1665" customWidth="1"/>
    <col min="7694" max="7936" width="9.140625" style="1665"/>
    <col min="7937" max="7940" width="0.140625" style="1665" customWidth="1"/>
    <col min="7941" max="7941" width="28.7109375" style="1665" customWidth="1"/>
    <col min="7942" max="7942" width="6.7109375" style="1665" customWidth="1"/>
    <col min="7943" max="7944" width="14.7109375" style="1665" customWidth="1"/>
    <col min="7945" max="7945" width="28.7109375" style="1665" customWidth="1"/>
    <col min="7946" max="7946" width="6.7109375" style="1665" customWidth="1"/>
    <col min="7947" max="7948" width="14.7109375" style="1665" customWidth="1"/>
    <col min="7949" max="7949" width="15.7109375" style="1665" customWidth="1"/>
    <col min="7950" max="8192" width="9.140625" style="1665"/>
    <col min="8193" max="8196" width="0.140625" style="1665" customWidth="1"/>
    <col min="8197" max="8197" width="28.7109375" style="1665" customWidth="1"/>
    <col min="8198" max="8198" width="6.7109375" style="1665" customWidth="1"/>
    <col min="8199" max="8200" width="14.7109375" style="1665" customWidth="1"/>
    <col min="8201" max="8201" width="28.7109375" style="1665" customWidth="1"/>
    <col min="8202" max="8202" width="6.7109375" style="1665" customWidth="1"/>
    <col min="8203" max="8204" width="14.7109375" style="1665" customWidth="1"/>
    <col min="8205" max="8205" width="15.7109375" style="1665" customWidth="1"/>
    <col min="8206" max="8448" width="9.140625" style="1665"/>
    <col min="8449" max="8452" width="0.140625" style="1665" customWidth="1"/>
    <col min="8453" max="8453" width="28.7109375" style="1665" customWidth="1"/>
    <col min="8454" max="8454" width="6.7109375" style="1665" customWidth="1"/>
    <col min="8455" max="8456" width="14.7109375" style="1665" customWidth="1"/>
    <col min="8457" max="8457" width="28.7109375" style="1665" customWidth="1"/>
    <col min="8458" max="8458" width="6.7109375" style="1665" customWidth="1"/>
    <col min="8459" max="8460" width="14.7109375" style="1665" customWidth="1"/>
    <col min="8461" max="8461" width="15.7109375" style="1665" customWidth="1"/>
    <col min="8462" max="8704" width="9.140625" style="1665"/>
    <col min="8705" max="8708" width="0.140625" style="1665" customWidth="1"/>
    <col min="8709" max="8709" width="28.7109375" style="1665" customWidth="1"/>
    <col min="8710" max="8710" width="6.7109375" style="1665" customWidth="1"/>
    <col min="8711" max="8712" width="14.7109375" style="1665" customWidth="1"/>
    <col min="8713" max="8713" width="28.7109375" style="1665" customWidth="1"/>
    <col min="8714" max="8714" width="6.7109375" style="1665" customWidth="1"/>
    <col min="8715" max="8716" width="14.7109375" style="1665" customWidth="1"/>
    <col min="8717" max="8717" width="15.7109375" style="1665" customWidth="1"/>
    <col min="8718" max="8960" width="9.140625" style="1665"/>
    <col min="8961" max="8964" width="0.140625" style="1665" customWidth="1"/>
    <col min="8965" max="8965" width="28.7109375" style="1665" customWidth="1"/>
    <col min="8966" max="8966" width="6.7109375" style="1665" customWidth="1"/>
    <col min="8967" max="8968" width="14.7109375" style="1665" customWidth="1"/>
    <col min="8969" max="8969" width="28.7109375" style="1665" customWidth="1"/>
    <col min="8970" max="8970" width="6.7109375" style="1665" customWidth="1"/>
    <col min="8971" max="8972" width="14.7109375" style="1665" customWidth="1"/>
    <col min="8973" max="8973" width="15.7109375" style="1665" customWidth="1"/>
    <col min="8974" max="9216" width="9.140625" style="1665"/>
    <col min="9217" max="9220" width="0.140625" style="1665" customWidth="1"/>
    <col min="9221" max="9221" width="28.7109375" style="1665" customWidth="1"/>
    <col min="9222" max="9222" width="6.7109375" style="1665" customWidth="1"/>
    <col min="9223" max="9224" width="14.7109375" style="1665" customWidth="1"/>
    <col min="9225" max="9225" width="28.7109375" style="1665" customWidth="1"/>
    <col min="9226" max="9226" width="6.7109375" style="1665" customWidth="1"/>
    <col min="9227" max="9228" width="14.7109375" style="1665" customWidth="1"/>
    <col min="9229" max="9229" width="15.7109375" style="1665" customWidth="1"/>
    <col min="9230" max="9472" width="9.140625" style="1665"/>
    <col min="9473" max="9476" width="0.140625" style="1665" customWidth="1"/>
    <col min="9477" max="9477" width="28.7109375" style="1665" customWidth="1"/>
    <col min="9478" max="9478" width="6.7109375" style="1665" customWidth="1"/>
    <col min="9479" max="9480" width="14.7109375" style="1665" customWidth="1"/>
    <col min="9481" max="9481" width="28.7109375" style="1665" customWidth="1"/>
    <col min="9482" max="9482" width="6.7109375" style="1665" customWidth="1"/>
    <col min="9483" max="9484" width="14.7109375" style="1665" customWidth="1"/>
    <col min="9485" max="9485" width="15.7109375" style="1665" customWidth="1"/>
    <col min="9486" max="9728" width="9.140625" style="1665"/>
    <col min="9729" max="9732" width="0.140625" style="1665" customWidth="1"/>
    <col min="9733" max="9733" width="28.7109375" style="1665" customWidth="1"/>
    <col min="9734" max="9734" width="6.7109375" style="1665" customWidth="1"/>
    <col min="9735" max="9736" width="14.7109375" style="1665" customWidth="1"/>
    <col min="9737" max="9737" width="28.7109375" style="1665" customWidth="1"/>
    <col min="9738" max="9738" width="6.7109375" style="1665" customWidth="1"/>
    <col min="9739" max="9740" width="14.7109375" style="1665" customWidth="1"/>
    <col min="9741" max="9741" width="15.7109375" style="1665" customWidth="1"/>
    <col min="9742" max="9984" width="9.140625" style="1665"/>
    <col min="9985" max="9988" width="0.140625" style="1665" customWidth="1"/>
    <col min="9989" max="9989" width="28.7109375" style="1665" customWidth="1"/>
    <col min="9990" max="9990" width="6.7109375" style="1665" customWidth="1"/>
    <col min="9991" max="9992" width="14.7109375" style="1665" customWidth="1"/>
    <col min="9993" max="9993" width="28.7109375" style="1665" customWidth="1"/>
    <col min="9994" max="9994" width="6.7109375" style="1665" customWidth="1"/>
    <col min="9995" max="9996" width="14.7109375" style="1665" customWidth="1"/>
    <col min="9997" max="9997" width="15.7109375" style="1665" customWidth="1"/>
    <col min="9998" max="10240" width="9.140625" style="1665"/>
    <col min="10241" max="10244" width="0.140625" style="1665" customWidth="1"/>
    <col min="10245" max="10245" width="28.7109375" style="1665" customWidth="1"/>
    <col min="10246" max="10246" width="6.7109375" style="1665" customWidth="1"/>
    <col min="10247" max="10248" width="14.7109375" style="1665" customWidth="1"/>
    <col min="10249" max="10249" width="28.7109375" style="1665" customWidth="1"/>
    <col min="10250" max="10250" width="6.7109375" style="1665" customWidth="1"/>
    <col min="10251" max="10252" width="14.7109375" style="1665" customWidth="1"/>
    <col min="10253" max="10253" width="15.7109375" style="1665" customWidth="1"/>
    <col min="10254" max="10496" width="9.140625" style="1665"/>
    <col min="10497" max="10500" width="0.140625" style="1665" customWidth="1"/>
    <col min="10501" max="10501" width="28.7109375" style="1665" customWidth="1"/>
    <col min="10502" max="10502" width="6.7109375" style="1665" customWidth="1"/>
    <col min="10503" max="10504" width="14.7109375" style="1665" customWidth="1"/>
    <col min="10505" max="10505" width="28.7109375" style="1665" customWidth="1"/>
    <col min="10506" max="10506" width="6.7109375" style="1665" customWidth="1"/>
    <col min="10507" max="10508" width="14.7109375" style="1665" customWidth="1"/>
    <col min="10509" max="10509" width="15.7109375" style="1665" customWidth="1"/>
    <col min="10510" max="10752" width="9.140625" style="1665"/>
    <col min="10753" max="10756" width="0.140625" style="1665" customWidth="1"/>
    <col min="10757" max="10757" width="28.7109375" style="1665" customWidth="1"/>
    <col min="10758" max="10758" width="6.7109375" style="1665" customWidth="1"/>
    <col min="10759" max="10760" width="14.7109375" style="1665" customWidth="1"/>
    <col min="10761" max="10761" width="28.7109375" style="1665" customWidth="1"/>
    <col min="10762" max="10762" width="6.7109375" style="1665" customWidth="1"/>
    <col min="10763" max="10764" width="14.7109375" style="1665" customWidth="1"/>
    <col min="10765" max="10765" width="15.7109375" style="1665" customWidth="1"/>
    <col min="10766" max="11008" width="9.140625" style="1665"/>
    <col min="11009" max="11012" width="0.140625" style="1665" customWidth="1"/>
    <col min="11013" max="11013" width="28.7109375" style="1665" customWidth="1"/>
    <col min="11014" max="11014" width="6.7109375" style="1665" customWidth="1"/>
    <col min="11015" max="11016" width="14.7109375" style="1665" customWidth="1"/>
    <col min="11017" max="11017" width="28.7109375" style="1665" customWidth="1"/>
    <col min="11018" max="11018" width="6.7109375" style="1665" customWidth="1"/>
    <col min="11019" max="11020" width="14.7109375" style="1665" customWidth="1"/>
    <col min="11021" max="11021" width="15.7109375" style="1665" customWidth="1"/>
    <col min="11022" max="11264" width="9.140625" style="1665"/>
    <col min="11265" max="11268" width="0.140625" style="1665" customWidth="1"/>
    <col min="11269" max="11269" width="28.7109375" style="1665" customWidth="1"/>
    <col min="11270" max="11270" width="6.7109375" style="1665" customWidth="1"/>
    <col min="11271" max="11272" width="14.7109375" style="1665" customWidth="1"/>
    <col min="11273" max="11273" width="28.7109375" style="1665" customWidth="1"/>
    <col min="11274" max="11274" width="6.7109375" style="1665" customWidth="1"/>
    <col min="11275" max="11276" width="14.7109375" style="1665" customWidth="1"/>
    <col min="11277" max="11277" width="15.7109375" style="1665" customWidth="1"/>
    <col min="11278" max="11520" width="9.140625" style="1665"/>
    <col min="11521" max="11524" width="0.140625" style="1665" customWidth="1"/>
    <col min="11525" max="11525" width="28.7109375" style="1665" customWidth="1"/>
    <col min="11526" max="11526" width="6.7109375" style="1665" customWidth="1"/>
    <col min="11527" max="11528" width="14.7109375" style="1665" customWidth="1"/>
    <col min="11529" max="11529" width="28.7109375" style="1665" customWidth="1"/>
    <col min="11530" max="11530" width="6.7109375" style="1665" customWidth="1"/>
    <col min="11531" max="11532" width="14.7109375" style="1665" customWidth="1"/>
    <col min="11533" max="11533" width="15.7109375" style="1665" customWidth="1"/>
    <col min="11534" max="11776" width="9.140625" style="1665"/>
    <col min="11777" max="11780" width="0.140625" style="1665" customWidth="1"/>
    <col min="11781" max="11781" width="28.7109375" style="1665" customWidth="1"/>
    <col min="11782" max="11782" width="6.7109375" style="1665" customWidth="1"/>
    <col min="11783" max="11784" width="14.7109375" style="1665" customWidth="1"/>
    <col min="11785" max="11785" width="28.7109375" style="1665" customWidth="1"/>
    <col min="11786" max="11786" width="6.7109375" style="1665" customWidth="1"/>
    <col min="11787" max="11788" width="14.7109375" style="1665" customWidth="1"/>
    <col min="11789" max="11789" width="15.7109375" style="1665" customWidth="1"/>
    <col min="11790" max="12032" width="9.140625" style="1665"/>
    <col min="12033" max="12036" width="0.140625" style="1665" customWidth="1"/>
    <col min="12037" max="12037" width="28.7109375" style="1665" customWidth="1"/>
    <col min="12038" max="12038" width="6.7109375" style="1665" customWidth="1"/>
    <col min="12039" max="12040" width="14.7109375" style="1665" customWidth="1"/>
    <col min="12041" max="12041" width="28.7109375" style="1665" customWidth="1"/>
    <col min="12042" max="12042" width="6.7109375" style="1665" customWidth="1"/>
    <col min="12043" max="12044" width="14.7109375" style="1665" customWidth="1"/>
    <col min="12045" max="12045" width="15.7109375" style="1665" customWidth="1"/>
    <col min="12046" max="12288" width="9.140625" style="1665"/>
    <col min="12289" max="12292" width="0.140625" style="1665" customWidth="1"/>
    <col min="12293" max="12293" width="28.7109375" style="1665" customWidth="1"/>
    <col min="12294" max="12294" width="6.7109375" style="1665" customWidth="1"/>
    <col min="12295" max="12296" width="14.7109375" style="1665" customWidth="1"/>
    <col min="12297" max="12297" width="28.7109375" style="1665" customWidth="1"/>
    <col min="12298" max="12298" width="6.7109375" style="1665" customWidth="1"/>
    <col min="12299" max="12300" width="14.7109375" style="1665" customWidth="1"/>
    <col min="12301" max="12301" width="15.7109375" style="1665" customWidth="1"/>
    <col min="12302" max="12544" width="9.140625" style="1665"/>
    <col min="12545" max="12548" width="0.140625" style="1665" customWidth="1"/>
    <col min="12549" max="12549" width="28.7109375" style="1665" customWidth="1"/>
    <col min="12550" max="12550" width="6.7109375" style="1665" customWidth="1"/>
    <col min="12551" max="12552" width="14.7109375" style="1665" customWidth="1"/>
    <col min="12553" max="12553" width="28.7109375" style="1665" customWidth="1"/>
    <col min="12554" max="12554" width="6.7109375" style="1665" customWidth="1"/>
    <col min="12555" max="12556" width="14.7109375" style="1665" customWidth="1"/>
    <col min="12557" max="12557" width="15.7109375" style="1665" customWidth="1"/>
    <col min="12558" max="12800" width="9.140625" style="1665"/>
    <col min="12801" max="12804" width="0.140625" style="1665" customWidth="1"/>
    <col min="12805" max="12805" width="28.7109375" style="1665" customWidth="1"/>
    <col min="12806" max="12806" width="6.7109375" style="1665" customWidth="1"/>
    <col min="12807" max="12808" width="14.7109375" style="1665" customWidth="1"/>
    <col min="12809" max="12809" width="28.7109375" style="1665" customWidth="1"/>
    <col min="12810" max="12810" width="6.7109375" style="1665" customWidth="1"/>
    <col min="12811" max="12812" width="14.7109375" style="1665" customWidth="1"/>
    <col min="12813" max="12813" width="15.7109375" style="1665" customWidth="1"/>
    <col min="12814" max="13056" width="9.140625" style="1665"/>
    <col min="13057" max="13060" width="0.140625" style="1665" customWidth="1"/>
    <col min="13061" max="13061" width="28.7109375" style="1665" customWidth="1"/>
    <col min="13062" max="13062" width="6.7109375" style="1665" customWidth="1"/>
    <col min="13063" max="13064" width="14.7109375" style="1665" customWidth="1"/>
    <col min="13065" max="13065" width="28.7109375" style="1665" customWidth="1"/>
    <col min="13066" max="13066" width="6.7109375" style="1665" customWidth="1"/>
    <col min="13067" max="13068" width="14.7109375" style="1665" customWidth="1"/>
    <col min="13069" max="13069" width="15.7109375" style="1665" customWidth="1"/>
    <col min="13070" max="13312" width="9.140625" style="1665"/>
    <col min="13313" max="13316" width="0.140625" style="1665" customWidth="1"/>
    <col min="13317" max="13317" width="28.7109375" style="1665" customWidth="1"/>
    <col min="13318" max="13318" width="6.7109375" style="1665" customWidth="1"/>
    <col min="13319" max="13320" width="14.7109375" style="1665" customWidth="1"/>
    <col min="13321" max="13321" width="28.7109375" style="1665" customWidth="1"/>
    <col min="13322" max="13322" width="6.7109375" style="1665" customWidth="1"/>
    <col min="13323" max="13324" width="14.7109375" style="1665" customWidth="1"/>
    <col min="13325" max="13325" width="15.7109375" style="1665" customWidth="1"/>
    <col min="13326" max="13568" width="9.140625" style="1665"/>
    <col min="13569" max="13572" width="0.140625" style="1665" customWidth="1"/>
    <col min="13573" max="13573" width="28.7109375" style="1665" customWidth="1"/>
    <col min="13574" max="13574" width="6.7109375" style="1665" customWidth="1"/>
    <col min="13575" max="13576" width="14.7109375" style="1665" customWidth="1"/>
    <col min="13577" max="13577" width="28.7109375" style="1665" customWidth="1"/>
    <col min="13578" max="13578" width="6.7109375" style="1665" customWidth="1"/>
    <col min="13579" max="13580" width="14.7109375" style="1665" customWidth="1"/>
    <col min="13581" max="13581" width="15.7109375" style="1665" customWidth="1"/>
    <col min="13582" max="13824" width="9.140625" style="1665"/>
    <col min="13825" max="13828" width="0.140625" style="1665" customWidth="1"/>
    <col min="13829" max="13829" width="28.7109375" style="1665" customWidth="1"/>
    <col min="13830" max="13830" width="6.7109375" style="1665" customWidth="1"/>
    <col min="13831" max="13832" width="14.7109375" style="1665" customWidth="1"/>
    <col min="13833" max="13833" width="28.7109375" style="1665" customWidth="1"/>
    <col min="13834" max="13834" width="6.7109375" style="1665" customWidth="1"/>
    <col min="13835" max="13836" width="14.7109375" style="1665" customWidth="1"/>
    <col min="13837" max="13837" width="15.7109375" style="1665" customWidth="1"/>
    <col min="13838" max="14080" width="9.140625" style="1665"/>
    <col min="14081" max="14084" width="0.140625" style="1665" customWidth="1"/>
    <col min="14085" max="14085" width="28.7109375" style="1665" customWidth="1"/>
    <col min="14086" max="14086" width="6.7109375" style="1665" customWidth="1"/>
    <col min="14087" max="14088" width="14.7109375" style="1665" customWidth="1"/>
    <col min="14089" max="14089" width="28.7109375" style="1665" customWidth="1"/>
    <col min="14090" max="14090" width="6.7109375" style="1665" customWidth="1"/>
    <col min="14091" max="14092" width="14.7109375" style="1665" customWidth="1"/>
    <col min="14093" max="14093" width="15.7109375" style="1665" customWidth="1"/>
    <col min="14094" max="14336" width="9.140625" style="1665"/>
    <col min="14337" max="14340" width="0.140625" style="1665" customWidth="1"/>
    <col min="14341" max="14341" width="28.7109375" style="1665" customWidth="1"/>
    <col min="14342" max="14342" width="6.7109375" style="1665" customWidth="1"/>
    <col min="14343" max="14344" width="14.7109375" style="1665" customWidth="1"/>
    <col min="14345" max="14345" width="28.7109375" style="1665" customWidth="1"/>
    <col min="14346" max="14346" width="6.7109375" style="1665" customWidth="1"/>
    <col min="14347" max="14348" width="14.7109375" style="1665" customWidth="1"/>
    <col min="14349" max="14349" width="15.7109375" style="1665" customWidth="1"/>
    <col min="14350" max="14592" width="9.140625" style="1665"/>
    <col min="14593" max="14596" width="0.140625" style="1665" customWidth="1"/>
    <col min="14597" max="14597" width="28.7109375" style="1665" customWidth="1"/>
    <col min="14598" max="14598" width="6.7109375" style="1665" customWidth="1"/>
    <col min="14599" max="14600" width="14.7109375" style="1665" customWidth="1"/>
    <col min="14601" max="14601" width="28.7109375" style="1665" customWidth="1"/>
    <col min="14602" max="14602" width="6.7109375" style="1665" customWidth="1"/>
    <col min="14603" max="14604" width="14.7109375" style="1665" customWidth="1"/>
    <col min="14605" max="14605" width="15.7109375" style="1665" customWidth="1"/>
    <col min="14606" max="14848" width="9.140625" style="1665"/>
    <col min="14849" max="14852" width="0.140625" style="1665" customWidth="1"/>
    <col min="14853" max="14853" width="28.7109375" style="1665" customWidth="1"/>
    <col min="14854" max="14854" width="6.7109375" style="1665" customWidth="1"/>
    <col min="14855" max="14856" width="14.7109375" style="1665" customWidth="1"/>
    <col min="14857" max="14857" width="28.7109375" style="1665" customWidth="1"/>
    <col min="14858" max="14858" width="6.7109375" style="1665" customWidth="1"/>
    <col min="14859" max="14860" width="14.7109375" style="1665" customWidth="1"/>
    <col min="14861" max="14861" width="15.7109375" style="1665" customWidth="1"/>
    <col min="14862" max="15104" width="9.140625" style="1665"/>
    <col min="15105" max="15108" width="0.140625" style="1665" customWidth="1"/>
    <col min="15109" max="15109" width="28.7109375" style="1665" customWidth="1"/>
    <col min="15110" max="15110" width="6.7109375" style="1665" customWidth="1"/>
    <col min="15111" max="15112" width="14.7109375" style="1665" customWidth="1"/>
    <col min="15113" max="15113" width="28.7109375" style="1665" customWidth="1"/>
    <col min="15114" max="15114" width="6.7109375" style="1665" customWidth="1"/>
    <col min="15115" max="15116" width="14.7109375" style="1665" customWidth="1"/>
    <col min="15117" max="15117" width="15.7109375" style="1665" customWidth="1"/>
    <col min="15118" max="15360" width="9.140625" style="1665"/>
    <col min="15361" max="15364" width="0.140625" style="1665" customWidth="1"/>
    <col min="15365" max="15365" width="28.7109375" style="1665" customWidth="1"/>
    <col min="15366" max="15366" width="6.7109375" style="1665" customWidth="1"/>
    <col min="15367" max="15368" width="14.7109375" style="1665" customWidth="1"/>
    <col min="15369" max="15369" width="28.7109375" style="1665" customWidth="1"/>
    <col min="15370" max="15370" width="6.7109375" style="1665" customWidth="1"/>
    <col min="15371" max="15372" width="14.7109375" style="1665" customWidth="1"/>
    <col min="15373" max="15373" width="15.7109375" style="1665" customWidth="1"/>
    <col min="15374" max="15616" width="9.140625" style="1665"/>
    <col min="15617" max="15620" width="0.140625" style="1665" customWidth="1"/>
    <col min="15621" max="15621" width="28.7109375" style="1665" customWidth="1"/>
    <col min="15622" max="15622" width="6.7109375" style="1665" customWidth="1"/>
    <col min="15623" max="15624" width="14.7109375" style="1665" customWidth="1"/>
    <col min="15625" max="15625" width="28.7109375" style="1665" customWidth="1"/>
    <col min="15626" max="15626" width="6.7109375" style="1665" customWidth="1"/>
    <col min="15627" max="15628" width="14.7109375" style="1665" customWidth="1"/>
    <col min="15629" max="15629" width="15.7109375" style="1665" customWidth="1"/>
    <col min="15630" max="15872" width="9.140625" style="1665"/>
    <col min="15873" max="15876" width="0.140625" style="1665" customWidth="1"/>
    <col min="15877" max="15877" width="28.7109375" style="1665" customWidth="1"/>
    <col min="15878" max="15878" width="6.7109375" style="1665" customWidth="1"/>
    <col min="15879" max="15880" width="14.7109375" style="1665" customWidth="1"/>
    <col min="15881" max="15881" width="28.7109375" style="1665" customWidth="1"/>
    <col min="15882" max="15882" width="6.7109375" style="1665" customWidth="1"/>
    <col min="15883" max="15884" width="14.7109375" style="1665" customWidth="1"/>
    <col min="15885" max="15885" width="15.7109375" style="1665" customWidth="1"/>
    <col min="15886" max="16128" width="9.140625" style="1665"/>
    <col min="16129" max="16132" width="0.140625" style="1665" customWidth="1"/>
    <col min="16133" max="16133" width="28.7109375" style="1665" customWidth="1"/>
    <col min="16134" max="16134" width="6.7109375" style="1665" customWidth="1"/>
    <col min="16135" max="16136" width="14.7109375" style="1665" customWidth="1"/>
    <col min="16137" max="16137" width="28.7109375" style="1665" customWidth="1"/>
    <col min="16138" max="16138" width="6.7109375" style="1665" customWidth="1"/>
    <col min="16139" max="16140" width="14.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557" t="s">
        <v>5807</v>
      </c>
      <c r="F2" s="3557"/>
      <c r="G2" s="3557"/>
      <c r="H2" s="3557"/>
      <c r="I2" s="3557"/>
      <c r="J2" s="3557"/>
      <c r="K2" s="3557"/>
      <c r="L2" s="3557"/>
      <c r="M2" s="1664"/>
      <c r="N2" s="1664"/>
      <c r="O2" s="1664"/>
      <c r="P2" s="1664"/>
    </row>
    <row r="3" spans="1:16" ht="27" customHeight="1">
      <c r="A3" s="2840"/>
      <c r="B3" s="2840"/>
      <c r="C3" s="2840"/>
      <c r="D3" s="2840"/>
      <c r="E3" s="3558" t="str">
        <f>TEXT(Lead!$F$5,"yyyy 年 m 月 d 日")</f>
        <v>2019 年 12 月 31 日</v>
      </c>
      <c r="F3" s="3558"/>
      <c r="G3" s="3558"/>
      <c r="H3" s="3558"/>
      <c r="I3" s="3558"/>
      <c r="J3" s="3558"/>
      <c r="K3" s="3558"/>
      <c r="L3" s="3558"/>
      <c r="M3" s="1664"/>
      <c r="N3" s="1664"/>
      <c r="O3" s="1664"/>
      <c r="P3" s="1664"/>
    </row>
    <row r="4" spans="1:16" ht="6" customHeight="1">
      <c r="A4" s="2840"/>
      <c r="B4" s="2840"/>
      <c r="C4" s="2840"/>
      <c r="D4" s="2840"/>
      <c r="E4" s="1666"/>
      <c r="F4" s="1666"/>
      <c r="G4" s="1666"/>
      <c r="H4" s="1666"/>
      <c r="I4" s="1666"/>
      <c r="J4" s="1666"/>
      <c r="K4" s="1666"/>
      <c r="L4" s="2013"/>
      <c r="M4" s="1664"/>
      <c r="N4" s="1664"/>
      <c r="O4" s="1664"/>
      <c r="P4" s="1664"/>
    </row>
    <row r="5" spans="1:16" ht="15.95" customHeight="1" thickBot="1">
      <c r="A5" s="2840"/>
      <c r="B5" s="2840"/>
      <c r="C5" s="2840"/>
      <c r="D5" s="2840"/>
      <c r="E5" s="2012" t="str">
        <f>Lead!$B$5&amp;"："&amp;Lead!$C$5</f>
        <v>编制单位：福建省力菲克药业有限公司</v>
      </c>
      <c r="F5" s="2013"/>
      <c r="G5" s="2013"/>
      <c r="H5" s="2013"/>
      <c r="I5" s="2013"/>
      <c r="J5" s="2013"/>
      <c r="K5" s="2013" t="s">
        <v>5750</v>
      </c>
      <c r="L5" s="2013" t="s">
        <v>5751</v>
      </c>
      <c r="M5" s="1664"/>
      <c r="N5" s="1664"/>
      <c r="O5" s="1664"/>
      <c r="P5" s="1664"/>
    </row>
    <row r="6" spans="1:16" ht="18" customHeight="1">
      <c r="A6" s="2885" t="s">
        <v>5810</v>
      </c>
      <c r="B6" s="2885" t="s">
        <v>2557</v>
      </c>
      <c r="C6" s="2885" t="s">
        <v>5811</v>
      </c>
      <c r="D6" s="2885" t="s">
        <v>2562</v>
      </c>
      <c r="E6" s="2026" t="s">
        <v>5134</v>
      </c>
      <c r="F6" s="2027" t="s">
        <v>2559</v>
      </c>
      <c r="G6" s="2044" t="str">
        <f>TEXT(Lead!$F$5,"yyyy年m月d日")</f>
        <v>2019年12月31日</v>
      </c>
      <c r="H6" s="2044" t="str">
        <f>TEXT(Lead!$F$6,"yyyy年m月d日")</f>
        <v>2018年12月31日</v>
      </c>
      <c r="I6" s="2027" t="s">
        <v>5134</v>
      </c>
      <c r="J6" s="2027" t="s">
        <v>2559</v>
      </c>
      <c r="K6" s="2044" t="str">
        <f>TEXT(Lead!$F$5,"yyyy年m月d日")</f>
        <v>2019年12月31日</v>
      </c>
      <c r="L6" s="2118" t="str">
        <f>TEXT(Lead!$F$6,"yyyy年m月d日")</f>
        <v>2018年12月31日</v>
      </c>
      <c r="M6" s="1850"/>
      <c r="N6" s="1664"/>
      <c r="O6" s="1664"/>
      <c r="P6" s="1664"/>
    </row>
    <row r="7" spans="1:16" ht="18" customHeight="1">
      <c r="A7" s="2863" t="str">
        <f t="shared" ref="A7:A50" si="0">IF($C7="","",VLOOKUP($C7,Sheet_Items,4,0))</f>
        <v>：</v>
      </c>
      <c r="B7" s="2863" t="str">
        <f t="shared" ref="B7:B50" si="1">IF($D7="","",VLOOKUP($D7,Sheet_Items,4,0))</f>
        <v>：</v>
      </c>
      <c r="C7" s="2891">
        <v>1000</v>
      </c>
      <c r="D7" s="2892">
        <v>2000</v>
      </c>
      <c r="E7" s="2028" t="str">
        <f t="shared" ref="E7:E50" si="2">IF($C7="","",VLOOKUP($C7,Sheet_Items,6,0))</f>
        <v>流动资产：</v>
      </c>
      <c r="F7" s="2016"/>
      <c r="G7" s="2017">
        <f t="shared" ref="G7:G22" si="3">IF($C7="","",VLOOKUP($C7,Sheet_Trialbal,6,0))</f>
        <v>0</v>
      </c>
      <c r="H7" s="2018">
        <f t="shared" ref="H7:H22" si="4">IF($C7="","",VLOOKUP($C7,Sheet_Trialbal,10,0))</f>
        <v>0</v>
      </c>
      <c r="I7" s="2015" t="str">
        <f t="shared" ref="I7:I50" si="5">IF($D7="","",VLOOKUP($D7,Sheet_Items,6,0))</f>
        <v>流动负债：</v>
      </c>
      <c r="J7" s="2016"/>
      <c r="K7" s="2017">
        <f t="shared" ref="K7:K22" si="6">IF($D7="","",VLOOKUP($D7,Sheet_Trialbal,6,0))</f>
        <v>0</v>
      </c>
      <c r="L7" s="2029">
        <f t="shared" ref="L7:L22" si="7">IF($D7="","",VLOOKUP($D7,Sheet_Trialbal,10,0))</f>
        <v>0</v>
      </c>
      <c r="M7" s="1850"/>
      <c r="N7" s="1664"/>
      <c r="O7" s="1664"/>
      <c r="P7" s="1664"/>
    </row>
    <row r="8" spans="1:16" ht="18" customHeight="1">
      <c r="A8" s="2863">
        <f t="shared" si="0"/>
        <v>0</v>
      </c>
      <c r="B8" s="2863">
        <f t="shared" si="1"/>
        <v>0</v>
      </c>
      <c r="C8" s="2891">
        <v>1015</v>
      </c>
      <c r="D8" s="2892">
        <v>2001</v>
      </c>
      <c r="E8" s="2030" t="str">
        <f t="shared" si="2"/>
        <v>货币资金</v>
      </c>
      <c r="F8" s="2016"/>
      <c r="G8" s="2017">
        <f t="shared" si="3"/>
        <v>479304.95</v>
      </c>
      <c r="H8" s="2018">
        <f t="shared" si="4"/>
        <v>252723.84</v>
      </c>
      <c r="I8" s="2019" t="str">
        <f t="shared" si="5"/>
        <v>短期借款</v>
      </c>
      <c r="J8" s="2016"/>
      <c r="K8" s="3363">
        <f t="shared" si="6"/>
        <v>2002968.82</v>
      </c>
      <c r="L8" s="2029">
        <f t="shared" si="7"/>
        <v>0</v>
      </c>
      <c r="M8" s="1850"/>
      <c r="N8" s="1664"/>
      <c r="O8" s="1664"/>
      <c r="P8" s="1664"/>
    </row>
    <row r="9" spans="1:16" s="1662" customFormat="1" ht="18" customHeight="1">
      <c r="A9" s="2863" t="str">
        <f t="shared" si="0"/>
        <v>_JR</v>
      </c>
      <c r="B9" s="2863" t="str">
        <f t="shared" si="1"/>
        <v>_JR</v>
      </c>
      <c r="C9" s="2891">
        <v>1102</v>
      </c>
      <c r="D9" s="2892">
        <v>2102</v>
      </c>
      <c r="E9" s="2030" t="str">
        <f t="shared" si="2"/>
        <v>交易性金融资产</v>
      </c>
      <c r="F9" s="2016"/>
      <c r="G9" s="2017">
        <f t="shared" si="3"/>
        <v>0</v>
      </c>
      <c r="H9" s="2018">
        <f t="shared" si="4"/>
        <v>0</v>
      </c>
      <c r="I9" s="2019" t="str">
        <f t="shared" si="5"/>
        <v>交易性金融负债</v>
      </c>
      <c r="J9" s="2016"/>
      <c r="K9" s="2017">
        <f t="shared" si="6"/>
        <v>0</v>
      </c>
      <c r="L9" s="2029">
        <f t="shared" si="7"/>
        <v>0</v>
      </c>
      <c r="M9" s="1850"/>
      <c r="N9" s="1664"/>
      <c r="O9" s="1664"/>
      <c r="P9" s="1664"/>
    </row>
    <row r="10" spans="1:16" s="1662" customFormat="1" ht="27.95" customHeight="1">
      <c r="A10" s="2863" t="str">
        <f t="shared" si="0"/>
        <v>JRH</v>
      </c>
      <c r="B10" s="2863" t="str">
        <f t="shared" si="1"/>
        <v>JRH</v>
      </c>
      <c r="C10" s="2891">
        <v>1101</v>
      </c>
      <c r="D10" s="2892">
        <v>2101</v>
      </c>
      <c r="E10" s="2030" t="str">
        <f t="shared" si="2"/>
        <v>以公允价值计量且其变动计入当期损益的金融资产</v>
      </c>
      <c r="F10" s="2016"/>
      <c r="G10" s="2017">
        <f t="shared" si="3"/>
        <v>0</v>
      </c>
      <c r="H10" s="2018">
        <f t="shared" si="4"/>
        <v>0</v>
      </c>
      <c r="I10" s="2019" t="str">
        <f t="shared" si="5"/>
        <v>以公允价值计量且其变动计入当期损益的金融负债</v>
      </c>
      <c r="J10" s="2016"/>
      <c r="K10" s="2017">
        <f t="shared" si="6"/>
        <v>0</v>
      </c>
      <c r="L10" s="2029">
        <f t="shared" si="7"/>
        <v>0</v>
      </c>
      <c r="M10" s="1850"/>
      <c r="N10" s="1664"/>
      <c r="O10" s="1664"/>
      <c r="P10" s="1664"/>
    </row>
    <row r="11" spans="1:16" ht="18" customHeight="1">
      <c r="A11" s="2863" t="str">
        <f t="shared" si="0"/>
        <v>Ｘ</v>
      </c>
      <c r="B11" s="2863" t="str">
        <f t="shared" si="1"/>
        <v>Ｘ</v>
      </c>
      <c r="C11" s="2891">
        <v>1115</v>
      </c>
      <c r="D11" s="2892">
        <v>2115</v>
      </c>
      <c r="E11" s="2030" t="str">
        <f t="shared" si="2"/>
        <v>衍生金融资产</v>
      </c>
      <c r="F11" s="2016"/>
      <c r="G11" s="2017">
        <f t="shared" si="3"/>
        <v>0</v>
      </c>
      <c r="H11" s="2018">
        <f t="shared" si="4"/>
        <v>0</v>
      </c>
      <c r="I11" s="2019" t="str">
        <f t="shared" si="5"/>
        <v>衍生金融负债</v>
      </c>
      <c r="J11" s="2016"/>
      <c r="K11" s="2017">
        <f t="shared" si="6"/>
        <v>0</v>
      </c>
      <c r="L11" s="2029">
        <f t="shared" si="7"/>
        <v>0</v>
      </c>
      <c r="M11" s="1850"/>
      <c r="N11" s="1664"/>
      <c r="O11" s="1664"/>
      <c r="P11" s="1664"/>
    </row>
    <row r="12" spans="1:16" ht="18" customHeight="1">
      <c r="A12" s="2863">
        <f t="shared" si="0"/>
        <v>0</v>
      </c>
      <c r="B12" s="2863">
        <f t="shared" si="1"/>
        <v>0</v>
      </c>
      <c r="C12" s="2891">
        <v>1121</v>
      </c>
      <c r="D12" s="2892">
        <v>2201</v>
      </c>
      <c r="E12" s="2030" t="str">
        <f t="shared" si="2"/>
        <v>应收票据</v>
      </c>
      <c r="F12" s="2016"/>
      <c r="G12" s="2017">
        <f t="shared" si="3"/>
        <v>0</v>
      </c>
      <c r="H12" s="2018">
        <f t="shared" si="4"/>
        <v>0</v>
      </c>
      <c r="I12" s="2019" t="str">
        <f t="shared" si="5"/>
        <v>应付票据</v>
      </c>
      <c r="J12" s="2016"/>
      <c r="K12" s="2017">
        <f t="shared" si="6"/>
        <v>0</v>
      </c>
      <c r="L12" s="2029">
        <f t="shared" si="7"/>
        <v>0</v>
      </c>
      <c r="M12" s="1850"/>
      <c r="N12" s="1664"/>
      <c r="O12" s="1664"/>
      <c r="P12" s="1664"/>
    </row>
    <row r="13" spans="1:16" ht="18" customHeight="1">
      <c r="A13" s="2863">
        <f t="shared" si="0"/>
        <v>0</v>
      </c>
      <c r="B13" s="2863">
        <f t="shared" si="1"/>
        <v>0</v>
      </c>
      <c r="C13" s="2891">
        <v>1122</v>
      </c>
      <c r="D13" s="2892">
        <v>2202</v>
      </c>
      <c r="E13" s="2030" t="str">
        <f t="shared" si="2"/>
        <v>应收账款</v>
      </c>
      <c r="F13" s="2016"/>
      <c r="G13" s="3363">
        <f t="shared" si="3"/>
        <v>15482120.279999999</v>
      </c>
      <c r="H13" s="3364">
        <f t="shared" si="4"/>
        <v>15914214.57</v>
      </c>
      <c r="I13" s="2019" t="str">
        <f t="shared" si="5"/>
        <v>应付账款</v>
      </c>
      <c r="J13" s="2016"/>
      <c r="K13" s="3363">
        <f t="shared" si="6"/>
        <v>11123454.48</v>
      </c>
      <c r="L13" s="3365">
        <f t="shared" si="7"/>
        <v>8476287.8300000001</v>
      </c>
      <c r="M13" s="1850"/>
      <c r="N13" s="1664"/>
      <c r="O13" s="1664"/>
      <c r="P13" s="1664"/>
    </row>
    <row r="14" spans="1:16" ht="18" customHeight="1">
      <c r="A14" s="2863" t="str">
        <f t="shared" si="0"/>
        <v>_JR</v>
      </c>
      <c r="B14" s="2863">
        <f t="shared" si="1"/>
        <v>0</v>
      </c>
      <c r="C14" s="2891">
        <v>1124</v>
      </c>
      <c r="D14" s="2892">
        <v>2205</v>
      </c>
      <c r="E14" s="2030" t="str">
        <f t="shared" si="2"/>
        <v>应收款项融资</v>
      </c>
      <c r="F14" s="2016"/>
      <c r="G14" s="2017">
        <f t="shared" si="3"/>
        <v>279569.36</v>
      </c>
      <c r="H14" s="2018">
        <f t="shared" si="4"/>
        <v>0</v>
      </c>
      <c r="I14" s="2019" t="str">
        <f t="shared" si="5"/>
        <v>预收款项</v>
      </c>
      <c r="J14" s="2016"/>
      <c r="K14" s="3363">
        <f t="shared" si="6"/>
        <v>2360727.0299999998</v>
      </c>
      <c r="L14" s="3365">
        <f t="shared" si="7"/>
        <v>2229809.83</v>
      </c>
      <c r="M14" s="1850"/>
      <c r="N14" s="1664"/>
      <c r="O14" s="1664"/>
      <c r="P14" s="1664"/>
    </row>
    <row r="15" spans="1:16" ht="18" customHeight="1">
      <c r="A15" s="2863">
        <f t="shared" si="0"/>
        <v>0</v>
      </c>
      <c r="B15" s="2863">
        <f t="shared" si="1"/>
        <v>0</v>
      </c>
      <c r="C15" s="2891">
        <v>1125</v>
      </c>
      <c r="D15" s="2892">
        <v>2211</v>
      </c>
      <c r="E15" s="2030" t="str">
        <f t="shared" si="2"/>
        <v>预付款项</v>
      </c>
      <c r="F15" s="2016"/>
      <c r="G15" s="3363">
        <f t="shared" si="3"/>
        <v>815153.11</v>
      </c>
      <c r="H15" s="3364">
        <f t="shared" si="4"/>
        <v>916036.19</v>
      </c>
      <c r="I15" s="2019" t="str">
        <f t="shared" si="5"/>
        <v>应付职工薪酬</v>
      </c>
      <c r="J15" s="2016"/>
      <c r="K15" s="3363">
        <f t="shared" si="6"/>
        <v>1058561.81</v>
      </c>
      <c r="L15" s="3365">
        <f t="shared" si="7"/>
        <v>974467.27</v>
      </c>
      <c r="M15" s="1850"/>
      <c r="N15" s="1664"/>
      <c r="O15" s="1664"/>
      <c r="P15" s="1664"/>
    </row>
    <row r="16" spans="1:16" ht="18" customHeight="1">
      <c r="A16" s="2863">
        <f t="shared" si="0"/>
        <v>0</v>
      </c>
      <c r="B16" s="2863">
        <f t="shared" si="1"/>
        <v>0</v>
      </c>
      <c r="C16" s="2891">
        <v>1220</v>
      </c>
      <c r="D16" s="2892">
        <v>2221</v>
      </c>
      <c r="E16" s="2030" t="str">
        <f t="shared" si="2"/>
        <v>其他应收款</v>
      </c>
      <c r="F16" s="2016"/>
      <c r="G16" s="3363">
        <f t="shared" si="3"/>
        <v>2208147.21</v>
      </c>
      <c r="H16" s="3364">
        <f t="shared" si="4"/>
        <v>328019.46999999997</v>
      </c>
      <c r="I16" s="2019" t="str">
        <f t="shared" si="5"/>
        <v>应交税费</v>
      </c>
      <c r="J16" s="2016"/>
      <c r="K16" s="3363">
        <f t="shared" si="6"/>
        <v>507471.64</v>
      </c>
      <c r="L16" s="3365">
        <f t="shared" si="7"/>
        <v>487153.95</v>
      </c>
      <c r="M16" s="1850"/>
      <c r="N16" s="1664"/>
      <c r="O16" s="1664"/>
      <c r="P16" s="1664"/>
    </row>
    <row r="17" spans="1:16" ht="18" customHeight="1">
      <c r="A17" s="2863">
        <f t="shared" si="0"/>
        <v>0</v>
      </c>
      <c r="B17" s="2863">
        <f t="shared" si="1"/>
        <v>0</v>
      </c>
      <c r="C17" s="2891">
        <v>1132</v>
      </c>
      <c r="D17" s="2892">
        <v>2246</v>
      </c>
      <c r="E17" s="2030" t="str">
        <f t="shared" si="2"/>
        <v>其中：应收利息</v>
      </c>
      <c r="F17" s="2016"/>
      <c r="G17" s="2017">
        <f t="shared" si="3"/>
        <v>0</v>
      </c>
      <c r="H17" s="2018">
        <f t="shared" si="4"/>
        <v>0</v>
      </c>
      <c r="I17" s="2019" t="str">
        <f t="shared" si="5"/>
        <v>其他应付款</v>
      </c>
      <c r="J17" s="2016"/>
      <c r="K17" s="3363">
        <f t="shared" si="6"/>
        <v>1096090.05</v>
      </c>
      <c r="L17" s="3365">
        <f t="shared" si="7"/>
        <v>2070907</v>
      </c>
      <c r="M17" s="1850"/>
      <c r="N17" s="1664"/>
      <c r="O17" s="1664"/>
      <c r="P17" s="1664"/>
    </row>
    <row r="18" spans="1:16" ht="18" customHeight="1">
      <c r="A18" s="2863">
        <f t="shared" si="0"/>
        <v>0</v>
      </c>
      <c r="B18" s="2863">
        <f t="shared" si="1"/>
        <v>0</v>
      </c>
      <c r="C18" s="2891">
        <v>1131</v>
      </c>
      <c r="D18" s="2892">
        <v>2231</v>
      </c>
      <c r="E18" s="2031" t="str">
        <f t="shared" si="2"/>
        <v>应收股利</v>
      </c>
      <c r="F18" s="2016"/>
      <c r="G18" s="2017">
        <f t="shared" si="3"/>
        <v>0</v>
      </c>
      <c r="H18" s="2018">
        <f t="shared" si="4"/>
        <v>0</v>
      </c>
      <c r="I18" s="2019" t="str">
        <f t="shared" si="5"/>
        <v>其中：应付利息</v>
      </c>
      <c r="J18" s="2016"/>
      <c r="K18" s="2017">
        <f t="shared" si="6"/>
        <v>0</v>
      </c>
      <c r="L18" s="2029">
        <f t="shared" si="7"/>
        <v>0</v>
      </c>
      <c r="M18" s="1850"/>
      <c r="N18" s="1664"/>
      <c r="O18" s="1664"/>
      <c r="P18" s="1664"/>
    </row>
    <row r="19" spans="1:16" ht="18" customHeight="1">
      <c r="A19" s="2863">
        <f t="shared" si="0"/>
        <v>0</v>
      </c>
      <c r="B19" s="2863">
        <f t="shared" si="1"/>
        <v>0</v>
      </c>
      <c r="C19" s="2891">
        <v>1400</v>
      </c>
      <c r="D19" s="2892">
        <v>2232</v>
      </c>
      <c r="E19" s="2030" t="str">
        <f t="shared" si="2"/>
        <v>存货</v>
      </c>
      <c r="F19" s="2016"/>
      <c r="G19" s="3363">
        <f t="shared" si="3"/>
        <v>13979569.91</v>
      </c>
      <c r="H19" s="3364">
        <f t="shared" si="4"/>
        <v>12739599.279999999</v>
      </c>
      <c r="I19" s="2020" t="str">
        <f t="shared" si="5"/>
        <v>应付股利</v>
      </c>
      <c r="J19" s="2016"/>
      <c r="K19" s="2017">
        <f t="shared" si="6"/>
        <v>0</v>
      </c>
      <c r="L19" s="2029">
        <f t="shared" si="7"/>
        <v>0</v>
      </c>
      <c r="M19" s="1850"/>
      <c r="N19" s="1664"/>
      <c r="O19" s="1664"/>
      <c r="P19" s="1664"/>
    </row>
    <row r="20" spans="1:16" ht="18" customHeight="1">
      <c r="A20" s="2863" t="str">
        <f t="shared" si="0"/>
        <v>Ｘ</v>
      </c>
      <c r="B20" s="2863" t="str">
        <f t="shared" si="1"/>
        <v>Ｘ</v>
      </c>
      <c r="C20" s="2891">
        <v>1315</v>
      </c>
      <c r="D20" s="2892">
        <v>2315</v>
      </c>
      <c r="E20" s="2030" t="str">
        <f t="shared" si="2"/>
        <v>持有待售资产</v>
      </c>
      <c r="F20" s="2016"/>
      <c r="G20" s="2017">
        <f t="shared" si="3"/>
        <v>0</v>
      </c>
      <c r="H20" s="2018">
        <f t="shared" si="4"/>
        <v>0</v>
      </c>
      <c r="I20" s="2019" t="str">
        <f t="shared" si="5"/>
        <v>持有待售负债</v>
      </c>
      <c r="J20" s="2016"/>
      <c r="K20" s="2017">
        <f t="shared" si="6"/>
        <v>0</v>
      </c>
      <c r="L20" s="2029">
        <f t="shared" si="7"/>
        <v>0</v>
      </c>
      <c r="M20" s="1850"/>
      <c r="N20" s="1664"/>
      <c r="O20" s="1664"/>
      <c r="P20" s="1664"/>
    </row>
    <row r="21" spans="1:16" ht="18" customHeight="1">
      <c r="A21" s="2863">
        <f t="shared" si="0"/>
        <v>0</v>
      </c>
      <c r="B21" s="2863">
        <f t="shared" si="1"/>
        <v>0</v>
      </c>
      <c r="C21" s="2891">
        <v>1495</v>
      </c>
      <c r="D21" s="2892">
        <v>2395</v>
      </c>
      <c r="E21" s="2030" t="str">
        <f t="shared" si="2"/>
        <v>一年内到期的非流动资产</v>
      </c>
      <c r="F21" s="2016"/>
      <c r="G21" s="2017">
        <f t="shared" si="3"/>
        <v>0</v>
      </c>
      <c r="H21" s="2018">
        <f t="shared" si="4"/>
        <v>0</v>
      </c>
      <c r="I21" s="2019" t="str">
        <f t="shared" si="5"/>
        <v>一年内到期的非流动负债</v>
      </c>
      <c r="J21" s="2016"/>
      <c r="K21" s="2017">
        <f t="shared" si="6"/>
        <v>0</v>
      </c>
      <c r="L21" s="2029">
        <f t="shared" si="7"/>
        <v>0</v>
      </c>
      <c r="M21" s="1850"/>
      <c r="N21" s="1664"/>
      <c r="O21" s="1664"/>
      <c r="P21" s="1664"/>
    </row>
    <row r="22" spans="1:16" ht="18" customHeight="1">
      <c r="A22" s="2863">
        <f t="shared" si="0"/>
        <v>0</v>
      </c>
      <c r="B22" s="2863">
        <f t="shared" si="1"/>
        <v>0</v>
      </c>
      <c r="C22" s="2891">
        <v>1496</v>
      </c>
      <c r="D22" s="2892">
        <v>2396</v>
      </c>
      <c r="E22" s="2030" t="str">
        <f t="shared" si="2"/>
        <v>其他流动资产</v>
      </c>
      <c r="F22" s="2016"/>
      <c r="G22" s="3363">
        <f t="shared" si="3"/>
        <v>1690423.37</v>
      </c>
      <c r="H22" s="3364">
        <f t="shared" si="4"/>
        <v>2233000.7799999998</v>
      </c>
      <c r="I22" s="2019" t="str">
        <f t="shared" si="5"/>
        <v>其他流动负债</v>
      </c>
      <c r="J22" s="2016"/>
      <c r="K22" s="2017">
        <f t="shared" si="6"/>
        <v>0</v>
      </c>
      <c r="L22" s="2029">
        <f t="shared" si="7"/>
        <v>0</v>
      </c>
      <c r="M22" s="1850"/>
      <c r="N22" s="1664"/>
      <c r="O22" s="1664"/>
      <c r="P22" s="1664"/>
    </row>
    <row r="23" spans="1:16" ht="18" customHeight="1">
      <c r="A23" s="2863" t="str">
        <f t="shared" si="0"/>
        <v>＝</v>
      </c>
      <c r="B23" s="2863" t="str">
        <f t="shared" si="1"/>
        <v>＝</v>
      </c>
      <c r="C23" s="2891">
        <v>1498</v>
      </c>
      <c r="D23" s="2892">
        <v>2498</v>
      </c>
      <c r="E23" s="2032" t="str">
        <f t="shared" si="2"/>
        <v>流动资产合计</v>
      </c>
      <c r="F23" s="2016"/>
      <c r="G23" s="2017">
        <f>SUM(G8:G22)-SUM(G17,G18)</f>
        <v>34934288.189999998</v>
      </c>
      <c r="H23" s="2018">
        <f>SUM(H8:H22)-SUM(H17,H18)</f>
        <v>32383594.129999999</v>
      </c>
      <c r="I23" s="2021" t="str">
        <f t="shared" si="5"/>
        <v>流动负债合计</v>
      </c>
      <c r="J23" s="2016"/>
      <c r="K23" s="2017">
        <f>SUM(K8:K22)-SUM(K18,K19)</f>
        <v>18149273.829999998</v>
      </c>
      <c r="L23" s="2029">
        <f>SUM(L8:L22)-SUM(L18,L19)</f>
        <v>14238625.880000001</v>
      </c>
      <c r="M23" s="1850"/>
      <c r="N23" s="1664"/>
      <c r="O23" s="1664"/>
      <c r="P23" s="1664"/>
    </row>
    <row r="24" spans="1:16" ht="18" customHeight="1">
      <c r="A24" s="2863" t="str">
        <f t="shared" si="0"/>
        <v>：</v>
      </c>
      <c r="B24" s="2863" t="str">
        <f t="shared" si="1"/>
        <v>：</v>
      </c>
      <c r="C24" s="2891">
        <v>1500</v>
      </c>
      <c r="D24" s="2892">
        <v>2500</v>
      </c>
      <c r="E24" s="2028" t="str">
        <f t="shared" si="2"/>
        <v>非流动资产：</v>
      </c>
      <c r="F24" s="2016"/>
      <c r="G24" s="2017">
        <f t="shared" ref="G24:G48" si="8">IF($C24="","",VLOOKUP($C24,Sheet_Trialbal,6,0))</f>
        <v>0</v>
      </c>
      <c r="H24" s="2018">
        <f t="shared" ref="H24:H48" si="9">IF($C24="","",VLOOKUP($C24,Sheet_Trialbal,10,0))</f>
        <v>0</v>
      </c>
      <c r="I24" s="2015" t="str">
        <f t="shared" si="5"/>
        <v>非流动负债：</v>
      </c>
      <c r="J24" s="2016"/>
      <c r="K24" s="2017">
        <f t="shared" ref="K24:K34" si="10">IF($D24="","",VLOOKUP($D24,Sheet_Trialbal,6,0))</f>
        <v>0</v>
      </c>
      <c r="L24" s="2029">
        <f t="shared" ref="L24:L34" si="11">IF($D24="","",VLOOKUP($D24,Sheet_Trialbal,10,0))</f>
        <v>0</v>
      </c>
      <c r="M24" s="1850"/>
      <c r="N24" s="1664"/>
      <c r="O24" s="1664"/>
      <c r="P24" s="1664"/>
    </row>
    <row r="25" spans="1:16" ht="18" customHeight="1">
      <c r="A25" s="2863" t="str">
        <f t="shared" si="0"/>
        <v>_JR</v>
      </c>
      <c r="B25" s="2863">
        <f t="shared" si="1"/>
        <v>0</v>
      </c>
      <c r="C25" s="2891">
        <v>1505</v>
      </c>
      <c r="D25" s="2892">
        <v>2501</v>
      </c>
      <c r="E25" s="2030" t="str">
        <f t="shared" si="2"/>
        <v>债权投资</v>
      </c>
      <c r="F25" s="2016"/>
      <c r="G25" s="2017">
        <f t="shared" si="8"/>
        <v>0</v>
      </c>
      <c r="H25" s="2018">
        <f t="shared" si="9"/>
        <v>0</v>
      </c>
      <c r="I25" s="2019" t="str">
        <f t="shared" si="5"/>
        <v>长期借款</v>
      </c>
      <c r="J25" s="2016"/>
      <c r="K25" s="2017">
        <f t="shared" si="10"/>
        <v>0</v>
      </c>
      <c r="L25" s="2029">
        <f t="shared" si="11"/>
        <v>0</v>
      </c>
      <c r="M25" s="1850"/>
      <c r="N25" s="1664"/>
      <c r="O25" s="1664"/>
      <c r="P25" s="1664"/>
    </row>
    <row r="26" spans="1:16" ht="18" customHeight="1">
      <c r="A26" s="2863" t="str">
        <f t="shared" si="0"/>
        <v>JRH</v>
      </c>
      <c r="B26" s="2863">
        <f t="shared" si="1"/>
        <v>0</v>
      </c>
      <c r="C26" s="2891">
        <v>1503</v>
      </c>
      <c r="D26" s="2892">
        <v>2502</v>
      </c>
      <c r="E26" s="2030" t="str">
        <f t="shared" si="2"/>
        <v>可供出售金融资产</v>
      </c>
      <c r="F26" s="2016"/>
      <c r="G26" s="2017">
        <f t="shared" si="8"/>
        <v>0</v>
      </c>
      <c r="H26" s="2018">
        <f t="shared" si="9"/>
        <v>0</v>
      </c>
      <c r="I26" s="2019" t="str">
        <f t="shared" si="5"/>
        <v>应付债券</v>
      </c>
      <c r="J26" s="2016"/>
      <c r="K26" s="2017">
        <f t="shared" si="10"/>
        <v>0</v>
      </c>
      <c r="L26" s="2029">
        <f t="shared" si="11"/>
        <v>0</v>
      </c>
      <c r="M26" s="1850"/>
      <c r="N26" s="1664"/>
      <c r="O26" s="1664"/>
      <c r="P26" s="1664"/>
    </row>
    <row r="27" spans="1:16" ht="18" customHeight="1">
      <c r="A27" s="2863" t="str">
        <f t="shared" si="0"/>
        <v>_JR</v>
      </c>
      <c r="B27" s="2863" t="str">
        <f t="shared" si="1"/>
        <v>OEI</v>
      </c>
      <c r="C27" s="2891">
        <v>1508</v>
      </c>
      <c r="D27" s="2892">
        <v>2502.11</v>
      </c>
      <c r="E27" s="2030" t="str">
        <f t="shared" si="2"/>
        <v>其他债权投资</v>
      </c>
      <c r="F27" s="2016"/>
      <c r="G27" s="2017">
        <f t="shared" si="8"/>
        <v>0</v>
      </c>
      <c r="H27" s="2018">
        <f t="shared" si="9"/>
        <v>0</v>
      </c>
      <c r="I27" s="2019" t="str">
        <f t="shared" si="5"/>
        <v>其中：优先股</v>
      </c>
      <c r="J27" s="2016"/>
      <c r="K27" s="2017">
        <f t="shared" si="10"/>
        <v>0</v>
      </c>
      <c r="L27" s="2029">
        <f t="shared" si="11"/>
        <v>0</v>
      </c>
      <c r="M27" s="1850"/>
      <c r="N27" s="1664"/>
      <c r="O27" s="1664"/>
      <c r="P27" s="1664"/>
    </row>
    <row r="28" spans="1:16" ht="18" customHeight="1">
      <c r="A28" s="2863" t="str">
        <f t="shared" si="0"/>
        <v>JRH</v>
      </c>
      <c r="B28" s="2863" t="str">
        <f t="shared" si="1"/>
        <v>OEI</v>
      </c>
      <c r="C28" s="2891">
        <v>1501</v>
      </c>
      <c r="D28" s="2892">
        <v>2502.31</v>
      </c>
      <c r="E28" s="2030" t="str">
        <f t="shared" si="2"/>
        <v>持有至到期投资</v>
      </c>
      <c r="F28" s="2016"/>
      <c r="G28" s="2017">
        <f t="shared" si="8"/>
        <v>0</v>
      </c>
      <c r="H28" s="2018">
        <f t="shared" si="9"/>
        <v>0</v>
      </c>
      <c r="I28" s="2020" t="str">
        <f t="shared" si="5"/>
        <v>永续债</v>
      </c>
      <c r="J28" s="2016"/>
      <c r="K28" s="2017">
        <f t="shared" si="10"/>
        <v>0</v>
      </c>
      <c r="L28" s="2029">
        <f t="shared" si="11"/>
        <v>0</v>
      </c>
      <c r="M28" s="1850"/>
      <c r="N28" s="1664"/>
      <c r="O28" s="1664"/>
      <c r="P28" s="1664"/>
    </row>
    <row r="29" spans="1:16" ht="18" customHeight="1">
      <c r="A29" s="2863">
        <f t="shared" si="0"/>
        <v>0</v>
      </c>
      <c r="B29" s="2863">
        <f t="shared" si="1"/>
        <v>0</v>
      </c>
      <c r="C29" s="2891">
        <v>1531</v>
      </c>
      <c r="D29" s="2892">
        <v>2706</v>
      </c>
      <c r="E29" s="2030" t="str">
        <f t="shared" si="2"/>
        <v>长期应收款</v>
      </c>
      <c r="F29" s="2016"/>
      <c r="G29" s="2017">
        <f t="shared" si="8"/>
        <v>0</v>
      </c>
      <c r="H29" s="2018">
        <f t="shared" si="9"/>
        <v>0</v>
      </c>
      <c r="I29" s="2019" t="str">
        <f t="shared" si="5"/>
        <v>长期应付款</v>
      </c>
      <c r="J29" s="2016"/>
      <c r="K29" s="2018">
        <f t="shared" si="10"/>
        <v>0</v>
      </c>
      <c r="L29" s="2029">
        <f t="shared" si="11"/>
        <v>0</v>
      </c>
      <c r="M29" s="1850"/>
      <c r="N29" s="1664"/>
      <c r="O29" s="1664"/>
      <c r="P29" s="1664"/>
    </row>
    <row r="30" spans="1:16" ht="18" customHeight="1">
      <c r="A30" s="2863">
        <f t="shared" si="0"/>
        <v>0</v>
      </c>
      <c r="B30" s="2863">
        <f t="shared" si="1"/>
        <v>0</v>
      </c>
      <c r="C30" s="2891">
        <v>1511</v>
      </c>
      <c r="D30" s="2892">
        <v>2715</v>
      </c>
      <c r="E30" s="2030" t="str">
        <f t="shared" si="2"/>
        <v>长期股权投资</v>
      </c>
      <c r="F30" s="2016"/>
      <c r="G30" s="2017">
        <f t="shared" si="8"/>
        <v>0</v>
      </c>
      <c r="H30" s="2018">
        <f t="shared" si="9"/>
        <v>0</v>
      </c>
      <c r="I30" s="2019" t="str">
        <f t="shared" si="5"/>
        <v>长期应付职工薪酬</v>
      </c>
      <c r="J30" s="2016"/>
      <c r="K30" s="2018">
        <f t="shared" si="10"/>
        <v>0</v>
      </c>
      <c r="L30" s="2029">
        <f t="shared" si="11"/>
        <v>0</v>
      </c>
      <c r="M30" s="1850"/>
      <c r="N30" s="1664"/>
      <c r="O30" s="1664"/>
      <c r="P30" s="1664"/>
    </row>
    <row r="31" spans="1:16" ht="18" customHeight="1">
      <c r="A31" s="2863" t="str">
        <f t="shared" si="0"/>
        <v>_JR</v>
      </c>
      <c r="B31" s="2863">
        <f t="shared" si="1"/>
        <v>0</v>
      </c>
      <c r="C31" s="2891">
        <v>1538</v>
      </c>
      <c r="D31" s="2892">
        <v>2801</v>
      </c>
      <c r="E31" s="2030" t="str">
        <f t="shared" si="2"/>
        <v>其他权益工具投资</v>
      </c>
      <c r="F31" s="2016"/>
      <c r="G31" s="2017">
        <f t="shared" si="8"/>
        <v>0</v>
      </c>
      <c r="H31" s="2018">
        <f t="shared" si="9"/>
        <v>0</v>
      </c>
      <c r="I31" s="2019" t="str">
        <f t="shared" si="5"/>
        <v>预计负债</v>
      </c>
      <c r="J31" s="2016"/>
      <c r="K31" s="2017">
        <f t="shared" si="10"/>
        <v>0</v>
      </c>
      <c r="L31" s="2029">
        <f t="shared" si="11"/>
        <v>0</v>
      </c>
      <c r="M31" s="1850"/>
      <c r="N31" s="1664"/>
      <c r="O31" s="1664"/>
      <c r="P31" s="1664"/>
    </row>
    <row r="32" spans="1:16" ht="18" customHeight="1">
      <c r="A32" s="2863" t="str">
        <f t="shared" si="0"/>
        <v>_JR</v>
      </c>
      <c r="B32" s="2863">
        <f t="shared" si="1"/>
        <v>0</v>
      </c>
      <c r="C32" s="2891">
        <v>1539</v>
      </c>
      <c r="D32" s="2892">
        <v>2401</v>
      </c>
      <c r="E32" s="2030" t="str">
        <f t="shared" si="2"/>
        <v>其他非流动金融资产</v>
      </c>
      <c r="F32" s="2016"/>
      <c r="G32" s="2017">
        <f t="shared" si="8"/>
        <v>0</v>
      </c>
      <c r="H32" s="2018">
        <f t="shared" si="9"/>
        <v>0</v>
      </c>
      <c r="I32" s="2019" t="str">
        <f t="shared" si="5"/>
        <v>递延收益</v>
      </c>
      <c r="J32" s="2016"/>
      <c r="K32" s="2017">
        <f t="shared" si="10"/>
        <v>0</v>
      </c>
      <c r="L32" s="2029">
        <f t="shared" si="11"/>
        <v>0</v>
      </c>
      <c r="M32" s="1850"/>
      <c r="N32" s="1664"/>
      <c r="O32" s="1664"/>
      <c r="P32" s="1664"/>
    </row>
    <row r="33" spans="1:16" ht="18" customHeight="1">
      <c r="A33" s="2863">
        <f t="shared" si="0"/>
        <v>0</v>
      </c>
      <c r="B33" s="2863">
        <f t="shared" si="1"/>
        <v>0</v>
      </c>
      <c r="C33" s="2891">
        <v>1521</v>
      </c>
      <c r="D33" s="2892">
        <v>2901</v>
      </c>
      <c r="E33" s="2030" t="str">
        <f t="shared" si="2"/>
        <v>投资性房地产</v>
      </c>
      <c r="F33" s="2016"/>
      <c r="G33" s="2017">
        <f t="shared" si="8"/>
        <v>0</v>
      </c>
      <c r="H33" s="2018">
        <f t="shared" si="9"/>
        <v>0</v>
      </c>
      <c r="I33" s="2019" t="str">
        <f t="shared" si="5"/>
        <v>递延所得税负债</v>
      </c>
      <c r="J33" s="2016"/>
      <c r="K33" s="2017">
        <f t="shared" si="10"/>
        <v>0</v>
      </c>
      <c r="L33" s="2029">
        <f t="shared" si="11"/>
        <v>0</v>
      </c>
      <c r="M33" s="1850"/>
      <c r="N33" s="1664"/>
      <c r="O33" s="1664"/>
      <c r="P33" s="1664"/>
    </row>
    <row r="34" spans="1:16" ht="18" customHeight="1">
      <c r="A34" s="2863">
        <f t="shared" si="0"/>
        <v>0</v>
      </c>
      <c r="B34" s="2863">
        <f t="shared" si="1"/>
        <v>0</v>
      </c>
      <c r="C34" s="2891">
        <v>1611</v>
      </c>
      <c r="D34" s="2892">
        <v>2996</v>
      </c>
      <c r="E34" s="2030" t="str">
        <f t="shared" si="2"/>
        <v>固定资产</v>
      </c>
      <c r="F34" s="2016"/>
      <c r="G34" s="3363">
        <f t="shared" si="8"/>
        <v>18818300.170000002</v>
      </c>
      <c r="H34" s="3364">
        <f t="shared" si="9"/>
        <v>20288571.73</v>
      </c>
      <c r="I34" s="2019" t="str">
        <f t="shared" si="5"/>
        <v>其他非流动负债</v>
      </c>
      <c r="J34" s="2016"/>
      <c r="K34" s="2017">
        <f t="shared" si="10"/>
        <v>0</v>
      </c>
      <c r="L34" s="2029">
        <f t="shared" si="11"/>
        <v>0</v>
      </c>
      <c r="M34" s="1850"/>
      <c r="N34" s="1664"/>
      <c r="O34" s="1664"/>
      <c r="P34" s="1664"/>
    </row>
    <row r="35" spans="1:16" ht="18" customHeight="1">
      <c r="A35" s="2863">
        <f t="shared" si="0"/>
        <v>0</v>
      </c>
      <c r="B35" s="2863" t="str">
        <f t="shared" si="1"/>
        <v>＝</v>
      </c>
      <c r="C35" s="2891">
        <v>1616</v>
      </c>
      <c r="D35" s="2892">
        <v>2998</v>
      </c>
      <c r="E35" s="2030" t="str">
        <f t="shared" si="2"/>
        <v>在建工程</v>
      </c>
      <c r="F35" s="2016"/>
      <c r="G35" s="2017">
        <f t="shared" si="8"/>
        <v>0</v>
      </c>
      <c r="H35" s="3364">
        <f t="shared" si="9"/>
        <v>41650</v>
      </c>
      <c r="I35" s="2021" t="str">
        <f t="shared" si="5"/>
        <v>非流动负债合计</v>
      </c>
      <c r="J35" s="2016"/>
      <c r="K35" s="2017">
        <f>SUM(K25:K34)-SUM(K27,K28)</f>
        <v>0</v>
      </c>
      <c r="L35" s="2029">
        <f>SUM(L25:L34)-SUM(L27,L28)</f>
        <v>0</v>
      </c>
      <c r="M35" s="1850"/>
      <c r="N35" s="1664"/>
      <c r="O35" s="1664"/>
      <c r="P35" s="1664"/>
    </row>
    <row r="36" spans="1:16" ht="18" customHeight="1">
      <c r="A36" s="2863">
        <f t="shared" si="0"/>
        <v>0</v>
      </c>
      <c r="B36" s="2863" t="str">
        <f t="shared" si="1"/>
        <v>＝</v>
      </c>
      <c r="C36" s="2891">
        <v>1621</v>
      </c>
      <c r="D36" s="2892">
        <v>2999</v>
      </c>
      <c r="E36" s="2030" t="str">
        <f t="shared" si="2"/>
        <v>生产性生物资产</v>
      </c>
      <c r="F36" s="2016"/>
      <c r="G36" s="2017">
        <f t="shared" si="8"/>
        <v>0</v>
      </c>
      <c r="H36" s="2018">
        <f t="shared" si="9"/>
        <v>0</v>
      </c>
      <c r="I36" s="2021" t="str">
        <f t="shared" si="5"/>
        <v>负债合计</v>
      </c>
      <c r="J36" s="2016"/>
      <c r="K36" s="2017">
        <f>SUM(K23,K35)</f>
        <v>18149273.829999998</v>
      </c>
      <c r="L36" s="2029">
        <f>SUM(L23,L35)</f>
        <v>14238625.880000001</v>
      </c>
      <c r="M36" s="1850"/>
      <c r="N36" s="1664"/>
      <c r="O36" s="1664"/>
      <c r="P36" s="1664"/>
    </row>
    <row r="37" spans="1:16" ht="18" customHeight="1">
      <c r="A37" s="2863">
        <f t="shared" si="0"/>
        <v>0</v>
      </c>
      <c r="B37" s="2863" t="str">
        <f t="shared" si="1"/>
        <v>：</v>
      </c>
      <c r="C37" s="2891">
        <v>1631</v>
      </c>
      <c r="D37" s="2892">
        <v>4000</v>
      </c>
      <c r="E37" s="2030" t="str">
        <f t="shared" si="2"/>
        <v>油气资产</v>
      </c>
      <c r="F37" s="2016"/>
      <c r="G37" s="2017">
        <f t="shared" si="8"/>
        <v>0</v>
      </c>
      <c r="H37" s="2018">
        <f t="shared" si="9"/>
        <v>0</v>
      </c>
      <c r="I37" s="2022" t="str">
        <f t="shared" si="5"/>
        <v>所有者权益：</v>
      </c>
      <c r="J37" s="2016"/>
      <c r="K37" s="2017">
        <f t="shared" ref="K37:K48" si="12">IF($D37="","",VLOOKUP($D37,Sheet_Trialbal,6,0))</f>
        <v>0</v>
      </c>
      <c r="L37" s="2029">
        <f t="shared" ref="L37:L48" si="13">IF($D37="","",VLOOKUP($D37,Sheet_Trialbal,10,0))</f>
        <v>0</v>
      </c>
      <c r="M37" s="1850"/>
      <c r="N37" s="1664"/>
      <c r="O37" s="1664"/>
      <c r="P37" s="1664"/>
    </row>
    <row r="38" spans="1:16" ht="18" customHeight="1">
      <c r="A38" s="2863">
        <f t="shared" si="0"/>
        <v>0</v>
      </c>
      <c r="B38" s="2863">
        <f t="shared" si="1"/>
        <v>0</v>
      </c>
      <c r="C38" s="2891">
        <v>1701</v>
      </c>
      <c r="D38" s="2892">
        <v>4001</v>
      </c>
      <c r="E38" s="2030" t="str">
        <f t="shared" si="2"/>
        <v>无形资产</v>
      </c>
      <c r="F38" s="2016"/>
      <c r="G38" s="3363">
        <f t="shared" si="8"/>
        <v>1951607.86</v>
      </c>
      <c r="H38" s="3364">
        <f t="shared" si="9"/>
        <v>1820271.51</v>
      </c>
      <c r="I38" s="2023" t="str">
        <f t="shared" si="5"/>
        <v>股本</v>
      </c>
      <c r="J38" s="2016"/>
      <c r="K38" s="2017">
        <f t="shared" si="12"/>
        <v>30000000</v>
      </c>
      <c r="L38" s="2029">
        <f t="shared" si="13"/>
        <v>30000000</v>
      </c>
      <c r="M38" s="1850"/>
      <c r="N38" s="1664"/>
      <c r="O38" s="1664"/>
      <c r="P38" s="1664"/>
    </row>
    <row r="39" spans="1:16" ht="18" customHeight="1">
      <c r="A39" s="2863">
        <f t="shared" si="0"/>
        <v>0</v>
      </c>
      <c r="B39" s="2863" t="str">
        <f t="shared" si="1"/>
        <v>OEI</v>
      </c>
      <c r="C39" s="2891">
        <v>1700</v>
      </c>
      <c r="D39" s="2892">
        <v>4015</v>
      </c>
      <c r="E39" s="2030" t="str">
        <f t="shared" si="2"/>
        <v>开发支出</v>
      </c>
      <c r="F39" s="2016"/>
      <c r="G39" s="3363">
        <f t="shared" si="8"/>
        <v>1467375.43</v>
      </c>
      <c r="H39" s="3364">
        <f t="shared" si="9"/>
        <v>2369218.02</v>
      </c>
      <c r="I39" s="2023" t="str">
        <f t="shared" si="5"/>
        <v>其他权益工具</v>
      </c>
      <c r="J39" s="2016"/>
      <c r="K39" s="2017">
        <f t="shared" si="12"/>
        <v>0</v>
      </c>
      <c r="L39" s="2029">
        <f t="shared" si="13"/>
        <v>0</v>
      </c>
      <c r="M39" s="1850"/>
      <c r="N39" s="1664"/>
      <c r="O39" s="1664"/>
      <c r="P39" s="1664"/>
    </row>
    <row r="40" spans="1:16" ht="18" customHeight="1">
      <c r="A40" s="2863">
        <f t="shared" si="0"/>
        <v>0</v>
      </c>
      <c r="B40" s="2863" t="str">
        <f t="shared" si="1"/>
        <v>OEI</v>
      </c>
      <c r="C40" s="2891">
        <v>1711</v>
      </c>
      <c r="D40" s="2892">
        <v>4015.11</v>
      </c>
      <c r="E40" s="2030" t="str">
        <f t="shared" si="2"/>
        <v>商誉</v>
      </c>
      <c r="F40" s="2016"/>
      <c r="G40" s="2017">
        <f t="shared" si="8"/>
        <v>0</v>
      </c>
      <c r="H40" s="2018">
        <f t="shared" si="9"/>
        <v>0</v>
      </c>
      <c r="I40" s="2023" t="str">
        <f t="shared" si="5"/>
        <v>其中：优先股</v>
      </c>
      <c r="J40" s="2016"/>
      <c r="K40" s="2018">
        <f t="shared" si="12"/>
        <v>0</v>
      </c>
      <c r="L40" s="2029">
        <f t="shared" si="13"/>
        <v>0</v>
      </c>
      <c r="M40" s="1850"/>
      <c r="N40" s="1664"/>
      <c r="O40" s="1664"/>
      <c r="P40" s="1664"/>
    </row>
    <row r="41" spans="1:16" ht="18" customHeight="1">
      <c r="A41" s="2863">
        <f t="shared" si="0"/>
        <v>0</v>
      </c>
      <c r="B41" s="2863" t="str">
        <f t="shared" si="1"/>
        <v>OEI</v>
      </c>
      <c r="C41" s="2891">
        <v>1801</v>
      </c>
      <c r="D41" s="2892">
        <v>4015.31</v>
      </c>
      <c r="E41" s="2030" t="str">
        <f t="shared" si="2"/>
        <v>长期待摊费用</v>
      </c>
      <c r="F41" s="2016"/>
      <c r="G41" s="3363">
        <f t="shared" si="8"/>
        <v>233942.48</v>
      </c>
      <c r="H41" s="3364">
        <f t="shared" si="9"/>
        <v>395514.45</v>
      </c>
      <c r="I41" s="2024" t="str">
        <f t="shared" si="5"/>
        <v>永续债</v>
      </c>
      <c r="J41" s="2016"/>
      <c r="K41" s="2018">
        <f t="shared" si="12"/>
        <v>0</v>
      </c>
      <c r="L41" s="2029">
        <f t="shared" si="13"/>
        <v>0</v>
      </c>
      <c r="M41" s="1850"/>
      <c r="N41" s="1664"/>
      <c r="O41" s="1664"/>
      <c r="P41" s="1664"/>
    </row>
    <row r="42" spans="1:16" ht="18" customHeight="1">
      <c r="A42" s="2863">
        <f t="shared" si="0"/>
        <v>0</v>
      </c>
      <c r="B42" s="2863">
        <f t="shared" si="1"/>
        <v>0</v>
      </c>
      <c r="C42" s="2891">
        <v>1811</v>
      </c>
      <c r="D42" s="2892">
        <v>4002</v>
      </c>
      <c r="E42" s="2030" t="str">
        <f t="shared" si="2"/>
        <v>递延所得税资产</v>
      </c>
      <c r="F42" s="2016"/>
      <c r="G42" s="3363">
        <f t="shared" si="8"/>
        <v>1809801.34</v>
      </c>
      <c r="H42" s="3364">
        <f t="shared" si="9"/>
        <v>1185152.1499999999</v>
      </c>
      <c r="I42" s="2019" t="str">
        <f t="shared" si="5"/>
        <v>资本公积</v>
      </c>
      <c r="J42" s="2016"/>
      <c r="K42" s="3363">
        <f t="shared" si="12"/>
        <v>10464100</v>
      </c>
      <c r="L42" s="2029">
        <f t="shared" si="13"/>
        <v>0</v>
      </c>
      <c r="M42" s="1850"/>
      <c r="N42" s="1664"/>
      <c r="O42" s="1664"/>
      <c r="P42" s="1664"/>
    </row>
    <row r="43" spans="1:16" ht="18" customHeight="1">
      <c r="A43" s="2863">
        <f t="shared" si="0"/>
        <v>0</v>
      </c>
      <c r="B43" s="2863">
        <f t="shared" si="1"/>
        <v>0</v>
      </c>
      <c r="C43" s="2891">
        <v>1996</v>
      </c>
      <c r="D43" s="2892">
        <v>4201</v>
      </c>
      <c r="E43" s="2030" t="str">
        <f t="shared" si="2"/>
        <v>其他非流动资产</v>
      </c>
      <c r="F43" s="2016"/>
      <c r="G43" s="3363">
        <f t="shared" si="8"/>
        <v>94970</v>
      </c>
      <c r="H43" s="3364">
        <f t="shared" si="9"/>
        <v>523136</v>
      </c>
      <c r="I43" s="2019" t="str">
        <f t="shared" si="5"/>
        <v>减：库存股</v>
      </c>
      <c r="J43" s="2016"/>
      <c r="K43" s="2017">
        <f t="shared" si="12"/>
        <v>0</v>
      </c>
      <c r="L43" s="2029">
        <f t="shared" si="13"/>
        <v>0</v>
      </c>
      <c r="M43" s="1850"/>
      <c r="N43" s="1664"/>
      <c r="O43" s="1664"/>
      <c r="P43" s="1664"/>
    </row>
    <row r="44" spans="1:16" ht="18" customHeight="1">
      <c r="A44" s="2863" t="str">
        <f t="shared" si="0"/>
        <v/>
      </c>
      <c r="B44" s="2863">
        <f t="shared" si="1"/>
        <v>0</v>
      </c>
      <c r="C44" s="2891"/>
      <c r="D44" s="2892">
        <v>4215</v>
      </c>
      <c r="E44" s="2030" t="str">
        <f t="shared" si="2"/>
        <v/>
      </c>
      <c r="F44" s="2016"/>
      <c r="G44" s="2017" t="str">
        <f t="shared" si="8"/>
        <v/>
      </c>
      <c r="H44" s="2018" t="str">
        <f t="shared" si="9"/>
        <v/>
      </c>
      <c r="I44" s="2019" t="str">
        <f t="shared" si="5"/>
        <v>其他综合收益</v>
      </c>
      <c r="J44" s="2016"/>
      <c r="K44" s="2017">
        <f t="shared" si="12"/>
        <v>0</v>
      </c>
      <c r="L44" s="2029">
        <f t="shared" si="13"/>
        <v>0</v>
      </c>
      <c r="M44" s="1850"/>
      <c r="N44" s="1664"/>
      <c r="O44" s="1664"/>
      <c r="P44" s="1664"/>
    </row>
    <row r="45" spans="1:16" ht="18" customHeight="1">
      <c r="A45" s="2863" t="str">
        <f t="shared" si="0"/>
        <v/>
      </c>
      <c r="B45" s="2863">
        <f t="shared" si="1"/>
        <v>0</v>
      </c>
      <c r="C45" s="2891"/>
      <c r="D45" s="2892">
        <v>4301</v>
      </c>
      <c r="E45" s="2030" t="str">
        <f t="shared" si="2"/>
        <v/>
      </c>
      <c r="F45" s="2016"/>
      <c r="G45" s="2017" t="str">
        <f t="shared" si="8"/>
        <v/>
      </c>
      <c r="H45" s="2018" t="str">
        <f t="shared" si="9"/>
        <v/>
      </c>
      <c r="I45" s="2019" t="str">
        <f t="shared" si="5"/>
        <v>专项储备</v>
      </c>
      <c r="J45" s="2016"/>
      <c r="K45" s="2017">
        <f t="shared" si="12"/>
        <v>0</v>
      </c>
      <c r="L45" s="2029">
        <f t="shared" si="13"/>
        <v>0</v>
      </c>
      <c r="M45" s="1850"/>
      <c r="N45" s="1664"/>
      <c r="O45" s="1664"/>
      <c r="P45" s="1664"/>
    </row>
    <row r="46" spans="1:16" ht="18" customHeight="1">
      <c r="A46" s="2863" t="str">
        <f t="shared" si="0"/>
        <v/>
      </c>
      <c r="B46" s="2863">
        <f t="shared" si="1"/>
        <v>0</v>
      </c>
      <c r="C46" s="2891"/>
      <c r="D46" s="2892">
        <v>4101</v>
      </c>
      <c r="E46" s="2030" t="str">
        <f t="shared" si="2"/>
        <v/>
      </c>
      <c r="F46" s="2016"/>
      <c r="G46" s="2017" t="str">
        <f t="shared" si="8"/>
        <v/>
      </c>
      <c r="H46" s="2018" t="str">
        <f t="shared" si="9"/>
        <v/>
      </c>
      <c r="I46" s="2019" t="str">
        <f t="shared" si="5"/>
        <v>盈余公积</v>
      </c>
      <c r="J46" s="2016"/>
      <c r="K46" s="2017">
        <f t="shared" si="12"/>
        <v>1484894.62</v>
      </c>
      <c r="L46" s="2029">
        <f t="shared" si="13"/>
        <v>1476848.22</v>
      </c>
      <c r="M46" s="1850"/>
      <c r="N46" s="1664"/>
      <c r="O46" s="1664"/>
      <c r="P46" s="1664"/>
    </row>
    <row r="47" spans="1:16" ht="18" customHeight="1">
      <c r="A47" s="2863"/>
      <c r="B47" s="2863"/>
      <c r="C47" s="2891"/>
      <c r="D47" s="2892">
        <v>4102</v>
      </c>
      <c r="E47" s="2030"/>
      <c r="F47" s="2016"/>
      <c r="G47" s="2017"/>
      <c r="H47" s="2018"/>
      <c r="I47" s="2019" t="str">
        <f t="shared" si="5"/>
        <v>一般风险准备</v>
      </c>
      <c r="J47" s="2016"/>
      <c r="K47" s="2017">
        <f t="shared" si="12"/>
        <v>0</v>
      </c>
      <c r="L47" s="2029">
        <f t="shared" si="13"/>
        <v>0</v>
      </c>
      <c r="M47" s="1850"/>
      <c r="N47" s="1664"/>
      <c r="O47" s="1664"/>
      <c r="P47" s="1664"/>
    </row>
    <row r="48" spans="1:16" s="1851" customFormat="1" ht="18" customHeight="1">
      <c r="A48" s="2863" t="str">
        <f t="shared" si="0"/>
        <v/>
      </c>
      <c r="B48" s="2863">
        <f t="shared" si="1"/>
        <v>0</v>
      </c>
      <c r="C48" s="2891"/>
      <c r="D48" s="2892">
        <v>4200</v>
      </c>
      <c r="E48" s="2030" t="str">
        <f t="shared" si="2"/>
        <v/>
      </c>
      <c r="F48" s="2016"/>
      <c r="G48" s="2017" t="str">
        <f t="shared" si="8"/>
        <v/>
      </c>
      <c r="H48" s="2018" t="str">
        <f t="shared" si="9"/>
        <v/>
      </c>
      <c r="I48" s="2019" t="str">
        <f t="shared" si="5"/>
        <v>未分配利润</v>
      </c>
      <c r="J48" s="2016"/>
      <c r="K48" s="2017">
        <f t="shared" si="12"/>
        <v>-787982.98</v>
      </c>
      <c r="L48" s="2029">
        <f t="shared" si="13"/>
        <v>13291633.890000001</v>
      </c>
      <c r="M48" s="1850"/>
      <c r="N48" s="1850"/>
      <c r="O48" s="1850"/>
      <c r="P48" s="1850"/>
    </row>
    <row r="49" spans="1:16" s="1851" customFormat="1" ht="21" customHeight="1">
      <c r="A49" s="2863" t="str">
        <f t="shared" si="0"/>
        <v>＝</v>
      </c>
      <c r="B49" s="2863" t="str">
        <f t="shared" si="1"/>
        <v>＝</v>
      </c>
      <c r="C49" s="2891">
        <v>1998</v>
      </c>
      <c r="D49" s="2892">
        <v>4999</v>
      </c>
      <c r="E49" s="2032" t="str">
        <f t="shared" si="2"/>
        <v>非流动资产合计</v>
      </c>
      <c r="F49" s="2016"/>
      <c r="G49" s="2017">
        <f>SUM(G25:G48)</f>
        <v>24375997.280000001</v>
      </c>
      <c r="H49" s="2018">
        <f>SUM(H25:H48)</f>
        <v>26623513.859999999</v>
      </c>
      <c r="I49" s="2025" t="str">
        <f t="shared" si="5"/>
        <v>所有者权益合计</v>
      </c>
      <c r="J49" s="2016"/>
      <c r="K49" s="2017">
        <f>SUM(K38:K39,K42,-K43,K44:K48)</f>
        <v>41161011.640000001</v>
      </c>
      <c r="L49" s="2029">
        <f>SUM(L38:L39,L42,-L43,L44:L48)</f>
        <v>44768482.109999999</v>
      </c>
      <c r="M49" s="1850"/>
      <c r="N49" s="1850"/>
      <c r="O49" s="1850"/>
      <c r="P49" s="1850"/>
    </row>
    <row r="50" spans="1:16" s="1851" customFormat="1" ht="18.75" thickBot="1">
      <c r="A50" s="2863" t="str">
        <f t="shared" si="0"/>
        <v>＝</v>
      </c>
      <c r="B50" s="2863" t="str">
        <f t="shared" si="1"/>
        <v>＝</v>
      </c>
      <c r="C50" s="2891">
        <v>1999</v>
      </c>
      <c r="D50" s="2892">
        <v>5000</v>
      </c>
      <c r="E50" s="2894" t="str">
        <f t="shared" si="2"/>
        <v>资产总计</v>
      </c>
      <c r="F50" s="2033"/>
      <c r="G50" s="2034">
        <f>SUM(G23,G49)</f>
        <v>59310285.469999999</v>
      </c>
      <c r="H50" s="2035">
        <f>SUM(H23,H49)</f>
        <v>59007107.990000002</v>
      </c>
      <c r="I50" s="2036" t="str">
        <f t="shared" si="5"/>
        <v>负债和所有者权益总计</v>
      </c>
      <c r="J50" s="2033"/>
      <c r="K50" s="2034">
        <f>SUM(K36,K49)</f>
        <v>59310285.469999999</v>
      </c>
      <c r="L50" s="2037">
        <f>SUM(L36,L49)</f>
        <v>59007107.990000002</v>
      </c>
      <c r="M50" s="1850"/>
      <c r="N50" s="1850"/>
      <c r="O50" s="1850"/>
      <c r="P50" s="1850"/>
    </row>
    <row r="51" spans="1:16" s="1851" customFormat="1" ht="18">
      <c r="A51" s="2885"/>
      <c r="B51" s="2885"/>
      <c r="C51" s="2893"/>
      <c r="D51" s="2893"/>
      <c r="E51" s="2014" t="str">
        <f>"法定代表人："&amp;Lead!$C$8</f>
        <v>法定代表人：</v>
      </c>
      <c r="F51" s="2014"/>
      <c r="G51" s="2014"/>
      <c r="H51" s="2014" t="str">
        <f>"主管会计工作负责人："&amp;Lead!$C$9</f>
        <v>主管会计工作负责人：</v>
      </c>
      <c r="I51" s="2014"/>
      <c r="J51" s="2014"/>
      <c r="K51" s="2014" t="str">
        <f>"会计机构负责人："&amp;Lead!$C$10</f>
        <v>会计机构负责人：</v>
      </c>
      <c r="L51" s="2014"/>
      <c r="M51" s="1850"/>
    </row>
    <row r="52" spans="1:16" s="1851" customFormat="1" ht="20.100000000000001" customHeight="1">
      <c r="A52" s="2885"/>
      <c r="B52" s="2885"/>
      <c r="C52" s="2885"/>
      <c r="D52" s="2885"/>
      <c r="E52" s="1850"/>
      <c r="F52" s="1850"/>
      <c r="G52" s="1850"/>
      <c r="H52" s="1850"/>
      <c r="I52" s="1850"/>
      <c r="J52" s="1850"/>
      <c r="K52" s="1852"/>
      <c r="L52" s="1852"/>
      <c r="M52" s="1850"/>
      <c r="N52" s="1850"/>
      <c r="O52" s="1850"/>
      <c r="P52" s="1850"/>
    </row>
    <row r="53" spans="1:16" s="1851" customFormat="1" ht="18.75" customHeight="1">
      <c r="A53" s="2885"/>
      <c r="B53" s="2885"/>
      <c r="C53" s="2885"/>
      <c r="D53" s="2885"/>
      <c r="E53" s="1850"/>
      <c r="F53" s="1850"/>
      <c r="G53" s="1850"/>
      <c r="H53" s="1850"/>
      <c r="I53" s="1850"/>
      <c r="J53" s="1850"/>
      <c r="K53" s="1850"/>
      <c r="L53" s="1850"/>
      <c r="M53" s="1850"/>
      <c r="N53" s="1850"/>
      <c r="O53" s="1850"/>
      <c r="P53" s="1850"/>
    </row>
    <row r="54" spans="1:16" s="1851" customFormat="1">
      <c r="A54" s="2885"/>
      <c r="B54" s="2885"/>
      <c r="C54" s="2885"/>
      <c r="D54" s="2885"/>
      <c r="E54" s="1850"/>
      <c r="F54" s="1850"/>
      <c r="G54" s="1850"/>
      <c r="H54" s="1850"/>
      <c r="I54" s="1850"/>
      <c r="J54" s="1850"/>
      <c r="K54" s="1850"/>
      <c r="L54" s="1850"/>
      <c r="M54" s="1850"/>
      <c r="N54" s="1850"/>
      <c r="O54" s="1850"/>
      <c r="P54" s="1850"/>
    </row>
    <row r="55" spans="1:16" s="1851" customFormat="1" ht="15">
      <c r="A55" s="2885" t="s">
        <v>2565</v>
      </c>
      <c r="B55" s="2885"/>
      <c r="C55" s="2885"/>
      <c r="D55" s="2885"/>
      <c r="E55" s="1853" t="s">
        <v>5813</v>
      </c>
      <c r="F55" s="1854"/>
      <c r="G55" s="1855"/>
      <c r="H55" s="1855"/>
      <c r="I55" s="1855"/>
      <c r="J55" s="1855"/>
      <c r="K55" s="1855"/>
      <c r="L55" s="1856"/>
      <c r="M55" s="1857"/>
      <c r="N55" s="1850"/>
      <c r="O55" s="1850"/>
      <c r="P55" s="1850"/>
    </row>
    <row r="56" spans="1:16" s="1851" customFormat="1" ht="17.25">
      <c r="A56" s="2885" t="s">
        <v>2565</v>
      </c>
      <c r="B56" s="2885"/>
      <c r="C56" s="2885"/>
      <c r="D56" s="2885"/>
      <c r="E56" s="1858" t="s">
        <v>5814</v>
      </c>
      <c r="F56" s="1855"/>
      <c r="G56" s="1855"/>
      <c r="H56" s="1855" t="s">
        <v>5815</v>
      </c>
      <c r="I56" s="1855" t="s">
        <v>5755</v>
      </c>
      <c r="J56" s="1859"/>
      <c r="K56" s="1855" t="s">
        <v>5756</v>
      </c>
      <c r="L56" s="1860" t="s">
        <v>2550</v>
      </c>
      <c r="M56" s="1857"/>
      <c r="N56" s="1850"/>
      <c r="O56" s="1850"/>
      <c r="P56" s="1850"/>
    </row>
    <row r="57" spans="1:16" s="1851" customFormat="1" ht="18">
      <c r="A57" s="2889" t="s">
        <v>2565</v>
      </c>
      <c r="B57" s="2885"/>
      <c r="C57" s="2885"/>
      <c r="D57" s="2885"/>
      <c r="E57" s="1861" t="s">
        <v>5816</v>
      </c>
      <c r="F57" s="1862"/>
      <c r="G57" s="1863"/>
      <c r="H57" s="1864"/>
      <c r="I57" s="1865"/>
      <c r="J57" s="1863"/>
      <c r="K57" s="1866"/>
      <c r="L57" s="1867"/>
      <c r="M57" s="1857"/>
      <c r="N57" s="1850"/>
      <c r="O57" s="1850"/>
      <c r="P57" s="1850"/>
    </row>
    <row r="58" spans="1:16" s="1851" customFormat="1" ht="18">
      <c r="A58" s="2889" t="s">
        <v>2565</v>
      </c>
      <c r="B58" s="2885"/>
      <c r="C58" s="2885"/>
      <c r="D58" s="2885"/>
      <c r="E58" s="1868" t="str">
        <f>$G$6</f>
        <v>2019年12月31日</v>
      </c>
      <c r="F58" s="1869"/>
      <c r="G58" s="1863"/>
      <c r="H58" s="1865"/>
      <c r="I58" s="1865"/>
      <c r="J58" s="1863"/>
      <c r="K58" s="1866"/>
      <c r="L58" s="1870"/>
      <c r="M58" s="1857"/>
      <c r="N58" s="1850"/>
      <c r="O58" s="1850"/>
      <c r="P58" s="1850"/>
    </row>
    <row r="59" spans="1:16" s="1851" customFormat="1" ht="18">
      <c r="A59" s="2889" t="s">
        <v>2565</v>
      </c>
      <c r="B59" s="2885"/>
      <c r="C59" s="2885"/>
      <c r="D59" s="2885"/>
      <c r="E59" s="1871" t="str">
        <f>E50</f>
        <v>资产总计</v>
      </c>
      <c r="F59" s="1872"/>
      <c r="G59" s="1863"/>
      <c r="H59" s="1864">
        <f>G50</f>
        <v>59310285.469999999</v>
      </c>
      <c r="I59" s="1865" t="str">
        <f>I50</f>
        <v>负债和所有者权益总计</v>
      </c>
      <c r="J59" s="1863"/>
      <c r="K59" s="1873">
        <f>K50</f>
        <v>59310285.469999999</v>
      </c>
      <c r="L59" s="1867">
        <f>ROUND(H59-K59,2)</f>
        <v>0</v>
      </c>
      <c r="M59" s="1874" t="str">
        <f>IF(L59=0,"√","×")</f>
        <v>√</v>
      </c>
      <c r="N59" s="1850"/>
      <c r="O59" s="1850"/>
      <c r="P59" s="1850"/>
    </row>
    <row r="60" spans="1:16" s="1851" customFormat="1" ht="18">
      <c r="A60" s="2889" t="s">
        <v>2565</v>
      </c>
      <c r="B60" s="2885"/>
      <c r="C60" s="2885"/>
      <c r="D60" s="2885"/>
      <c r="E60" s="1875" t="str">
        <f>$H$6</f>
        <v>2018年12月31日</v>
      </c>
      <c r="F60" s="1876"/>
      <c r="G60" s="1863"/>
      <c r="H60" s="1865"/>
      <c r="I60" s="1865"/>
      <c r="J60" s="1863"/>
      <c r="K60" s="1866"/>
      <c r="L60" s="1870"/>
      <c r="M60" s="1877"/>
    </row>
    <row r="61" spans="1:16" s="1851" customFormat="1" ht="18.75" thickBot="1">
      <c r="A61" s="2889" t="s">
        <v>2565</v>
      </c>
      <c r="B61" s="2885"/>
      <c r="C61" s="2885"/>
      <c r="D61" s="2885"/>
      <c r="E61" s="1878" t="str">
        <f>E50</f>
        <v>资产总计</v>
      </c>
      <c r="F61" s="1879"/>
      <c r="G61" s="1880"/>
      <c r="H61" s="1881">
        <f>H50</f>
        <v>59007107.990000002</v>
      </c>
      <c r="I61" s="1882" t="str">
        <f>I50</f>
        <v>负债和所有者权益总计</v>
      </c>
      <c r="J61" s="1880"/>
      <c r="K61" s="1883">
        <f>L50</f>
        <v>59007107.990000002</v>
      </c>
      <c r="L61" s="1884">
        <f>ROUND(H61-K61,2)</f>
        <v>0</v>
      </c>
      <c r="M61" s="1874" t="str">
        <f>IF(L61=0,"√","×")</f>
        <v>√</v>
      </c>
      <c r="N61" s="1850"/>
      <c r="O61" s="1850"/>
      <c r="P61" s="1850"/>
    </row>
    <row r="62" spans="1:16">
      <c r="E62" s="1664"/>
      <c r="F62" s="1664"/>
      <c r="G62" s="1664"/>
      <c r="H62" s="1664"/>
      <c r="I62" s="1664"/>
      <c r="J62" s="1664"/>
      <c r="K62" s="1664"/>
      <c r="L62" s="1664"/>
    </row>
    <row r="63" spans="1:16">
      <c r="E63" s="1664"/>
      <c r="F63" s="1664"/>
      <c r="G63" s="1664"/>
      <c r="H63" s="1664"/>
      <c r="I63" s="1664"/>
      <c r="J63" s="1664"/>
      <c r="K63" s="1664"/>
      <c r="L63" s="1664"/>
    </row>
    <row r="64" spans="1:16">
      <c r="E64" s="1664"/>
      <c r="F64" s="1664"/>
      <c r="G64" s="1664"/>
      <c r="H64" s="1664"/>
      <c r="I64" s="1664"/>
      <c r="J64" s="1664"/>
      <c r="K64" s="1664"/>
      <c r="L64" s="1664"/>
    </row>
    <row r="65" spans="5:12">
      <c r="E65" s="1664"/>
      <c r="F65" s="1664"/>
      <c r="G65" s="1664"/>
      <c r="H65" s="1664"/>
      <c r="I65" s="1664"/>
      <c r="J65" s="1664"/>
      <c r="K65" s="1664"/>
      <c r="L65" s="1664"/>
    </row>
    <row r="66" spans="5:12">
      <c r="E66" s="1664"/>
      <c r="F66" s="1664"/>
      <c r="G66" s="1664"/>
      <c r="H66" s="1664"/>
      <c r="I66" s="1664"/>
      <c r="J66" s="1664"/>
      <c r="K66" s="1664"/>
      <c r="L66" s="1664"/>
    </row>
  </sheetData>
  <sheetProtection password="94A0" sheet="1" scenarios="1" formatCells="0" autoFilter="0"/>
  <mergeCells count="2">
    <mergeCell ref="E2:L2"/>
    <mergeCell ref="E3:L3"/>
  </mergeCells>
  <phoneticPr fontId="163" type="noConversion"/>
  <conditionalFormatting sqref="E56:F56">
    <cfRule type="expression" dxfId="255" priority="108" stopIfTrue="1">
      <formula>#REF!=TRUE</formula>
    </cfRule>
  </conditionalFormatting>
  <conditionalFormatting sqref="L60 L58 L62">
    <cfRule type="cellIs" dxfId="254" priority="107" stopIfTrue="1" operator="notEqual">
      <formula>0</formula>
    </cfRule>
  </conditionalFormatting>
  <conditionalFormatting sqref="E55:F55">
    <cfRule type="expression" dxfId="253" priority="106" stopIfTrue="1">
      <formula>#REF!=TRUE</formula>
    </cfRule>
  </conditionalFormatting>
  <conditionalFormatting sqref="L59 L57 L61">
    <cfRule type="cellIs" dxfId="252" priority="105" stopIfTrue="1" operator="notEqual">
      <formula>0</formula>
    </cfRule>
  </conditionalFormatting>
  <conditionalFormatting sqref="E55:F55">
    <cfRule type="expression" dxfId="251" priority="104" stopIfTrue="1">
      <formula>#REF!=TRUE</formula>
    </cfRule>
  </conditionalFormatting>
  <conditionalFormatting sqref="L59 L57 L61">
    <cfRule type="cellIs" dxfId="250" priority="103" stopIfTrue="1" operator="notEqual">
      <formula>0</formula>
    </cfRule>
  </conditionalFormatting>
  <conditionalFormatting sqref="E56:F56">
    <cfRule type="expression" dxfId="249" priority="102" stopIfTrue="1">
      <formula>#REF!=TRUE</formula>
    </cfRule>
  </conditionalFormatting>
  <conditionalFormatting sqref="L60 L58">
    <cfRule type="cellIs" dxfId="248" priority="101" stopIfTrue="1" operator="notEqual">
      <formula>0</formula>
    </cfRule>
  </conditionalFormatting>
  <conditionalFormatting sqref="E55:F55">
    <cfRule type="expression" dxfId="247" priority="100" stopIfTrue="1">
      <formula>#REF!=TRUE</formula>
    </cfRule>
  </conditionalFormatting>
  <conditionalFormatting sqref="L59 L57 L61">
    <cfRule type="cellIs" dxfId="246" priority="99" stopIfTrue="1" operator="notEqual">
      <formula>0</formula>
    </cfRule>
  </conditionalFormatting>
  <conditionalFormatting sqref="E55:F55">
    <cfRule type="expression" dxfId="245" priority="98" stopIfTrue="1">
      <formula>#REF!=TRUE</formula>
    </cfRule>
  </conditionalFormatting>
  <conditionalFormatting sqref="L59 L57 L61">
    <cfRule type="cellIs" dxfId="244" priority="97" stopIfTrue="1" operator="notEqual">
      <formula>0</formula>
    </cfRule>
  </conditionalFormatting>
  <conditionalFormatting sqref="E56:F56">
    <cfRule type="expression" dxfId="243" priority="96" stopIfTrue="1">
      <formula>#REF!=TRUE</formula>
    </cfRule>
  </conditionalFormatting>
  <conditionalFormatting sqref="L60 L58">
    <cfRule type="cellIs" dxfId="242" priority="95" stopIfTrue="1" operator="notEqual">
      <formula>0</formula>
    </cfRule>
  </conditionalFormatting>
  <conditionalFormatting sqref="E55:F55">
    <cfRule type="expression" dxfId="241" priority="94" stopIfTrue="1">
      <formula>#REF!=TRUE</formula>
    </cfRule>
  </conditionalFormatting>
  <conditionalFormatting sqref="L59 L57 L61">
    <cfRule type="cellIs" dxfId="240" priority="93" stopIfTrue="1" operator="notEqual">
      <formula>0</formula>
    </cfRule>
  </conditionalFormatting>
  <conditionalFormatting sqref="E55:F55">
    <cfRule type="expression" dxfId="239" priority="92" stopIfTrue="1">
      <formula>#REF!=TRUE</formula>
    </cfRule>
  </conditionalFormatting>
  <conditionalFormatting sqref="L59 L57 L61">
    <cfRule type="cellIs" dxfId="238" priority="91" stopIfTrue="1" operator="notEqual">
      <formula>0</formula>
    </cfRule>
  </conditionalFormatting>
  <conditionalFormatting sqref="E56:F56">
    <cfRule type="expression" dxfId="237" priority="90" stopIfTrue="1">
      <formula>#REF!=TRUE</formula>
    </cfRule>
  </conditionalFormatting>
  <conditionalFormatting sqref="L60 L58">
    <cfRule type="cellIs" dxfId="236" priority="89" stopIfTrue="1" operator="notEqual">
      <formula>0</formula>
    </cfRule>
  </conditionalFormatting>
  <conditionalFormatting sqref="E55:F55">
    <cfRule type="expression" dxfId="235" priority="88" stopIfTrue="1">
      <formula>#REF!=TRUE</formula>
    </cfRule>
  </conditionalFormatting>
  <conditionalFormatting sqref="L59 L57 L61">
    <cfRule type="cellIs" dxfId="234" priority="87" stopIfTrue="1" operator="notEqual">
      <formula>0</formula>
    </cfRule>
  </conditionalFormatting>
  <conditionalFormatting sqref="E55:F55">
    <cfRule type="expression" dxfId="233" priority="86" stopIfTrue="1">
      <formula>#REF!=TRUE</formula>
    </cfRule>
  </conditionalFormatting>
  <conditionalFormatting sqref="L59 L57 L61">
    <cfRule type="cellIs" dxfId="232" priority="85" stopIfTrue="1" operator="notEqual">
      <formula>0</formula>
    </cfRule>
  </conditionalFormatting>
  <conditionalFormatting sqref="E56:F56">
    <cfRule type="expression" dxfId="231" priority="84" stopIfTrue="1">
      <formula>#REF!=TRUE</formula>
    </cfRule>
  </conditionalFormatting>
  <conditionalFormatting sqref="L57:L61">
    <cfRule type="cellIs" dxfId="230" priority="83" stopIfTrue="1" operator="notEqual">
      <formula>0</formula>
    </cfRule>
  </conditionalFormatting>
  <conditionalFormatting sqref="E55:F56">
    <cfRule type="expression" dxfId="229" priority="82" stopIfTrue="1">
      <formula>#REF!=TRUE</formula>
    </cfRule>
  </conditionalFormatting>
  <conditionalFormatting sqref="E56:F56">
    <cfRule type="expression" dxfId="228" priority="81" stopIfTrue="1">
      <formula>#REF!=TRUE</formula>
    </cfRule>
  </conditionalFormatting>
  <conditionalFormatting sqref="L60 L58">
    <cfRule type="cellIs" dxfId="227" priority="80" stopIfTrue="1" operator="notEqual">
      <formula>0</formula>
    </cfRule>
  </conditionalFormatting>
  <conditionalFormatting sqref="E55:F55">
    <cfRule type="expression" dxfId="226" priority="79" stopIfTrue="1">
      <formula>#REF!=TRUE</formula>
    </cfRule>
  </conditionalFormatting>
  <conditionalFormatting sqref="L59 L57 L61">
    <cfRule type="cellIs" dxfId="225" priority="78" stopIfTrue="1" operator="notEqual">
      <formula>0</formula>
    </cfRule>
  </conditionalFormatting>
  <conditionalFormatting sqref="E55:F55">
    <cfRule type="expression" dxfId="224" priority="77" stopIfTrue="1">
      <formula>#REF!=TRUE</formula>
    </cfRule>
  </conditionalFormatting>
  <conditionalFormatting sqref="L59 L57 L61">
    <cfRule type="cellIs" dxfId="223" priority="76" stopIfTrue="1" operator="notEqual">
      <formula>0</formula>
    </cfRule>
  </conditionalFormatting>
  <conditionalFormatting sqref="E56:F56">
    <cfRule type="expression" dxfId="222" priority="75" stopIfTrue="1">
      <formula>#REF!=TRUE</formula>
    </cfRule>
  </conditionalFormatting>
  <conditionalFormatting sqref="L60 L58">
    <cfRule type="cellIs" dxfId="221" priority="74" stopIfTrue="1" operator="notEqual">
      <formula>0</formula>
    </cfRule>
  </conditionalFormatting>
  <conditionalFormatting sqref="E55:F55">
    <cfRule type="expression" dxfId="220" priority="73" stopIfTrue="1">
      <formula>#REF!=TRUE</formula>
    </cfRule>
  </conditionalFormatting>
  <conditionalFormatting sqref="L59 L57 L61">
    <cfRule type="cellIs" dxfId="219" priority="72" stopIfTrue="1" operator="notEqual">
      <formula>0</formula>
    </cfRule>
  </conditionalFormatting>
  <conditionalFormatting sqref="E55:F55">
    <cfRule type="expression" dxfId="218" priority="71" stopIfTrue="1">
      <formula>#REF!=TRUE</formula>
    </cfRule>
  </conditionalFormatting>
  <conditionalFormatting sqref="L59 L57 L61">
    <cfRule type="cellIs" dxfId="217" priority="70" stopIfTrue="1" operator="notEqual">
      <formula>0</formula>
    </cfRule>
  </conditionalFormatting>
  <conditionalFormatting sqref="E56:F56">
    <cfRule type="expression" dxfId="216" priority="69" stopIfTrue="1">
      <formula>#REF!=TRUE</formula>
    </cfRule>
  </conditionalFormatting>
  <conditionalFormatting sqref="L60 L58">
    <cfRule type="cellIs" dxfId="215" priority="68" stopIfTrue="1" operator="notEqual">
      <formula>0</formula>
    </cfRule>
  </conditionalFormatting>
  <conditionalFormatting sqref="E55:F55">
    <cfRule type="expression" dxfId="214" priority="67" stopIfTrue="1">
      <formula>#REF!=TRUE</formula>
    </cfRule>
  </conditionalFormatting>
  <conditionalFormatting sqref="L59 L57 L61">
    <cfRule type="cellIs" dxfId="213" priority="66" stopIfTrue="1" operator="notEqual">
      <formula>0</formula>
    </cfRule>
  </conditionalFormatting>
  <conditionalFormatting sqref="E55:F55">
    <cfRule type="expression" dxfId="212" priority="65" stopIfTrue="1">
      <formula>#REF!=TRUE</formula>
    </cfRule>
  </conditionalFormatting>
  <conditionalFormatting sqref="L59 L57 L61">
    <cfRule type="cellIs" dxfId="211" priority="64" stopIfTrue="1" operator="notEqual">
      <formula>0</formula>
    </cfRule>
  </conditionalFormatting>
  <conditionalFormatting sqref="E56:F56">
    <cfRule type="expression" dxfId="210" priority="63" stopIfTrue="1">
      <formula>#REF!=TRUE</formula>
    </cfRule>
  </conditionalFormatting>
  <conditionalFormatting sqref="L60 L58">
    <cfRule type="cellIs" dxfId="209" priority="62" stopIfTrue="1" operator="notEqual">
      <formula>0</formula>
    </cfRule>
  </conditionalFormatting>
  <conditionalFormatting sqref="E55:F55">
    <cfRule type="expression" dxfId="208" priority="61" stopIfTrue="1">
      <formula>#REF!=TRUE</formula>
    </cfRule>
  </conditionalFormatting>
  <conditionalFormatting sqref="L59 L57 L61">
    <cfRule type="cellIs" dxfId="207" priority="60" stopIfTrue="1" operator="notEqual">
      <formula>0</formula>
    </cfRule>
  </conditionalFormatting>
  <conditionalFormatting sqref="E55:F55">
    <cfRule type="expression" dxfId="206" priority="59" stopIfTrue="1">
      <formula>#REF!=TRUE</formula>
    </cfRule>
  </conditionalFormatting>
  <conditionalFormatting sqref="L59 L57 L61">
    <cfRule type="cellIs" dxfId="205" priority="58" stopIfTrue="1" operator="notEqual">
      <formula>0</formula>
    </cfRule>
  </conditionalFormatting>
  <conditionalFormatting sqref="E56:F56">
    <cfRule type="expression" dxfId="204" priority="57" stopIfTrue="1">
      <formula>#REF!=TRUE</formula>
    </cfRule>
  </conditionalFormatting>
  <conditionalFormatting sqref="L57:L61">
    <cfRule type="cellIs" dxfId="203" priority="56" stopIfTrue="1" operator="notEqual">
      <formula>0</formula>
    </cfRule>
  </conditionalFormatting>
  <conditionalFormatting sqref="E55:F56">
    <cfRule type="expression" dxfId="202" priority="55" stopIfTrue="1">
      <formula>#REF!=TRUE</formula>
    </cfRule>
  </conditionalFormatting>
  <conditionalFormatting sqref="E56:F56">
    <cfRule type="expression" dxfId="201" priority="54" stopIfTrue="1">
      <formula>#REF!=TRUE</formula>
    </cfRule>
  </conditionalFormatting>
  <conditionalFormatting sqref="L60 L58">
    <cfRule type="cellIs" dxfId="200" priority="53" stopIfTrue="1" operator="notEqual">
      <formula>0</formula>
    </cfRule>
  </conditionalFormatting>
  <conditionalFormatting sqref="E55:F55">
    <cfRule type="expression" dxfId="199" priority="52" stopIfTrue="1">
      <formula>#REF!=TRUE</formula>
    </cfRule>
  </conditionalFormatting>
  <conditionalFormatting sqref="L59 L57 L61">
    <cfRule type="cellIs" dxfId="198" priority="51" stopIfTrue="1" operator="notEqual">
      <formula>0</formula>
    </cfRule>
  </conditionalFormatting>
  <conditionalFormatting sqref="E55:F55">
    <cfRule type="expression" dxfId="197" priority="50" stopIfTrue="1">
      <formula>#REF!=TRUE</formula>
    </cfRule>
  </conditionalFormatting>
  <conditionalFormatting sqref="L59 L57 L61">
    <cfRule type="cellIs" dxfId="196" priority="49" stopIfTrue="1" operator="notEqual">
      <formula>0</formula>
    </cfRule>
  </conditionalFormatting>
  <conditionalFormatting sqref="E56:F56">
    <cfRule type="expression" dxfId="195" priority="48" stopIfTrue="1">
      <formula>#REF!=TRUE</formula>
    </cfRule>
  </conditionalFormatting>
  <conditionalFormatting sqref="L60 L58">
    <cfRule type="cellIs" dxfId="194" priority="47" stopIfTrue="1" operator="notEqual">
      <formula>0</formula>
    </cfRule>
  </conditionalFormatting>
  <conditionalFormatting sqref="E55:F55">
    <cfRule type="expression" dxfId="193" priority="46" stopIfTrue="1">
      <formula>#REF!=TRUE</formula>
    </cfRule>
  </conditionalFormatting>
  <conditionalFormatting sqref="L59 L57 L61">
    <cfRule type="cellIs" dxfId="192" priority="45" stopIfTrue="1" operator="notEqual">
      <formula>0</formula>
    </cfRule>
  </conditionalFormatting>
  <conditionalFormatting sqref="E55:F55">
    <cfRule type="expression" dxfId="191" priority="44" stopIfTrue="1">
      <formula>#REF!=TRUE</formula>
    </cfRule>
  </conditionalFormatting>
  <conditionalFormatting sqref="L59 L57 L61">
    <cfRule type="cellIs" dxfId="190" priority="43" stopIfTrue="1" operator="notEqual">
      <formula>0</formula>
    </cfRule>
  </conditionalFormatting>
  <conditionalFormatting sqref="E56:F56">
    <cfRule type="expression" dxfId="189" priority="42" stopIfTrue="1">
      <formula>#REF!=TRUE</formula>
    </cfRule>
  </conditionalFormatting>
  <conditionalFormatting sqref="L60 L58">
    <cfRule type="cellIs" dxfId="188" priority="41" stopIfTrue="1" operator="notEqual">
      <formula>0</formula>
    </cfRule>
  </conditionalFormatting>
  <conditionalFormatting sqref="E55:F55">
    <cfRule type="expression" dxfId="187" priority="40" stopIfTrue="1">
      <formula>#REF!=TRUE</formula>
    </cfRule>
  </conditionalFormatting>
  <conditionalFormatting sqref="L59 L57 L61">
    <cfRule type="cellIs" dxfId="186" priority="39" stopIfTrue="1" operator="notEqual">
      <formula>0</formula>
    </cfRule>
  </conditionalFormatting>
  <conditionalFormatting sqref="E55:F55">
    <cfRule type="expression" dxfId="185" priority="38" stopIfTrue="1">
      <formula>#REF!=TRUE</formula>
    </cfRule>
  </conditionalFormatting>
  <conditionalFormatting sqref="L59 L57 L61">
    <cfRule type="cellIs" dxfId="184" priority="37" stopIfTrue="1" operator="notEqual">
      <formula>0</formula>
    </cfRule>
  </conditionalFormatting>
  <conditionalFormatting sqref="E56:F56">
    <cfRule type="expression" dxfId="183" priority="36" stopIfTrue="1">
      <formula>#REF!=TRUE</formula>
    </cfRule>
  </conditionalFormatting>
  <conditionalFormatting sqref="L60 L58">
    <cfRule type="cellIs" dxfId="182" priority="35" stopIfTrue="1" operator="notEqual">
      <formula>0</formula>
    </cfRule>
  </conditionalFormatting>
  <conditionalFormatting sqref="E55:F55">
    <cfRule type="expression" dxfId="181" priority="34" stopIfTrue="1">
      <formula>#REF!=TRUE</formula>
    </cfRule>
  </conditionalFormatting>
  <conditionalFormatting sqref="L59 L57 L61">
    <cfRule type="cellIs" dxfId="180" priority="33" stopIfTrue="1" operator="notEqual">
      <formula>0</formula>
    </cfRule>
  </conditionalFormatting>
  <conditionalFormatting sqref="E55:F55">
    <cfRule type="expression" dxfId="179" priority="32" stopIfTrue="1">
      <formula>#REF!=TRUE</formula>
    </cfRule>
  </conditionalFormatting>
  <conditionalFormatting sqref="L59 L57 L61">
    <cfRule type="cellIs" dxfId="178" priority="31" stopIfTrue="1" operator="notEqual">
      <formula>0</formula>
    </cfRule>
  </conditionalFormatting>
  <conditionalFormatting sqref="E56:F56">
    <cfRule type="expression" dxfId="177" priority="30" stopIfTrue="1">
      <formula>#REF!=TRUE</formula>
    </cfRule>
  </conditionalFormatting>
  <conditionalFormatting sqref="L57:L61">
    <cfRule type="cellIs" dxfId="176" priority="29" stopIfTrue="1" operator="notEqual">
      <formula>0</formula>
    </cfRule>
  </conditionalFormatting>
  <conditionalFormatting sqref="E55:F56">
    <cfRule type="expression" dxfId="175" priority="28" stopIfTrue="1">
      <formula>#REF!=TRUE</formula>
    </cfRule>
  </conditionalFormatting>
  <conditionalFormatting sqref="E56:F56">
    <cfRule type="expression" dxfId="174" priority="27" stopIfTrue="1">
      <formula>#REF!=TRUE</formula>
    </cfRule>
  </conditionalFormatting>
  <conditionalFormatting sqref="L60 L58">
    <cfRule type="cellIs" dxfId="173" priority="26" stopIfTrue="1" operator="notEqual">
      <formula>0</formula>
    </cfRule>
  </conditionalFormatting>
  <conditionalFormatting sqref="E55:F55">
    <cfRule type="expression" dxfId="172" priority="25" stopIfTrue="1">
      <formula>#REF!=TRUE</formula>
    </cfRule>
  </conditionalFormatting>
  <conditionalFormatting sqref="L59 L57 L61">
    <cfRule type="cellIs" dxfId="171" priority="24" stopIfTrue="1" operator="notEqual">
      <formula>0</formula>
    </cfRule>
  </conditionalFormatting>
  <conditionalFormatting sqref="E55:F55">
    <cfRule type="expression" dxfId="170" priority="23" stopIfTrue="1">
      <formula>#REF!=TRUE</formula>
    </cfRule>
  </conditionalFormatting>
  <conditionalFormatting sqref="L59 L57 L61">
    <cfRule type="cellIs" dxfId="169" priority="22" stopIfTrue="1" operator="notEqual">
      <formula>0</formula>
    </cfRule>
  </conditionalFormatting>
  <conditionalFormatting sqref="E56:F56">
    <cfRule type="expression" dxfId="168" priority="21" stopIfTrue="1">
      <formula>#REF!=TRUE</formula>
    </cfRule>
  </conditionalFormatting>
  <conditionalFormatting sqref="L60 L58">
    <cfRule type="cellIs" dxfId="167" priority="20" stopIfTrue="1" operator="notEqual">
      <formula>0</formula>
    </cfRule>
  </conditionalFormatting>
  <conditionalFormatting sqref="E55:F55">
    <cfRule type="expression" dxfId="166" priority="19" stopIfTrue="1">
      <formula>#REF!=TRUE</formula>
    </cfRule>
  </conditionalFormatting>
  <conditionalFormatting sqref="L59 L57 L61">
    <cfRule type="cellIs" dxfId="165" priority="18" stopIfTrue="1" operator="notEqual">
      <formula>0</formula>
    </cfRule>
  </conditionalFormatting>
  <conditionalFormatting sqref="E55:F55">
    <cfRule type="expression" dxfId="164" priority="17" stopIfTrue="1">
      <formula>#REF!=TRUE</formula>
    </cfRule>
  </conditionalFormatting>
  <conditionalFormatting sqref="L59 L57 L61">
    <cfRule type="cellIs" dxfId="163" priority="16" stopIfTrue="1" operator="notEqual">
      <formula>0</formula>
    </cfRule>
  </conditionalFormatting>
  <conditionalFormatting sqref="E56:F56">
    <cfRule type="expression" dxfId="162" priority="15" stopIfTrue="1">
      <formula>#REF!=TRUE</formula>
    </cfRule>
  </conditionalFormatting>
  <conditionalFormatting sqref="L60 L58">
    <cfRule type="cellIs" dxfId="161" priority="14" stopIfTrue="1" operator="notEqual">
      <formula>0</formula>
    </cfRule>
  </conditionalFormatting>
  <conditionalFormatting sqref="E55:F55">
    <cfRule type="expression" dxfId="160" priority="13" stopIfTrue="1">
      <formula>#REF!=TRUE</formula>
    </cfRule>
  </conditionalFormatting>
  <conditionalFormatting sqref="L59 L57 L61">
    <cfRule type="cellIs" dxfId="159" priority="12" stopIfTrue="1" operator="notEqual">
      <formula>0</formula>
    </cfRule>
  </conditionalFormatting>
  <conditionalFormatting sqref="E55:F55">
    <cfRule type="expression" dxfId="158" priority="11" stopIfTrue="1">
      <formula>#REF!=TRUE</formula>
    </cfRule>
  </conditionalFormatting>
  <conditionalFormatting sqref="L59 L57 L61">
    <cfRule type="cellIs" dxfId="157" priority="10" stopIfTrue="1" operator="notEqual">
      <formula>0</formula>
    </cfRule>
  </conditionalFormatting>
  <conditionalFormatting sqref="E56:F56">
    <cfRule type="expression" dxfId="156" priority="9" stopIfTrue="1">
      <formula>#REF!=TRUE</formula>
    </cfRule>
  </conditionalFormatting>
  <conditionalFormatting sqref="L60 L58">
    <cfRule type="cellIs" dxfId="155" priority="8" stopIfTrue="1" operator="notEqual">
      <formula>0</formula>
    </cfRule>
  </conditionalFormatting>
  <conditionalFormatting sqref="E55:F55">
    <cfRule type="expression" dxfId="154" priority="7" stopIfTrue="1">
      <formula>#REF!=TRUE</formula>
    </cfRule>
  </conditionalFormatting>
  <conditionalFormatting sqref="L59 L57 L61">
    <cfRule type="cellIs" dxfId="153" priority="6" stopIfTrue="1" operator="notEqual">
      <formula>0</formula>
    </cfRule>
  </conditionalFormatting>
  <conditionalFormatting sqref="E55:F55">
    <cfRule type="expression" dxfId="152" priority="5" stopIfTrue="1">
      <formula>#REF!=TRUE</formula>
    </cfRule>
  </conditionalFormatting>
  <conditionalFormatting sqref="L59 L57 L61">
    <cfRule type="cellIs" dxfId="151" priority="4" stopIfTrue="1" operator="notEqual">
      <formula>0</formula>
    </cfRule>
  </conditionalFormatting>
  <conditionalFormatting sqref="E56:F56">
    <cfRule type="expression" dxfId="150" priority="3" stopIfTrue="1">
      <formula>#REF!=TRUE</formula>
    </cfRule>
  </conditionalFormatting>
  <conditionalFormatting sqref="L57:L61">
    <cfRule type="cellIs" dxfId="149" priority="2" stopIfTrue="1" operator="notEqual">
      <formula>0</formula>
    </cfRule>
  </conditionalFormatting>
  <conditionalFormatting sqref="E55:F56">
    <cfRule type="expression" dxfId="148" priority="1" stopIfTrue="1">
      <formula>#REF!=TRUE</formula>
    </cfRule>
  </conditionalFormatting>
  <dataValidations count="1">
    <dataValidation type="list" allowBlank="1" showInputMessage="1" showErrorMessage="1" sqref="M57 JI57 TE57 ADA57 AMW57 AWS57 BGO57 BQK57 CAG57 CKC57 CTY57 DDU57 DNQ57 DXM57 EHI57 ERE57 FBA57 FKW57 FUS57 GEO57 GOK57 GYG57 HIC57 HRY57 IBU57 ILQ57 IVM57 JFI57 JPE57 JZA57 KIW57 KSS57 LCO57 LMK57 LWG57 MGC57 MPY57 MZU57 NJQ57 NTM57 ODI57 ONE57 OXA57 PGW57 PQS57 QAO57 QKK57 QUG57 REC57 RNY57 RXU57 SHQ57 SRM57 TBI57 TLE57 TVA57 UEW57 UOS57 UYO57 VIK57 VSG57 WCC57 WLY57 WVU57 M65593 JI65593 TE65593 ADA65593 AMW65593 AWS65593 BGO65593 BQK65593 CAG65593 CKC65593 CTY65593 DDU65593 DNQ65593 DXM65593 EHI65593 ERE65593 FBA65593 FKW65593 FUS65593 GEO65593 GOK65593 GYG65593 HIC65593 HRY65593 IBU65593 ILQ65593 IVM65593 JFI65593 JPE65593 JZA65593 KIW65593 KSS65593 LCO65593 LMK65593 LWG65593 MGC65593 MPY65593 MZU65593 NJQ65593 NTM65593 ODI65593 ONE65593 OXA65593 PGW65593 PQS65593 QAO65593 QKK65593 QUG65593 REC65593 RNY65593 RXU65593 SHQ65593 SRM65593 TBI65593 TLE65593 TVA65593 UEW65593 UOS65593 UYO65593 VIK65593 VSG65593 WCC65593 WLY65593 WVU65593 M131129 JI131129 TE131129 ADA131129 AMW131129 AWS131129 BGO131129 BQK131129 CAG131129 CKC131129 CTY131129 DDU131129 DNQ131129 DXM131129 EHI131129 ERE131129 FBA131129 FKW131129 FUS131129 GEO131129 GOK131129 GYG131129 HIC131129 HRY131129 IBU131129 ILQ131129 IVM131129 JFI131129 JPE131129 JZA131129 KIW131129 KSS131129 LCO131129 LMK131129 LWG131129 MGC131129 MPY131129 MZU131129 NJQ131129 NTM131129 ODI131129 ONE131129 OXA131129 PGW131129 PQS131129 QAO131129 QKK131129 QUG131129 REC131129 RNY131129 RXU131129 SHQ131129 SRM131129 TBI131129 TLE131129 TVA131129 UEW131129 UOS131129 UYO131129 VIK131129 VSG131129 WCC131129 WLY131129 WVU131129 M196665 JI196665 TE196665 ADA196665 AMW196665 AWS196665 BGO196665 BQK196665 CAG196665 CKC196665 CTY196665 DDU196665 DNQ196665 DXM196665 EHI196665 ERE196665 FBA196665 FKW196665 FUS196665 GEO196665 GOK196665 GYG196665 HIC196665 HRY196665 IBU196665 ILQ196665 IVM196665 JFI196665 JPE196665 JZA196665 KIW196665 KSS196665 LCO196665 LMK196665 LWG196665 MGC196665 MPY196665 MZU196665 NJQ196665 NTM196665 ODI196665 ONE196665 OXA196665 PGW196665 PQS196665 QAO196665 QKK196665 QUG196665 REC196665 RNY196665 RXU196665 SHQ196665 SRM196665 TBI196665 TLE196665 TVA196665 UEW196665 UOS196665 UYO196665 VIK196665 VSG196665 WCC196665 WLY196665 WVU196665 M262201 JI262201 TE262201 ADA262201 AMW262201 AWS262201 BGO262201 BQK262201 CAG262201 CKC262201 CTY262201 DDU262201 DNQ262201 DXM262201 EHI262201 ERE262201 FBA262201 FKW262201 FUS262201 GEO262201 GOK262201 GYG262201 HIC262201 HRY262201 IBU262201 ILQ262201 IVM262201 JFI262201 JPE262201 JZA262201 KIW262201 KSS262201 LCO262201 LMK262201 LWG262201 MGC262201 MPY262201 MZU262201 NJQ262201 NTM262201 ODI262201 ONE262201 OXA262201 PGW262201 PQS262201 QAO262201 QKK262201 QUG262201 REC262201 RNY262201 RXU262201 SHQ262201 SRM262201 TBI262201 TLE262201 TVA262201 UEW262201 UOS262201 UYO262201 VIK262201 VSG262201 WCC262201 WLY262201 WVU262201 M327737 JI327737 TE327737 ADA327737 AMW327737 AWS327737 BGO327737 BQK327737 CAG327737 CKC327737 CTY327737 DDU327737 DNQ327737 DXM327737 EHI327737 ERE327737 FBA327737 FKW327737 FUS327737 GEO327737 GOK327737 GYG327737 HIC327737 HRY327737 IBU327737 ILQ327737 IVM327737 JFI327737 JPE327737 JZA327737 KIW327737 KSS327737 LCO327737 LMK327737 LWG327737 MGC327737 MPY327737 MZU327737 NJQ327737 NTM327737 ODI327737 ONE327737 OXA327737 PGW327737 PQS327737 QAO327737 QKK327737 QUG327737 REC327737 RNY327737 RXU327737 SHQ327737 SRM327737 TBI327737 TLE327737 TVA327737 UEW327737 UOS327737 UYO327737 VIK327737 VSG327737 WCC327737 WLY327737 WVU327737 M393273 JI393273 TE393273 ADA393273 AMW393273 AWS393273 BGO393273 BQK393273 CAG393273 CKC393273 CTY393273 DDU393273 DNQ393273 DXM393273 EHI393273 ERE393273 FBA393273 FKW393273 FUS393273 GEO393273 GOK393273 GYG393273 HIC393273 HRY393273 IBU393273 ILQ393273 IVM393273 JFI393273 JPE393273 JZA393273 KIW393273 KSS393273 LCO393273 LMK393273 LWG393273 MGC393273 MPY393273 MZU393273 NJQ393273 NTM393273 ODI393273 ONE393273 OXA393273 PGW393273 PQS393273 QAO393273 QKK393273 QUG393273 REC393273 RNY393273 RXU393273 SHQ393273 SRM393273 TBI393273 TLE393273 TVA393273 UEW393273 UOS393273 UYO393273 VIK393273 VSG393273 WCC393273 WLY393273 WVU393273 M458809 JI458809 TE458809 ADA458809 AMW458809 AWS458809 BGO458809 BQK458809 CAG458809 CKC458809 CTY458809 DDU458809 DNQ458809 DXM458809 EHI458809 ERE458809 FBA458809 FKW458809 FUS458809 GEO458809 GOK458809 GYG458809 HIC458809 HRY458809 IBU458809 ILQ458809 IVM458809 JFI458809 JPE458809 JZA458809 KIW458809 KSS458809 LCO458809 LMK458809 LWG458809 MGC458809 MPY458809 MZU458809 NJQ458809 NTM458809 ODI458809 ONE458809 OXA458809 PGW458809 PQS458809 QAO458809 QKK458809 QUG458809 REC458809 RNY458809 RXU458809 SHQ458809 SRM458809 TBI458809 TLE458809 TVA458809 UEW458809 UOS458809 UYO458809 VIK458809 VSG458809 WCC458809 WLY458809 WVU458809 M524345 JI524345 TE524345 ADA524345 AMW524345 AWS524345 BGO524345 BQK524345 CAG524345 CKC524345 CTY524345 DDU524345 DNQ524345 DXM524345 EHI524345 ERE524345 FBA524345 FKW524345 FUS524345 GEO524345 GOK524345 GYG524345 HIC524345 HRY524345 IBU524345 ILQ524345 IVM524345 JFI524345 JPE524345 JZA524345 KIW524345 KSS524345 LCO524345 LMK524345 LWG524345 MGC524345 MPY524345 MZU524345 NJQ524345 NTM524345 ODI524345 ONE524345 OXA524345 PGW524345 PQS524345 QAO524345 QKK524345 QUG524345 REC524345 RNY524345 RXU524345 SHQ524345 SRM524345 TBI524345 TLE524345 TVA524345 UEW524345 UOS524345 UYO524345 VIK524345 VSG524345 WCC524345 WLY524345 WVU524345 M589881 JI589881 TE589881 ADA589881 AMW589881 AWS589881 BGO589881 BQK589881 CAG589881 CKC589881 CTY589881 DDU589881 DNQ589881 DXM589881 EHI589881 ERE589881 FBA589881 FKW589881 FUS589881 GEO589881 GOK589881 GYG589881 HIC589881 HRY589881 IBU589881 ILQ589881 IVM589881 JFI589881 JPE589881 JZA589881 KIW589881 KSS589881 LCO589881 LMK589881 LWG589881 MGC589881 MPY589881 MZU589881 NJQ589881 NTM589881 ODI589881 ONE589881 OXA589881 PGW589881 PQS589881 QAO589881 QKK589881 QUG589881 REC589881 RNY589881 RXU589881 SHQ589881 SRM589881 TBI589881 TLE589881 TVA589881 UEW589881 UOS589881 UYO589881 VIK589881 VSG589881 WCC589881 WLY589881 WVU589881 M655417 JI655417 TE655417 ADA655417 AMW655417 AWS655417 BGO655417 BQK655417 CAG655417 CKC655417 CTY655417 DDU655417 DNQ655417 DXM655417 EHI655417 ERE655417 FBA655417 FKW655417 FUS655417 GEO655417 GOK655417 GYG655417 HIC655417 HRY655417 IBU655417 ILQ655417 IVM655417 JFI655417 JPE655417 JZA655417 KIW655417 KSS655417 LCO655417 LMK655417 LWG655417 MGC655417 MPY655417 MZU655417 NJQ655417 NTM655417 ODI655417 ONE655417 OXA655417 PGW655417 PQS655417 QAO655417 QKK655417 QUG655417 REC655417 RNY655417 RXU655417 SHQ655417 SRM655417 TBI655417 TLE655417 TVA655417 UEW655417 UOS655417 UYO655417 VIK655417 VSG655417 WCC655417 WLY655417 WVU655417 M720953 JI720953 TE720953 ADA720953 AMW720953 AWS720953 BGO720953 BQK720953 CAG720953 CKC720953 CTY720953 DDU720953 DNQ720953 DXM720953 EHI720953 ERE720953 FBA720953 FKW720953 FUS720953 GEO720953 GOK720953 GYG720953 HIC720953 HRY720953 IBU720953 ILQ720953 IVM720953 JFI720953 JPE720953 JZA720953 KIW720953 KSS720953 LCO720953 LMK720953 LWG720953 MGC720953 MPY720953 MZU720953 NJQ720953 NTM720953 ODI720953 ONE720953 OXA720953 PGW720953 PQS720953 QAO720953 QKK720953 QUG720953 REC720953 RNY720953 RXU720953 SHQ720953 SRM720953 TBI720953 TLE720953 TVA720953 UEW720953 UOS720953 UYO720953 VIK720953 VSG720953 WCC720953 WLY720953 WVU720953 M786489 JI786489 TE786489 ADA786489 AMW786489 AWS786489 BGO786489 BQK786489 CAG786489 CKC786489 CTY786489 DDU786489 DNQ786489 DXM786489 EHI786489 ERE786489 FBA786489 FKW786489 FUS786489 GEO786489 GOK786489 GYG786489 HIC786489 HRY786489 IBU786489 ILQ786489 IVM786489 JFI786489 JPE786489 JZA786489 KIW786489 KSS786489 LCO786489 LMK786489 LWG786489 MGC786489 MPY786489 MZU786489 NJQ786489 NTM786489 ODI786489 ONE786489 OXA786489 PGW786489 PQS786489 QAO786489 QKK786489 QUG786489 REC786489 RNY786489 RXU786489 SHQ786489 SRM786489 TBI786489 TLE786489 TVA786489 UEW786489 UOS786489 UYO786489 VIK786489 VSG786489 WCC786489 WLY786489 WVU786489 M852025 JI852025 TE852025 ADA852025 AMW852025 AWS852025 BGO852025 BQK852025 CAG852025 CKC852025 CTY852025 DDU852025 DNQ852025 DXM852025 EHI852025 ERE852025 FBA852025 FKW852025 FUS852025 GEO852025 GOK852025 GYG852025 HIC852025 HRY852025 IBU852025 ILQ852025 IVM852025 JFI852025 JPE852025 JZA852025 KIW852025 KSS852025 LCO852025 LMK852025 LWG852025 MGC852025 MPY852025 MZU852025 NJQ852025 NTM852025 ODI852025 ONE852025 OXA852025 PGW852025 PQS852025 QAO852025 QKK852025 QUG852025 REC852025 RNY852025 RXU852025 SHQ852025 SRM852025 TBI852025 TLE852025 TVA852025 UEW852025 UOS852025 UYO852025 VIK852025 VSG852025 WCC852025 WLY852025 WVU852025 M917561 JI917561 TE917561 ADA917561 AMW917561 AWS917561 BGO917561 BQK917561 CAG917561 CKC917561 CTY917561 DDU917561 DNQ917561 DXM917561 EHI917561 ERE917561 FBA917561 FKW917561 FUS917561 GEO917561 GOK917561 GYG917561 HIC917561 HRY917561 IBU917561 ILQ917561 IVM917561 JFI917561 JPE917561 JZA917561 KIW917561 KSS917561 LCO917561 LMK917561 LWG917561 MGC917561 MPY917561 MZU917561 NJQ917561 NTM917561 ODI917561 ONE917561 OXA917561 PGW917561 PQS917561 QAO917561 QKK917561 QUG917561 REC917561 RNY917561 RXU917561 SHQ917561 SRM917561 TBI917561 TLE917561 TVA917561 UEW917561 UOS917561 UYO917561 VIK917561 VSG917561 WCC917561 WLY917561 WVU917561 M983097 JI983097 TE983097 ADA983097 AMW983097 AWS983097 BGO983097 BQK983097 CAG983097 CKC983097 CTY983097 DDU983097 DNQ983097 DXM983097 EHI983097 ERE983097 FBA983097 FKW983097 FUS983097 GEO983097 GOK983097 GYG983097 HIC983097 HRY983097 IBU983097 ILQ983097 IVM983097 JFI983097 JPE983097 JZA983097 KIW983097 KSS983097 LCO983097 LMK983097 LWG983097 MGC983097 MPY983097 MZU983097 NJQ983097 NTM983097 ODI983097 ONE983097 OXA983097 PGW983097 PQS983097 QAO983097 QKK983097 QUG983097 REC983097 RNY983097 RXU983097 SHQ983097 SRM983097 TBI983097 TLE983097 TVA983097 UEW983097 UOS983097 UYO983097 VIK983097 VSG983097 WCC983097 WLY983097 WVU983097">
      <formula1>"√,√ 正常差异,×"</formula1>
    </dataValidation>
  </dataValidations>
  <printOptions horizontalCentered="1"/>
  <pageMargins left="0.74803149606299213" right="0.39370078740157483" top="0.59055118110236227" bottom="0.19685039370078741" header="0.51181102362204722" footer="0.51181102362204722"/>
  <pageSetup paperSize="9" scale="78" orientation="portrait" blackAndWhite="1"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pageSetUpPr fitToPage="1"/>
  </sheetPr>
  <dimension ref="A1:J85"/>
  <sheetViews>
    <sheetView showZeros="0" topLeftCell="A76" workbookViewId="0">
      <selection activeCell="E25" sqref="E25"/>
    </sheetView>
  </sheetViews>
  <sheetFormatPr defaultRowHeight="12"/>
  <cols>
    <col min="1" max="2" width="0.140625" style="2797" customWidth="1"/>
    <col min="3" max="3" width="70.7109375" style="1665" customWidth="1"/>
    <col min="4" max="4" width="12.7109375" style="1665" customWidth="1"/>
    <col min="5" max="6" width="26.7109375" style="1665" customWidth="1"/>
    <col min="7" max="7" width="16.42578125" style="1665" bestFit="1" customWidth="1"/>
    <col min="8" max="256" width="9.140625" style="1665"/>
    <col min="257" max="258" width="0.140625" style="1665" customWidth="1"/>
    <col min="259" max="259" width="60.7109375" style="1665" customWidth="1"/>
    <col min="260" max="260" width="8.7109375" style="1665" customWidth="1"/>
    <col min="261" max="262" width="24.7109375" style="1665" customWidth="1"/>
    <col min="263" max="512" width="9.140625" style="1665"/>
    <col min="513" max="514" width="0.140625" style="1665" customWidth="1"/>
    <col min="515" max="515" width="60.7109375" style="1665" customWidth="1"/>
    <col min="516" max="516" width="8.7109375" style="1665" customWidth="1"/>
    <col min="517" max="518" width="24.7109375" style="1665" customWidth="1"/>
    <col min="519" max="768" width="9.140625" style="1665"/>
    <col min="769" max="770" width="0.140625" style="1665" customWidth="1"/>
    <col min="771" max="771" width="60.7109375" style="1665" customWidth="1"/>
    <col min="772" max="772" width="8.7109375" style="1665" customWidth="1"/>
    <col min="773" max="774" width="24.7109375" style="1665" customWidth="1"/>
    <col min="775" max="1024" width="9.140625" style="1665"/>
    <col min="1025" max="1026" width="0.140625" style="1665" customWidth="1"/>
    <col min="1027" max="1027" width="60.7109375" style="1665" customWidth="1"/>
    <col min="1028" max="1028" width="8.7109375" style="1665" customWidth="1"/>
    <col min="1029" max="1030" width="24.7109375" style="1665" customWidth="1"/>
    <col min="1031" max="1280" width="9.140625" style="1665"/>
    <col min="1281" max="1282" width="0.140625" style="1665" customWidth="1"/>
    <col min="1283" max="1283" width="60.7109375" style="1665" customWidth="1"/>
    <col min="1284" max="1284" width="8.7109375" style="1665" customWidth="1"/>
    <col min="1285" max="1286" width="24.7109375" style="1665" customWidth="1"/>
    <col min="1287" max="1536" width="9.140625" style="1665"/>
    <col min="1537" max="1538" width="0.140625" style="1665" customWidth="1"/>
    <col min="1539" max="1539" width="60.7109375" style="1665" customWidth="1"/>
    <col min="1540" max="1540" width="8.7109375" style="1665" customWidth="1"/>
    <col min="1541" max="1542" width="24.7109375" style="1665" customWidth="1"/>
    <col min="1543" max="1792" width="9.140625" style="1665"/>
    <col min="1793" max="1794" width="0.140625" style="1665" customWidth="1"/>
    <col min="1795" max="1795" width="60.7109375" style="1665" customWidth="1"/>
    <col min="1796" max="1796" width="8.7109375" style="1665" customWidth="1"/>
    <col min="1797" max="1798" width="24.7109375" style="1665" customWidth="1"/>
    <col min="1799" max="2048" width="9.140625" style="1665"/>
    <col min="2049" max="2050" width="0.140625" style="1665" customWidth="1"/>
    <col min="2051" max="2051" width="60.7109375" style="1665" customWidth="1"/>
    <col min="2052" max="2052" width="8.7109375" style="1665" customWidth="1"/>
    <col min="2053" max="2054" width="24.7109375" style="1665" customWidth="1"/>
    <col min="2055" max="2304" width="9.140625" style="1665"/>
    <col min="2305" max="2306" width="0.140625" style="1665" customWidth="1"/>
    <col min="2307" max="2307" width="60.7109375" style="1665" customWidth="1"/>
    <col min="2308" max="2308" width="8.7109375" style="1665" customWidth="1"/>
    <col min="2309" max="2310" width="24.7109375" style="1665" customWidth="1"/>
    <col min="2311" max="2560" width="9.140625" style="1665"/>
    <col min="2561" max="2562" width="0.140625" style="1665" customWidth="1"/>
    <col min="2563" max="2563" width="60.7109375" style="1665" customWidth="1"/>
    <col min="2564" max="2564" width="8.7109375" style="1665" customWidth="1"/>
    <col min="2565" max="2566" width="24.7109375" style="1665" customWidth="1"/>
    <col min="2567" max="2816" width="9.140625" style="1665"/>
    <col min="2817" max="2818" width="0.140625" style="1665" customWidth="1"/>
    <col min="2819" max="2819" width="60.7109375" style="1665" customWidth="1"/>
    <col min="2820" max="2820" width="8.7109375" style="1665" customWidth="1"/>
    <col min="2821" max="2822" width="24.7109375" style="1665" customWidth="1"/>
    <col min="2823" max="3072" width="9.140625" style="1665"/>
    <col min="3073" max="3074" width="0.140625" style="1665" customWidth="1"/>
    <col min="3075" max="3075" width="60.7109375" style="1665" customWidth="1"/>
    <col min="3076" max="3076" width="8.7109375" style="1665" customWidth="1"/>
    <col min="3077" max="3078" width="24.7109375" style="1665" customWidth="1"/>
    <col min="3079" max="3328" width="9.140625" style="1665"/>
    <col min="3329" max="3330" width="0.140625" style="1665" customWidth="1"/>
    <col min="3331" max="3331" width="60.7109375" style="1665" customWidth="1"/>
    <col min="3332" max="3332" width="8.7109375" style="1665" customWidth="1"/>
    <col min="3333" max="3334" width="24.7109375" style="1665" customWidth="1"/>
    <col min="3335" max="3584" width="9.140625" style="1665"/>
    <col min="3585" max="3586" width="0.140625" style="1665" customWidth="1"/>
    <col min="3587" max="3587" width="60.7109375" style="1665" customWidth="1"/>
    <col min="3588" max="3588" width="8.7109375" style="1665" customWidth="1"/>
    <col min="3589" max="3590" width="24.7109375" style="1665" customWidth="1"/>
    <col min="3591" max="3840" width="9.140625" style="1665"/>
    <col min="3841" max="3842" width="0.140625" style="1665" customWidth="1"/>
    <col min="3843" max="3843" width="60.7109375" style="1665" customWidth="1"/>
    <col min="3844" max="3844" width="8.7109375" style="1665" customWidth="1"/>
    <col min="3845" max="3846" width="24.7109375" style="1665" customWidth="1"/>
    <col min="3847" max="4096" width="9.140625" style="1665"/>
    <col min="4097" max="4098" width="0.140625" style="1665" customWidth="1"/>
    <col min="4099" max="4099" width="60.7109375" style="1665" customWidth="1"/>
    <col min="4100" max="4100" width="8.7109375" style="1665" customWidth="1"/>
    <col min="4101" max="4102" width="24.7109375" style="1665" customWidth="1"/>
    <col min="4103" max="4352" width="9.140625" style="1665"/>
    <col min="4353" max="4354" width="0.140625" style="1665" customWidth="1"/>
    <col min="4355" max="4355" width="60.7109375" style="1665" customWidth="1"/>
    <col min="4356" max="4356" width="8.7109375" style="1665" customWidth="1"/>
    <col min="4357" max="4358" width="24.7109375" style="1665" customWidth="1"/>
    <col min="4359" max="4608" width="9.140625" style="1665"/>
    <col min="4609" max="4610" width="0.140625" style="1665" customWidth="1"/>
    <col min="4611" max="4611" width="60.7109375" style="1665" customWidth="1"/>
    <col min="4612" max="4612" width="8.7109375" style="1665" customWidth="1"/>
    <col min="4613" max="4614" width="24.7109375" style="1665" customWidth="1"/>
    <col min="4615" max="4864" width="9.140625" style="1665"/>
    <col min="4865" max="4866" width="0.140625" style="1665" customWidth="1"/>
    <col min="4867" max="4867" width="60.7109375" style="1665" customWidth="1"/>
    <col min="4868" max="4868" width="8.7109375" style="1665" customWidth="1"/>
    <col min="4869" max="4870" width="24.7109375" style="1665" customWidth="1"/>
    <col min="4871" max="5120" width="9.140625" style="1665"/>
    <col min="5121" max="5122" width="0.140625" style="1665" customWidth="1"/>
    <col min="5123" max="5123" width="60.7109375" style="1665" customWidth="1"/>
    <col min="5124" max="5124" width="8.7109375" style="1665" customWidth="1"/>
    <col min="5125" max="5126" width="24.7109375" style="1665" customWidth="1"/>
    <col min="5127" max="5376" width="9.140625" style="1665"/>
    <col min="5377" max="5378" width="0.140625" style="1665" customWidth="1"/>
    <col min="5379" max="5379" width="60.7109375" style="1665" customWidth="1"/>
    <col min="5380" max="5380" width="8.7109375" style="1665" customWidth="1"/>
    <col min="5381" max="5382" width="24.7109375" style="1665" customWidth="1"/>
    <col min="5383" max="5632" width="9.140625" style="1665"/>
    <col min="5633" max="5634" width="0.140625" style="1665" customWidth="1"/>
    <col min="5635" max="5635" width="60.7109375" style="1665" customWidth="1"/>
    <col min="5636" max="5636" width="8.7109375" style="1665" customWidth="1"/>
    <col min="5637" max="5638" width="24.7109375" style="1665" customWidth="1"/>
    <col min="5639" max="5888" width="9.140625" style="1665"/>
    <col min="5889" max="5890" width="0.140625" style="1665" customWidth="1"/>
    <col min="5891" max="5891" width="60.7109375" style="1665" customWidth="1"/>
    <col min="5892" max="5892" width="8.7109375" style="1665" customWidth="1"/>
    <col min="5893" max="5894" width="24.7109375" style="1665" customWidth="1"/>
    <col min="5895" max="6144" width="9.140625" style="1665"/>
    <col min="6145" max="6146" width="0.140625" style="1665" customWidth="1"/>
    <col min="6147" max="6147" width="60.7109375" style="1665" customWidth="1"/>
    <col min="6148" max="6148" width="8.7109375" style="1665" customWidth="1"/>
    <col min="6149" max="6150" width="24.7109375" style="1665" customWidth="1"/>
    <col min="6151" max="6400" width="9.140625" style="1665"/>
    <col min="6401" max="6402" width="0.140625" style="1665" customWidth="1"/>
    <col min="6403" max="6403" width="60.7109375" style="1665" customWidth="1"/>
    <col min="6404" max="6404" width="8.7109375" style="1665" customWidth="1"/>
    <col min="6405" max="6406" width="24.7109375" style="1665" customWidth="1"/>
    <col min="6407" max="6656" width="9.140625" style="1665"/>
    <col min="6657" max="6658" width="0.140625" style="1665" customWidth="1"/>
    <col min="6659" max="6659" width="60.7109375" style="1665" customWidth="1"/>
    <col min="6660" max="6660" width="8.7109375" style="1665" customWidth="1"/>
    <col min="6661" max="6662" width="24.7109375" style="1665" customWidth="1"/>
    <col min="6663" max="6912" width="9.140625" style="1665"/>
    <col min="6913" max="6914" width="0.140625" style="1665" customWidth="1"/>
    <col min="6915" max="6915" width="60.7109375" style="1665" customWidth="1"/>
    <col min="6916" max="6916" width="8.7109375" style="1665" customWidth="1"/>
    <col min="6917" max="6918" width="24.7109375" style="1665" customWidth="1"/>
    <col min="6919" max="7168" width="9.140625" style="1665"/>
    <col min="7169" max="7170" width="0.140625" style="1665" customWidth="1"/>
    <col min="7171" max="7171" width="60.7109375" style="1665" customWidth="1"/>
    <col min="7172" max="7172" width="8.7109375" style="1665" customWidth="1"/>
    <col min="7173" max="7174" width="24.7109375" style="1665" customWidth="1"/>
    <col min="7175" max="7424" width="9.140625" style="1665"/>
    <col min="7425" max="7426" width="0.140625" style="1665" customWidth="1"/>
    <col min="7427" max="7427" width="60.7109375" style="1665" customWidth="1"/>
    <col min="7428" max="7428" width="8.7109375" style="1665" customWidth="1"/>
    <col min="7429" max="7430" width="24.7109375" style="1665" customWidth="1"/>
    <col min="7431" max="7680" width="9.140625" style="1665"/>
    <col min="7681" max="7682" width="0.140625" style="1665" customWidth="1"/>
    <col min="7683" max="7683" width="60.7109375" style="1665" customWidth="1"/>
    <col min="7684" max="7684" width="8.7109375" style="1665" customWidth="1"/>
    <col min="7685" max="7686" width="24.7109375" style="1665" customWidth="1"/>
    <col min="7687" max="7936" width="9.140625" style="1665"/>
    <col min="7937" max="7938" width="0.140625" style="1665" customWidth="1"/>
    <col min="7939" max="7939" width="60.7109375" style="1665" customWidth="1"/>
    <col min="7940" max="7940" width="8.7109375" style="1665" customWidth="1"/>
    <col min="7941" max="7942" width="24.7109375" style="1665" customWidth="1"/>
    <col min="7943" max="8192" width="9.140625" style="1665"/>
    <col min="8193" max="8194" width="0.140625" style="1665" customWidth="1"/>
    <col min="8195" max="8195" width="60.7109375" style="1665" customWidth="1"/>
    <col min="8196" max="8196" width="8.7109375" style="1665" customWidth="1"/>
    <col min="8197" max="8198" width="24.7109375" style="1665" customWidth="1"/>
    <col min="8199" max="8448" width="9.140625" style="1665"/>
    <col min="8449" max="8450" width="0.140625" style="1665" customWidth="1"/>
    <col min="8451" max="8451" width="60.7109375" style="1665" customWidth="1"/>
    <col min="8452" max="8452" width="8.7109375" style="1665" customWidth="1"/>
    <col min="8453" max="8454" width="24.7109375" style="1665" customWidth="1"/>
    <col min="8455" max="8704" width="9.140625" style="1665"/>
    <col min="8705" max="8706" width="0.140625" style="1665" customWidth="1"/>
    <col min="8707" max="8707" width="60.7109375" style="1665" customWidth="1"/>
    <col min="8708" max="8708" width="8.7109375" style="1665" customWidth="1"/>
    <col min="8709" max="8710" width="24.7109375" style="1665" customWidth="1"/>
    <col min="8711" max="8960" width="9.140625" style="1665"/>
    <col min="8961" max="8962" width="0.140625" style="1665" customWidth="1"/>
    <col min="8963" max="8963" width="60.7109375" style="1665" customWidth="1"/>
    <col min="8964" max="8964" width="8.7109375" style="1665" customWidth="1"/>
    <col min="8965" max="8966" width="24.7109375" style="1665" customWidth="1"/>
    <col min="8967" max="9216" width="9.140625" style="1665"/>
    <col min="9217" max="9218" width="0.140625" style="1665" customWidth="1"/>
    <col min="9219" max="9219" width="60.7109375" style="1665" customWidth="1"/>
    <col min="9220" max="9220" width="8.7109375" style="1665" customWidth="1"/>
    <col min="9221" max="9222" width="24.7109375" style="1665" customWidth="1"/>
    <col min="9223" max="9472" width="9.140625" style="1665"/>
    <col min="9473" max="9474" width="0.140625" style="1665" customWidth="1"/>
    <col min="9475" max="9475" width="60.7109375" style="1665" customWidth="1"/>
    <col min="9476" max="9476" width="8.7109375" style="1665" customWidth="1"/>
    <col min="9477" max="9478" width="24.7109375" style="1665" customWidth="1"/>
    <col min="9479" max="9728" width="9.140625" style="1665"/>
    <col min="9729" max="9730" width="0.140625" style="1665" customWidth="1"/>
    <col min="9731" max="9731" width="60.7109375" style="1665" customWidth="1"/>
    <col min="9732" max="9732" width="8.7109375" style="1665" customWidth="1"/>
    <col min="9733" max="9734" width="24.7109375" style="1665" customWidth="1"/>
    <col min="9735" max="9984" width="9.140625" style="1665"/>
    <col min="9985" max="9986" width="0.140625" style="1665" customWidth="1"/>
    <col min="9987" max="9987" width="60.7109375" style="1665" customWidth="1"/>
    <col min="9988" max="9988" width="8.7109375" style="1665" customWidth="1"/>
    <col min="9989" max="9990" width="24.7109375" style="1665" customWidth="1"/>
    <col min="9991" max="10240" width="9.140625" style="1665"/>
    <col min="10241" max="10242" width="0.140625" style="1665" customWidth="1"/>
    <col min="10243" max="10243" width="60.7109375" style="1665" customWidth="1"/>
    <col min="10244" max="10244" width="8.7109375" style="1665" customWidth="1"/>
    <col min="10245" max="10246" width="24.7109375" style="1665" customWidth="1"/>
    <col min="10247" max="10496" width="9.140625" style="1665"/>
    <col min="10497" max="10498" width="0.140625" style="1665" customWidth="1"/>
    <col min="10499" max="10499" width="60.7109375" style="1665" customWidth="1"/>
    <col min="10500" max="10500" width="8.7109375" style="1665" customWidth="1"/>
    <col min="10501" max="10502" width="24.7109375" style="1665" customWidth="1"/>
    <col min="10503" max="10752" width="9.140625" style="1665"/>
    <col min="10753" max="10754" width="0.140625" style="1665" customWidth="1"/>
    <col min="10755" max="10755" width="60.7109375" style="1665" customWidth="1"/>
    <col min="10756" max="10756" width="8.7109375" style="1665" customWidth="1"/>
    <col min="10757" max="10758" width="24.7109375" style="1665" customWidth="1"/>
    <col min="10759" max="11008" width="9.140625" style="1665"/>
    <col min="11009" max="11010" width="0.140625" style="1665" customWidth="1"/>
    <col min="11011" max="11011" width="60.7109375" style="1665" customWidth="1"/>
    <col min="11012" max="11012" width="8.7109375" style="1665" customWidth="1"/>
    <col min="11013" max="11014" width="24.7109375" style="1665" customWidth="1"/>
    <col min="11015" max="11264" width="9.140625" style="1665"/>
    <col min="11265" max="11266" width="0.140625" style="1665" customWidth="1"/>
    <col min="11267" max="11267" width="60.7109375" style="1665" customWidth="1"/>
    <col min="11268" max="11268" width="8.7109375" style="1665" customWidth="1"/>
    <col min="11269" max="11270" width="24.7109375" style="1665" customWidth="1"/>
    <col min="11271" max="11520" width="9.140625" style="1665"/>
    <col min="11521" max="11522" width="0.140625" style="1665" customWidth="1"/>
    <col min="11523" max="11523" width="60.7109375" style="1665" customWidth="1"/>
    <col min="11524" max="11524" width="8.7109375" style="1665" customWidth="1"/>
    <col min="11525" max="11526" width="24.7109375" style="1665" customWidth="1"/>
    <col min="11527" max="11776" width="9.140625" style="1665"/>
    <col min="11777" max="11778" width="0.140625" style="1665" customWidth="1"/>
    <col min="11779" max="11779" width="60.7109375" style="1665" customWidth="1"/>
    <col min="11780" max="11780" width="8.7109375" style="1665" customWidth="1"/>
    <col min="11781" max="11782" width="24.7109375" style="1665" customWidth="1"/>
    <col min="11783" max="12032" width="9.140625" style="1665"/>
    <col min="12033" max="12034" width="0.140625" style="1665" customWidth="1"/>
    <col min="12035" max="12035" width="60.7109375" style="1665" customWidth="1"/>
    <col min="12036" max="12036" width="8.7109375" style="1665" customWidth="1"/>
    <col min="12037" max="12038" width="24.7109375" style="1665" customWidth="1"/>
    <col min="12039" max="12288" width="9.140625" style="1665"/>
    <col min="12289" max="12290" width="0.140625" style="1665" customWidth="1"/>
    <col min="12291" max="12291" width="60.7109375" style="1665" customWidth="1"/>
    <col min="12292" max="12292" width="8.7109375" style="1665" customWidth="1"/>
    <col min="12293" max="12294" width="24.7109375" style="1665" customWidth="1"/>
    <col min="12295" max="12544" width="9.140625" style="1665"/>
    <col min="12545" max="12546" width="0.140625" style="1665" customWidth="1"/>
    <col min="12547" max="12547" width="60.7109375" style="1665" customWidth="1"/>
    <col min="12548" max="12548" width="8.7109375" style="1665" customWidth="1"/>
    <col min="12549" max="12550" width="24.7109375" style="1665" customWidth="1"/>
    <col min="12551" max="12800" width="9.140625" style="1665"/>
    <col min="12801" max="12802" width="0.140625" style="1665" customWidth="1"/>
    <col min="12803" max="12803" width="60.7109375" style="1665" customWidth="1"/>
    <col min="12804" max="12804" width="8.7109375" style="1665" customWidth="1"/>
    <col min="12805" max="12806" width="24.7109375" style="1665" customWidth="1"/>
    <col min="12807" max="13056" width="9.140625" style="1665"/>
    <col min="13057" max="13058" width="0.140625" style="1665" customWidth="1"/>
    <col min="13059" max="13059" width="60.7109375" style="1665" customWidth="1"/>
    <col min="13060" max="13060" width="8.7109375" style="1665" customWidth="1"/>
    <col min="13061" max="13062" width="24.7109375" style="1665" customWidth="1"/>
    <col min="13063" max="13312" width="9.140625" style="1665"/>
    <col min="13313" max="13314" width="0.140625" style="1665" customWidth="1"/>
    <col min="13315" max="13315" width="60.7109375" style="1665" customWidth="1"/>
    <col min="13316" max="13316" width="8.7109375" style="1665" customWidth="1"/>
    <col min="13317" max="13318" width="24.7109375" style="1665" customWidth="1"/>
    <col min="13319" max="13568" width="9.140625" style="1665"/>
    <col min="13569" max="13570" width="0.140625" style="1665" customWidth="1"/>
    <col min="13571" max="13571" width="60.7109375" style="1665" customWidth="1"/>
    <col min="13572" max="13572" width="8.7109375" style="1665" customWidth="1"/>
    <col min="13573" max="13574" width="24.7109375" style="1665" customWidth="1"/>
    <col min="13575" max="13824" width="9.140625" style="1665"/>
    <col min="13825" max="13826" width="0.140625" style="1665" customWidth="1"/>
    <col min="13827" max="13827" width="60.7109375" style="1665" customWidth="1"/>
    <col min="13828" max="13828" width="8.7109375" style="1665" customWidth="1"/>
    <col min="13829" max="13830" width="24.7109375" style="1665" customWidth="1"/>
    <col min="13831" max="14080" width="9.140625" style="1665"/>
    <col min="14081" max="14082" width="0.140625" style="1665" customWidth="1"/>
    <col min="14083" max="14083" width="60.7109375" style="1665" customWidth="1"/>
    <col min="14084" max="14084" width="8.7109375" style="1665" customWidth="1"/>
    <col min="14085" max="14086" width="24.7109375" style="1665" customWidth="1"/>
    <col min="14087" max="14336" width="9.140625" style="1665"/>
    <col min="14337" max="14338" width="0.140625" style="1665" customWidth="1"/>
    <col min="14339" max="14339" width="60.7109375" style="1665" customWidth="1"/>
    <col min="14340" max="14340" width="8.7109375" style="1665" customWidth="1"/>
    <col min="14341" max="14342" width="24.7109375" style="1665" customWidth="1"/>
    <col min="14343" max="14592" width="9.140625" style="1665"/>
    <col min="14593" max="14594" width="0.140625" style="1665" customWidth="1"/>
    <col min="14595" max="14595" width="60.7109375" style="1665" customWidth="1"/>
    <col min="14596" max="14596" width="8.7109375" style="1665" customWidth="1"/>
    <col min="14597" max="14598" width="24.7109375" style="1665" customWidth="1"/>
    <col min="14599" max="14848" width="9.140625" style="1665"/>
    <col min="14849" max="14850" width="0.140625" style="1665" customWidth="1"/>
    <col min="14851" max="14851" width="60.7109375" style="1665" customWidth="1"/>
    <col min="14852" max="14852" width="8.7109375" style="1665" customWidth="1"/>
    <col min="14853" max="14854" width="24.7109375" style="1665" customWidth="1"/>
    <col min="14855" max="15104" width="9.140625" style="1665"/>
    <col min="15105" max="15106" width="0.140625" style="1665" customWidth="1"/>
    <col min="15107" max="15107" width="60.7109375" style="1665" customWidth="1"/>
    <col min="15108" max="15108" width="8.7109375" style="1665" customWidth="1"/>
    <col min="15109" max="15110" width="24.7109375" style="1665" customWidth="1"/>
    <col min="15111" max="15360" width="9.140625" style="1665"/>
    <col min="15361" max="15362" width="0.140625" style="1665" customWidth="1"/>
    <col min="15363" max="15363" width="60.7109375" style="1665" customWidth="1"/>
    <col min="15364" max="15364" width="8.7109375" style="1665" customWidth="1"/>
    <col min="15365" max="15366" width="24.7109375" style="1665" customWidth="1"/>
    <col min="15367" max="15616" width="9.140625" style="1665"/>
    <col min="15617" max="15618" width="0.140625" style="1665" customWidth="1"/>
    <col min="15619" max="15619" width="60.7109375" style="1665" customWidth="1"/>
    <col min="15620" max="15620" width="8.7109375" style="1665" customWidth="1"/>
    <col min="15621" max="15622" width="24.7109375" style="1665" customWidth="1"/>
    <col min="15623" max="15872" width="9.140625" style="1665"/>
    <col min="15873" max="15874" width="0.140625" style="1665" customWidth="1"/>
    <col min="15875" max="15875" width="60.7109375" style="1665" customWidth="1"/>
    <col min="15876" max="15876" width="8.7109375" style="1665" customWidth="1"/>
    <col min="15877" max="15878" width="24.7109375" style="1665" customWidth="1"/>
    <col min="15879" max="16128" width="9.140625" style="1665"/>
    <col min="16129" max="16130" width="0.140625" style="1665" customWidth="1"/>
    <col min="16131" max="16131" width="60.7109375" style="1665" customWidth="1"/>
    <col min="16132" max="16132" width="8.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559" t="s">
        <v>5808</v>
      </c>
      <c r="D2" s="3559"/>
      <c r="E2" s="3559"/>
      <c r="F2" s="3559"/>
      <c r="G2" s="1664"/>
      <c r="H2" s="1664"/>
      <c r="I2" s="1664"/>
      <c r="J2" s="1664"/>
    </row>
    <row r="3" spans="1:10" ht="27" customHeight="1">
      <c r="A3" s="2840"/>
      <c r="B3" s="2841"/>
      <c r="C3" s="3558" t="str">
        <f>Lead!$F$7</f>
        <v>2019年度</v>
      </c>
      <c r="D3" s="3558"/>
      <c r="E3" s="3558"/>
      <c r="F3" s="3558"/>
      <c r="G3" s="1664"/>
      <c r="H3" s="1664"/>
      <c r="I3" s="1664"/>
      <c r="J3" s="1664"/>
    </row>
    <row r="4" spans="1:10" ht="6" customHeight="1">
      <c r="A4" s="2840"/>
      <c r="B4" s="2841"/>
      <c r="C4" s="1708"/>
      <c r="D4" s="1662"/>
      <c r="E4" s="1662"/>
      <c r="F4" s="1709"/>
      <c r="G4" s="1664"/>
      <c r="H4" s="1664"/>
      <c r="I4" s="1664"/>
      <c r="J4" s="1664"/>
    </row>
    <row r="5" spans="1:10" ht="25.5" customHeight="1" thickBot="1">
      <c r="A5" s="2840"/>
      <c r="B5" s="2841"/>
      <c r="C5" s="2038" t="str">
        <f>Lead!$B$5&amp;"："&amp;Lead!$C$5</f>
        <v>编制单位：福建省力菲克药业有限公司</v>
      </c>
      <c r="D5" s="2039"/>
      <c r="E5" s="2040" t="s">
        <v>2554</v>
      </c>
      <c r="F5" s="2041" t="s">
        <v>2555</v>
      </c>
      <c r="G5" s="1664"/>
      <c r="H5" s="1664"/>
      <c r="I5" s="1664"/>
      <c r="J5" s="1664"/>
    </row>
    <row r="6" spans="1:10" ht="20.100000000000001" customHeight="1">
      <c r="A6" s="2885" t="s">
        <v>2556</v>
      </c>
      <c r="B6" s="2883" t="s">
        <v>2558</v>
      </c>
      <c r="C6" s="2043" t="s">
        <v>5134</v>
      </c>
      <c r="D6" s="2044" t="s">
        <v>5847</v>
      </c>
      <c r="E6" s="2045" t="str">
        <f>Lead!$F$7</f>
        <v>2019年度</v>
      </c>
      <c r="F6" s="2046" t="str">
        <f>Lead!$F$8</f>
        <v>2018年度</v>
      </c>
      <c r="G6" s="1885"/>
      <c r="H6" s="1885"/>
      <c r="I6" s="1664"/>
      <c r="J6" s="1664"/>
    </row>
    <row r="7" spans="1:10" ht="20.100000000000001" customHeight="1">
      <c r="A7" s="2863">
        <f t="shared" ref="A7:A41" si="0">VLOOKUP($B7,Sheet_Items,4,0)</f>
        <v>0</v>
      </c>
      <c r="B7" s="2856">
        <v>6001</v>
      </c>
      <c r="C7" s="2047" t="str">
        <f t="shared" ref="C7:C38" si="1">VLOOKUP($B7,Sheet_Items,6,0)</f>
        <v>一、营业收入</v>
      </c>
      <c r="D7" s="2048"/>
      <c r="E7" s="3362">
        <f t="shared" ref="E7:E24" si="2">IF($B7="","",VLOOKUP($B7,Sheet_Trialbal,6,0))</f>
        <v>34251580.890000001</v>
      </c>
      <c r="F7" s="2050">
        <f t="shared" ref="F7:F24" si="3">IF($B7="","",VLOOKUP($B7,Sheet_Trialbal,10,0))</f>
        <v>37369847.649999999</v>
      </c>
      <c r="G7" s="3105"/>
      <c r="H7" s="3105"/>
      <c r="I7" s="1664"/>
      <c r="J7" s="1664"/>
    </row>
    <row r="8" spans="1:10" ht="20.100000000000001" customHeight="1">
      <c r="A8" s="2863">
        <f t="shared" si="0"/>
        <v>0</v>
      </c>
      <c r="B8" s="2856">
        <v>6401</v>
      </c>
      <c r="C8" s="2051" t="str">
        <f t="shared" si="1"/>
        <v>减：营业成本</v>
      </c>
      <c r="D8" s="2052"/>
      <c r="E8" s="3362">
        <f t="shared" si="2"/>
        <v>21384532.949999999</v>
      </c>
      <c r="F8" s="2050">
        <f t="shared" si="3"/>
        <v>23934591.690000001</v>
      </c>
      <c r="G8" s="1885"/>
      <c r="H8" s="1885"/>
      <c r="I8" s="1664"/>
      <c r="J8" s="1664"/>
    </row>
    <row r="9" spans="1:10" ht="20.100000000000001" customHeight="1">
      <c r="A9" s="2863">
        <f t="shared" si="0"/>
        <v>0</v>
      </c>
      <c r="B9" s="2856">
        <v>6600</v>
      </c>
      <c r="C9" s="2030" t="str">
        <f t="shared" si="1"/>
        <v>税金及附加</v>
      </c>
      <c r="D9" s="2052"/>
      <c r="E9" s="3362">
        <f t="shared" si="2"/>
        <v>740280.52</v>
      </c>
      <c r="F9" s="2050">
        <f t="shared" si="3"/>
        <v>816515.77</v>
      </c>
      <c r="G9" s="1885"/>
      <c r="H9" s="1885"/>
      <c r="I9" s="1664"/>
      <c r="J9" s="1664"/>
    </row>
    <row r="10" spans="1:10" ht="20.100000000000001" customHeight="1">
      <c r="A10" s="2863">
        <f t="shared" si="0"/>
        <v>0</v>
      </c>
      <c r="B10" s="2856">
        <v>6601</v>
      </c>
      <c r="C10" s="2030" t="str">
        <f t="shared" si="1"/>
        <v>销售费用</v>
      </c>
      <c r="D10" s="2052"/>
      <c r="E10" s="3362">
        <f t="shared" si="2"/>
        <v>5573302.79</v>
      </c>
      <c r="F10" s="2050">
        <f t="shared" si="3"/>
        <v>5670698.4400000004</v>
      </c>
      <c r="G10" s="1885"/>
      <c r="H10" s="1885"/>
      <c r="I10" s="1664"/>
      <c r="J10" s="1664"/>
    </row>
    <row r="11" spans="1:10" ht="20.100000000000001" customHeight="1">
      <c r="A11" s="2863">
        <f t="shared" si="0"/>
        <v>0</v>
      </c>
      <c r="B11" s="2856">
        <v>6602</v>
      </c>
      <c r="C11" s="2030" t="str">
        <f t="shared" si="1"/>
        <v>管理费用</v>
      </c>
      <c r="D11" s="2052"/>
      <c r="E11" s="3362">
        <f t="shared" si="2"/>
        <v>3943436.51</v>
      </c>
      <c r="F11" s="2050">
        <f t="shared" si="3"/>
        <v>2881011.76</v>
      </c>
      <c r="G11" s="1885"/>
      <c r="H11" s="1885"/>
      <c r="I11" s="1664"/>
      <c r="J11" s="1664"/>
    </row>
    <row r="12" spans="1:10" ht="20.100000000000001" customHeight="1">
      <c r="A12" s="2863">
        <f t="shared" si="0"/>
        <v>0</v>
      </c>
      <c r="B12" s="2856">
        <v>6606</v>
      </c>
      <c r="C12" s="2030" t="str">
        <f t="shared" si="1"/>
        <v>研发费用</v>
      </c>
      <c r="D12" s="2052"/>
      <c r="E12" s="3362">
        <f t="shared" si="2"/>
        <v>4398818.97</v>
      </c>
      <c r="F12" s="2050">
        <f t="shared" si="3"/>
        <v>3908463.7</v>
      </c>
      <c r="G12" s="1885"/>
      <c r="H12" s="1885"/>
      <c r="I12" s="1664"/>
      <c r="J12" s="1664"/>
    </row>
    <row r="13" spans="1:10" ht="20.100000000000001" customHeight="1">
      <c r="A13" s="2863">
        <f t="shared" si="0"/>
        <v>0</v>
      </c>
      <c r="B13" s="2856">
        <v>6603</v>
      </c>
      <c r="C13" s="2030" t="str">
        <f t="shared" si="1"/>
        <v>财务费用</v>
      </c>
      <c r="D13" s="2052"/>
      <c r="E13" s="3362">
        <f t="shared" si="2"/>
        <v>47156.11</v>
      </c>
      <c r="F13" s="2050">
        <f t="shared" si="3"/>
        <v>353161.16</v>
      </c>
      <c r="G13" s="1885"/>
      <c r="H13" s="1885"/>
      <c r="I13" s="1664"/>
      <c r="J13" s="1664"/>
    </row>
    <row r="14" spans="1:10" ht="20.100000000000001" customHeight="1">
      <c r="A14" s="2863">
        <f t="shared" si="0"/>
        <v>0</v>
      </c>
      <c r="B14" s="2856" t="s">
        <v>803</v>
      </c>
      <c r="C14" s="2031" t="str">
        <f t="shared" si="1"/>
        <v>其中：利息费用</v>
      </c>
      <c r="D14" s="2052"/>
      <c r="E14" s="2049">
        <f t="shared" si="2"/>
        <v>-745.38</v>
      </c>
      <c r="F14" s="2050">
        <f t="shared" si="3"/>
        <v>342900.23</v>
      </c>
      <c r="G14" s="1885"/>
      <c r="H14" s="1885"/>
      <c r="I14" s="1664"/>
      <c r="J14" s="1664"/>
    </row>
    <row r="15" spans="1:10" ht="20.100000000000001" customHeight="1">
      <c r="A15" s="2863">
        <f t="shared" si="0"/>
        <v>0</v>
      </c>
      <c r="B15" s="2856" t="s">
        <v>810</v>
      </c>
      <c r="C15" s="2031" t="str">
        <f t="shared" si="1"/>
        <v>利息收入</v>
      </c>
      <c r="D15" s="2052"/>
      <c r="E15" s="2049">
        <f t="shared" si="2"/>
        <v>41179.21</v>
      </c>
      <c r="F15" s="2050">
        <f t="shared" si="3"/>
        <v>881.95</v>
      </c>
      <c r="G15" s="1885"/>
      <c r="H15" s="1885"/>
      <c r="I15" s="1664"/>
      <c r="J15" s="1664"/>
    </row>
    <row r="16" spans="1:10" ht="20.100000000000001" customHeight="1">
      <c r="A16" s="2863">
        <f t="shared" si="0"/>
        <v>0</v>
      </c>
      <c r="B16" s="2856">
        <v>6181</v>
      </c>
      <c r="C16" s="2028" t="str">
        <f t="shared" si="1"/>
        <v>加：其他收益</v>
      </c>
      <c r="D16" s="2052"/>
      <c r="E16" s="3362">
        <f t="shared" si="2"/>
        <v>715900</v>
      </c>
      <c r="F16" s="2050">
        <f t="shared" si="3"/>
        <v>80500</v>
      </c>
      <c r="G16" s="1885"/>
      <c r="H16" s="1885"/>
      <c r="I16" s="1664"/>
      <c r="J16" s="1664"/>
    </row>
    <row r="17" spans="1:10" ht="20.100000000000001" customHeight="1">
      <c r="A17" s="2863">
        <f t="shared" si="0"/>
        <v>0</v>
      </c>
      <c r="B17" s="2856">
        <v>6111</v>
      </c>
      <c r="C17" s="2030" t="str">
        <f t="shared" si="1"/>
        <v>投资收益（损失以“-”号填列）</v>
      </c>
      <c r="D17" s="2052"/>
      <c r="E17" s="3362">
        <f t="shared" si="2"/>
        <v>41851.06</v>
      </c>
      <c r="F17" s="2050">
        <f t="shared" si="3"/>
        <v>38200.720000000001</v>
      </c>
      <c r="G17" s="1885"/>
      <c r="H17" s="1885"/>
      <c r="I17" s="1664"/>
      <c r="J17" s="1664"/>
    </row>
    <row r="18" spans="1:10" ht="20.100000000000001" customHeight="1">
      <c r="A18" s="2863">
        <f t="shared" si="0"/>
        <v>0</v>
      </c>
      <c r="B18" s="2856">
        <v>6111.01</v>
      </c>
      <c r="C18" s="2031" t="str">
        <f t="shared" si="1"/>
        <v>其中：对联营企业和合营企业的投资收益</v>
      </c>
      <c r="D18" s="2052"/>
      <c r="E18" s="2053">
        <f t="shared" si="2"/>
        <v>0</v>
      </c>
      <c r="F18" s="2050">
        <f t="shared" si="3"/>
        <v>0</v>
      </c>
      <c r="G18" s="1885"/>
      <c r="H18" s="1885"/>
      <c r="I18" s="1664"/>
      <c r="J18" s="1664"/>
    </row>
    <row r="19" spans="1:10" ht="20.100000000000001" customHeight="1">
      <c r="A19" s="2863" t="str">
        <f t="shared" si="0"/>
        <v>_JR</v>
      </c>
      <c r="B19" s="2856" t="s">
        <v>777</v>
      </c>
      <c r="C19" s="2031" t="str">
        <f>VLOOKUP($B19,Sheet_Items,7,0)</f>
        <v>以摊余成本计量的金融资产终止确认收益</v>
      </c>
      <c r="D19" s="2052"/>
      <c r="E19" s="2053">
        <f t="shared" si="2"/>
        <v>0</v>
      </c>
      <c r="F19" s="2050">
        <f t="shared" si="3"/>
        <v>0</v>
      </c>
      <c r="G19" s="1885"/>
      <c r="H19" s="1885"/>
      <c r="I19" s="1664"/>
      <c r="J19" s="1664"/>
    </row>
    <row r="20" spans="1:10" ht="20.100000000000001" customHeight="1">
      <c r="A20" s="2863" t="str">
        <f t="shared" si="0"/>
        <v>_JR</v>
      </c>
      <c r="B20" s="2856">
        <v>6102</v>
      </c>
      <c r="C20" s="2030" t="str">
        <f t="shared" si="1"/>
        <v>净敞口套期收益（损失以“-”号填列）</v>
      </c>
      <c r="D20" s="2052"/>
      <c r="E20" s="2049">
        <f t="shared" si="2"/>
        <v>0</v>
      </c>
      <c r="F20" s="2050">
        <f t="shared" si="3"/>
        <v>0</v>
      </c>
      <c r="G20" s="1885"/>
      <c r="H20" s="1885"/>
      <c r="I20" s="1664"/>
      <c r="J20" s="1664"/>
    </row>
    <row r="21" spans="1:10" ht="20.100000000000001" customHeight="1">
      <c r="A21" s="2863">
        <f t="shared" si="0"/>
        <v>0</v>
      </c>
      <c r="B21" s="2856">
        <v>6101</v>
      </c>
      <c r="C21" s="2030" t="str">
        <f t="shared" si="1"/>
        <v>公允价值变动收益（损失以“-”号填列）</v>
      </c>
      <c r="D21" s="2052"/>
      <c r="E21" s="2049">
        <f t="shared" si="2"/>
        <v>0</v>
      </c>
      <c r="F21" s="2050">
        <f t="shared" si="3"/>
        <v>0</v>
      </c>
      <c r="G21" s="1885"/>
      <c r="H21" s="1885"/>
      <c r="I21" s="1664"/>
      <c r="J21" s="1664"/>
    </row>
    <row r="22" spans="1:10" ht="20.100000000000001" customHeight="1">
      <c r="A22" s="2863" t="str">
        <f t="shared" si="0"/>
        <v>_JR</v>
      </c>
      <c r="B22" s="2856">
        <v>6672</v>
      </c>
      <c r="C22" s="2030" t="str">
        <f t="shared" si="1"/>
        <v>信用减值损失（损失以“-”号填列）</v>
      </c>
      <c r="D22" s="2052"/>
      <c r="E22" s="2049">
        <f t="shared" si="2"/>
        <v>-1923898.24</v>
      </c>
      <c r="F22" s="2050">
        <f t="shared" si="3"/>
        <v>0</v>
      </c>
      <c r="G22" s="1885"/>
      <c r="H22" s="1885"/>
      <c r="I22" s="1664"/>
      <c r="J22" s="1664"/>
    </row>
    <row r="23" spans="1:10" ht="20.100000000000001" customHeight="1">
      <c r="A23" s="2863">
        <f t="shared" si="0"/>
        <v>0</v>
      </c>
      <c r="B23" s="2856">
        <v>6671</v>
      </c>
      <c r="C23" s="2030" t="str">
        <f t="shared" si="1"/>
        <v>资产减值损失（损失以“-”号填列）</v>
      </c>
      <c r="D23" s="2052"/>
      <c r="E23" s="2049">
        <f t="shared" si="2"/>
        <v>-864640.09</v>
      </c>
      <c r="F23" s="2050">
        <f t="shared" si="3"/>
        <v>198814.86</v>
      </c>
      <c r="G23" s="1885"/>
      <c r="H23" s="1885"/>
      <c r="I23" s="1664"/>
      <c r="J23" s="1664"/>
    </row>
    <row r="24" spans="1:10" ht="20.100000000000001" customHeight="1">
      <c r="A24" s="2863">
        <f t="shared" si="0"/>
        <v>0</v>
      </c>
      <c r="B24" s="2856">
        <v>6171</v>
      </c>
      <c r="C24" s="2054" t="str">
        <f t="shared" si="1"/>
        <v>资产处置收益（损失以“-”号填列）</v>
      </c>
      <c r="D24" s="2052"/>
      <c r="E24" s="2053">
        <f t="shared" si="2"/>
        <v>0</v>
      </c>
      <c r="F24" s="2050">
        <f t="shared" si="3"/>
        <v>456.04</v>
      </c>
      <c r="G24" s="1886"/>
      <c r="H24" s="1886"/>
      <c r="I24" s="1664"/>
      <c r="J24" s="1664"/>
    </row>
    <row r="25" spans="1:10" ht="20.100000000000001" customHeight="1">
      <c r="A25" s="2863" t="str">
        <f t="shared" si="0"/>
        <v>＝</v>
      </c>
      <c r="B25" s="2856">
        <v>6689</v>
      </c>
      <c r="C25" s="2055" t="str">
        <f t="shared" si="1"/>
        <v>二、营业利润（亏损以“-”号填列）</v>
      </c>
      <c r="D25" s="2052"/>
      <c r="E25" s="2053">
        <f>SUM(E7)-SUM(E8:E13)+SUM(E16:E24)-SUM(E18,E19)</f>
        <v>-3866734.23</v>
      </c>
      <c r="F25" s="2050">
        <f>SUM(F7)-SUM(F8:F13)+SUM(F16:F24)-SUM(F18,F19)</f>
        <v>123376.75</v>
      </c>
      <c r="G25" s="1885"/>
      <c r="H25" s="1885"/>
      <c r="I25" s="1664"/>
      <c r="J25" s="1664"/>
    </row>
    <row r="26" spans="1:10" ht="20.100000000000001" customHeight="1">
      <c r="A26" s="2863">
        <f t="shared" si="0"/>
        <v>0</v>
      </c>
      <c r="B26" s="2856">
        <v>6710</v>
      </c>
      <c r="C26" s="2030" t="str">
        <f t="shared" si="1"/>
        <v>加：营业外收入</v>
      </c>
      <c r="D26" s="2052"/>
      <c r="E26" s="3362">
        <f>IF($B26="","",VLOOKUP($B26,Sheet_Trialbal,6,0))</f>
        <v>1.06</v>
      </c>
      <c r="F26" s="2050">
        <f>IF($B26="","",VLOOKUP($B26,Sheet_Trialbal,10,0))</f>
        <v>0</v>
      </c>
      <c r="G26" s="1885"/>
      <c r="H26" s="1885"/>
      <c r="I26" s="1664"/>
      <c r="J26" s="1664"/>
    </row>
    <row r="27" spans="1:10" ht="20.100000000000001" customHeight="1">
      <c r="A27" s="2863">
        <f t="shared" si="0"/>
        <v>0</v>
      </c>
      <c r="B27" s="2856">
        <v>6711</v>
      </c>
      <c r="C27" s="2030" t="str">
        <f t="shared" si="1"/>
        <v>减：营业外支出</v>
      </c>
      <c r="D27" s="2052"/>
      <c r="E27" s="3362">
        <f>IF($B27="","",VLOOKUP($B27,Sheet_Trialbal,6,0))</f>
        <v>21970.3</v>
      </c>
      <c r="F27" s="2050">
        <f>IF($B27="","",VLOOKUP($B27,Sheet_Trialbal,10,0))</f>
        <v>88651.11</v>
      </c>
      <c r="G27" s="1885"/>
      <c r="H27" s="1885"/>
      <c r="I27" s="1664"/>
      <c r="J27" s="1664"/>
    </row>
    <row r="28" spans="1:10" ht="20.100000000000001" customHeight="1">
      <c r="A28" s="2863" t="str">
        <f t="shared" si="0"/>
        <v>＝</v>
      </c>
      <c r="B28" s="2856">
        <v>6788</v>
      </c>
      <c r="C28" s="2056" t="str">
        <f t="shared" si="1"/>
        <v>三、利润总额（亏损总额以“-”号填列）</v>
      </c>
      <c r="D28" s="2052"/>
      <c r="E28" s="2049">
        <f>SUM(E25,E26,-E27)</f>
        <v>-3888703.47</v>
      </c>
      <c r="F28" s="2050">
        <f>SUM(F25,F26,-F27)</f>
        <v>34725.64</v>
      </c>
      <c r="G28" s="1886"/>
      <c r="H28" s="1886"/>
      <c r="I28" s="1664"/>
      <c r="J28" s="1664"/>
    </row>
    <row r="29" spans="1:10" ht="20.100000000000001" customHeight="1">
      <c r="A29" s="2863">
        <f t="shared" si="0"/>
        <v>0</v>
      </c>
      <c r="B29" s="2856">
        <v>6791</v>
      </c>
      <c r="C29" s="2030" t="str">
        <f t="shared" si="1"/>
        <v>减：所得税费用</v>
      </c>
      <c r="D29" s="2052"/>
      <c r="E29" s="3362">
        <f>IF($B29="","",VLOOKUP($B29,Sheet_Trialbal,6,0))</f>
        <v>-538795.14</v>
      </c>
      <c r="F29" s="2050">
        <f>IF($B29="","",VLOOKUP($B29,Sheet_Trialbal,10,0))</f>
        <v>-485503.27</v>
      </c>
      <c r="G29" s="1885"/>
      <c r="H29" s="1885"/>
      <c r="I29" s="1664"/>
      <c r="J29" s="1664"/>
    </row>
    <row r="30" spans="1:10" ht="20.100000000000001" customHeight="1">
      <c r="A30" s="2863" t="str">
        <f t="shared" si="0"/>
        <v>＝</v>
      </c>
      <c r="B30" s="2856">
        <v>6799</v>
      </c>
      <c r="C30" s="2056" t="str">
        <f t="shared" si="1"/>
        <v>四、净利润（净亏损以“-”号填列）</v>
      </c>
      <c r="D30" s="2052"/>
      <c r="E30" s="2049">
        <f>SUM(E28,-E29)</f>
        <v>-3349908.33</v>
      </c>
      <c r="F30" s="2050">
        <f>SUM(F28,-F29)</f>
        <v>520228.91</v>
      </c>
      <c r="G30" s="1886"/>
      <c r="H30" s="1885"/>
      <c r="I30" s="1664"/>
      <c r="J30" s="1664"/>
    </row>
    <row r="31" spans="1:10" ht="20.100000000000001" customHeight="1">
      <c r="A31" s="2863">
        <f t="shared" si="0"/>
        <v>0</v>
      </c>
      <c r="B31" s="2856">
        <v>6816</v>
      </c>
      <c r="C31" s="2030" t="str">
        <f t="shared" si="1"/>
        <v>（一）持续经营净利润（净亏损以“-”号填列）</v>
      </c>
      <c r="D31" s="2052" t="s">
        <v>19</v>
      </c>
      <c r="E31" s="2053">
        <f>E30</f>
        <v>-3349908.33</v>
      </c>
      <c r="F31" s="2050">
        <f>F30</f>
        <v>520228.91</v>
      </c>
      <c r="G31" s="1885"/>
      <c r="H31" s="1885"/>
      <c r="I31" s="1664"/>
      <c r="J31" s="1664"/>
    </row>
    <row r="32" spans="1:10" ht="20.100000000000001" customHeight="1">
      <c r="A32" s="2863">
        <f t="shared" si="0"/>
        <v>0</v>
      </c>
      <c r="B32" s="2856">
        <v>6817</v>
      </c>
      <c r="C32" s="2030" t="str">
        <f t="shared" si="1"/>
        <v>（二）终止经营净利润（净亏损以“-”号填列）</v>
      </c>
      <c r="D32" s="2052" t="s">
        <v>19</v>
      </c>
      <c r="E32" s="2053"/>
      <c r="F32" s="2050">
        <f>IF($B32="","",VLOOKUP($B32,Sheet_Trialbal,10,0))</f>
        <v>0</v>
      </c>
      <c r="G32" s="1885"/>
      <c r="H32" s="1885"/>
      <c r="I32" s="1664"/>
      <c r="J32" s="1664"/>
    </row>
    <row r="33" spans="1:10" ht="20.100000000000001" customHeight="1">
      <c r="A33" s="2863" t="str">
        <f t="shared" si="0"/>
        <v>＝</v>
      </c>
      <c r="B33" s="2856">
        <v>6829</v>
      </c>
      <c r="C33" s="2056" t="str">
        <f t="shared" si="1"/>
        <v>五、其他综合收益的税后净额</v>
      </c>
      <c r="D33" s="2052"/>
      <c r="E33" s="2049">
        <f>SUM(E34,E40)</f>
        <v>0</v>
      </c>
      <c r="F33" s="2050">
        <f>SUM(F34,F40)</f>
        <v>0</v>
      </c>
      <c r="G33" s="1885"/>
      <c r="H33" s="1885"/>
      <c r="I33" s="1664"/>
      <c r="J33" s="1664"/>
    </row>
    <row r="34" spans="1:10" ht="20.100000000000001" customHeight="1">
      <c r="A34" s="2863" t="str">
        <f t="shared" si="0"/>
        <v>＝</v>
      </c>
      <c r="B34" s="2859">
        <v>6829.21</v>
      </c>
      <c r="C34" s="2030" t="str">
        <f t="shared" si="1"/>
        <v>（一）不能重分类进损益的其他综合收益</v>
      </c>
      <c r="D34" s="2052"/>
      <c r="E34" s="2049">
        <f>SUM(E35:E39)</f>
        <v>0</v>
      </c>
      <c r="F34" s="2050">
        <f>SUM(F35:F39)</f>
        <v>0</v>
      </c>
      <c r="G34" s="1885"/>
      <c r="H34" s="1885"/>
      <c r="I34" s="1664"/>
      <c r="J34" s="1664"/>
    </row>
    <row r="35" spans="1:10" ht="20.100000000000001" customHeight="1">
      <c r="A35" s="2863" t="str">
        <f t="shared" si="0"/>
        <v>Ｘ</v>
      </c>
      <c r="B35" s="2859">
        <v>6829.2110000000002</v>
      </c>
      <c r="C35" s="2057" t="str">
        <f t="shared" si="1"/>
        <v>重新计量设定受益计划变动额</v>
      </c>
      <c r="D35" s="2052"/>
      <c r="E35" s="2053">
        <f>IF($B35="","",VLOOKUP($B35,Sheet_Trialbal,6,0))</f>
        <v>0</v>
      </c>
      <c r="F35" s="2050">
        <f>IF($B35="","",VLOOKUP($B35,Sheet_Trialbal,10,0))</f>
        <v>0</v>
      </c>
      <c r="G35" s="1885"/>
      <c r="H35" s="1885"/>
      <c r="I35" s="1664"/>
      <c r="J35" s="1664"/>
    </row>
    <row r="36" spans="1:10" ht="20.100000000000001" customHeight="1">
      <c r="A36" s="2863" t="str">
        <f t="shared" si="0"/>
        <v>Ｘ</v>
      </c>
      <c r="B36" s="2859">
        <v>6829.2120000000004</v>
      </c>
      <c r="C36" s="2058" t="str">
        <f t="shared" si="1"/>
        <v>权益法下不能转损益的其他综合收益</v>
      </c>
      <c r="D36" s="2052"/>
      <c r="E36" s="2053">
        <f>IF($B36="","",VLOOKUP($B36,Sheet_Trialbal,6,0))</f>
        <v>0</v>
      </c>
      <c r="F36" s="2050">
        <f>IF($B36="","",VLOOKUP($B36,Sheet_Trialbal,10,0))</f>
        <v>0</v>
      </c>
      <c r="G36" s="1885"/>
      <c r="H36" s="1885"/>
      <c r="I36" s="1664"/>
      <c r="J36" s="1664"/>
    </row>
    <row r="37" spans="1:10" ht="20.100000000000001" customHeight="1">
      <c r="A37" s="2863" t="str">
        <f t="shared" si="0"/>
        <v>_JR</v>
      </c>
      <c r="B37" s="2859" t="s">
        <v>865</v>
      </c>
      <c r="C37" s="2059" t="str">
        <f t="shared" si="1"/>
        <v>其他权益工具投资公允价值变动</v>
      </c>
      <c r="D37" s="2052"/>
      <c r="E37" s="2053">
        <f>IF($B37="","",VLOOKUP($B37,Sheet_Trialbal,6,0))</f>
        <v>0</v>
      </c>
      <c r="F37" s="2050">
        <f>IF($B37="","",VLOOKUP($B37,Sheet_Trialbal,10,0))</f>
        <v>0</v>
      </c>
      <c r="G37" s="1885"/>
      <c r="H37" s="1885"/>
      <c r="I37" s="1664"/>
      <c r="J37" s="1664"/>
    </row>
    <row r="38" spans="1:10" ht="20.100000000000001" customHeight="1">
      <c r="A38" s="2863" t="str">
        <f t="shared" si="0"/>
        <v>_JR</v>
      </c>
      <c r="B38" s="2859" t="s">
        <v>869</v>
      </c>
      <c r="C38" s="2060" t="str">
        <f t="shared" si="1"/>
        <v>企业自身信用风险公允价值变动</v>
      </c>
      <c r="D38" s="2052"/>
      <c r="E38" s="2053">
        <f>IF($B38="","",VLOOKUP($B38,Sheet_Trialbal,6,0))</f>
        <v>0</v>
      </c>
      <c r="F38" s="2050">
        <f>IF($B38="","",VLOOKUP($B38,Sheet_Trialbal,10,0))</f>
        <v>0</v>
      </c>
      <c r="G38" s="1885"/>
      <c r="H38" s="1885"/>
      <c r="I38" s="1664"/>
      <c r="J38" s="1664"/>
    </row>
    <row r="39" spans="1:10" ht="20.100000000000001" customHeight="1">
      <c r="A39" s="2863">
        <f t="shared" si="0"/>
        <v>0</v>
      </c>
      <c r="B39" s="2859">
        <v>6829.2190000000001</v>
      </c>
      <c r="C39" s="2061" t="str">
        <f t="shared" ref="C39:C55" si="4">VLOOKUP($B39,Sheet_Items,6,0)</f>
        <v>其他</v>
      </c>
      <c r="D39" s="2052"/>
      <c r="E39" s="2053">
        <f>IF($B39="","",VLOOKUP($B39,Sheet_Trialbal,6,0))</f>
        <v>0</v>
      </c>
      <c r="F39" s="2050">
        <f>IF($B39="","",VLOOKUP($B39,Sheet_Trialbal,10,0))</f>
        <v>0</v>
      </c>
      <c r="G39" s="1885"/>
      <c r="H39" s="1885"/>
      <c r="I39" s="1664"/>
      <c r="J39" s="1664"/>
    </row>
    <row r="40" spans="1:10" ht="20.100000000000001" customHeight="1">
      <c r="A40" s="2863" t="str">
        <f t="shared" si="0"/>
        <v>＝</v>
      </c>
      <c r="B40" s="2859">
        <v>6829.23</v>
      </c>
      <c r="C40" s="2030" t="str">
        <f t="shared" si="4"/>
        <v>（二）将重分类进损益的其他综合收益</v>
      </c>
      <c r="D40" s="2052"/>
      <c r="E40" s="2049">
        <f>SUM(E41:E51)</f>
        <v>0</v>
      </c>
      <c r="F40" s="2050">
        <f>SUM(F41:F51)</f>
        <v>0</v>
      </c>
      <c r="G40" s="1885"/>
      <c r="H40" s="1885"/>
      <c r="I40" s="1664"/>
      <c r="J40" s="1664"/>
    </row>
    <row r="41" spans="1:10" ht="20.100000000000001" customHeight="1">
      <c r="A41" s="2863" t="str">
        <f t="shared" si="0"/>
        <v>Ｘ</v>
      </c>
      <c r="B41" s="2859">
        <v>6829.2309999999998</v>
      </c>
      <c r="C41" s="2057" t="str">
        <f t="shared" si="4"/>
        <v>权益法下可转损益的其他综合收益</v>
      </c>
      <c r="D41" s="2052"/>
      <c r="E41" s="2053">
        <f t="shared" ref="E41:E51" si="5">IF($B41="","",VLOOKUP($B41,Sheet_Trialbal,6,0))</f>
        <v>0</v>
      </c>
      <c r="F41" s="2050">
        <f t="shared" ref="F41:F51" si="6">IF($B41="","",VLOOKUP($B41,Sheet_Trialbal,10,0))</f>
        <v>0</v>
      </c>
      <c r="G41" s="1885"/>
      <c r="H41" s="1885"/>
      <c r="I41" s="1664"/>
      <c r="J41" s="1664"/>
    </row>
    <row r="42" spans="1:10" ht="20.100000000000001" customHeight="1">
      <c r="A42" s="2863"/>
      <c r="B42" s="2859" t="s">
        <v>916</v>
      </c>
      <c r="C42" s="2058" t="str">
        <f t="shared" si="4"/>
        <v>其他债权投资公允价值变动</v>
      </c>
      <c r="D42" s="2052"/>
      <c r="E42" s="2053">
        <f t="shared" si="5"/>
        <v>0</v>
      </c>
      <c r="F42" s="2050">
        <f t="shared" si="6"/>
        <v>0</v>
      </c>
      <c r="G42" s="1885"/>
      <c r="H42" s="1885"/>
      <c r="I42" s="1664"/>
      <c r="J42" s="1664"/>
    </row>
    <row r="43" spans="1:10" ht="20.100000000000001" customHeight="1">
      <c r="A43" s="2863" t="str">
        <f>VLOOKUP($B43,Sheet_Items,4,0)</f>
        <v>ＸJRH</v>
      </c>
      <c r="B43" s="2859">
        <v>6829.232</v>
      </c>
      <c r="C43" s="2059" t="str">
        <f t="shared" si="4"/>
        <v>可供出售金融资产公允价值变动损益</v>
      </c>
      <c r="D43" s="2052"/>
      <c r="E43" s="2053">
        <f t="shared" si="5"/>
        <v>0</v>
      </c>
      <c r="F43" s="2050">
        <f t="shared" si="6"/>
        <v>0</v>
      </c>
      <c r="G43" s="1885"/>
      <c r="H43" s="1885"/>
      <c r="I43" s="1664"/>
      <c r="J43" s="1664"/>
    </row>
    <row r="44" spans="1:10" ht="20.100000000000001" customHeight="1">
      <c r="A44" s="2863"/>
      <c r="B44" s="2859" t="s">
        <v>922</v>
      </c>
      <c r="C44" s="2060" t="str">
        <f t="shared" si="4"/>
        <v>金融资产重分类计入其他综合收益的金额</v>
      </c>
      <c r="D44" s="2052"/>
      <c r="E44" s="2053">
        <f t="shared" si="5"/>
        <v>0</v>
      </c>
      <c r="F44" s="2050">
        <f t="shared" si="6"/>
        <v>0</v>
      </c>
      <c r="G44" s="1885"/>
      <c r="H44" s="1885"/>
      <c r="I44" s="1664"/>
      <c r="J44" s="1664"/>
    </row>
    <row r="45" spans="1:10" ht="20.100000000000001" customHeight="1">
      <c r="A45" s="2863" t="str">
        <f>VLOOKUP($B45,Sheet_Items,4,0)</f>
        <v>ＸJRH</v>
      </c>
      <c r="B45" s="2859">
        <v>6829.2330000000002</v>
      </c>
      <c r="C45" s="2061" t="str">
        <f t="shared" si="4"/>
        <v>持有至到期投资重分类为可供出售金融资产损益</v>
      </c>
      <c r="D45" s="2052"/>
      <c r="E45" s="2053">
        <f t="shared" si="5"/>
        <v>0</v>
      </c>
      <c r="F45" s="2050">
        <f t="shared" si="6"/>
        <v>0</v>
      </c>
      <c r="G45" s="1885"/>
      <c r="H45" s="1885"/>
      <c r="I45" s="1664"/>
      <c r="J45" s="1664"/>
    </row>
    <row r="46" spans="1:10" ht="20.100000000000001" customHeight="1">
      <c r="A46" s="2863"/>
      <c r="B46" s="2859" t="s">
        <v>927</v>
      </c>
      <c r="C46" s="2062" t="str">
        <f t="shared" si="4"/>
        <v>其他债权投资信用减值准备</v>
      </c>
      <c r="D46" s="2052"/>
      <c r="E46" s="2053">
        <f t="shared" si="5"/>
        <v>0</v>
      </c>
      <c r="F46" s="2050">
        <f t="shared" si="6"/>
        <v>0</v>
      </c>
      <c r="G46" s="1885"/>
      <c r="H46" s="1885"/>
      <c r="I46" s="1664"/>
      <c r="J46" s="1664"/>
    </row>
    <row r="47" spans="1:10" ht="20.100000000000001" customHeight="1">
      <c r="A47" s="2863"/>
      <c r="B47" s="2859" t="s">
        <v>930</v>
      </c>
      <c r="C47" s="2063" t="str">
        <f t="shared" si="4"/>
        <v>现金流量套期储备</v>
      </c>
      <c r="D47" s="2052"/>
      <c r="E47" s="2053">
        <f t="shared" si="5"/>
        <v>0</v>
      </c>
      <c r="F47" s="2050">
        <f>IF($B47="","",VLOOKUP($B47,Sheet_Trialbal,10,0)+VLOOKUP(VALUE("6829.234"),Sheet_Trialbal,10,0))</f>
        <v>0</v>
      </c>
      <c r="G47" s="1885"/>
      <c r="H47" s="1885"/>
      <c r="I47" s="1664"/>
      <c r="J47" s="1664"/>
    </row>
    <row r="48" spans="1:10" ht="20.100000000000001" customHeight="1">
      <c r="A48" s="2863" t="str">
        <f t="shared" ref="A48:A55" si="7">VLOOKUP($B48,Sheet_Items,4,0)</f>
        <v>Ｘ</v>
      </c>
      <c r="B48" s="2859">
        <v>6829.2349999999997</v>
      </c>
      <c r="C48" s="2064" t="str">
        <f t="shared" si="4"/>
        <v>外币财务报表折算差额</v>
      </c>
      <c r="D48" s="2052"/>
      <c r="E48" s="2053">
        <f t="shared" si="5"/>
        <v>0</v>
      </c>
      <c r="F48" s="2050">
        <f t="shared" si="6"/>
        <v>0</v>
      </c>
      <c r="G48" s="1885"/>
      <c r="H48" s="1885"/>
      <c r="I48" s="1664"/>
      <c r="J48" s="1664"/>
    </row>
    <row r="49" spans="1:10" ht="24">
      <c r="A49" s="2863" t="str">
        <f t="shared" si="7"/>
        <v>Ｘ</v>
      </c>
      <c r="B49" s="2859">
        <v>6829.2359999999999</v>
      </c>
      <c r="C49" s="2065" t="str">
        <f t="shared" si="4"/>
        <v>自用房地产或作为存货的房地产转换为以公允价值计量的投资性房地产在转换日公允价值大于账面价值部分</v>
      </c>
      <c r="D49" s="2052"/>
      <c r="E49" s="2053">
        <f t="shared" si="5"/>
        <v>0</v>
      </c>
      <c r="F49" s="2050">
        <f t="shared" si="6"/>
        <v>0</v>
      </c>
      <c r="G49" s="1885"/>
      <c r="H49" s="1885"/>
      <c r="I49" s="1664"/>
      <c r="J49" s="1664"/>
    </row>
    <row r="50" spans="1:10" ht="24">
      <c r="A50" s="2863" t="str">
        <f t="shared" si="7"/>
        <v>Ｘ</v>
      </c>
      <c r="B50" s="2859">
        <v>6829.2370000000001</v>
      </c>
      <c r="C50" s="2066" t="str">
        <f t="shared" si="4"/>
        <v>多次交易分步处置子公司股权构成一揽子交易的，丧失控制权之前各次交易处置价款与对应净资产账面价值份额的差额</v>
      </c>
      <c r="D50" s="2052"/>
      <c r="E50" s="2053">
        <f t="shared" si="5"/>
        <v>0</v>
      </c>
      <c r="F50" s="2050">
        <f t="shared" si="6"/>
        <v>0</v>
      </c>
      <c r="G50" s="1885"/>
      <c r="H50" s="1886"/>
      <c r="I50" s="1664"/>
      <c r="J50" s="1664"/>
    </row>
    <row r="51" spans="1:10" ht="20.100000000000001" customHeight="1">
      <c r="A51" s="2863">
        <f t="shared" si="7"/>
        <v>0</v>
      </c>
      <c r="B51" s="2859">
        <v>6829.2389999999996</v>
      </c>
      <c r="C51" s="2067" t="str">
        <f t="shared" si="4"/>
        <v>其他</v>
      </c>
      <c r="D51" s="2052"/>
      <c r="E51" s="2053">
        <f t="shared" si="5"/>
        <v>0</v>
      </c>
      <c r="F51" s="2050">
        <f t="shared" si="6"/>
        <v>0</v>
      </c>
      <c r="G51" s="1885"/>
      <c r="H51" s="1886"/>
      <c r="I51" s="1664"/>
      <c r="J51" s="1664"/>
    </row>
    <row r="52" spans="1:10" ht="20.100000000000001" customHeight="1">
      <c r="A52" s="2863" t="str">
        <f t="shared" si="7"/>
        <v>＝</v>
      </c>
      <c r="B52" s="2856">
        <v>6839</v>
      </c>
      <c r="C52" s="2056" t="str">
        <f t="shared" si="4"/>
        <v>六、综合收益总额</v>
      </c>
      <c r="D52" s="2052"/>
      <c r="E52" s="2049">
        <f>SUM(E30,E33)</f>
        <v>-3349908.33</v>
      </c>
      <c r="F52" s="2050">
        <f>SUM(F30,F33)</f>
        <v>520228.91</v>
      </c>
      <c r="G52" s="1885"/>
      <c r="H52" s="1886"/>
      <c r="I52" s="1664"/>
      <c r="J52" s="1664"/>
    </row>
    <row r="53" spans="1:10" ht="20.100000000000001" customHeight="1">
      <c r="A53" s="2863" t="str">
        <f t="shared" si="7"/>
        <v>：</v>
      </c>
      <c r="B53" s="2856">
        <v>6820</v>
      </c>
      <c r="C53" s="2056" t="str">
        <f t="shared" si="4"/>
        <v>七、每股收益：</v>
      </c>
      <c r="D53" s="2052"/>
      <c r="E53" s="2049"/>
      <c r="F53" s="2050"/>
      <c r="G53" s="1885"/>
      <c r="H53" s="1886"/>
      <c r="I53" s="1664"/>
      <c r="J53" s="1664"/>
    </row>
    <row r="54" spans="1:10" ht="20.100000000000001" customHeight="1">
      <c r="A54" s="2863">
        <f t="shared" si="7"/>
        <v>0</v>
      </c>
      <c r="B54" s="2856">
        <v>6821</v>
      </c>
      <c r="C54" s="2030" t="str">
        <f t="shared" si="4"/>
        <v>（一）基本每股收益（元/股）</v>
      </c>
      <c r="D54" s="2052"/>
      <c r="E54" s="2049"/>
      <c r="F54" s="2050"/>
      <c r="G54" s="1885"/>
      <c r="H54" s="1886"/>
      <c r="I54" s="1664"/>
      <c r="J54" s="1664"/>
    </row>
    <row r="55" spans="1:10" ht="20.100000000000001" customHeight="1" thickBot="1">
      <c r="A55" s="2863">
        <f t="shared" si="7"/>
        <v>0</v>
      </c>
      <c r="B55" s="2856">
        <v>6822</v>
      </c>
      <c r="C55" s="2068" t="str">
        <f t="shared" si="4"/>
        <v>（二）稀释每股收益（元/股）</v>
      </c>
      <c r="D55" s="2069"/>
      <c r="E55" s="2070"/>
      <c r="F55" s="2071"/>
      <c r="G55" s="1885"/>
      <c r="H55" s="1886"/>
      <c r="I55" s="1664"/>
      <c r="J55" s="1664"/>
    </row>
    <row r="56" spans="1:10" ht="5.0999999999999996" customHeight="1">
      <c r="A56" s="2863"/>
      <c r="B56" s="2864"/>
      <c r="C56" s="3560"/>
      <c r="D56" s="3560"/>
      <c r="E56" s="3560"/>
      <c r="F56" s="3560"/>
      <c r="G56" s="1885"/>
      <c r="H56" s="1885"/>
      <c r="I56" s="1664"/>
      <c r="J56" s="1664"/>
    </row>
    <row r="57" spans="1:10" ht="18">
      <c r="A57" s="2885"/>
      <c r="B57" s="2886"/>
      <c r="C57" s="2042" t="str">
        <f>"法定代表人："&amp;Lead!$C$8&amp;REPT(" ",20)&amp;"主管会计工作负责人："&amp;Lead!$C$9&amp;REPT(" ",20)&amp;"会计机构负责人："&amp;Lead!$C$10</f>
        <v>法定代表人：                    主管会计工作负责人：                    会计机构负责人：</v>
      </c>
      <c r="D57" s="2014"/>
      <c r="E57" s="2014"/>
      <c r="F57" s="2014"/>
      <c r="G57" s="1885"/>
      <c r="H57" s="1885"/>
      <c r="I57" s="1664"/>
      <c r="J57" s="1664"/>
    </row>
    <row r="58" spans="1:10">
      <c r="A58" s="2885"/>
      <c r="B58" s="2883"/>
      <c r="C58" s="1885"/>
      <c r="D58" s="1885"/>
      <c r="E58" s="1885"/>
      <c r="F58" s="1885"/>
      <c r="G58" s="1885"/>
      <c r="H58" s="1885"/>
      <c r="I58" s="1664"/>
      <c r="J58" s="1664"/>
    </row>
    <row r="59" spans="1:10">
      <c r="A59" s="2885"/>
      <c r="B59" s="2883"/>
      <c r="C59" s="1885"/>
      <c r="D59" s="1885"/>
      <c r="E59" s="1885"/>
      <c r="F59" s="1885"/>
      <c r="G59" s="1885"/>
      <c r="H59" s="1885"/>
      <c r="I59" s="1664"/>
      <c r="J59" s="1664"/>
    </row>
    <row r="60" spans="1:10">
      <c r="A60" s="2885"/>
      <c r="B60" s="2883"/>
      <c r="C60" s="1885"/>
      <c r="D60" s="1885"/>
      <c r="E60" s="1885"/>
      <c r="F60" s="1885"/>
      <c r="G60" s="1885"/>
      <c r="H60" s="1885"/>
      <c r="I60" s="1664"/>
      <c r="J60" s="1664"/>
    </row>
    <row r="61" spans="1:10" ht="18">
      <c r="A61" s="2887" t="s">
        <v>2565</v>
      </c>
      <c r="B61" s="2888"/>
      <c r="C61" s="1853" t="s">
        <v>5752</v>
      </c>
      <c r="D61" s="1854"/>
      <c r="E61" s="1855"/>
      <c r="F61" s="1856"/>
      <c r="G61" s="1888"/>
      <c r="H61" s="1888"/>
      <c r="I61" s="1664"/>
      <c r="J61" s="1664"/>
    </row>
    <row r="62" spans="1:10" ht="18">
      <c r="A62" s="2887" t="s">
        <v>2565</v>
      </c>
      <c r="B62" s="2888"/>
      <c r="C62" s="1889" t="s">
        <v>5134</v>
      </c>
      <c r="D62" s="1890"/>
      <c r="E62" s="1891" t="s">
        <v>2577</v>
      </c>
      <c r="F62" s="1892" t="s">
        <v>2578</v>
      </c>
      <c r="G62" s="1888"/>
      <c r="H62" s="1888"/>
      <c r="I62" s="1664"/>
      <c r="J62" s="1664"/>
    </row>
    <row r="63" spans="1:10" ht="18">
      <c r="A63" s="2889" t="s">
        <v>2565</v>
      </c>
      <c r="B63" s="2890"/>
      <c r="C63" s="1861" t="s">
        <v>5757</v>
      </c>
      <c r="D63" s="1893"/>
      <c r="E63" s="1894"/>
      <c r="F63" s="1867"/>
      <c r="G63" s="1895"/>
      <c r="H63" s="1895"/>
      <c r="I63" s="1664"/>
      <c r="J63" s="1664"/>
    </row>
    <row r="64" spans="1:10" ht="18">
      <c r="A64" s="2889" t="s">
        <v>2565</v>
      </c>
      <c r="B64" s="2890"/>
      <c r="C64" s="1897" t="str">
        <f>C30</f>
        <v>四、净利润（净亏损以“-”号填列）</v>
      </c>
      <c r="D64" s="1893" t="s">
        <v>5763</v>
      </c>
      <c r="E64" s="1898">
        <f>E30</f>
        <v>-3349908.33</v>
      </c>
      <c r="F64" s="1899">
        <f>F30</f>
        <v>520228.91</v>
      </c>
      <c r="G64" s="1895"/>
      <c r="H64" s="1895"/>
      <c r="I64" s="1664"/>
      <c r="J64" s="1664"/>
    </row>
    <row r="65" spans="1:10" ht="24">
      <c r="A65" s="2889" t="s">
        <v>2565</v>
      </c>
      <c r="B65" s="2890"/>
      <c r="C65" s="1896" t="str">
        <f>C31 &amp; "+" &amp;C32</f>
        <v>（一）持续经营净利润（净亏损以“-”号填列）+（二）终止经营净利润（净亏损以“-”号填列）</v>
      </c>
      <c r="D65" s="1893" t="s">
        <v>5763</v>
      </c>
      <c r="E65" s="1898">
        <f>E31+E32</f>
        <v>-3349908.33</v>
      </c>
      <c r="F65" s="1899">
        <f>F31+F32</f>
        <v>520228.91</v>
      </c>
      <c r="G65" s="1895"/>
      <c r="H65" s="1895"/>
      <c r="I65" s="1664"/>
      <c r="J65" s="1664"/>
    </row>
    <row r="66" spans="1:10" ht="18.75" thickBot="1">
      <c r="A66" s="2889" t="s">
        <v>2565</v>
      </c>
      <c r="B66" s="2890"/>
      <c r="C66" s="1901" t="s">
        <v>5765</v>
      </c>
      <c r="D66" s="1893"/>
      <c r="E66" s="1902">
        <f>ROUND(E64-E65,2)</f>
        <v>0</v>
      </c>
      <c r="F66" s="1903">
        <f>ROUND(F64-F65,2)</f>
        <v>0</v>
      </c>
      <c r="G66" s="1895"/>
      <c r="H66" s="1895"/>
      <c r="I66" s="1664"/>
      <c r="J66" s="1664"/>
    </row>
    <row r="67" spans="1:10" ht="18.75" thickTop="1">
      <c r="A67" s="2889" t="s">
        <v>2565</v>
      </c>
      <c r="B67" s="2890"/>
      <c r="C67" s="1904" t="s">
        <v>5761</v>
      </c>
      <c r="D67" s="1893"/>
      <c r="E67" s="1905" t="str">
        <f>IF(E66=0,"√","×")</f>
        <v>√</v>
      </c>
      <c r="F67" s="1906" t="str">
        <f>IF(F66=0,"√","×")</f>
        <v>√</v>
      </c>
      <c r="G67" s="1895"/>
      <c r="H67" s="1895"/>
      <c r="I67" s="1664"/>
      <c r="J67" s="1664"/>
    </row>
    <row r="68" spans="1:10" ht="18">
      <c r="A68" s="2889" t="s">
        <v>2565</v>
      </c>
      <c r="B68" s="2890"/>
      <c r="C68" s="1861" t="s">
        <v>5762</v>
      </c>
      <c r="D68" s="1893"/>
      <c r="E68" s="1894"/>
      <c r="F68" s="1867"/>
      <c r="G68" s="1895"/>
      <c r="H68" s="1895"/>
      <c r="I68" s="1664"/>
      <c r="J68" s="1664"/>
    </row>
    <row r="69" spans="1:10" ht="18">
      <c r="A69" s="2889" t="s">
        <v>2565</v>
      </c>
      <c r="B69" s="2890"/>
      <c r="C69" s="1897" t="str">
        <f>C30</f>
        <v>四、净利润（净亏损以“-”号填列）</v>
      </c>
      <c r="D69" s="1893" t="s">
        <v>5763</v>
      </c>
      <c r="E69" s="1898">
        <f>E30</f>
        <v>-3349908.33</v>
      </c>
      <c r="F69" s="1899">
        <f>F30</f>
        <v>520228.91</v>
      </c>
      <c r="G69" s="1895"/>
      <c r="H69" s="1895"/>
      <c r="I69" s="1664"/>
      <c r="J69" s="1664"/>
    </row>
    <row r="70" spans="1:10" ht="18">
      <c r="A70" s="2889" t="s">
        <v>2565</v>
      </c>
      <c r="B70" s="2890"/>
      <c r="C70" s="1900" t="str">
        <f>CE!$C$15&amp;" | "&amp;CE!$N$7</f>
        <v>（一）综合收益总额 | 未分配利润</v>
      </c>
      <c r="D70" s="1893" t="s">
        <v>5764</v>
      </c>
      <c r="E70" s="1898">
        <f>CE!N15</f>
        <v>-3349908.33</v>
      </c>
      <c r="F70" s="1899">
        <f>CE!AA15</f>
        <v>520228.91</v>
      </c>
      <c r="G70" s="1895"/>
      <c r="H70" s="1895"/>
      <c r="I70" s="1664"/>
      <c r="J70" s="1664"/>
    </row>
    <row r="71" spans="1:10" ht="18.75" thickBot="1">
      <c r="A71" s="2889" t="s">
        <v>2565</v>
      </c>
      <c r="B71" s="2890"/>
      <c r="C71" s="1901" t="s">
        <v>5765</v>
      </c>
      <c r="D71" s="1893"/>
      <c r="E71" s="1902">
        <f>ROUND(E69-E70,2)</f>
        <v>0</v>
      </c>
      <c r="F71" s="1903">
        <f>ROUND(F69-F70,2)</f>
        <v>0</v>
      </c>
      <c r="G71" s="1895"/>
      <c r="H71" s="1895"/>
      <c r="I71" s="1664"/>
      <c r="J71" s="1664"/>
    </row>
    <row r="72" spans="1:10" ht="18.75" thickTop="1">
      <c r="A72" s="2889" t="s">
        <v>2565</v>
      </c>
      <c r="B72" s="2890"/>
      <c r="C72" s="1904" t="s">
        <v>5761</v>
      </c>
      <c r="D72" s="1893"/>
      <c r="E72" s="1905" t="str">
        <f>IF(E71=0,"√","×")</f>
        <v>√</v>
      </c>
      <c r="F72" s="1906" t="str">
        <f>IF(F71=0,"√","×")</f>
        <v>√</v>
      </c>
      <c r="G72" s="1895"/>
      <c r="H72" s="1895"/>
      <c r="I72" s="1664"/>
      <c r="J72" s="1664"/>
    </row>
    <row r="73" spans="1:10" ht="18">
      <c r="A73" s="2889" t="s">
        <v>2565</v>
      </c>
      <c r="B73" s="2890"/>
      <c r="C73" s="1897" t="str">
        <f>$C$33</f>
        <v>五、其他综合收益的税后净额</v>
      </c>
      <c r="D73" s="1893" t="s">
        <v>5817</v>
      </c>
      <c r="E73" s="1898">
        <f>E33</f>
        <v>0</v>
      </c>
      <c r="F73" s="1899">
        <f>F33</f>
        <v>0</v>
      </c>
      <c r="G73" s="1895"/>
      <c r="H73" s="1895"/>
      <c r="I73" s="1664"/>
      <c r="J73" s="1664"/>
    </row>
    <row r="74" spans="1:10" ht="18">
      <c r="A74" s="2889" t="s">
        <v>2565</v>
      </c>
      <c r="B74" s="2890"/>
      <c r="C74" s="1900" t="str">
        <f>CE!$C$15&amp;" | "&amp;CE!$J$7</f>
        <v>（一）综合收益总额 | 其他综合收益</v>
      </c>
      <c r="D74" s="1893" t="s">
        <v>5818</v>
      </c>
      <c r="E74" s="1898">
        <f>CE!J15</f>
        <v>0</v>
      </c>
      <c r="F74" s="1899">
        <f ca="1">CE!W15</f>
        <v>0</v>
      </c>
      <c r="G74" s="1895"/>
      <c r="H74" s="1895"/>
      <c r="I74" s="1664"/>
      <c r="J74" s="1664"/>
    </row>
    <row r="75" spans="1:10" ht="18.75" thickBot="1">
      <c r="A75" s="2889" t="s">
        <v>2565</v>
      </c>
      <c r="B75" s="2890"/>
      <c r="C75" s="1901" t="s">
        <v>5819</v>
      </c>
      <c r="D75" s="1893"/>
      <c r="E75" s="1902">
        <f>ROUND(E73-E74,2)</f>
        <v>0</v>
      </c>
      <c r="F75" s="1903">
        <f ca="1">ROUND(F73-F74,2)</f>
        <v>0</v>
      </c>
      <c r="G75" s="1895"/>
      <c r="H75" s="1895"/>
      <c r="I75" s="1664"/>
      <c r="J75" s="1664"/>
    </row>
    <row r="76" spans="1:10" ht="18.75" thickTop="1">
      <c r="A76" s="2889" t="s">
        <v>2565</v>
      </c>
      <c r="B76" s="2890"/>
      <c r="C76" s="1904" t="s">
        <v>5820</v>
      </c>
      <c r="D76" s="1893"/>
      <c r="E76" s="1905" t="str">
        <f>IF(E75=0,"√","×")</f>
        <v>√</v>
      </c>
      <c r="F76" s="1906" t="str">
        <f ca="1">IF(F75=0,"√","×")</f>
        <v>√</v>
      </c>
      <c r="G76" s="1895"/>
      <c r="H76" s="1885"/>
      <c r="I76" s="1664"/>
      <c r="J76" s="1664"/>
    </row>
    <row r="77" spans="1:10" ht="18">
      <c r="A77" s="2889" t="s">
        <v>2565</v>
      </c>
      <c r="B77" s="2890"/>
      <c r="C77" s="1897" t="str">
        <f>C52</f>
        <v>六、综合收益总额</v>
      </c>
      <c r="D77" s="1893" t="s">
        <v>5821</v>
      </c>
      <c r="E77" s="1898">
        <f>E52</f>
        <v>-3349908.33</v>
      </c>
      <c r="F77" s="1899">
        <f>F52</f>
        <v>520228.91</v>
      </c>
      <c r="G77" s="1895"/>
      <c r="H77" s="1885"/>
      <c r="I77" s="1664"/>
      <c r="J77" s="1664"/>
    </row>
    <row r="78" spans="1:10" ht="18">
      <c r="A78" s="2889" t="s">
        <v>2565</v>
      </c>
      <c r="B78" s="2890"/>
      <c r="C78" s="1900" t="str">
        <f>CE!$C$15&amp;" | "&amp;CE!$P$7</f>
        <v>（一）综合收益总额 | 所有者权益合计</v>
      </c>
      <c r="D78" s="1893" t="s">
        <v>5818</v>
      </c>
      <c r="E78" s="1898">
        <f>CE!P15</f>
        <v>-3349908.33</v>
      </c>
      <c r="F78" s="1899">
        <f ca="1">CE!AC15</f>
        <v>520228.91</v>
      </c>
      <c r="G78" s="1895"/>
      <c r="H78" s="1885"/>
      <c r="I78" s="1664"/>
      <c r="J78" s="1664"/>
    </row>
    <row r="79" spans="1:10" ht="18.75" thickBot="1">
      <c r="A79" s="2889" t="s">
        <v>2565</v>
      </c>
      <c r="B79" s="2890"/>
      <c r="C79" s="1901" t="s">
        <v>5819</v>
      </c>
      <c r="D79" s="1893"/>
      <c r="E79" s="1902">
        <f>ROUND(E77-E78,2)</f>
        <v>0</v>
      </c>
      <c r="F79" s="1903">
        <f ca="1">ROUND(F77-F78,2)</f>
        <v>0</v>
      </c>
      <c r="G79" s="1895"/>
      <c r="H79" s="1885"/>
      <c r="I79" s="1664"/>
      <c r="J79" s="1664"/>
    </row>
    <row r="80" spans="1:10" ht="18.75" thickTop="1">
      <c r="A80" s="2889" t="s">
        <v>2565</v>
      </c>
      <c r="B80" s="2890"/>
      <c r="C80" s="1904" t="s">
        <v>5820</v>
      </c>
      <c r="D80" s="1893"/>
      <c r="E80" s="1905" t="str">
        <f>IF(E79=0,"√","×")</f>
        <v>√</v>
      </c>
      <c r="F80" s="1906" t="str">
        <f ca="1">IF(F79=0,"√","×")</f>
        <v>√</v>
      </c>
      <c r="G80" s="1907"/>
      <c r="H80" s="1887"/>
    </row>
    <row r="81" spans="1:8" ht="18.75" thickBot="1">
      <c r="A81" s="2889" t="s">
        <v>2565</v>
      </c>
      <c r="B81" s="2890"/>
      <c r="C81" s="1908" t="s">
        <v>2572</v>
      </c>
      <c r="D81" s="1909"/>
      <c r="E81" s="1910">
        <f>SUMIF($C$63:$C$80,"差       异",E63:E80)</f>
        <v>0</v>
      </c>
      <c r="F81" s="1884">
        <f ca="1">SUMIF($C$63:$C$80,"差       异",F63:F80)</f>
        <v>0</v>
      </c>
      <c r="G81" s="1907"/>
      <c r="H81" s="1911" t="str">
        <f ca="1">IF(E81+F81=0,"Balanced","Diff "&amp;TEXT(ROUND(E81+F81,2),"#,###.00"))</f>
        <v>Balanced</v>
      </c>
    </row>
    <row r="82" spans="1:8">
      <c r="B82" s="2841"/>
      <c r="C82" s="1664"/>
      <c r="D82" s="1664"/>
      <c r="E82" s="1664"/>
      <c r="F82" s="1664"/>
    </row>
    <row r="83" spans="1:8">
      <c r="C83" s="1664"/>
      <c r="D83" s="1664"/>
      <c r="E83" s="1664"/>
      <c r="F83" s="1664"/>
    </row>
    <row r="84" spans="1:8">
      <c r="C84" s="1664"/>
      <c r="D84" s="1664"/>
      <c r="E84" s="1664"/>
      <c r="F84" s="1664"/>
    </row>
    <row r="85" spans="1:8">
      <c r="C85" s="1664"/>
      <c r="D85" s="1664"/>
      <c r="E85" s="1664"/>
      <c r="F85" s="1664"/>
    </row>
  </sheetData>
  <sheetProtection password="94A0" sheet="1" scenarios="1" formatCells="0" autoFilter="0"/>
  <mergeCells count="3">
    <mergeCell ref="C2:F2"/>
    <mergeCell ref="C3:F3"/>
    <mergeCell ref="C56:F56"/>
  </mergeCells>
  <phoneticPr fontId="163" type="noConversion"/>
  <conditionalFormatting sqref="E81:F81 E75:F75 E79:F79 E71:F71 E66:F66">
    <cfRule type="cellIs" dxfId="147" priority="84" stopIfTrue="1" operator="notEqual">
      <formula>0</formula>
    </cfRule>
  </conditionalFormatting>
  <conditionalFormatting sqref="D61:D62 C61">
    <cfRule type="expression" dxfId="146" priority="83" stopIfTrue="1">
      <formula>#REF!=TRUE</formula>
    </cfRule>
  </conditionalFormatting>
  <conditionalFormatting sqref="E81:F81 E75:F75 E79:F79 E71:F71">
    <cfRule type="cellIs" dxfId="145" priority="82" stopIfTrue="1" operator="notEqual">
      <formula>0</formula>
    </cfRule>
  </conditionalFormatting>
  <conditionalFormatting sqref="E81:F81 E75:F75 E79:F79 E71:F71">
    <cfRule type="cellIs" dxfId="144" priority="80" stopIfTrue="1" operator="notEqual">
      <formula>0</formula>
    </cfRule>
  </conditionalFormatting>
  <conditionalFormatting sqref="E81:F81 E75:F75 E79:F79 E71:F71">
    <cfRule type="cellIs" dxfId="143" priority="79" stopIfTrue="1" operator="notEqual">
      <formula>0</formula>
    </cfRule>
  </conditionalFormatting>
  <conditionalFormatting sqref="E81:F81 E75:F75 E79:F79 E71:F71">
    <cfRule type="cellIs" dxfId="142" priority="78" stopIfTrue="1" operator="notEqual">
      <formula>0</formula>
    </cfRule>
  </conditionalFormatting>
  <conditionalFormatting sqref="E81:F81 E75:F75 E79:F79 E71:F71">
    <cfRule type="cellIs" dxfId="141" priority="77" stopIfTrue="1" operator="notEqual">
      <formula>0</formula>
    </cfRule>
  </conditionalFormatting>
  <conditionalFormatting sqref="E81:F81 E75:F75 E79:F79 E71:F71">
    <cfRule type="cellIs" dxfId="140" priority="76" stopIfTrue="1" operator="notEqual">
      <formula>0</formula>
    </cfRule>
  </conditionalFormatting>
  <conditionalFormatting sqref="E81:F81 E75:F75 E79:F79 E71:F71">
    <cfRule type="cellIs" dxfId="139" priority="74" stopIfTrue="1" operator="notEqual">
      <formula>0</formula>
    </cfRule>
  </conditionalFormatting>
  <conditionalFormatting sqref="E81:F81 E75:F75 E79:F79 E71:F71">
    <cfRule type="cellIs" dxfId="138" priority="72" stopIfTrue="1" operator="notEqual">
      <formula>0</formula>
    </cfRule>
  </conditionalFormatting>
  <conditionalFormatting sqref="E81:F81 E75:F75 E79:F79 E71:F71">
    <cfRule type="cellIs" dxfId="137" priority="71" stopIfTrue="1" operator="notEqual">
      <formula>0</formula>
    </cfRule>
  </conditionalFormatting>
  <conditionalFormatting sqref="E81:F81 E75:F75 E79:F79 E71:F71">
    <cfRule type="cellIs" dxfId="136" priority="70" stopIfTrue="1" operator="notEqual">
      <formula>0</formula>
    </cfRule>
  </conditionalFormatting>
  <conditionalFormatting sqref="E81:F81 E75:F75 E79:F79 E71:F71">
    <cfRule type="cellIs" dxfId="135" priority="69" stopIfTrue="1" operator="notEqual">
      <formula>0</formula>
    </cfRule>
  </conditionalFormatting>
  <conditionalFormatting sqref="E81:F81 E75:F75 E79:F79 E71:F71">
    <cfRule type="cellIs" dxfId="134" priority="68" stopIfTrue="1" operator="notEqual">
      <formula>0</formula>
    </cfRule>
  </conditionalFormatting>
  <conditionalFormatting sqref="E81:F81 E75:F75 E79:F79 E71:F71">
    <cfRule type="cellIs" dxfId="133" priority="66" stopIfTrue="1" operator="notEqual">
      <formula>0</formula>
    </cfRule>
  </conditionalFormatting>
  <conditionalFormatting sqref="E81:F81 E75:F75 E79:F79 E71:F71">
    <cfRule type="cellIs" dxfId="132" priority="64" stopIfTrue="1" operator="notEqual">
      <formula>0</formula>
    </cfRule>
  </conditionalFormatting>
  <conditionalFormatting sqref="E81:F81 E75:F75 E79:F79 E71:F71">
    <cfRule type="cellIs" dxfId="131" priority="63" stopIfTrue="1" operator="notEqual">
      <formula>0</formula>
    </cfRule>
  </conditionalFormatting>
  <conditionalFormatting sqref="E81:F81 E75:F75 E79:F79 E71:F71">
    <cfRule type="cellIs" dxfId="130" priority="62" stopIfTrue="1" operator="notEqual">
      <formula>0</formula>
    </cfRule>
  </conditionalFormatting>
  <conditionalFormatting sqref="E81:F81 E75:F75 E79:F79 E71:F71">
    <cfRule type="cellIs" dxfId="129" priority="61" stopIfTrue="1" operator="notEqual">
      <formula>0</formula>
    </cfRule>
  </conditionalFormatting>
  <conditionalFormatting sqref="E81:F81 E75:F75 E79:F79 E71:F71">
    <cfRule type="cellIs" dxfId="128" priority="60" stopIfTrue="1" operator="notEqual">
      <formula>0</formula>
    </cfRule>
  </conditionalFormatting>
  <conditionalFormatting sqref="E81:F81 E75:F75 E79:F79 E71:F71">
    <cfRule type="cellIs" dxfId="127" priority="58" stopIfTrue="1" operator="notEqual">
      <formula>0</formula>
    </cfRule>
  </conditionalFormatting>
  <conditionalFormatting sqref="E81:F81 E75:F75 E79:F79 E71:F71">
    <cfRule type="cellIs" dxfId="126" priority="56" stopIfTrue="1" operator="notEqual">
      <formula>0</formula>
    </cfRule>
  </conditionalFormatting>
  <conditionalFormatting sqref="E81:F81 E75:F75 E79:F79 E71:F71">
    <cfRule type="cellIs" dxfId="125" priority="55" stopIfTrue="1" operator="notEqual">
      <formula>0</formula>
    </cfRule>
  </conditionalFormatting>
  <conditionalFormatting sqref="E81:F81 E75:F75 E79:F79 E71:F71">
    <cfRule type="cellIs" dxfId="124" priority="54" stopIfTrue="1" operator="notEqual">
      <formula>0</formula>
    </cfRule>
  </conditionalFormatting>
  <conditionalFormatting sqref="E81:F81 E75:F75 E79:F79 E71:F71">
    <cfRule type="cellIs" dxfId="123" priority="53" stopIfTrue="1" operator="notEqual">
      <formula>0</formula>
    </cfRule>
  </conditionalFormatting>
  <conditionalFormatting sqref="E81:F81 E75:F75 E79:F79 E71:F71">
    <cfRule type="cellIs" dxfId="122" priority="52" stopIfTrue="1" operator="notEqual">
      <formula>0</formula>
    </cfRule>
  </conditionalFormatting>
  <conditionalFormatting sqref="E81:F81 E75:F75 E79:F79 E71:F71">
    <cfRule type="cellIs" dxfId="121" priority="50" stopIfTrue="1" operator="notEqual">
      <formula>0</formula>
    </cfRule>
  </conditionalFormatting>
  <conditionalFormatting sqref="E81:F81 E75:F75 E79:F79 E71:F71">
    <cfRule type="cellIs" dxfId="120" priority="48" stopIfTrue="1" operator="notEqual">
      <formula>0</formula>
    </cfRule>
  </conditionalFormatting>
  <conditionalFormatting sqref="E81:F81 E75:F75 E79:F79 E71:F71">
    <cfRule type="cellIs" dxfId="119" priority="47" stopIfTrue="1" operator="notEqual">
      <formula>0</formula>
    </cfRule>
  </conditionalFormatting>
  <conditionalFormatting sqref="E81:F81 E75:F75 E79:F79 E71:F71">
    <cfRule type="cellIs" dxfId="118" priority="46" stopIfTrue="1" operator="notEqual">
      <formula>0</formula>
    </cfRule>
  </conditionalFormatting>
  <conditionalFormatting sqref="E81:F81 E75:F75 E79:F79 E71:F71">
    <cfRule type="cellIs" dxfId="117" priority="45" stopIfTrue="1" operator="notEqual">
      <formula>0</formula>
    </cfRule>
  </conditionalFormatting>
  <conditionalFormatting sqref="E81:F81 E75:F75 E79:F79 E71:F71">
    <cfRule type="cellIs" dxfId="116" priority="44" stopIfTrue="1" operator="notEqual">
      <formula>0</formula>
    </cfRule>
  </conditionalFormatting>
  <conditionalFormatting sqref="E81:F81 E75:F75 E79:F79 E71:F71">
    <cfRule type="cellIs" dxfId="115" priority="42" stopIfTrue="1" operator="notEqual">
      <formula>0</formula>
    </cfRule>
  </conditionalFormatting>
  <conditionalFormatting sqref="E81:F81 E75:F75 E79:F79 E71:F71">
    <cfRule type="cellIs" dxfId="114" priority="40" stopIfTrue="1" operator="notEqual">
      <formula>0</formula>
    </cfRule>
  </conditionalFormatting>
  <conditionalFormatting sqref="E81:F81 E75:F75 E79:F79 E71:F71">
    <cfRule type="cellIs" dxfId="113" priority="39" stopIfTrue="1" operator="notEqual">
      <formula>0</formula>
    </cfRule>
  </conditionalFormatting>
  <conditionalFormatting sqref="E81:F81 E75:F75 E79:F79 E71:F71">
    <cfRule type="cellIs" dxfId="112" priority="38" stopIfTrue="1" operator="notEqual">
      <formula>0</formula>
    </cfRule>
  </conditionalFormatting>
  <conditionalFormatting sqref="E81:F81 E75:F75 E79:F79 E71:F71">
    <cfRule type="cellIs" dxfId="111" priority="37" stopIfTrue="1" operator="notEqual">
      <formula>0</formula>
    </cfRule>
  </conditionalFormatting>
  <printOptions horizontalCentered="1"/>
  <pageMargins left="0.82677165354330717" right="0" top="0.78740157480314965" bottom="0.39370078740157483" header="0.51181102362204722" footer="0.51181102362204722"/>
  <pageSetup paperSize="9" scale="65" orientation="portrait" blackAndWhite="1"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P113"/>
  <sheetViews>
    <sheetView showZeros="0" topLeftCell="A103" workbookViewId="0">
      <selection activeCell="E99" sqref="E99"/>
    </sheetView>
  </sheetViews>
  <sheetFormatPr defaultRowHeight="12"/>
  <cols>
    <col min="1" max="2" width="0.140625" style="2797" customWidth="1"/>
    <col min="3" max="3" width="62.7109375" style="1665" customWidth="1"/>
    <col min="4" max="4" width="10.7109375" style="1665" customWidth="1"/>
    <col min="5" max="6" width="24.7109375" style="1665" customWidth="1"/>
    <col min="7" max="256" width="9.140625" style="1665"/>
    <col min="257" max="258" width="0.140625" style="1665" customWidth="1"/>
    <col min="259" max="259" width="62.7109375" style="1665" customWidth="1"/>
    <col min="260" max="260" width="10.7109375" style="1665" customWidth="1"/>
    <col min="261" max="262" width="24.7109375" style="1665" customWidth="1"/>
    <col min="263" max="512" width="9.140625" style="1665"/>
    <col min="513" max="514" width="0.140625" style="1665" customWidth="1"/>
    <col min="515" max="515" width="62.7109375" style="1665" customWidth="1"/>
    <col min="516" max="516" width="10.7109375" style="1665" customWidth="1"/>
    <col min="517" max="518" width="24.7109375" style="1665" customWidth="1"/>
    <col min="519" max="768" width="9.140625" style="1665"/>
    <col min="769" max="770" width="0.140625" style="1665" customWidth="1"/>
    <col min="771" max="771" width="62.7109375" style="1665" customWidth="1"/>
    <col min="772" max="772" width="10.7109375" style="1665" customWidth="1"/>
    <col min="773" max="774" width="24.7109375" style="1665" customWidth="1"/>
    <col min="775" max="1024" width="9.140625" style="1665"/>
    <col min="1025" max="1026" width="0.140625" style="1665" customWidth="1"/>
    <col min="1027" max="1027" width="62.7109375" style="1665" customWidth="1"/>
    <col min="1028" max="1028" width="10.7109375" style="1665" customWidth="1"/>
    <col min="1029" max="1030" width="24.7109375" style="1665" customWidth="1"/>
    <col min="1031" max="1280" width="9.140625" style="1665"/>
    <col min="1281" max="1282" width="0.140625" style="1665" customWidth="1"/>
    <col min="1283" max="1283" width="62.7109375" style="1665" customWidth="1"/>
    <col min="1284" max="1284" width="10.7109375" style="1665" customWidth="1"/>
    <col min="1285" max="1286" width="24.7109375" style="1665" customWidth="1"/>
    <col min="1287" max="1536" width="9.140625" style="1665"/>
    <col min="1537" max="1538" width="0.140625" style="1665" customWidth="1"/>
    <col min="1539" max="1539" width="62.7109375" style="1665" customWidth="1"/>
    <col min="1540" max="1540" width="10.7109375" style="1665" customWidth="1"/>
    <col min="1541" max="1542" width="24.7109375" style="1665" customWidth="1"/>
    <col min="1543" max="1792" width="9.140625" style="1665"/>
    <col min="1793" max="1794" width="0.140625" style="1665" customWidth="1"/>
    <col min="1795" max="1795" width="62.7109375" style="1665" customWidth="1"/>
    <col min="1796" max="1796" width="10.7109375" style="1665" customWidth="1"/>
    <col min="1797" max="1798" width="24.7109375" style="1665" customWidth="1"/>
    <col min="1799" max="2048" width="9.140625" style="1665"/>
    <col min="2049" max="2050" width="0.140625" style="1665" customWidth="1"/>
    <col min="2051" max="2051" width="62.7109375" style="1665" customWidth="1"/>
    <col min="2052" max="2052" width="10.7109375" style="1665" customWidth="1"/>
    <col min="2053" max="2054" width="24.7109375" style="1665" customWidth="1"/>
    <col min="2055" max="2304" width="9.140625" style="1665"/>
    <col min="2305" max="2306" width="0.140625" style="1665" customWidth="1"/>
    <col min="2307" max="2307" width="62.7109375" style="1665" customWidth="1"/>
    <col min="2308" max="2308" width="10.7109375" style="1665" customWidth="1"/>
    <col min="2309" max="2310" width="24.7109375" style="1665" customWidth="1"/>
    <col min="2311" max="2560" width="9.140625" style="1665"/>
    <col min="2561" max="2562" width="0.140625" style="1665" customWidth="1"/>
    <col min="2563" max="2563" width="62.7109375" style="1665" customWidth="1"/>
    <col min="2564" max="2564" width="10.7109375" style="1665" customWidth="1"/>
    <col min="2565" max="2566" width="24.7109375" style="1665" customWidth="1"/>
    <col min="2567" max="2816" width="9.140625" style="1665"/>
    <col min="2817" max="2818" width="0.140625" style="1665" customWidth="1"/>
    <col min="2819" max="2819" width="62.7109375" style="1665" customWidth="1"/>
    <col min="2820" max="2820" width="10.7109375" style="1665" customWidth="1"/>
    <col min="2821" max="2822" width="24.7109375" style="1665" customWidth="1"/>
    <col min="2823" max="3072" width="9.140625" style="1665"/>
    <col min="3073" max="3074" width="0.140625" style="1665" customWidth="1"/>
    <col min="3075" max="3075" width="62.7109375" style="1665" customWidth="1"/>
    <col min="3076" max="3076" width="10.7109375" style="1665" customWidth="1"/>
    <col min="3077" max="3078" width="24.7109375" style="1665" customWidth="1"/>
    <col min="3079" max="3328" width="9.140625" style="1665"/>
    <col min="3329" max="3330" width="0.140625" style="1665" customWidth="1"/>
    <col min="3331" max="3331" width="62.7109375" style="1665" customWidth="1"/>
    <col min="3332" max="3332" width="10.7109375" style="1665" customWidth="1"/>
    <col min="3333" max="3334" width="24.7109375" style="1665" customWidth="1"/>
    <col min="3335" max="3584" width="9.140625" style="1665"/>
    <col min="3585" max="3586" width="0.140625" style="1665" customWidth="1"/>
    <col min="3587" max="3587" width="62.7109375" style="1665" customWidth="1"/>
    <col min="3588" max="3588" width="10.7109375" style="1665" customWidth="1"/>
    <col min="3589" max="3590" width="24.7109375" style="1665" customWidth="1"/>
    <col min="3591" max="3840" width="9.140625" style="1665"/>
    <col min="3841" max="3842" width="0.140625" style="1665" customWidth="1"/>
    <col min="3843" max="3843" width="62.7109375" style="1665" customWidth="1"/>
    <col min="3844" max="3844" width="10.7109375" style="1665" customWidth="1"/>
    <col min="3845" max="3846" width="24.7109375" style="1665" customWidth="1"/>
    <col min="3847" max="4096" width="9.140625" style="1665"/>
    <col min="4097" max="4098" width="0.140625" style="1665" customWidth="1"/>
    <col min="4099" max="4099" width="62.7109375" style="1665" customWidth="1"/>
    <col min="4100" max="4100" width="10.7109375" style="1665" customWidth="1"/>
    <col min="4101" max="4102" width="24.7109375" style="1665" customWidth="1"/>
    <col min="4103" max="4352" width="9.140625" style="1665"/>
    <col min="4353" max="4354" width="0.140625" style="1665" customWidth="1"/>
    <col min="4355" max="4355" width="62.7109375" style="1665" customWidth="1"/>
    <col min="4356" max="4356" width="10.7109375" style="1665" customWidth="1"/>
    <col min="4357" max="4358" width="24.7109375" style="1665" customWidth="1"/>
    <col min="4359" max="4608" width="9.140625" style="1665"/>
    <col min="4609" max="4610" width="0.140625" style="1665" customWidth="1"/>
    <col min="4611" max="4611" width="62.7109375" style="1665" customWidth="1"/>
    <col min="4612" max="4612" width="10.7109375" style="1665" customWidth="1"/>
    <col min="4613" max="4614" width="24.7109375" style="1665" customWidth="1"/>
    <col min="4615" max="4864" width="9.140625" style="1665"/>
    <col min="4865" max="4866" width="0.140625" style="1665" customWidth="1"/>
    <col min="4867" max="4867" width="62.7109375" style="1665" customWidth="1"/>
    <col min="4868" max="4868" width="10.7109375" style="1665" customWidth="1"/>
    <col min="4869" max="4870" width="24.7109375" style="1665" customWidth="1"/>
    <col min="4871" max="5120" width="9.140625" style="1665"/>
    <col min="5121" max="5122" width="0.140625" style="1665" customWidth="1"/>
    <col min="5123" max="5123" width="62.7109375" style="1665" customWidth="1"/>
    <col min="5124" max="5124" width="10.7109375" style="1665" customWidth="1"/>
    <col min="5125" max="5126" width="24.7109375" style="1665" customWidth="1"/>
    <col min="5127" max="5376" width="9.140625" style="1665"/>
    <col min="5377" max="5378" width="0.140625" style="1665" customWidth="1"/>
    <col min="5379" max="5379" width="62.7109375" style="1665" customWidth="1"/>
    <col min="5380" max="5380" width="10.7109375" style="1665" customWidth="1"/>
    <col min="5381" max="5382" width="24.7109375" style="1665" customWidth="1"/>
    <col min="5383" max="5632" width="9.140625" style="1665"/>
    <col min="5633" max="5634" width="0.140625" style="1665" customWidth="1"/>
    <col min="5635" max="5635" width="62.7109375" style="1665" customWidth="1"/>
    <col min="5636" max="5636" width="10.7109375" style="1665" customWidth="1"/>
    <col min="5637" max="5638" width="24.7109375" style="1665" customWidth="1"/>
    <col min="5639" max="5888" width="9.140625" style="1665"/>
    <col min="5889" max="5890" width="0.140625" style="1665" customWidth="1"/>
    <col min="5891" max="5891" width="62.7109375" style="1665" customWidth="1"/>
    <col min="5892" max="5892" width="10.7109375" style="1665" customWidth="1"/>
    <col min="5893" max="5894" width="24.7109375" style="1665" customWidth="1"/>
    <col min="5895" max="6144" width="9.140625" style="1665"/>
    <col min="6145" max="6146" width="0.140625" style="1665" customWidth="1"/>
    <col min="6147" max="6147" width="62.7109375" style="1665" customWidth="1"/>
    <col min="6148" max="6148" width="10.7109375" style="1665" customWidth="1"/>
    <col min="6149" max="6150" width="24.7109375" style="1665" customWidth="1"/>
    <col min="6151" max="6400" width="9.140625" style="1665"/>
    <col min="6401" max="6402" width="0.140625" style="1665" customWidth="1"/>
    <col min="6403" max="6403" width="62.7109375" style="1665" customWidth="1"/>
    <col min="6404" max="6404" width="10.7109375" style="1665" customWidth="1"/>
    <col min="6405" max="6406" width="24.7109375" style="1665" customWidth="1"/>
    <col min="6407" max="6656" width="9.140625" style="1665"/>
    <col min="6657" max="6658" width="0.140625" style="1665" customWidth="1"/>
    <col min="6659" max="6659" width="62.7109375" style="1665" customWidth="1"/>
    <col min="6660" max="6660" width="10.7109375" style="1665" customWidth="1"/>
    <col min="6661" max="6662" width="24.7109375" style="1665" customWidth="1"/>
    <col min="6663" max="6912" width="9.140625" style="1665"/>
    <col min="6913" max="6914" width="0.140625" style="1665" customWidth="1"/>
    <col min="6915" max="6915" width="62.7109375" style="1665" customWidth="1"/>
    <col min="6916" max="6916" width="10.7109375" style="1665" customWidth="1"/>
    <col min="6917" max="6918" width="24.7109375" style="1665" customWidth="1"/>
    <col min="6919" max="7168" width="9.140625" style="1665"/>
    <col min="7169" max="7170" width="0.140625" style="1665" customWidth="1"/>
    <col min="7171" max="7171" width="62.7109375" style="1665" customWidth="1"/>
    <col min="7172" max="7172" width="10.7109375" style="1665" customWidth="1"/>
    <col min="7173" max="7174" width="24.7109375" style="1665" customWidth="1"/>
    <col min="7175" max="7424" width="9.140625" style="1665"/>
    <col min="7425" max="7426" width="0.140625" style="1665" customWidth="1"/>
    <col min="7427" max="7427" width="62.7109375" style="1665" customWidth="1"/>
    <col min="7428" max="7428" width="10.7109375" style="1665" customWidth="1"/>
    <col min="7429" max="7430" width="24.7109375" style="1665" customWidth="1"/>
    <col min="7431" max="7680" width="9.140625" style="1665"/>
    <col min="7681" max="7682" width="0.140625" style="1665" customWidth="1"/>
    <col min="7683" max="7683" width="62.7109375" style="1665" customWidth="1"/>
    <col min="7684" max="7684" width="10.7109375" style="1665" customWidth="1"/>
    <col min="7685" max="7686" width="24.7109375" style="1665" customWidth="1"/>
    <col min="7687" max="7936" width="9.140625" style="1665"/>
    <col min="7937" max="7938" width="0.140625" style="1665" customWidth="1"/>
    <col min="7939" max="7939" width="62.7109375" style="1665" customWidth="1"/>
    <col min="7940" max="7940" width="10.7109375" style="1665" customWidth="1"/>
    <col min="7941" max="7942" width="24.7109375" style="1665" customWidth="1"/>
    <col min="7943" max="8192" width="9.140625" style="1665"/>
    <col min="8193" max="8194" width="0.140625" style="1665" customWidth="1"/>
    <col min="8195" max="8195" width="62.7109375" style="1665" customWidth="1"/>
    <col min="8196" max="8196" width="10.7109375" style="1665" customWidth="1"/>
    <col min="8197" max="8198" width="24.7109375" style="1665" customWidth="1"/>
    <col min="8199" max="8448" width="9.140625" style="1665"/>
    <col min="8449" max="8450" width="0.140625" style="1665" customWidth="1"/>
    <col min="8451" max="8451" width="62.7109375" style="1665" customWidth="1"/>
    <col min="8452" max="8452" width="10.7109375" style="1665" customWidth="1"/>
    <col min="8453" max="8454" width="24.7109375" style="1665" customWidth="1"/>
    <col min="8455" max="8704" width="9.140625" style="1665"/>
    <col min="8705" max="8706" width="0.140625" style="1665" customWidth="1"/>
    <col min="8707" max="8707" width="62.7109375" style="1665" customWidth="1"/>
    <col min="8708" max="8708" width="10.7109375" style="1665" customWidth="1"/>
    <col min="8709" max="8710" width="24.7109375" style="1665" customWidth="1"/>
    <col min="8711" max="8960" width="9.140625" style="1665"/>
    <col min="8961" max="8962" width="0.140625" style="1665" customWidth="1"/>
    <col min="8963" max="8963" width="62.7109375" style="1665" customWidth="1"/>
    <col min="8964" max="8964" width="10.7109375" style="1665" customWidth="1"/>
    <col min="8965" max="8966" width="24.7109375" style="1665" customWidth="1"/>
    <col min="8967" max="9216" width="9.140625" style="1665"/>
    <col min="9217" max="9218" width="0.140625" style="1665" customWidth="1"/>
    <col min="9219" max="9219" width="62.7109375" style="1665" customWidth="1"/>
    <col min="9220" max="9220" width="10.7109375" style="1665" customWidth="1"/>
    <col min="9221" max="9222" width="24.7109375" style="1665" customWidth="1"/>
    <col min="9223" max="9472" width="9.140625" style="1665"/>
    <col min="9473" max="9474" width="0.140625" style="1665" customWidth="1"/>
    <col min="9475" max="9475" width="62.7109375" style="1665" customWidth="1"/>
    <col min="9476" max="9476" width="10.7109375" style="1665" customWidth="1"/>
    <col min="9477" max="9478" width="24.7109375" style="1665" customWidth="1"/>
    <col min="9479" max="9728" width="9.140625" style="1665"/>
    <col min="9729" max="9730" width="0.140625" style="1665" customWidth="1"/>
    <col min="9731" max="9731" width="62.7109375" style="1665" customWidth="1"/>
    <col min="9732" max="9732" width="10.7109375" style="1665" customWidth="1"/>
    <col min="9733" max="9734" width="24.7109375" style="1665" customWidth="1"/>
    <col min="9735" max="9984" width="9.140625" style="1665"/>
    <col min="9985" max="9986" width="0.140625" style="1665" customWidth="1"/>
    <col min="9987" max="9987" width="62.7109375" style="1665" customWidth="1"/>
    <col min="9988" max="9988" width="10.7109375" style="1665" customWidth="1"/>
    <col min="9989" max="9990" width="24.7109375" style="1665" customWidth="1"/>
    <col min="9991" max="10240" width="9.140625" style="1665"/>
    <col min="10241" max="10242" width="0.140625" style="1665" customWidth="1"/>
    <col min="10243" max="10243" width="62.7109375" style="1665" customWidth="1"/>
    <col min="10244" max="10244" width="10.7109375" style="1665" customWidth="1"/>
    <col min="10245" max="10246" width="24.7109375" style="1665" customWidth="1"/>
    <col min="10247" max="10496" width="9.140625" style="1665"/>
    <col min="10497" max="10498" width="0.140625" style="1665" customWidth="1"/>
    <col min="10499" max="10499" width="62.7109375" style="1665" customWidth="1"/>
    <col min="10500" max="10500" width="10.7109375" style="1665" customWidth="1"/>
    <col min="10501" max="10502" width="24.7109375" style="1665" customWidth="1"/>
    <col min="10503" max="10752" width="9.140625" style="1665"/>
    <col min="10753" max="10754" width="0.140625" style="1665" customWidth="1"/>
    <col min="10755" max="10755" width="62.7109375" style="1665" customWidth="1"/>
    <col min="10756" max="10756" width="10.7109375" style="1665" customWidth="1"/>
    <col min="10757" max="10758" width="24.7109375" style="1665" customWidth="1"/>
    <col min="10759" max="11008" width="9.140625" style="1665"/>
    <col min="11009" max="11010" width="0.140625" style="1665" customWidth="1"/>
    <col min="11011" max="11011" width="62.7109375" style="1665" customWidth="1"/>
    <col min="11012" max="11012" width="10.7109375" style="1665" customWidth="1"/>
    <col min="11013" max="11014" width="24.7109375" style="1665" customWidth="1"/>
    <col min="11015" max="11264" width="9.140625" style="1665"/>
    <col min="11265" max="11266" width="0.140625" style="1665" customWidth="1"/>
    <col min="11267" max="11267" width="62.7109375" style="1665" customWidth="1"/>
    <col min="11268" max="11268" width="10.7109375" style="1665" customWidth="1"/>
    <col min="11269" max="11270" width="24.7109375" style="1665" customWidth="1"/>
    <col min="11271" max="11520" width="9.140625" style="1665"/>
    <col min="11521" max="11522" width="0.140625" style="1665" customWidth="1"/>
    <col min="11523" max="11523" width="62.7109375" style="1665" customWidth="1"/>
    <col min="11524" max="11524" width="10.7109375" style="1665" customWidth="1"/>
    <col min="11525" max="11526" width="24.7109375" style="1665" customWidth="1"/>
    <col min="11527" max="11776" width="9.140625" style="1665"/>
    <col min="11777" max="11778" width="0.140625" style="1665" customWidth="1"/>
    <col min="11779" max="11779" width="62.7109375" style="1665" customWidth="1"/>
    <col min="11780" max="11780" width="10.7109375" style="1665" customWidth="1"/>
    <col min="11781" max="11782" width="24.7109375" style="1665" customWidth="1"/>
    <col min="11783" max="12032" width="9.140625" style="1665"/>
    <col min="12033" max="12034" width="0.140625" style="1665" customWidth="1"/>
    <col min="12035" max="12035" width="62.7109375" style="1665" customWidth="1"/>
    <col min="12036" max="12036" width="10.7109375" style="1665" customWidth="1"/>
    <col min="12037" max="12038" width="24.7109375" style="1665" customWidth="1"/>
    <col min="12039" max="12288" width="9.140625" style="1665"/>
    <col min="12289" max="12290" width="0.140625" style="1665" customWidth="1"/>
    <col min="12291" max="12291" width="62.7109375" style="1665" customWidth="1"/>
    <col min="12292" max="12292" width="10.7109375" style="1665" customWidth="1"/>
    <col min="12293" max="12294" width="24.7109375" style="1665" customWidth="1"/>
    <col min="12295" max="12544" width="9.140625" style="1665"/>
    <col min="12545" max="12546" width="0.140625" style="1665" customWidth="1"/>
    <col min="12547" max="12547" width="62.7109375" style="1665" customWidth="1"/>
    <col min="12548" max="12548" width="10.7109375" style="1665" customWidth="1"/>
    <col min="12549" max="12550" width="24.7109375" style="1665" customWidth="1"/>
    <col min="12551" max="12800" width="9.140625" style="1665"/>
    <col min="12801" max="12802" width="0.140625" style="1665" customWidth="1"/>
    <col min="12803" max="12803" width="62.7109375" style="1665" customWidth="1"/>
    <col min="12804" max="12804" width="10.7109375" style="1665" customWidth="1"/>
    <col min="12805" max="12806" width="24.7109375" style="1665" customWidth="1"/>
    <col min="12807" max="13056" width="9.140625" style="1665"/>
    <col min="13057" max="13058" width="0.140625" style="1665" customWidth="1"/>
    <col min="13059" max="13059" width="62.7109375" style="1665" customWidth="1"/>
    <col min="13060" max="13060" width="10.7109375" style="1665" customWidth="1"/>
    <col min="13061" max="13062" width="24.7109375" style="1665" customWidth="1"/>
    <col min="13063" max="13312" width="9.140625" style="1665"/>
    <col min="13313" max="13314" width="0.140625" style="1665" customWidth="1"/>
    <col min="13315" max="13315" width="62.7109375" style="1665" customWidth="1"/>
    <col min="13316" max="13316" width="10.7109375" style="1665" customWidth="1"/>
    <col min="13317" max="13318" width="24.7109375" style="1665" customWidth="1"/>
    <col min="13319" max="13568" width="9.140625" style="1665"/>
    <col min="13569" max="13570" width="0.140625" style="1665" customWidth="1"/>
    <col min="13571" max="13571" width="62.7109375" style="1665" customWidth="1"/>
    <col min="13572" max="13572" width="10.7109375" style="1665" customWidth="1"/>
    <col min="13573" max="13574" width="24.7109375" style="1665" customWidth="1"/>
    <col min="13575" max="13824" width="9.140625" style="1665"/>
    <col min="13825" max="13826" width="0.140625" style="1665" customWidth="1"/>
    <col min="13827" max="13827" width="62.7109375" style="1665" customWidth="1"/>
    <col min="13828" max="13828" width="10.7109375" style="1665" customWidth="1"/>
    <col min="13829" max="13830" width="24.7109375" style="1665" customWidth="1"/>
    <col min="13831" max="14080" width="9.140625" style="1665"/>
    <col min="14081" max="14082" width="0.140625" style="1665" customWidth="1"/>
    <col min="14083" max="14083" width="62.7109375" style="1665" customWidth="1"/>
    <col min="14084" max="14084" width="10.7109375" style="1665" customWidth="1"/>
    <col min="14085" max="14086" width="24.7109375" style="1665" customWidth="1"/>
    <col min="14087" max="14336" width="9.140625" style="1665"/>
    <col min="14337" max="14338" width="0.140625" style="1665" customWidth="1"/>
    <col min="14339" max="14339" width="62.7109375" style="1665" customWidth="1"/>
    <col min="14340" max="14340" width="10.7109375" style="1665" customWidth="1"/>
    <col min="14341" max="14342" width="24.7109375" style="1665" customWidth="1"/>
    <col min="14343" max="14592" width="9.140625" style="1665"/>
    <col min="14593" max="14594" width="0.140625" style="1665" customWidth="1"/>
    <col min="14595" max="14595" width="62.7109375" style="1665" customWidth="1"/>
    <col min="14596" max="14596" width="10.7109375" style="1665" customWidth="1"/>
    <col min="14597" max="14598" width="24.7109375" style="1665" customWidth="1"/>
    <col min="14599" max="14848" width="9.140625" style="1665"/>
    <col min="14849" max="14850" width="0.140625" style="1665" customWidth="1"/>
    <col min="14851" max="14851" width="62.7109375" style="1665" customWidth="1"/>
    <col min="14852" max="14852" width="10.7109375" style="1665" customWidth="1"/>
    <col min="14853" max="14854" width="24.7109375" style="1665" customWidth="1"/>
    <col min="14855" max="15104" width="9.140625" style="1665"/>
    <col min="15105" max="15106" width="0.140625" style="1665" customWidth="1"/>
    <col min="15107" max="15107" width="62.7109375" style="1665" customWidth="1"/>
    <col min="15108" max="15108" width="10.7109375" style="1665" customWidth="1"/>
    <col min="15109" max="15110" width="24.7109375" style="1665" customWidth="1"/>
    <col min="15111" max="15360" width="9.140625" style="1665"/>
    <col min="15361" max="15362" width="0.140625" style="1665" customWidth="1"/>
    <col min="15363" max="15363" width="62.7109375" style="1665" customWidth="1"/>
    <col min="15364" max="15364" width="10.7109375" style="1665" customWidth="1"/>
    <col min="15365" max="15366" width="24.7109375" style="1665" customWidth="1"/>
    <col min="15367" max="15616" width="9.140625" style="1665"/>
    <col min="15617" max="15618" width="0.140625" style="1665" customWidth="1"/>
    <col min="15619" max="15619" width="62.7109375" style="1665" customWidth="1"/>
    <col min="15620" max="15620" width="10.7109375" style="1665" customWidth="1"/>
    <col min="15621" max="15622" width="24.7109375" style="1665" customWidth="1"/>
    <col min="15623" max="15872" width="9.140625" style="1665"/>
    <col min="15873" max="15874" width="0.140625" style="1665" customWidth="1"/>
    <col min="15875" max="15875" width="62.7109375" style="1665" customWidth="1"/>
    <col min="15876" max="15876" width="10.7109375" style="1665" customWidth="1"/>
    <col min="15877" max="15878" width="24.7109375" style="1665" customWidth="1"/>
    <col min="15879" max="16128" width="9.140625" style="1665"/>
    <col min="16129" max="16130" width="0.140625" style="1665" customWidth="1"/>
    <col min="16131" max="16131" width="62.7109375" style="1665" customWidth="1"/>
    <col min="16132" max="16132" width="10.7109375" style="1665" customWidth="1"/>
    <col min="16133" max="16134" width="24.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559" t="s">
        <v>5809</v>
      </c>
      <c r="D2" s="3559"/>
      <c r="E2" s="3559"/>
      <c r="F2" s="3559"/>
      <c r="G2" s="1664"/>
      <c r="H2" s="1664"/>
      <c r="I2" s="1664"/>
      <c r="J2" s="1664"/>
    </row>
    <row r="3" spans="1:10" ht="27" customHeight="1">
      <c r="A3" s="2840"/>
      <c r="B3" s="2841"/>
      <c r="C3" s="3558" t="str">
        <f>Lead!$F$7</f>
        <v>2019年度</v>
      </c>
      <c r="D3" s="3558"/>
      <c r="E3" s="3558"/>
      <c r="F3" s="3558"/>
      <c r="G3" s="1664"/>
      <c r="H3" s="1664"/>
      <c r="I3" s="1664"/>
      <c r="J3" s="1664"/>
    </row>
    <row r="4" spans="1:10" ht="6" customHeight="1">
      <c r="A4" s="2840"/>
      <c r="B4" s="2841"/>
      <c r="C4" s="1666"/>
      <c r="D4" s="1662"/>
      <c r="E4" s="1662"/>
      <c r="F4" s="1709"/>
      <c r="G4" s="1664"/>
      <c r="H4" s="1664"/>
      <c r="I4" s="1664"/>
      <c r="J4" s="1664"/>
    </row>
    <row r="5" spans="1:10" ht="15.95" customHeight="1" thickBot="1">
      <c r="A5" s="2840"/>
      <c r="B5" s="2841"/>
      <c r="C5" s="2038" t="str">
        <f>Lead!$B$5&amp;"："&amp;Lead!$C$5</f>
        <v>编制单位：福建省力菲克药业有限公司</v>
      </c>
      <c r="D5" s="2039"/>
      <c r="E5" s="2040" t="s">
        <v>2554</v>
      </c>
      <c r="F5" s="2041" t="s">
        <v>2555</v>
      </c>
      <c r="G5" s="1664"/>
      <c r="H5" s="1664"/>
      <c r="I5" s="1664"/>
      <c r="J5" s="1664"/>
    </row>
    <row r="6" spans="1:10" ht="19.5" customHeight="1">
      <c r="A6" s="2851" t="s">
        <v>2556</v>
      </c>
      <c r="B6" s="2852" t="s">
        <v>2558</v>
      </c>
      <c r="C6" s="2072" t="s">
        <v>5134</v>
      </c>
      <c r="D6" s="2073" t="s">
        <v>2559</v>
      </c>
      <c r="E6" s="2073" t="str">
        <f>Lead!$F$7</f>
        <v>2019年度</v>
      </c>
      <c r="F6" s="2074" t="str">
        <f>Lead!$F$8</f>
        <v>2018年度</v>
      </c>
      <c r="G6" s="852"/>
      <c r="H6" s="852"/>
      <c r="I6" s="1664"/>
      <c r="J6" s="1664"/>
    </row>
    <row r="7" spans="1:10" ht="19.5" customHeight="1">
      <c r="A7" s="2842" t="str">
        <f t="shared" ref="A7:A44" si="0">VLOOKUP($B7,Sheet_Items,4,0)</f>
        <v>：</v>
      </c>
      <c r="B7" s="2881">
        <v>7000</v>
      </c>
      <c r="C7" s="2075" t="str">
        <f t="shared" ref="C7:C44" si="1">VLOOKUP($B7,Sheet_Items,6,0)</f>
        <v>一、经营活动产生的现金流量：</v>
      </c>
      <c r="D7" s="2076"/>
      <c r="E7" s="2077">
        <f>VLOOKUP($B7,Sheet_Trialbal,6,0)</f>
        <v>0</v>
      </c>
      <c r="F7" s="2078">
        <f>VLOOKUP($B7,Sheet_Trialbal,10,0)</f>
        <v>0</v>
      </c>
      <c r="G7" s="852"/>
      <c r="H7" s="852"/>
      <c r="I7" s="1664"/>
      <c r="J7" s="1664"/>
    </row>
    <row r="8" spans="1:10" ht="19.5" customHeight="1">
      <c r="A8" s="2842">
        <f t="shared" si="0"/>
        <v>0</v>
      </c>
      <c r="B8" s="2881">
        <v>7001</v>
      </c>
      <c r="C8" s="2079" t="str">
        <f t="shared" si="1"/>
        <v>销售商品、提供劳务收到的现金</v>
      </c>
      <c r="D8" s="2076"/>
      <c r="E8" s="2077">
        <f>VLOOKUP($B8,Sheet_Trialbal,6,0)</f>
        <v>36631011.609999999</v>
      </c>
      <c r="F8" s="2078">
        <f>VLOOKUP($B8,Sheet_Trialbal,10,0)</f>
        <v>43157155</v>
      </c>
      <c r="G8" s="852"/>
      <c r="H8" s="852"/>
      <c r="I8" s="1664"/>
      <c r="J8" s="1664"/>
    </row>
    <row r="9" spans="1:10" ht="19.5" customHeight="1">
      <c r="A9" s="2842">
        <f t="shared" si="0"/>
        <v>0</v>
      </c>
      <c r="B9" s="2881">
        <v>7031</v>
      </c>
      <c r="C9" s="2079" t="str">
        <f t="shared" si="1"/>
        <v>收到的税费返还</v>
      </c>
      <c r="D9" s="2076"/>
      <c r="E9" s="2077">
        <f>VLOOKUP($B9,Sheet_Trialbal,6,0)</f>
        <v>0</v>
      </c>
      <c r="F9" s="2078">
        <f>VLOOKUP($B9,Sheet_Trialbal,10,0)</f>
        <v>0</v>
      </c>
      <c r="G9" s="852"/>
      <c r="H9" s="852"/>
      <c r="I9" s="1664"/>
      <c r="J9" s="1664"/>
    </row>
    <row r="10" spans="1:10" ht="19.5" customHeight="1">
      <c r="A10" s="2842">
        <f t="shared" si="0"/>
        <v>0</v>
      </c>
      <c r="B10" s="2881">
        <v>7046</v>
      </c>
      <c r="C10" s="2079" t="str">
        <f t="shared" si="1"/>
        <v>收到其他与经营活动有关的现金</v>
      </c>
      <c r="D10" s="2076"/>
      <c r="E10" s="2077">
        <f>VLOOKUP($B10,Sheet_Trialbal,6,0)</f>
        <v>872175.39</v>
      </c>
      <c r="F10" s="2078">
        <f>VLOOKUP($B10,Sheet_Trialbal,10,0)</f>
        <v>7228566.7800000003</v>
      </c>
      <c r="G10" s="852"/>
      <c r="H10" s="852"/>
      <c r="I10" s="1664"/>
      <c r="J10" s="1664"/>
    </row>
    <row r="11" spans="1:10" ht="19.5" customHeight="1">
      <c r="A11" s="2842" t="str">
        <f t="shared" si="0"/>
        <v>＝</v>
      </c>
      <c r="B11" s="2881">
        <v>7048</v>
      </c>
      <c r="C11" s="2075" t="str">
        <f t="shared" si="1"/>
        <v>经营活动现金流入小计</v>
      </c>
      <c r="D11" s="2076"/>
      <c r="E11" s="2077">
        <f>SUM(E8:E10)</f>
        <v>37503187</v>
      </c>
      <c r="F11" s="2078">
        <f>SUM(F8:F10)</f>
        <v>50385721.780000001</v>
      </c>
      <c r="G11" s="852"/>
      <c r="H11" s="852"/>
      <c r="I11" s="1664"/>
      <c r="J11" s="1664"/>
    </row>
    <row r="12" spans="1:10" ht="19.5" customHeight="1">
      <c r="A12" s="2842">
        <f t="shared" si="0"/>
        <v>0</v>
      </c>
      <c r="B12" s="2881">
        <v>7051</v>
      </c>
      <c r="C12" s="2079" t="str">
        <f t="shared" si="1"/>
        <v>购买商品、接受劳务支付的现金</v>
      </c>
      <c r="D12" s="2076"/>
      <c r="E12" s="2077">
        <f>VLOOKUP($B12,Sheet_Trialbal,6,0)</f>
        <v>19308391.789999999</v>
      </c>
      <c r="F12" s="2078">
        <f>VLOOKUP($B12,Sheet_Trialbal,10,0)</f>
        <v>21518656.059999999</v>
      </c>
      <c r="G12" s="852"/>
      <c r="H12" s="852"/>
      <c r="I12" s="1664"/>
      <c r="J12" s="1664"/>
    </row>
    <row r="13" spans="1:10" ht="19.5" customHeight="1">
      <c r="A13" s="2842">
        <f t="shared" si="0"/>
        <v>0</v>
      </c>
      <c r="B13" s="2881">
        <v>7061</v>
      </c>
      <c r="C13" s="2079" t="str">
        <f t="shared" si="1"/>
        <v>支付给职工以及为职工支付的现金</v>
      </c>
      <c r="D13" s="2076"/>
      <c r="E13" s="2077">
        <f>VLOOKUP($B13,Sheet_Trialbal,6,0)</f>
        <v>8360207.9299999997</v>
      </c>
      <c r="F13" s="2078">
        <f>VLOOKUP($B13,Sheet_Trialbal,10,0)</f>
        <v>7799242.21</v>
      </c>
      <c r="G13" s="852"/>
      <c r="H13" s="852"/>
      <c r="I13" s="1664"/>
      <c r="J13" s="1664"/>
    </row>
    <row r="14" spans="1:10" ht="19.5" customHeight="1">
      <c r="A14" s="2842">
        <f t="shared" si="0"/>
        <v>0</v>
      </c>
      <c r="B14" s="2881">
        <v>7071</v>
      </c>
      <c r="C14" s="2079" t="str">
        <f t="shared" si="1"/>
        <v>支付的各项税费</v>
      </c>
      <c r="D14" s="2076"/>
      <c r="E14" s="2077">
        <f>VLOOKUP($B14,Sheet_Trialbal,6,0)</f>
        <v>3106865.8</v>
      </c>
      <c r="F14" s="2078">
        <f>VLOOKUP($B14,Sheet_Trialbal,10,0)</f>
        <v>3876417.5</v>
      </c>
      <c r="G14" s="852"/>
      <c r="H14" s="852"/>
      <c r="I14" s="1664"/>
      <c r="J14" s="1664"/>
    </row>
    <row r="15" spans="1:10" ht="19.5" customHeight="1">
      <c r="A15" s="2842">
        <f t="shared" si="0"/>
        <v>0</v>
      </c>
      <c r="B15" s="2881">
        <v>7096</v>
      </c>
      <c r="C15" s="2079" t="str">
        <f t="shared" si="1"/>
        <v>支付其他与经营活动有关的现金</v>
      </c>
      <c r="D15" s="2076"/>
      <c r="E15" s="2077">
        <f>VLOOKUP($B15,Sheet_Trialbal,6,0)</f>
        <v>5764273.5599999996</v>
      </c>
      <c r="F15" s="2078">
        <f>VLOOKUP($B15,Sheet_Trialbal,10,0)</f>
        <v>5868705.1299999999</v>
      </c>
      <c r="G15" s="852"/>
      <c r="H15" s="852"/>
      <c r="I15" s="1664"/>
      <c r="J15" s="1664"/>
    </row>
    <row r="16" spans="1:10" ht="19.5" customHeight="1">
      <c r="A16" s="2842" t="str">
        <f t="shared" si="0"/>
        <v>＝</v>
      </c>
      <c r="B16" s="2881">
        <v>7098</v>
      </c>
      <c r="C16" s="2075" t="str">
        <f t="shared" si="1"/>
        <v>经营活动现金流出小计</v>
      </c>
      <c r="D16" s="2076"/>
      <c r="E16" s="2077">
        <f>SUM(E12:E15)</f>
        <v>36539739.079999998</v>
      </c>
      <c r="F16" s="2078">
        <f>SUM(F12:F15)</f>
        <v>39063020.899999999</v>
      </c>
      <c r="G16" s="852"/>
      <c r="H16" s="852"/>
      <c r="I16" s="1664"/>
      <c r="J16" s="1664"/>
    </row>
    <row r="17" spans="1:10" ht="19.5" customHeight="1">
      <c r="A17" s="2842" t="str">
        <f t="shared" si="0"/>
        <v>＝</v>
      </c>
      <c r="B17" s="2881">
        <v>7099</v>
      </c>
      <c r="C17" s="2075" t="str">
        <f t="shared" si="1"/>
        <v>经营活动产生的现金流量净额</v>
      </c>
      <c r="D17" s="2076"/>
      <c r="E17" s="2077">
        <f>SUM(E11,-E16)</f>
        <v>963447.92</v>
      </c>
      <c r="F17" s="2078">
        <f>SUM(F11,-F16)</f>
        <v>11322700.880000001</v>
      </c>
      <c r="G17" s="852"/>
      <c r="H17" s="852"/>
      <c r="I17" s="1664"/>
      <c r="J17" s="1664"/>
    </row>
    <row r="18" spans="1:10" ht="19.5" customHeight="1">
      <c r="A18" s="2842" t="str">
        <f t="shared" si="0"/>
        <v>：</v>
      </c>
      <c r="B18" s="2881">
        <v>7100</v>
      </c>
      <c r="C18" s="2075" t="str">
        <f t="shared" si="1"/>
        <v>二、投资活动产生的现金流量：</v>
      </c>
      <c r="D18" s="2076"/>
      <c r="E18" s="2077">
        <f t="shared" ref="E18:E23" si="2">VLOOKUP($B18,Sheet_Trialbal,6,0)</f>
        <v>0</v>
      </c>
      <c r="F18" s="2078">
        <f t="shared" ref="F18:F23" si="3">VLOOKUP($B18,Sheet_Trialbal,10,0)</f>
        <v>0</v>
      </c>
      <c r="G18" s="852"/>
      <c r="H18" s="852"/>
      <c r="I18" s="1664"/>
      <c r="J18" s="1664"/>
    </row>
    <row r="19" spans="1:10" ht="19.5" customHeight="1">
      <c r="A19" s="2842">
        <f t="shared" si="0"/>
        <v>0</v>
      </c>
      <c r="B19" s="2881">
        <v>7101</v>
      </c>
      <c r="C19" s="2079" t="str">
        <f t="shared" si="1"/>
        <v>收回投资收到的现金</v>
      </c>
      <c r="D19" s="2076"/>
      <c r="E19" s="2077">
        <f t="shared" si="2"/>
        <v>650000</v>
      </c>
      <c r="F19" s="2078">
        <f t="shared" si="3"/>
        <v>0</v>
      </c>
      <c r="G19" s="852"/>
      <c r="H19" s="852"/>
      <c r="I19" s="1664"/>
      <c r="J19" s="1664"/>
    </row>
    <row r="20" spans="1:10" ht="19.5" customHeight="1">
      <c r="A20" s="2842">
        <f t="shared" si="0"/>
        <v>0</v>
      </c>
      <c r="B20" s="2881">
        <v>7105</v>
      </c>
      <c r="C20" s="2079" t="str">
        <f t="shared" si="1"/>
        <v>取得投资收益收到的现金</v>
      </c>
      <c r="D20" s="2076"/>
      <c r="E20" s="2077">
        <f t="shared" si="2"/>
        <v>41851.06</v>
      </c>
      <c r="F20" s="2078">
        <f t="shared" si="3"/>
        <v>38200.720000000001</v>
      </c>
      <c r="G20" s="852"/>
      <c r="H20" s="852"/>
      <c r="I20" s="1664"/>
      <c r="J20" s="1664"/>
    </row>
    <row r="21" spans="1:10" ht="19.5" customHeight="1">
      <c r="A21" s="2842">
        <f t="shared" si="0"/>
        <v>0</v>
      </c>
      <c r="B21" s="2881">
        <v>7111</v>
      </c>
      <c r="C21" s="2079" t="str">
        <f t="shared" si="1"/>
        <v>处置固定资产、无形资产和其他长期资产收回的现金净额</v>
      </c>
      <c r="D21" s="2076"/>
      <c r="E21" s="2077">
        <f t="shared" si="2"/>
        <v>0</v>
      </c>
      <c r="F21" s="2078">
        <f t="shared" si="3"/>
        <v>456.04</v>
      </c>
      <c r="G21" s="852"/>
      <c r="H21" s="852"/>
      <c r="I21" s="1664"/>
      <c r="J21" s="1664"/>
    </row>
    <row r="22" spans="1:10" ht="19.5" customHeight="1">
      <c r="A22" s="2842">
        <f t="shared" si="0"/>
        <v>0</v>
      </c>
      <c r="B22" s="2881">
        <v>7121</v>
      </c>
      <c r="C22" s="2079" t="str">
        <f t="shared" si="1"/>
        <v>处置子公司及其他营业单位收到的现金净额</v>
      </c>
      <c r="D22" s="2076"/>
      <c r="E22" s="2077">
        <f t="shared" si="2"/>
        <v>0</v>
      </c>
      <c r="F22" s="2078">
        <f t="shared" si="3"/>
        <v>0</v>
      </c>
      <c r="G22" s="852"/>
      <c r="H22" s="852"/>
      <c r="I22" s="1664"/>
      <c r="J22" s="1664"/>
    </row>
    <row r="23" spans="1:10" ht="19.5" customHeight="1">
      <c r="A23" s="2842">
        <f t="shared" si="0"/>
        <v>0</v>
      </c>
      <c r="B23" s="2881">
        <v>7146</v>
      </c>
      <c r="C23" s="2079" t="str">
        <f t="shared" si="1"/>
        <v>收到其他与投资活动有关的现金</v>
      </c>
      <c r="D23" s="2076"/>
      <c r="E23" s="2077">
        <f t="shared" si="2"/>
        <v>10464100</v>
      </c>
      <c r="F23" s="2078">
        <f t="shared" si="3"/>
        <v>0</v>
      </c>
      <c r="G23" s="852"/>
      <c r="H23" s="852"/>
      <c r="I23" s="1664"/>
      <c r="J23" s="1664"/>
    </row>
    <row r="24" spans="1:10" ht="19.5" customHeight="1">
      <c r="A24" s="2842" t="str">
        <f t="shared" si="0"/>
        <v>＝</v>
      </c>
      <c r="B24" s="2881">
        <v>7148</v>
      </c>
      <c r="C24" s="2075" t="str">
        <f t="shared" si="1"/>
        <v>投资活动现金流入小计</v>
      </c>
      <c r="D24" s="2076"/>
      <c r="E24" s="2077">
        <f>SUM(E19:E23)</f>
        <v>11155951.060000001</v>
      </c>
      <c r="F24" s="2078">
        <f>SUM(F19:F23)</f>
        <v>38656.76</v>
      </c>
      <c r="G24" s="852"/>
      <c r="H24" s="852"/>
      <c r="I24" s="1664"/>
      <c r="J24" s="1664"/>
    </row>
    <row r="25" spans="1:10" ht="19.5" customHeight="1">
      <c r="A25" s="2842">
        <f t="shared" si="0"/>
        <v>0</v>
      </c>
      <c r="B25" s="2881">
        <v>7151</v>
      </c>
      <c r="C25" s="2079" t="str">
        <f t="shared" si="1"/>
        <v>购建固定资产、无形资产和其他长期资产支付的现金</v>
      </c>
      <c r="D25" s="2076"/>
      <c r="E25" s="2077">
        <f>VLOOKUP($B25,Sheet_Trialbal,6,0)</f>
        <v>493144.53</v>
      </c>
      <c r="F25" s="2078">
        <f>VLOOKUP($B25,Sheet_Trialbal,10,0)</f>
        <v>2473925.15</v>
      </c>
      <c r="G25" s="852"/>
      <c r="H25" s="852"/>
      <c r="I25" s="1664"/>
      <c r="J25" s="1664"/>
    </row>
    <row r="26" spans="1:10" ht="19.5" customHeight="1">
      <c r="A26" s="2842">
        <f t="shared" si="0"/>
        <v>0</v>
      </c>
      <c r="B26" s="2881">
        <v>7161</v>
      </c>
      <c r="C26" s="2079" t="str">
        <f t="shared" si="1"/>
        <v>投资支付的现金</v>
      </c>
      <c r="D26" s="2076"/>
      <c r="E26" s="2077">
        <f>VLOOKUP($B26,Sheet_Trialbal,6,0)</f>
        <v>0</v>
      </c>
      <c r="F26" s="2078">
        <f>VLOOKUP($B26,Sheet_Trialbal,10,0)</f>
        <v>1850000</v>
      </c>
      <c r="G26" s="852"/>
      <c r="H26" s="852"/>
      <c r="I26" s="1664"/>
      <c r="J26" s="1664"/>
    </row>
    <row r="27" spans="1:10" ht="19.5" customHeight="1">
      <c r="A27" s="2842">
        <f t="shared" si="0"/>
        <v>0</v>
      </c>
      <c r="B27" s="2881">
        <v>7171</v>
      </c>
      <c r="C27" s="2079" t="str">
        <f t="shared" si="1"/>
        <v>取得子公司及其他营业单位支付的现金净额</v>
      </c>
      <c r="D27" s="2076"/>
      <c r="E27" s="2077">
        <f>VLOOKUP($B27,Sheet_Trialbal,6,0)</f>
        <v>0</v>
      </c>
      <c r="F27" s="2078">
        <f>VLOOKUP($B27,Sheet_Trialbal,10,0)</f>
        <v>0</v>
      </c>
      <c r="G27" s="852"/>
      <c r="H27" s="852"/>
      <c r="I27" s="1664"/>
      <c r="J27" s="1664"/>
    </row>
    <row r="28" spans="1:10" ht="19.5" customHeight="1">
      <c r="A28" s="2842">
        <f t="shared" si="0"/>
        <v>0</v>
      </c>
      <c r="B28" s="2881">
        <v>7196</v>
      </c>
      <c r="C28" s="2079" t="str">
        <f t="shared" si="1"/>
        <v>支付其他与投资活动有关的现金</v>
      </c>
      <c r="D28" s="2076"/>
      <c r="E28" s="2077">
        <f>VLOOKUP($B28,Sheet_Trialbal,6,0)</f>
        <v>2900000</v>
      </c>
      <c r="F28" s="2078">
        <f>VLOOKUP($B28,Sheet_Trialbal,10,0)</f>
        <v>0</v>
      </c>
      <c r="G28" s="852"/>
      <c r="H28" s="852"/>
      <c r="I28" s="1664"/>
      <c r="J28" s="1664"/>
    </row>
    <row r="29" spans="1:10" ht="19.5" customHeight="1">
      <c r="A29" s="2842" t="str">
        <f t="shared" si="0"/>
        <v>＝</v>
      </c>
      <c r="B29" s="2881">
        <v>7198</v>
      </c>
      <c r="C29" s="2075" t="str">
        <f t="shared" si="1"/>
        <v>投资活动现金流出小计</v>
      </c>
      <c r="D29" s="2076"/>
      <c r="E29" s="2077">
        <f>SUM(E25:E28)</f>
        <v>3393144.53</v>
      </c>
      <c r="F29" s="2078">
        <f>SUM(F25:F28)</f>
        <v>4323925.1500000004</v>
      </c>
      <c r="G29" s="852"/>
      <c r="H29" s="852"/>
      <c r="I29" s="1664"/>
      <c r="J29" s="1664"/>
    </row>
    <row r="30" spans="1:10" ht="19.5" customHeight="1">
      <c r="A30" s="2842" t="str">
        <f t="shared" si="0"/>
        <v>＝</v>
      </c>
      <c r="B30" s="2881">
        <v>7199</v>
      </c>
      <c r="C30" s="2075" t="str">
        <f t="shared" si="1"/>
        <v>投资活动产生的现金流量净额</v>
      </c>
      <c r="D30" s="2076"/>
      <c r="E30" s="2077">
        <f>SUM(E24,-E29)</f>
        <v>7762806.5300000003</v>
      </c>
      <c r="F30" s="2078">
        <f>SUM(F24,-F29)</f>
        <v>-4285268.3899999997</v>
      </c>
      <c r="G30" s="852"/>
      <c r="H30" s="852"/>
      <c r="I30" s="1664"/>
      <c r="J30" s="1664"/>
    </row>
    <row r="31" spans="1:10" ht="19.5" customHeight="1">
      <c r="A31" s="2842" t="str">
        <f t="shared" si="0"/>
        <v>：</v>
      </c>
      <c r="B31" s="2881">
        <v>7200</v>
      </c>
      <c r="C31" s="2075" t="str">
        <f t="shared" si="1"/>
        <v>三、筹资活动产生的现金流量：</v>
      </c>
      <c r="D31" s="2076"/>
      <c r="E31" s="2077">
        <f>VLOOKUP($B31,Sheet_Trialbal,6,0)</f>
        <v>0</v>
      </c>
      <c r="F31" s="2078">
        <f>VLOOKUP($B31,Sheet_Trialbal,10,0)</f>
        <v>0</v>
      </c>
      <c r="G31" s="852"/>
      <c r="H31" s="852"/>
      <c r="I31" s="1664"/>
      <c r="J31" s="1664"/>
    </row>
    <row r="32" spans="1:10" ht="19.5" customHeight="1">
      <c r="A32" s="2842">
        <f t="shared" si="0"/>
        <v>0</v>
      </c>
      <c r="B32" s="2881">
        <v>7201</v>
      </c>
      <c r="C32" s="2079" t="str">
        <f t="shared" si="1"/>
        <v>吸收投资收到的现金</v>
      </c>
      <c r="D32" s="2076"/>
      <c r="E32" s="2077">
        <f>VLOOKUP($B32,Sheet_Trialbal,6,0)</f>
        <v>0</v>
      </c>
      <c r="F32" s="2078">
        <f>VLOOKUP($B32,Sheet_Trialbal,10,0)</f>
        <v>0</v>
      </c>
      <c r="G32" s="852"/>
      <c r="H32" s="852"/>
      <c r="I32" s="1664"/>
      <c r="J32" s="1664"/>
    </row>
    <row r="33" spans="1:16" ht="19.5" customHeight="1">
      <c r="A33" s="2842">
        <f t="shared" si="0"/>
        <v>0</v>
      </c>
      <c r="B33" s="2881">
        <v>7211</v>
      </c>
      <c r="C33" s="2079" t="str">
        <f t="shared" si="1"/>
        <v>取得借款收到的现金</v>
      </c>
      <c r="D33" s="2076"/>
      <c r="E33" s="2077">
        <f>VLOOKUP($B33,Sheet_Trialbal,6,0)</f>
        <v>2000000</v>
      </c>
      <c r="F33" s="2078">
        <f>VLOOKUP($B33,Sheet_Trialbal,10,0)</f>
        <v>0</v>
      </c>
      <c r="G33" s="852"/>
      <c r="H33" s="852"/>
      <c r="I33" s="1664"/>
      <c r="J33" s="1664"/>
    </row>
    <row r="34" spans="1:16" ht="19.5" customHeight="1">
      <c r="A34" s="2842">
        <f t="shared" si="0"/>
        <v>0</v>
      </c>
      <c r="B34" s="2881">
        <v>7246</v>
      </c>
      <c r="C34" s="2079" t="str">
        <f t="shared" si="1"/>
        <v>收到其他与筹资活动有关的现金</v>
      </c>
      <c r="D34" s="2076"/>
      <c r="E34" s="2077">
        <f>VLOOKUP($B34,Sheet_Trialbal,6,0)</f>
        <v>0</v>
      </c>
      <c r="F34" s="2078">
        <f>VLOOKUP($B34,Sheet_Trialbal,10,0)</f>
        <v>0</v>
      </c>
      <c r="G34" s="852"/>
      <c r="H34" s="852"/>
      <c r="I34" s="1664"/>
      <c r="J34" s="1664"/>
    </row>
    <row r="35" spans="1:16" ht="19.5" customHeight="1">
      <c r="A35" s="2842" t="str">
        <f t="shared" si="0"/>
        <v>＝</v>
      </c>
      <c r="B35" s="2881">
        <v>7248</v>
      </c>
      <c r="C35" s="2075" t="str">
        <f t="shared" si="1"/>
        <v>筹资活动现金流入小计</v>
      </c>
      <c r="D35" s="2076"/>
      <c r="E35" s="2077">
        <f>SUM(E32:E34)</f>
        <v>2000000</v>
      </c>
      <c r="F35" s="2078">
        <f>SUM(F32:F34)</f>
        <v>0</v>
      </c>
      <c r="G35" s="852"/>
      <c r="H35" s="852"/>
      <c r="I35" s="1664"/>
      <c r="J35" s="1664"/>
    </row>
    <row r="36" spans="1:16" ht="19.5" customHeight="1">
      <c r="A36" s="2842">
        <f t="shared" si="0"/>
        <v>0</v>
      </c>
      <c r="B36" s="2881">
        <v>7251</v>
      </c>
      <c r="C36" s="2079" t="str">
        <f t="shared" si="1"/>
        <v>偿还债务支付的现金</v>
      </c>
      <c r="D36" s="2076"/>
      <c r="E36" s="2077">
        <f>VLOOKUP($B36,Sheet_Trialbal,6,0)</f>
        <v>0</v>
      </c>
      <c r="F36" s="2078">
        <f>VLOOKUP($B36,Sheet_Trialbal,10,0)</f>
        <v>10000000</v>
      </c>
      <c r="G36" s="852"/>
      <c r="H36" s="852"/>
      <c r="I36" s="1664"/>
      <c r="J36" s="1664"/>
    </row>
    <row r="37" spans="1:16" ht="19.5" customHeight="1">
      <c r="A37" s="2842">
        <f t="shared" si="0"/>
        <v>0</v>
      </c>
      <c r="B37" s="2881">
        <v>7261</v>
      </c>
      <c r="C37" s="2079" t="str">
        <f t="shared" si="1"/>
        <v>分配股利、利润或偿付利息支付的现金</v>
      </c>
      <c r="D37" s="2076"/>
      <c r="E37" s="2077">
        <f>VLOOKUP($B37,Sheet_Trialbal,6,0)</f>
        <v>10499673.34</v>
      </c>
      <c r="F37" s="2078">
        <f>VLOOKUP($B37,Sheet_Trialbal,10,0)</f>
        <v>16721.77</v>
      </c>
      <c r="G37" s="852"/>
      <c r="H37" s="852"/>
      <c r="I37" s="1664"/>
      <c r="J37" s="1664"/>
    </row>
    <row r="38" spans="1:16" ht="19.5" customHeight="1">
      <c r="A38" s="2842">
        <f t="shared" si="0"/>
        <v>0</v>
      </c>
      <c r="B38" s="2881">
        <v>7296</v>
      </c>
      <c r="C38" s="2079" t="str">
        <f t="shared" si="1"/>
        <v>支付其他与筹资活动有关的现金</v>
      </c>
      <c r="D38" s="2076"/>
      <c r="E38" s="2077">
        <f>VLOOKUP($B38,Sheet_Trialbal,6,0)</f>
        <v>0</v>
      </c>
      <c r="F38" s="2078">
        <f>VLOOKUP($B38,Sheet_Trialbal,10,0)</f>
        <v>0</v>
      </c>
      <c r="G38" s="852"/>
      <c r="H38" s="852"/>
      <c r="I38" s="1664"/>
      <c r="J38" s="1664"/>
    </row>
    <row r="39" spans="1:16" ht="19.5" customHeight="1">
      <c r="A39" s="2842" t="str">
        <f t="shared" si="0"/>
        <v>＝</v>
      </c>
      <c r="B39" s="2881">
        <v>7298</v>
      </c>
      <c r="C39" s="2075" t="str">
        <f t="shared" si="1"/>
        <v>筹资活动现金流出小计</v>
      </c>
      <c r="D39" s="2076"/>
      <c r="E39" s="2077">
        <f>SUM(E36:E38)</f>
        <v>10499673.34</v>
      </c>
      <c r="F39" s="2078">
        <f>SUM(F36:F38)</f>
        <v>10016721.77</v>
      </c>
      <c r="G39" s="852"/>
      <c r="H39" s="852"/>
      <c r="I39" s="1664"/>
      <c r="J39" s="1664"/>
    </row>
    <row r="40" spans="1:16" ht="19.5" customHeight="1">
      <c r="A40" s="2842" t="str">
        <f t="shared" si="0"/>
        <v>＝</v>
      </c>
      <c r="B40" s="2881">
        <v>7299</v>
      </c>
      <c r="C40" s="2075" t="str">
        <f t="shared" si="1"/>
        <v>筹资活动产生的现金流量净额</v>
      </c>
      <c r="D40" s="2076"/>
      <c r="E40" s="2077">
        <f>SUM(E35,-E39)</f>
        <v>-8499673.3399999999</v>
      </c>
      <c r="F40" s="2078">
        <f>SUM(F35,-F39)</f>
        <v>-10016721.77</v>
      </c>
      <c r="G40" s="852"/>
      <c r="H40" s="852"/>
      <c r="I40" s="1664"/>
      <c r="J40" s="1664"/>
    </row>
    <row r="41" spans="1:16" ht="19.5" customHeight="1">
      <c r="A41" s="2842">
        <f t="shared" si="0"/>
        <v>0</v>
      </c>
      <c r="B41" s="2881">
        <v>7309</v>
      </c>
      <c r="C41" s="2075" t="str">
        <f t="shared" si="1"/>
        <v>四、汇率变动对现金及现金等价物的影响</v>
      </c>
      <c r="D41" s="2076"/>
      <c r="E41" s="2077">
        <f>VLOOKUP($B41,Sheet_Trialbal,6,0)</f>
        <v>0</v>
      </c>
      <c r="F41" s="2078">
        <f>VLOOKUP($B41,Sheet_Trialbal,10,0)</f>
        <v>0</v>
      </c>
      <c r="G41" s="852"/>
      <c r="H41" s="852"/>
      <c r="I41" s="1664"/>
      <c r="J41" s="1664"/>
    </row>
    <row r="42" spans="1:16" ht="19.5" customHeight="1">
      <c r="A42" s="2842" t="str">
        <f t="shared" si="0"/>
        <v>＝</v>
      </c>
      <c r="B42" s="2881">
        <v>7348</v>
      </c>
      <c r="C42" s="2075" t="str">
        <f t="shared" si="1"/>
        <v>五、现金及现金等价物净增加额</v>
      </c>
      <c r="D42" s="2076"/>
      <c r="E42" s="2077">
        <f>SUM(E17,E30,E40,E41)</f>
        <v>226581.11</v>
      </c>
      <c r="F42" s="2078">
        <f>SUM(F17,F30,F40,F41)</f>
        <v>-2979289.28</v>
      </c>
      <c r="G42" s="852"/>
      <c r="H42" s="852"/>
      <c r="I42" s="1664"/>
      <c r="J42" s="1664"/>
    </row>
    <row r="43" spans="1:16" ht="19.5" customHeight="1">
      <c r="A43" s="2842">
        <f t="shared" si="0"/>
        <v>0</v>
      </c>
      <c r="B43" s="2881">
        <v>7349</v>
      </c>
      <c r="C43" s="2080" t="str">
        <f t="shared" si="1"/>
        <v>加：期初现金及现金等价物余额</v>
      </c>
      <c r="D43" s="2076"/>
      <c r="E43" s="2077">
        <f>VLOOKUP($B43,Sheet_Trialbal,6,0)</f>
        <v>252723.84</v>
      </c>
      <c r="F43" s="2078">
        <f>VLOOKUP($B43,Sheet_Trialbal,10,0)</f>
        <v>3232013.12</v>
      </c>
      <c r="G43" s="852"/>
      <c r="H43" s="852"/>
      <c r="I43" s="1664"/>
      <c r="J43" s="1664"/>
    </row>
    <row r="44" spans="1:16" ht="19.5" customHeight="1" thickBot="1">
      <c r="A44" s="2842" t="str">
        <f t="shared" si="0"/>
        <v>＝</v>
      </c>
      <c r="B44" s="2881">
        <v>7399</v>
      </c>
      <c r="C44" s="2081" t="str">
        <f t="shared" si="1"/>
        <v>六、期末现金及现金等价物余额</v>
      </c>
      <c r="D44" s="2082"/>
      <c r="E44" s="2083">
        <f>SUM(E42,E43)</f>
        <v>479304.95</v>
      </c>
      <c r="F44" s="2084">
        <f>SUM(F42,F43)</f>
        <v>252723.84</v>
      </c>
      <c r="G44" s="852"/>
      <c r="H44" s="852"/>
      <c r="I44" s="1664"/>
      <c r="J44" s="1664"/>
    </row>
    <row r="45" spans="1:16" ht="19.5" customHeight="1">
      <c r="A45" s="2851"/>
      <c r="B45" s="2882"/>
      <c r="C45" s="2042" t="str">
        <f>"法定代表人："&amp;Lead!$C$8&amp;REPT(" ",20)&amp;"主管会计工作负责人："&amp;Lead!$C$9&amp;REPT(" ",20)&amp;"会计机构负责人："&amp;Lead!$C$10</f>
        <v>法定代表人：                    主管会计工作负责人：                    会计机构负责人：</v>
      </c>
      <c r="D45" s="2042"/>
      <c r="E45" s="2042"/>
      <c r="F45" s="2042"/>
      <c r="G45" s="852"/>
      <c r="H45" s="852"/>
      <c r="I45" s="1664"/>
      <c r="J45" s="1664"/>
    </row>
    <row r="46" spans="1:16" ht="18.75" customHeight="1">
      <c r="A46" s="2851"/>
      <c r="B46" s="2852"/>
      <c r="C46" s="1912"/>
      <c r="D46" s="1912"/>
      <c r="E46" s="852"/>
      <c r="F46" s="852"/>
      <c r="G46" s="852"/>
      <c r="H46" s="852"/>
      <c r="I46" s="1664"/>
      <c r="J46" s="1664"/>
      <c r="K46" s="1913"/>
      <c r="L46" s="1913"/>
      <c r="M46" s="1664"/>
      <c r="N46" s="1664"/>
      <c r="O46" s="1664"/>
      <c r="P46" s="1664"/>
    </row>
    <row r="47" spans="1:16" ht="18">
      <c r="A47" s="2842"/>
      <c r="B47" s="2852"/>
      <c r="C47" s="1914"/>
      <c r="D47" s="1912"/>
      <c r="E47" s="852"/>
      <c r="F47" s="852"/>
      <c r="G47" s="852"/>
      <c r="H47" s="852"/>
      <c r="I47" s="1664"/>
      <c r="J47" s="1664"/>
      <c r="K47" s="1664"/>
      <c r="L47" s="1664"/>
      <c r="M47" s="1664"/>
      <c r="N47" s="1664"/>
      <c r="O47" s="1664"/>
      <c r="P47" s="1664"/>
    </row>
    <row r="48" spans="1:16" ht="18.75" thickBot="1">
      <c r="A48" s="2863"/>
      <c r="B48" s="2883"/>
      <c r="C48" s="1915" t="s">
        <v>5822</v>
      </c>
      <c r="D48" s="1916"/>
      <c r="E48" s="1917"/>
      <c r="F48" s="1917"/>
      <c r="G48" s="1850"/>
      <c r="H48" s="1850"/>
      <c r="I48" s="1664"/>
      <c r="J48" s="1664"/>
      <c r="K48" s="1664"/>
      <c r="L48" s="1664"/>
      <c r="M48" s="1664"/>
      <c r="N48" s="1664"/>
      <c r="O48" s="1664"/>
      <c r="P48" s="1664"/>
    </row>
    <row r="49" spans="1:10" ht="18">
      <c r="A49" s="2863"/>
      <c r="B49" s="2883"/>
      <c r="C49" s="1918" t="s">
        <v>5823</v>
      </c>
      <c r="D49" s="1919"/>
      <c r="E49" s="1920" t="s">
        <v>2587</v>
      </c>
      <c r="F49" s="1921" t="s">
        <v>2588</v>
      </c>
      <c r="G49" s="1857"/>
      <c r="H49" s="1857"/>
      <c r="I49" s="1751"/>
      <c r="J49" s="1664"/>
    </row>
    <row r="50" spans="1:10" ht="18">
      <c r="A50" s="2884" t="str">
        <f t="shared" ref="A50:A78" si="4">VLOOKUP($B50,Sheet_Items,4,0)</f>
        <v>：</v>
      </c>
      <c r="B50" s="2864">
        <v>7501</v>
      </c>
      <c r="C50" s="1922" t="str">
        <f>VLOOKUP($B50,Sheet_Items,6,0)</f>
        <v>1.将净利润调节为经营活动现金流量：</v>
      </c>
      <c r="D50" s="1923"/>
      <c r="E50" s="1924"/>
      <c r="F50" s="1925"/>
      <c r="G50" s="1857"/>
      <c r="H50" s="1857"/>
      <c r="I50" s="1751"/>
      <c r="J50" s="1664"/>
    </row>
    <row r="51" spans="1:10" ht="18">
      <c r="A51" s="2884">
        <f t="shared" si="4"/>
        <v>0</v>
      </c>
      <c r="B51" s="2864">
        <v>7502</v>
      </c>
      <c r="C51" s="1926" t="str">
        <f>VLOOKUP($B51,Sheet_Items,6,0)</f>
        <v>净利润</v>
      </c>
      <c r="D51" s="1923"/>
      <c r="E51" s="1924">
        <f>VLOOKUP(6799,Sheet_Trialbal,6,0)</f>
        <v>-3349908.33</v>
      </c>
      <c r="F51" s="1925">
        <f>VLOOKUP(6799,Sheet_Trialbal,10,0)</f>
        <v>520228.91</v>
      </c>
      <c r="G51" s="1857"/>
      <c r="H51" s="1857"/>
      <c r="I51" s="1751"/>
      <c r="J51" s="1664"/>
    </row>
    <row r="52" spans="1:10" ht="18">
      <c r="A52" s="2884">
        <f t="shared" si="4"/>
        <v>0</v>
      </c>
      <c r="B52" s="2864">
        <v>7503</v>
      </c>
      <c r="C52" s="1926" t="str">
        <f>VLOOKUP($B52,Sheet_Items,6,0)</f>
        <v>加：资产减值准备</v>
      </c>
      <c r="D52" s="1923"/>
      <c r="E52" s="1924">
        <f t="shared" ref="E52:E67" si="5">VLOOKUP($B52,Sheet_Trialbal,6,0)</f>
        <v>864640.09</v>
      </c>
      <c r="F52" s="1925">
        <f t="shared" ref="F52:F67" si="6">VLOOKUP($B52,Sheet_Trialbal,10,0)</f>
        <v>-198814.86</v>
      </c>
      <c r="G52" s="1857"/>
      <c r="H52" s="1857"/>
      <c r="I52" s="1751"/>
      <c r="J52" s="1664"/>
    </row>
    <row r="53" spans="1:10" ht="18">
      <c r="A53" s="2884" t="str">
        <f t="shared" si="4"/>
        <v>_JR</v>
      </c>
      <c r="B53" s="2864">
        <v>7504</v>
      </c>
      <c r="C53" s="1926" t="str">
        <f t="shared" ref="C53:C78" si="7">VLOOKUP($B53,Sheet_Items,6,0)</f>
        <v>信用减值损失</v>
      </c>
      <c r="D53" s="1923"/>
      <c r="E53" s="1924">
        <f t="shared" si="5"/>
        <v>1923898.24</v>
      </c>
      <c r="F53" s="1925">
        <f t="shared" si="6"/>
        <v>0</v>
      </c>
      <c r="G53" s="1857"/>
      <c r="H53" s="1857"/>
      <c r="I53" s="1751"/>
      <c r="J53" s="1664"/>
    </row>
    <row r="54" spans="1:10" ht="18">
      <c r="A54" s="2884">
        <f t="shared" si="4"/>
        <v>0</v>
      </c>
      <c r="B54" s="2864">
        <v>7505</v>
      </c>
      <c r="C54" s="1926" t="str">
        <f t="shared" si="7"/>
        <v>固定资产折旧、投资性房地产折旧、油气资产折耗、生产性生物资产折旧</v>
      </c>
      <c r="D54" s="1923"/>
      <c r="E54" s="1924">
        <f t="shared" si="5"/>
        <v>2332438.67</v>
      </c>
      <c r="F54" s="1925">
        <f t="shared" si="6"/>
        <v>2200407.69</v>
      </c>
      <c r="G54" s="1857"/>
      <c r="H54" s="1857"/>
      <c r="I54" s="1751"/>
      <c r="J54" s="1664"/>
    </row>
    <row r="55" spans="1:10" ht="18">
      <c r="A55" s="2884">
        <f t="shared" si="4"/>
        <v>0</v>
      </c>
      <c r="B55" s="2864">
        <v>7506</v>
      </c>
      <c r="C55" s="1926" t="str">
        <f t="shared" si="7"/>
        <v>无形资产摊销</v>
      </c>
      <c r="D55" s="1923"/>
      <c r="E55" s="1924">
        <f t="shared" si="5"/>
        <v>102441.89</v>
      </c>
      <c r="F55" s="1925">
        <f t="shared" si="6"/>
        <v>88666.19</v>
      </c>
      <c r="G55" s="1857"/>
      <c r="H55" s="1857"/>
      <c r="I55" s="1751"/>
      <c r="J55" s="1664"/>
    </row>
    <row r="56" spans="1:10" ht="18">
      <c r="A56" s="2884">
        <f t="shared" si="4"/>
        <v>0</v>
      </c>
      <c r="B56" s="2864">
        <v>7507</v>
      </c>
      <c r="C56" s="1926" t="str">
        <f t="shared" si="7"/>
        <v>长期待摊费用摊销</v>
      </c>
      <c r="D56" s="1923"/>
      <c r="E56" s="1924">
        <f t="shared" si="5"/>
        <v>297071.96999999997</v>
      </c>
      <c r="F56" s="1925">
        <f t="shared" si="6"/>
        <v>195194.75</v>
      </c>
      <c r="G56" s="1857"/>
      <c r="H56" s="1857"/>
      <c r="I56" s="1751"/>
      <c r="J56" s="1664"/>
    </row>
    <row r="57" spans="1:10" ht="18">
      <c r="A57" s="2884">
        <f t="shared" si="4"/>
        <v>0</v>
      </c>
      <c r="B57" s="2864">
        <v>7508</v>
      </c>
      <c r="C57" s="1926" t="str">
        <f t="shared" si="7"/>
        <v>处置固定资产、无形资产和其他长期资产的损失（收益以“－”号填列）</v>
      </c>
      <c r="D57" s="1923"/>
      <c r="E57" s="1924">
        <f t="shared" si="5"/>
        <v>0</v>
      </c>
      <c r="F57" s="1925">
        <f t="shared" si="6"/>
        <v>-456.04</v>
      </c>
      <c r="G57" s="1857"/>
      <c r="H57" s="1857"/>
      <c r="I57" s="1751"/>
      <c r="J57" s="1664"/>
    </row>
    <row r="58" spans="1:10" ht="18">
      <c r="A58" s="2884">
        <f t="shared" si="4"/>
        <v>0</v>
      </c>
      <c r="B58" s="2864">
        <v>7509</v>
      </c>
      <c r="C58" s="1926" t="str">
        <f t="shared" si="7"/>
        <v>固定资产报废损失（收益以“－”号填列）</v>
      </c>
      <c r="D58" s="1923"/>
      <c r="E58" s="1924">
        <f t="shared" si="5"/>
        <v>0</v>
      </c>
      <c r="F58" s="1925">
        <f t="shared" si="6"/>
        <v>0</v>
      </c>
      <c r="G58" s="1857"/>
      <c r="H58" s="1857"/>
      <c r="I58" s="1751"/>
      <c r="J58" s="1664"/>
    </row>
    <row r="59" spans="1:10" ht="18">
      <c r="A59" s="2884">
        <f t="shared" si="4"/>
        <v>0</v>
      </c>
      <c r="B59" s="2864">
        <v>7510</v>
      </c>
      <c r="C59" s="1926" t="str">
        <f t="shared" si="7"/>
        <v>公允价值变动损失（收益以“－”号填列）</v>
      </c>
      <c r="D59" s="1923"/>
      <c r="E59" s="1924">
        <f t="shared" si="5"/>
        <v>0</v>
      </c>
      <c r="F59" s="1925">
        <f t="shared" si="6"/>
        <v>0</v>
      </c>
      <c r="G59" s="1857"/>
      <c r="H59" s="1857"/>
      <c r="I59" s="1751"/>
      <c r="J59" s="1664"/>
    </row>
    <row r="60" spans="1:10" ht="18">
      <c r="A60" s="2884">
        <f t="shared" si="4"/>
        <v>0</v>
      </c>
      <c r="B60" s="2864">
        <v>7511</v>
      </c>
      <c r="C60" s="1926" t="str">
        <f t="shared" si="7"/>
        <v>财务费用（收益以“－”号填列）</v>
      </c>
      <c r="D60" s="1923"/>
      <c r="E60" s="1924">
        <f t="shared" si="5"/>
        <v>2968.82</v>
      </c>
      <c r="F60" s="1925">
        <f t="shared" si="6"/>
        <v>0</v>
      </c>
      <c r="G60" s="1857"/>
      <c r="H60" s="1857"/>
      <c r="I60" s="1751"/>
      <c r="J60" s="1664"/>
    </row>
    <row r="61" spans="1:10" ht="18">
      <c r="A61" s="2884">
        <f t="shared" si="4"/>
        <v>0</v>
      </c>
      <c r="B61" s="2864">
        <v>7512</v>
      </c>
      <c r="C61" s="1926" t="str">
        <f t="shared" si="7"/>
        <v>投资损失（收益以“－”号填列）</v>
      </c>
      <c r="D61" s="1923"/>
      <c r="E61" s="1924">
        <f t="shared" si="5"/>
        <v>-41851.06</v>
      </c>
      <c r="F61" s="1925">
        <f t="shared" si="6"/>
        <v>-38200.720000000001</v>
      </c>
      <c r="G61" s="1857"/>
      <c r="H61" s="1857"/>
      <c r="I61" s="1751"/>
      <c r="J61" s="1664"/>
    </row>
    <row r="62" spans="1:10" ht="18">
      <c r="A62" s="2884">
        <f t="shared" si="4"/>
        <v>0</v>
      </c>
      <c r="B62" s="2864">
        <v>7515</v>
      </c>
      <c r="C62" s="1926" t="str">
        <f t="shared" si="7"/>
        <v>递延所得税资产减少（增加以“－”号填列）</v>
      </c>
      <c r="D62" s="1923"/>
      <c r="E62" s="1924">
        <f t="shared" si="5"/>
        <v>-624649.18999999994</v>
      </c>
      <c r="F62" s="1925">
        <f t="shared" si="6"/>
        <v>-485503.27</v>
      </c>
      <c r="G62" s="1857"/>
      <c r="H62" s="1857"/>
      <c r="I62" s="1751"/>
      <c r="J62" s="1664"/>
    </row>
    <row r="63" spans="1:10" ht="18">
      <c r="A63" s="2884">
        <f t="shared" si="4"/>
        <v>0</v>
      </c>
      <c r="B63" s="2864">
        <v>7516</v>
      </c>
      <c r="C63" s="1926" t="str">
        <f t="shared" si="7"/>
        <v>递延所得税负债增加（减少以“－”号填列）</v>
      </c>
      <c r="D63" s="1923"/>
      <c r="E63" s="1924">
        <f t="shared" si="5"/>
        <v>0</v>
      </c>
      <c r="F63" s="1925">
        <f t="shared" si="6"/>
        <v>0</v>
      </c>
      <c r="G63" s="1857"/>
      <c r="H63" s="1857"/>
      <c r="I63" s="1751"/>
      <c r="J63" s="1664"/>
    </row>
    <row r="64" spans="1:10" ht="18">
      <c r="A64" s="2884">
        <f t="shared" si="4"/>
        <v>0</v>
      </c>
      <c r="B64" s="2864">
        <v>7517</v>
      </c>
      <c r="C64" s="1926" t="str">
        <f t="shared" si="7"/>
        <v>存货的减少（增加以“－”号填列）</v>
      </c>
      <c r="D64" s="1923"/>
      <c r="E64" s="1924">
        <f t="shared" si="5"/>
        <v>-1471252.95</v>
      </c>
      <c r="F64" s="1925">
        <f t="shared" si="6"/>
        <v>2725020.2</v>
      </c>
      <c r="G64" s="1857"/>
      <c r="H64" s="1857"/>
      <c r="I64" s="1751"/>
      <c r="J64" s="1664"/>
    </row>
    <row r="65" spans="1:10" ht="18">
      <c r="A65" s="2884">
        <f t="shared" si="4"/>
        <v>0</v>
      </c>
      <c r="B65" s="2864">
        <v>7518</v>
      </c>
      <c r="C65" s="1926" t="str">
        <f t="shared" si="7"/>
        <v>经营性应收项目的减少（增加以“－”号填列）</v>
      </c>
      <c r="D65" s="1923"/>
      <c r="E65" s="1924">
        <f t="shared" si="5"/>
        <v>-2701456.75</v>
      </c>
      <c r="F65" s="1925">
        <f t="shared" si="6"/>
        <v>4222149.83</v>
      </c>
      <c r="G65" s="1857"/>
      <c r="H65" s="1857"/>
      <c r="I65" s="1751"/>
      <c r="J65" s="1664"/>
    </row>
    <row r="66" spans="1:10" ht="18">
      <c r="A66" s="2884">
        <f t="shared" si="4"/>
        <v>0</v>
      </c>
      <c r="B66" s="2864">
        <v>7519</v>
      </c>
      <c r="C66" s="1926" t="str">
        <f t="shared" si="7"/>
        <v>经营性应付项目的增加（减少以“－”号填列）</v>
      </c>
      <c r="D66" s="1923"/>
      <c r="E66" s="1924">
        <f t="shared" si="5"/>
        <v>3629106.52</v>
      </c>
      <c r="F66" s="1925">
        <f t="shared" si="6"/>
        <v>2094008.2</v>
      </c>
      <c r="G66" s="1857"/>
      <c r="H66" s="1857"/>
      <c r="I66" s="1751"/>
      <c r="J66" s="1664"/>
    </row>
    <row r="67" spans="1:10" ht="18">
      <c r="A67" s="2884">
        <f t="shared" si="4"/>
        <v>0</v>
      </c>
      <c r="B67" s="2864">
        <v>7523</v>
      </c>
      <c r="C67" s="1926" t="str">
        <f t="shared" si="7"/>
        <v>其他</v>
      </c>
      <c r="D67" s="1923"/>
      <c r="E67" s="1924">
        <f t="shared" si="5"/>
        <v>0</v>
      </c>
      <c r="F67" s="1925">
        <f t="shared" si="6"/>
        <v>0</v>
      </c>
      <c r="G67" s="1857"/>
      <c r="H67" s="1857"/>
      <c r="I67" s="1751"/>
      <c r="J67" s="1664"/>
    </row>
    <row r="68" spans="1:10" ht="18">
      <c r="A68" s="2884" t="str">
        <f t="shared" si="4"/>
        <v>＝</v>
      </c>
      <c r="B68" s="2864">
        <v>7525</v>
      </c>
      <c r="C68" s="1927" t="str">
        <f t="shared" si="7"/>
        <v>经营活动产生的现金流量净额</v>
      </c>
      <c r="D68" s="1923"/>
      <c r="E68" s="1928">
        <f>SUM(E51:E67)</f>
        <v>963447.92</v>
      </c>
      <c r="F68" s="1929">
        <f>SUM(F51:F67)</f>
        <v>11322700.880000001</v>
      </c>
      <c r="G68" s="1857"/>
      <c r="H68" s="1857"/>
      <c r="I68" s="1751"/>
      <c r="J68" s="1664"/>
    </row>
    <row r="69" spans="1:10" ht="18">
      <c r="A69" s="2884" t="str">
        <f t="shared" si="4"/>
        <v>：</v>
      </c>
      <c r="B69" s="2864">
        <v>7526</v>
      </c>
      <c r="C69" s="1922" t="str">
        <f t="shared" si="7"/>
        <v>2.不涉及现金收支的重大投资和筹资活动：</v>
      </c>
      <c r="D69" s="1923"/>
      <c r="E69" s="1924"/>
      <c r="F69" s="1925"/>
      <c r="G69" s="1857"/>
      <c r="H69" s="1857"/>
      <c r="I69" s="1751"/>
      <c r="J69" s="1664"/>
    </row>
    <row r="70" spans="1:10" ht="18">
      <c r="A70" s="2884">
        <f t="shared" si="4"/>
        <v>0</v>
      </c>
      <c r="B70" s="2864">
        <v>7527</v>
      </c>
      <c r="C70" s="1926" t="str">
        <f t="shared" si="7"/>
        <v>债务转为资本</v>
      </c>
      <c r="D70" s="1923"/>
      <c r="E70" s="1924">
        <f>VLOOKUP($B70,Sheet_Trialbal,6,0)</f>
        <v>0</v>
      </c>
      <c r="F70" s="1925">
        <f>VLOOKUP($B70,Sheet_Trialbal,10,0)</f>
        <v>0</v>
      </c>
      <c r="G70" s="1857"/>
      <c r="H70" s="1857"/>
      <c r="I70" s="1751"/>
      <c r="J70" s="1664"/>
    </row>
    <row r="71" spans="1:10" ht="18">
      <c r="A71" s="2884">
        <f t="shared" si="4"/>
        <v>0</v>
      </c>
      <c r="B71" s="2864">
        <v>7528</v>
      </c>
      <c r="C71" s="1926" t="str">
        <f t="shared" si="7"/>
        <v>一年内到期的可转换公司债券</v>
      </c>
      <c r="D71" s="1923"/>
      <c r="E71" s="1924">
        <f>VLOOKUP($B71,Sheet_Trialbal,6,0)</f>
        <v>0</v>
      </c>
      <c r="F71" s="1925">
        <f>VLOOKUP($B71,Sheet_Trialbal,10,0)</f>
        <v>0</v>
      </c>
      <c r="G71" s="1857"/>
      <c r="H71" s="1857"/>
      <c r="I71" s="1751"/>
      <c r="J71" s="1664"/>
    </row>
    <row r="72" spans="1:10" ht="18">
      <c r="A72" s="2884">
        <f t="shared" si="4"/>
        <v>0</v>
      </c>
      <c r="B72" s="2864">
        <v>7529</v>
      </c>
      <c r="C72" s="1926" t="str">
        <f t="shared" si="7"/>
        <v>融资租入固定资产</v>
      </c>
      <c r="D72" s="1923"/>
      <c r="E72" s="1924">
        <f>VLOOKUP($B72,Sheet_Trialbal,6,0)</f>
        <v>0</v>
      </c>
      <c r="F72" s="1925">
        <f>VLOOKUP($B72,Sheet_Trialbal,10,0)</f>
        <v>0</v>
      </c>
      <c r="G72" s="1857"/>
      <c r="H72" s="1857"/>
      <c r="I72" s="1751"/>
      <c r="J72" s="1664"/>
    </row>
    <row r="73" spans="1:10" ht="18">
      <c r="A73" s="2884" t="str">
        <f t="shared" si="4"/>
        <v>：</v>
      </c>
      <c r="B73" s="2864">
        <v>7533</v>
      </c>
      <c r="C73" s="1922" t="str">
        <f t="shared" si="7"/>
        <v>3.现金及现金等价物净变动情况：</v>
      </c>
      <c r="D73" s="1923"/>
      <c r="E73" s="1924"/>
      <c r="F73" s="1925"/>
      <c r="G73" s="1857"/>
      <c r="H73" s="1857"/>
      <c r="I73" s="1751"/>
      <c r="J73" s="1664"/>
    </row>
    <row r="74" spans="1:10" ht="18">
      <c r="A74" s="2884">
        <f t="shared" si="4"/>
        <v>0</v>
      </c>
      <c r="B74" s="2864">
        <v>7535</v>
      </c>
      <c r="C74" s="1926" t="str">
        <f t="shared" si="7"/>
        <v>现金的期末余额</v>
      </c>
      <c r="D74" s="1923"/>
      <c r="E74" s="1924">
        <f>VLOOKUP($B74,Sheet_Trialbal,6,0)</f>
        <v>479304.95</v>
      </c>
      <c r="F74" s="1925">
        <f>VLOOKUP($B74,Sheet_Trialbal,10,0)</f>
        <v>252723.84</v>
      </c>
      <c r="G74" s="1857"/>
      <c r="H74" s="1857"/>
      <c r="I74" s="1751"/>
      <c r="J74" s="1664"/>
    </row>
    <row r="75" spans="1:10" ht="18">
      <c r="A75" s="2884">
        <f t="shared" si="4"/>
        <v>0</v>
      </c>
      <c r="B75" s="2864">
        <v>7536</v>
      </c>
      <c r="C75" s="1926" t="str">
        <f t="shared" si="7"/>
        <v>减：现金的年初余额</v>
      </c>
      <c r="D75" s="1923"/>
      <c r="E75" s="1924">
        <f>VLOOKUP($B75,Sheet_Trialbal,6,0)</f>
        <v>252723.84</v>
      </c>
      <c r="F75" s="1925">
        <f>VLOOKUP($B75,Sheet_Trialbal,10,0)</f>
        <v>3232013.12</v>
      </c>
      <c r="G75" s="1857"/>
      <c r="H75" s="1857"/>
      <c r="I75" s="1751"/>
      <c r="J75" s="1664"/>
    </row>
    <row r="76" spans="1:10" ht="18">
      <c r="A76" s="2884">
        <f t="shared" si="4"/>
        <v>0</v>
      </c>
      <c r="B76" s="2864">
        <v>7537</v>
      </c>
      <c r="C76" s="1926" t="str">
        <f t="shared" si="7"/>
        <v>加：现金等价物的期末余额</v>
      </c>
      <c r="D76" s="1923"/>
      <c r="E76" s="1924">
        <f>VLOOKUP($B76,Sheet_Trialbal,6,0)</f>
        <v>0</v>
      </c>
      <c r="F76" s="1925">
        <f>VLOOKUP($B76,Sheet_Trialbal,10,0)</f>
        <v>0</v>
      </c>
      <c r="G76" s="1857"/>
      <c r="H76" s="1857"/>
      <c r="I76" s="1751"/>
      <c r="J76" s="1664"/>
    </row>
    <row r="77" spans="1:10" ht="18">
      <c r="A77" s="2884">
        <f t="shared" si="4"/>
        <v>0</v>
      </c>
      <c r="B77" s="2864">
        <v>7538</v>
      </c>
      <c r="C77" s="1926" t="str">
        <f t="shared" si="7"/>
        <v>减：现金等价物的年初余额</v>
      </c>
      <c r="D77" s="1923"/>
      <c r="E77" s="1924">
        <f>VLOOKUP($B77,Sheet_Trialbal,6,0)</f>
        <v>0</v>
      </c>
      <c r="F77" s="1925">
        <f>VLOOKUP($B77,Sheet_Trialbal,10,0)</f>
        <v>0</v>
      </c>
      <c r="G77" s="1857"/>
      <c r="H77" s="1857"/>
      <c r="I77" s="1751"/>
      <c r="J77" s="1664"/>
    </row>
    <row r="78" spans="1:10" ht="18.75" thickBot="1">
      <c r="A78" s="2884" t="str">
        <f t="shared" si="4"/>
        <v>＝</v>
      </c>
      <c r="B78" s="2864">
        <v>7539</v>
      </c>
      <c r="C78" s="1930" t="str">
        <f t="shared" si="7"/>
        <v>现金及现金等价物净增加额</v>
      </c>
      <c r="D78" s="1931"/>
      <c r="E78" s="1932">
        <f>SUM(E74,-E75,E76,-E77)</f>
        <v>226581.11</v>
      </c>
      <c r="F78" s="1933">
        <f>SUM(F74,-F75,F76,-F77)</f>
        <v>-2979289.28</v>
      </c>
      <c r="G78" s="1857"/>
      <c r="H78" s="1857"/>
      <c r="I78" s="1751"/>
      <c r="J78" s="1664"/>
    </row>
    <row r="79" spans="1:10" ht="18.75" thickBot="1">
      <c r="A79" s="2884"/>
      <c r="B79" s="2864"/>
      <c r="C79" s="1934"/>
      <c r="D79" s="1935"/>
      <c r="E79" s="1936"/>
      <c r="F79" s="1936"/>
      <c r="G79" s="1857"/>
      <c r="H79" s="1857"/>
      <c r="I79" s="1751"/>
      <c r="J79" s="1664"/>
    </row>
    <row r="80" spans="1:10" ht="18">
      <c r="A80" s="2884"/>
      <c r="B80" s="2864"/>
      <c r="C80" s="1937" t="s">
        <v>5824</v>
      </c>
      <c r="D80" s="1938"/>
      <c r="E80" s="1939"/>
      <c r="F80" s="1940"/>
      <c r="G80" s="1888"/>
      <c r="H80" s="1888"/>
      <c r="I80" s="1751"/>
      <c r="J80" s="1664"/>
    </row>
    <row r="81" spans="1:10" ht="18">
      <c r="A81" s="2884"/>
      <c r="B81" s="2864"/>
      <c r="C81" s="1941" t="s">
        <v>5825</v>
      </c>
      <c r="D81" s="1942"/>
      <c r="E81" s="1943" t="s">
        <v>2577</v>
      </c>
      <c r="F81" s="1944" t="s">
        <v>2578</v>
      </c>
      <c r="G81" s="1888"/>
      <c r="H81" s="1888"/>
      <c r="I81" s="1751"/>
      <c r="J81" s="1664"/>
    </row>
    <row r="82" spans="1:10" ht="18">
      <c r="A82" s="2884"/>
      <c r="B82" s="2864"/>
      <c r="C82" s="1945" t="s">
        <v>5826</v>
      </c>
      <c r="D82" s="1946"/>
      <c r="E82" s="1947"/>
      <c r="F82" s="1948"/>
      <c r="G82" s="1857"/>
      <c r="H82" s="1857"/>
      <c r="I82" s="1751"/>
      <c r="J82" s="1664"/>
    </row>
    <row r="83" spans="1:10" ht="18">
      <c r="A83" s="2884"/>
      <c r="B83" s="2864"/>
      <c r="C83" s="1949" t="str">
        <f>C43&amp;" | "&amp;E81</f>
        <v>加：期初现金及现金等价物余额 | 本期金额</v>
      </c>
      <c r="D83" s="1946" t="s">
        <v>5827</v>
      </c>
      <c r="E83" s="1950">
        <f>E43</f>
        <v>252723.84</v>
      </c>
      <c r="F83" s="1951"/>
      <c r="G83" s="1857"/>
      <c r="H83" s="1857"/>
      <c r="I83" s="1751"/>
      <c r="J83" s="1664"/>
    </row>
    <row r="84" spans="1:10" ht="18">
      <c r="A84" s="2884"/>
      <c r="B84" s="2864"/>
      <c r="C84" s="1949" t="str">
        <f>C44&amp;" | "&amp;F81</f>
        <v>六、期末现金及现金等价物余额 | 上期金额</v>
      </c>
      <c r="D84" s="1946" t="s">
        <v>5827</v>
      </c>
      <c r="E84" s="1950">
        <f>F44</f>
        <v>252723.84</v>
      </c>
      <c r="F84" s="1951"/>
      <c r="G84" s="1857"/>
      <c r="H84" s="1857"/>
      <c r="I84" s="1751"/>
      <c r="J84" s="1664"/>
    </row>
    <row r="85" spans="1:10" ht="18.75" thickBot="1">
      <c r="A85" s="2884"/>
      <c r="B85" s="2864"/>
      <c r="C85" s="1952" t="s">
        <v>5828</v>
      </c>
      <c r="D85" s="1946"/>
      <c r="E85" s="1953">
        <f>ROUND(E83-E84,2)</f>
        <v>0</v>
      </c>
      <c r="F85" s="1954"/>
      <c r="G85" s="1857"/>
      <c r="H85" s="1857"/>
      <c r="I85" s="1751"/>
      <c r="J85" s="1664"/>
    </row>
    <row r="86" spans="1:10" ht="18.75" thickTop="1">
      <c r="A86" s="2884"/>
      <c r="B86" s="2864"/>
      <c r="C86" s="1955" t="s">
        <v>5829</v>
      </c>
      <c r="D86" s="1946"/>
      <c r="E86" s="1956" t="str">
        <f>IF(E85=0,"√","×")</f>
        <v>√</v>
      </c>
      <c r="F86" s="1957"/>
      <c r="G86" s="1857"/>
      <c r="H86" s="1857"/>
      <c r="I86" s="1751"/>
      <c r="J86" s="1664"/>
    </row>
    <row r="87" spans="1:10" ht="18">
      <c r="A87" s="2884"/>
      <c r="B87" s="2864"/>
      <c r="C87" s="1958" t="s">
        <v>5830</v>
      </c>
      <c r="D87" s="1946"/>
      <c r="E87" s="1947"/>
      <c r="F87" s="1948"/>
      <c r="G87" s="1857"/>
      <c r="H87" s="1857"/>
      <c r="I87" s="1751"/>
      <c r="J87" s="1664"/>
    </row>
    <row r="88" spans="1:10" ht="18">
      <c r="A88" s="2884"/>
      <c r="B88" s="2864"/>
      <c r="C88" s="1959" t="str">
        <f>C51</f>
        <v>净利润</v>
      </c>
      <c r="D88" s="1946" t="s">
        <v>5827</v>
      </c>
      <c r="E88" s="1950">
        <f>E51</f>
        <v>-3349908.33</v>
      </c>
      <c r="F88" s="1951">
        <f>F51</f>
        <v>520228.91</v>
      </c>
      <c r="G88" s="1857"/>
      <c r="H88" s="1857"/>
      <c r="I88" s="1751"/>
      <c r="J88" s="1664"/>
    </row>
    <row r="89" spans="1:10" ht="18">
      <c r="A89" s="2884"/>
      <c r="B89" s="2864">
        <v>6799</v>
      </c>
      <c r="C89" s="1949" t="str">
        <f>VLOOKUP($B89,Sheet_Items,2,0)</f>
        <v>净利润</v>
      </c>
      <c r="D89" s="1946" t="s">
        <v>5831</v>
      </c>
      <c r="E89" s="1950">
        <f>IS!E30</f>
        <v>-3349908.33</v>
      </c>
      <c r="F89" s="1951">
        <f>IS!F30</f>
        <v>520228.91</v>
      </c>
      <c r="G89" s="1857"/>
      <c r="H89" s="1857"/>
      <c r="I89" s="1751"/>
      <c r="J89" s="1664"/>
    </row>
    <row r="90" spans="1:10" ht="18.75" thickBot="1">
      <c r="A90" s="2884"/>
      <c r="B90" s="2864"/>
      <c r="C90" s="1952" t="s">
        <v>5828</v>
      </c>
      <c r="D90" s="1946"/>
      <c r="E90" s="1953">
        <f>ROUND(E88-E89,2)</f>
        <v>0</v>
      </c>
      <c r="F90" s="1954">
        <f>ROUND(F88-F89,2)</f>
        <v>0</v>
      </c>
      <c r="G90" s="1857"/>
      <c r="H90" s="1857"/>
      <c r="I90" s="1751"/>
      <c r="J90" s="1664"/>
    </row>
    <row r="91" spans="1:10" ht="18.75" thickTop="1">
      <c r="A91" s="2884"/>
      <c r="B91" s="2864"/>
      <c r="C91" s="1955" t="s">
        <v>5829</v>
      </c>
      <c r="D91" s="1946"/>
      <c r="E91" s="1956" t="str">
        <f>IF(E90=0,"√","×")</f>
        <v>√</v>
      </c>
      <c r="F91" s="1957" t="str">
        <f>IF(F90=0,"√","×")</f>
        <v>√</v>
      </c>
      <c r="G91" s="1857"/>
      <c r="H91" s="1857"/>
      <c r="I91" s="1751"/>
      <c r="J91" s="1664"/>
    </row>
    <row r="92" spans="1:10" ht="18">
      <c r="A92" s="2884"/>
      <c r="B92" s="2864"/>
      <c r="C92" s="1958" t="s">
        <v>2591</v>
      </c>
      <c r="D92" s="1946"/>
      <c r="E92" s="1947"/>
      <c r="F92" s="1948"/>
      <c r="G92" s="1857"/>
      <c r="H92" s="1857"/>
      <c r="I92" s="1751"/>
      <c r="J92" s="1664"/>
    </row>
    <row r="93" spans="1:10" ht="18">
      <c r="A93" s="2884"/>
      <c r="B93" s="2864"/>
      <c r="C93" s="1959" t="str">
        <f>C68&amp;"（补充资料）"</f>
        <v>经营活动产生的现金流量净额（补充资料）</v>
      </c>
      <c r="D93" s="1946" t="s">
        <v>5827</v>
      </c>
      <c r="E93" s="1950">
        <f>E68</f>
        <v>963447.92</v>
      </c>
      <c r="F93" s="1951">
        <f>F68</f>
        <v>11322700.880000001</v>
      </c>
      <c r="G93" s="1857"/>
      <c r="H93" s="1857"/>
      <c r="I93" s="1751"/>
      <c r="J93" s="1664"/>
    </row>
    <row r="94" spans="1:10" ht="18">
      <c r="A94" s="2884"/>
      <c r="B94" s="2864">
        <v>7099</v>
      </c>
      <c r="C94" s="1949" t="str">
        <f>C17&amp;"（主表）"</f>
        <v>经营活动产生的现金流量净额（主表）</v>
      </c>
      <c r="D94" s="1946" t="s">
        <v>5827</v>
      </c>
      <c r="E94" s="1950">
        <f>E17</f>
        <v>963447.92</v>
      </c>
      <c r="F94" s="1951">
        <f>F17</f>
        <v>11322700.880000001</v>
      </c>
      <c r="G94" s="1857"/>
      <c r="H94" s="1857"/>
      <c r="I94" s="1751"/>
      <c r="J94" s="1664"/>
    </row>
    <row r="95" spans="1:10" ht="18.75" thickBot="1">
      <c r="A95" s="2884"/>
      <c r="B95" s="2864"/>
      <c r="C95" s="1952" t="s">
        <v>5828</v>
      </c>
      <c r="D95" s="1946"/>
      <c r="E95" s="1953">
        <f>ROUND(E93-E94,2)</f>
        <v>0</v>
      </c>
      <c r="F95" s="1954">
        <f>ROUND(F93-F94,2)</f>
        <v>0</v>
      </c>
      <c r="G95" s="1857"/>
      <c r="H95" s="1857"/>
      <c r="I95" s="1751"/>
      <c r="J95" s="1664"/>
    </row>
    <row r="96" spans="1:10" ht="18.75" thickTop="1">
      <c r="A96" s="2884"/>
      <c r="B96" s="2864"/>
      <c r="C96" s="1955" t="s">
        <v>5829</v>
      </c>
      <c r="D96" s="1946"/>
      <c r="E96" s="1956" t="str">
        <f>IF(E95=0,"√","×")</f>
        <v>√</v>
      </c>
      <c r="F96" s="1957" t="str">
        <f>IF(F95=0,"√","×")</f>
        <v>√</v>
      </c>
      <c r="G96" s="1857"/>
      <c r="H96" s="1857"/>
      <c r="I96" s="1751"/>
      <c r="J96" s="1664"/>
    </row>
    <row r="97" spans="1:10" ht="18">
      <c r="A97" s="2884"/>
      <c r="B97" s="2864"/>
      <c r="C97" s="1959" t="str">
        <f>C74&amp;" "&amp;C76</f>
        <v>现金的期末余额 加：现金等价物的期末余额</v>
      </c>
      <c r="D97" s="1946" t="s">
        <v>5827</v>
      </c>
      <c r="E97" s="1950">
        <f>SUM(E74,E76)</f>
        <v>479304.95</v>
      </c>
      <c r="F97" s="1951">
        <f>SUM(F74,F76)</f>
        <v>252723.84</v>
      </c>
      <c r="G97" s="1857"/>
      <c r="H97" s="1857"/>
      <c r="I97" s="1751"/>
      <c r="J97" s="1664"/>
    </row>
    <row r="98" spans="1:10" ht="18">
      <c r="A98" s="2884"/>
      <c r="B98" s="2864">
        <v>7399</v>
      </c>
      <c r="C98" s="1949" t="str">
        <f>C44&amp;"（主表）"</f>
        <v>六、期末现金及现金等价物余额（主表）</v>
      </c>
      <c r="D98" s="1946" t="s">
        <v>5827</v>
      </c>
      <c r="E98" s="1950">
        <f>E44</f>
        <v>479304.95</v>
      </c>
      <c r="F98" s="1951">
        <f>F44</f>
        <v>252723.84</v>
      </c>
      <c r="G98" s="1857"/>
      <c r="H98" s="1857"/>
      <c r="I98" s="1751"/>
      <c r="J98" s="1664"/>
    </row>
    <row r="99" spans="1:10" ht="18.75" thickBot="1">
      <c r="A99" s="2884"/>
      <c r="B99" s="2864"/>
      <c r="C99" s="1952" t="s">
        <v>5828</v>
      </c>
      <c r="D99" s="1946"/>
      <c r="E99" s="1953">
        <f>ROUND(E97-E98,2)</f>
        <v>0</v>
      </c>
      <c r="F99" s="1954">
        <f>ROUND(F97-F98,2)</f>
        <v>0</v>
      </c>
      <c r="G99" s="1857"/>
      <c r="H99" s="1857"/>
      <c r="I99" s="1751"/>
      <c r="J99" s="1664"/>
    </row>
    <row r="100" spans="1:10" ht="18.75" thickTop="1">
      <c r="A100" s="2884"/>
      <c r="B100" s="2864"/>
      <c r="C100" s="1955" t="s">
        <v>5829</v>
      </c>
      <c r="D100" s="1946"/>
      <c r="E100" s="1956" t="str">
        <f>IF(E99=0,"√","×")</f>
        <v>√</v>
      </c>
      <c r="F100" s="1957" t="str">
        <f>IF(F99=0,"√","×")</f>
        <v>√</v>
      </c>
      <c r="G100" s="1857"/>
      <c r="H100" s="1857"/>
      <c r="I100" s="1751"/>
      <c r="J100" s="1664"/>
    </row>
    <row r="101" spans="1:10" ht="18">
      <c r="A101" s="2884"/>
      <c r="B101" s="2864"/>
      <c r="C101" s="1959" t="str">
        <f>C75&amp;" "&amp;C77</f>
        <v>减：现金的年初余额 减：现金等价物的年初余额</v>
      </c>
      <c r="D101" s="1946" t="s">
        <v>5827</v>
      </c>
      <c r="E101" s="1950">
        <f>SUM(E75,E77)</f>
        <v>252723.84</v>
      </c>
      <c r="F101" s="1951">
        <f>SUM(F75,F77)</f>
        <v>3232013.12</v>
      </c>
      <c r="G101" s="1857"/>
      <c r="H101" s="1857"/>
      <c r="I101" s="1751"/>
      <c r="J101" s="1664"/>
    </row>
    <row r="102" spans="1:10" ht="18">
      <c r="A102" s="2884"/>
      <c r="B102" s="2864">
        <v>7349</v>
      </c>
      <c r="C102" s="1949" t="str">
        <f>C43&amp;"（主表）"</f>
        <v>加：期初现金及现金等价物余额（主表）</v>
      </c>
      <c r="D102" s="1946" t="s">
        <v>5827</v>
      </c>
      <c r="E102" s="1950">
        <f>E43</f>
        <v>252723.84</v>
      </c>
      <c r="F102" s="1951">
        <f>F43</f>
        <v>3232013.12</v>
      </c>
      <c r="G102" s="1857"/>
      <c r="H102" s="1857"/>
      <c r="I102" s="1751"/>
      <c r="J102" s="1664"/>
    </row>
    <row r="103" spans="1:10" ht="18.75" thickBot="1">
      <c r="A103" s="2884"/>
      <c r="B103" s="2864"/>
      <c r="C103" s="1952" t="s">
        <v>5828</v>
      </c>
      <c r="D103" s="1946"/>
      <c r="E103" s="1953">
        <f>ROUND(E101-E102,2)</f>
        <v>0</v>
      </c>
      <c r="F103" s="1954">
        <f>ROUND(F101-F102,2)</f>
        <v>0</v>
      </c>
      <c r="G103" s="1857"/>
      <c r="H103" s="1857"/>
      <c r="I103" s="1751"/>
      <c r="J103" s="1664"/>
    </row>
    <row r="104" spans="1:10" ht="18.75" thickTop="1">
      <c r="A104" s="2884"/>
      <c r="B104" s="2864"/>
      <c r="C104" s="1955" t="s">
        <v>5829</v>
      </c>
      <c r="D104" s="1946"/>
      <c r="E104" s="1956" t="str">
        <f>IF(E103=0,"√","×")</f>
        <v>√</v>
      </c>
      <c r="F104" s="1957" t="str">
        <f>IF(F103=0,"√","×")</f>
        <v>√</v>
      </c>
      <c r="G104" s="1857"/>
      <c r="H104" s="1857"/>
      <c r="I104" s="1751"/>
      <c r="J104" s="1664"/>
    </row>
    <row r="105" spans="1:10" ht="18">
      <c r="A105" s="2884"/>
      <c r="B105" s="2864"/>
      <c r="C105" s="1959" t="str">
        <f>C78&amp;"（补充资料）"</f>
        <v>现金及现金等价物净增加额（补充资料）</v>
      </c>
      <c r="D105" s="1946" t="s">
        <v>5827</v>
      </c>
      <c r="E105" s="1950">
        <f>E78</f>
        <v>226581.11</v>
      </c>
      <c r="F105" s="1951">
        <f>F78</f>
        <v>-2979289.28</v>
      </c>
      <c r="G105" s="1857"/>
      <c r="H105" s="1857"/>
      <c r="I105" s="1751"/>
      <c r="J105" s="1664"/>
    </row>
    <row r="106" spans="1:10" ht="18">
      <c r="A106" s="2884"/>
      <c r="B106" s="2864">
        <v>7348</v>
      </c>
      <c r="C106" s="1949" t="str">
        <f>C42&amp;"（主表）"</f>
        <v>五、现金及现金等价物净增加额（主表）</v>
      </c>
      <c r="D106" s="1946" t="s">
        <v>5827</v>
      </c>
      <c r="E106" s="1950">
        <f>E42</f>
        <v>226581.11</v>
      </c>
      <c r="F106" s="1951">
        <f>F42</f>
        <v>-2979289.28</v>
      </c>
      <c r="G106" s="1857"/>
      <c r="H106" s="1857"/>
      <c r="I106" s="1751"/>
      <c r="J106" s="1664"/>
    </row>
    <row r="107" spans="1:10" ht="18.75" thickBot="1">
      <c r="A107" s="2884"/>
      <c r="B107" s="2864"/>
      <c r="C107" s="1952" t="s">
        <v>5828</v>
      </c>
      <c r="D107" s="1946"/>
      <c r="E107" s="1953">
        <f>ROUND(E105-E106,2)</f>
        <v>0</v>
      </c>
      <c r="F107" s="1954">
        <f>ROUND(F105-F106,2)</f>
        <v>0</v>
      </c>
      <c r="G107" s="1857"/>
      <c r="H107" s="1857"/>
      <c r="I107" s="1751"/>
      <c r="J107" s="1664"/>
    </row>
    <row r="108" spans="1:10" ht="18.75" thickTop="1">
      <c r="A108" s="2884"/>
      <c r="B108" s="2864"/>
      <c r="C108" s="1955" t="s">
        <v>5829</v>
      </c>
      <c r="D108" s="1946"/>
      <c r="E108" s="1956" t="str">
        <f>IF(E107=0,"√","×")</f>
        <v>√</v>
      </c>
      <c r="F108" s="1957" t="str">
        <f>IF(F107=0,"√","×")</f>
        <v>√</v>
      </c>
      <c r="G108" s="1857"/>
      <c r="H108" s="1857"/>
      <c r="I108" s="1751"/>
      <c r="J108" s="1664"/>
    </row>
    <row r="109" spans="1:10" ht="18.75" thickBot="1">
      <c r="A109" s="2884"/>
      <c r="B109" s="2864"/>
      <c r="C109" s="1960" t="s">
        <v>2572</v>
      </c>
      <c r="D109" s="1961"/>
      <c r="E109" s="1962">
        <f>SUMIF($C82:$C108,"差       异",E82:E108)</f>
        <v>0</v>
      </c>
      <c r="F109" s="1963">
        <f>SUMIF($C82:$C108,"差       异",F82:F108)</f>
        <v>0</v>
      </c>
      <c r="G109" s="1851"/>
      <c r="H109" s="1964" t="str">
        <f>IF(E109+F109=0,"Balanced","Diff "&amp;TEXT(ROUND(E109+F109,2),"#,###.00"))</f>
        <v>Balanced</v>
      </c>
      <c r="I109" s="1751"/>
    </row>
    <row r="110" spans="1:10" ht="18">
      <c r="A110" s="2848"/>
      <c r="B110" s="2841"/>
      <c r="C110" s="1664"/>
      <c r="D110" s="1664"/>
      <c r="E110" s="1664"/>
      <c r="F110" s="1664"/>
      <c r="G110" s="1664"/>
      <c r="H110" s="1664"/>
      <c r="I110" s="1664"/>
      <c r="J110" s="1664"/>
    </row>
    <row r="111" spans="1:10">
      <c r="C111" s="1664"/>
      <c r="D111" s="1664"/>
      <c r="E111" s="1664"/>
      <c r="F111" s="1664"/>
      <c r="G111" s="1664"/>
      <c r="H111" s="1664"/>
      <c r="I111" s="1664"/>
      <c r="J111" s="1664"/>
    </row>
    <row r="112" spans="1:10">
      <c r="C112" s="1664"/>
      <c r="D112" s="1664"/>
      <c r="E112" s="1664"/>
      <c r="F112" s="1664"/>
      <c r="G112" s="1664"/>
      <c r="H112" s="1664"/>
      <c r="I112" s="1664"/>
      <c r="J112" s="1664"/>
    </row>
    <row r="113" spans="3:10">
      <c r="C113" s="1664"/>
      <c r="D113" s="1664"/>
      <c r="E113" s="1664"/>
      <c r="F113" s="1664"/>
      <c r="G113" s="1664"/>
      <c r="H113" s="1664"/>
      <c r="I113" s="1664"/>
      <c r="J113" s="1664"/>
    </row>
  </sheetData>
  <sheetProtection password="94A0" sheet="1" scenarios="1" formatCells="0" autoFilter="0"/>
  <mergeCells count="2">
    <mergeCell ref="C2:F2"/>
    <mergeCell ref="C3:F3"/>
  </mergeCells>
  <phoneticPr fontId="163" type="noConversion"/>
  <conditionalFormatting sqref="E109:F109 E95:F95 E90:F90 E99:F99 E103:F103 E107:F107 E85:F85">
    <cfRule type="cellIs" dxfId="110" priority="16" stopIfTrue="1" operator="notEqual">
      <formula>0</formula>
    </cfRule>
  </conditionalFormatting>
  <conditionalFormatting sqref="C80:D80 D81">
    <cfRule type="expression" dxfId="109" priority="15" stopIfTrue="1">
      <formula>#REF!=TRUE</formula>
    </cfRule>
  </conditionalFormatting>
  <conditionalFormatting sqref="E109:F109 E95:F95 E90:F90 E99:F99 E103:F103 E107:F107 E85:F85">
    <cfRule type="cellIs" dxfId="108" priority="14" stopIfTrue="1" operator="notEqual">
      <formula>0</formula>
    </cfRule>
  </conditionalFormatting>
  <conditionalFormatting sqref="C80:D80 D81">
    <cfRule type="expression" dxfId="107" priority="13" stopIfTrue="1">
      <formula>#REF!=TRUE</formula>
    </cfRule>
  </conditionalFormatting>
  <conditionalFormatting sqref="E109:F109 E95:F95 E90:F90 E99:F99 E103:F103 E107:F107 E85:F85">
    <cfRule type="cellIs" dxfId="106" priority="12" stopIfTrue="1" operator="notEqual">
      <formula>0</formula>
    </cfRule>
  </conditionalFormatting>
  <conditionalFormatting sqref="C80:D80 D81">
    <cfRule type="expression" dxfId="105" priority="11" stopIfTrue="1">
      <formula>#REF!=TRUE</formula>
    </cfRule>
  </conditionalFormatting>
  <conditionalFormatting sqref="E109:F109 E95:F95 E90:F90 E99:F99 E103:F103 E107:F107 E85:F85">
    <cfRule type="cellIs" dxfId="104" priority="10" stopIfTrue="1" operator="notEqual">
      <formula>0</formula>
    </cfRule>
  </conditionalFormatting>
  <conditionalFormatting sqref="C80:D80 D81">
    <cfRule type="expression" dxfId="103" priority="9" stopIfTrue="1">
      <formula>#REF!=TRUE</formula>
    </cfRule>
  </conditionalFormatting>
  <conditionalFormatting sqref="E109:F109 E95:F95 E90:F90 E99:F99 E103:F103 E107:F107 E85:F85">
    <cfRule type="cellIs" dxfId="102" priority="8" stopIfTrue="1" operator="notEqual">
      <formula>0</formula>
    </cfRule>
  </conditionalFormatting>
  <conditionalFormatting sqref="C80:D80 D81">
    <cfRule type="expression" dxfId="101" priority="7" stopIfTrue="1">
      <formula>#REF!=TRUE</formula>
    </cfRule>
  </conditionalFormatting>
  <conditionalFormatting sqref="E109:F109 E95:F95 E90:F90 E99:F99 E103:F103 E107:F107 E85:F85">
    <cfRule type="cellIs" dxfId="100" priority="6" stopIfTrue="1" operator="notEqual">
      <formula>0</formula>
    </cfRule>
  </conditionalFormatting>
  <conditionalFormatting sqref="C80:D80 D81">
    <cfRule type="expression" dxfId="99" priority="5" stopIfTrue="1">
      <formula>#REF!=TRUE</formula>
    </cfRule>
  </conditionalFormatting>
  <conditionalFormatting sqref="E109:F109 E95:F95 E90:F90 E99:F99 E103:F103 E107:F107 E85:F85">
    <cfRule type="cellIs" dxfId="98" priority="4" stopIfTrue="1" operator="notEqual">
      <formula>0</formula>
    </cfRule>
  </conditionalFormatting>
  <conditionalFormatting sqref="C80:D80 D81">
    <cfRule type="expression" dxfId="97" priority="3" stopIfTrue="1">
      <formula>#REF!=TRUE</formula>
    </cfRule>
  </conditionalFormatting>
  <conditionalFormatting sqref="E109:F109 E95:F95 E90:F90 E99:F99 E103:F103 E107:F107 E85:F85">
    <cfRule type="cellIs" dxfId="96" priority="2" stopIfTrue="1" operator="notEqual">
      <formula>0</formula>
    </cfRule>
  </conditionalFormatting>
  <conditionalFormatting sqref="C80:D80 D81">
    <cfRule type="expression" dxfId="95" priority="1" stopIfTrue="1">
      <formula>#REF!=TRUE</formula>
    </cfRule>
  </conditionalFormatting>
  <printOptions horizontalCentered="1"/>
  <pageMargins left="0.78740157480314965" right="0" top="0.78740157480314965" bottom="0.19685039370078741" header="0.51181102362204722" footer="0.51181102362204722"/>
  <pageSetup paperSize="9" scale="76" fitToWidth="0" fitToHeight="0" orientation="portrait" blackAndWhite="1"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AG57"/>
  <sheetViews>
    <sheetView showZeros="0" topLeftCell="A46" workbookViewId="0">
      <selection activeCell="E43" sqref="E43"/>
    </sheetView>
  </sheetViews>
  <sheetFormatPr defaultRowHeight="12"/>
  <cols>
    <col min="1" max="2" width="0.140625" style="1799" customWidth="1"/>
    <col min="3" max="3" width="45.7109375" style="1804" customWidth="1"/>
    <col min="4" max="14" width="14.7109375" style="1804" customWidth="1"/>
    <col min="15" max="15" width="14.7109375" style="1804" hidden="1" customWidth="1"/>
    <col min="16" max="16" width="17.7109375" style="1804" customWidth="1"/>
    <col min="17" max="27" width="14.7109375" style="1804" customWidth="1"/>
    <col min="28" max="28" width="14.7109375" style="1804" hidden="1" customWidth="1"/>
    <col min="29" max="29" width="17.7109375" style="1804" customWidth="1"/>
    <col min="30" max="256" width="9.140625" style="1804"/>
    <col min="257" max="258" width="0.140625" style="1804" customWidth="1"/>
    <col min="259" max="259" width="40.7109375" style="1804" customWidth="1"/>
    <col min="260" max="270" width="14.7109375" style="1804" customWidth="1"/>
    <col min="271" max="271" width="0" style="1804" hidden="1" customWidth="1"/>
    <col min="272" max="283" width="14.7109375" style="1804" customWidth="1"/>
    <col min="284" max="284" width="0" style="1804" hidden="1" customWidth="1"/>
    <col min="285" max="285" width="14.7109375" style="1804" customWidth="1"/>
    <col min="286" max="512" width="9.140625" style="1804"/>
    <col min="513" max="514" width="0.140625" style="1804" customWidth="1"/>
    <col min="515" max="515" width="40.7109375" style="1804" customWidth="1"/>
    <col min="516" max="526" width="14.7109375" style="1804" customWidth="1"/>
    <col min="527" max="527" width="0" style="1804" hidden="1" customWidth="1"/>
    <col min="528" max="539" width="14.7109375" style="1804" customWidth="1"/>
    <col min="540" max="540" width="0" style="1804" hidden="1" customWidth="1"/>
    <col min="541" max="541" width="14.7109375" style="1804" customWidth="1"/>
    <col min="542" max="768" width="9.140625" style="1804"/>
    <col min="769" max="770" width="0.140625" style="1804" customWidth="1"/>
    <col min="771" max="771" width="40.7109375" style="1804" customWidth="1"/>
    <col min="772" max="782" width="14.7109375" style="1804" customWidth="1"/>
    <col min="783" max="783" width="0" style="1804" hidden="1" customWidth="1"/>
    <col min="784" max="795" width="14.7109375" style="1804" customWidth="1"/>
    <col min="796" max="796" width="0" style="1804" hidden="1" customWidth="1"/>
    <col min="797" max="797" width="14.7109375" style="1804" customWidth="1"/>
    <col min="798" max="1024" width="9.140625" style="1804"/>
    <col min="1025" max="1026" width="0.140625" style="1804" customWidth="1"/>
    <col min="1027" max="1027" width="40.7109375" style="1804" customWidth="1"/>
    <col min="1028" max="1038" width="14.7109375" style="1804" customWidth="1"/>
    <col min="1039" max="1039" width="0" style="1804" hidden="1" customWidth="1"/>
    <col min="1040" max="1051" width="14.7109375" style="1804" customWidth="1"/>
    <col min="1052" max="1052" width="0" style="1804" hidden="1" customWidth="1"/>
    <col min="1053" max="1053" width="14.7109375" style="1804" customWidth="1"/>
    <col min="1054" max="1280" width="9.140625" style="1804"/>
    <col min="1281" max="1282" width="0.140625" style="1804" customWidth="1"/>
    <col min="1283" max="1283" width="40.7109375" style="1804" customWidth="1"/>
    <col min="1284" max="1294" width="14.7109375" style="1804" customWidth="1"/>
    <col min="1295" max="1295" width="0" style="1804" hidden="1" customWidth="1"/>
    <col min="1296" max="1307" width="14.7109375" style="1804" customWidth="1"/>
    <col min="1308" max="1308" width="0" style="1804" hidden="1" customWidth="1"/>
    <col min="1309" max="1309" width="14.7109375" style="1804" customWidth="1"/>
    <col min="1310" max="1536" width="9.140625" style="1804"/>
    <col min="1537" max="1538" width="0.140625" style="1804" customWidth="1"/>
    <col min="1539" max="1539" width="40.7109375" style="1804" customWidth="1"/>
    <col min="1540" max="1550" width="14.7109375" style="1804" customWidth="1"/>
    <col min="1551" max="1551" width="0" style="1804" hidden="1" customWidth="1"/>
    <col min="1552" max="1563" width="14.7109375" style="1804" customWidth="1"/>
    <col min="1564" max="1564" width="0" style="1804" hidden="1" customWidth="1"/>
    <col min="1565" max="1565" width="14.7109375" style="1804" customWidth="1"/>
    <col min="1566" max="1792" width="9.140625" style="1804"/>
    <col min="1793" max="1794" width="0.140625" style="1804" customWidth="1"/>
    <col min="1795" max="1795" width="40.7109375" style="1804" customWidth="1"/>
    <col min="1796" max="1806" width="14.7109375" style="1804" customWidth="1"/>
    <col min="1807" max="1807" width="0" style="1804" hidden="1" customWidth="1"/>
    <col min="1808" max="1819" width="14.7109375" style="1804" customWidth="1"/>
    <col min="1820" max="1820" width="0" style="1804" hidden="1" customWidth="1"/>
    <col min="1821" max="1821" width="14.7109375" style="1804" customWidth="1"/>
    <col min="1822" max="2048" width="9.140625" style="1804"/>
    <col min="2049" max="2050" width="0.140625" style="1804" customWidth="1"/>
    <col min="2051" max="2051" width="40.7109375" style="1804" customWidth="1"/>
    <col min="2052" max="2062" width="14.7109375" style="1804" customWidth="1"/>
    <col min="2063" max="2063" width="0" style="1804" hidden="1" customWidth="1"/>
    <col min="2064" max="2075" width="14.7109375" style="1804" customWidth="1"/>
    <col min="2076" max="2076" width="0" style="1804" hidden="1" customWidth="1"/>
    <col min="2077" max="2077" width="14.7109375" style="1804" customWidth="1"/>
    <col min="2078" max="2304" width="9.140625" style="1804"/>
    <col min="2305" max="2306" width="0.140625" style="1804" customWidth="1"/>
    <col min="2307" max="2307" width="40.7109375" style="1804" customWidth="1"/>
    <col min="2308" max="2318" width="14.7109375" style="1804" customWidth="1"/>
    <col min="2319" max="2319" width="0" style="1804" hidden="1" customWidth="1"/>
    <col min="2320" max="2331" width="14.7109375" style="1804" customWidth="1"/>
    <col min="2332" max="2332" width="0" style="1804" hidden="1" customWidth="1"/>
    <col min="2333" max="2333" width="14.7109375" style="1804" customWidth="1"/>
    <col min="2334" max="2560" width="9.140625" style="1804"/>
    <col min="2561" max="2562" width="0.140625" style="1804" customWidth="1"/>
    <col min="2563" max="2563" width="40.7109375" style="1804" customWidth="1"/>
    <col min="2564" max="2574" width="14.7109375" style="1804" customWidth="1"/>
    <col min="2575" max="2575" width="0" style="1804" hidden="1" customWidth="1"/>
    <col min="2576" max="2587" width="14.7109375" style="1804" customWidth="1"/>
    <col min="2588" max="2588" width="0" style="1804" hidden="1" customWidth="1"/>
    <col min="2589" max="2589" width="14.7109375" style="1804" customWidth="1"/>
    <col min="2590" max="2816" width="9.140625" style="1804"/>
    <col min="2817" max="2818" width="0.140625" style="1804" customWidth="1"/>
    <col min="2819" max="2819" width="40.7109375" style="1804" customWidth="1"/>
    <col min="2820" max="2830" width="14.7109375" style="1804" customWidth="1"/>
    <col min="2831" max="2831" width="0" style="1804" hidden="1" customWidth="1"/>
    <col min="2832" max="2843" width="14.7109375" style="1804" customWidth="1"/>
    <col min="2844" max="2844" width="0" style="1804" hidden="1" customWidth="1"/>
    <col min="2845" max="2845" width="14.7109375" style="1804" customWidth="1"/>
    <col min="2846" max="3072" width="9.140625" style="1804"/>
    <col min="3073" max="3074" width="0.140625" style="1804" customWidth="1"/>
    <col min="3075" max="3075" width="40.7109375" style="1804" customWidth="1"/>
    <col min="3076" max="3086" width="14.7109375" style="1804" customWidth="1"/>
    <col min="3087" max="3087" width="0" style="1804" hidden="1" customWidth="1"/>
    <col min="3088" max="3099" width="14.7109375" style="1804" customWidth="1"/>
    <col min="3100" max="3100" width="0" style="1804" hidden="1" customWidth="1"/>
    <col min="3101" max="3101" width="14.7109375" style="1804" customWidth="1"/>
    <col min="3102" max="3328" width="9.140625" style="1804"/>
    <col min="3329" max="3330" width="0.140625" style="1804" customWidth="1"/>
    <col min="3331" max="3331" width="40.7109375" style="1804" customWidth="1"/>
    <col min="3332" max="3342" width="14.7109375" style="1804" customWidth="1"/>
    <col min="3343" max="3343" width="0" style="1804" hidden="1" customWidth="1"/>
    <col min="3344" max="3355" width="14.7109375" style="1804" customWidth="1"/>
    <col min="3356" max="3356" width="0" style="1804" hidden="1" customWidth="1"/>
    <col min="3357" max="3357" width="14.7109375" style="1804" customWidth="1"/>
    <col min="3358" max="3584" width="9.140625" style="1804"/>
    <col min="3585" max="3586" width="0.140625" style="1804" customWidth="1"/>
    <col min="3587" max="3587" width="40.7109375" style="1804" customWidth="1"/>
    <col min="3588" max="3598" width="14.7109375" style="1804" customWidth="1"/>
    <col min="3599" max="3599" width="0" style="1804" hidden="1" customWidth="1"/>
    <col min="3600" max="3611" width="14.7109375" style="1804" customWidth="1"/>
    <col min="3612" max="3612" width="0" style="1804" hidden="1" customWidth="1"/>
    <col min="3613" max="3613" width="14.7109375" style="1804" customWidth="1"/>
    <col min="3614" max="3840" width="9.140625" style="1804"/>
    <col min="3841" max="3842" width="0.140625" style="1804" customWidth="1"/>
    <col min="3843" max="3843" width="40.7109375" style="1804" customWidth="1"/>
    <col min="3844" max="3854" width="14.7109375" style="1804" customWidth="1"/>
    <col min="3855" max="3855" width="0" style="1804" hidden="1" customWidth="1"/>
    <col min="3856" max="3867" width="14.7109375" style="1804" customWidth="1"/>
    <col min="3868" max="3868" width="0" style="1804" hidden="1" customWidth="1"/>
    <col min="3869" max="3869" width="14.7109375" style="1804" customWidth="1"/>
    <col min="3870" max="4096" width="9.140625" style="1804"/>
    <col min="4097" max="4098" width="0.140625" style="1804" customWidth="1"/>
    <col min="4099" max="4099" width="40.7109375" style="1804" customWidth="1"/>
    <col min="4100" max="4110" width="14.7109375" style="1804" customWidth="1"/>
    <col min="4111" max="4111" width="0" style="1804" hidden="1" customWidth="1"/>
    <col min="4112" max="4123" width="14.7109375" style="1804" customWidth="1"/>
    <col min="4124" max="4124" width="0" style="1804" hidden="1" customWidth="1"/>
    <col min="4125" max="4125" width="14.7109375" style="1804" customWidth="1"/>
    <col min="4126" max="4352" width="9.140625" style="1804"/>
    <col min="4353" max="4354" width="0.140625" style="1804" customWidth="1"/>
    <col min="4355" max="4355" width="40.7109375" style="1804" customWidth="1"/>
    <col min="4356" max="4366" width="14.7109375" style="1804" customWidth="1"/>
    <col min="4367" max="4367" width="0" style="1804" hidden="1" customWidth="1"/>
    <col min="4368" max="4379" width="14.7109375" style="1804" customWidth="1"/>
    <col min="4380" max="4380" width="0" style="1804" hidden="1" customWidth="1"/>
    <col min="4381" max="4381" width="14.7109375" style="1804" customWidth="1"/>
    <col min="4382" max="4608" width="9.140625" style="1804"/>
    <col min="4609" max="4610" width="0.140625" style="1804" customWidth="1"/>
    <col min="4611" max="4611" width="40.7109375" style="1804" customWidth="1"/>
    <col min="4612" max="4622" width="14.7109375" style="1804" customWidth="1"/>
    <col min="4623" max="4623" width="0" style="1804" hidden="1" customWidth="1"/>
    <col min="4624" max="4635" width="14.7109375" style="1804" customWidth="1"/>
    <col min="4636" max="4636" width="0" style="1804" hidden="1" customWidth="1"/>
    <col min="4637" max="4637" width="14.7109375" style="1804" customWidth="1"/>
    <col min="4638" max="4864" width="9.140625" style="1804"/>
    <col min="4865" max="4866" width="0.140625" style="1804" customWidth="1"/>
    <col min="4867" max="4867" width="40.7109375" style="1804" customWidth="1"/>
    <col min="4868" max="4878" width="14.7109375" style="1804" customWidth="1"/>
    <col min="4879" max="4879" width="0" style="1804" hidden="1" customWidth="1"/>
    <col min="4880" max="4891" width="14.7109375" style="1804" customWidth="1"/>
    <col min="4892" max="4892" width="0" style="1804" hidden="1" customWidth="1"/>
    <col min="4893" max="4893" width="14.7109375" style="1804" customWidth="1"/>
    <col min="4894" max="5120" width="9.140625" style="1804"/>
    <col min="5121" max="5122" width="0.140625" style="1804" customWidth="1"/>
    <col min="5123" max="5123" width="40.7109375" style="1804" customWidth="1"/>
    <col min="5124" max="5134" width="14.7109375" style="1804" customWidth="1"/>
    <col min="5135" max="5135" width="0" style="1804" hidden="1" customWidth="1"/>
    <col min="5136" max="5147" width="14.7109375" style="1804" customWidth="1"/>
    <col min="5148" max="5148" width="0" style="1804" hidden="1" customWidth="1"/>
    <col min="5149" max="5149" width="14.7109375" style="1804" customWidth="1"/>
    <col min="5150" max="5376" width="9.140625" style="1804"/>
    <col min="5377" max="5378" width="0.140625" style="1804" customWidth="1"/>
    <col min="5379" max="5379" width="40.7109375" style="1804" customWidth="1"/>
    <col min="5380" max="5390" width="14.7109375" style="1804" customWidth="1"/>
    <col min="5391" max="5391" width="0" style="1804" hidden="1" customWidth="1"/>
    <col min="5392" max="5403" width="14.7109375" style="1804" customWidth="1"/>
    <col min="5404" max="5404" width="0" style="1804" hidden="1" customWidth="1"/>
    <col min="5405" max="5405" width="14.7109375" style="1804" customWidth="1"/>
    <col min="5406" max="5632" width="9.140625" style="1804"/>
    <col min="5633" max="5634" width="0.140625" style="1804" customWidth="1"/>
    <col min="5635" max="5635" width="40.7109375" style="1804" customWidth="1"/>
    <col min="5636" max="5646" width="14.7109375" style="1804" customWidth="1"/>
    <col min="5647" max="5647" width="0" style="1804" hidden="1" customWidth="1"/>
    <col min="5648" max="5659" width="14.7109375" style="1804" customWidth="1"/>
    <col min="5660" max="5660" width="0" style="1804" hidden="1" customWidth="1"/>
    <col min="5661" max="5661" width="14.7109375" style="1804" customWidth="1"/>
    <col min="5662" max="5888" width="9.140625" style="1804"/>
    <col min="5889" max="5890" width="0.140625" style="1804" customWidth="1"/>
    <col min="5891" max="5891" width="40.7109375" style="1804" customWidth="1"/>
    <col min="5892" max="5902" width="14.7109375" style="1804" customWidth="1"/>
    <col min="5903" max="5903" width="0" style="1804" hidden="1" customWidth="1"/>
    <col min="5904" max="5915" width="14.7109375" style="1804" customWidth="1"/>
    <col min="5916" max="5916" width="0" style="1804" hidden="1" customWidth="1"/>
    <col min="5917" max="5917" width="14.7109375" style="1804" customWidth="1"/>
    <col min="5918" max="6144" width="9.140625" style="1804"/>
    <col min="6145" max="6146" width="0.140625" style="1804" customWidth="1"/>
    <col min="6147" max="6147" width="40.7109375" style="1804" customWidth="1"/>
    <col min="6148" max="6158" width="14.7109375" style="1804" customWidth="1"/>
    <col min="6159" max="6159" width="0" style="1804" hidden="1" customWidth="1"/>
    <col min="6160" max="6171" width="14.7109375" style="1804" customWidth="1"/>
    <col min="6172" max="6172" width="0" style="1804" hidden="1" customWidth="1"/>
    <col min="6173" max="6173" width="14.7109375" style="1804" customWidth="1"/>
    <col min="6174" max="6400" width="9.140625" style="1804"/>
    <col min="6401" max="6402" width="0.140625" style="1804" customWidth="1"/>
    <col min="6403" max="6403" width="40.7109375" style="1804" customWidth="1"/>
    <col min="6404" max="6414" width="14.7109375" style="1804" customWidth="1"/>
    <col min="6415" max="6415" width="0" style="1804" hidden="1" customWidth="1"/>
    <col min="6416" max="6427" width="14.7109375" style="1804" customWidth="1"/>
    <col min="6428" max="6428" width="0" style="1804" hidden="1" customWidth="1"/>
    <col min="6429" max="6429" width="14.7109375" style="1804" customWidth="1"/>
    <col min="6430" max="6656" width="9.140625" style="1804"/>
    <col min="6657" max="6658" width="0.140625" style="1804" customWidth="1"/>
    <col min="6659" max="6659" width="40.7109375" style="1804" customWidth="1"/>
    <col min="6660" max="6670" width="14.7109375" style="1804" customWidth="1"/>
    <col min="6671" max="6671" width="0" style="1804" hidden="1" customWidth="1"/>
    <col min="6672" max="6683" width="14.7109375" style="1804" customWidth="1"/>
    <col min="6684" max="6684" width="0" style="1804" hidden="1" customWidth="1"/>
    <col min="6685" max="6685" width="14.7109375" style="1804" customWidth="1"/>
    <col min="6686" max="6912" width="9.140625" style="1804"/>
    <col min="6913" max="6914" width="0.140625" style="1804" customWidth="1"/>
    <col min="6915" max="6915" width="40.7109375" style="1804" customWidth="1"/>
    <col min="6916" max="6926" width="14.7109375" style="1804" customWidth="1"/>
    <col min="6927" max="6927" width="0" style="1804" hidden="1" customWidth="1"/>
    <col min="6928" max="6939" width="14.7109375" style="1804" customWidth="1"/>
    <col min="6940" max="6940" width="0" style="1804" hidden="1" customWidth="1"/>
    <col min="6941" max="6941" width="14.7109375" style="1804" customWidth="1"/>
    <col min="6942" max="7168" width="9.140625" style="1804"/>
    <col min="7169" max="7170" width="0.140625" style="1804" customWidth="1"/>
    <col min="7171" max="7171" width="40.7109375" style="1804" customWidth="1"/>
    <col min="7172" max="7182" width="14.7109375" style="1804" customWidth="1"/>
    <col min="7183" max="7183" width="0" style="1804" hidden="1" customWidth="1"/>
    <col min="7184" max="7195" width="14.7109375" style="1804" customWidth="1"/>
    <col min="7196" max="7196" width="0" style="1804" hidden="1" customWidth="1"/>
    <col min="7197" max="7197" width="14.7109375" style="1804" customWidth="1"/>
    <col min="7198" max="7424" width="9.140625" style="1804"/>
    <col min="7425" max="7426" width="0.140625" style="1804" customWidth="1"/>
    <col min="7427" max="7427" width="40.7109375" style="1804" customWidth="1"/>
    <col min="7428" max="7438" width="14.7109375" style="1804" customWidth="1"/>
    <col min="7439" max="7439" width="0" style="1804" hidden="1" customWidth="1"/>
    <col min="7440" max="7451" width="14.7109375" style="1804" customWidth="1"/>
    <col min="7452" max="7452" width="0" style="1804" hidden="1" customWidth="1"/>
    <col min="7453" max="7453" width="14.7109375" style="1804" customWidth="1"/>
    <col min="7454" max="7680" width="9.140625" style="1804"/>
    <col min="7681" max="7682" width="0.140625" style="1804" customWidth="1"/>
    <col min="7683" max="7683" width="40.7109375" style="1804" customWidth="1"/>
    <col min="7684" max="7694" width="14.7109375" style="1804" customWidth="1"/>
    <col min="7695" max="7695" width="0" style="1804" hidden="1" customWidth="1"/>
    <col min="7696" max="7707" width="14.7109375" style="1804" customWidth="1"/>
    <col min="7708" max="7708" width="0" style="1804" hidden="1" customWidth="1"/>
    <col min="7709" max="7709" width="14.7109375" style="1804" customWidth="1"/>
    <col min="7710" max="7936" width="9.140625" style="1804"/>
    <col min="7937" max="7938" width="0.140625" style="1804" customWidth="1"/>
    <col min="7939" max="7939" width="40.7109375" style="1804" customWidth="1"/>
    <col min="7940" max="7950" width="14.7109375" style="1804" customWidth="1"/>
    <col min="7951" max="7951" width="0" style="1804" hidden="1" customWidth="1"/>
    <col min="7952" max="7963" width="14.7109375" style="1804" customWidth="1"/>
    <col min="7964" max="7964" width="0" style="1804" hidden="1" customWidth="1"/>
    <col min="7965" max="7965" width="14.7109375" style="1804" customWidth="1"/>
    <col min="7966" max="8192" width="9.140625" style="1804"/>
    <col min="8193" max="8194" width="0.140625" style="1804" customWidth="1"/>
    <col min="8195" max="8195" width="40.7109375" style="1804" customWidth="1"/>
    <col min="8196" max="8206" width="14.7109375" style="1804" customWidth="1"/>
    <col min="8207" max="8207" width="0" style="1804" hidden="1" customWidth="1"/>
    <col min="8208" max="8219" width="14.7109375" style="1804" customWidth="1"/>
    <col min="8220" max="8220" width="0" style="1804" hidden="1" customWidth="1"/>
    <col min="8221" max="8221" width="14.7109375" style="1804" customWidth="1"/>
    <col min="8222" max="8448" width="9.140625" style="1804"/>
    <col min="8449" max="8450" width="0.140625" style="1804" customWidth="1"/>
    <col min="8451" max="8451" width="40.7109375" style="1804" customWidth="1"/>
    <col min="8452" max="8462" width="14.7109375" style="1804" customWidth="1"/>
    <col min="8463" max="8463" width="0" style="1804" hidden="1" customWidth="1"/>
    <col min="8464" max="8475" width="14.7109375" style="1804" customWidth="1"/>
    <col min="8476" max="8476" width="0" style="1804" hidden="1" customWidth="1"/>
    <col min="8477" max="8477" width="14.7109375" style="1804" customWidth="1"/>
    <col min="8478" max="8704" width="9.140625" style="1804"/>
    <col min="8705" max="8706" width="0.140625" style="1804" customWidth="1"/>
    <col min="8707" max="8707" width="40.7109375" style="1804" customWidth="1"/>
    <col min="8708" max="8718" width="14.7109375" style="1804" customWidth="1"/>
    <col min="8719" max="8719" width="0" style="1804" hidden="1" customWidth="1"/>
    <col min="8720" max="8731" width="14.7109375" style="1804" customWidth="1"/>
    <col min="8732" max="8732" width="0" style="1804" hidden="1" customWidth="1"/>
    <col min="8733" max="8733" width="14.7109375" style="1804" customWidth="1"/>
    <col min="8734" max="8960" width="9.140625" style="1804"/>
    <col min="8961" max="8962" width="0.140625" style="1804" customWidth="1"/>
    <col min="8963" max="8963" width="40.7109375" style="1804" customWidth="1"/>
    <col min="8964" max="8974" width="14.7109375" style="1804" customWidth="1"/>
    <col min="8975" max="8975" width="0" style="1804" hidden="1" customWidth="1"/>
    <col min="8976" max="8987" width="14.7109375" style="1804" customWidth="1"/>
    <col min="8988" max="8988" width="0" style="1804" hidden="1" customWidth="1"/>
    <col min="8989" max="8989" width="14.7109375" style="1804" customWidth="1"/>
    <col min="8990" max="9216" width="9.140625" style="1804"/>
    <col min="9217" max="9218" width="0.140625" style="1804" customWidth="1"/>
    <col min="9219" max="9219" width="40.7109375" style="1804" customWidth="1"/>
    <col min="9220" max="9230" width="14.7109375" style="1804" customWidth="1"/>
    <col min="9231" max="9231" width="0" style="1804" hidden="1" customWidth="1"/>
    <col min="9232" max="9243" width="14.7109375" style="1804" customWidth="1"/>
    <col min="9244" max="9244" width="0" style="1804" hidden="1" customWidth="1"/>
    <col min="9245" max="9245" width="14.7109375" style="1804" customWidth="1"/>
    <col min="9246" max="9472" width="9.140625" style="1804"/>
    <col min="9473" max="9474" width="0.140625" style="1804" customWidth="1"/>
    <col min="9475" max="9475" width="40.7109375" style="1804" customWidth="1"/>
    <col min="9476" max="9486" width="14.7109375" style="1804" customWidth="1"/>
    <col min="9487" max="9487" width="0" style="1804" hidden="1" customWidth="1"/>
    <col min="9488" max="9499" width="14.7109375" style="1804" customWidth="1"/>
    <col min="9500" max="9500" width="0" style="1804" hidden="1" customWidth="1"/>
    <col min="9501" max="9501" width="14.7109375" style="1804" customWidth="1"/>
    <col min="9502" max="9728" width="9.140625" style="1804"/>
    <col min="9729" max="9730" width="0.140625" style="1804" customWidth="1"/>
    <col min="9731" max="9731" width="40.7109375" style="1804" customWidth="1"/>
    <col min="9732" max="9742" width="14.7109375" style="1804" customWidth="1"/>
    <col min="9743" max="9743" width="0" style="1804" hidden="1" customWidth="1"/>
    <col min="9744" max="9755" width="14.7109375" style="1804" customWidth="1"/>
    <col min="9756" max="9756" width="0" style="1804" hidden="1" customWidth="1"/>
    <col min="9757" max="9757" width="14.7109375" style="1804" customWidth="1"/>
    <col min="9758" max="9984" width="9.140625" style="1804"/>
    <col min="9985" max="9986" width="0.140625" style="1804" customWidth="1"/>
    <col min="9987" max="9987" width="40.7109375" style="1804" customWidth="1"/>
    <col min="9988" max="9998" width="14.7109375" style="1804" customWidth="1"/>
    <col min="9999" max="9999" width="0" style="1804" hidden="1" customWidth="1"/>
    <col min="10000" max="10011" width="14.7109375" style="1804" customWidth="1"/>
    <col min="10012" max="10012" width="0" style="1804" hidden="1" customWidth="1"/>
    <col min="10013" max="10013" width="14.7109375" style="1804" customWidth="1"/>
    <col min="10014" max="10240" width="9.140625" style="1804"/>
    <col min="10241" max="10242" width="0.140625" style="1804" customWidth="1"/>
    <col min="10243" max="10243" width="40.7109375" style="1804" customWidth="1"/>
    <col min="10244" max="10254" width="14.7109375" style="1804" customWidth="1"/>
    <col min="10255" max="10255" width="0" style="1804" hidden="1" customWidth="1"/>
    <col min="10256" max="10267" width="14.7109375" style="1804" customWidth="1"/>
    <col min="10268" max="10268" width="0" style="1804" hidden="1" customWidth="1"/>
    <col min="10269" max="10269" width="14.7109375" style="1804" customWidth="1"/>
    <col min="10270" max="10496" width="9.140625" style="1804"/>
    <col min="10497" max="10498" width="0.140625" style="1804" customWidth="1"/>
    <col min="10499" max="10499" width="40.7109375" style="1804" customWidth="1"/>
    <col min="10500" max="10510" width="14.7109375" style="1804" customWidth="1"/>
    <col min="10511" max="10511" width="0" style="1804" hidden="1" customWidth="1"/>
    <col min="10512" max="10523" width="14.7109375" style="1804" customWidth="1"/>
    <col min="10524" max="10524" width="0" style="1804" hidden="1" customWidth="1"/>
    <col min="10525" max="10525" width="14.7109375" style="1804" customWidth="1"/>
    <col min="10526" max="10752" width="9.140625" style="1804"/>
    <col min="10753" max="10754" width="0.140625" style="1804" customWidth="1"/>
    <col min="10755" max="10755" width="40.7109375" style="1804" customWidth="1"/>
    <col min="10756" max="10766" width="14.7109375" style="1804" customWidth="1"/>
    <col min="10767" max="10767" width="0" style="1804" hidden="1" customWidth="1"/>
    <col min="10768" max="10779" width="14.7109375" style="1804" customWidth="1"/>
    <col min="10780" max="10780" width="0" style="1804" hidden="1" customWidth="1"/>
    <col min="10781" max="10781" width="14.7109375" style="1804" customWidth="1"/>
    <col min="10782" max="11008" width="9.140625" style="1804"/>
    <col min="11009" max="11010" width="0.140625" style="1804" customWidth="1"/>
    <col min="11011" max="11011" width="40.7109375" style="1804" customWidth="1"/>
    <col min="11012" max="11022" width="14.7109375" style="1804" customWidth="1"/>
    <col min="11023" max="11023" width="0" style="1804" hidden="1" customWidth="1"/>
    <col min="11024" max="11035" width="14.7109375" style="1804" customWidth="1"/>
    <col min="11036" max="11036" width="0" style="1804" hidden="1" customWidth="1"/>
    <col min="11037" max="11037" width="14.7109375" style="1804" customWidth="1"/>
    <col min="11038" max="11264" width="9.140625" style="1804"/>
    <col min="11265" max="11266" width="0.140625" style="1804" customWidth="1"/>
    <col min="11267" max="11267" width="40.7109375" style="1804" customWidth="1"/>
    <col min="11268" max="11278" width="14.7109375" style="1804" customWidth="1"/>
    <col min="11279" max="11279" width="0" style="1804" hidden="1" customWidth="1"/>
    <col min="11280" max="11291" width="14.7109375" style="1804" customWidth="1"/>
    <col min="11292" max="11292" width="0" style="1804" hidden="1" customWidth="1"/>
    <col min="11293" max="11293" width="14.7109375" style="1804" customWidth="1"/>
    <col min="11294" max="11520" width="9.140625" style="1804"/>
    <col min="11521" max="11522" width="0.140625" style="1804" customWidth="1"/>
    <col min="11523" max="11523" width="40.7109375" style="1804" customWidth="1"/>
    <col min="11524" max="11534" width="14.7109375" style="1804" customWidth="1"/>
    <col min="11535" max="11535" width="0" style="1804" hidden="1" customWidth="1"/>
    <col min="11536" max="11547" width="14.7109375" style="1804" customWidth="1"/>
    <col min="11548" max="11548" width="0" style="1804" hidden="1" customWidth="1"/>
    <col min="11549" max="11549" width="14.7109375" style="1804" customWidth="1"/>
    <col min="11550" max="11776" width="9.140625" style="1804"/>
    <col min="11777" max="11778" width="0.140625" style="1804" customWidth="1"/>
    <col min="11779" max="11779" width="40.7109375" style="1804" customWidth="1"/>
    <col min="11780" max="11790" width="14.7109375" style="1804" customWidth="1"/>
    <col min="11791" max="11791" width="0" style="1804" hidden="1" customWidth="1"/>
    <col min="11792" max="11803" width="14.7109375" style="1804" customWidth="1"/>
    <col min="11804" max="11804" width="0" style="1804" hidden="1" customWidth="1"/>
    <col min="11805" max="11805" width="14.7109375" style="1804" customWidth="1"/>
    <col min="11806" max="12032" width="9.140625" style="1804"/>
    <col min="12033" max="12034" width="0.140625" style="1804" customWidth="1"/>
    <col min="12035" max="12035" width="40.7109375" style="1804" customWidth="1"/>
    <col min="12036" max="12046" width="14.7109375" style="1804" customWidth="1"/>
    <col min="12047" max="12047" width="0" style="1804" hidden="1" customWidth="1"/>
    <col min="12048" max="12059" width="14.7109375" style="1804" customWidth="1"/>
    <col min="12060" max="12060" width="0" style="1804" hidden="1" customWidth="1"/>
    <col min="12061" max="12061" width="14.7109375" style="1804" customWidth="1"/>
    <col min="12062" max="12288" width="9.140625" style="1804"/>
    <col min="12289" max="12290" width="0.140625" style="1804" customWidth="1"/>
    <col min="12291" max="12291" width="40.7109375" style="1804" customWidth="1"/>
    <col min="12292" max="12302" width="14.7109375" style="1804" customWidth="1"/>
    <col min="12303" max="12303" width="0" style="1804" hidden="1" customWidth="1"/>
    <col min="12304" max="12315" width="14.7109375" style="1804" customWidth="1"/>
    <col min="12316" max="12316" width="0" style="1804" hidden="1" customWidth="1"/>
    <col min="12317" max="12317" width="14.7109375" style="1804" customWidth="1"/>
    <col min="12318" max="12544" width="9.140625" style="1804"/>
    <col min="12545" max="12546" width="0.140625" style="1804" customWidth="1"/>
    <col min="12547" max="12547" width="40.7109375" style="1804" customWidth="1"/>
    <col min="12548" max="12558" width="14.7109375" style="1804" customWidth="1"/>
    <col min="12559" max="12559" width="0" style="1804" hidden="1" customWidth="1"/>
    <col min="12560" max="12571" width="14.7109375" style="1804" customWidth="1"/>
    <col min="12572" max="12572" width="0" style="1804" hidden="1" customWidth="1"/>
    <col min="12573" max="12573" width="14.7109375" style="1804" customWidth="1"/>
    <col min="12574" max="12800" width="9.140625" style="1804"/>
    <col min="12801" max="12802" width="0.140625" style="1804" customWidth="1"/>
    <col min="12803" max="12803" width="40.7109375" style="1804" customWidth="1"/>
    <col min="12804" max="12814" width="14.7109375" style="1804" customWidth="1"/>
    <col min="12815" max="12815" width="0" style="1804" hidden="1" customWidth="1"/>
    <col min="12816" max="12827" width="14.7109375" style="1804" customWidth="1"/>
    <col min="12828" max="12828" width="0" style="1804" hidden="1" customWidth="1"/>
    <col min="12829" max="12829" width="14.7109375" style="1804" customWidth="1"/>
    <col min="12830" max="13056" width="9.140625" style="1804"/>
    <col min="13057" max="13058" width="0.140625" style="1804" customWidth="1"/>
    <col min="13059" max="13059" width="40.7109375" style="1804" customWidth="1"/>
    <col min="13060" max="13070" width="14.7109375" style="1804" customWidth="1"/>
    <col min="13071" max="13071" width="0" style="1804" hidden="1" customWidth="1"/>
    <col min="13072" max="13083" width="14.7109375" style="1804" customWidth="1"/>
    <col min="13084" max="13084" width="0" style="1804" hidden="1" customWidth="1"/>
    <col min="13085" max="13085" width="14.7109375" style="1804" customWidth="1"/>
    <col min="13086" max="13312" width="9.140625" style="1804"/>
    <col min="13313" max="13314" width="0.140625" style="1804" customWidth="1"/>
    <col min="13315" max="13315" width="40.7109375" style="1804" customWidth="1"/>
    <col min="13316" max="13326" width="14.7109375" style="1804" customWidth="1"/>
    <col min="13327" max="13327" width="0" style="1804" hidden="1" customWidth="1"/>
    <col min="13328" max="13339" width="14.7109375" style="1804" customWidth="1"/>
    <col min="13340" max="13340" width="0" style="1804" hidden="1" customWidth="1"/>
    <col min="13341" max="13341" width="14.7109375" style="1804" customWidth="1"/>
    <col min="13342" max="13568" width="9.140625" style="1804"/>
    <col min="13569" max="13570" width="0.140625" style="1804" customWidth="1"/>
    <col min="13571" max="13571" width="40.7109375" style="1804" customWidth="1"/>
    <col min="13572" max="13582" width="14.7109375" style="1804" customWidth="1"/>
    <col min="13583" max="13583" width="0" style="1804" hidden="1" customWidth="1"/>
    <col min="13584" max="13595" width="14.7109375" style="1804" customWidth="1"/>
    <col min="13596" max="13596" width="0" style="1804" hidden="1" customWidth="1"/>
    <col min="13597" max="13597" width="14.7109375" style="1804" customWidth="1"/>
    <col min="13598" max="13824" width="9.140625" style="1804"/>
    <col min="13825" max="13826" width="0.140625" style="1804" customWidth="1"/>
    <col min="13827" max="13827" width="40.7109375" style="1804" customWidth="1"/>
    <col min="13828" max="13838" width="14.7109375" style="1804" customWidth="1"/>
    <col min="13839" max="13839" width="0" style="1804" hidden="1" customWidth="1"/>
    <col min="13840" max="13851" width="14.7109375" style="1804" customWidth="1"/>
    <col min="13852" max="13852" width="0" style="1804" hidden="1" customWidth="1"/>
    <col min="13853" max="13853" width="14.7109375" style="1804" customWidth="1"/>
    <col min="13854" max="14080" width="9.140625" style="1804"/>
    <col min="14081" max="14082" width="0.140625" style="1804" customWidth="1"/>
    <col min="14083" max="14083" width="40.7109375" style="1804" customWidth="1"/>
    <col min="14084" max="14094" width="14.7109375" style="1804" customWidth="1"/>
    <col min="14095" max="14095" width="0" style="1804" hidden="1" customWidth="1"/>
    <col min="14096" max="14107" width="14.7109375" style="1804" customWidth="1"/>
    <col min="14108" max="14108" width="0" style="1804" hidden="1" customWidth="1"/>
    <col min="14109" max="14109" width="14.7109375" style="1804" customWidth="1"/>
    <col min="14110" max="14336" width="9.140625" style="1804"/>
    <col min="14337" max="14338" width="0.140625" style="1804" customWidth="1"/>
    <col min="14339" max="14339" width="40.7109375" style="1804" customWidth="1"/>
    <col min="14340" max="14350" width="14.7109375" style="1804" customWidth="1"/>
    <col min="14351" max="14351" width="0" style="1804" hidden="1" customWidth="1"/>
    <col min="14352" max="14363" width="14.7109375" style="1804" customWidth="1"/>
    <col min="14364" max="14364" width="0" style="1804" hidden="1" customWidth="1"/>
    <col min="14365" max="14365" width="14.7109375" style="1804" customWidth="1"/>
    <col min="14366" max="14592" width="9.140625" style="1804"/>
    <col min="14593" max="14594" width="0.140625" style="1804" customWidth="1"/>
    <col min="14595" max="14595" width="40.7109375" style="1804" customWidth="1"/>
    <col min="14596" max="14606" width="14.7109375" style="1804" customWidth="1"/>
    <col min="14607" max="14607" width="0" style="1804" hidden="1" customWidth="1"/>
    <col min="14608" max="14619" width="14.7109375" style="1804" customWidth="1"/>
    <col min="14620" max="14620" width="0" style="1804" hidden="1" customWidth="1"/>
    <col min="14621" max="14621" width="14.7109375" style="1804" customWidth="1"/>
    <col min="14622" max="14848" width="9.140625" style="1804"/>
    <col min="14849" max="14850" width="0.140625" style="1804" customWidth="1"/>
    <col min="14851" max="14851" width="40.7109375" style="1804" customWidth="1"/>
    <col min="14852" max="14862" width="14.7109375" style="1804" customWidth="1"/>
    <col min="14863" max="14863" width="0" style="1804" hidden="1" customWidth="1"/>
    <col min="14864" max="14875" width="14.7109375" style="1804" customWidth="1"/>
    <col min="14876" max="14876" width="0" style="1804" hidden="1" customWidth="1"/>
    <col min="14877" max="14877" width="14.7109375" style="1804" customWidth="1"/>
    <col min="14878" max="15104" width="9.140625" style="1804"/>
    <col min="15105" max="15106" width="0.140625" style="1804" customWidth="1"/>
    <col min="15107" max="15107" width="40.7109375" style="1804" customWidth="1"/>
    <col min="15108" max="15118" width="14.7109375" style="1804" customWidth="1"/>
    <col min="15119" max="15119" width="0" style="1804" hidden="1" customWidth="1"/>
    <col min="15120" max="15131" width="14.7109375" style="1804" customWidth="1"/>
    <col min="15132" max="15132" width="0" style="1804" hidden="1" customWidth="1"/>
    <col min="15133" max="15133" width="14.7109375" style="1804" customWidth="1"/>
    <col min="15134" max="15360" width="9.140625" style="1804"/>
    <col min="15361" max="15362" width="0.140625" style="1804" customWidth="1"/>
    <col min="15363" max="15363" width="40.7109375" style="1804" customWidth="1"/>
    <col min="15364" max="15374" width="14.7109375" style="1804" customWidth="1"/>
    <col min="15375" max="15375" width="0" style="1804" hidden="1" customWidth="1"/>
    <col min="15376" max="15387" width="14.7109375" style="1804" customWidth="1"/>
    <col min="15388" max="15388" width="0" style="1804" hidden="1" customWidth="1"/>
    <col min="15389" max="15389" width="14.7109375" style="1804" customWidth="1"/>
    <col min="15390" max="15616" width="9.140625" style="1804"/>
    <col min="15617" max="15618" width="0.140625" style="1804" customWidth="1"/>
    <col min="15619" max="15619" width="40.7109375" style="1804" customWidth="1"/>
    <col min="15620" max="15630" width="14.7109375" style="1804" customWidth="1"/>
    <col min="15631" max="15631" width="0" style="1804" hidden="1" customWidth="1"/>
    <col min="15632" max="15643" width="14.7109375" style="1804" customWidth="1"/>
    <col min="15644" max="15644" width="0" style="1804" hidden="1" customWidth="1"/>
    <col min="15645" max="15645" width="14.7109375" style="1804" customWidth="1"/>
    <col min="15646" max="15872" width="9.140625" style="1804"/>
    <col min="15873" max="15874" width="0.140625" style="1804" customWidth="1"/>
    <col min="15875" max="15875" width="40.7109375" style="1804" customWidth="1"/>
    <col min="15876" max="15886" width="14.7109375" style="1804" customWidth="1"/>
    <col min="15887" max="15887" width="0" style="1804" hidden="1" customWidth="1"/>
    <col min="15888" max="15899" width="14.7109375" style="1804" customWidth="1"/>
    <col min="15900" max="15900" width="0" style="1804" hidden="1" customWidth="1"/>
    <col min="15901" max="15901" width="14.7109375" style="1804" customWidth="1"/>
    <col min="15902" max="16128" width="9.140625" style="1804"/>
    <col min="16129" max="16130" width="0.140625" style="1804" customWidth="1"/>
    <col min="16131" max="16131" width="40.7109375" style="1804" customWidth="1"/>
    <col min="16132" max="16142" width="14.7109375" style="1804" customWidth="1"/>
    <col min="16143" max="16143" width="0" style="1804" hidden="1" customWidth="1"/>
    <col min="16144" max="16155" width="14.7109375" style="1804" customWidth="1"/>
    <col min="16156" max="16156" width="0" style="1804" hidden="1"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5832</v>
      </c>
      <c r="E2" s="1800" t="s">
        <v>2593</v>
      </c>
      <c r="F2" s="1800" t="s">
        <v>2594</v>
      </c>
      <c r="G2" s="1800" t="s">
        <v>2595</v>
      </c>
      <c r="H2" s="1800" t="s">
        <v>5833</v>
      </c>
      <c r="I2" s="1800" t="s">
        <v>5834</v>
      </c>
      <c r="J2" s="1800" t="s">
        <v>2598</v>
      </c>
      <c r="K2" s="1800" t="s">
        <v>5835</v>
      </c>
      <c r="L2" s="1800" t="s">
        <v>5836</v>
      </c>
      <c r="M2" s="1800" t="s">
        <v>5788</v>
      </c>
      <c r="N2" s="1800" t="s">
        <v>5837</v>
      </c>
      <c r="O2" s="1800" t="s">
        <v>5838</v>
      </c>
      <c r="P2" s="1800" t="s">
        <v>5839</v>
      </c>
      <c r="Q2" s="1801">
        <v>81</v>
      </c>
      <c r="R2" s="1801" t="s">
        <v>2593</v>
      </c>
      <c r="S2" s="1801" t="s">
        <v>2594</v>
      </c>
      <c r="T2" s="1801" t="s">
        <v>2595</v>
      </c>
      <c r="U2" s="1801">
        <v>82</v>
      </c>
      <c r="V2" s="1801">
        <v>83</v>
      </c>
      <c r="W2" s="1801" t="s">
        <v>2598</v>
      </c>
      <c r="X2" s="1801">
        <v>84</v>
      </c>
      <c r="Y2" s="1801">
        <v>85</v>
      </c>
      <c r="Z2" s="1801">
        <v>87</v>
      </c>
      <c r="AA2" s="1801">
        <v>87</v>
      </c>
      <c r="AB2" s="1801">
        <v>88</v>
      </c>
      <c r="AC2" s="1801">
        <v>80</v>
      </c>
      <c r="AD2" s="1802"/>
      <c r="AE2" s="1798"/>
      <c r="AF2" s="1798"/>
      <c r="AG2" s="1798"/>
    </row>
    <row r="3" spans="1:33" ht="27">
      <c r="A3" s="1796"/>
      <c r="B3" s="2834" t="s">
        <v>5792</v>
      </c>
      <c r="C3" s="2085" t="s">
        <v>5761</v>
      </c>
      <c r="D3" s="2085"/>
      <c r="E3" s="2085"/>
      <c r="F3" s="2085"/>
      <c r="G3" s="2085"/>
      <c r="H3" s="2085" t="s">
        <v>5848</v>
      </c>
      <c r="I3" s="2085"/>
      <c r="J3" s="2085"/>
      <c r="K3" s="2085"/>
      <c r="L3" s="2085"/>
      <c r="M3" s="2085"/>
      <c r="N3" s="2085"/>
      <c r="O3" s="2085"/>
      <c r="P3" s="2085"/>
      <c r="Q3" s="2086"/>
      <c r="R3" s="2085"/>
      <c r="S3" s="2085"/>
      <c r="T3" s="2116" t="s">
        <v>5849</v>
      </c>
      <c r="V3" s="2085"/>
      <c r="W3" s="2085"/>
      <c r="X3" s="2085"/>
      <c r="Y3" s="2085"/>
      <c r="Z3" s="2085"/>
      <c r="AA3" s="2085"/>
      <c r="AB3" s="2085"/>
      <c r="AC3" s="2085"/>
      <c r="AD3" s="1803"/>
      <c r="AE3" s="1803"/>
      <c r="AF3" s="1803"/>
      <c r="AG3" s="1803"/>
    </row>
    <row r="4" spans="1:33" ht="18.75" customHeight="1">
      <c r="A4" s="1796"/>
      <c r="B4" s="1796"/>
      <c r="C4" s="2087" t="s">
        <v>5761</v>
      </c>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编制单位：福建省力菲克药业有限公司</v>
      </c>
      <c r="D5" s="2091"/>
      <c r="E5" s="2092"/>
      <c r="F5" s="2092"/>
      <c r="G5" s="2092"/>
      <c r="H5" s="2092"/>
      <c r="I5" s="2092"/>
      <c r="J5" s="2092"/>
      <c r="K5" s="2092"/>
      <c r="L5" s="2093" t="s">
        <v>5793</v>
      </c>
      <c r="M5" s="2093"/>
      <c r="N5" s="2092"/>
      <c r="O5" s="2092"/>
      <c r="P5" s="2092"/>
      <c r="Q5" s="2091"/>
      <c r="R5" s="2092"/>
      <c r="S5" s="2092"/>
      <c r="T5" s="2092"/>
      <c r="U5" s="2092"/>
      <c r="V5" s="2092"/>
      <c r="W5" s="2092"/>
      <c r="X5" s="2092"/>
      <c r="Y5" s="2093" t="s">
        <v>5793</v>
      </c>
      <c r="Z5" s="2093"/>
      <c r="AA5" s="2092"/>
      <c r="AB5" s="2092"/>
      <c r="AC5" s="2092"/>
      <c r="AD5" s="849"/>
      <c r="AE5" s="849"/>
      <c r="AF5" s="849"/>
      <c r="AG5" s="849"/>
    </row>
    <row r="6" spans="1:33" ht="18.75" customHeight="1">
      <c r="A6" s="2835"/>
      <c r="B6" s="2835"/>
      <c r="C6" s="2896" t="s">
        <v>5761</v>
      </c>
      <c r="D6" s="3564" t="str">
        <f>Lead!$F$7</f>
        <v>2019年度</v>
      </c>
      <c r="E6" s="3564"/>
      <c r="F6" s="3564"/>
      <c r="G6" s="3564"/>
      <c r="H6" s="3564"/>
      <c r="I6" s="3564"/>
      <c r="J6" s="3564"/>
      <c r="K6" s="3564"/>
      <c r="L6" s="3564"/>
      <c r="M6" s="3564"/>
      <c r="N6" s="3564"/>
      <c r="O6" s="3564"/>
      <c r="P6" s="3565"/>
      <c r="Q6" s="3566" t="str">
        <f>Lead!$F$8</f>
        <v>2018年度</v>
      </c>
      <c r="R6" s="3564"/>
      <c r="S6" s="3564"/>
      <c r="T6" s="3564"/>
      <c r="U6" s="3564"/>
      <c r="V6" s="3564"/>
      <c r="W6" s="3564"/>
      <c r="X6" s="3564"/>
      <c r="Y6" s="3564"/>
      <c r="Z6" s="3564"/>
      <c r="AA6" s="3564"/>
      <c r="AB6" s="3564"/>
      <c r="AC6" s="3565"/>
      <c r="AD6" s="1803"/>
      <c r="AE6" s="1803"/>
      <c r="AF6" s="1803"/>
      <c r="AG6" s="1803"/>
    </row>
    <row r="7" spans="1:33" ht="18" customHeight="1">
      <c r="A7" s="2835" t="s">
        <v>2556</v>
      </c>
      <c r="B7" s="2835" t="s">
        <v>2558</v>
      </c>
      <c r="C7" s="2897" t="s">
        <v>5134</v>
      </c>
      <c r="D7" s="3567" t="s">
        <v>5851</v>
      </c>
      <c r="E7" s="3568" t="s">
        <v>5795</v>
      </c>
      <c r="F7" s="3568"/>
      <c r="G7" s="3568"/>
      <c r="H7" s="3563" t="s">
        <v>592</v>
      </c>
      <c r="I7" s="3563" t="s">
        <v>682</v>
      </c>
      <c r="J7" s="3563" t="s">
        <v>5796</v>
      </c>
      <c r="K7" s="3563" t="s">
        <v>627</v>
      </c>
      <c r="L7" s="3563" t="s">
        <v>602</v>
      </c>
      <c r="M7" s="3561" t="s">
        <v>5873</v>
      </c>
      <c r="N7" s="3563" t="s">
        <v>611</v>
      </c>
      <c r="O7" s="3563" t="s">
        <v>932</v>
      </c>
      <c r="P7" s="3569" t="s">
        <v>2614</v>
      </c>
      <c r="Q7" s="3570" t="s">
        <v>5851</v>
      </c>
      <c r="R7" s="3568" t="s">
        <v>5795</v>
      </c>
      <c r="S7" s="3568"/>
      <c r="T7" s="3568"/>
      <c r="U7" s="3563" t="s">
        <v>592</v>
      </c>
      <c r="V7" s="3563" t="s">
        <v>682</v>
      </c>
      <c r="W7" s="3563" t="s">
        <v>5796</v>
      </c>
      <c r="X7" s="3563" t="s">
        <v>627</v>
      </c>
      <c r="Y7" s="3563" t="s">
        <v>602</v>
      </c>
      <c r="Z7" s="3561" t="s">
        <v>5873</v>
      </c>
      <c r="AA7" s="3563" t="s">
        <v>611</v>
      </c>
      <c r="AB7" s="3563" t="s">
        <v>932</v>
      </c>
      <c r="AC7" s="3569" t="s">
        <v>5850</v>
      </c>
      <c r="AD7" s="1806"/>
      <c r="AE7" s="1803"/>
      <c r="AF7" s="1803"/>
      <c r="AG7" s="1803"/>
    </row>
    <row r="8" spans="1:33" ht="18" customHeight="1">
      <c r="A8" s="2835"/>
      <c r="B8" s="2835"/>
      <c r="C8" s="2111" t="s">
        <v>5761</v>
      </c>
      <c r="D8" s="3567"/>
      <c r="E8" s="2094" t="s">
        <v>2662</v>
      </c>
      <c r="F8" s="2094" t="s">
        <v>2663</v>
      </c>
      <c r="G8" s="2094" t="s">
        <v>932</v>
      </c>
      <c r="H8" s="3563"/>
      <c r="I8" s="3563"/>
      <c r="J8" s="3563"/>
      <c r="K8" s="3563"/>
      <c r="L8" s="3563"/>
      <c r="M8" s="3562"/>
      <c r="N8" s="3563"/>
      <c r="O8" s="3563"/>
      <c r="P8" s="3569"/>
      <c r="Q8" s="3570"/>
      <c r="R8" s="2094" t="s">
        <v>2662</v>
      </c>
      <c r="S8" s="2094" t="s">
        <v>2663</v>
      </c>
      <c r="T8" s="2094" t="s">
        <v>932</v>
      </c>
      <c r="U8" s="3563"/>
      <c r="V8" s="3563"/>
      <c r="W8" s="3563"/>
      <c r="X8" s="3563"/>
      <c r="Y8" s="3563"/>
      <c r="Z8" s="3562"/>
      <c r="AA8" s="3563"/>
      <c r="AB8" s="3563"/>
      <c r="AC8" s="3569"/>
      <c r="AD8" s="1806"/>
      <c r="AE8" s="1803"/>
      <c r="AF8" s="1803"/>
      <c r="AG8" s="1803"/>
    </row>
    <row r="9" spans="1:33" ht="21.95" customHeight="1">
      <c r="A9" s="2836"/>
      <c r="B9" s="2837" t="s">
        <v>2615</v>
      </c>
      <c r="C9" s="2095" t="str">
        <f t="shared" ref="C9:C15" si="0">VLOOKUP(VALUE($P$2&amp;$B9),Sheet_Items,7,0)</f>
        <v>一、上年年末余额</v>
      </c>
      <c r="D9" s="2096">
        <f>IF(ISERROR(VLOOKUP(VALUE(D$2&amp;$B9),Sheet_Trialbal,6,0)),0,VLOOKUP(VALUE(D$2&amp;$B9),Sheet_Trialbal,6,0))</f>
        <v>30000000</v>
      </c>
      <c r="E9" s="2096">
        <f t="shared" ref="E9:G12" si="1">IF(ISERROR(VLOOKUP(E$2&amp;$B9,Sheet_Trialbal,6,0)),0,VLOOKUP(E$2&amp;$B9,Sheet_Trialbal,6,0))</f>
        <v>0</v>
      </c>
      <c r="F9" s="2096">
        <f t="shared" si="1"/>
        <v>0</v>
      </c>
      <c r="G9" s="2096">
        <f t="shared" si="1"/>
        <v>0</v>
      </c>
      <c r="H9" s="2096">
        <f t="shared" ref="H9:I12" si="2">IF(ISERROR(VLOOKUP(VALUE(H$2&amp;$B9),Sheet_Trialbal,6,0)),0,VLOOKUP(VALUE(H$2&amp;$B9),Sheet_Trialbal,6,0))</f>
        <v>0</v>
      </c>
      <c r="I9" s="2096">
        <f t="shared" si="2"/>
        <v>0</v>
      </c>
      <c r="J9" s="2096">
        <f>IF(ISERROR(VLOOKUP(J$2&amp;$B9,Sheet_Trialbal,6,0)),0,VLOOKUP(J$2&amp;$B9,Sheet_Trialbal,6,0))</f>
        <v>0</v>
      </c>
      <c r="K9" s="2096">
        <f t="shared" ref="K9:O12" si="3">IF(ISERROR(VLOOKUP(VALUE(K$2&amp;$B9),Sheet_Trialbal,6,0)),0,VLOOKUP(VALUE(K$2&amp;$B9),Sheet_Trialbal,6,0))</f>
        <v>0</v>
      </c>
      <c r="L9" s="2096">
        <f t="shared" si="3"/>
        <v>1476848.22</v>
      </c>
      <c r="M9" s="2096">
        <f t="shared" si="3"/>
        <v>0</v>
      </c>
      <c r="N9" s="2096">
        <f t="shared" si="3"/>
        <v>13291633.890000001</v>
      </c>
      <c r="O9" s="2096">
        <f t="shared" si="3"/>
        <v>0</v>
      </c>
      <c r="P9" s="2114">
        <f t="shared" ref="P9:P35" si="4">SUM(D9:H9,-I9,J9:O9)</f>
        <v>44768482.109999999</v>
      </c>
      <c r="Q9" s="2112">
        <f>IF(ISERROR(VLOOKUP(VALUE(Q$2&amp;$B9),Sheet_Trialbal,10,0)),0,VLOOKUP(VALUE(Q$2&amp;$B9),Sheet_Trialbal,10,0))</f>
        <v>30000000</v>
      </c>
      <c r="R9" s="2097">
        <f t="shared" ref="R9:T12" ca="1" si="5">IF(ISERROR(VLOOKUP(R$2&amp;$B9,Sheet_Trialbal,10,0)),0,VLOOKUP(R$2&amp;$B9,Sheet_Trialbal,10,0))</f>
        <v>0</v>
      </c>
      <c r="S9" s="2097">
        <f t="shared" ca="1" si="5"/>
        <v>0</v>
      </c>
      <c r="T9" s="2097">
        <f t="shared" ca="1" si="5"/>
        <v>0</v>
      </c>
      <c r="U9" s="2097">
        <f t="shared" ref="U9:V12" si="6">IF(ISERROR(VLOOKUP(VALUE(U$2&amp;$B9),Sheet_Trialbal,10,0)),0,VLOOKUP(VALUE(U$2&amp;$B9),Sheet_Trialbal,10,0))</f>
        <v>0</v>
      </c>
      <c r="V9" s="2097">
        <f t="shared" si="6"/>
        <v>0</v>
      </c>
      <c r="W9" s="2097">
        <f ca="1">IF(ISERROR(VLOOKUP(W$2&amp;$B9,Sheet_Trialbal,10,0)),0,VLOOKUP(W$2&amp;$B9,Sheet_Trialbal,10,0))</f>
        <v>0</v>
      </c>
      <c r="X9" s="2097">
        <f t="shared" ref="X9:AB12" si="7">IF(ISERROR(VLOOKUP(VALUE(X$2&amp;$B9),Sheet_Trialbal,10,0)),0,VLOOKUP(VALUE(X$2&amp;$B9),Sheet_Trialbal,10,0))</f>
        <v>0</v>
      </c>
      <c r="Y9" s="2097">
        <f t="shared" si="7"/>
        <v>1424825.33</v>
      </c>
      <c r="Z9" s="2097"/>
      <c r="AA9" s="2097">
        <f t="shared" si="7"/>
        <v>12823427.869999999</v>
      </c>
      <c r="AB9" s="2097">
        <f t="shared" si="7"/>
        <v>0</v>
      </c>
      <c r="AC9" s="2098">
        <f t="shared" ref="AC9:AC35" ca="1" si="8">SUM(Q9:U9,-V9,W9:AB9)</f>
        <v>44248253.200000003</v>
      </c>
      <c r="AD9" s="1803"/>
      <c r="AE9" s="1803"/>
      <c r="AF9" s="1803"/>
      <c r="AG9" s="1803"/>
    </row>
    <row r="10" spans="1:33" ht="21.95" customHeight="1">
      <c r="A10" s="2836"/>
      <c r="B10" s="2837" t="s">
        <v>2616</v>
      </c>
      <c r="C10" s="2099" t="str">
        <f t="shared" si="0"/>
        <v>加：会计政策变更</v>
      </c>
      <c r="D10" s="2096">
        <f>IF(ISERROR(VLOOKUP(VALUE(D$2&amp;$B10),Sheet_Trialbal,6,0)),0,VLOOKUP(VALUE(D$2&amp;$B10),Sheet_Trialbal,6,0))</f>
        <v>0</v>
      </c>
      <c r="E10" s="2096">
        <f t="shared" si="1"/>
        <v>0</v>
      </c>
      <c r="F10" s="2096">
        <f t="shared" si="1"/>
        <v>0</v>
      </c>
      <c r="G10" s="2096">
        <f t="shared" si="1"/>
        <v>0</v>
      </c>
      <c r="H10" s="2096">
        <f t="shared" si="2"/>
        <v>0</v>
      </c>
      <c r="I10" s="2096">
        <f t="shared" si="2"/>
        <v>0</v>
      </c>
      <c r="J10" s="2096">
        <f>IF(ISERROR(VLOOKUP(J$2&amp;$B10,Sheet_Trialbal,6,0)),0,VLOOKUP(J$2&amp;$B10,Sheet_Trialbal,6,0))</f>
        <v>0</v>
      </c>
      <c r="K10" s="2096">
        <f t="shared" si="3"/>
        <v>0</v>
      </c>
      <c r="L10" s="2096">
        <f t="shared" si="3"/>
        <v>0</v>
      </c>
      <c r="M10" s="2096">
        <f t="shared" si="3"/>
        <v>0</v>
      </c>
      <c r="N10" s="2096">
        <f t="shared" si="3"/>
        <v>-257562.14</v>
      </c>
      <c r="O10" s="2096">
        <f t="shared" si="3"/>
        <v>0</v>
      </c>
      <c r="P10" s="2114">
        <f t="shared" si="4"/>
        <v>-257562.14</v>
      </c>
      <c r="Q10" s="2112">
        <f>IF(ISERROR(VLOOKUP(VALUE(Q$2&amp;$B10),Sheet_Trialbal,10,0)),0,VLOOKUP(VALUE(Q$2&amp;$B10),Sheet_Trialbal,10,0))</f>
        <v>0</v>
      </c>
      <c r="R10" s="2097">
        <f t="shared" ca="1" si="5"/>
        <v>0</v>
      </c>
      <c r="S10" s="2097">
        <f t="shared" ca="1" si="5"/>
        <v>0</v>
      </c>
      <c r="T10" s="2097">
        <f t="shared" ca="1" si="5"/>
        <v>0</v>
      </c>
      <c r="U10" s="2097">
        <f t="shared" si="6"/>
        <v>0</v>
      </c>
      <c r="V10" s="2097">
        <f t="shared" si="6"/>
        <v>0</v>
      </c>
      <c r="W10" s="2097">
        <f ca="1">IF(ISERROR(VLOOKUP(W$2&amp;$B10,Sheet_Trialbal,10,0)),0,VLOOKUP(W$2&amp;$B10,Sheet_Trialbal,10,0))</f>
        <v>0</v>
      </c>
      <c r="X10" s="2097">
        <f t="shared" si="7"/>
        <v>0</v>
      </c>
      <c r="Y10" s="2097">
        <f t="shared" si="7"/>
        <v>0</v>
      </c>
      <c r="Z10" s="2097">
        <f t="shared" si="7"/>
        <v>0</v>
      </c>
      <c r="AA10" s="2097">
        <f t="shared" si="7"/>
        <v>0</v>
      </c>
      <c r="AB10" s="2097">
        <f t="shared" si="7"/>
        <v>0</v>
      </c>
      <c r="AC10" s="2098">
        <f t="shared" ca="1" si="8"/>
        <v>0</v>
      </c>
      <c r="AD10" s="1803"/>
      <c r="AE10" s="1803"/>
      <c r="AF10" s="1803"/>
      <c r="AG10" s="1803"/>
    </row>
    <row r="11" spans="1:33" ht="21.95" customHeight="1">
      <c r="A11" s="2836"/>
      <c r="B11" s="2837" t="s">
        <v>2617</v>
      </c>
      <c r="C11" s="2099" t="str">
        <f t="shared" si="0"/>
        <v>前期差错更正</v>
      </c>
      <c r="D11" s="2096">
        <f>IF(ISERROR(VLOOKUP(VALUE(D$2&amp;$B11),Sheet_Trialbal,6,0)),0,VLOOKUP(VALUE(D$2&amp;$B11),Sheet_Trialbal,6,0))</f>
        <v>0</v>
      </c>
      <c r="E11" s="2096">
        <f t="shared" si="1"/>
        <v>0</v>
      </c>
      <c r="F11" s="2096">
        <f t="shared" si="1"/>
        <v>0</v>
      </c>
      <c r="G11" s="2096">
        <f t="shared" si="1"/>
        <v>0</v>
      </c>
      <c r="H11" s="2096">
        <f t="shared" si="2"/>
        <v>0</v>
      </c>
      <c r="I11" s="2096">
        <f t="shared" si="2"/>
        <v>0</v>
      </c>
      <c r="J11" s="2096">
        <f>IF(ISERROR(VLOOKUP(J$2&amp;$B11,Sheet_Trialbal,6,0)),0,VLOOKUP(J$2&amp;$B11,Sheet_Trialbal,6,0))</f>
        <v>0</v>
      </c>
      <c r="K11" s="2096">
        <f t="shared" si="3"/>
        <v>0</v>
      </c>
      <c r="L11" s="2096">
        <f t="shared" si="3"/>
        <v>0</v>
      </c>
      <c r="M11" s="2096">
        <f t="shared" si="3"/>
        <v>0</v>
      </c>
      <c r="N11" s="2096">
        <f t="shared" si="3"/>
        <v>0</v>
      </c>
      <c r="O11" s="2096">
        <f t="shared" si="3"/>
        <v>0</v>
      </c>
      <c r="P11" s="2114">
        <f t="shared" si="4"/>
        <v>0</v>
      </c>
      <c r="Q11" s="2112">
        <f>IF(ISERROR(VLOOKUP(VALUE(Q$2&amp;$B11),Sheet_Trialbal,10,0)),0,VLOOKUP(VALUE(Q$2&amp;$B11),Sheet_Trialbal,10,0))</f>
        <v>0</v>
      </c>
      <c r="R11" s="2097">
        <f t="shared" ca="1" si="5"/>
        <v>0</v>
      </c>
      <c r="S11" s="2097">
        <f t="shared" ca="1" si="5"/>
        <v>0</v>
      </c>
      <c r="T11" s="2097">
        <f t="shared" ca="1" si="5"/>
        <v>0</v>
      </c>
      <c r="U11" s="2097">
        <f t="shared" si="6"/>
        <v>0</v>
      </c>
      <c r="V11" s="2097">
        <f t="shared" si="6"/>
        <v>0</v>
      </c>
      <c r="W11" s="2097">
        <f ca="1">IF(ISERROR(VLOOKUP(W$2&amp;$B11,Sheet_Trialbal,10,0)),0,VLOOKUP(W$2&amp;$B11,Sheet_Trialbal,10,0))</f>
        <v>0</v>
      </c>
      <c r="X11" s="2097">
        <f t="shared" si="7"/>
        <v>0</v>
      </c>
      <c r="Y11" s="2097">
        <f t="shared" si="7"/>
        <v>0</v>
      </c>
      <c r="Z11" s="2097">
        <f t="shared" si="7"/>
        <v>0</v>
      </c>
      <c r="AA11" s="2097">
        <f t="shared" si="7"/>
        <v>0</v>
      </c>
      <c r="AB11" s="2097">
        <f t="shared" si="7"/>
        <v>0</v>
      </c>
      <c r="AC11" s="2098">
        <f t="shared" ca="1" si="8"/>
        <v>0</v>
      </c>
      <c r="AD11" s="1803"/>
      <c r="AE11" s="1803"/>
      <c r="AF11" s="1803"/>
      <c r="AG11" s="1803"/>
    </row>
    <row r="12" spans="1:33" ht="21.95" customHeight="1">
      <c r="A12" s="2836"/>
      <c r="B12" s="2837" t="s">
        <v>2619</v>
      </c>
      <c r="C12" s="2099" t="str">
        <f t="shared" si="0"/>
        <v>其他</v>
      </c>
      <c r="D12" s="2096">
        <f>IF(ISERROR(VLOOKUP(VALUE(D$2&amp;$B12),Sheet_Trialbal,6,0)),0,VLOOKUP(VALUE(D$2&amp;$B12),Sheet_Trialbal,6,0))</f>
        <v>0</v>
      </c>
      <c r="E12" s="2096">
        <f t="shared" si="1"/>
        <v>0</v>
      </c>
      <c r="F12" s="2096">
        <f t="shared" si="1"/>
        <v>0</v>
      </c>
      <c r="G12" s="2096">
        <f t="shared" si="1"/>
        <v>0</v>
      </c>
      <c r="H12" s="2096">
        <f t="shared" si="2"/>
        <v>0</v>
      </c>
      <c r="I12" s="2096">
        <f t="shared" si="2"/>
        <v>0</v>
      </c>
      <c r="J12" s="2096">
        <f>IF(ISERROR(VLOOKUP(J$2&amp;$B12,Sheet_Trialbal,6,0)),0,VLOOKUP(J$2&amp;$B12,Sheet_Trialbal,6,0))</f>
        <v>0</v>
      </c>
      <c r="K12" s="2096">
        <f t="shared" si="3"/>
        <v>0</v>
      </c>
      <c r="L12" s="2096">
        <f t="shared" si="3"/>
        <v>0</v>
      </c>
      <c r="M12" s="2096">
        <f t="shared" si="3"/>
        <v>0</v>
      </c>
      <c r="N12" s="2096">
        <f t="shared" si="3"/>
        <v>0</v>
      </c>
      <c r="O12" s="2096">
        <f t="shared" si="3"/>
        <v>0</v>
      </c>
      <c r="P12" s="2114">
        <f t="shared" si="4"/>
        <v>0</v>
      </c>
      <c r="Q12" s="2112">
        <f>IF(ISERROR(VLOOKUP(VALUE(Q$2&amp;$B12),Sheet_Trialbal,10,0)),0,VLOOKUP(VALUE(Q$2&amp;$B12),Sheet_Trialbal,10,0))</f>
        <v>0</v>
      </c>
      <c r="R12" s="2097">
        <f t="shared" ca="1" si="5"/>
        <v>0</v>
      </c>
      <c r="S12" s="2097">
        <f t="shared" ca="1" si="5"/>
        <v>0</v>
      </c>
      <c r="T12" s="2097">
        <f t="shared" ca="1" si="5"/>
        <v>0</v>
      </c>
      <c r="U12" s="2097">
        <f t="shared" si="6"/>
        <v>0</v>
      </c>
      <c r="V12" s="2097">
        <f t="shared" si="6"/>
        <v>0</v>
      </c>
      <c r="W12" s="2097">
        <f ca="1">IF(ISERROR(VLOOKUP(W$2&amp;$B12,Sheet_Trialbal,10,0)),0,VLOOKUP(W$2&amp;$B12,Sheet_Trialbal,10,0))</f>
        <v>0</v>
      </c>
      <c r="X12" s="2097">
        <f t="shared" si="7"/>
        <v>0</v>
      </c>
      <c r="Y12" s="2097">
        <f t="shared" si="7"/>
        <v>0</v>
      </c>
      <c r="Z12" s="2097">
        <f t="shared" si="7"/>
        <v>0</v>
      </c>
      <c r="AA12" s="2097">
        <f t="shared" si="7"/>
        <v>0</v>
      </c>
      <c r="AB12" s="2097">
        <f t="shared" si="7"/>
        <v>0</v>
      </c>
      <c r="AC12" s="2098">
        <f t="shared" ca="1" si="8"/>
        <v>0</v>
      </c>
      <c r="AD12" s="1803"/>
      <c r="AE12" s="1803"/>
      <c r="AF12" s="1803"/>
      <c r="AG12" s="1803"/>
    </row>
    <row r="13" spans="1:33" ht="21.95" customHeight="1">
      <c r="A13" s="2836" t="s">
        <v>287</v>
      </c>
      <c r="B13" s="2837" t="s">
        <v>2620</v>
      </c>
      <c r="C13" s="2095" t="str">
        <f t="shared" si="0"/>
        <v>二、本年年初余额</v>
      </c>
      <c r="D13" s="2096">
        <f t="shared" ref="D13:O13" si="9">SUM(D9:D12)</f>
        <v>30000000</v>
      </c>
      <c r="E13" s="2096">
        <f t="shared" si="9"/>
        <v>0</v>
      </c>
      <c r="F13" s="2096">
        <f t="shared" si="9"/>
        <v>0</v>
      </c>
      <c r="G13" s="2096">
        <f t="shared" si="9"/>
        <v>0</v>
      </c>
      <c r="H13" s="2096">
        <f t="shared" si="9"/>
        <v>0</v>
      </c>
      <c r="I13" s="2096">
        <f t="shared" si="9"/>
        <v>0</v>
      </c>
      <c r="J13" s="2096">
        <f t="shared" si="9"/>
        <v>0</v>
      </c>
      <c r="K13" s="2096">
        <f t="shared" si="9"/>
        <v>0</v>
      </c>
      <c r="L13" s="2096">
        <f t="shared" si="9"/>
        <v>1476848.22</v>
      </c>
      <c r="M13" s="2096">
        <f t="shared" ref="M13" si="10">SUM(M9:M12)</f>
        <v>0</v>
      </c>
      <c r="N13" s="2096">
        <f t="shared" si="9"/>
        <v>13034071.75</v>
      </c>
      <c r="O13" s="2096">
        <f t="shared" si="9"/>
        <v>0</v>
      </c>
      <c r="P13" s="2114">
        <f t="shared" si="4"/>
        <v>44510919.969999999</v>
      </c>
      <c r="Q13" s="2112">
        <f t="shared" ref="Q13:AB13" si="11">SUM(Q9:Q12)</f>
        <v>30000000</v>
      </c>
      <c r="R13" s="2097">
        <f t="shared" ca="1" si="11"/>
        <v>0</v>
      </c>
      <c r="S13" s="2097">
        <f t="shared" ca="1" si="11"/>
        <v>0</v>
      </c>
      <c r="T13" s="2097">
        <f t="shared" ca="1" si="11"/>
        <v>0</v>
      </c>
      <c r="U13" s="2097">
        <f t="shared" si="11"/>
        <v>0</v>
      </c>
      <c r="V13" s="2097">
        <f t="shared" si="11"/>
        <v>0</v>
      </c>
      <c r="W13" s="2097">
        <f t="shared" ca="1" si="11"/>
        <v>0</v>
      </c>
      <c r="X13" s="2097">
        <f t="shared" si="11"/>
        <v>0</v>
      </c>
      <c r="Y13" s="2097">
        <f t="shared" si="11"/>
        <v>1424825.33</v>
      </c>
      <c r="Z13" s="2097"/>
      <c r="AA13" s="2097">
        <f t="shared" si="11"/>
        <v>12823427.869999999</v>
      </c>
      <c r="AB13" s="2097">
        <f t="shared" si="11"/>
        <v>0</v>
      </c>
      <c r="AC13" s="2098">
        <f t="shared" ca="1" si="8"/>
        <v>44248253.200000003</v>
      </c>
      <c r="AD13" s="1803"/>
      <c r="AE13" s="1803"/>
      <c r="AF13" s="1803"/>
      <c r="AG13" s="1803"/>
    </row>
    <row r="14" spans="1:33" ht="18">
      <c r="A14" s="2836" t="s">
        <v>287</v>
      </c>
      <c r="B14" s="2837" t="s">
        <v>2621</v>
      </c>
      <c r="C14" s="2095" t="str">
        <f t="shared" si="0"/>
        <v>三、本年增减变动金额（减少以“－”号填列）</v>
      </c>
      <c r="D14" s="2096">
        <f t="shared" ref="D14:O14" si="12">SUM(D15,D16,D21,D25,D32,D35)</f>
        <v>0</v>
      </c>
      <c r="E14" s="2096">
        <f t="shared" si="12"/>
        <v>0</v>
      </c>
      <c r="F14" s="2096">
        <f t="shared" si="12"/>
        <v>0</v>
      </c>
      <c r="G14" s="2096">
        <f t="shared" si="12"/>
        <v>0</v>
      </c>
      <c r="H14" s="2096">
        <f t="shared" si="12"/>
        <v>10464100</v>
      </c>
      <c r="I14" s="2096">
        <f t="shared" si="12"/>
        <v>0</v>
      </c>
      <c r="J14" s="2096">
        <f t="shared" si="12"/>
        <v>0</v>
      </c>
      <c r="K14" s="2096">
        <f t="shared" si="12"/>
        <v>0</v>
      </c>
      <c r="L14" s="2096">
        <f t="shared" si="12"/>
        <v>8046.4</v>
      </c>
      <c r="M14" s="2096">
        <f t="shared" ref="M14" si="13">SUM(M15,M16,M21,M25,M32,M35)</f>
        <v>0</v>
      </c>
      <c r="N14" s="2096">
        <f t="shared" si="12"/>
        <v>-13822054.73</v>
      </c>
      <c r="O14" s="2096">
        <f t="shared" si="12"/>
        <v>0</v>
      </c>
      <c r="P14" s="2114">
        <f t="shared" si="4"/>
        <v>-3349908.33</v>
      </c>
      <c r="Q14" s="2112">
        <f t="shared" ref="Q14:AB14" si="14">SUM(Q15,Q16,Q21,Q25,Q32,Q35)</f>
        <v>0</v>
      </c>
      <c r="R14" s="2097">
        <f t="shared" ca="1" si="14"/>
        <v>0</v>
      </c>
      <c r="S14" s="2097">
        <f t="shared" ca="1" si="14"/>
        <v>0</v>
      </c>
      <c r="T14" s="2097">
        <f t="shared" ca="1" si="14"/>
        <v>0</v>
      </c>
      <c r="U14" s="2097">
        <f t="shared" si="14"/>
        <v>0</v>
      </c>
      <c r="V14" s="2097">
        <f t="shared" si="14"/>
        <v>0</v>
      </c>
      <c r="W14" s="2097">
        <f t="shared" ca="1" si="14"/>
        <v>0</v>
      </c>
      <c r="X14" s="2097">
        <f t="shared" si="14"/>
        <v>0</v>
      </c>
      <c r="Y14" s="2097">
        <f t="shared" si="14"/>
        <v>52022.89</v>
      </c>
      <c r="Z14" s="2097"/>
      <c r="AA14" s="2097">
        <f t="shared" si="14"/>
        <v>468206.02</v>
      </c>
      <c r="AB14" s="2097">
        <f t="shared" si="14"/>
        <v>0</v>
      </c>
      <c r="AC14" s="2098">
        <f t="shared" ca="1" si="8"/>
        <v>520228.91</v>
      </c>
      <c r="AD14" s="1803"/>
      <c r="AE14" s="1803"/>
      <c r="AF14" s="1803"/>
      <c r="AG14" s="1803"/>
    </row>
    <row r="15" spans="1:33" ht="21.95" customHeight="1">
      <c r="A15" s="2836" t="s">
        <v>287</v>
      </c>
      <c r="B15" s="2837" t="s">
        <v>2624</v>
      </c>
      <c r="C15" s="2099" t="str">
        <f t="shared" si="0"/>
        <v>（一）综合收益总额</v>
      </c>
      <c r="D15" s="2096">
        <f>IF(ISERROR(VLOOKUP(VALUE(D$2&amp;$B15),Sheet_Trialbal,6,0)),0,VLOOKUP(VALUE(D$2&amp;$B15),Sheet_Trialbal,6,0))</f>
        <v>0</v>
      </c>
      <c r="E15" s="2096">
        <f>IF(ISERROR(VLOOKUP(E$2&amp;$B15,Sheet_Trialbal,6,0)),0,VLOOKUP(E$2&amp;$B15,Sheet_Trialbal,6,0))</f>
        <v>0</v>
      </c>
      <c r="F15" s="2096">
        <f>IF(ISERROR(VLOOKUP(F$2&amp;$B15,Sheet_Trialbal,6,0)),0,VLOOKUP(F$2&amp;$B15,Sheet_Trialbal,6,0))</f>
        <v>0</v>
      </c>
      <c r="G15" s="2096">
        <f>IF(ISERROR(VLOOKUP(G$2&amp;$B15,Sheet_Trialbal,6,0)),0,VLOOKUP(G$2&amp;$B15,Sheet_Trialbal,6,0))</f>
        <v>0</v>
      </c>
      <c r="H15" s="2096">
        <f>IF(ISERROR(VLOOKUP(VALUE(H$2&amp;$B15),Sheet_Trialbal,6,0)),0,VLOOKUP(VALUE(H$2&amp;$B15),Sheet_Trialbal,6,0))</f>
        <v>0</v>
      </c>
      <c r="I15" s="2096">
        <f>IF(ISERROR(VLOOKUP(VALUE(I$2&amp;$B15),Sheet_Trialbal,6,0)),0,VLOOKUP(VALUE(I$2&amp;$B15),Sheet_Trialbal,6,0))</f>
        <v>0</v>
      </c>
      <c r="J15" s="2096">
        <f>IF(ISERROR(VLOOKUP(J$2&amp;$B15,Sheet_Trialbal,6,0)),0,VLOOKUP(J$2&amp;$B15,Sheet_Trialbal,6,0))</f>
        <v>0</v>
      </c>
      <c r="K15" s="2096">
        <f>IF(ISERROR(VLOOKUP(VALUE(K$2&amp;$B15),Sheet_Trialbal,6,0)),0,VLOOKUP(VALUE(K$2&amp;$B15),Sheet_Trialbal,6,0))</f>
        <v>0</v>
      </c>
      <c r="L15" s="2096">
        <f>IF(ISERROR(VLOOKUP(VALUE(L$2&amp;$B15),Sheet_Trialbal,6,0)),0,VLOOKUP(VALUE(L$2&amp;$B15),Sheet_Trialbal,6,0))</f>
        <v>0</v>
      </c>
      <c r="M15" s="2096">
        <f>IF(ISERROR(VLOOKUP(VALUE(M$2&amp;$B15),Sheet_Trialbal,6,0)),0,VLOOKUP(VALUE(M$2&amp;$B15),Sheet_Trialbal,6,0))</f>
        <v>0</v>
      </c>
      <c r="N15" s="2096">
        <f>IF(ISERROR(VLOOKUP(VALUE(N$2&amp;$B15),Sheet_Trialbal,6,0)),0,VLOOKUP(VALUE(N$2&amp;$B15),Sheet_Trialbal,6,0))</f>
        <v>-3349908.33</v>
      </c>
      <c r="O15" s="2096">
        <f>IF(ISERROR(VLOOKUP(VALUE(O$2&amp;$B15),Sheet_Trialbal,6,0)),0,VLOOKUP(VALUE(O$2&amp;$B15),Sheet_Trialbal,6,0))</f>
        <v>0</v>
      </c>
      <c r="P15" s="2114">
        <f t="shared" si="4"/>
        <v>-3349908.33</v>
      </c>
      <c r="Q15" s="2112">
        <f>IF(ISERROR(VLOOKUP(VALUE(Q$2&amp;$B15),Sheet_Trialbal,10,0)),0,VLOOKUP(VALUE(Q$2&amp;$B15),Sheet_Trialbal,10,0))</f>
        <v>0</v>
      </c>
      <c r="R15" s="2097">
        <f ca="1">IF(ISERROR(VLOOKUP(R$2&amp;$B15,Sheet_Trialbal,10,0)),0,VLOOKUP(R$2&amp;$B15,Sheet_Trialbal,10,0))</f>
        <v>0</v>
      </c>
      <c r="S15" s="2097">
        <f ca="1">IF(ISERROR(VLOOKUP(S$2&amp;$B15,Sheet_Trialbal,10,0)),0,VLOOKUP(S$2&amp;$B15,Sheet_Trialbal,10,0))</f>
        <v>0</v>
      </c>
      <c r="T15" s="2097">
        <f ca="1">IF(ISERROR(VLOOKUP(T$2&amp;$B15,Sheet_Trialbal,10,0)),0,VLOOKUP(T$2&amp;$B15,Sheet_Trialbal,10,0))</f>
        <v>0</v>
      </c>
      <c r="U15" s="2097">
        <f>IF(ISERROR(VLOOKUP(VALUE(U$2&amp;$B15),Sheet_Trialbal,10,0)),0,VLOOKUP(VALUE(U$2&amp;$B15),Sheet_Trialbal,10,0))</f>
        <v>0</v>
      </c>
      <c r="V15" s="2097">
        <f>IF(ISERROR(VLOOKUP(VALUE(V$2&amp;$B15),Sheet_Trialbal,10,0)),0,VLOOKUP(VALUE(V$2&amp;$B15),Sheet_Trialbal,10,0))</f>
        <v>0</v>
      </c>
      <c r="W15" s="2097">
        <f ca="1">IF(ISERROR(VLOOKUP(W$2&amp;$B15,Sheet_Trialbal,10,0)),0,VLOOKUP(W$2&amp;$B15,Sheet_Trialbal,10,0))</f>
        <v>0</v>
      </c>
      <c r="X15" s="2097">
        <f>IF(ISERROR(VLOOKUP(VALUE(X$2&amp;$B15),Sheet_Trialbal,10,0)),0,VLOOKUP(VALUE(X$2&amp;$B15),Sheet_Trialbal,10,0))</f>
        <v>0</v>
      </c>
      <c r="Y15" s="2097">
        <f>IF(ISERROR(VLOOKUP(VALUE(Y$2&amp;$B15),Sheet_Trialbal,10,0)),0,VLOOKUP(VALUE(Y$2&amp;$B15),Sheet_Trialbal,10,0))</f>
        <v>0</v>
      </c>
      <c r="Z15" s="2097"/>
      <c r="AA15" s="2097">
        <f>IF(ISERROR(VLOOKUP(VALUE(AA$2&amp;$B15),Sheet_Trialbal,10,0)),0,VLOOKUP(VALUE(AA$2&amp;$B15),Sheet_Trialbal,10,0))</f>
        <v>520228.91</v>
      </c>
      <c r="AB15" s="2097">
        <f>IF(ISERROR(VLOOKUP(VALUE(AB$2&amp;$B15),Sheet_Trialbal,10,0)),0,VLOOKUP(VALUE(AB$2&amp;$B15),Sheet_Trialbal,10,0))</f>
        <v>0</v>
      </c>
      <c r="AC15" s="2098">
        <f t="shared" ca="1" si="8"/>
        <v>520228.91</v>
      </c>
      <c r="AD15" s="1803"/>
      <c r="AE15" s="1803"/>
      <c r="AF15" s="1803"/>
      <c r="AG15" s="1803"/>
    </row>
    <row r="16" spans="1:33" ht="21.95" customHeight="1">
      <c r="A16" s="2836" t="s">
        <v>287</v>
      </c>
      <c r="B16" s="2837" t="s">
        <v>2625</v>
      </c>
      <c r="C16" s="2100" t="str">
        <f>VLOOKUP(VALUE($P$2&amp;$B16),Sheet_Items,6,0)</f>
        <v>（二）所有者投入和减少资本</v>
      </c>
      <c r="D16" s="2096">
        <f t="shared" ref="D16:O16" si="15">SUM(D17:D20)</f>
        <v>0</v>
      </c>
      <c r="E16" s="2096">
        <f t="shared" si="15"/>
        <v>0</v>
      </c>
      <c r="F16" s="2096">
        <f t="shared" si="15"/>
        <v>0</v>
      </c>
      <c r="G16" s="2096">
        <f t="shared" si="15"/>
        <v>0</v>
      </c>
      <c r="H16" s="2096">
        <f t="shared" si="15"/>
        <v>10464100</v>
      </c>
      <c r="I16" s="2096">
        <f t="shared" si="15"/>
        <v>0</v>
      </c>
      <c r="J16" s="2096">
        <f t="shared" si="15"/>
        <v>0</v>
      </c>
      <c r="K16" s="2096">
        <f t="shared" si="15"/>
        <v>0</v>
      </c>
      <c r="L16" s="2096">
        <f t="shared" si="15"/>
        <v>0</v>
      </c>
      <c r="M16" s="2096">
        <f t="shared" ref="M16" si="16">SUM(M17:M20)</f>
        <v>0</v>
      </c>
      <c r="N16" s="2096">
        <f t="shared" si="15"/>
        <v>0</v>
      </c>
      <c r="O16" s="2096">
        <f t="shared" si="15"/>
        <v>0</v>
      </c>
      <c r="P16" s="2114">
        <f t="shared" si="4"/>
        <v>10464100</v>
      </c>
      <c r="Q16" s="2112">
        <f t="shared" ref="Q16:AB16" si="17">SUM(Q17:Q20)</f>
        <v>0</v>
      </c>
      <c r="R16" s="2097">
        <f t="shared" ca="1" si="17"/>
        <v>0</v>
      </c>
      <c r="S16" s="2097">
        <f t="shared" ca="1" si="17"/>
        <v>0</v>
      </c>
      <c r="T16" s="2097">
        <f t="shared" ca="1" si="17"/>
        <v>0</v>
      </c>
      <c r="U16" s="2097">
        <f t="shared" si="17"/>
        <v>0</v>
      </c>
      <c r="V16" s="2097">
        <f t="shared" si="17"/>
        <v>0</v>
      </c>
      <c r="W16" s="2097">
        <f t="shared" ca="1" si="17"/>
        <v>0</v>
      </c>
      <c r="X16" s="2097">
        <f t="shared" si="17"/>
        <v>0</v>
      </c>
      <c r="Y16" s="2097">
        <f t="shared" si="17"/>
        <v>0</v>
      </c>
      <c r="Z16" s="2097">
        <f t="shared" ref="Z16" si="18">SUM(Z17:Z20)</f>
        <v>0</v>
      </c>
      <c r="AA16" s="2097">
        <f t="shared" si="17"/>
        <v>0</v>
      </c>
      <c r="AB16" s="2097">
        <f t="shared" si="17"/>
        <v>0</v>
      </c>
      <c r="AC16" s="2098">
        <f t="shared" ca="1" si="8"/>
        <v>0</v>
      </c>
      <c r="AD16" s="1803"/>
      <c r="AE16" s="1803"/>
      <c r="AF16" s="1803"/>
      <c r="AG16" s="1803"/>
    </row>
    <row r="17" spans="1:33" ht="21.95" customHeight="1">
      <c r="A17" s="2836"/>
      <c r="B17" s="2837" t="s">
        <v>2626</v>
      </c>
      <c r="C17" s="2101" t="str">
        <f>VLOOKUP(VALUE($P$2&amp;$B17),Sheet_Items,6,0)</f>
        <v>所有者投入的普通股</v>
      </c>
      <c r="D17" s="2096">
        <f>IF(ISERROR(VLOOKUP(VALUE(D$2&amp;$B17),Sheet_Trialbal,6,0)),0,VLOOKUP(VALUE(D$2&amp;$B17),Sheet_Trialbal,6,0))</f>
        <v>0</v>
      </c>
      <c r="E17" s="2096">
        <f t="shared" ref="E17:G20" si="19">IF(ISERROR(VLOOKUP(E$2&amp;$B17,Sheet_Trialbal,6,0)),0,VLOOKUP(E$2&amp;$B17,Sheet_Trialbal,6,0))</f>
        <v>0</v>
      </c>
      <c r="F17" s="2096">
        <f t="shared" si="19"/>
        <v>0</v>
      </c>
      <c r="G17" s="2096">
        <f t="shared" si="19"/>
        <v>0</v>
      </c>
      <c r="H17" s="2096">
        <f t="shared" ref="H17:I20" si="20">IF(ISERROR(VLOOKUP(VALUE(H$2&amp;$B17),Sheet_Trialbal,6,0)),0,VLOOKUP(VALUE(H$2&amp;$B17),Sheet_Trialbal,6,0))</f>
        <v>10464100</v>
      </c>
      <c r="I17" s="2096">
        <f t="shared" si="20"/>
        <v>0</v>
      </c>
      <c r="J17" s="2096">
        <f>IF(ISERROR(VLOOKUP(J$2&amp;$B17,Sheet_Trialbal,6,0)),0,VLOOKUP(J$2&amp;$B17,Sheet_Trialbal,6,0))</f>
        <v>0</v>
      </c>
      <c r="K17" s="2096">
        <f t="shared" ref="K17:O20" si="21">IF(ISERROR(VLOOKUP(VALUE(K$2&amp;$B17),Sheet_Trialbal,6,0)),0,VLOOKUP(VALUE(K$2&amp;$B17),Sheet_Trialbal,6,0))</f>
        <v>0</v>
      </c>
      <c r="L17" s="2096">
        <f t="shared" si="21"/>
        <v>0</v>
      </c>
      <c r="M17" s="2096">
        <f t="shared" si="21"/>
        <v>0</v>
      </c>
      <c r="N17" s="2096">
        <f t="shared" si="21"/>
        <v>0</v>
      </c>
      <c r="O17" s="2096">
        <f t="shared" si="21"/>
        <v>0</v>
      </c>
      <c r="P17" s="2114">
        <f t="shared" si="4"/>
        <v>10464100</v>
      </c>
      <c r="Q17" s="2112">
        <f>IF(ISERROR(VLOOKUP(VALUE(Q$2&amp;$B17),Sheet_Trialbal,10,0)),0,VLOOKUP(VALUE(Q$2&amp;$B17),Sheet_Trialbal,10,0))</f>
        <v>0</v>
      </c>
      <c r="R17" s="2097">
        <f t="shared" ref="R17:T20" ca="1" si="22">IF(ISERROR(VLOOKUP(R$2&amp;$B17,Sheet_Trialbal,10,0)),0,VLOOKUP(R$2&amp;$B17,Sheet_Trialbal,10,0))</f>
        <v>0</v>
      </c>
      <c r="S17" s="2097">
        <f t="shared" ca="1" si="22"/>
        <v>0</v>
      </c>
      <c r="T17" s="2097">
        <f t="shared" ca="1" si="22"/>
        <v>0</v>
      </c>
      <c r="U17" s="2097">
        <f t="shared" ref="U17:V20" si="23">IF(ISERROR(VLOOKUP(VALUE(U$2&amp;$B17),Sheet_Trialbal,10,0)),0,VLOOKUP(VALUE(U$2&amp;$B17),Sheet_Trialbal,10,0))</f>
        <v>0</v>
      </c>
      <c r="V17" s="2097">
        <f t="shared" si="23"/>
        <v>0</v>
      </c>
      <c r="W17" s="2097">
        <f ca="1">IF(ISERROR(VLOOKUP(W$2&amp;$B17,Sheet_Trialbal,10,0)),0,VLOOKUP(W$2&amp;$B17,Sheet_Trialbal,10,0))</f>
        <v>0</v>
      </c>
      <c r="X17" s="2097">
        <f t="shared" ref="X17:AB20" si="24">IF(ISERROR(VLOOKUP(VALUE(X$2&amp;$B17),Sheet_Trialbal,10,0)),0,VLOOKUP(VALUE(X$2&amp;$B17),Sheet_Trialbal,10,0))</f>
        <v>0</v>
      </c>
      <c r="Y17" s="2097">
        <f t="shared" si="24"/>
        <v>0</v>
      </c>
      <c r="Z17" s="2097">
        <f t="shared" si="24"/>
        <v>0</v>
      </c>
      <c r="AA17" s="2097">
        <f t="shared" si="24"/>
        <v>0</v>
      </c>
      <c r="AB17" s="2097">
        <f t="shared" si="24"/>
        <v>0</v>
      </c>
      <c r="AC17" s="2098">
        <f t="shared" ca="1" si="8"/>
        <v>0</v>
      </c>
      <c r="AD17" s="1803"/>
      <c r="AE17" s="1803"/>
      <c r="AF17" s="1803"/>
      <c r="AG17" s="1803"/>
    </row>
    <row r="18" spans="1:33" ht="21.95" customHeight="1">
      <c r="A18" s="2836"/>
      <c r="B18" s="2837" t="s">
        <v>2627</v>
      </c>
      <c r="C18" s="2102" t="str">
        <f>VLOOKUP(VALUE($P$2&amp;$B18),Sheet_Items,7,0)</f>
        <v>其他权益工具持有者投入资本</v>
      </c>
      <c r="D18" s="2096">
        <f>IF(ISERROR(VLOOKUP(VALUE(D$2&amp;$B18),Sheet_Trialbal,6,0)),0,VLOOKUP(VALUE(D$2&amp;$B18),Sheet_Trialbal,6,0))</f>
        <v>0</v>
      </c>
      <c r="E18" s="2096">
        <f t="shared" si="19"/>
        <v>0</v>
      </c>
      <c r="F18" s="2096">
        <f t="shared" si="19"/>
        <v>0</v>
      </c>
      <c r="G18" s="2096">
        <f t="shared" si="19"/>
        <v>0</v>
      </c>
      <c r="H18" s="2096">
        <f t="shared" si="20"/>
        <v>0</v>
      </c>
      <c r="I18" s="2096">
        <f t="shared" si="20"/>
        <v>0</v>
      </c>
      <c r="J18" s="2096">
        <f>IF(ISERROR(VLOOKUP(J$2&amp;$B18,Sheet_Trialbal,6,0)),0,VLOOKUP(J$2&amp;$B18,Sheet_Trialbal,6,0))</f>
        <v>0</v>
      </c>
      <c r="K18" s="2096">
        <f t="shared" si="21"/>
        <v>0</v>
      </c>
      <c r="L18" s="2096">
        <f t="shared" si="21"/>
        <v>0</v>
      </c>
      <c r="M18" s="2096">
        <f t="shared" si="21"/>
        <v>0</v>
      </c>
      <c r="N18" s="2096">
        <f t="shared" si="21"/>
        <v>0</v>
      </c>
      <c r="O18" s="2096">
        <f t="shared" si="21"/>
        <v>0</v>
      </c>
      <c r="P18" s="2114">
        <f t="shared" si="4"/>
        <v>0</v>
      </c>
      <c r="Q18" s="2112">
        <f>IF(ISERROR(VLOOKUP(VALUE(Q$2&amp;$B18),Sheet_Trialbal,10,0)),0,VLOOKUP(VALUE(Q$2&amp;$B18),Sheet_Trialbal,10,0))</f>
        <v>0</v>
      </c>
      <c r="R18" s="2097">
        <f t="shared" ca="1" si="22"/>
        <v>0</v>
      </c>
      <c r="S18" s="2097">
        <f t="shared" ca="1" si="22"/>
        <v>0</v>
      </c>
      <c r="T18" s="2097">
        <f t="shared" ca="1" si="22"/>
        <v>0</v>
      </c>
      <c r="U18" s="2097">
        <f t="shared" si="23"/>
        <v>0</v>
      </c>
      <c r="V18" s="2097">
        <f t="shared" si="23"/>
        <v>0</v>
      </c>
      <c r="W18" s="2097">
        <f ca="1">IF(ISERROR(VLOOKUP(W$2&amp;$B18,Sheet_Trialbal,10,0)),0,VLOOKUP(W$2&amp;$B18,Sheet_Trialbal,10,0))</f>
        <v>0</v>
      </c>
      <c r="X18" s="2097">
        <f t="shared" si="24"/>
        <v>0</v>
      </c>
      <c r="Y18" s="2097">
        <f t="shared" si="24"/>
        <v>0</v>
      </c>
      <c r="Z18" s="2097">
        <f t="shared" si="24"/>
        <v>0</v>
      </c>
      <c r="AA18" s="2097">
        <f t="shared" si="24"/>
        <v>0</v>
      </c>
      <c r="AB18" s="2097">
        <f t="shared" si="24"/>
        <v>0</v>
      </c>
      <c r="AC18" s="2098">
        <f t="shared" ca="1" si="8"/>
        <v>0</v>
      </c>
      <c r="AD18" s="1803"/>
      <c r="AE18" s="1803"/>
      <c r="AF18" s="1803"/>
      <c r="AG18" s="1803"/>
    </row>
    <row r="19" spans="1:33" ht="21.95" customHeight="1">
      <c r="A19" s="2836"/>
      <c r="B19" s="2837" t="s">
        <v>2628</v>
      </c>
      <c r="C19" s="2103" t="str">
        <f>VLOOKUP(VALUE($P$2&amp;$B19),Sheet_Items,6,0)</f>
        <v>股份支付计入所有者权益的金额</v>
      </c>
      <c r="D19" s="2096">
        <f>IF(ISERROR(VLOOKUP(VALUE(D$2&amp;$B19),Sheet_Trialbal,6,0)),0,VLOOKUP(VALUE(D$2&amp;$B19),Sheet_Trialbal,6,0))</f>
        <v>0</v>
      </c>
      <c r="E19" s="2096">
        <f t="shared" si="19"/>
        <v>0</v>
      </c>
      <c r="F19" s="2096">
        <f t="shared" si="19"/>
        <v>0</v>
      </c>
      <c r="G19" s="2096">
        <f t="shared" si="19"/>
        <v>0</v>
      </c>
      <c r="H19" s="2096">
        <f t="shared" si="20"/>
        <v>0</v>
      </c>
      <c r="I19" s="2096">
        <f t="shared" si="20"/>
        <v>0</v>
      </c>
      <c r="J19" s="2096">
        <f>IF(ISERROR(VLOOKUP(J$2&amp;$B19,Sheet_Trialbal,6,0)),0,VLOOKUP(J$2&amp;$B19,Sheet_Trialbal,6,0))</f>
        <v>0</v>
      </c>
      <c r="K19" s="2096">
        <f t="shared" si="21"/>
        <v>0</v>
      </c>
      <c r="L19" s="2096">
        <f t="shared" si="21"/>
        <v>0</v>
      </c>
      <c r="M19" s="2096">
        <f t="shared" si="21"/>
        <v>0</v>
      </c>
      <c r="N19" s="2096">
        <f t="shared" si="21"/>
        <v>0</v>
      </c>
      <c r="O19" s="2096">
        <f t="shared" si="21"/>
        <v>0</v>
      </c>
      <c r="P19" s="2114">
        <f t="shared" si="4"/>
        <v>0</v>
      </c>
      <c r="Q19" s="2112">
        <f>IF(ISERROR(VLOOKUP(VALUE(Q$2&amp;$B19),Sheet_Trialbal,10,0)),0,VLOOKUP(VALUE(Q$2&amp;$B19),Sheet_Trialbal,10,0))</f>
        <v>0</v>
      </c>
      <c r="R19" s="2097">
        <f t="shared" ca="1" si="22"/>
        <v>0</v>
      </c>
      <c r="S19" s="2097">
        <f t="shared" ca="1" si="22"/>
        <v>0</v>
      </c>
      <c r="T19" s="2097">
        <f t="shared" ca="1" si="22"/>
        <v>0</v>
      </c>
      <c r="U19" s="2097">
        <f t="shared" si="23"/>
        <v>0</v>
      </c>
      <c r="V19" s="2097">
        <f t="shared" si="23"/>
        <v>0</v>
      </c>
      <c r="W19" s="2097">
        <f ca="1">IF(ISERROR(VLOOKUP(W$2&amp;$B19,Sheet_Trialbal,10,0)),0,VLOOKUP(W$2&amp;$B19,Sheet_Trialbal,10,0))</f>
        <v>0</v>
      </c>
      <c r="X19" s="2097">
        <f t="shared" si="24"/>
        <v>0</v>
      </c>
      <c r="Y19" s="2097">
        <f t="shared" si="24"/>
        <v>0</v>
      </c>
      <c r="Z19" s="2097">
        <f t="shared" si="24"/>
        <v>0</v>
      </c>
      <c r="AA19" s="2097">
        <f t="shared" si="24"/>
        <v>0</v>
      </c>
      <c r="AB19" s="2097">
        <f t="shared" si="24"/>
        <v>0</v>
      </c>
      <c r="AC19" s="2098">
        <f t="shared" ca="1" si="8"/>
        <v>0</v>
      </c>
      <c r="AD19" s="1803"/>
      <c r="AE19" s="1803"/>
      <c r="AF19" s="1803"/>
      <c r="AG19" s="1803"/>
    </row>
    <row r="20" spans="1:33" ht="21.95" customHeight="1">
      <c r="A20" s="2836"/>
      <c r="B20" s="2837" t="s">
        <v>2629</v>
      </c>
      <c r="C20" s="2104" t="str">
        <f>VLOOKUP(VALUE($P$2&amp;$B20),Sheet_Items,7,0)</f>
        <v>其他</v>
      </c>
      <c r="D20" s="2096">
        <f>IF(ISERROR(VLOOKUP(VALUE(D$2&amp;$B20),Sheet_Trialbal,6,0)),0,VLOOKUP(VALUE(D$2&amp;$B20),Sheet_Trialbal,6,0))</f>
        <v>0</v>
      </c>
      <c r="E20" s="2096">
        <f t="shared" si="19"/>
        <v>0</v>
      </c>
      <c r="F20" s="2096">
        <f t="shared" si="19"/>
        <v>0</v>
      </c>
      <c r="G20" s="2096">
        <f t="shared" si="19"/>
        <v>0</v>
      </c>
      <c r="H20" s="2096">
        <f t="shared" si="20"/>
        <v>0</v>
      </c>
      <c r="I20" s="2096">
        <f t="shared" si="20"/>
        <v>0</v>
      </c>
      <c r="J20" s="2096">
        <f>IF(ISERROR(VLOOKUP(J$2&amp;$B20,Sheet_Trialbal,6,0)),0,VLOOKUP(J$2&amp;$B20,Sheet_Trialbal,6,0))</f>
        <v>0</v>
      </c>
      <c r="K20" s="2096">
        <f t="shared" si="21"/>
        <v>0</v>
      </c>
      <c r="L20" s="2096">
        <f t="shared" si="21"/>
        <v>0</v>
      </c>
      <c r="M20" s="2096">
        <f t="shared" si="21"/>
        <v>0</v>
      </c>
      <c r="N20" s="2096">
        <f t="shared" si="21"/>
        <v>0</v>
      </c>
      <c r="O20" s="2096">
        <f t="shared" si="21"/>
        <v>0</v>
      </c>
      <c r="P20" s="2114">
        <f t="shared" si="4"/>
        <v>0</v>
      </c>
      <c r="Q20" s="2112">
        <f>IF(ISERROR(VLOOKUP(VALUE(Q$2&amp;$B20),Sheet_Trialbal,10,0)),0,VLOOKUP(VALUE(Q$2&amp;$B20),Sheet_Trialbal,10,0))</f>
        <v>0</v>
      </c>
      <c r="R20" s="2097">
        <f t="shared" ca="1" si="22"/>
        <v>0</v>
      </c>
      <c r="S20" s="2097">
        <f t="shared" ca="1" si="22"/>
        <v>0</v>
      </c>
      <c r="T20" s="2097">
        <f t="shared" ca="1" si="22"/>
        <v>0</v>
      </c>
      <c r="U20" s="2097">
        <f t="shared" si="23"/>
        <v>0</v>
      </c>
      <c r="V20" s="2097">
        <f t="shared" si="23"/>
        <v>0</v>
      </c>
      <c r="W20" s="2097">
        <f ca="1">IF(ISERROR(VLOOKUP(W$2&amp;$B20,Sheet_Trialbal,10,0)),0,VLOOKUP(W$2&amp;$B20,Sheet_Trialbal,10,0))</f>
        <v>0</v>
      </c>
      <c r="X20" s="2097">
        <f t="shared" si="24"/>
        <v>0</v>
      </c>
      <c r="Y20" s="2097">
        <f t="shared" si="24"/>
        <v>0</v>
      </c>
      <c r="Z20" s="2097">
        <f t="shared" si="24"/>
        <v>0</v>
      </c>
      <c r="AA20" s="2097">
        <f t="shared" si="24"/>
        <v>0</v>
      </c>
      <c r="AB20" s="2097">
        <f t="shared" si="24"/>
        <v>0</v>
      </c>
      <c r="AC20" s="2098">
        <f t="shared" ca="1" si="8"/>
        <v>0</v>
      </c>
      <c r="AD20" s="1803"/>
      <c r="AE20" s="1803"/>
      <c r="AF20" s="1803"/>
      <c r="AG20" s="1803"/>
    </row>
    <row r="21" spans="1:33" ht="21.95" customHeight="1">
      <c r="A21" s="2836" t="s">
        <v>287</v>
      </c>
      <c r="B21" s="2837" t="s">
        <v>2630</v>
      </c>
      <c r="C21" s="2099" t="str">
        <f>VLOOKUP(VALUE($P$2&amp;$B21),Sheet_Items,7,0)</f>
        <v>（三）利润分配</v>
      </c>
      <c r="D21" s="2096">
        <f t="shared" ref="D21:O21" si="25">SUM(D22:D24)</f>
        <v>0</v>
      </c>
      <c r="E21" s="2096">
        <f t="shared" si="25"/>
        <v>0</v>
      </c>
      <c r="F21" s="2096">
        <f t="shared" si="25"/>
        <v>0</v>
      </c>
      <c r="G21" s="2096">
        <f t="shared" si="25"/>
        <v>0</v>
      </c>
      <c r="H21" s="2096">
        <f t="shared" si="25"/>
        <v>0</v>
      </c>
      <c r="I21" s="2096">
        <f t="shared" si="25"/>
        <v>0</v>
      </c>
      <c r="J21" s="2096">
        <f t="shared" si="25"/>
        <v>0</v>
      </c>
      <c r="K21" s="2096">
        <f t="shared" si="25"/>
        <v>0</v>
      </c>
      <c r="L21" s="2096">
        <f t="shared" si="25"/>
        <v>8046.4</v>
      </c>
      <c r="M21" s="2096">
        <f t="shared" ref="M21" si="26">SUM(M22:M24)</f>
        <v>0</v>
      </c>
      <c r="N21" s="2096">
        <f t="shared" si="25"/>
        <v>-10472146.4</v>
      </c>
      <c r="O21" s="2096">
        <f t="shared" si="25"/>
        <v>0</v>
      </c>
      <c r="P21" s="2114">
        <f t="shared" si="4"/>
        <v>-10464100</v>
      </c>
      <c r="Q21" s="2112">
        <f t="shared" ref="Q21:AB21" si="27">SUM(Q22:Q24)</f>
        <v>0</v>
      </c>
      <c r="R21" s="2097">
        <f t="shared" ca="1" si="27"/>
        <v>0</v>
      </c>
      <c r="S21" s="2097">
        <f t="shared" ca="1" si="27"/>
        <v>0</v>
      </c>
      <c r="T21" s="2097">
        <f t="shared" ca="1" si="27"/>
        <v>0</v>
      </c>
      <c r="U21" s="2097">
        <f t="shared" si="27"/>
        <v>0</v>
      </c>
      <c r="V21" s="2097">
        <f t="shared" si="27"/>
        <v>0</v>
      </c>
      <c r="W21" s="2097">
        <f t="shared" ca="1" si="27"/>
        <v>0</v>
      </c>
      <c r="X21" s="2097">
        <f t="shared" si="27"/>
        <v>0</v>
      </c>
      <c r="Y21" s="2097">
        <f t="shared" si="27"/>
        <v>52022.89</v>
      </c>
      <c r="Z21" s="2097"/>
      <c r="AA21" s="2097">
        <f t="shared" si="27"/>
        <v>-52022.89</v>
      </c>
      <c r="AB21" s="2097">
        <f t="shared" si="27"/>
        <v>0</v>
      </c>
      <c r="AC21" s="2098">
        <f t="shared" ca="1" si="8"/>
        <v>0</v>
      </c>
      <c r="AD21" s="1803"/>
      <c r="AE21" s="1803"/>
      <c r="AF21" s="1803"/>
      <c r="AG21" s="1803"/>
    </row>
    <row r="22" spans="1:33" ht="21.95" customHeight="1">
      <c r="A22" s="2836"/>
      <c r="B22" s="2837" t="s">
        <v>2631</v>
      </c>
      <c r="C22" s="2101" t="str">
        <f>VLOOKUP(VALUE($P$2&amp;$B22),Sheet_Items,7,0)</f>
        <v>提取盈余公积</v>
      </c>
      <c r="D22" s="2096">
        <f>IF(ISERROR(VLOOKUP(VALUE(D$2&amp;$B22),Sheet_Trialbal,6,0)),0,VLOOKUP(VALUE(D$2&amp;$B22),Sheet_Trialbal,6,0))</f>
        <v>0</v>
      </c>
      <c r="E22" s="2096">
        <f t="shared" ref="E22:G24" si="28">IF(ISERROR(VLOOKUP(E$2&amp;$B22,Sheet_Trialbal,6,0)),0,VLOOKUP(E$2&amp;$B22,Sheet_Trialbal,6,0))</f>
        <v>0</v>
      </c>
      <c r="F22" s="2096">
        <f t="shared" si="28"/>
        <v>0</v>
      </c>
      <c r="G22" s="2096">
        <f t="shared" si="28"/>
        <v>0</v>
      </c>
      <c r="H22" s="2096">
        <f t="shared" ref="H22:I24" si="29">IF(ISERROR(VLOOKUP(VALUE(H$2&amp;$B22),Sheet_Trialbal,6,0)),0,VLOOKUP(VALUE(H$2&amp;$B22),Sheet_Trialbal,6,0))</f>
        <v>0</v>
      </c>
      <c r="I22" s="2096">
        <f t="shared" si="29"/>
        <v>0</v>
      </c>
      <c r="J22" s="2096">
        <f>IF(ISERROR(VLOOKUP(J$2&amp;$B22,Sheet_Trialbal,6,0)),0,VLOOKUP(J$2&amp;$B22,Sheet_Trialbal,6,0))</f>
        <v>0</v>
      </c>
      <c r="K22" s="2096">
        <f t="shared" ref="K22:O24" si="30">IF(ISERROR(VLOOKUP(VALUE(K$2&amp;$B22),Sheet_Trialbal,6,0)),0,VLOOKUP(VALUE(K$2&amp;$B22),Sheet_Trialbal,6,0))</f>
        <v>0</v>
      </c>
      <c r="L22" s="2096">
        <f t="shared" si="30"/>
        <v>8046.4</v>
      </c>
      <c r="M22" s="2096">
        <f t="shared" si="30"/>
        <v>0</v>
      </c>
      <c r="N22" s="2096">
        <f t="shared" si="30"/>
        <v>-8046.4</v>
      </c>
      <c r="O22" s="2096">
        <f t="shared" si="30"/>
        <v>0</v>
      </c>
      <c r="P22" s="2114">
        <f t="shared" si="4"/>
        <v>0</v>
      </c>
      <c r="Q22" s="2112">
        <f>IF(ISERROR(VLOOKUP(VALUE(Q$2&amp;$B22),Sheet_Trialbal,10,0)),0,VLOOKUP(VALUE(Q$2&amp;$B22),Sheet_Trialbal,10,0))</f>
        <v>0</v>
      </c>
      <c r="R22" s="2097">
        <f t="shared" ref="R22:T24" ca="1" si="31">IF(ISERROR(VLOOKUP(R$2&amp;$B22,Sheet_Trialbal,10,0)),0,VLOOKUP(R$2&amp;$B22,Sheet_Trialbal,10,0))</f>
        <v>0</v>
      </c>
      <c r="S22" s="2097">
        <f t="shared" ca="1" si="31"/>
        <v>0</v>
      </c>
      <c r="T22" s="2097">
        <f t="shared" ca="1" si="31"/>
        <v>0</v>
      </c>
      <c r="U22" s="2097">
        <f t="shared" ref="U22:V24" si="32">IF(ISERROR(VLOOKUP(VALUE(U$2&amp;$B22),Sheet_Trialbal,10,0)),0,VLOOKUP(VALUE(U$2&amp;$B22),Sheet_Trialbal,10,0))</f>
        <v>0</v>
      </c>
      <c r="V22" s="2097">
        <f t="shared" si="32"/>
        <v>0</v>
      </c>
      <c r="W22" s="2097">
        <f ca="1">IF(ISERROR(VLOOKUP(W$2&amp;$B22,Sheet_Trialbal,10,0)),0,VLOOKUP(W$2&amp;$B22,Sheet_Trialbal,10,0))</f>
        <v>0</v>
      </c>
      <c r="X22" s="2097">
        <f t="shared" ref="X22:AB24" si="33">IF(ISERROR(VLOOKUP(VALUE(X$2&amp;$B22),Sheet_Trialbal,10,0)),0,VLOOKUP(VALUE(X$2&amp;$B22),Sheet_Trialbal,10,0))</f>
        <v>0</v>
      </c>
      <c r="Y22" s="2097">
        <f t="shared" si="33"/>
        <v>52022.89</v>
      </c>
      <c r="Z22" s="2097"/>
      <c r="AA22" s="2097">
        <f t="shared" si="33"/>
        <v>-52022.89</v>
      </c>
      <c r="AB22" s="2097">
        <f t="shared" si="33"/>
        <v>0</v>
      </c>
      <c r="AC22" s="2098">
        <f t="shared" ca="1" si="8"/>
        <v>0</v>
      </c>
      <c r="AD22" s="1803"/>
      <c r="AE22" s="1803"/>
      <c r="AF22" s="1803"/>
      <c r="AG22" s="1803"/>
    </row>
    <row r="23" spans="1:33" ht="21.95" customHeight="1">
      <c r="A23" s="2836"/>
      <c r="B23" s="2837" t="s">
        <v>2633</v>
      </c>
      <c r="C23" s="2102" t="str">
        <f>VLOOKUP(VALUE($P$2&amp;$B23),Sheet_Items,6,0)</f>
        <v>对所有者（或股东）的分配</v>
      </c>
      <c r="D23" s="2096">
        <f>IF(ISERROR(VLOOKUP(VALUE(D$2&amp;$B23),Sheet_Trialbal,6,0)),0,VLOOKUP(VALUE(D$2&amp;$B23),Sheet_Trialbal,6,0))</f>
        <v>0</v>
      </c>
      <c r="E23" s="2096">
        <f t="shared" si="28"/>
        <v>0</v>
      </c>
      <c r="F23" s="2096">
        <f t="shared" si="28"/>
        <v>0</v>
      </c>
      <c r="G23" s="2096">
        <f t="shared" si="28"/>
        <v>0</v>
      </c>
      <c r="H23" s="2096">
        <f t="shared" si="29"/>
        <v>0</v>
      </c>
      <c r="I23" s="2096">
        <f t="shared" si="29"/>
        <v>0</v>
      </c>
      <c r="J23" s="2096">
        <f>IF(ISERROR(VLOOKUP(J$2&amp;$B23,Sheet_Trialbal,6,0)),0,VLOOKUP(J$2&amp;$B23,Sheet_Trialbal,6,0))</f>
        <v>0</v>
      </c>
      <c r="K23" s="2096">
        <f t="shared" si="30"/>
        <v>0</v>
      </c>
      <c r="L23" s="2096">
        <f t="shared" si="30"/>
        <v>0</v>
      </c>
      <c r="M23" s="2096">
        <f t="shared" si="30"/>
        <v>0</v>
      </c>
      <c r="N23" s="2096">
        <f t="shared" si="30"/>
        <v>-10464100</v>
      </c>
      <c r="O23" s="2096">
        <f t="shared" si="30"/>
        <v>0</v>
      </c>
      <c r="P23" s="2114">
        <f t="shared" si="4"/>
        <v>-10464100</v>
      </c>
      <c r="Q23" s="2112">
        <f>IF(ISERROR(VLOOKUP(VALUE(Q$2&amp;$B23),Sheet_Trialbal,10,0)),0,VLOOKUP(VALUE(Q$2&amp;$B23),Sheet_Trialbal,10,0))</f>
        <v>0</v>
      </c>
      <c r="R23" s="2097">
        <f t="shared" ca="1" si="31"/>
        <v>0</v>
      </c>
      <c r="S23" s="2097">
        <f t="shared" ca="1" si="31"/>
        <v>0</v>
      </c>
      <c r="T23" s="2097">
        <f t="shared" ca="1" si="31"/>
        <v>0</v>
      </c>
      <c r="U23" s="2097">
        <f t="shared" si="32"/>
        <v>0</v>
      </c>
      <c r="V23" s="2097">
        <f t="shared" si="32"/>
        <v>0</v>
      </c>
      <c r="W23" s="2097">
        <f ca="1">IF(ISERROR(VLOOKUP(W$2&amp;$B23,Sheet_Trialbal,10,0)),0,VLOOKUP(W$2&amp;$B23,Sheet_Trialbal,10,0))</f>
        <v>0</v>
      </c>
      <c r="X23" s="2097">
        <f t="shared" si="33"/>
        <v>0</v>
      </c>
      <c r="Y23" s="2097">
        <f t="shared" si="33"/>
        <v>0</v>
      </c>
      <c r="Z23" s="2097">
        <f t="shared" si="33"/>
        <v>0</v>
      </c>
      <c r="AA23" s="2097">
        <f t="shared" si="33"/>
        <v>0</v>
      </c>
      <c r="AB23" s="2097">
        <f t="shared" si="33"/>
        <v>0</v>
      </c>
      <c r="AC23" s="2098">
        <f t="shared" ca="1" si="8"/>
        <v>0</v>
      </c>
      <c r="AD23" s="1803"/>
      <c r="AE23" s="1803"/>
      <c r="AF23" s="1803"/>
      <c r="AG23" s="1803"/>
    </row>
    <row r="24" spans="1:33" ht="21.95" customHeight="1">
      <c r="A24" s="2836"/>
      <c r="B24" s="2837" t="s">
        <v>2634</v>
      </c>
      <c r="C24" s="2103" t="str">
        <f>VLOOKUP(VALUE($P$2&amp;$B24),Sheet_Items,7,0)</f>
        <v>其他</v>
      </c>
      <c r="D24" s="2096">
        <f>IF(ISERROR(VLOOKUP(VALUE(D$2&amp;$B24),Sheet_Trialbal,6,0)),0,VLOOKUP(VALUE(D$2&amp;$B24),Sheet_Trialbal,6,0))</f>
        <v>0</v>
      </c>
      <c r="E24" s="2096">
        <f t="shared" si="28"/>
        <v>0</v>
      </c>
      <c r="F24" s="2096">
        <f t="shared" si="28"/>
        <v>0</v>
      </c>
      <c r="G24" s="2096">
        <f t="shared" si="28"/>
        <v>0</v>
      </c>
      <c r="H24" s="2096">
        <f t="shared" si="29"/>
        <v>0</v>
      </c>
      <c r="I24" s="2096">
        <f t="shared" si="29"/>
        <v>0</v>
      </c>
      <c r="J24" s="2096">
        <f>IF(ISERROR(VLOOKUP(J$2&amp;$B24,Sheet_Trialbal,6,0)),0,VLOOKUP(J$2&amp;$B24,Sheet_Trialbal,6,0))</f>
        <v>0</v>
      </c>
      <c r="K24" s="2096">
        <f t="shared" si="30"/>
        <v>0</v>
      </c>
      <c r="L24" s="2096">
        <f t="shared" si="30"/>
        <v>0</v>
      </c>
      <c r="M24" s="2096">
        <f t="shared" si="30"/>
        <v>0</v>
      </c>
      <c r="N24" s="2096">
        <f t="shared" si="30"/>
        <v>0</v>
      </c>
      <c r="O24" s="2096">
        <f t="shared" si="30"/>
        <v>0</v>
      </c>
      <c r="P24" s="2114">
        <f t="shared" si="4"/>
        <v>0</v>
      </c>
      <c r="Q24" s="2112">
        <f>IF(ISERROR(VLOOKUP(VALUE(Q$2&amp;$B24),Sheet_Trialbal,10,0)),0,VLOOKUP(VALUE(Q$2&amp;$B24),Sheet_Trialbal,10,0))</f>
        <v>0</v>
      </c>
      <c r="R24" s="2097">
        <f t="shared" ca="1" si="31"/>
        <v>0</v>
      </c>
      <c r="S24" s="2097">
        <f t="shared" ca="1" si="31"/>
        <v>0</v>
      </c>
      <c r="T24" s="2097">
        <f t="shared" ca="1" si="31"/>
        <v>0</v>
      </c>
      <c r="U24" s="2097">
        <f t="shared" si="32"/>
        <v>0</v>
      </c>
      <c r="V24" s="2097">
        <f t="shared" si="32"/>
        <v>0</v>
      </c>
      <c r="W24" s="2097">
        <f ca="1">IF(ISERROR(VLOOKUP(W$2&amp;$B24,Sheet_Trialbal,10,0)),0,VLOOKUP(W$2&amp;$B24,Sheet_Trialbal,10,0))</f>
        <v>0</v>
      </c>
      <c r="X24" s="2097">
        <f t="shared" si="33"/>
        <v>0</v>
      </c>
      <c r="Y24" s="2097">
        <f t="shared" si="33"/>
        <v>0</v>
      </c>
      <c r="Z24" s="2097">
        <f t="shared" si="33"/>
        <v>0</v>
      </c>
      <c r="AA24" s="2097">
        <f t="shared" si="33"/>
        <v>0</v>
      </c>
      <c r="AB24" s="2097">
        <f t="shared" si="33"/>
        <v>0</v>
      </c>
      <c r="AC24" s="2098">
        <f t="shared" ca="1" si="8"/>
        <v>0</v>
      </c>
      <c r="AD24" s="1803"/>
      <c r="AE24" s="1803"/>
      <c r="AF24" s="1803"/>
      <c r="AG24" s="1803"/>
    </row>
    <row r="25" spans="1:33" ht="21.95" customHeight="1">
      <c r="A25" s="2836" t="s">
        <v>287</v>
      </c>
      <c r="B25" s="2837" t="s">
        <v>2635</v>
      </c>
      <c r="C25" s="2099" t="str">
        <f>VLOOKUP(VALUE($P$2&amp;$B25),Sheet_Items,7,0)</f>
        <v>（四）所有者权益内部结转</v>
      </c>
      <c r="D25" s="2096">
        <f t="shared" ref="D25:O25" si="34">SUM(D26:D31)</f>
        <v>0</v>
      </c>
      <c r="E25" s="2096">
        <f t="shared" si="34"/>
        <v>0</v>
      </c>
      <c r="F25" s="2096">
        <f t="shared" si="34"/>
        <v>0</v>
      </c>
      <c r="G25" s="2096">
        <f t="shared" si="34"/>
        <v>0</v>
      </c>
      <c r="H25" s="2096">
        <f t="shared" si="34"/>
        <v>0</v>
      </c>
      <c r="I25" s="2096">
        <f t="shared" si="34"/>
        <v>0</v>
      </c>
      <c r="J25" s="2096">
        <f t="shared" si="34"/>
        <v>0</v>
      </c>
      <c r="K25" s="2096">
        <f t="shared" si="34"/>
        <v>0</v>
      </c>
      <c r="L25" s="2096">
        <f t="shared" si="34"/>
        <v>0</v>
      </c>
      <c r="M25" s="2096">
        <f t="shared" ref="M25" si="35">SUM(M26:M31)</f>
        <v>0</v>
      </c>
      <c r="N25" s="2096">
        <f t="shared" si="34"/>
        <v>0</v>
      </c>
      <c r="O25" s="2096">
        <f t="shared" si="34"/>
        <v>0</v>
      </c>
      <c r="P25" s="2114">
        <f t="shared" si="4"/>
        <v>0</v>
      </c>
      <c r="Q25" s="2112">
        <f t="shared" ref="Q25:AB25" si="36">SUM(Q26:Q31)</f>
        <v>0</v>
      </c>
      <c r="R25" s="2097">
        <f t="shared" ca="1" si="36"/>
        <v>0</v>
      </c>
      <c r="S25" s="2097">
        <f t="shared" ca="1" si="36"/>
        <v>0</v>
      </c>
      <c r="T25" s="2097">
        <f t="shared" ca="1" si="36"/>
        <v>0</v>
      </c>
      <c r="U25" s="2097">
        <f t="shared" si="36"/>
        <v>0</v>
      </c>
      <c r="V25" s="2097">
        <f t="shared" si="36"/>
        <v>0</v>
      </c>
      <c r="W25" s="2097">
        <f t="shared" ca="1" si="36"/>
        <v>0</v>
      </c>
      <c r="X25" s="2097">
        <f t="shared" si="36"/>
        <v>0</v>
      </c>
      <c r="Y25" s="2097">
        <f t="shared" si="36"/>
        <v>0</v>
      </c>
      <c r="Z25" s="2097">
        <f t="shared" ref="Z25" si="37">SUM(Z26:Z31)</f>
        <v>0</v>
      </c>
      <c r="AA25" s="2097">
        <f t="shared" si="36"/>
        <v>0</v>
      </c>
      <c r="AB25" s="2097">
        <f t="shared" si="36"/>
        <v>0</v>
      </c>
      <c r="AC25" s="2098">
        <f t="shared" ca="1" si="8"/>
        <v>0</v>
      </c>
      <c r="AD25" s="1803"/>
      <c r="AE25" s="1803"/>
      <c r="AF25" s="1803"/>
      <c r="AG25" s="1803"/>
    </row>
    <row r="26" spans="1:33" ht="21.95" customHeight="1">
      <c r="A26" s="2836"/>
      <c r="B26" s="2837" t="s">
        <v>2636</v>
      </c>
      <c r="C26" s="2101" t="str">
        <f>VLOOKUP(VALUE($P$2&amp;$B26),Sheet_Items,6,0)</f>
        <v>资本公积转增资本（或股本）</v>
      </c>
      <c r="D26" s="2096">
        <f t="shared" ref="D26:D31" si="38">IF(ISERROR(VLOOKUP(VALUE(D$2&amp;$B26),Sheet_Trialbal,6,0)),0,VLOOKUP(VALUE(D$2&amp;$B26),Sheet_Trialbal,6,0))</f>
        <v>0</v>
      </c>
      <c r="E26" s="2096">
        <f t="shared" ref="E26:G31" si="39">IF(ISERROR(VLOOKUP(E$2&amp;$B26,Sheet_Trialbal,6,0)),0,VLOOKUP(E$2&amp;$B26,Sheet_Trialbal,6,0))</f>
        <v>0</v>
      </c>
      <c r="F26" s="2096">
        <f t="shared" si="39"/>
        <v>0</v>
      </c>
      <c r="G26" s="2096">
        <f t="shared" si="39"/>
        <v>0</v>
      </c>
      <c r="H26" s="2096">
        <f t="shared" ref="H26:I31" si="40">IF(ISERROR(VLOOKUP(VALUE(H$2&amp;$B26),Sheet_Trialbal,6,0)),0,VLOOKUP(VALUE(H$2&amp;$B26),Sheet_Trialbal,6,0))</f>
        <v>0</v>
      </c>
      <c r="I26" s="2096">
        <f t="shared" si="40"/>
        <v>0</v>
      </c>
      <c r="J26" s="2096">
        <f t="shared" ref="J26:J31" si="41">IF(ISERROR(VLOOKUP(J$2&amp;$B26,Sheet_Trialbal,6,0)),0,VLOOKUP(J$2&amp;$B26,Sheet_Trialbal,6,0))</f>
        <v>0</v>
      </c>
      <c r="K26" s="2096">
        <f t="shared" ref="K26:O31" si="42">IF(ISERROR(VLOOKUP(VALUE(K$2&amp;$B26),Sheet_Trialbal,6,0)),0,VLOOKUP(VALUE(K$2&amp;$B26),Sheet_Trialbal,6,0))</f>
        <v>0</v>
      </c>
      <c r="L26" s="2096">
        <f t="shared" si="42"/>
        <v>0</v>
      </c>
      <c r="M26" s="2096">
        <f t="shared" si="42"/>
        <v>0</v>
      </c>
      <c r="N26" s="2096">
        <f t="shared" si="42"/>
        <v>0</v>
      </c>
      <c r="O26" s="2096">
        <f t="shared" si="42"/>
        <v>0</v>
      </c>
      <c r="P26" s="2114">
        <f t="shared" si="4"/>
        <v>0</v>
      </c>
      <c r="Q26" s="2112">
        <f t="shared" ref="Q26:Q31" si="43">IF(ISERROR(VLOOKUP(VALUE(Q$2&amp;$B26),Sheet_Trialbal,10,0)),0,VLOOKUP(VALUE(Q$2&amp;$B26),Sheet_Trialbal,10,0))</f>
        <v>0</v>
      </c>
      <c r="R26" s="2097">
        <f t="shared" ref="R26:T31" ca="1" si="44">IF(ISERROR(VLOOKUP(R$2&amp;$B26,Sheet_Trialbal,10,0)),0,VLOOKUP(R$2&amp;$B26,Sheet_Trialbal,10,0))</f>
        <v>0</v>
      </c>
      <c r="S26" s="2097">
        <f t="shared" ca="1" si="44"/>
        <v>0</v>
      </c>
      <c r="T26" s="2097">
        <f t="shared" ca="1" si="44"/>
        <v>0</v>
      </c>
      <c r="U26" s="2097">
        <f t="shared" ref="U26:V31" si="45">IF(ISERROR(VLOOKUP(VALUE(U$2&amp;$B26),Sheet_Trialbal,10,0)),0,VLOOKUP(VALUE(U$2&amp;$B26),Sheet_Trialbal,10,0))</f>
        <v>0</v>
      </c>
      <c r="V26" s="2097">
        <f t="shared" si="45"/>
        <v>0</v>
      </c>
      <c r="W26" s="2097">
        <f t="shared" ref="W26:W31" ca="1" si="46">IF(ISERROR(VLOOKUP(W$2&amp;$B26,Sheet_Trialbal,10,0)),0,VLOOKUP(W$2&amp;$B26,Sheet_Trialbal,10,0))</f>
        <v>0</v>
      </c>
      <c r="X26" s="2097">
        <f t="shared" ref="X26:AB31" si="47">IF(ISERROR(VLOOKUP(VALUE(X$2&amp;$B26),Sheet_Trialbal,10,0)),0,VLOOKUP(VALUE(X$2&amp;$B26),Sheet_Trialbal,10,0))</f>
        <v>0</v>
      </c>
      <c r="Y26" s="2097">
        <f t="shared" si="47"/>
        <v>0</v>
      </c>
      <c r="Z26" s="2097">
        <f t="shared" si="47"/>
        <v>0</v>
      </c>
      <c r="AA26" s="2097">
        <f t="shared" si="47"/>
        <v>0</v>
      </c>
      <c r="AB26" s="2097">
        <f t="shared" si="47"/>
        <v>0</v>
      </c>
      <c r="AC26" s="2098">
        <f t="shared" ca="1" si="8"/>
        <v>0</v>
      </c>
      <c r="AD26" s="1803"/>
      <c r="AE26" s="1803"/>
      <c r="AF26" s="1803"/>
      <c r="AG26" s="1803"/>
    </row>
    <row r="27" spans="1:33" ht="21.95" customHeight="1">
      <c r="A27" s="2836"/>
      <c r="B27" s="2837" t="s">
        <v>2637</v>
      </c>
      <c r="C27" s="2102" t="str">
        <f>VLOOKUP(VALUE($P$2&amp;$B27),Sheet_Items,6,0)</f>
        <v>盈余公积转增资本（或股本）</v>
      </c>
      <c r="D27" s="2096">
        <f t="shared" si="38"/>
        <v>0</v>
      </c>
      <c r="E27" s="2096">
        <f t="shared" si="39"/>
        <v>0</v>
      </c>
      <c r="F27" s="2096">
        <f t="shared" si="39"/>
        <v>0</v>
      </c>
      <c r="G27" s="2096">
        <f t="shared" si="39"/>
        <v>0</v>
      </c>
      <c r="H27" s="2096">
        <f t="shared" si="40"/>
        <v>0</v>
      </c>
      <c r="I27" s="2096">
        <f t="shared" si="40"/>
        <v>0</v>
      </c>
      <c r="J27" s="2096">
        <f t="shared" si="41"/>
        <v>0</v>
      </c>
      <c r="K27" s="2096">
        <f t="shared" si="42"/>
        <v>0</v>
      </c>
      <c r="L27" s="2096">
        <f t="shared" si="42"/>
        <v>0</v>
      </c>
      <c r="M27" s="2096">
        <f t="shared" si="42"/>
        <v>0</v>
      </c>
      <c r="N27" s="2096">
        <f t="shared" si="42"/>
        <v>0</v>
      </c>
      <c r="O27" s="2096">
        <f t="shared" si="42"/>
        <v>0</v>
      </c>
      <c r="P27" s="2114">
        <f t="shared" si="4"/>
        <v>0</v>
      </c>
      <c r="Q27" s="2112">
        <f t="shared" si="43"/>
        <v>0</v>
      </c>
      <c r="R27" s="2097">
        <f t="shared" ca="1" si="44"/>
        <v>0</v>
      </c>
      <c r="S27" s="2097">
        <f t="shared" ca="1" si="44"/>
        <v>0</v>
      </c>
      <c r="T27" s="2097">
        <f t="shared" ca="1" si="44"/>
        <v>0</v>
      </c>
      <c r="U27" s="2097">
        <f t="shared" si="45"/>
        <v>0</v>
      </c>
      <c r="V27" s="2097">
        <f t="shared" si="45"/>
        <v>0</v>
      </c>
      <c r="W27" s="2097">
        <f t="shared" ca="1" si="46"/>
        <v>0</v>
      </c>
      <c r="X27" s="2097">
        <f t="shared" si="47"/>
        <v>0</v>
      </c>
      <c r="Y27" s="2097">
        <f t="shared" si="47"/>
        <v>0</v>
      </c>
      <c r="Z27" s="2097">
        <f t="shared" si="47"/>
        <v>0</v>
      </c>
      <c r="AA27" s="2097">
        <f t="shared" si="47"/>
        <v>0</v>
      </c>
      <c r="AB27" s="2097">
        <f t="shared" si="47"/>
        <v>0</v>
      </c>
      <c r="AC27" s="2098">
        <f t="shared" ca="1" si="8"/>
        <v>0</v>
      </c>
      <c r="AD27" s="1803"/>
      <c r="AE27" s="1803"/>
      <c r="AF27" s="1803"/>
      <c r="AG27" s="1803"/>
    </row>
    <row r="28" spans="1:33" ht="21.95" customHeight="1">
      <c r="A28" s="2836"/>
      <c r="B28" s="2837" t="s">
        <v>2638</v>
      </c>
      <c r="C28" s="2103" t="str">
        <f>VLOOKUP(VALUE($P$2&amp;$B28),Sheet_Items,7,0)</f>
        <v>盈余公积弥补亏损</v>
      </c>
      <c r="D28" s="2096">
        <f t="shared" si="38"/>
        <v>0</v>
      </c>
      <c r="E28" s="2096">
        <f t="shared" si="39"/>
        <v>0</v>
      </c>
      <c r="F28" s="2096">
        <f t="shared" si="39"/>
        <v>0</v>
      </c>
      <c r="G28" s="2096">
        <f t="shared" si="39"/>
        <v>0</v>
      </c>
      <c r="H28" s="2096">
        <f t="shared" si="40"/>
        <v>0</v>
      </c>
      <c r="I28" s="2096">
        <f t="shared" si="40"/>
        <v>0</v>
      </c>
      <c r="J28" s="2096">
        <f t="shared" si="41"/>
        <v>0</v>
      </c>
      <c r="K28" s="2096">
        <f t="shared" si="42"/>
        <v>0</v>
      </c>
      <c r="L28" s="2096">
        <f t="shared" si="42"/>
        <v>0</v>
      </c>
      <c r="M28" s="2096">
        <f t="shared" si="42"/>
        <v>0</v>
      </c>
      <c r="N28" s="2096">
        <f t="shared" si="42"/>
        <v>0</v>
      </c>
      <c r="O28" s="2096">
        <f t="shared" si="42"/>
        <v>0</v>
      </c>
      <c r="P28" s="2114">
        <f t="shared" si="4"/>
        <v>0</v>
      </c>
      <c r="Q28" s="2112">
        <f t="shared" si="43"/>
        <v>0</v>
      </c>
      <c r="R28" s="2097">
        <f t="shared" ca="1" si="44"/>
        <v>0</v>
      </c>
      <c r="S28" s="2097">
        <f t="shared" ca="1" si="44"/>
        <v>0</v>
      </c>
      <c r="T28" s="2097">
        <f t="shared" ca="1" si="44"/>
        <v>0</v>
      </c>
      <c r="U28" s="2097">
        <f t="shared" si="45"/>
        <v>0</v>
      </c>
      <c r="V28" s="2097">
        <f t="shared" si="45"/>
        <v>0</v>
      </c>
      <c r="W28" s="2097">
        <f t="shared" ca="1" si="46"/>
        <v>0</v>
      </c>
      <c r="X28" s="2097">
        <f t="shared" si="47"/>
        <v>0</v>
      </c>
      <c r="Y28" s="2097">
        <f t="shared" si="47"/>
        <v>0</v>
      </c>
      <c r="Z28" s="2097">
        <f t="shared" si="47"/>
        <v>0</v>
      </c>
      <c r="AA28" s="2097">
        <f t="shared" si="47"/>
        <v>0</v>
      </c>
      <c r="AB28" s="2097">
        <f t="shared" si="47"/>
        <v>0</v>
      </c>
      <c r="AC28" s="2098">
        <f t="shared" ca="1" si="8"/>
        <v>0</v>
      </c>
      <c r="AD28" s="1803"/>
      <c r="AE28" s="1803"/>
      <c r="AF28" s="1803"/>
      <c r="AG28" s="1803"/>
    </row>
    <row r="29" spans="1:33" ht="21.95" customHeight="1">
      <c r="A29" s="2836"/>
      <c r="B29" s="2837" t="s">
        <v>2639</v>
      </c>
      <c r="C29" s="2104" t="str">
        <f>VLOOKUP(VALUE($P$2&amp;$B29),Sheet_Items,7,0)</f>
        <v>设定受益计划变动额结转留存收益</v>
      </c>
      <c r="D29" s="2096">
        <f t="shared" si="38"/>
        <v>0</v>
      </c>
      <c r="E29" s="2096">
        <f t="shared" si="39"/>
        <v>0</v>
      </c>
      <c r="F29" s="2096">
        <f t="shared" si="39"/>
        <v>0</v>
      </c>
      <c r="G29" s="2096">
        <f t="shared" si="39"/>
        <v>0</v>
      </c>
      <c r="H29" s="2096">
        <f t="shared" si="40"/>
        <v>0</v>
      </c>
      <c r="I29" s="2096">
        <f t="shared" si="40"/>
        <v>0</v>
      </c>
      <c r="J29" s="2096">
        <f t="shared" si="41"/>
        <v>0</v>
      </c>
      <c r="K29" s="2096">
        <f t="shared" si="42"/>
        <v>0</v>
      </c>
      <c r="L29" s="2096">
        <f t="shared" si="42"/>
        <v>0</v>
      </c>
      <c r="M29" s="2096">
        <f t="shared" si="42"/>
        <v>0</v>
      </c>
      <c r="N29" s="2096">
        <f t="shared" si="42"/>
        <v>0</v>
      </c>
      <c r="O29" s="2096">
        <f t="shared" si="42"/>
        <v>0</v>
      </c>
      <c r="P29" s="2114">
        <f t="shared" si="4"/>
        <v>0</v>
      </c>
      <c r="Q29" s="2112">
        <f t="shared" si="43"/>
        <v>0</v>
      </c>
      <c r="R29" s="2097">
        <f t="shared" ca="1" si="44"/>
        <v>0</v>
      </c>
      <c r="S29" s="2097">
        <f t="shared" ca="1" si="44"/>
        <v>0</v>
      </c>
      <c r="T29" s="2097">
        <f t="shared" ca="1" si="44"/>
        <v>0</v>
      </c>
      <c r="U29" s="2097">
        <f t="shared" si="45"/>
        <v>0</v>
      </c>
      <c r="V29" s="2097">
        <f t="shared" si="45"/>
        <v>0</v>
      </c>
      <c r="W29" s="2097">
        <f t="shared" ca="1" si="46"/>
        <v>0</v>
      </c>
      <c r="X29" s="2097">
        <f t="shared" si="47"/>
        <v>0</v>
      </c>
      <c r="Y29" s="2097">
        <f t="shared" si="47"/>
        <v>0</v>
      </c>
      <c r="Z29" s="2097">
        <f t="shared" si="47"/>
        <v>0</v>
      </c>
      <c r="AA29" s="2097">
        <f t="shared" si="47"/>
        <v>0</v>
      </c>
      <c r="AB29" s="2097">
        <f t="shared" si="47"/>
        <v>0</v>
      </c>
      <c r="AC29" s="2098">
        <f t="shared" ca="1" si="8"/>
        <v>0</v>
      </c>
      <c r="AD29" s="1803"/>
      <c r="AE29" s="1803"/>
      <c r="AF29" s="1803"/>
      <c r="AG29" s="1803"/>
    </row>
    <row r="30" spans="1:33" ht="21.95" customHeight="1">
      <c r="A30" s="2836"/>
      <c r="B30" s="2837" t="s">
        <v>5846</v>
      </c>
      <c r="C30" s="2105" t="str">
        <f>VLOOKUP(VALUE($P$2&amp;$B30),Sheet_Items,7,0)</f>
        <v>其他综合收益结转留存收益</v>
      </c>
      <c r="D30" s="2096">
        <f t="shared" si="38"/>
        <v>0</v>
      </c>
      <c r="E30" s="2096">
        <f t="shared" si="39"/>
        <v>0</v>
      </c>
      <c r="F30" s="2096">
        <f t="shared" si="39"/>
        <v>0</v>
      </c>
      <c r="G30" s="2096">
        <f t="shared" si="39"/>
        <v>0</v>
      </c>
      <c r="H30" s="2096">
        <f t="shared" si="40"/>
        <v>0</v>
      </c>
      <c r="I30" s="2096">
        <f t="shared" si="40"/>
        <v>0</v>
      </c>
      <c r="J30" s="2096">
        <f t="shared" si="41"/>
        <v>0</v>
      </c>
      <c r="K30" s="2096">
        <f t="shared" si="42"/>
        <v>0</v>
      </c>
      <c r="L30" s="2096">
        <f t="shared" si="42"/>
        <v>0</v>
      </c>
      <c r="M30" s="2096">
        <f t="shared" si="42"/>
        <v>0</v>
      </c>
      <c r="N30" s="2096">
        <f t="shared" si="42"/>
        <v>0</v>
      </c>
      <c r="O30" s="2096">
        <f t="shared" si="42"/>
        <v>0</v>
      </c>
      <c r="P30" s="2114">
        <f t="shared" si="4"/>
        <v>0</v>
      </c>
      <c r="Q30" s="2112">
        <f t="shared" si="43"/>
        <v>0</v>
      </c>
      <c r="R30" s="2097">
        <f t="shared" ca="1" si="44"/>
        <v>0</v>
      </c>
      <c r="S30" s="2097">
        <f t="shared" ca="1" si="44"/>
        <v>0</v>
      </c>
      <c r="T30" s="2097">
        <f t="shared" ca="1" si="44"/>
        <v>0</v>
      </c>
      <c r="U30" s="2097">
        <f t="shared" si="45"/>
        <v>0</v>
      </c>
      <c r="V30" s="2097">
        <f t="shared" si="45"/>
        <v>0</v>
      </c>
      <c r="W30" s="2097">
        <f t="shared" ca="1" si="46"/>
        <v>0</v>
      </c>
      <c r="X30" s="2097">
        <f t="shared" si="47"/>
        <v>0</v>
      </c>
      <c r="Y30" s="2097">
        <f t="shared" si="47"/>
        <v>0</v>
      </c>
      <c r="Z30" s="2097">
        <f t="shared" si="47"/>
        <v>0</v>
      </c>
      <c r="AA30" s="2097">
        <f t="shared" si="47"/>
        <v>0</v>
      </c>
      <c r="AB30" s="2097">
        <f t="shared" si="47"/>
        <v>0</v>
      </c>
      <c r="AC30" s="2098">
        <f t="shared" ca="1" si="8"/>
        <v>0</v>
      </c>
      <c r="AD30" s="1803"/>
      <c r="AE30" s="1803"/>
      <c r="AF30" s="1803"/>
      <c r="AG30" s="1803"/>
    </row>
    <row r="31" spans="1:33" ht="21.95" customHeight="1">
      <c r="A31" s="2836"/>
      <c r="B31" s="2837" t="s">
        <v>2641</v>
      </c>
      <c r="C31" s="2106" t="str">
        <f>VLOOKUP(VALUE($P$2&amp;$B31),Sheet_Items,7,0)</f>
        <v>其他</v>
      </c>
      <c r="D31" s="2096">
        <f t="shared" si="38"/>
        <v>0</v>
      </c>
      <c r="E31" s="2096">
        <f t="shared" si="39"/>
        <v>0</v>
      </c>
      <c r="F31" s="2096">
        <f t="shared" si="39"/>
        <v>0</v>
      </c>
      <c r="G31" s="2096">
        <f t="shared" si="39"/>
        <v>0</v>
      </c>
      <c r="H31" s="2096">
        <f t="shared" si="40"/>
        <v>0</v>
      </c>
      <c r="I31" s="2096">
        <f t="shared" si="40"/>
        <v>0</v>
      </c>
      <c r="J31" s="2096">
        <f t="shared" si="41"/>
        <v>0</v>
      </c>
      <c r="K31" s="2096">
        <f t="shared" si="42"/>
        <v>0</v>
      </c>
      <c r="L31" s="2096">
        <f t="shared" si="42"/>
        <v>0</v>
      </c>
      <c r="M31" s="2096">
        <f t="shared" si="42"/>
        <v>0</v>
      </c>
      <c r="N31" s="2096">
        <f t="shared" si="42"/>
        <v>0</v>
      </c>
      <c r="O31" s="2096">
        <f t="shared" si="42"/>
        <v>0</v>
      </c>
      <c r="P31" s="2114">
        <f t="shared" si="4"/>
        <v>0</v>
      </c>
      <c r="Q31" s="2112">
        <f t="shared" si="43"/>
        <v>0</v>
      </c>
      <c r="R31" s="2097">
        <f t="shared" ca="1" si="44"/>
        <v>0</v>
      </c>
      <c r="S31" s="2097">
        <f t="shared" ca="1" si="44"/>
        <v>0</v>
      </c>
      <c r="T31" s="2097">
        <f t="shared" ca="1" si="44"/>
        <v>0</v>
      </c>
      <c r="U31" s="2097">
        <f t="shared" si="45"/>
        <v>0</v>
      </c>
      <c r="V31" s="2097">
        <f t="shared" si="45"/>
        <v>0</v>
      </c>
      <c r="W31" s="2097">
        <f t="shared" ca="1" si="46"/>
        <v>0</v>
      </c>
      <c r="X31" s="2097">
        <f t="shared" si="47"/>
        <v>0</v>
      </c>
      <c r="Y31" s="2097">
        <f t="shared" si="47"/>
        <v>0</v>
      </c>
      <c r="Z31" s="2097">
        <f t="shared" si="47"/>
        <v>0</v>
      </c>
      <c r="AA31" s="2097">
        <f t="shared" si="47"/>
        <v>0</v>
      </c>
      <c r="AB31" s="2097">
        <f t="shared" si="47"/>
        <v>0</v>
      </c>
      <c r="AC31" s="2098">
        <f t="shared" ca="1" si="8"/>
        <v>0</v>
      </c>
      <c r="AD31" s="1803"/>
      <c r="AE31" s="1803"/>
      <c r="AF31" s="1803"/>
      <c r="AG31" s="1803"/>
    </row>
    <row r="32" spans="1:33" ht="21.95" customHeight="1">
      <c r="A32" s="2836" t="s">
        <v>287</v>
      </c>
      <c r="B32" s="2837" t="s">
        <v>5791</v>
      </c>
      <c r="C32" s="2099" t="str">
        <f>VLOOKUP(VALUE($P$2&amp;$B32),Sheet_Items,7,0)</f>
        <v>（五）专项储备</v>
      </c>
      <c r="D32" s="2096">
        <f t="shared" ref="D32:O32" si="48">SUM(D33:D34)</f>
        <v>0</v>
      </c>
      <c r="E32" s="2096">
        <f t="shared" si="48"/>
        <v>0</v>
      </c>
      <c r="F32" s="2096">
        <f t="shared" si="48"/>
        <v>0</v>
      </c>
      <c r="G32" s="2096">
        <f t="shared" si="48"/>
        <v>0</v>
      </c>
      <c r="H32" s="2096">
        <f t="shared" si="48"/>
        <v>0</v>
      </c>
      <c r="I32" s="2096">
        <f t="shared" si="48"/>
        <v>0</v>
      </c>
      <c r="J32" s="2096">
        <f t="shared" si="48"/>
        <v>0</v>
      </c>
      <c r="K32" s="2096">
        <f t="shared" si="48"/>
        <v>0</v>
      </c>
      <c r="L32" s="2096">
        <f t="shared" si="48"/>
        <v>0</v>
      </c>
      <c r="M32" s="2096">
        <f t="shared" ref="M32" si="49">SUM(M33:M34)</f>
        <v>0</v>
      </c>
      <c r="N32" s="2096">
        <f t="shared" si="48"/>
        <v>0</v>
      </c>
      <c r="O32" s="2096">
        <f t="shared" si="48"/>
        <v>0</v>
      </c>
      <c r="P32" s="2114">
        <f t="shared" si="4"/>
        <v>0</v>
      </c>
      <c r="Q32" s="2112">
        <f t="shared" ref="Q32:AB32" si="50">SUM(Q33:Q34)</f>
        <v>0</v>
      </c>
      <c r="R32" s="2097">
        <f t="shared" ca="1" si="50"/>
        <v>0</v>
      </c>
      <c r="S32" s="2097">
        <f t="shared" ca="1" si="50"/>
        <v>0</v>
      </c>
      <c r="T32" s="2097">
        <f t="shared" ca="1" si="50"/>
        <v>0</v>
      </c>
      <c r="U32" s="2097">
        <f t="shared" si="50"/>
        <v>0</v>
      </c>
      <c r="V32" s="2097">
        <f t="shared" si="50"/>
        <v>0</v>
      </c>
      <c r="W32" s="2097">
        <f t="shared" ca="1" si="50"/>
        <v>0</v>
      </c>
      <c r="X32" s="2097">
        <f t="shared" si="50"/>
        <v>0</v>
      </c>
      <c r="Y32" s="2097">
        <f t="shared" si="50"/>
        <v>0</v>
      </c>
      <c r="Z32" s="2097">
        <f t="shared" ref="Z32" si="51">SUM(Z33:Z34)</f>
        <v>0</v>
      </c>
      <c r="AA32" s="2097">
        <f t="shared" si="50"/>
        <v>0</v>
      </c>
      <c r="AB32" s="2097">
        <f t="shared" si="50"/>
        <v>0</v>
      </c>
      <c r="AC32" s="2098">
        <f t="shared" ca="1" si="8"/>
        <v>0</v>
      </c>
      <c r="AD32" s="1803"/>
      <c r="AE32" s="1803"/>
      <c r="AF32" s="1803"/>
      <c r="AG32" s="1803"/>
    </row>
    <row r="33" spans="1:33" ht="21.95" customHeight="1">
      <c r="A33" s="2836"/>
      <c r="B33" s="2837" t="s">
        <v>2592</v>
      </c>
      <c r="C33" s="2101" t="str">
        <f>VLOOKUP(VALUE($P$2&amp;$B33),Sheet_Items,6,0)</f>
        <v>本年提取</v>
      </c>
      <c r="D33" s="2096">
        <f>IF(ISERROR(VLOOKUP(VALUE(D$2&amp;$B33),Sheet_Trialbal,6,0)),0,VLOOKUP(VALUE(D$2&amp;$B33),Sheet_Trialbal,6,0))</f>
        <v>0</v>
      </c>
      <c r="E33" s="2096">
        <f t="shared" ref="E33:G35" si="52">IF(ISERROR(VLOOKUP(E$2&amp;$B33,Sheet_Trialbal,6,0)),0,VLOOKUP(E$2&amp;$B33,Sheet_Trialbal,6,0))</f>
        <v>0</v>
      </c>
      <c r="F33" s="2096">
        <f t="shared" si="52"/>
        <v>0</v>
      </c>
      <c r="G33" s="2096">
        <f t="shared" si="52"/>
        <v>0</v>
      </c>
      <c r="H33" s="2096">
        <f t="shared" ref="H33:I35" si="53">IF(ISERROR(VLOOKUP(VALUE(H$2&amp;$B33),Sheet_Trialbal,6,0)),0,VLOOKUP(VALUE(H$2&amp;$B33),Sheet_Trialbal,6,0))</f>
        <v>0</v>
      </c>
      <c r="I33" s="2096">
        <f t="shared" si="53"/>
        <v>0</v>
      </c>
      <c r="J33" s="2096">
        <f>IF(ISERROR(VLOOKUP(J$2&amp;$B33,Sheet_Trialbal,6,0)),0,VLOOKUP(J$2&amp;$B33,Sheet_Trialbal,6,0))</f>
        <v>0</v>
      </c>
      <c r="K33" s="2096">
        <f t="shared" ref="K33:O35" si="54">IF(ISERROR(VLOOKUP(VALUE(K$2&amp;$B33),Sheet_Trialbal,6,0)),0,VLOOKUP(VALUE(K$2&amp;$B33),Sheet_Trialbal,6,0))</f>
        <v>0</v>
      </c>
      <c r="L33" s="2096">
        <f t="shared" si="54"/>
        <v>0</v>
      </c>
      <c r="M33" s="2096">
        <f t="shared" si="54"/>
        <v>0</v>
      </c>
      <c r="N33" s="2096">
        <f t="shared" si="54"/>
        <v>0</v>
      </c>
      <c r="O33" s="2096">
        <f t="shared" si="54"/>
        <v>0</v>
      </c>
      <c r="P33" s="2114">
        <f t="shared" si="4"/>
        <v>0</v>
      </c>
      <c r="Q33" s="2112">
        <f>IF(ISERROR(VLOOKUP(VALUE(Q$2&amp;$B33),Sheet_Trialbal,10,0)),0,VLOOKUP(VALUE(Q$2&amp;$B33),Sheet_Trialbal,10,0))</f>
        <v>0</v>
      </c>
      <c r="R33" s="2097">
        <f t="shared" ref="R33:T35" ca="1" si="55">IF(ISERROR(VLOOKUP(R$2&amp;$B33,Sheet_Trialbal,10,0)),0,VLOOKUP(R$2&amp;$B33,Sheet_Trialbal,10,0))</f>
        <v>0</v>
      </c>
      <c r="S33" s="2097">
        <f t="shared" ca="1" si="55"/>
        <v>0</v>
      </c>
      <c r="T33" s="2097">
        <f t="shared" ca="1" si="55"/>
        <v>0</v>
      </c>
      <c r="U33" s="2097">
        <f t="shared" ref="U33:V35" si="56">IF(ISERROR(VLOOKUP(VALUE(U$2&amp;$B33),Sheet_Trialbal,10,0)),0,VLOOKUP(VALUE(U$2&amp;$B33),Sheet_Trialbal,10,0))</f>
        <v>0</v>
      </c>
      <c r="V33" s="2097">
        <f t="shared" si="56"/>
        <v>0</v>
      </c>
      <c r="W33" s="2097">
        <f ca="1">IF(ISERROR(VLOOKUP(W$2&amp;$B33,Sheet_Trialbal,10,0)),0,VLOOKUP(W$2&amp;$B33,Sheet_Trialbal,10,0))</f>
        <v>0</v>
      </c>
      <c r="X33" s="2097">
        <f t="shared" ref="X33:AB35" si="57">IF(ISERROR(VLOOKUP(VALUE(X$2&amp;$B33),Sheet_Trialbal,10,0)),0,VLOOKUP(VALUE(X$2&amp;$B33),Sheet_Trialbal,10,0))</f>
        <v>0</v>
      </c>
      <c r="Y33" s="2097">
        <f t="shared" si="57"/>
        <v>0</v>
      </c>
      <c r="Z33" s="2097">
        <f t="shared" si="57"/>
        <v>0</v>
      </c>
      <c r="AA33" s="2097">
        <f t="shared" si="57"/>
        <v>0</v>
      </c>
      <c r="AB33" s="2097">
        <f t="shared" si="57"/>
        <v>0</v>
      </c>
      <c r="AC33" s="2098">
        <f t="shared" ca="1" si="8"/>
        <v>0</v>
      </c>
      <c r="AD33" s="1803"/>
      <c r="AE33" s="1803"/>
      <c r="AF33" s="1803"/>
      <c r="AG33" s="1803"/>
    </row>
    <row r="34" spans="1:33" ht="21.95" customHeight="1">
      <c r="A34" s="2836"/>
      <c r="B34" s="2837" t="s">
        <v>2596</v>
      </c>
      <c r="C34" s="2102" t="str">
        <f>VLOOKUP(VALUE($P$2&amp;$B34),Sheet_Items,6,0)</f>
        <v>本年使用</v>
      </c>
      <c r="D34" s="2096">
        <f>IF(ISERROR(VLOOKUP(VALUE(D$2&amp;$B34),Sheet_Trialbal,6,0)),0,VLOOKUP(VALUE(D$2&amp;$B34),Sheet_Trialbal,6,0))</f>
        <v>0</v>
      </c>
      <c r="E34" s="2096">
        <f t="shared" si="52"/>
        <v>0</v>
      </c>
      <c r="F34" s="2096">
        <f t="shared" si="52"/>
        <v>0</v>
      </c>
      <c r="G34" s="2096">
        <f t="shared" si="52"/>
        <v>0</v>
      </c>
      <c r="H34" s="2096">
        <f t="shared" si="53"/>
        <v>0</v>
      </c>
      <c r="I34" s="2096">
        <f t="shared" si="53"/>
        <v>0</v>
      </c>
      <c r="J34" s="2096">
        <f>IF(ISERROR(VLOOKUP(J$2&amp;$B34,Sheet_Trialbal,6,0)),0,VLOOKUP(J$2&amp;$B34,Sheet_Trialbal,6,0))</f>
        <v>0</v>
      </c>
      <c r="K34" s="2096">
        <f t="shared" si="54"/>
        <v>0</v>
      </c>
      <c r="L34" s="2096">
        <f t="shared" si="54"/>
        <v>0</v>
      </c>
      <c r="M34" s="2096">
        <f t="shared" si="54"/>
        <v>0</v>
      </c>
      <c r="N34" s="2096">
        <f t="shared" si="54"/>
        <v>0</v>
      </c>
      <c r="O34" s="2096">
        <f t="shared" si="54"/>
        <v>0</v>
      </c>
      <c r="P34" s="2114">
        <f t="shared" si="4"/>
        <v>0</v>
      </c>
      <c r="Q34" s="2112">
        <f>IF(ISERROR(VLOOKUP(VALUE(Q$2&amp;$B34),Sheet_Trialbal,10,0)),0,VLOOKUP(VALUE(Q$2&amp;$B34),Sheet_Trialbal,10,0))</f>
        <v>0</v>
      </c>
      <c r="R34" s="2097">
        <f t="shared" ca="1" si="55"/>
        <v>0</v>
      </c>
      <c r="S34" s="2097">
        <f t="shared" ca="1" si="55"/>
        <v>0</v>
      </c>
      <c r="T34" s="2097">
        <f t="shared" ca="1" si="55"/>
        <v>0</v>
      </c>
      <c r="U34" s="2097">
        <f t="shared" si="56"/>
        <v>0</v>
      </c>
      <c r="V34" s="2097">
        <f t="shared" si="56"/>
        <v>0</v>
      </c>
      <c r="W34" s="2097">
        <f ca="1">IF(ISERROR(VLOOKUP(W$2&amp;$B34,Sheet_Trialbal,10,0)),0,VLOOKUP(W$2&amp;$B34,Sheet_Trialbal,10,0))</f>
        <v>0</v>
      </c>
      <c r="X34" s="2097">
        <f t="shared" si="57"/>
        <v>0</v>
      </c>
      <c r="Y34" s="2097">
        <f t="shared" si="57"/>
        <v>0</v>
      </c>
      <c r="Z34" s="2097">
        <f t="shared" si="57"/>
        <v>0</v>
      </c>
      <c r="AA34" s="2097">
        <f t="shared" si="57"/>
        <v>0</v>
      </c>
      <c r="AB34" s="2097">
        <f t="shared" si="57"/>
        <v>0</v>
      </c>
      <c r="AC34" s="2098">
        <f t="shared" ca="1" si="8"/>
        <v>0</v>
      </c>
      <c r="AD34" s="1803"/>
      <c r="AE34" s="1803"/>
      <c r="AF34" s="1803"/>
      <c r="AG34" s="1803"/>
    </row>
    <row r="35" spans="1:33" ht="21.95" customHeight="1">
      <c r="A35" s="2836"/>
      <c r="B35" s="2838" t="s">
        <v>5798</v>
      </c>
      <c r="C35" s="2099" t="str">
        <f>VLOOKUP(VALUE($P$2&amp;$B35),Sheet_Items,7,0)</f>
        <v>（六）其他</v>
      </c>
      <c r="D35" s="2096">
        <f>IF(ISERROR(VLOOKUP(VALUE(D$2&amp;$B35),Sheet_Trialbal,6,0)),0,VLOOKUP(VALUE(D$2&amp;$B35),Sheet_Trialbal,6,0))</f>
        <v>0</v>
      </c>
      <c r="E35" s="2096">
        <f t="shared" si="52"/>
        <v>0</v>
      </c>
      <c r="F35" s="2096">
        <f t="shared" si="52"/>
        <v>0</v>
      </c>
      <c r="G35" s="2096">
        <f t="shared" si="52"/>
        <v>0</v>
      </c>
      <c r="H35" s="2096">
        <f t="shared" si="53"/>
        <v>0</v>
      </c>
      <c r="I35" s="2096">
        <f t="shared" si="53"/>
        <v>0</v>
      </c>
      <c r="J35" s="2096">
        <f>IF(ISERROR(VLOOKUP(J$2&amp;$B35,Sheet_Trialbal,6,0)),0,VLOOKUP(J$2&amp;$B35,Sheet_Trialbal,6,0))</f>
        <v>0</v>
      </c>
      <c r="K35" s="2096">
        <f t="shared" si="54"/>
        <v>0</v>
      </c>
      <c r="L35" s="2096">
        <f t="shared" si="54"/>
        <v>0</v>
      </c>
      <c r="M35" s="2096">
        <f t="shared" si="54"/>
        <v>0</v>
      </c>
      <c r="N35" s="2096">
        <f t="shared" si="54"/>
        <v>0</v>
      </c>
      <c r="O35" s="2096">
        <f t="shared" si="54"/>
        <v>0</v>
      </c>
      <c r="P35" s="2114">
        <f t="shared" si="4"/>
        <v>0</v>
      </c>
      <c r="Q35" s="2112">
        <f>IF(ISERROR(VLOOKUP(VALUE(Q$2&amp;$B35),Sheet_Trialbal,10,0)),0,VLOOKUP(VALUE(Q$2&amp;$B35),Sheet_Trialbal,10,0))</f>
        <v>0</v>
      </c>
      <c r="R35" s="2097">
        <f t="shared" ca="1" si="55"/>
        <v>0</v>
      </c>
      <c r="S35" s="2097">
        <f t="shared" ca="1" si="55"/>
        <v>0</v>
      </c>
      <c r="T35" s="2097">
        <f t="shared" ca="1" si="55"/>
        <v>0</v>
      </c>
      <c r="U35" s="2097">
        <f t="shared" si="56"/>
        <v>0</v>
      </c>
      <c r="V35" s="2097">
        <f t="shared" si="56"/>
        <v>0</v>
      </c>
      <c r="W35" s="2097">
        <f ca="1">IF(ISERROR(VLOOKUP(W$2&amp;$B35,Sheet_Trialbal,10,0)),0,VLOOKUP(W$2&amp;$B35,Sheet_Trialbal,10,0))</f>
        <v>0</v>
      </c>
      <c r="X35" s="2097">
        <f t="shared" si="57"/>
        <v>0</v>
      </c>
      <c r="Y35" s="2097">
        <f t="shared" si="57"/>
        <v>0</v>
      </c>
      <c r="Z35" s="2097">
        <f t="shared" si="57"/>
        <v>0</v>
      </c>
      <c r="AA35" s="2097">
        <f t="shared" si="57"/>
        <v>0</v>
      </c>
      <c r="AB35" s="2097">
        <f t="shared" si="57"/>
        <v>0</v>
      </c>
      <c r="AC35" s="2098">
        <f t="shared" ca="1" si="8"/>
        <v>0</v>
      </c>
      <c r="AD35" s="1803"/>
      <c r="AE35" s="1803"/>
      <c r="AF35" s="1803"/>
      <c r="AG35" s="1803"/>
    </row>
    <row r="36" spans="1:33" ht="21.95" customHeight="1" thickBot="1">
      <c r="A36" s="2836" t="s">
        <v>287</v>
      </c>
      <c r="B36" s="2837" t="s">
        <v>2643</v>
      </c>
      <c r="C36" s="2107" t="str">
        <f>VLOOKUP(VALUE($P$2&amp;$B36),Sheet_Items,7,0)</f>
        <v>四、本年年末余额</v>
      </c>
      <c r="D36" s="2108">
        <f t="shared" ref="D36:AC36" si="58">SUM(D13,D14)</f>
        <v>30000000</v>
      </c>
      <c r="E36" s="2108">
        <f t="shared" si="58"/>
        <v>0</v>
      </c>
      <c r="F36" s="2108">
        <f t="shared" si="58"/>
        <v>0</v>
      </c>
      <c r="G36" s="2108">
        <f t="shared" si="58"/>
        <v>0</v>
      </c>
      <c r="H36" s="2108">
        <f t="shared" si="58"/>
        <v>10464100</v>
      </c>
      <c r="I36" s="2108">
        <f t="shared" si="58"/>
        <v>0</v>
      </c>
      <c r="J36" s="2108">
        <f t="shared" si="58"/>
        <v>0</v>
      </c>
      <c r="K36" s="2108">
        <f t="shared" si="58"/>
        <v>0</v>
      </c>
      <c r="L36" s="2108">
        <f t="shared" si="58"/>
        <v>1484894.62</v>
      </c>
      <c r="M36" s="2108">
        <f t="shared" ref="M36" si="59">SUM(M13,M14)</f>
        <v>0</v>
      </c>
      <c r="N36" s="2108">
        <f t="shared" si="58"/>
        <v>-787982.98</v>
      </c>
      <c r="O36" s="2108">
        <f t="shared" si="58"/>
        <v>0</v>
      </c>
      <c r="P36" s="2115">
        <f t="shared" si="58"/>
        <v>41161011.640000001</v>
      </c>
      <c r="Q36" s="2113">
        <f t="shared" si="58"/>
        <v>30000000</v>
      </c>
      <c r="R36" s="2109">
        <f t="shared" ca="1" si="58"/>
        <v>0</v>
      </c>
      <c r="S36" s="2109">
        <f t="shared" ca="1" si="58"/>
        <v>0</v>
      </c>
      <c r="T36" s="2109">
        <f t="shared" ca="1" si="58"/>
        <v>0</v>
      </c>
      <c r="U36" s="2109">
        <f t="shared" si="58"/>
        <v>0</v>
      </c>
      <c r="V36" s="2109">
        <f t="shared" si="58"/>
        <v>0</v>
      </c>
      <c r="W36" s="2109">
        <f t="shared" ca="1" si="58"/>
        <v>0</v>
      </c>
      <c r="X36" s="2109">
        <f t="shared" si="58"/>
        <v>0</v>
      </c>
      <c r="Y36" s="2109">
        <f t="shared" si="58"/>
        <v>1476848.22</v>
      </c>
      <c r="Z36" s="2109">
        <f t="shared" ref="Z36" si="60">SUM(Z13,Z14)</f>
        <v>0</v>
      </c>
      <c r="AA36" s="2109">
        <f t="shared" si="58"/>
        <v>13291633.890000001</v>
      </c>
      <c r="AB36" s="2109">
        <f t="shared" si="58"/>
        <v>0</v>
      </c>
      <c r="AC36" s="2110">
        <f t="shared" ca="1" si="58"/>
        <v>44768482.109999999</v>
      </c>
      <c r="AD36" s="1803"/>
      <c r="AE36" s="1803"/>
      <c r="AF36" s="1803"/>
      <c r="AG36" s="1803"/>
    </row>
    <row r="37" spans="1:33" ht="18">
      <c r="A37" s="2835"/>
      <c r="B37" s="2836"/>
      <c r="C37" s="2042" t="str">
        <f>"法定代表人："&amp;Lead!$C$8</f>
        <v>法定代表人：</v>
      </c>
      <c r="D37" s="2092"/>
      <c r="E37" s="2092"/>
      <c r="F37" s="2092"/>
      <c r="G37" s="2042" t="str">
        <f>"主管会计工作负责人："&amp;Lead!$C$9</f>
        <v>主管会计工作负责人：</v>
      </c>
      <c r="H37" s="2042"/>
      <c r="I37" s="2092"/>
      <c r="J37" s="2092"/>
      <c r="K37" s="2092"/>
      <c r="L37" s="2088" t="str">
        <f>Lead!$B$10&amp;"："&amp;Lead!$C$10</f>
        <v>会计机构负责人：</v>
      </c>
      <c r="M37" s="2088"/>
      <c r="N37" s="2042"/>
      <c r="O37" s="2092"/>
      <c r="P37" s="2092"/>
      <c r="Q37" s="2092"/>
      <c r="R37" s="2092"/>
      <c r="S37" s="2092"/>
      <c r="T37" s="2042" t="str">
        <f>"主管会计工作负责人："&amp;Lead!$C$9</f>
        <v>主管会计工作负责人：</v>
      </c>
      <c r="U37" s="2042"/>
      <c r="V37" s="2092"/>
      <c r="W37" s="2092"/>
      <c r="X37" s="2092"/>
      <c r="Y37" s="2088" t="str">
        <f>Lead!$B$10&amp;"："&amp;Lead!$C$10</f>
        <v>会计机构负责人：</v>
      </c>
      <c r="Z37" s="2088"/>
      <c r="AA37" s="2042"/>
      <c r="AB37" s="2092"/>
      <c r="AC37" s="2092"/>
      <c r="AD37" s="1803"/>
      <c r="AE37" s="1803"/>
      <c r="AF37" s="1803"/>
      <c r="AG37" s="1803"/>
    </row>
    <row r="38" spans="1:33" ht="18">
      <c r="A38" s="2835"/>
      <c r="B38" s="2836"/>
      <c r="C38" s="1965"/>
      <c r="D38" s="1965"/>
      <c r="E38" s="1965"/>
      <c r="F38" s="1965"/>
      <c r="G38" s="1965"/>
      <c r="H38" s="1965"/>
      <c r="I38" s="1965"/>
      <c r="J38" s="1965"/>
      <c r="K38" s="1965"/>
      <c r="L38" s="1965"/>
      <c r="M38" s="1965"/>
      <c r="N38" s="1965"/>
      <c r="O38" s="1965"/>
      <c r="P38" s="1965"/>
      <c r="Q38" s="1965"/>
      <c r="R38" s="1965"/>
      <c r="S38" s="1965"/>
      <c r="T38" s="1965"/>
      <c r="U38" s="1965"/>
      <c r="V38" s="1965"/>
      <c r="W38" s="1965"/>
      <c r="X38" s="1965"/>
      <c r="Y38" s="1965"/>
      <c r="Z38" s="1965"/>
      <c r="AA38" s="1965"/>
      <c r="AB38" s="1965"/>
      <c r="AC38" s="1965"/>
      <c r="AD38" s="1803"/>
      <c r="AE38" s="1803"/>
      <c r="AF38" s="1803"/>
      <c r="AG38" s="1803"/>
    </row>
    <row r="39" spans="1:33">
      <c r="A39" s="2835"/>
      <c r="B39" s="2835"/>
      <c r="C39" s="1965"/>
      <c r="D39" s="1965"/>
      <c r="E39" s="1965"/>
      <c r="F39" s="1965"/>
      <c r="G39" s="1965"/>
      <c r="H39" s="1965"/>
      <c r="I39" s="1965"/>
      <c r="J39" s="1965"/>
      <c r="K39" s="1965"/>
      <c r="L39" s="1965"/>
      <c r="M39" s="1965"/>
      <c r="N39" s="1965"/>
      <c r="O39" s="1965"/>
      <c r="P39" s="1965"/>
      <c r="Q39" s="1965"/>
      <c r="R39" s="1965"/>
      <c r="S39" s="1965"/>
      <c r="T39" s="1965"/>
      <c r="U39" s="1965"/>
      <c r="V39" s="1965"/>
      <c r="W39" s="1965"/>
      <c r="X39" s="1965"/>
      <c r="Y39" s="1965"/>
      <c r="Z39" s="1965"/>
      <c r="AA39" s="1965"/>
      <c r="AB39" s="1965"/>
      <c r="AC39" s="1965"/>
      <c r="AD39" s="1803"/>
      <c r="AE39" s="1803"/>
      <c r="AF39" s="1803"/>
      <c r="AG39" s="1803"/>
    </row>
    <row r="40" spans="1:33">
      <c r="A40" s="2835"/>
      <c r="B40" s="2835"/>
      <c r="C40" s="1965"/>
      <c r="D40" s="1965"/>
      <c r="E40" s="1965"/>
      <c r="F40" s="1965"/>
      <c r="G40" s="1965"/>
      <c r="H40" s="1965"/>
      <c r="I40" s="1965"/>
      <c r="J40" s="1965"/>
      <c r="K40" s="1965"/>
      <c r="L40" s="1965"/>
      <c r="M40" s="1965"/>
      <c r="N40" s="1965"/>
      <c r="O40" s="1965"/>
      <c r="P40" s="1965"/>
      <c r="Q40" s="1965"/>
      <c r="R40" s="1965"/>
      <c r="S40" s="1965"/>
      <c r="T40" s="1965"/>
      <c r="U40" s="1965"/>
      <c r="V40" s="1965"/>
      <c r="W40" s="1965"/>
      <c r="X40" s="1965"/>
      <c r="Y40" s="1965"/>
      <c r="Z40" s="1965"/>
      <c r="AA40" s="1965"/>
      <c r="AB40" s="1965"/>
      <c r="AC40" s="1965"/>
      <c r="AD40" s="1803"/>
      <c r="AE40" s="1803"/>
      <c r="AF40" s="1803"/>
      <c r="AG40" s="1803"/>
    </row>
    <row r="41" spans="1:33" s="1974" customFormat="1" ht="24">
      <c r="A41" s="2878" t="s">
        <v>2565</v>
      </c>
      <c r="B41" s="2879"/>
      <c r="C41" s="1966" t="s">
        <v>5824</v>
      </c>
      <c r="D41" s="1967"/>
      <c r="E41" s="1967"/>
      <c r="F41" s="1967"/>
      <c r="G41" s="1967"/>
      <c r="H41" s="1968"/>
      <c r="I41" s="1968"/>
      <c r="J41" s="1968"/>
      <c r="K41" s="1968"/>
      <c r="L41" s="1968"/>
      <c r="M41" s="1968"/>
      <c r="N41" s="1968"/>
      <c r="O41" s="1969" t="s">
        <v>47</v>
      </c>
      <c r="P41" s="1968"/>
      <c r="Q41" s="1970" t="s">
        <v>5841</v>
      </c>
      <c r="R41" s="1970" t="s">
        <v>2610</v>
      </c>
      <c r="S41" s="1970" t="s">
        <v>2611</v>
      </c>
      <c r="T41" s="1970" t="s">
        <v>2612</v>
      </c>
      <c r="U41" s="1971" t="s">
        <v>592</v>
      </c>
      <c r="V41" s="1971" t="s">
        <v>682</v>
      </c>
      <c r="W41" s="1971" t="s">
        <v>621</v>
      </c>
      <c r="X41" s="1971" t="s">
        <v>627</v>
      </c>
      <c r="Y41" s="1971" t="s">
        <v>602</v>
      </c>
      <c r="Z41" s="1971" t="s">
        <v>5873</v>
      </c>
      <c r="AA41" s="1971" t="s">
        <v>611</v>
      </c>
      <c r="AB41" s="1971" t="s">
        <v>932</v>
      </c>
      <c r="AC41" s="1972" t="s">
        <v>2614</v>
      </c>
      <c r="AD41" s="1973"/>
      <c r="AE41" s="1973"/>
      <c r="AF41" s="1973"/>
      <c r="AG41" s="1973"/>
    </row>
    <row r="42" spans="1:33" s="1974" customFormat="1" ht="18">
      <c r="A42" s="2879" t="s">
        <v>2565</v>
      </c>
      <c r="B42" s="2880"/>
      <c r="C42" s="1975" t="s">
        <v>5842</v>
      </c>
      <c r="D42" s="1976"/>
      <c r="E42" s="1976"/>
      <c r="F42" s="1976"/>
      <c r="G42" s="1976"/>
      <c r="H42" s="1976"/>
      <c r="I42" s="1976"/>
      <c r="J42" s="1976"/>
      <c r="K42" s="1976"/>
      <c r="L42" s="1977" t="s">
        <v>5826</v>
      </c>
      <c r="M42" s="1977"/>
      <c r="N42" s="1978"/>
      <c r="O42" s="1978"/>
      <c r="P42" s="1976"/>
      <c r="Q42" s="1898"/>
      <c r="R42" s="1898"/>
      <c r="S42" s="1898"/>
      <c r="T42" s="1898"/>
      <c r="U42" s="1873"/>
      <c r="V42" s="1873"/>
      <c r="W42" s="1873"/>
      <c r="X42" s="1873"/>
      <c r="Y42" s="1873"/>
      <c r="Z42" s="1873"/>
      <c r="AA42" s="1873"/>
      <c r="AB42" s="1873"/>
      <c r="AC42" s="1867"/>
      <c r="AD42" s="1973"/>
      <c r="AE42" s="1973"/>
      <c r="AF42" s="1973"/>
      <c r="AG42" s="1973"/>
    </row>
    <row r="43" spans="1:33" s="1974" customFormat="1" ht="18">
      <c r="A43" s="2879" t="s">
        <v>2565</v>
      </c>
      <c r="B43" s="2880"/>
      <c r="C43" s="1979">
        <f ca="1">SUM(Q45:AB45,D52:O52,Q52:AB52)</f>
        <v>0</v>
      </c>
      <c r="D43" s="1976"/>
      <c r="E43" s="1976"/>
      <c r="F43" s="1976"/>
      <c r="G43" s="1976"/>
      <c r="H43" s="1976"/>
      <c r="I43" s="1976"/>
      <c r="J43" s="1976"/>
      <c r="K43" s="1976"/>
      <c r="L43" s="1980" t="str">
        <f>$C$13&amp;":"&amp;$D$6</f>
        <v>二、本年年初余额:2019年度</v>
      </c>
      <c r="M43" s="1980"/>
      <c r="N43" s="1978"/>
      <c r="O43" s="1978"/>
      <c r="P43" s="1893"/>
      <c r="Q43" s="1898">
        <f t="shared" ref="Q43:Z43" si="61">D13</f>
        <v>30000000</v>
      </c>
      <c r="R43" s="1898">
        <f t="shared" si="61"/>
        <v>0</v>
      </c>
      <c r="S43" s="1898">
        <f t="shared" si="61"/>
        <v>0</v>
      </c>
      <c r="T43" s="1898">
        <f t="shared" si="61"/>
        <v>0</v>
      </c>
      <c r="U43" s="1898">
        <f t="shared" si="61"/>
        <v>0</v>
      </c>
      <c r="V43" s="1898">
        <f t="shared" si="61"/>
        <v>0</v>
      </c>
      <c r="W43" s="1898">
        <f t="shared" si="61"/>
        <v>0</v>
      </c>
      <c r="X43" s="1898">
        <f t="shared" si="61"/>
        <v>0</v>
      </c>
      <c r="Y43" s="1898">
        <f t="shared" si="61"/>
        <v>1476848.22</v>
      </c>
      <c r="Z43" s="1898">
        <f t="shared" si="61"/>
        <v>0</v>
      </c>
      <c r="AA43" s="1950">
        <f>N9</f>
        <v>13291633.890000001</v>
      </c>
      <c r="AB43" s="1898">
        <f t="shared" ref="AB43" si="62">O13</f>
        <v>0</v>
      </c>
      <c r="AC43" s="1948">
        <f>P9</f>
        <v>44768482.109999999</v>
      </c>
      <c r="AD43" s="1973"/>
      <c r="AE43" s="1973"/>
      <c r="AF43" s="1973"/>
      <c r="AG43" s="1973"/>
    </row>
    <row r="44" spans="1:33" s="1974" customFormat="1" ht="18">
      <c r="A44" s="2879" t="s">
        <v>2565</v>
      </c>
      <c r="B44" s="2880"/>
      <c r="C44" s="1981" t="str">
        <f ca="1">IF(C43=0,"Balanced","Diff "&amp;TEXT(ROUND(C43,2),"#,###.00"))</f>
        <v>Balanced</v>
      </c>
      <c r="D44" s="1976"/>
      <c r="E44" s="1976"/>
      <c r="F44" s="1976"/>
      <c r="G44" s="1976"/>
      <c r="H44" s="1976"/>
      <c r="I44" s="1976"/>
      <c r="J44" s="1976"/>
      <c r="K44" s="1976"/>
      <c r="L44" s="1980" t="str">
        <f>$Q$6&amp;":"&amp;$C$36</f>
        <v>2018年度:四、本年年末余额</v>
      </c>
      <c r="M44" s="1980"/>
      <c r="N44" s="1978"/>
      <c r="O44" s="1978"/>
      <c r="P44" s="1893"/>
      <c r="Q44" s="1982">
        <f t="shared" ref="Q44:AC44" si="63">Q36</f>
        <v>30000000</v>
      </c>
      <c r="R44" s="1982">
        <f t="shared" ca="1" si="63"/>
        <v>0</v>
      </c>
      <c r="S44" s="1982">
        <f t="shared" ca="1" si="63"/>
        <v>0</v>
      </c>
      <c r="T44" s="1982">
        <f t="shared" ca="1" si="63"/>
        <v>0</v>
      </c>
      <c r="U44" s="1983">
        <f t="shared" si="63"/>
        <v>0</v>
      </c>
      <c r="V44" s="1983">
        <f t="shared" si="63"/>
        <v>0</v>
      </c>
      <c r="W44" s="1983">
        <f t="shared" ca="1" si="63"/>
        <v>0</v>
      </c>
      <c r="X44" s="1983">
        <f t="shared" si="63"/>
        <v>0</v>
      </c>
      <c r="Y44" s="1983">
        <f t="shared" si="63"/>
        <v>1476848.22</v>
      </c>
      <c r="Z44" s="1983">
        <f t="shared" si="63"/>
        <v>0</v>
      </c>
      <c r="AA44" s="1983">
        <f t="shared" si="63"/>
        <v>13291633.890000001</v>
      </c>
      <c r="AB44" s="1983">
        <f t="shared" si="63"/>
        <v>0</v>
      </c>
      <c r="AC44" s="1899">
        <f t="shared" ca="1" si="63"/>
        <v>44768482.109999999</v>
      </c>
      <c r="AD44" s="1973"/>
      <c r="AE44" s="1973"/>
      <c r="AF44" s="1973"/>
      <c r="AG44" s="1973"/>
    </row>
    <row r="45" spans="1:33" s="1974" customFormat="1" ht="18.75" thickBot="1">
      <c r="A45" s="2879" t="s">
        <v>2565</v>
      </c>
      <c r="B45" s="2880"/>
      <c r="C45" s="1984" t="s">
        <v>5829</v>
      </c>
      <c r="D45" s="1976"/>
      <c r="E45" s="1976"/>
      <c r="F45" s="1976"/>
      <c r="G45" s="1976"/>
      <c r="H45" s="1976"/>
      <c r="I45" s="1976"/>
      <c r="J45" s="1976"/>
      <c r="K45" s="1976"/>
      <c r="L45" s="1985" t="s">
        <v>2580</v>
      </c>
      <c r="M45" s="1985"/>
      <c r="N45" s="1978"/>
      <c r="O45" s="1978"/>
      <c r="P45" s="1976"/>
      <c r="Q45" s="1902">
        <f t="shared" ref="Q45:AC45" si="64">ROUND(Q43-Q44,2)</f>
        <v>0</v>
      </c>
      <c r="R45" s="1902">
        <f t="shared" ca="1" si="64"/>
        <v>0</v>
      </c>
      <c r="S45" s="1902">
        <f t="shared" ca="1" si="64"/>
        <v>0</v>
      </c>
      <c r="T45" s="1902">
        <f t="shared" ca="1" si="64"/>
        <v>0</v>
      </c>
      <c r="U45" s="1986">
        <f t="shared" si="64"/>
        <v>0</v>
      </c>
      <c r="V45" s="1986">
        <f t="shared" si="64"/>
        <v>0</v>
      </c>
      <c r="W45" s="1986">
        <f t="shared" ca="1" si="64"/>
        <v>0</v>
      </c>
      <c r="X45" s="1986">
        <f t="shared" si="64"/>
        <v>0</v>
      </c>
      <c r="Y45" s="1986">
        <f t="shared" si="64"/>
        <v>0</v>
      </c>
      <c r="Z45" s="1986">
        <f t="shared" ref="Z45" si="65">ROUND(Z43-Z44,2)</f>
        <v>0</v>
      </c>
      <c r="AA45" s="1986">
        <f t="shared" si="64"/>
        <v>0</v>
      </c>
      <c r="AB45" s="1986">
        <f t="shared" si="64"/>
        <v>0</v>
      </c>
      <c r="AC45" s="1903">
        <f t="shared" ca="1" si="64"/>
        <v>0</v>
      </c>
      <c r="AD45" s="1973"/>
      <c r="AE45" s="1973"/>
      <c r="AF45" s="1973"/>
      <c r="AG45" s="1973"/>
    </row>
    <row r="46" spans="1:33" s="1974" customFormat="1" ht="18.75" thickTop="1">
      <c r="A46" s="2879" t="s">
        <v>2565</v>
      </c>
      <c r="B46" s="2880"/>
      <c r="C46" s="1984" t="s">
        <v>5829</v>
      </c>
      <c r="D46" s="1976"/>
      <c r="E46" s="1976"/>
      <c r="F46" s="1976"/>
      <c r="G46" s="1976"/>
      <c r="H46" s="1976"/>
      <c r="I46" s="1976"/>
      <c r="J46" s="1976"/>
      <c r="K46" s="1976"/>
      <c r="L46" s="1976"/>
      <c r="M46" s="1976"/>
      <c r="N46" s="1976"/>
      <c r="O46" s="1976"/>
      <c r="P46" s="1976"/>
      <c r="Q46" s="1905" t="str">
        <f t="shared" ref="Q46:AC46" si="66">IF(Q45=0,"√","×")</f>
        <v>√</v>
      </c>
      <c r="R46" s="1905" t="str">
        <f t="shared" ca="1" si="66"/>
        <v>√</v>
      </c>
      <c r="S46" s="1905" t="str">
        <f t="shared" ca="1" si="66"/>
        <v>√</v>
      </c>
      <c r="T46" s="1905" t="str">
        <f t="shared" ca="1" si="66"/>
        <v>√</v>
      </c>
      <c r="U46" s="1987" t="str">
        <f t="shared" si="66"/>
        <v>√</v>
      </c>
      <c r="V46" s="1987" t="str">
        <f t="shared" si="66"/>
        <v>√</v>
      </c>
      <c r="W46" s="1987" t="str">
        <f t="shared" ca="1" si="66"/>
        <v>√</v>
      </c>
      <c r="X46" s="1987" t="str">
        <f t="shared" si="66"/>
        <v>√</v>
      </c>
      <c r="Y46" s="1987" t="str">
        <f t="shared" si="66"/>
        <v>√</v>
      </c>
      <c r="Z46" s="1987" t="str">
        <f t="shared" ref="Z46" si="67">IF(Z45=0,"√","×")</f>
        <v>√</v>
      </c>
      <c r="AA46" s="1987" t="str">
        <f t="shared" si="66"/>
        <v>√</v>
      </c>
      <c r="AB46" s="1987" t="str">
        <f t="shared" si="66"/>
        <v>√</v>
      </c>
      <c r="AC46" s="1906" t="str">
        <f t="shared" ca="1" si="66"/>
        <v>√</v>
      </c>
      <c r="AD46" s="1973"/>
      <c r="AE46" s="1973"/>
      <c r="AF46" s="1973"/>
      <c r="AG46" s="1973"/>
    </row>
    <row r="47" spans="1:33" s="1974" customFormat="1" ht="18">
      <c r="A47" s="2879" t="s">
        <v>2565</v>
      </c>
      <c r="B47" s="2880"/>
      <c r="C47" s="1988" t="s">
        <v>5824</v>
      </c>
      <c r="D47" s="1989" t="s">
        <v>5840</v>
      </c>
      <c r="E47" s="1990"/>
      <c r="F47" s="1990"/>
      <c r="G47" s="1990"/>
      <c r="H47" s="1991"/>
      <c r="I47" s="1991"/>
      <c r="J47" s="1991"/>
      <c r="K47" s="1991"/>
      <c r="L47" s="1991"/>
      <c r="M47" s="1991"/>
      <c r="N47" s="1991"/>
      <c r="O47" s="1991"/>
      <c r="P47" s="1992"/>
      <c r="Q47" s="1993" t="s">
        <v>5843</v>
      </c>
      <c r="R47" s="1993"/>
      <c r="S47" s="1993"/>
      <c r="T47" s="1993"/>
      <c r="U47" s="1991"/>
      <c r="V47" s="1991"/>
      <c r="W47" s="1991"/>
      <c r="X47" s="1991"/>
      <c r="Y47" s="1991"/>
      <c r="Z47" s="1991"/>
      <c r="AA47" s="1991"/>
      <c r="AB47" s="1991"/>
      <c r="AC47" s="1994"/>
      <c r="AD47" s="1973"/>
      <c r="AE47" s="1973"/>
      <c r="AF47" s="1973"/>
      <c r="AG47" s="1973"/>
    </row>
    <row r="48" spans="1:33" s="1974" customFormat="1" ht="24">
      <c r="A48" s="2879" t="s">
        <v>2565</v>
      </c>
      <c r="B48" s="2880"/>
      <c r="C48" s="1995" t="s">
        <v>47</v>
      </c>
      <c r="D48" s="1996" t="s">
        <v>586</v>
      </c>
      <c r="E48" s="1996" t="s">
        <v>2610</v>
      </c>
      <c r="F48" s="1996" t="s">
        <v>2611</v>
      </c>
      <c r="G48" s="1996" t="s">
        <v>2612</v>
      </c>
      <c r="H48" s="1996" t="s">
        <v>592</v>
      </c>
      <c r="I48" s="1996" t="s">
        <v>682</v>
      </c>
      <c r="J48" s="1996" t="s">
        <v>621</v>
      </c>
      <c r="K48" s="1996" t="s">
        <v>627</v>
      </c>
      <c r="L48" s="1996" t="s">
        <v>602</v>
      </c>
      <c r="M48" s="1996" t="s">
        <v>5873</v>
      </c>
      <c r="N48" s="1996" t="s">
        <v>611</v>
      </c>
      <c r="O48" s="1996" t="s">
        <v>932</v>
      </c>
      <c r="P48" s="1997" t="s">
        <v>2614</v>
      </c>
      <c r="Q48" s="1998" t="s">
        <v>586</v>
      </c>
      <c r="R48" s="1998" t="s">
        <v>2610</v>
      </c>
      <c r="S48" s="1998" t="s">
        <v>2611</v>
      </c>
      <c r="T48" s="1998" t="s">
        <v>2612</v>
      </c>
      <c r="U48" s="1996" t="s">
        <v>592</v>
      </c>
      <c r="V48" s="1996" t="s">
        <v>682</v>
      </c>
      <c r="W48" s="1996" t="s">
        <v>621</v>
      </c>
      <c r="X48" s="1996" t="s">
        <v>627</v>
      </c>
      <c r="Y48" s="1996" t="s">
        <v>602</v>
      </c>
      <c r="Z48" s="1996" t="s">
        <v>5873</v>
      </c>
      <c r="AA48" s="1996" t="s">
        <v>611</v>
      </c>
      <c r="AB48" s="1996" t="s">
        <v>932</v>
      </c>
      <c r="AC48" s="1999" t="s">
        <v>2614</v>
      </c>
      <c r="AD48" s="1973"/>
      <c r="AE48" s="1973"/>
      <c r="AF48" s="1973"/>
      <c r="AG48" s="1973"/>
    </row>
    <row r="49" spans="1:33" s="1974" customFormat="1" ht="18">
      <c r="A49" s="2879" t="s">
        <v>2565</v>
      </c>
      <c r="B49" s="2880"/>
      <c r="C49" s="2000" t="s">
        <v>5844</v>
      </c>
      <c r="D49" s="1873"/>
      <c r="E49" s="1873"/>
      <c r="F49" s="1873"/>
      <c r="G49" s="1873"/>
      <c r="H49" s="1873"/>
      <c r="I49" s="1873"/>
      <c r="J49" s="1873"/>
      <c r="K49" s="1873"/>
      <c r="L49" s="1873"/>
      <c r="M49" s="1873"/>
      <c r="N49" s="1873"/>
      <c r="O49" s="1873"/>
      <c r="P49" s="2001"/>
      <c r="Q49" s="1898"/>
      <c r="R49" s="1898"/>
      <c r="S49" s="1898"/>
      <c r="T49" s="1898"/>
      <c r="U49" s="1873"/>
      <c r="V49" s="1873"/>
      <c r="W49" s="1873"/>
      <c r="X49" s="1873"/>
      <c r="Y49" s="1873"/>
      <c r="Z49" s="1873"/>
      <c r="AA49" s="1873"/>
      <c r="AB49" s="1873"/>
      <c r="AC49" s="1867"/>
      <c r="AD49" s="1973"/>
      <c r="AE49" s="1973"/>
      <c r="AF49" s="1973"/>
      <c r="AG49" s="1973"/>
    </row>
    <row r="50" spans="1:33" s="1974" customFormat="1" ht="18">
      <c r="A50" s="2879" t="s">
        <v>2565</v>
      </c>
      <c r="B50" s="2880"/>
      <c r="C50" s="2002" t="str">
        <f>$C$36&amp;"  CE"</f>
        <v>四、本年年末余额  CE</v>
      </c>
      <c r="D50" s="1873">
        <f t="shared" ref="D50:AC50" si="68">D36</f>
        <v>30000000</v>
      </c>
      <c r="E50" s="1873">
        <f t="shared" si="68"/>
        <v>0</v>
      </c>
      <c r="F50" s="1873">
        <f t="shared" si="68"/>
        <v>0</v>
      </c>
      <c r="G50" s="1873">
        <f t="shared" si="68"/>
        <v>0</v>
      </c>
      <c r="H50" s="1873">
        <f t="shared" si="68"/>
        <v>10464100</v>
      </c>
      <c r="I50" s="1873">
        <f t="shared" si="68"/>
        <v>0</v>
      </c>
      <c r="J50" s="1873">
        <f t="shared" si="68"/>
        <v>0</v>
      </c>
      <c r="K50" s="1873">
        <f t="shared" si="68"/>
        <v>0</v>
      </c>
      <c r="L50" s="1873">
        <f t="shared" si="68"/>
        <v>1484894.62</v>
      </c>
      <c r="M50" s="1873">
        <f t="shared" si="68"/>
        <v>0</v>
      </c>
      <c r="N50" s="1873">
        <f t="shared" si="68"/>
        <v>-787982.98</v>
      </c>
      <c r="O50" s="1873">
        <f t="shared" si="68"/>
        <v>0</v>
      </c>
      <c r="P50" s="2003">
        <f t="shared" si="68"/>
        <v>41161011.640000001</v>
      </c>
      <c r="Q50" s="1982">
        <f t="shared" si="68"/>
        <v>30000000</v>
      </c>
      <c r="R50" s="1982">
        <f t="shared" ca="1" si="68"/>
        <v>0</v>
      </c>
      <c r="S50" s="1982">
        <f t="shared" ca="1" si="68"/>
        <v>0</v>
      </c>
      <c r="T50" s="1982">
        <f t="shared" ca="1" si="68"/>
        <v>0</v>
      </c>
      <c r="U50" s="1983">
        <f t="shared" si="68"/>
        <v>0</v>
      </c>
      <c r="V50" s="1983">
        <f t="shared" si="68"/>
        <v>0</v>
      </c>
      <c r="W50" s="1983">
        <f t="shared" ca="1" si="68"/>
        <v>0</v>
      </c>
      <c r="X50" s="1983">
        <f t="shared" si="68"/>
        <v>0</v>
      </c>
      <c r="Y50" s="1983">
        <f t="shared" si="68"/>
        <v>1476848.22</v>
      </c>
      <c r="Z50" s="1983">
        <f t="shared" si="68"/>
        <v>0</v>
      </c>
      <c r="AA50" s="1983">
        <f t="shared" si="68"/>
        <v>13291633.890000001</v>
      </c>
      <c r="AB50" s="1983">
        <f t="shared" si="68"/>
        <v>0</v>
      </c>
      <c r="AC50" s="1899">
        <f t="shared" ca="1" si="68"/>
        <v>44768482.109999999</v>
      </c>
      <c r="AD50" s="1973"/>
      <c r="AE50" s="1973"/>
      <c r="AF50" s="1973"/>
      <c r="AG50" s="1973"/>
    </row>
    <row r="51" spans="1:33" s="1974" customFormat="1" ht="18">
      <c r="A51" s="2879" t="s">
        <v>2565</v>
      </c>
      <c r="B51" s="2880"/>
      <c r="C51" s="2004" t="s">
        <v>5845</v>
      </c>
      <c r="D51" s="1873">
        <f>BS!K38</f>
        <v>30000000</v>
      </c>
      <c r="E51" s="1873">
        <f>BS!K40</f>
        <v>0</v>
      </c>
      <c r="F51" s="1873">
        <f>BS!K41</f>
        <v>0</v>
      </c>
      <c r="G51" s="1873">
        <f>BS!K39-BS!K40-BS!K41</f>
        <v>0</v>
      </c>
      <c r="H51" s="1873">
        <f>BS!K42</f>
        <v>10464100</v>
      </c>
      <c r="I51" s="1873">
        <f>BS!K43</f>
        <v>0</v>
      </c>
      <c r="J51" s="1873">
        <f>BS!K44</f>
        <v>0</v>
      </c>
      <c r="K51" s="1873">
        <f>BS!K45</f>
        <v>0</v>
      </c>
      <c r="L51" s="1873">
        <f>BS!K46</f>
        <v>1484894.62</v>
      </c>
      <c r="M51" s="1873">
        <f>BS!K47</f>
        <v>0</v>
      </c>
      <c r="N51" s="1873">
        <f>BS!K48</f>
        <v>-787982.98</v>
      </c>
      <c r="O51" s="1873"/>
      <c r="P51" s="2003">
        <f>BS!K49</f>
        <v>41161011.640000001</v>
      </c>
      <c r="Q51" s="1982">
        <f>BS!L38</f>
        <v>30000000</v>
      </c>
      <c r="R51" s="1982">
        <f>BS!L40</f>
        <v>0</v>
      </c>
      <c r="S51" s="1982">
        <f>BS!L41</f>
        <v>0</v>
      </c>
      <c r="T51" s="1982">
        <f>BS!L39-BS!L40-BS!L41</f>
        <v>0</v>
      </c>
      <c r="U51" s="1983">
        <f>BS!L42</f>
        <v>0</v>
      </c>
      <c r="V51" s="1983">
        <f>BS!L43</f>
        <v>0</v>
      </c>
      <c r="W51" s="1983">
        <f>BS!L44</f>
        <v>0</v>
      </c>
      <c r="X51" s="1983">
        <f>BS!L45</f>
        <v>0</v>
      </c>
      <c r="Y51" s="1983">
        <f>BS!L46</f>
        <v>1476848.22</v>
      </c>
      <c r="Z51" s="1983">
        <f>BS!L47</f>
        <v>0</v>
      </c>
      <c r="AA51" s="1983">
        <f>BS!L48</f>
        <v>13291633.890000001</v>
      </c>
      <c r="AB51" s="1983"/>
      <c r="AC51" s="1899">
        <f>BS!L49</f>
        <v>44768482.109999999</v>
      </c>
      <c r="AD51" s="1973"/>
      <c r="AE51" s="1973"/>
      <c r="AF51" s="1973"/>
      <c r="AG51" s="1973"/>
    </row>
    <row r="52" spans="1:33" s="1974" customFormat="1" ht="18.75" thickBot="1">
      <c r="A52" s="2879" t="s">
        <v>2565</v>
      </c>
      <c r="B52" s="2880"/>
      <c r="C52" s="2005" t="s">
        <v>2580</v>
      </c>
      <c r="D52" s="1986">
        <f t="shared" ref="D52:AC52" si="69">ROUND(D50-D51,2)</f>
        <v>0</v>
      </c>
      <c r="E52" s="1986">
        <f t="shared" si="69"/>
        <v>0</v>
      </c>
      <c r="F52" s="1986">
        <f t="shared" si="69"/>
        <v>0</v>
      </c>
      <c r="G52" s="1986">
        <f t="shared" si="69"/>
        <v>0</v>
      </c>
      <c r="H52" s="1986">
        <f t="shared" si="69"/>
        <v>0</v>
      </c>
      <c r="I52" s="1986">
        <f t="shared" si="69"/>
        <v>0</v>
      </c>
      <c r="J52" s="1986">
        <f t="shared" si="69"/>
        <v>0</v>
      </c>
      <c r="K52" s="1986">
        <f t="shared" si="69"/>
        <v>0</v>
      </c>
      <c r="L52" s="1986">
        <f t="shared" si="69"/>
        <v>0</v>
      </c>
      <c r="M52" s="1986">
        <f t="shared" ref="M52" si="70">ROUND(M50-M51,2)</f>
        <v>0</v>
      </c>
      <c r="N52" s="1986">
        <f t="shared" si="69"/>
        <v>0</v>
      </c>
      <c r="O52" s="1986">
        <f t="shared" si="69"/>
        <v>0</v>
      </c>
      <c r="P52" s="2006">
        <f t="shared" si="69"/>
        <v>0</v>
      </c>
      <c r="Q52" s="1902">
        <f t="shared" si="69"/>
        <v>0</v>
      </c>
      <c r="R52" s="1902">
        <f t="shared" ca="1" si="69"/>
        <v>0</v>
      </c>
      <c r="S52" s="1902">
        <f t="shared" ca="1" si="69"/>
        <v>0</v>
      </c>
      <c r="T52" s="1902">
        <f t="shared" ca="1" si="69"/>
        <v>0</v>
      </c>
      <c r="U52" s="1986">
        <f t="shared" si="69"/>
        <v>0</v>
      </c>
      <c r="V52" s="1986">
        <f t="shared" si="69"/>
        <v>0</v>
      </c>
      <c r="W52" s="1986">
        <f t="shared" ca="1" si="69"/>
        <v>0</v>
      </c>
      <c r="X52" s="1986">
        <f t="shared" si="69"/>
        <v>0</v>
      </c>
      <c r="Y52" s="1986">
        <f t="shared" si="69"/>
        <v>0</v>
      </c>
      <c r="Z52" s="1986">
        <f t="shared" ref="Z52" si="71">ROUND(Z50-Z51,2)</f>
        <v>0</v>
      </c>
      <c r="AA52" s="1986">
        <f t="shared" si="69"/>
        <v>0</v>
      </c>
      <c r="AB52" s="1986">
        <f t="shared" si="69"/>
        <v>0</v>
      </c>
      <c r="AC52" s="1903">
        <f t="shared" ca="1" si="69"/>
        <v>0</v>
      </c>
      <c r="AD52" s="1973"/>
      <c r="AE52" s="1973"/>
      <c r="AF52" s="1973"/>
      <c r="AG52" s="1973"/>
    </row>
    <row r="53" spans="1:33" s="1974" customFormat="1" ht="19.5" thickTop="1" thickBot="1">
      <c r="A53" s="2879" t="s">
        <v>2565</v>
      </c>
      <c r="B53" s="2880"/>
      <c r="C53" s="2007" t="s">
        <v>5820</v>
      </c>
      <c r="D53" s="2008" t="str">
        <f t="shared" ref="D53:AC53" si="72">IF(D52=0,"√","×")</f>
        <v>√</v>
      </c>
      <c r="E53" s="2008" t="str">
        <f t="shared" si="72"/>
        <v>√</v>
      </c>
      <c r="F53" s="2008" t="str">
        <f t="shared" si="72"/>
        <v>√</v>
      </c>
      <c r="G53" s="2008" t="str">
        <f t="shared" si="72"/>
        <v>√</v>
      </c>
      <c r="H53" s="2008" t="str">
        <f t="shared" si="72"/>
        <v>√</v>
      </c>
      <c r="I53" s="2008" t="str">
        <f t="shared" si="72"/>
        <v>√</v>
      </c>
      <c r="J53" s="2008" t="str">
        <f t="shared" si="72"/>
        <v>√</v>
      </c>
      <c r="K53" s="2008" t="str">
        <f t="shared" si="72"/>
        <v>√</v>
      </c>
      <c r="L53" s="2008" t="str">
        <f t="shared" si="72"/>
        <v>√</v>
      </c>
      <c r="M53" s="2008" t="str">
        <f t="shared" ref="M53" si="73">IF(M52=0,"√","×")</f>
        <v>√</v>
      </c>
      <c r="N53" s="2008" t="str">
        <f t="shared" si="72"/>
        <v>√</v>
      </c>
      <c r="O53" s="2008" t="str">
        <f t="shared" si="72"/>
        <v>√</v>
      </c>
      <c r="P53" s="2009" t="str">
        <f t="shared" si="72"/>
        <v>√</v>
      </c>
      <c r="Q53" s="2010" t="str">
        <f t="shared" si="72"/>
        <v>√</v>
      </c>
      <c r="R53" s="2010" t="str">
        <f t="shared" ca="1" si="72"/>
        <v>√</v>
      </c>
      <c r="S53" s="2010" t="str">
        <f t="shared" ca="1" si="72"/>
        <v>√</v>
      </c>
      <c r="T53" s="2010" t="str">
        <f t="shared" ca="1" si="72"/>
        <v>√</v>
      </c>
      <c r="U53" s="2008" t="str">
        <f t="shared" si="72"/>
        <v>√</v>
      </c>
      <c r="V53" s="2008" t="str">
        <f t="shared" si="72"/>
        <v>√</v>
      </c>
      <c r="W53" s="2008" t="str">
        <f t="shared" ca="1" si="72"/>
        <v>√</v>
      </c>
      <c r="X53" s="2008" t="str">
        <f t="shared" si="72"/>
        <v>√</v>
      </c>
      <c r="Y53" s="2008" t="str">
        <f t="shared" si="72"/>
        <v>√</v>
      </c>
      <c r="Z53" s="2008" t="str">
        <f t="shared" ref="Z53" si="74">IF(Z52=0,"√","×")</f>
        <v>√</v>
      </c>
      <c r="AA53" s="2008" t="str">
        <f t="shared" si="72"/>
        <v>√</v>
      </c>
      <c r="AB53" s="2008" t="str">
        <f t="shared" si="72"/>
        <v>√</v>
      </c>
      <c r="AC53" s="2011" t="str">
        <f t="shared" ca="1" si="72"/>
        <v>√</v>
      </c>
      <c r="AD53" s="1973"/>
      <c r="AE53" s="1973"/>
      <c r="AF53" s="1973"/>
      <c r="AG53" s="1973"/>
    </row>
    <row r="54" spans="1:33">
      <c r="C54" s="1803"/>
      <c r="D54" s="1803"/>
      <c r="E54" s="1803"/>
      <c r="F54" s="1803"/>
      <c r="G54" s="1803"/>
      <c r="H54" s="1803"/>
      <c r="I54" s="1803"/>
      <c r="J54" s="1803"/>
      <c r="K54" s="1803"/>
      <c r="L54" s="1803"/>
      <c r="M54" s="1803"/>
      <c r="N54" s="1803"/>
      <c r="O54" s="1803"/>
      <c r="P54" s="1803"/>
      <c r="Q54" s="1803"/>
      <c r="R54" s="1803"/>
      <c r="S54" s="1803"/>
      <c r="T54" s="1803"/>
      <c r="U54" s="1803"/>
      <c r="V54" s="1803"/>
      <c r="W54" s="1803"/>
      <c r="X54" s="1803"/>
      <c r="Y54" s="1803"/>
      <c r="Z54" s="1803"/>
      <c r="AA54" s="1803"/>
      <c r="AB54" s="1803"/>
      <c r="AC54" s="1803"/>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sheetData>
  <sheetProtection algorithmName="SHA-512" hashValue="oWvDvG05O1bP65pljrU5EaC3YWI84YxxElY4OgotuHYD8g9b2/Ws58iGqP4Q0GC+Sdjxo4XCib1BLudUA6fggQ==" saltValue="uh59dZ6yardY7gn6R8Akng==" spinCount="100000" sheet="1" scenarios="1" formatCells="0" autoFilter="0"/>
  <mergeCells count="24">
    <mergeCell ref="AB7:AB8"/>
    <mergeCell ref="AC7:AC8"/>
    <mergeCell ref="V7:V8"/>
    <mergeCell ref="W7:W8"/>
    <mergeCell ref="X7:X8"/>
    <mergeCell ref="Y7:Y8"/>
    <mergeCell ref="AA7:AA8"/>
    <mergeCell ref="Z7:Z8"/>
    <mergeCell ref="M7:M8"/>
    <mergeCell ref="U7:U8"/>
    <mergeCell ref="D6:P6"/>
    <mergeCell ref="Q6:AC6"/>
    <mergeCell ref="D7:D8"/>
    <mergeCell ref="E7:G7"/>
    <mergeCell ref="H7:H8"/>
    <mergeCell ref="I7:I8"/>
    <mergeCell ref="J7:J8"/>
    <mergeCell ref="K7:K8"/>
    <mergeCell ref="L7:L8"/>
    <mergeCell ref="N7:N8"/>
    <mergeCell ref="O7:O8"/>
    <mergeCell ref="P7:P8"/>
    <mergeCell ref="Q7:Q8"/>
    <mergeCell ref="R7:T7"/>
  </mergeCells>
  <phoneticPr fontId="163" type="noConversion"/>
  <conditionalFormatting sqref="C43 Q45:AC45 D52:AC52">
    <cfRule type="cellIs" dxfId="94" priority="128" stopIfTrue="1" operator="notEqual">
      <formula>0</formula>
    </cfRule>
  </conditionalFormatting>
  <conditionalFormatting sqref="C47:C48 C41">
    <cfRule type="expression" dxfId="93" priority="127" stopIfTrue="1">
      <formula>#REF!=TRUE</formula>
    </cfRule>
  </conditionalFormatting>
  <conditionalFormatting sqref="C47:C48 C41">
    <cfRule type="expression" dxfId="92" priority="125" stopIfTrue="1">
      <formula>#REF!=TRUE</formula>
    </cfRule>
  </conditionalFormatting>
  <dataValidations count="1">
    <dataValidation type="list" allowBlank="1" showInputMessage="1" showErrorMessage="1" sqref="IW65544:IW65572 SS65544:SS65572 ACO65544:ACO65572 AMK65544:AMK65572 AWG65544:AWG65572 BGC65544:BGC65572 BPY65544:BPY65572 BZU65544:BZU65572 CJQ65544:CJQ65572 CTM65544:CTM65572 DDI65544:DDI65572 DNE65544:DNE65572 DXA65544:DXA65572 EGW65544:EGW65572 EQS65544:EQS65572 FAO65544:FAO65572 FKK65544:FKK65572 FUG65544:FUG65572 GEC65544:GEC65572 GNY65544:GNY65572 GXU65544:GXU65572 HHQ65544:HHQ65572 HRM65544:HRM65572 IBI65544:IBI65572 ILE65544:ILE65572 IVA65544:IVA65572 JEW65544:JEW65572 JOS65544:JOS65572 JYO65544:JYO65572 KIK65544:KIK65572 KSG65544:KSG65572 LCC65544:LCC65572 LLY65544:LLY65572 LVU65544:LVU65572 MFQ65544:MFQ65572 MPM65544:MPM65572 MZI65544:MZI65572 NJE65544:NJE65572 NTA65544:NTA65572 OCW65544:OCW65572 OMS65544:OMS65572 OWO65544:OWO65572 PGK65544:PGK65572 PQG65544:PQG65572 QAC65544:QAC65572 QJY65544:QJY65572 QTU65544:QTU65572 RDQ65544:RDQ65572 RNM65544:RNM65572 RXI65544:RXI65572 SHE65544:SHE65572 SRA65544:SRA65572 TAW65544:TAW65572 TKS65544:TKS65572 TUO65544:TUO65572 UEK65544:UEK65572 UOG65544:UOG65572 UYC65544:UYC65572 VHY65544:VHY65572 VRU65544:VRU65572 WBQ65544:WBQ65572 WLM65544:WLM65572 WVI65544:WVI65572 IW131080:IW131108 SS131080:SS131108 ACO131080:ACO131108 AMK131080:AMK131108 AWG131080:AWG131108 BGC131080:BGC131108 BPY131080:BPY131108 BZU131080:BZU131108 CJQ131080:CJQ131108 CTM131080:CTM131108 DDI131080:DDI131108 DNE131080:DNE131108 DXA131080:DXA131108 EGW131080:EGW131108 EQS131080:EQS131108 FAO131080:FAO131108 FKK131080:FKK131108 FUG131080:FUG131108 GEC131080:GEC131108 GNY131080:GNY131108 GXU131080:GXU131108 HHQ131080:HHQ131108 HRM131080:HRM131108 IBI131080:IBI131108 ILE131080:ILE131108 IVA131080:IVA131108 JEW131080:JEW131108 JOS131080:JOS131108 JYO131080:JYO131108 KIK131080:KIK131108 KSG131080:KSG131108 LCC131080:LCC131108 LLY131080:LLY131108 LVU131080:LVU131108 MFQ131080:MFQ131108 MPM131080:MPM131108 MZI131080:MZI131108 NJE131080:NJE131108 NTA131080:NTA131108 OCW131080:OCW131108 OMS131080:OMS131108 OWO131080:OWO131108 PGK131080:PGK131108 PQG131080:PQG131108 QAC131080:QAC131108 QJY131080:QJY131108 QTU131080:QTU131108 RDQ131080:RDQ131108 RNM131080:RNM131108 RXI131080:RXI131108 SHE131080:SHE131108 SRA131080:SRA131108 TAW131080:TAW131108 TKS131080:TKS131108 TUO131080:TUO131108 UEK131080:UEK131108 UOG131080:UOG131108 UYC131080:UYC131108 VHY131080:VHY131108 VRU131080:VRU131108 WBQ131080:WBQ131108 WLM131080:WLM131108 WVI131080:WVI131108 IW196616:IW196644 SS196616:SS196644 ACO196616:ACO196644 AMK196616:AMK196644 AWG196616:AWG196644 BGC196616:BGC196644 BPY196616:BPY196644 BZU196616:BZU196644 CJQ196616:CJQ196644 CTM196616:CTM196644 DDI196616:DDI196644 DNE196616:DNE196644 DXA196616:DXA196644 EGW196616:EGW196644 EQS196616:EQS196644 FAO196616:FAO196644 FKK196616:FKK196644 FUG196616:FUG196644 GEC196616:GEC196644 GNY196616:GNY196644 GXU196616:GXU196644 HHQ196616:HHQ196644 HRM196616:HRM196644 IBI196616:IBI196644 ILE196616:ILE196644 IVA196616:IVA196644 JEW196616:JEW196644 JOS196616:JOS196644 JYO196616:JYO196644 KIK196616:KIK196644 KSG196616:KSG196644 LCC196616:LCC196644 LLY196616:LLY196644 LVU196616:LVU196644 MFQ196616:MFQ196644 MPM196616:MPM196644 MZI196616:MZI196644 NJE196616:NJE196644 NTA196616:NTA196644 OCW196616:OCW196644 OMS196616:OMS196644 OWO196616:OWO196644 PGK196616:PGK196644 PQG196616:PQG196644 QAC196616:QAC196644 QJY196616:QJY196644 QTU196616:QTU196644 RDQ196616:RDQ196644 RNM196616:RNM196644 RXI196616:RXI196644 SHE196616:SHE196644 SRA196616:SRA196644 TAW196616:TAW196644 TKS196616:TKS196644 TUO196616:TUO196644 UEK196616:UEK196644 UOG196616:UOG196644 UYC196616:UYC196644 VHY196616:VHY196644 VRU196616:VRU196644 WBQ196616:WBQ196644 WLM196616:WLM196644 WVI196616:WVI196644 IW262152:IW262180 SS262152:SS262180 ACO262152:ACO262180 AMK262152:AMK262180 AWG262152:AWG262180 BGC262152:BGC262180 BPY262152:BPY262180 BZU262152:BZU262180 CJQ262152:CJQ262180 CTM262152:CTM262180 DDI262152:DDI262180 DNE262152:DNE262180 DXA262152:DXA262180 EGW262152:EGW262180 EQS262152:EQS262180 FAO262152:FAO262180 FKK262152:FKK262180 FUG262152:FUG262180 GEC262152:GEC262180 GNY262152:GNY262180 GXU262152:GXU262180 HHQ262152:HHQ262180 HRM262152:HRM262180 IBI262152:IBI262180 ILE262152:ILE262180 IVA262152:IVA262180 JEW262152:JEW262180 JOS262152:JOS262180 JYO262152:JYO262180 KIK262152:KIK262180 KSG262152:KSG262180 LCC262152:LCC262180 LLY262152:LLY262180 LVU262152:LVU262180 MFQ262152:MFQ262180 MPM262152:MPM262180 MZI262152:MZI262180 NJE262152:NJE262180 NTA262152:NTA262180 OCW262152:OCW262180 OMS262152:OMS262180 OWO262152:OWO262180 PGK262152:PGK262180 PQG262152:PQG262180 QAC262152:QAC262180 QJY262152:QJY262180 QTU262152:QTU262180 RDQ262152:RDQ262180 RNM262152:RNM262180 RXI262152:RXI262180 SHE262152:SHE262180 SRA262152:SRA262180 TAW262152:TAW262180 TKS262152:TKS262180 TUO262152:TUO262180 UEK262152:UEK262180 UOG262152:UOG262180 UYC262152:UYC262180 VHY262152:VHY262180 VRU262152:VRU262180 WBQ262152:WBQ262180 WLM262152:WLM262180 WVI262152:WVI262180 IW327688:IW327716 SS327688:SS327716 ACO327688:ACO327716 AMK327688:AMK327716 AWG327688:AWG327716 BGC327688:BGC327716 BPY327688:BPY327716 BZU327688:BZU327716 CJQ327688:CJQ327716 CTM327688:CTM327716 DDI327688:DDI327716 DNE327688:DNE327716 DXA327688:DXA327716 EGW327688:EGW327716 EQS327688:EQS327716 FAO327688:FAO327716 FKK327688:FKK327716 FUG327688:FUG327716 GEC327688:GEC327716 GNY327688:GNY327716 GXU327688:GXU327716 HHQ327688:HHQ327716 HRM327688:HRM327716 IBI327688:IBI327716 ILE327688:ILE327716 IVA327688:IVA327716 JEW327688:JEW327716 JOS327688:JOS327716 JYO327688:JYO327716 KIK327688:KIK327716 KSG327688:KSG327716 LCC327688:LCC327716 LLY327688:LLY327716 LVU327688:LVU327716 MFQ327688:MFQ327716 MPM327688:MPM327716 MZI327688:MZI327716 NJE327688:NJE327716 NTA327688:NTA327716 OCW327688:OCW327716 OMS327688:OMS327716 OWO327688:OWO327716 PGK327688:PGK327716 PQG327688:PQG327716 QAC327688:QAC327716 QJY327688:QJY327716 QTU327688:QTU327716 RDQ327688:RDQ327716 RNM327688:RNM327716 RXI327688:RXI327716 SHE327688:SHE327716 SRA327688:SRA327716 TAW327688:TAW327716 TKS327688:TKS327716 TUO327688:TUO327716 UEK327688:UEK327716 UOG327688:UOG327716 UYC327688:UYC327716 VHY327688:VHY327716 VRU327688:VRU327716 WBQ327688:WBQ327716 WLM327688:WLM327716 WVI327688:WVI327716 IW393224:IW393252 SS393224:SS393252 ACO393224:ACO393252 AMK393224:AMK393252 AWG393224:AWG393252 BGC393224:BGC393252 BPY393224:BPY393252 BZU393224:BZU393252 CJQ393224:CJQ393252 CTM393224:CTM393252 DDI393224:DDI393252 DNE393224:DNE393252 DXA393224:DXA393252 EGW393224:EGW393252 EQS393224:EQS393252 FAO393224:FAO393252 FKK393224:FKK393252 FUG393224:FUG393252 GEC393224:GEC393252 GNY393224:GNY393252 GXU393224:GXU393252 HHQ393224:HHQ393252 HRM393224:HRM393252 IBI393224:IBI393252 ILE393224:ILE393252 IVA393224:IVA393252 JEW393224:JEW393252 JOS393224:JOS393252 JYO393224:JYO393252 KIK393224:KIK393252 KSG393224:KSG393252 LCC393224:LCC393252 LLY393224:LLY393252 LVU393224:LVU393252 MFQ393224:MFQ393252 MPM393224:MPM393252 MZI393224:MZI393252 NJE393224:NJE393252 NTA393224:NTA393252 OCW393224:OCW393252 OMS393224:OMS393252 OWO393224:OWO393252 PGK393224:PGK393252 PQG393224:PQG393252 QAC393224:QAC393252 QJY393224:QJY393252 QTU393224:QTU393252 RDQ393224:RDQ393252 RNM393224:RNM393252 RXI393224:RXI393252 SHE393224:SHE393252 SRA393224:SRA393252 TAW393224:TAW393252 TKS393224:TKS393252 TUO393224:TUO393252 UEK393224:UEK393252 UOG393224:UOG393252 UYC393224:UYC393252 VHY393224:VHY393252 VRU393224:VRU393252 WBQ393224:WBQ393252 WLM393224:WLM393252 WVI393224:WVI393252 IW458760:IW458788 SS458760:SS458788 ACO458760:ACO458788 AMK458760:AMK458788 AWG458760:AWG458788 BGC458760:BGC458788 BPY458760:BPY458788 BZU458760:BZU458788 CJQ458760:CJQ458788 CTM458760:CTM458788 DDI458760:DDI458788 DNE458760:DNE458788 DXA458760:DXA458788 EGW458760:EGW458788 EQS458760:EQS458788 FAO458760:FAO458788 FKK458760:FKK458788 FUG458760:FUG458788 GEC458760:GEC458788 GNY458760:GNY458788 GXU458760:GXU458788 HHQ458760:HHQ458788 HRM458760:HRM458788 IBI458760:IBI458788 ILE458760:ILE458788 IVA458760:IVA458788 JEW458760:JEW458788 JOS458760:JOS458788 JYO458760:JYO458788 KIK458760:KIK458788 KSG458760:KSG458788 LCC458760:LCC458788 LLY458760:LLY458788 LVU458760:LVU458788 MFQ458760:MFQ458788 MPM458760:MPM458788 MZI458760:MZI458788 NJE458760:NJE458788 NTA458760:NTA458788 OCW458760:OCW458788 OMS458760:OMS458788 OWO458760:OWO458788 PGK458760:PGK458788 PQG458760:PQG458788 QAC458760:QAC458788 QJY458760:QJY458788 QTU458760:QTU458788 RDQ458760:RDQ458788 RNM458760:RNM458788 RXI458760:RXI458788 SHE458760:SHE458788 SRA458760:SRA458788 TAW458760:TAW458788 TKS458760:TKS458788 TUO458760:TUO458788 UEK458760:UEK458788 UOG458760:UOG458788 UYC458760:UYC458788 VHY458760:VHY458788 VRU458760:VRU458788 WBQ458760:WBQ458788 WLM458760:WLM458788 WVI458760:WVI458788 IW524296:IW524324 SS524296:SS524324 ACO524296:ACO524324 AMK524296:AMK524324 AWG524296:AWG524324 BGC524296:BGC524324 BPY524296:BPY524324 BZU524296:BZU524324 CJQ524296:CJQ524324 CTM524296:CTM524324 DDI524296:DDI524324 DNE524296:DNE524324 DXA524296:DXA524324 EGW524296:EGW524324 EQS524296:EQS524324 FAO524296:FAO524324 FKK524296:FKK524324 FUG524296:FUG524324 GEC524296:GEC524324 GNY524296:GNY524324 GXU524296:GXU524324 HHQ524296:HHQ524324 HRM524296:HRM524324 IBI524296:IBI524324 ILE524296:ILE524324 IVA524296:IVA524324 JEW524296:JEW524324 JOS524296:JOS524324 JYO524296:JYO524324 KIK524296:KIK524324 KSG524296:KSG524324 LCC524296:LCC524324 LLY524296:LLY524324 LVU524296:LVU524324 MFQ524296:MFQ524324 MPM524296:MPM524324 MZI524296:MZI524324 NJE524296:NJE524324 NTA524296:NTA524324 OCW524296:OCW524324 OMS524296:OMS524324 OWO524296:OWO524324 PGK524296:PGK524324 PQG524296:PQG524324 QAC524296:QAC524324 QJY524296:QJY524324 QTU524296:QTU524324 RDQ524296:RDQ524324 RNM524296:RNM524324 RXI524296:RXI524324 SHE524296:SHE524324 SRA524296:SRA524324 TAW524296:TAW524324 TKS524296:TKS524324 TUO524296:TUO524324 UEK524296:UEK524324 UOG524296:UOG524324 UYC524296:UYC524324 VHY524296:VHY524324 VRU524296:VRU524324 WBQ524296:WBQ524324 WLM524296:WLM524324 WVI524296:WVI524324 IW589832:IW589860 SS589832:SS589860 ACO589832:ACO589860 AMK589832:AMK589860 AWG589832:AWG589860 BGC589832:BGC589860 BPY589832:BPY589860 BZU589832:BZU589860 CJQ589832:CJQ589860 CTM589832:CTM589860 DDI589832:DDI589860 DNE589832:DNE589860 DXA589832:DXA589860 EGW589832:EGW589860 EQS589832:EQS589860 FAO589832:FAO589860 FKK589832:FKK589860 FUG589832:FUG589860 GEC589832:GEC589860 GNY589832:GNY589860 GXU589832:GXU589860 HHQ589832:HHQ589860 HRM589832:HRM589860 IBI589832:IBI589860 ILE589832:ILE589860 IVA589832:IVA589860 JEW589832:JEW589860 JOS589832:JOS589860 JYO589832:JYO589860 KIK589832:KIK589860 KSG589832:KSG589860 LCC589832:LCC589860 LLY589832:LLY589860 LVU589832:LVU589860 MFQ589832:MFQ589860 MPM589832:MPM589860 MZI589832:MZI589860 NJE589832:NJE589860 NTA589832:NTA589860 OCW589832:OCW589860 OMS589832:OMS589860 OWO589832:OWO589860 PGK589832:PGK589860 PQG589832:PQG589860 QAC589832:QAC589860 QJY589832:QJY589860 QTU589832:QTU589860 RDQ589832:RDQ589860 RNM589832:RNM589860 RXI589832:RXI589860 SHE589832:SHE589860 SRA589832:SRA589860 TAW589832:TAW589860 TKS589832:TKS589860 TUO589832:TUO589860 UEK589832:UEK589860 UOG589832:UOG589860 UYC589832:UYC589860 VHY589832:VHY589860 VRU589832:VRU589860 WBQ589832:WBQ589860 WLM589832:WLM589860 WVI589832:WVI589860 IW655368:IW655396 SS655368:SS655396 ACO655368:ACO655396 AMK655368:AMK655396 AWG655368:AWG655396 BGC655368:BGC655396 BPY655368:BPY655396 BZU655368:BZU655396 CJQ655368:CJQ655396 CTM655368:CTM655396 DDI655368:DDI655396 DNE655368:DNE655396 DXA655368:DXA655396 EGW655368:EGW655396 EQS655368:EQS655396 FAO655368:FAO655396 FKK655368:FKK655396 FUG655368:FUG655396 GEC655368:GEC655396 GNY655368:GNY655396 GXU655368:GXU655396 HHQ655368:HHQ655396 HRM655368:HRM655396 IBI655368:IBI655396 ILE655368:ILE655396 IVA655368:IVA655396 JEW655368:JEW655396 JOS655368:JOS655396 JYO655368:JYO655396 KIK655368:KIK655396 KSG655368:KSG655396 LCC655368:LCC655396 LLY655368:LLY655396 LVU655368:LVU655396 MFQ655368:MFQ655396 MPM655368:MPM655396 MZI655368:MZI655396 NJE655368:NJE655396 NTA655368:NTA655396 OCW655368:OCW655396 OMS655368:OMS655396 OWO655368:OWO655396 PGK655368:PGK655396 PQG655368:PQG655396 QAC655368:QAC655396 QJY655368:QJY655396 QTU655368:QTU655396 RDQ655368:RDQ655396 RNM655368:RNM655396 RXI655368:RXI655396 SHE655368:SHE655396 SRA655368:SRA655396 TAW655368:TAW655396 TKS655368:TKS655396 TUO655368:TUO655396 UEK655368:UEK655396 UOG655368:UOG655396 UYC655368:UYC655396 VHY655368:VHY655396 VRU655368:VRU655396 WBQ655368:WBQ655396 WLM655368:WLM655396 WVI655368:WVI655396 IW720904:IW720932 SS720904:SS720932 ACO720904:ACO720932 AMK720904:AMK720932 AWG720904:AWG720932 BGC720904:BGC720932 BPY720904:BPY720932 BZU720904:BZU720932 CJQ720904:CJQ720932 CTM720904:CTM720932 DDI720904:DDI720932 DNE720904:DNE720932 DXA720904:DXA720932 EGW720904:EGW720932 EQS720904:EQS720932 FAO720904:FAO720932 FKK720904:FKK720932 FUG720904:FUG720932 GEC720904:GEC720932 GNY720904:GNY720932 GXU720904:GXU720932 HHQ720904:HHQ720932 HRM720904:HRM720932 IBI720904:IBI720932 ILE720904:ILE720932 IVA720904:IVA720932 JEW720904:JEW720932 JOS720904:JOS720932 JYO720904:JYO720932 KIK720904:KIK720932 KSG720904:KSG720932 LCC720904:LCC720932 LLY720904:LLY720932 LVU720904:LVU720932 MFQ720904:MFQ720932 MPM720904:MPM720932 MZI720904:MZI720932 NJE720904:NJE720932 NTA720904:NTA720932 OCW720904:OCW720932 OMS720904:OMS720932 OWO720904:OWO720932 PGK720904:PGK720932 PQG720904:PQG720932 QAC720904:QAC720932 QJY720904:QJY720932 QTU720904:QTU720932 RDQ720904:RDQ720932 RNM720904:RNM720932 RXI720904:RXI720932 SHE720904:SHE720932 SRA720904:SRA720932 TAW720904:TAW720932 TKS720904:TKS720932 TUO720904:TUO720932 UEK720904:UEK720932 UOG720904:UOG720932 UYC720904:UYC720932 VHY720904:VHY720932 VRU720904:VRU720932 WBQ720904:WBQ720932 WLM720904:WLM720932 WVI720904:WVI720932 IW786440:IW786468 SS786440:SS786468 ACO786440:ACO786468 AMK786440:AMK786468 AWG786440:AWG786468 BGC786440:BGC786468 BPY786440:BPY786468 BZU786440:BZU786468 CJQ786440:CJQ786468 CTM786440:CTM786468 DDI786440:DDI786468 DNE786440:DNE786468 DXA786440:DXA786468 EGW786440:EGW786468 EQS786440:EQS786468 FAO786440:FAO786468 FKK786440:FKK786468 FUG786440:FUG786468 GEC786440:GEC786468 GNY786440:GNY786468 GXU786440:GXU786468 HHQ786440:HHQ786468 HRM786440:HRM786468 IBI786440:IBI786468 ILE786440:ILE786468 IVA786440:IVA786468 JEW786440:JEW786468 JOS786440:JOS786468 JYO786440:JYO786468 KIK786440:KIK786468 KSG786440:KSG786468 LCC786440:LCC786468 LLY786440:LLY786468 LVU786440:LVU786468 MFQ786440:MFQ786468 MPM786440:MPM786468 MZI786440:MZI786468 NJE786440:NJE786468 NTA786440:NTA786468 OCW786440:OCW786468 OMS786440:OMS786468 OWO786440:OWO786468 PGK786440:PGK786468 PQG786440:PQG786468 QAC786440:QAC786468 QJY786440:QJY786468 QTU786440:QTU786468 RDQ786440:RDQ786468 RNM786440:RNM786468 RXI786440:RXI786468 SHE786440:SHE786468 SRA786440:SRA786468 TAW786440:TAW786468 TKS786440:TKS786468 TUO786440:TUO786468 UEK786440:UEK786468 UOG786440:UOG786468 UYC786440:UYC786468 VHY786440:VHY786468 VRU786440:VRU786468 WBQ786440:WBQ786468 WLM786440:WLM786468 WVI786440:WVI786468 IW851976:IW852004 SS851976:SS852004 ACO851976:ACO852004 AMK851976:AMK852004 AWG851976:AWG852004 BGC851976:BGC852004 BPY851976:BPY852004 BZU851976:BZU852004 CJQ851976:CJQ852004 CTM851976:CTM852004 DDI851976:DDI852004 DNE851976:DNE852004 DXA851976:DXA852004 EGW851976:EGW852004 EQS851976:EQS852004 FAO851976:FAO852004 FKK851976:FKK852004 FUG851976:FUG852004 GEC851976:GEC852004 GNY851976:GNY852004 GXU851976:GXU852004 HHQ851976:HHQ852004 HRM851976:HRM852004 IBI851976:IBI852004 ILE851976:ILE852004 IVA851976:IVA852004 JEW851976:JEW852004 JOS851976:JOS852004 JYO851976:JYO852004 KIK851976:KIK852004 KSG851976:KSG852004 LCC851976:LCC852004 LLY851976:LLY852004 LVU851976:LVU852004 MFQ851976:MFQ852004 MPM851976:MPM852004 MZI851976:MZI852004 NJE851976:NJE852004 NTA851976:NTA852004 OCW851976:OCW852004 OMS851976:OMS852004 OWO851976:OWO852004 PGK851976:PGK852004 PQG851976:PQG852004 QAC851976:QAC852004 QJY851976:QJY852004 QTU851976:QTU852004 RDQ851976:RDQ852004 RNM851976:RNM852004 RXI851976:RXI852004 SHE851976:SHE852004 SRA851976:SRA852004 TAW851976:TAW852004 TKS851976:TKS852004 TUO851976:TUO852004 UEK851976:UEK852004 UOG851976:UOG852004 UYC851976:UYC852004 VHY851976:VHY852004 VRU851976:VRU852004 WBQ851976:WBQ852004 WLM851976:WLM852004 WVI851976:WVI852004 IW917512:IW917540 SS917512:SS917540 ACO917512:ACO917540 AMK917512:AMK917540 AWG917512:AWG917540 BGC917512:BGC917540 BPY917512:BPY917540 BZU917512:BZU917540 CJQ917512:CJQ917540 CTM917512:CTM917540 DDI917512:DDI917540 DNE917512:DNE917540 DXA917512:DXA917540 EGW917512:EGW917540 EQS917512:EQS917540 FAO917512:FAO917540 FKK917512:FKK917540 FUG917512:FUG917540 GEC917512:GEC917540 GNY917512:GNY917540 GXU917512:GXU917540 HHQ917512:HHQ917540 HRM917512:HRM917540 IBI917512:IBI917540 ILE917512:ILE917540 IVA917512:IVA917540 JEW917512:JEW917540 JOS917512:JOS917540 JYO917512:JYO917540 KIK917512:KIK917540 KSG917512:KSG917540 LCC917512:LCC917540 LLY917512:LLY917540 LVU917512:LVU917540 MFQ917512:MFQ917540 MPM917512:MPM917540 MZI917512:MZI917540 NJE917512:NJE917540 NTA917512:NTA917540 OCW917512:OCW917540 OMS917512:OMS917540 OWO917512:OWO917540 PGK917512:PGK917540 PQG917512:PQG917540 QAC917512:QAC917540 QJY917512:QJY917540 QTU917512:QTU917540 RDQ917512:RDQ917540 RNM917512:RNM917540 RXI917512:RXI917540 SHE917512:SHE917540 SRA917512:SRA917540 TAW917512:TAW917540 TKS917512:TKS917540 TUO917512:TUO917540 UEK917512:UEK917540 UOG917512:UOG917540 UYC917512:UYC917540 VHY917512:VHY917540 VRU917512:VRU917540 WBQ917512:WBQ917540 WLM917512:WLM917540 WVI917512:WVI917540 IW983048:IW983076 SS983048:SS983076 ACO983048:ACO983076 AMK983048:AMK983076 AWG983048:AWG983076 BGC983048:BGC983076 BPY983048:BPY983076 BZU983048:BZU983076 CJQ983048:CJQ983076 CTM983048:CTM983076 DDI983048:DDI983076 DNE983048:DNE983076 DXA983048:DXA983076 EGW983048:EGW983076 EQS983048:EQS983076 FAO983048:FAO983076 FKK983048:FKK983076 FUG983048:FUG983076 GEC983048:GEC983076 GNY983048:GNY983076 GXU983048:GXU983076 HHQ983048:HHQ983076 HRM983048:HRM983076 IBI983048:IBI983076 ILE983048:ILE983076 IVA983048:IVA983076 JEW983048:JEW983076 JOS983048:JOS983076 JYO983048:JYO983076 KIK983048:KIK983076 KSG983048:KSG983076 LCC983048:LCC983076 LLY983048:LLY983076 LVU983048:LVU983076 MFQ983048:MFQ983076 MPM983048:MPM983076 MZI983048:MZI983076 NJE983048:NJE983076 NTA983048:NTA983076 OCW983048:OCW983076 OMS983048:OMS983076 OWO983048:OWO983076 PGK983048:PGK983076 PQG983048:PQG983076 QAC983048:QAC983076 QJY983048:QJY983076 QTU983048:QTU983076 RDQ983048:RDQ983076 RNM983048:RNM983076 RXI983048:RXI983076 SHE983048:SHE983076 SRA983048:SRA983076 TAW983048:TAW983076 TKS983048:TKS983076 TUO983048:TUO983076 UEK983048:UEK983076 UOG983048:UOG983076 UYC983048:UYC983076 VHY983048:VHY983076 VRU983048:VRU983076 WBQ983048:WBQ983076 WLM983048:WLM983076 WVI983048:WVI983076 WVI9:WVI36 WLM9:WLM36 WBQ9:WBQ36 VRU9:VRU36 VHY9:VHY36 UYC9:UYC36 UOG9:UOG36 UEK9:UEK36 TUO9:TUO36 TKS9:TKS36 TAW9:TAW36 SRA9:SRA36 SHE9:SHE36 RXI9:RXI36 RNM9:RNM36 RDQ9:RDQ36 QTU9:QTU36 QJY9:QJY36 QAC9:QAC36 PQG9:PQG36 PGK9:PGK36 OWO9:OWO36 OMS9:OMS36 OCW9:OCW36 NTA9:NTA36 NJE9:NJE36 MZI9:MZI36 MPM9:MPM36 MFQ9:MFQ36 LVU9:LVU36 LLY9:LLY36 LCC9:LCC36 KSG9:KSG36 KIK9:KIK36 JYO9:JYO36 JOS9:JOS36 JEW9:JEW36 IVA9:IVA36 ILE9:ILE36 IBI9:IBI36 HRM9:HRM36 HHQ9:HHQ36 GXU9:GXU36 GNY9:GNY36 GEC9:GEC36 FUG9:FUG36 FKK9:FKK36 FAO9:FAO36 EQS9:EQS36 EGW9:EGW36 DXA9:DXA36 DNE9:DNE36 DDI9:DDI36 CTM9:CTM36 CJQ9:CJQ36 BZU9:BZU36 BPY9:BPY36 BGC9:BGC36 AWG9:AWG36 AMK9:AMK36 ACO9:ACO36 SS9:SS36 IW9:IW36 A65544:A65572 A131080:A131108 A196616:A196644 A262152:A262180 A327688:A327716 A393224:A393252 A458760:A458788 A524296:A524324 A589832:A589860 A655368:A655396 A720904:A720932 A786440:A786468 A851976:A852004 A917512:A917540 A983048:A983076 A9:A36">
      <formula1>"※,△,＃,：,＝,※＝,＃：,LOW"</formula1>
    </dataValidation>
  </dataValidations>
  <printOptions horizontalCentered="1"/>
  <pageMargins left="0.59055118110236227" right="0.19685039370078741" top="0.78740157480314965" bottom="0" header="0.51181102362204722" footer="0"/>
  <pageSetup paperSize="9" scale="63" orientation="landscape" blackAndWhite="1" r:id="rId1"/>
  <headerFooter alignWithMargins="0"/>
  <colBreaks count="1" manualBreakCount="1">
    <brk id="16" min="2" max="36" man="1"/>
  </colBreaks>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sheetPr>
  <dimension ref="A1:AH219"/>
  <sheetViews>
    <sheetView topLeftCell="A37" workbookViewId="0">
      <selection activeCell="O54" sqref="O54"/>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LARGE(I8:I67,1)</f>
        <v>12</v>
      </c>
      <c r="G4" s="2750"/>
      <c r="H4" s="645"/>
      <c r="I4" s="661" t="s">
        <v>2520</v>
      </c>
      <c r="J4" s="662" t="str">
        <f>Lead!$C$5</f>
        <v>福建省力菲克药业有限公司</v>
      </c>
      <c r="K4" s="663"/>
      <c r="L4" s="664"/>
      <c r="M4" s="665" t="s">
        <v>2521</v>
      </c>
      <c r="N4" s="666"/>
      <c r="O4" s="667" t="s">
        <v>2501</v>
      </c>
      <c r="P4" s="668" t="str">
        <f>IF(AE67="借贷平衡!","",AE67)</f>
        <v/>
      </c>
      <c r="Q4" s="723"/>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646"/>
      <c r="I5" s="661" t="s">
        <v>2522</v>
      </c>
      <c r="J5" s="814" t="s">
        <v>2664</v>
      </c>
      <c r="K5" s="670"/>
      <c r="L5" s="671" t="s">
        <v>2450</v>
      </c>
      <c r="M5" s="672" t="str">
        <f>Lead!$E$9</f>
        <v>孙健</v>
      </c>
      <c r="N5" s="673"/>
      <c r="O5" s="674">
        <f>Lead!$F$9</f>
        <v>43864</v>
      </c>
      <c r="P5" s="675" t="s">
        <v>6589</v>
      </c>
      <c r="Q5" s="725"/>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645"/>
      <c r="AF7" s="727"/>
    </row>
    <row r="8" spans="1:32" ht="32.25" customHeight="1">
      <c r="A8" s="2749"/>
      <c r="B8" s="2778" t="s">
        <v>6599</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4" t="s">
        <v>2674</v>
      </c>
      <c r="P8" s="728"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 t="shared" ref="B9:B65" si="0">IF($K9="","","J"&amp;$C9)</f>
        <v/>
      </c>
      <c r="C9" s="2749" t="str">
        <f t="shared" ref="C9:C65" si="1">IF($K9="","",VLOOKUP($K9,Sheet_Items2,7,0))</f>
        <v/>
      </c>
      <c r="D9" s="2749" t="str">
        <f t="shared" ref="D9:D40" si="2">IF($O9&amp;$P9&lt;&gt;"",cellAbove,INDEX($J:$J,ROW()))&amp;""</f>
        <v/>
      </c>
      <c r="E9" s="2749" t="str">
        <f t="shared" ref="E9:E40" si="3">IF($O9&amp;$P9&lt;&gt;"",cellAbove,INDEX($I:$I,ROW()))&amp;""</f>
        <v>0</v>
      </c>
      <c r="F9" s="2749">
        <f t="shared" ref="F9:F65" si="4">VALUE(IF(E9="",E8&amp;"."&amp;TEXT((ROW()-8),"000"),E9&amp;"."&amp;TEXT((ROW()-8),"000")))</f>
        <v>1E-3</v>
      </c>
      <c r="G9" s="2759" t="str">
        <f t="shared" ref="G9:G65" si="5">IF(TRIM($J9&amp;$K9&amp;$O9&amp;$P9)="","","本期")</f>
        <v/>
      </c>
      <c r="H9" s="649"/>
      <c r="I9" s="687">
        <v>0</v>
      </c>
      <c r="J9" s="688"/>
      <c r="K9" s="689"/>
      <c r="L9" s="689"/>
      <c r="M9" s="689"/>
      <c r="N9" s="689"/>
      <c r="O9" s="211"/>
      <c r="P9" s="690"/>
      <c r="Q9" s="731" t="str">
        <f t="shared" ref="Q9:Q65" si="6">IF(ISERROR(VLOOKUP(VALUE(MID($C9,1,4)),Sheet_Items,5,0)),"",VLOOKUP(VALUE(MID($C9,1,4)),Sheet_Items,5,0))</f>
        <v/>
      </c>
      <c r="R9" s="732" t="str">
        <f t="shared" ref="R9:R65" si="7">LEFT(C9,1)</f>
        <v/>
      </c>
      <c r="S9" s="733"/>
      <c r="T9" s="732"/>
      <c r="U9" s="732"/>
      <c r="V9" s="732"/>
      <c r="W9" s="734"/>
      <c r="X9" s="732"/>
      <c r="Y9" s="732"/>
      <c r="Z9" s="732"/>
      <c r="AA9" s="2772"/>
      <c r="AB9" s="2772"/>
      <c r="AC9" s="2773">
        <f t="shared" ref="AC9:AC65" si="8">IF(O9&gt;0,O9,IF(P9&lt;0,-P9,0))</f>
        <v>0</v>
      </c>
      <c r="AD9" s="2773">
        <f t="shared" ref="AD9:AD65" si="9">IF(P9&gt;0,P9,IF(O9&lt;0,-O9,0))</f>
        <v>0</v>
      </c>
      <c r="AE9" s="847" t="str">
        <f t="shared" ref="AE9:AE65" si="10">IF(COUNTBLANK(I9:Q9)=COLUMNS(I9:Q9),"",IF(H9="","请选择分录类型！",IF(AND(I9="",J9="",K9=""),"请输入...",IF(AND(J9&lt;&gt;"",J9&lt;&gt;"借",J9&lt;&gt;"贷",K9&lt;&gt;""),"请在下一行输入报表项目！",IF(AND(K9&lt;&gt;"",O9="",P9=""),"请输入金额！",IF(AND(K9="",L9&amp;M9&amp;O9&amp;P9&lt;&gt;""),"请输入报表项目！",IF(AND(O9&lt;&gt;"",P9&lt;&gt;""),"借贷通吃？","")))))))</f>
        <v>请选择分录类型！</v>
      </c>
      <c r="AF9" s="641"/>
    </row>
    <row r="10" spans="1:32" ht="18">
      <c r="A10" s="2752"/>
      <c r="B10" s="2779" t="str">
        <f t="shared" si="0"/>
        <v/>
      </c>
      <c r="C10" s="2749" t="str">
        <f t="shared" si="1"/>
        <v/>
      </c>
      <c r="D10" s="2749" t="str">
        <f t="shared" si="2"/>
        <v>将因管理不善导致的不合格品调整至管理费用</v>
      </c>
      <c r="E10" s="2749" t="str">
        <f t="shared" si="3"/>
        <v>1</v>
      </c>
      <c r="F10" s="2749">
        <f t="shared" si="4"/>
        <v>1.002</v>
      </c>
      <c r="G10" s="2759" t="str">
        <f t="shared" si="5"/>
        <v>本期</v>
      </c>
      <c r="H10" s="650"/>
      <c r="I10" s="691">
        <v>1</v>
      </c>
      <c r="J10" s="3115" t="s">
        <v>6887</v>
      </c>
      <c r="K10" s="689"/>
      <c r="L10" s="693"/>
      <c r="M10" s="693"/>
      <c r="N10" s="693"/>
      <c r="O10" s="193"/>
      <c r="P10" s="215"/>
      <c r="Q10" s="735" t="str">
        <f t="shared" si="6"/>
        <v/>
      </c>
      <c r="R10" s="732" t="str">
        <f t="shared" si="7"/>
        <v/>
      </c>
      <c r="S10" s="732"/>
      <c r="T10" s="732"/>
      <c r="U10" s="732"/>
      <c r="V10" s="732"/>
      <c r="W10" s="734"/>
      <c r="X10" s="732"/>
      <c r="Y10" s="732"/>
      <c r="Z10" s="732"/>
      <c r="AA10" s="2772"/>
      <c r="AB10" s="2772"/>
      <c r="AC10" s="2773">
        <f t="shared" si="8"/>
        <v>0</v>
      </c>
      <c r="AD10" s="2773">
        <f t="shared" si="9"/>
        <v>0</v>
      </c>
      <c r="AE10" s="847" t="str">
        <f t="shared" si="10"/>
        <v>请选择分录类型！</v>
      </c>
      <c r="AF10" s="641"/>
    </row>
    <row r="11" spans="1:32" ht="18">
      <c r="A11" s="2752"/>
      <c r="B11" s="2779" t="str">
        <f t="shared" si="0"/>
        <v>J6602</v>
      </c>
      <c r="C11" s="2749">
        <f t="shared" si="1"/>
        <v>6602</v>
      </c>
      <c r="D11" s="2749" t="str">
        <f t="shared" si="2"/>
        <v>将因管理不善导致的不合格品调整至管理费用</v>
      </c>
      <c r="E11" s="2749" t="str">
        <f t="shared" si="3"/>
        <v>1</v>
      </c>
      <c r="F11" s="2749">
        <f t="shared" si="4"/>
        <v>1.0029999999999999</v>
      </c>
      <c r="G11" s="2759" t="str">
        <f t="shared" si="5"/>
        <v>本期</v>
      </c>
      <c r="H11" s="650"/>
      <c r="I11" s="691"/>
      <c r="J11" s="692" t="str">
        <f t="shared" ref="J11:J65" si="11">IF($O11&lt;&gt;"","借",IF($P11&lt;&gt;"","贷",""))</f>
        <v>借</v>
      </c>
      <c r="K11" s="689" t="s">
        <v>685</v>
      </c>
      <c r="L11" s="693"/>
      <c r="M11" s="693"/>
      <c r="N11" s="693"/>
      <c r="O11" s="193">
        <v>517606.01</v>
      </c>
      <c r="P11" s="215"/>
      <c r="Q11" s="735" t="str">
        <f t="shared" si="6"/>
        <v>7200D</v>
      </c>
      <c r="R11" s="732" t="str">
        <f t="shared" si="7"/>
        <v>6</v>
      </c>
      <c r="S11" s="3108" t="s">
        <v>6836</v>
      </c>
      <c r="T11" s="732"/>
      <c r="U11" s="732"/>
      <c r="V11" s="732"/>
      <c r="W11" s="734"/>
      <c r="X11" s="732"/>
      <c r="Y11" s="732"/>
      <c r="Z11" s="732"/>
      <c r="AA11" s="2772"/>
      <c r="AB11" s="2772"/>
      <c r="AC11" s="2773">
        <f t="shared" si="8"/>
        <v>517606.01</v>
      </c>
      <c r="AD11" s="2773">
        <f t="shared" si="9"/>
        <v>0</v>
      </c>
      <c r="AE11" s="847" t="str">
        <f t="shared" si="10"/>
        <v>请选择分录类型！</v>
      </c>
      <c r="AF11" s="641"/>
    </row>
    <row r="12" spans="1:32" ht="18">
      <c r="A12" s="2752"/>
      <c r="B12" s="2779" t="str">
        <f t="shared" si="0"/>
        <v>J6401</v>
      </c>
      <c r="C12" s="2749">
        <f t="shared" si="1"/>
        <v>6401</v>
      </c>
      <c r="D12" s="2749" t="str">
        <f t="shared" si="2"/>
        <v>将因管理不善导致的不合格品调整至管理费用</v>
      </c>
      <c r="E12" s="2749" t="str">
        <f t="shared" si="3"/>
        <v>1</v>
      </c>
      <c r="F12" s="2749">
        <f t="shared" si="4"/>
        <v>1.004</v>
      </c>
      <c r="G12" s="2759" t="str">
        <f t="shared" si="5"/>
        <v>本期</v>
      </c>
      <c r="H12" s="650"/>
      <c r="I12" s="691"/>
      <c r="J12" s="692" t="str">
        <f t="shared" si="11"/>
        <v>借</v>
      </c>
      <c r="K12" s="689" t="s">
        <v>671</v>
      </c>
      <c r="L12" s="693"/>
      <c r="M12" s="693"/>
      <c r="N12" s="693"/>
      <c r="O12" s="193">
        <v>-517606.01</v>
      </c>
      <c r="P12" s="215"/>
      <c r="Q12" s="735" t="str">
        <f t="shared" si="6"/>
        <v>7100A</v>
      </c>
      <c r="R12" s="732" t="str">
        <f t="shared" si="7"/>
        <v>6</v>
      </c>
      <c r="S12" s="732" t="s">
        <v>6835</v>
      </c>
      <c r="T12" s="732"/>
      <c r="U12" s="732"/>
      <c r="V12" s="732"/>
      <c r="W12" s="734"/>
      <c r="X12" s="732"/>
      <c r="Y12" s="732"/>
      <c r="Z12" s="732"/>
      <c r="AA12" s="2772"/>
      <c r="AB12" s="2772"/>
      <c r="AC12" s="2773">
        <f t="shared" si="8"/>
        <v>0</v>
      </c>
      <c r="AD12" s="2773">
        <f t="shared" si="9"/>
        <v>517606.01</v>
      </c>
      <c r="AE12" s="847" t="str">
        <f t="shared" si="10"/>
        <v>请选择分录类型！</v>
      </c>
      <c r="AF12" s="641"/>
    </row>
    <row r="13" spans="1:32" ht="18">
      <c r="A13" s="2752"/>
      <c r="B13" s="2779" t="str">
        <f t="shared" si="0"/>
        <v/>
      </c>
      <c r="C13" s="2749" t="str">
        <f t="shared" si="1"/>
        <v/>
      </c>
      <c r="D13" s="2749" t="str">
        <f t="shared" si="2"/>
        <v/>
      </c>
      <c r="E13" s="2749" t="str">
        <f t="shared" si="3"/>
        <v/>
      </c>
      <c r="F13" s="2749">
        <f t="shared" si="4"/>
        <v>1.0049999999999999</v>
      </c>
      <c r="G13" s="2759" t="str">
        <f t="shared" si="5"/>
        <v/>
      </c>
      <c r="H13" s="650"/>
      <c r="I13" s="691"/>
      <c r="J13" s="692" t="str">
        <f t="shared" si="11"/>
        <v/>
      </c>
      <c r="K13" s="689"/>
      <c r="L13" s="693"/>
      <c r="M13" s="693"/>
      <c r="N13" s="693"/>
      <c r="O13" s="193"/>
      <c r="P13" s="215"/>
      <c r="Q13" s="735" t="str">
        <f t="shared" si="6"/>
        <v/>
      </c>
      <c r="R13" s="732" t="str">
        <f t="shared" si="7"/>
        <v/>
      </c>
      <c r="S13" s="732"/>
      <c r="T13" s="732"/>
      <c r="U13" s="732"/>
      <c r="V13" s="732"/>
      <c r="W13" s="734"/>
      <c r="X13" s="732"/>
      <c r="Y13" s="732"/>
      <c r="Z13" s="732"/>
      <c r="AA13" s="2772"/>
      <c r="AB13" s="2772"/>
      <c r="AC13" s="2773">
        <f t="shared" si="8"/>
        <v>0</v>
      </c>
      <c r="AD13" s="2773">
        <f t="shared" si="9"/>
        <v>0</v>
      </c>
      <c r="AE13" s="847" t="str">
        <f t="shared" si="10"/>
        <v/>
      </c>
      <c r="AF13" s="641"/>
    </row>
    <row r="14" spans="1:32" ht="18">
      <c r="A14" s="2752"/>
      <c r="B14" s="2779" t="str">
        <f t="shared" si="0"/>
        <v/>
      </c>
      <c r="C14" s="2749" t="str">
        <f t="shared" si="1"/>
        <v/>
      </c>
      <c r="D14" s="2749" t="str">
        <f t="shared" si="2"/>
        <v>调整当期存货跌价准备</v>
      </c>
      <c r="E14" s="2749" t="str">
        <f t="shared" si="3"/>
        <v>2</v>
      </c>
      <c r="F14" s="2749">
        <f t="shared" si="4"/>
        <v>2.0059999999999998</v>
      </c>
      <c r="G14" s="2759" t="str">
        <f t="shared" si="5"/>
        <v>本期</v>
      </c>
      <c r="H14" s="650"/>
      <c r="I14" s="691">
        <v>2</v>
      </c>
      <c r="J14" s="692" t="s">
        <v>6837</v>
      </c>
      <c r="K14" s="689"/>
      <c r="L14" s="693"/>
      <c r="M14" s="693"/>
      <c r="N14" s="693"/>
      <c r="O14" s="193"/>
      <c r="P14" s="215"/>
      <c r="Q14" s="735" t="str">
        <f t="shared" si="6"/>
        <v/>
      </c>
      <c r="R14" s="732" t="str">
        <f t="shared" si="7"/>
        <v/>
      </c>
      <c r="S14" s="732"/>
      <c r="T14" s="732"/>
      <c r="U14" s="732"/>
      <c r="V14" s="732"/>
      <c r="W14" s="734"/>
      <c r="X14" s="732"/>
      <c r="Y14" s="732"/>
      <c r="Z14" s="732"/>
      <c r="AA14" s="2772"/>
      <c r="AB14" s="2772"/>
      <c r="AC14" s="2773">
        <f t="shared" si="8"/>
        <v>0</v>
      </c>
      <c r="AD14" s="2773">
        <f t="shared" si="9"/>
        <v>0</v>
      </c>
      <c r="AE14" s="847" t="str">
        <f t="shared" si="10"/>
        <v>请选择分录类型！</v>
      </c>
      <c r="AF14" s="641"/>
    </row>
    <row r="15" spans="1:32" ht="18">
      <c r="A15" s="2752"/>
      <c r="B15" s="2779" t="str">
        <f t="shared" si="0"/>
        <v>J6671</v>
      </c>
      <c r="C15" s="2749">
        <f t="shared" si="1"/>
        <v>6671</v>
      </c>
      <c r="D15" s="2749" t="str">
        <f t="shared" si="2"/>
        <v>调整当期存货跌价准备</v>
      </c>
      <c r="E15" s="2749" t="str">
        <f t="shared" si="3"/>
        <v>2</v>
      </c>
      <c r="F15" s="2749">
        <f t="shared" si="4"/>
        <v>2.0070000000000001</v>
      </c>
      <c r="G15" s="2759" t="str">
        <f t="shared" si="5"/>
        <v>本期</v>
      </c>
      <c r="H15" s="650"/>
      <c r="I15" s="691"/>
      <c r="J15" s="692" t="str">
        <f t="shared" si="11"/>
        <v>借</v>
      </c>
      <c r="K15" s="689" t="s">
        <v>697</v>
      </c>
      <c r="L15" s="693"/>
      <c r="M15" s="693"/>
      <c r="N15" s="693"/>
      <c r="O15" s="193">
        <f>P16</f>
        <v>245676.38</v>
      </c>
      <c r="P15" s="215"/>
      <c r="Q15" s="735" t="str">
        <f t="shared" si="6"/>
        <v>7410F</v>
      </c>
      <c r="R15" s="732" t="str">
        <f t="shared" si="7"/>
        <v>6</v>
      </c>
      <c r="S15" s="732" t="s">
        <v>6835</v>
      </c>
      <c r="T15" s="732"/>
      <c r="U15" s="732"/>
      <c r="V15" s="732"/>
      <c r="W15" s="734"/>
      <c r="X15" s="732"/>
      <c r="Y15" s="732"/>
      <c r="Z15" s="732"/>
      <c r="AA15" s="2772"/>
      <c r="AB15" s="2772"/>
      <c r="AC15" s="2773">
        <f t="shared" si="8"/>
        <v>245676.38</v>
      </c>
      <c r="AD15" s="2773">
        <f t="shared" si="9"/>
        <v>0</v>
      </c>
      <c r="AE15" s="847" t="str">
        <f t="shared" si="10"/>
        <v>请选择分录类型！</v>
      </c>
      <c r="AF15" s="641"/>
    </row>
    <row r="16" spans="1:32" ht="18">
      <c r="A16" s="2752"/>
      <c r="B16" s="2779" t="str">
        <f t="shared" si="0"/>
        <v>J1400.1471</v>
      </c>
      <c r="C16" s="2749">
        <f t="shared" si="1"/>
        <v>1400.1470999999999</v>
      </c>
      <c r="D16" s="2749" t="str">
        <f t="shared" si="2"/>
        <v>调整当期存货跌价准备</v>
      </c>
      <c r="E16" s="2749" t="str">
        <f t="shared" si="3"/>
        <v>2</v>
      </c>
      <c r="F16" s="2749">
        <f t="shared" si="4"/>
        <v>2.008</v>
      </c>
      <c r="G16" s="2759" t="str">
        <f t="shared" si="5"/>
        <v>本期</v>
      </c>
      <c r="H16" s="650"/>
      <c r="I16" s="691"/>
      <c r="J16" s="692" t="str">
        <f t="shared" si="11"/>
        <v>贷</v>
      </c>
      <c r="K16" s="3109" t="s">
        <v>6838</v>
      </c>
      <c r="L16" s="693"/>
      <c r="M16" s="693"/>
      <c r="N16" s="693"/>
      <c r="O16" s="193"/>
      <c r="P16" s="215">
        <v>245676.38</v>
      </c>
      <c r="Q16" s="735" t="str">
        <f t="shared" si="6"/>
        <v>5300A</v>
      </c>
      <c r="R16" s="732" t="str">
        <f t="shared" si="7"/>
        <v>1</v>
      </c>
      <c r="S16" s="732" t="s">
        <v>6835</v>
      </c>
      <c r="T16" s="732"/>
      <c r="U16" s="732"/>
      <c r="V16" s="732"/>
      <c r="W16" s="734"/>
      <c r="X16" s="732"/>
      <c r="Y16" s="732"/>
      <c r="Z16" s="732"/>
      <c r="AA16" s="2772"/>
      <c r="AB16" s="2772"/>
      <c r="AC16" s="2773">
        <f t="shared" si="8"/>
        <v>0</v>
      </c>
      <c r="AD16" s="2773">
        <f t="shared" si="9"/>
        <v>245676.38</v>
      </c>
      <c r="AE16" s="847" t="str">
        <f t="shared" si="10"/>
        <v>请选择分录类型！</v>
      </c>
      <c r="AF16" s="641"/>
    </row>
    <row r="17" spans="1:32" ht="18">
      <c r="A17" s="2752"/>
      <c r="B17" s="2779" t="str">
        <f t="shared" si="0"/>
        <v/>
      </c>
      <c r="C17" s="2749" t="str">
        <f t="shared" si="1"/>
        <v/>
      </c>
      <c r="D17" s="2749" t="str">
        <f t="shared" si="2"/>
        <v/>
      </c>
      <c r="E17" s="2749" t="str">
        <f t="shared" si="3"/>
        <v/>
      </c>
      <c r="F17" s="2749">
        <f t="shared" si="4"/>
        <v>2.0089999999999999</v>
      </c>
      <c r="G17" s="2759" t="str">
        <f t="shared" si="5"/>
        <v/>
      </c>
      <c r="H17" s="650"/>
      <c r="I17" s="691"/>
      <c r="J17" s="692" t="str">
        <f t="shared" si="11"/>
        <v/>
      </c>
      <c r="K17" s="689"/>
      <c r="L17" s="693"/>
      <c r="M17" s="693"/>
      <c r="N17" s="693"/>
      <c r="O17" s="193"/>
      <c r="P17" s="215"/>
      <c r="Q17" s="735" t="str">
        <f t="shared" si="6"/>
        <v/>
      </c>
      <c r="R17" s="732" t="str">
        <f t="shared" si="7"/>
        <v/>
      </c>
      <c r="S17" s="732"/>
      <c r="T17" s="732"/>
      <c r="U17" s="732"/>
      <c r="V17" s="732"/>
      <c r="W17" s="734"/>
      <c r="X17" s="732"/>
      <c r="Y17" s="732"/>
      <c r="Z17" s="732"/>
      <c r="AA17" s="2772"/>
      <c r="AB17" s="2772"/>
      <c r="AC17" s="2773">
        <f t="shared" si="8"/>
        <v>0</v>
      </c>
      <c r="AD17" s="2773">
        <f t="shared" si="9"/>
        <v>0</v>
      </c>
      <c r="AE17" s="847" t="str">
        <f t="shared" si="10"/>
        <v/>
      </c>
      <c r="AF17" s="641"/>
    </row>
    <row r="18" spans="1:32" ht="18">
      <c r="A18" s="2752"/>
      <c r="B18" s="2779" t="str">
        <f t="shared" si="0"/>
        <v/>
      </c>
      <c r="C18" s="2749" t="str">
        <f t="shared" si="1"/>
        <v/>
      </c>
      <c r="D18" s="2749" t="str">
        <f t="shared" si="2"/>
        <v>首次执行新金融工具准则调整期初应收账款坏账准备</v>
      </c>
      <c r="E18" s="2749" t="str">
        <f t="shared" si="3"/>
        <v>3</v>
      </c>
      <c r="F18" s="2749">
        <f t="shared" si="4"/>
        <v>3.01</v>
      </c>
      <c r="G18" s="2759" t="str">
        <f t="shared" si="5"/>
        <v>本期</v>
      </c>
      <c r="H18" s="650"/>
      <c r="I18" s="691">
        <v>3</v>
      </c>
      <c r="J18" s="692" t="s">
        <v>6841</v>
      </c>
      <c r="K18" s="689"/>
      <c r="L18" s="693"/>
      <c r="M18" s="693"/>
      <c r="N18" s="693"/>
      <c r="O18" s="193"/>
      <c r="P18" s="215"/>
      <c r="Q18" s="735" t="str">
        <f t="shared" si="6"/>
        <v/>
      </c>
      <c r="R18" s="732" t="str">
        <f t="shared" si="7"/>
        <v/>
      </c>
      <c r="S18" s="732"/>
      <c r="T18" s="732"/>
      <c r="U18" s="732"/>
      <c r="V18" s="732"/>
      <c r="W18" s="734"/>
      <c r="X18" s="732"/>
      <c r="Y18" s="732"/>
      <c r="Z18" s="732"/>
      <c r="AA18" s="2772"/>
      <c r="AB18" s="2772"/>
      <c r="AC18" s="2773">
        <f t="shared" si="8"/>
        <v>0</v>
      </c>
      <c r="AD18" s="2773">
        <f t="shared" si="9"/>
        <v>0</v>
      </c>
      <c r="AE18" s="847" t="str">
        <f t="shared" si="10"/>
        <v>请选择分录类型！</v>
      </c>
      <c r="AF18" s="641"/>
    </row>
    <row r="19" spans="1:32" ht="24">
      <c r="A19" s="2752"/>
      <c r="B19" s="2779" t="str">
        <f t="shared" si="0"/>
        <v>J8702</v>
      </c>
      <c r="C19" s="2749">
        <f t="shared" si="1"/>
        <v>8702</v>
      </c>
      <c r="D19" s="2749" t="str">
        <f t="shared" si="2"/>
        <v>首次执行新金融工具准则调整期初应收账款坏账准备</v>
      </c>
      <c r="E19" s="2749" t="str">
        <f t="shared" si="3"/>
        <v>3</v>
      </c>
      <c r="F19" s="2749">
        <f t="shared" si="4"/>
        <v>3.0110000000000001</v>
      </c>
      <c r="G19" s="2759" t="str">
        <f t="shared" si="5"/>
        <v>本期</v>
      </c>
      <c r="H19" s="650"/>
      <c r="I19" s="691"/>
      <c r="J19" s="692" t="s">
        <v>6710</v>
      </c>
      <c r="K19" s="689" t="s">
        <v>1730</v>
      </c>
      <c r="L19" s="693"/>
      <c r="M19" s="693"/>
      <c r="N19" s="693"/>
      <c r="O19" s="193">
        <f>P20-O21</f>
        <v>257562.14</v>
      </c>
      <c r="P19" s="215"/>
      <c r="Q19" s="735" t="str">
        <f t="shared" si="6"/>
        <v>6900N</v>
      </c>
      <c r="R19" s="732" t="str">
        <f t="shared" si="7"/>
        <v>8</v>
      </c>
      <c r="S19" s="3108" t="s">
        <v>6842</v>
      </c>
      <c r="T19" s="732"/>
      <c r="U19" s="732"/>
      <c r="V19" s="732"/>
      <c r="W19" s="734"/>
      <c r="X19" s="732"/>
      <c r="Y19" s="732"/>
      <c r="Z19" s="732"/>
      <c r="AA19" s="2772"/>
      <c r="AB19" s="2772"/>
      <c r="AC19" s="2773">
        <f t="shared" si="8"/>
        <v>257562.14</v>
      </c>
      <c r="AD19" s="2773">
        <f t="shared" si="9"/>
        <v>0</v>
      </c>
      <c r="AE19" s="847" t="str">
        <f t="shared" si="10"/>
        <v>请选择分录类型！</v>
      </c>
      <c r="AF19" s="641"/>
    </row>
    <row r="20" spans="1:32" ht="18">
      <c r="A20" s="2752"/>
      <c r="B20" s="2779" t="str">
        <f t="shared" si="0"/>
        <v>J1122.1231</v>
      </c>
      <c r="C20" s="2749">
        <f t="shared" si="1"/>
        <v>1122.1231</v>
      </c>
      <c r="D20" s="2749" t="str">
        <f t="shared" si="2"/>
        <v>首次执行新金融工具准则调整期初应收账款坏账准备</v>
      </c>
      <c r="E20" s="2749" t="str">
        <f t="shared" si="3"/>
        <v>3</v>
      </c>
      <c r="F20" s="2749">
        <f t="shared" si="4"/>
        <v>3.012</v>
      </c>
      <c r="G20" s="2759" t="str">
        <f t="shared" si="5"/>
        <v>本期</v>
      </c>
      <c r="H20" s="650"/>
      <c r="I20" s="691"/>
      <c r="J20" s="692" t="s">
        <v>6711</v>
      </c>
      <c r="K20" s="3109" t="s">
        <v>6843</v>
      </c>
      <c r="L20" s="693"/>
      <c r="M20" s="693"/>
      <c r="N20" s="693"/>
      <c r="O20" s="193"/>
      <c r="P20" s="215">
        <v>343416.19</v>
      </c>
      <c r="Q20" s="735" t="str">
        <f t="shared" si="6"/>
        <v>5200A</v>
      </c>
      <c r="R20" s="732" t="str">
        <f t="shared" si="7"/>
        <v>1</v>
      </c>
      <c r="S20" s="3108" t="s">
        <v>6842</v>
      </c>
      <c r="T20" s="732"/>
      <c r="U20" s="732"/>
      <c r="V20" s="732"/>
      <c r="W20" s="734"/>
      <c r="X20" s="732"/>
      <c r="Y20" s="732"/>
      <c r="Z20" s="732"/>
      <c r="AA20" s="2772"/>
      <c r="AB20" s="2772"/>
      <c r="AC20" s="2773">
        <f t="shared" si="8"/>
        <v>0</v>
      </c>
      <c r="AD20" s="2773">
        <f t="shared" si="9"/>
        <v>343416.19</v>
      </c>
      <c r="AE20" s="847" t="str">
        <f t="shared" si="10"/>
        <v>请选择分录类型！</v>
      </c>
      <c r="AF20" s="641"/>
    </row>
    <row r="21" spans="1:32" ht="18">
      <c r="A21" s="2752"/>
      <c r="B21" s="2779" t="str">
        <f t="shared" si="0"/>
        <v>J1811</v>
      </c>
      <c r="C21" s="2749">
        <f t="shared" si="1"/>
        <v>1811</v>
      </c>
      <c r="D21" s="2749" t="str">
        <f t="shared" si="2"/>
        <v>首次执行新金融工具准则调整期初应收账款坏账准备</v>
      </c>
      <c r="E21" s="2749" t="str">
        <f t="shared" si="3"/>
        <v>3</v>
      </c>
      <c r="F21" s="2749">
        <f t="shared" si="4"/>
        <v>3.0129999999999999</v>
      </c>
      <c r="G21" s="2759" t="str">
        <f t="shared" si="5"/>
        <v>本期</v>
      </c>
      <c r="H21" s="650"/>
      <c r="I21" s="691"/>
      <c r="J21" s="692" t="str">
        <f t="shared" si="11"/>
        <v>借</v>
      </c>
      <c r="K21" s="3109" t="s">
        <v>7286</v>
      </c>
      <c r="L21" s="693"/>
      <c r="M21" s="693"/>
      <c r="N21" s="693"/>
      <c r="O21" s="193">
        <f>P20*0.25</f>
        <v>85854.05</v>
      </c>
      <c r="P21" s="215"/>
      <c r="Q21" s="735" t="str">
        <f t="shared" si="6"/>
        <v>5850A</v>
      </c>
      <c r="R21" s="732" t="str">
        <f t="shared" si="7"/>
        <v>1</v>
      </c>
      <c r="S21" s="732"/>
      <c r="T21" s="732"/>
      <c r="U21" s="732"/>
      <c r="V21" s="732"/>
      <c r="W21" s="734"/>
      <c r="X21" s="732"/>
      <c r="Y21" s="732"/>
      <c r="Z21" s="732"/>
      <c r="AA21" s="2772"/>
      <c r="AB21" s="2772"/>
      <c r="AC21" s="2773">
        <f t="shared" si="8"/>
        <v>85854.05</v>
      </c>
      <c r="AD21" s="2773">
        <f t="shared" si="9"/>
        <v>0</v>
      </c>
      <c r="AE21" s="847" t="str">
        <f t="shared" si="10"/>
        <v>请选择分录类型！</v>
      </c>
      <c r="AF21" s="641"/>
    </row>
    <row r="22" spans="1:32" ht="18">
      <c r="A22" s="2752"/>
      <c r="B22" s="2779" t="str">
        <f t="shared" si="0"/>
        <v/>
      </c>
      <c r="C22" s="2749" t="str">
        <f t="shared" si="1"/>
        <v/>
      </c>
      <c r="D22" s="2749" t="str">
        <f t="shared" si="2"/>
        <v/>
      </c>
      <c r="E22" s="2749" t="str">
        <f t="shared" si="3"/>
        <v/>
      </c>
      <c r="F22" s="2749">
        <f t="shared" si="4"/>
        <v>3.0139999999999998</v>
      </c>
      <c r="G22" s="2759" t="str">
        <f t="shared" si="5"/>
        <v/>
      </c>
      <c r="H22" s="3117"/>
      <c r="I22" s="3118"/>
      <c r="J22" s="3119" t="str">
        <f t="shared" si="11"/>
        <v/>
      </c>
      <c r="K22" s="3356"/>
      <c r="L22" s="3120"/>
      <c r="M22" s="3120"/>
      <c r="N22" s="3120"/>
      <c r="O22" s="3121"/>
      <c r="P22" s="3122"/>
      <c r="Q22" s="735" t="str">
        <f t="shared" si="6"/>
        <v/>
      </c>
      <c r="R22" s="732" t="str">
        <f t="shared" si="7"/>
        <v/>
      </c>
      <c r="S22" s="732"/>
      <c r="T22" s="732"/>
      <c r="U22" s="732"/>
      <c r="V22" s="732"/>
      <c r="W22" s="734"/>
      <c r="X22" s="732"/>
      <c r="Y22" s="732"/>
      <c r="Z22" s="732"/>
      <c r="AA22" s="2772"/>
      <c r="AB22" s="2772"/>
      <c r="AC22" s="2773">
        <f t="shared" si="8"/>
        <v>0</v>
      </c>
      <c r="AD22" s="2773">
        <f t="shared" si="9"/>
        <v>0</v>
      </c>
      <c r="AE22" s="847" t="str">
        <f t="shared" si="10"/>
        <v/>
      </c>
      <c r="AF22" s="641"/>
    </row>
    <row r="23" spans="1:32" ht="18">
      <c r="A23" s="2752"/>
      <c r="B23" s="2779" t="str">
        <f t="shared" si="0"/>
        <v/>
      </c>
      <c r="C23" s="2749" t="str">
        <f t="shared" si="1"/>
        <v/>
      </c>
      <c r="D23" s="2749" t="str">
        <f t="shared" si="2"/>
        <v>调整当期坏账准备</v>
      </c>
      <c r="E23" s="2749" t="str">
        <f t="shared" si="3"/>
        <v>4</v>
      </c>
      <c r="F23" s="2749">
        <f t="shared" si="4"/>
        <v>4.0149999999999997</v>
      </c>
      <c r="G23" s="2759" t="str">
        <f t="shared" si="5"/>
        <v>本期</v>
      </c>
      <c r="H23" s="650"/>
      <c r="I23" s="691">
        <v>4</v>
      </c>
      <c r="J23" s="3115" t="s">
        <v>7311</v>
      </c>
      <c r="K23" s="692"/>
      <c r="L23" s="693"/>
      <c r="M23" s="693"/>
      <c r="N23" s="693"/>
      <c r="O23" s="193"/>
      <c r="P23" s="215"/>
      <c r="Q23" s="735" t="str">
        <f t="shared" si="6"/>
        <v/>
      </c>
      <c r="R23" s="732" t="str">
        <f t="shared" si="7"/>
        <v/>
      </c>
      <c r="S23" s="732"/>
      <c r="T23" s="732"/>
      <c r="U23" s="732"/>
      <c r="V23" s="732"/>
      <c r="W23" s="734"/>
      <c r="X23" s="732"/>
      <c r="Y23" s="732"/>
      <c r="Z23" s="732"/>
      <c r="AA23" s="2772"/>
      <c r="AB23" s="2772"/>
      <c r="AC23" s="2773">
        <f t="shared" si="8"/>
        <v>0</v>
      </c>
      <c r="AD23" s="2773">
        <f t="shared" si="9"/>
        <v>0</v>
      </c>
      <c r="AE23" s="847" t="str">
        <f t="shared" si="10"/>
        <v>请选择分录类型！</v>
      </c>
      <c r="AF23" s="641"/>
    </row>
    <row r="24" spans="1:32" ht="18">
      <c r="A24" s="2752"/>
      <c r="B24" s="2779" t="str">
        <f t="shared" si="0"/>
        <v>J6672</v>
      </c>
      <c r="C24" s="2749">
        <f t="shared" si="1"/>
        <v>6672</v>
      </c>
      <c r="D24" s="2749" t="str">
        <f t="shared" si="2"/>
        <v>调整当期坏账准备</v>
      </c>
      <c r="E24" s="2749" t="str">
        <f t="shared" si="3"/>
        <v>4</v>
      </c>
      <c r="F24" s="2749">
        <f t="shared" si="4"/>
        <v>4.016</v>
      </c>
      <c r="G24" s="2759" t="str">
        <f t="shared" si="5"/>
        <v>本期</v>
      </c>
      <c r="H24" s="650"/>
      <c r="I24" s="691"/>
      <c r="J24" s="692" t="s">
        <v>6710</v>
      </c>
      <c r="K24" s="689" t="s">
        <v>701</v>
      </c>
      <c r="L24" s="693"/>
      <c r="M24" s="693"/>
      <c r="N24" s="693"/>
      <c r="O24" s="193">
        <f>P26+P25</f>
        <v>1400173.26</v>
      </c>
      <c r="P24" s="215"/>
      <c r="Q24" s="735" t="str">
        <f t="shared" si="6"/>
        <v>7410E</v>
      </c>
      <c r="R24" s="732" t="str">
        <f t="shared" si="7"/>
        <v>6</v>
      </c>
      <c r="S24" s="3108" t="s">
        <v>6842</v>
      </c>
      <c r="T24" s="732"/>
      <c r="U24" s="732"/>
      <c r="V24" s="732"/>
      <c r="W24" s="734"/>
      <c r="X24" s="732"/>
      <c r="Y24" s="732"/>
      <c r="Z24" s="732"/>
      <c r="AA24" s="2772"/>
      <c r="AB24" s="2772"/>
      <c r="AC24" s="2773">
        <f t="shared" si="8"/>
        <v>1400173.26</v>
      </c>
      <c r="AD24" s="2773">
        <f t="shared" si="9"/>
        <v>0</v>
      </c>
      <c r="AE24" s="847" t="str">
        <f t="shared" si="10"/>
        <v>请选择分录类型！</v>
      </c>
      <c r="AF24" s="641"/>
    </row>
    <row r="25" spans="1:32" ht="18">
      <c r="A25" s="2752"/>
      <c r="B25" s="2779" t="str">
        <f t="shared" si="0"/>
        <v>J1122.1231</v>
      </c>
      <c r="C25" s="2749">
        <f t="shared" si="1"/>
        <v>1122.1231</v>
      </c>
      <c r="D25" s="2749" t="str">
        <f t="shared" si="2"/>
        <v>调整当期坏账准备</v>
      </c>
      <c r="E25" s="2749" t="str">
        <f t="shared" si="3"/>
        <v>4</v>
      </c>
      <c r="F25" s="2749">
        <f t="shared" si="4"/>
        <v>4.0170000000000003</v>
      </c>
      <c r="G25" s="2759" t="str">
        <f t="shared" si="5"/>
        <v>本期</v>
      </c>
      <c r="H25" s="650"/>
      <c r="I25" s="691"/>
      <c r="J25" s="692" t="s">
        <v>6711</v>
      </c>
      <c r="K25" s="3109" t="s">
        <v>6844</v>
      </c>
      <c r="L25" s="693"/>
      <c r="M25" s="693"/>
      <c r="N25" s="693"/>
      <c r="O25" s="193"/>
      <c r="P25" s="215">
        <v>1428964.7</v>
      </c>
      <c r="Q25" s="735" t="str">
        <f t="shared" si="6"/>
        <v>5200A</v>
      </c>
      <c r="R25" s="732" t="str">
        <f t="shared" si="7"/>
        <v>1</v>
      </c>
      <c r="S25" s="3108" t="s">
        <v>6842</v>
      </c>
      <c r="T25" s="732"/>
      <c r="U25" s="732"/>
      <c r="V25" s="732"/>
      <c r="W25" s="734"/>
      <c r="X25" s="732"/>
      <c r="Y25" s="732"/>
      <c r="Z25" s="732"/>
      <c r="AA25" s="2772"/>
      <c r="AB25" s="2772"/>
      <c r="AC25" s="2773">
        <f t="shared" si="8"/>
        <v>0</v>
      </c>
      <c r="AD25" s="2773">
        <f t="shared" si="9"/>
        <v>1428964.7</v>
      </c>
      <c r="AE25" s="847" t="str">
        <f t="shared" si="10"/>
        <v>请选择分录类型！</v>
      </c>
      <c r="AF25" s="641"/>
    </row>
    <row r="26" spans="1:32" ht="18">
      <c r="A26" s="2752"/>
      <c r="B26" s="2779" t="str">
        <f t="shared" si="0"/>
        <v>J1221.1231</v>
      </c>
      <c r="C26" s="2749">
        <f t="shared" si="1"/>
        <v>1221.1231</v>
      </c>
      <c r="D26" s="2749" t="str">
        <f t="shared" si="2"/>
        <v>调整当期坏账准备</v>
      </c>
      <c r="E26" s="2749" t="str">
        <f t="shared" si="3"/>
        <v>4</v>
      </c>
      <c r="F26" s="2749">
        <f t="shared" si="4"/>
        <v>4.0179999999999998</v>
      </c>
      <c r="G26" s="2759" t="str">
        <f t="shared" si="5"/>
        <v>本期</v>
      </c>
      <c r="H26" s="650"/>
      <c r="I26" s="691"/>
      <c r="J26" s="692" t="str">
        <f t="shared" si="11"/>
        <v>贷</v>
      </c>
      <c r="K26" s="689" t="s">
        <v>242</v>
      </c>
      <c r="L26" s="693"/>
      <c r="M26" s="693"/>
      <c r="N26" s="693"/>
      <c r="O26" s="193"/>
      <c r="P26" s="215">
        <v>-28791.439999999999</v>
      </c>
      <c r="Q26" s="735" t="str">
        <f t="shared" si="6"/>
        <v>5200D</v>
      </c>
      <c r="R26" s="732" t="str">
        <f t="shared" si="7"/>
        <v>1</v>
      </c>
      <c r="S26" s="732"/>
      <c r="T26" s="732"/>
      <c r="U26" s="732"/>
      <c r="V26" s="732"/>
      <c r="W26" s="734"/>
      <c r="X26" s="732"/>
      <c r="Y26" s="732"/>
      <c r="Z26" s="732"/>
      <c r="AA26" s="2772"/>
      <c r="AB26" s="2772"/>
      <c r="AC26" s="2773">
        <f t="shared" si="8"/>
        <v>28791.439999999999</v>
      </c>
      <c r="AD26" s="2773">
        <f t="shared" si="9"/>
        <v>0</v>
      </c>
      <c r="AE26" s="847" t="str">
        <f t="shared" si="10"/>
        <v>请选择分录类型！</v>
      </c>
      <c r="AF26" s="641"/>
    </row>
    <row r="27" spans="1:32" ht="18">
      <c r="A27" s="2752"/>
      <c r="B27" s="2779" t="str">
        <f t="shared" si="0"/>
        <v/>
      </c>
      <c r="C27" s="2749" t="str">
        <f t="shared" si="1"/>
        <v/>
      </c>
      <c r="D27" s="2749" t="str">
        <f t="shared" si="2"/>
        <v/>
      </c>
      <c r="E27" s="2749" t="str">
        <f t="shared" si="3"/>
        <v/>
      </c>
      <c r="F27" s="2749">
        <f t="shared" si="4"/>
        <v>4.0190000000000001</v>
      </c>
      <c r="G27" s="2759" t="str">
        <f t="shared" si="5"/>
        <v/>
      </c>
      <c r="H27" s="650"/>
      <c r="I27" s="691"/>
      <c r="J27" s="692" t="str">
        <f t="shared" si="11"/>
        <v/>
      </c>
      <c r="K27" s="689"/>
      <c r="L27" s="3120"/>
      <c r="M27" s="3120"/>
      <c r="N27" s="3120"/>
      <c r="O27" s="3121"/>
      <c r="P27" s="3122"/>
      <c r="Q27" s="735" t="str">
        <f t="shared" si="6"/>
        <v/>
      </c>
      <c r="R27" s="732" t="str">
        <f t="shared" si="7"/>
        <v/>
      </c>
      <c r="S27" s="732"/>
      <c r="T27" s="732"/>
      <c r="U27" s="732"/>
      <c r="V27" s="732"/>
      <c r="W27" s="734"/>
      <c r="X27" s="732"/>
      <c r="Y27" s="732"/>
      <c r="Z27" s="732"/>
      <c r="AA27" s="2772"/>
      <c r="AB27" s="2772"/>
      <c r="AC27" s="2773">
        <f t="shared" si="8"/>
        <v>0</v>
      </c>
      <c r="AD27" s="2773">
        <f t="shared" si="9"/>
        <v>0</v>
      </c>
      <c r="AE27" s="847" t="str">
        <f t="shared" si="10"/>
        <v/>
      </c>
      <c r="AF27" s="641"/>
    </row>
    <row r="28" spans="1:32" ht="18">
      <c r="A28" s="2752"/>
      <c r="B28" s="2779" t="str">
        <f t="shared" si="0"/>
        <v/>
      </c>
      <c r="C28" s="2749" t="str">
        <f t="shared" si="1"/>
        <v/>
      </c>
      <c r="D28" s="2749" t="str">
        <f t="shared" si="2"/>
        <v>残保金重分类至税金及附加</v>
      </c>
      <c r="E28" s="2749" t="str">
        <f t="shared" si="3"/>
        <v>5</v>
      </c>
      <c r="F28" s="2749">
        <f t="shared" si="4"/>
        <v>5.0199999999999996</v>
      </c>
      <c r="G28" s="2759" t="str">
        <f t="shared" si="5"/>
        <v>本期</v>
      </c>
      <c r="H28" s="650"/>
      <c r="I28" s="691">
        <v>5</v>
      </c>
      <c r="J28" s="692" t="s">
        <v>6853</v>
      </c>
      <c r="K28" s="689"/>
      <c r="L28" s="693"/>
      <c r="M28" s="693"/>
      <c r="N28" s="693"/>
      <c r="O28" s="193"/>
      <c r="P28" s="215"/>
      <c r="Q28" s="735" t="str">
        <f t="shared" si="6"/>
        <v/>
      </c>
      <c r="R28" s="732" t="str">
        <f t="shared" si="7"/>
        <v/>
      </c>
      <c r="S28" s="732" t="s">
        <v>7313</v>
      </c>
      <c r="T28" s="732"/>
      <c r="U28" s="732"/>
      <c r="V28" s="732"/>
      <c r="W28" s="734"/>
      <c r="X28" s="732"/>
      <c r="Y28" s="732"/>
      <c r="Z28" s="732"/>
      <c r="AA28" s="2772"/>
      <c r="AB28" s="2772"/>
      <c r="AC28" s="2773">
        <f t="shared" si="8"/>
        <v>0</v>
      </c>
      <c r="AD28" s="2773">
        <f t="shared" si="9"/>
        <v>0</v>
      </c>
      <c r="AE28" s="847" t="str">
        <f t="shared" si="10"/>
        <v>请选择分录类型！</v>
      </c>
      <c r="AF28" s="641"/>
    </row>
    <row r="29" spans="1:32" ht="18">
      <c r="A29" s="2752"/>
      <c r="B29" s="2779" t="str">
        <f t="shared" si="0"/>
        <v>J6602</v>
      </c>
      <c r="C29" s="2749">
        <f t="shared" si="1"/>
        <v>6602</v>
      </c>
      <c r="D29" s="2749" t="str">
        <f t="shared" si="2"/>
        <v>残保金重分类至税金及附加</v>
      </c>
      <c r="E29" s="2749" t="str">
        <f t="shared" si="3"/>
        <v>5</v>
      </c>
      <c r="F29" s="2749">
        <f t="shared" si="4"/>
        <v>5.0209999999999999</v>
      </c>
      <c r="G29" s="2759" t="str">
        <f t="shared" si="5"/>
        <v>本期</v>
      </c>
      <c r="H29" s="650"/>
      <c r="I29" s="691"/>
      <c r="J29" s="692" t="str">
        <f t="shared" si="11"/>
        <v>借</v>
      </c>
      <c r="K29" s="689" t="s">
        <v>685</v>
      </c>
      <c r="L29" s="693"/>
      <c r="M29" s="693"/>
      <c r="N29" s="693"/>
      <c r="O29" s="193">
        <v>-42226.57</v>
      </c>
      <c r="P29" s="215"/>
      <c r="Q29" s="735" t="str">
        <f t="shared" si="6"/>
        <v>7200D</v>
      </c>
      <c r="R29" s="732" t="str">
        <f t="shared" si="7"/>
        <v>6</v>
      </c>
      <c r="S29" s="732" t="s">
        <v>7313</v>
      </c>
      <c r="T29" s="732"/>
      <c r="U29" s="732"/>
      <c r="V29" s="732"/>
      <c r="W29" s="734"/>
      <c r="X29" s="732"/>
      <c r="Y29" s="732"/>
      <c r="Z29" s="732"/>
      <c r="AA29" s="2772"/>
      <c r="AB29" s="2772"/>
      <c r="AC29" s="2773">
        <f t="shared" si="8"/>
        <v>0</v>
      </c>
      <c r="AD29" s="2773">
        <f t="shared" si="9"/>
        <v>42226.57</v>
      </c>
      <c r="AE29" s="847" t="str">
        <f t="shared" si="10"/>
        <v>请选择分录类型！</v>
      </c>
      <c r="AF29" s="641"/>
    </row>
    <row r="30" spans="1:32" ht="18">
      <c r="A30" s="2752"/>
      <c r="B30" s="2779" t="str">
        <f t="shared" si="0"/>
        <v>J6600</v>
      </c>
      <c r="C30" s="2749">
        <f t="shared" si="1"/>
        <v>6600</v>
      </c>
      <c r="D30" s="2749" t="str">
        <f t="shared" si="2"/>
        <v>残保金重分类至税金及附加</v>
      </c>
      <c r="E30" s="2749" t="str">
        <f t="shared" si="3"/>
        <v>5</v>
      </c>
      <c r="F30" s="2749">
        <f t="shared" si="4"/>
        <v>5.0220000000000002</v>
      </c>
      <c r="G30" s="2759" t="str">
        <f t="shared" si="5"/>
        <v>本期</v>
      </c>
      <c r="H30" s="650"/>
      <c r="I30" s="691"/>
      <c r="J30" s="692" t="str">
        <f t="shared" si="11"/>
        <v>借</v>
      </c>
      <c r="K30" s="689" t="s">
        <v>676</v>
      </c>
      <c r="L30" s="693"/>
      <c r="M30" s="693"/>
      <c r="N30" s="693"/>
      <c r="O30" s="193">
        <v>42226.57</v>
      </c>
      <c r="P30" s="215"/>
      <c r="Q30" s="735" t="str">
        <f t="shared" si="6"/>
        <v>7200B</v>
      </c>
      <c r="R30" s="732" t="str">
        <f t="shared" si="7"/>
        <v>6</v>
      </c>
      <c r="S30" s="732" t="s">
        <v>7313</v>
      </c>
      <c r="T30" s="732"/>
      <c r="U30" s="732"/>
      <c r="V30" s="732"/>
      <c r="W30" s="734"/>
      <c r="X30" s="732"/>
      <c r="Y30" s="732"/>
      <c r="Z30" s="732"/>
      <c r="AA30" s="2772"/>
      <c r="AB30" s="2772"/>
      <c r="AC30" s="2773">
        <f t="shared" si="8"/>
        <v>42226.57</v>
      </c>
      <c r="AD30" s="2773">
        <f t="shared" si="9"/>
        <v>0</v>
      </c>
      <c r="AE30" s="847" t="str">
        <f t="shared" si="10"/>
        <v>请选择分录类型！</v>
      </c>
      <c r="AF30" s="641"/>
    </row>
    <row r="31" spans="1:32" ht="18">
      <c r="A31" s="2752"/>
      <c r="B31" s="2779" t="str">
        <f t="shared" si="0"/>
        <v/>
      </c>
      <c r="C31" s="2749" t="str">
        <f t="shared" si="1"/>
        <v/>
      </c>
      <c r="D31" s="2749" t="str">
        <f t="shared" si="2"/>
        <v/>
      </c>
      <c r="E31" s="2749" t="str">
        <f t="shared" si="3"/>
        <v/>
      </c>
      <c r="F31" s="2749">
        <f t="shared" si="4"/>
        <v>5.0229999999999997</v>
      </c>
      <c r="G31" s="2759" t="str">
        <f t="shared" si="5"/>
        <v/>
      </c>
      <c r="H31" s="650"/>
      <c r="I31" s="691"/>
      <c r="J31" s="692" t="str">
        <f t="shared" si="11"/>
        <v/>
      </c>
      <c r="K31" s="689"/>
      <c r="L31" s="693"/>
      <c r="M31" s="693"/>
      <c r="N31" s="693"/>
      <c r="O31" s="193"/>
      <c r="P31" s="215"/>
      <c r="Q31" s="735" t="str">
        <f t="shared" si="6"/>
        <v/>
      </c>
      <c r="R31" s="736" t="str">
        <f t="shared" si="7"/>
        <v/>
      </c>
      <c r="S31" s="736"/>
      <c r="T31" s="736"/>
      <c r="U31" s="736"/>
      <c r="V31" s="736"/>
      <c r="W31" s="734"/>
      <c r="X31" s="736"/>
      <c r="Y31" s="732"/>
      <c r="Z31" s="732"/>
      <c r="AA31" s="2772"/>
      <c r="AB31" s="2772"/>
      <c r="AC31" s="2773">
        <f t="shared" si="8"/>
        <v>0</v>
      </c>
      <c r="AD31" s="2773">
        <f t="shared" si="9"/>
        <v>0</v>
      </c>
      <c r="AE31" s="847" t="str">
        <f t="shared" si="10"/>
        <v/>
      </c>
      <c r="AF31" s="641"/>
    </row>
    <row r="32" spans="1:32" ht="18">
      <c r="A32" s="2752"/>
      <c r="B32" s="2779" t="str">
        <f t="shared" si="0"/>
        <v/>
      </c>
      <c r="C32" s="2749" t="str">
        <f t="shared" si="1"/>
        <v/>
      </c>
      <c r="D32" s="2749" t="str">
        <f t="shared" si="2"/>
        <v>将政府补助的烧仙草研发补贴一次性计入当期损益</v>
      </c>
      <c r="E32" s="2749" t="str">
        <f t="shared" si="3"/>
        <v>6</v>
      </c>
      <c r="F32" s="2749">
        <f t="shared" si="4"/>
        <v>6.024</v>
      </c>
      <c r="G32" s="2759" t="str">
        <f t="shared" si="5"/>
        <v>本期</v>
      </c>
      <c r="H32" s="650"/>
      <c r="I32" s="691">
        <v>6</v>
      </c>
      <c r="J32" s="3115" t="s">
        <v>6871</v>
      </c>
      <c r="K32" s="689"/>
      <c r="L32" s="693"/>
      <c r="M32" s="693"/>
      <c r="N32" s="693"/>
      <c r="O32" s="193"/>
      <c r="P32" s="215"/>
      <c r="Q32" s="735" t="str">
        <f t="shared" si="6"/>
        <v/>
      </c>
      <c r="R32" s="641" t="str">
        <f t="shared" si="7"/>
        <v/>
      </c>
      <c r="T32" s="641"/>
      <c r="U32" s="641"/>
      <c r="V32" s="641"/>
      <c r="W32" s="737"/>
      <c r="X32" s="641"/>
      <c r="Y32" s="732"/>
      <c r="Z32" s="732"/>
      <c r="AA32" s="2772"/>
      <c r="AB32" s="2772"/>
      <c r="AC32" s="2773">
        <f t="shared" si="8"/>
        <v>0</v>
      </c>
      <c r="AD32" s="2773">
        <f t="shared" si="9"/>
        <v>0</v>
      </c>
      <c r="AE32" s="847" t="str">
        <f t="shared" si="10"/>
        <v>请选择分录类型！</v>
      </c>
      <c r="AF32" s="641"/>
    </row>
    <row r="33" spans="1:32" ht="24">
      <c r="A33" s="2752"/>
      <c r="B33" s="2779" t="str">
        <f t="shared" si="0"/>
        <v>J6181</v>
      </c>
      <c r="C33" s="2749">
        <f t="shared" si="1"/>
        <v>6181</v>
      </c>
      <c r="D33" s="2749" t="str">
        <f t="shared" si="2"/>
        <v>将政府补助的烧仙草研发补贴一次性计入当期损益</v>
      </c>
      <c r="E33" s="2749" t="str">
        <f t="shared" si="3"/>
        <v>6</v>
      </c>
      <c r="F33" s="2749">
        <f t="shared" si="4"/>
        <v>6.0250000000000004</v>
      </c>
      <c r="G33" s="2759" t="str">
        <f t="shared" si="5"/>
        <v>本期</v>
      </c>
      <c r="H33" s="650"/>
      <c r="I33" s="691"/>
      <c r="J33" s="692" t="str">
        <f t="shared" si="11"/>
        <v>贷</v>
      </c>
      <c r="K33" s="3109" t="s">
        <v>6872</v>
      </c>
      <c r="L33" s="3116" t="s">
        <v>6875</v>
      </c>
      <c r="M33" s="693"/>
      <c r="N33" s="693"/>
      <c r="O33" s="193"/>
      <c r="P33" s="215">
        <v>140000</v>
      </c>
      <c r="Q33" s="735" t="str">
        <f t="shared" si="6"/>
        <v>7410B</v>
      </c>
      <c r="R33" s="732" t="str">
        <f t="shared" si="7"/>
        <v>6</v>
      </c>
      <c r="S33" s="732"/>
      <c r="T33" s="732"/>
      <c r="U33" s="732"/>
      <c r="V33" s="732"/>
      <c r="W33" s="734"/>
      <c r="X33" s="732"/>
      <c r="Y33" s="732"/>
      <c r="Z33" s="732"/>
      <c r="AA33" s="2772"/>
      <c r="AB33" s="2772"/>
      <c r="AC33" s="2773">
        <f t="shared" si="8"/>
        <v>0</v>
      </c>
      <c r="AD33" s="2773">
        <f t="shared" si="9"/>
        <v>140000</v>
      </c>
      <c r="AE33" s="847" t="str">
        <f t="shared" si="10"/>
        <v>请选择分录类型！</v>
      </c>
      <c r="AF33" s="641"/>
    </row>
    <row r="34" spans="1:32" ht="18">
      <c r="A34" s="2752"/>
      <c r="B34" s="2779" t="str">
        <f t="shared" si="0"/>
        <v>J2711</v>
      </c>
      <c r="C34" s="2749">
        <f t="shared" si="1"/>
        <v>2711</v>
      </c>
      <c r="D34" s="2749" t="str">
        <f t="shared" si="2"/>
        <v>将政府补助的烧仙草研发补贴一次性计入当期损益</v>
      </c>
      <c r="E34" s="2749" t="str">
        <f t="shared" si="3"/>
        <v>6</v>
      </c>
      <c r="F34" s="2749">
        <f t="shared" si="4"/>
        <v>6.0259999999999998</v>
      </c>
      <c r="G34" s="2759" t="str">
        <f t="shared" si="5"/>
        <v>本期</v>
      </c>
      <c r="H34" s="650"/>
      <c r="I34" s="691"/>
      <c r="J34" s="692" t="str">
        <f t="shared" si="11"/>
        <v>借</v>
      </c>
      <c r="K34" s="3109" t="s">
        <v>6873</v>
      </c>
      <c r="L34" s="693"/>
      <c r="M34" s="693"/>
      <c r="N34" s="693"/>
      <c r="O34" s="193">
        <f>P33</f>
        <v>140000</v>
      </c>
      <c r="P34" s="215"/>
      <c r="Q34" s="735" t="str">
        <f t="shared" si="6"/>
        <v>6200M</v>
      </c>
      <c r="R34" s="732" t="str">
        <f t="shared" si="7"/>
        <v>2</v>
      </c>
      <c r="S34" s="732"/>
      <c r="T34" s="732"/>
      <c r="U34" s="732"/>
      <c r="V34" s="732"/>
      <c r="W34" s="734"/>
      <c r="X34" s="732"/>
      <c r="Y34" s="732"/>
      <c r="Z34" s="732"/>
      <c r="AA34" s="2772"/>
      <c r="AB34" s="2772"/>
      <c r="AC34" s="2773">
        <f t="shared" si="8"/>
        <v>140000</v>
      </c>
      <c r="AD34" s="2773">
        <f t="shared" si="9"/>
        <v>0</v>
      </c>
      <c r="AE34" s="847" t="str">
        <f t="shared" si="10"/>
        <v>请选择分录类型！</v>
      </c>
      <c r="AF34" s="641"/>
    </row>
    <row r="35" spans="1:32" ht="18">
      <c r="A35" s="2752"/>
      <c r="B35" s="2779" t="str">
        <f t="shared" si="0"/>
        <v/>
      </c>
      <c r="C35" s="2749" t="str">
        <f t="shared" si="1"/>
        <v/>
      </c>
      <c r="D35" s="2749" t="str">
        <f t="shared" si="2"/>
        <v/>
      </c>
      <c r="E35" s="2749" t="str">
        <f t="shared" si="3"/>
        <v/>
      </c>
      <c r="F35" s="2749">
        <f t="shared" si="4"/>
        <v>6.0270000000000001</v>
      </c>
      <c r="G35" s="2759" t="str">
        <f t="shared" si="5"/>
        <v/>
      </c>
      <c r="H35" s="650"/>
      <c r="I35" s="691"/>
      <c r="J35" s="692" t="str">
        <f t="shared" si="11"/>
        <v/>
      </c>
      <c r="K35" s="3109"/>
      <c r="L35" s="3120"/>
      <c r="M35" s="3120"/>
      <c r="N35" s="3120"/>
      <c r="O35" s="3121"/>
      <c r="P35" s="3122"/>
      <c r="Q35" s="735" t="str">
        <f t="shared" si="6"/>
        <v/>
      </c>
      <c r="R35" s="732" t="str">
        <f t="shared" si="7"/>
        <v/>
      </c>
      <c r="S35" s="732"/>
      <c r="T35" s="732"/>
      <c r="U35" s="732"/>
      <c r="V35" s="732"/>
      <c r="W35" s="734"/>
      <c r="X35" s="732"/>
      <c r="Y35" s="732"/>
      <c r="Z35" s="732"/>
      <c r="AA35" s="2772"/>
      <c r="AB35" s="2772"/>
      <c r="AC35" s="2773">
        <f t="shared" si="8"/>
        <v>0</v>
      </c>
      <c r="AD35" s="2773">
        <f t="shared" si="9"/>
        <v>0</v>
      </c>
      <c r="AE35" s="847" t="str">
        <f t="shared" si="10"/>
        <v/>
      </c>
      <c r="AF35" s="641"/>
    </row>
    <row r="36" spans="1:32" ht="18">
      <c r="A36" s="2752"/>
      <c r="B36" s="2779" t="str">
        <f t="shared" si="0"/>
        <v/>
      </c>
      <c r="C36" s="2749" t="str">
        <f t="shared" si="1"/>
        <v/>
      </c>
      <c r="D36" s="2749" t="str">
        <f t="shared" si="2"/>
        <v>政府补助重分类</v>
      </c>
      <c r="E36" s="2749" t="str">
        <f t="shared" si="3"/>
        <v>7</v>
      </c>
      <c r="F36" s="2749">
        <f t="shared" si="4"/>
        <v>7.0279999999999996</v>
      </c>
      <c r="G36" s="2759" t="str">
        <f t="shared" si="5"/>
        <v>本期</v>
      </c>
      <c r="H36" s="650"/>
      <c r="I36" s="691">
        <v>7</v>
      </c>
      <c r="J36" s="3115" t="s">
        <v>7312</v>
      </c>
      <c r="K36" s="689"/>
      <c r="L36" s="693"/>
      <c r="M36" s="693"/>
      <c r="N36" s="693"/>
      <c r="O36" s="193"/>
      <c r="P36" s="215"/>
      <c r="Q36" s="735" t="str">
        <f t="shared" si="6"/>
        <v/>
      </c>
      <c r="R36" s="732" t="str">
        <f t="shared" si="7"/>
        <v/>
      </c>
      <c r="S36" s="732"/>
      <c r="T36" s="732"/>
      <c r="U36" s="732"/>
      <c r="V36" s="732"/>
      <c r="W36" s="734"/>
      <c r="X36" s="732"/>
      <c r="Y36" s="732"/>
      <c r="Z36" s="732"/>
      <c r="AA36" s="2772"/>
      <c r="AB36" s="2772"/>
      <c r="AC36" s="2773">
        <f t="shared" si="8"/>
        <v>0</v>
      </c>
      <c r="AD36" s="2773">
        <f t="shared" si="9"/>
        <v>0</v>
      </c>
      <c r="AE36" s="847" t="str">
        <f t="shared" si="10"/>
        <v>请选择分录类型！</v>
      </c>
      <c r="AF36" s="641"/>
    </row>
    <row r="37" spans="1:32" ht="18">
      <c r="A37" s="2752"/>
      <c r="B37" s="2779" t="str">
        <f t="shared" si="0"/>
        <v>J6181</v>
      </c>
      <c r="C37" s="2749">
        <f t="shared" si="1"/>
        <v>6181</v>
      </c>
      <c r="D37" s="2749" t="str">
        <f t="shared" si="2"/>
        <v>政府补助重分类</v>
      </c>
      <c r="E37" s="2749" t="str">
        <f t="shared" si="3"/>
        <v>7</v>
      </c>
      <c r="F37" s="2749">
        <f t="shared" si="4"/>
        <v>7.0289999999999999</v>
      </c>
      <c r="G37" s="2759" t="str">
        <f t="shared" si="5"/>
        <v>本期</v>
      </c>
      <c r="H37" s="650"/>
      <c r="I37" s="691"/>
      <c r="J37" s="692" t="str">
        <f t="shared" si="11"/>
        <v>贷</v>
      </c>
      <c r="K37" s="689" t="s">
        <v>665</v>
      </c>
      <c r="L37" s="693"/>
      <c r="M37" s="693"/>
      <c r="N37" s="693"/>
      <c r="O37" s="193"/>
      <c r="P37" s="215">
        <v>575900</v>
      </c>
      <c r="Q37" s="735" t="str">
        <f t="shared" si="6"/>
        <v>7410B</v>
      </c>
      <c r="R37" s="732" t="str">
        <f t="shared" si="7"/>
        <v>6</v>
      </c>
      <c r="S37" s="732"/>
      <c r="T37" s="732"/>
      <c r="U37" s="732"/>
      <c r="V37" s="732"/>
      <c r="W37" s="734"/>
      <c r="X37" s="732"/>
      <c r="Y37" s="732"/>
      <c r="Z37" s="732"/>
      <c r="AA37" s="2772"/>
      <c r="AB37" s="2772"/>
      <c r="AC37" s="2773">
        <f t="shared" si="8"/>
        <v>0</v>
      </c>
      <c r="AD37" s="2773">
        <f t="shared" si="9"/>
        <v>575900</v>
      </c>
      <c r="AE37" s="847" t="str">
        <f t="shared" si="10"/>
        <v>请选择分录类型！</v>
      </c>
      <c r="AF37" s="641"/>
    </row>
    <row r="38" spans="1:32" ht="18">
      <c r="A38" s="2752"/>
      <c r="B38" s="2779" t="str">
        <f t="shared" si="0"/>
        <v>J6710</v>
      </c>
      <c r="C38" s="2749">
        <f t="shared" si="1"/>
        <v>6710</v>
      </c>
      <c r="D38" s="2749" t="str">
        <f t="shared" si="2"/>
        <v>政府补助重分类</v>
      </c>
      <c r="E38" s="2749" t="str">
        <f t="shared" si="3"/>
        <v>7</v>
      </c>
      <c r="F38" s="2749">
        <f t="shared" si="4"/>
        <v>7.03</v>
      </c>
      <c r="G38" s="2759" t="str">
        <f t="shared" si="5"/>
        <v>本期</v>
      </c>
      <c r="H38" s="650"/>
      <c r="I38" s="691"/>
      <c r="J38" s="692" t="str">
        <f t="shared" si="11"/>
        <v>借</v>
      </c>
      <c r="K38" s="3109" t="s">
        <v>6886</v>
      </c>
      <c r="L38" s="693"/>
      <c r="M38" s="693"/>
      <c r="N38" s="693"/>
      <c r="O38" s="193">
        <v>575900</v>
      </c>
      <c r="P38" s="215"/>
      <c r="Q38" s="735" t="str">
        <f t="shared" si="6"/>
        <v>7410L</v>
      </c>
      <c r="R38" s="732" t="str">
        <f t="shared" si="7"/>
        <v>6</v>
      </c>
      <c r="S38" s="732"/>
      <c r="T38" s="732"/>
      <c r="U38" s="732"/>
      <c r="V38" s="732"/>
      <c r="W38" s="734"/>
      <c r="X38" s="732"/>
      <c r="Y38" s="732"/>
      <c r="Z38" s="732"/>
      <c r="AA38" s="2772"/>
      <c r="AB38" s="2772"/>
      <c r="AC38" s="2773">
        <f t="shared" si="8"/>
        <v>575900</v>
      </c>
      <c r="AD38" s="2773">
        <f t="shared" si="9"/>
        <v>0</v>
      </c>
      <c r="AE38" s="847" t="str">
        <f t="shared" si="10"/>
        <v>请选择分录类型！</v>
      </c>
      <c r="AF38" s="641"/>
    </row>
    <row r="39" spans="1:32" ht="18">
      <c r="A39" s="2752"/>
      <c r="B39" s="2779" t="str">
        <f t="shared" si="0"/>
        <v/>
      </c>
      <c r="C39" s="2749" t="str">
        <f t="shared" si="1"/>
        <v/>
      </c>
      <c r="D39" s="2749" t="str">
        <f t="shared" si="2"/>
        <v/>
      </c>
      <c r="E39" s="2749" t="str">
        <f t="shared" si="3"/>
        <v/>
      </c>
      <c r="F39" s="2749">
        <f t="shared" si="4"/>
        <v>7.0309999999999997</v>
      </c>
      <c r="G39" s="2759" t="str">
        <f t="shared" si="5"/>
        <v/>
      </c>
      <c r="H39" s="650"/>
      <c r="I39" s="691"/>
      <c r="J39" s="692" t="str">
        <f t="shared" si="11"/>
        <v/>
      </c>
      <c r="K39" s="689"/>
      <c r="L39" s="693"/>
      <c r="M39" s="693"/>
      <c r="N39" s="693"/>
      <c r="O39" s="193"/>
      <c r="P39" s="215"/>
      <c r="Q39" s="735" t="str">
        <f t="shared" si="6"/>
        <v/>
      </c>
      <c r="R39" s="732" t="str">
        <f t="shared" si="7"/>
        <v/>
      </c>
      <c r="S39" s="732"/>
      <c r="T39" s="732"/>
      <c r="U39" s="732"/>
      <c r="V39" s="732"/>
      <c r="W39" s="734"/>
      <c r="X39" s="732"/>
      <c r="Y39" s="732"/>
      <c r="Z39" s="732"/>
      <c r="AA39" s="2772"/>
      <c r="AB39" s="2772"/>
      <c r="AC39" s="2773">
        <f t="shared" si="8"/>
        <v>0</v>
      </c>
      <c r="AD39" s="2773">
        <f t="shared" si="9"/>
        <v>0</v>
      </c>
      <c r="AE39" s="847" t="str">
        <f t="shared" si="10"/>
        <v/>
      </c>
      <c r="AF39" s="641"/>
    </row>
    <row r="40" spans="1:32" ht="18">
      <c r="A40" s="2752"/>
      <c r="B40" s="2779" t="str">
        <f t="shared" si="0"/>
        <v/>
      </c>
      <c r="C40" s="2749" t="str">
        <f t="shared" si="1"/>
        <v/>
      </c>
      <c r="D40" s="2749" t="str">
        <f t="shared" si="2"/>
        <v>信用减值损失重分类</v>
      </c>
      <c r="E40" s="2749" t="str">
        <f t="shared" si="3"/>
        <v>8</v>
      </c>
      <c r="F40" s="2749">
        <f t="shared" si="4"/>
        <v>8.032</v>
      </c>
      <c r="G40" s="2759" t="str">
        <f t="shared" si="5"/>
        <v>本期</v>
      </c>
      <c r="H40" s="3117"/>
      <c r="I40" s="3118">
        <v>8</v>
      </c>
      <c r="J40" s="3359" t="s">
        <v>7310</v>
      </c>
      <c r="K40" s="689"/>
      <c r="L40" s="3120"/>
      <c r="M40" s="3120"/>
      <c r="N40" s="3120"/>
      <c r="O40" s="3121"/>
      <c r="P40" s="3122"/>
      <c r="Q40" s="735" t="str">
        <f t="shared" si="6"/>
        <v/>
      </c>
      <c r="R40" s="732" t="str">
        <f t="shared" si="7"/>
        <v/>
      </c>
      <c r="S40" s="732"/>
      <c r="T40" s="732"/>
      <c r="U40" s="732"/>
      <c r="V40" s="732"/>
      <c r="W40" s="734"/>
      <c r="X40" s="732"/>
      <c r="Y40" s="732"/>
      <c r="Z40" s="732"/>
      <c r="AA40" s="2772"/>
      <c r="AB40" s="2772"/>
      <c r="AC40" s="2773">
        <f t="shared" si="8"/>
        <v>0</v>
      </c>
      <c r="AD40" s="2773">
        <f t="shared" si="9"/>
        <v>0</v>
      </c>
      <c r="AE40" s="847" t="str">
        <f t="shared" si="10"/>
        <v>请选择分录类型！</v>
      </c>
      <c r="AF40" s="641"/>
    </row>
    <row r="41" spans="1:32" ht="18">
      <c r="A41" s="2752"/>
      <c r="B41" s="2779" t="str">
        <f t="shared" si="0"/>
        <v>J6672</v>
      </c>
      <c r="C41" s="2749">
        <f t="shared" si="1"/>
        <v>6672</v>
      </c>
      <c r="D41" s="2749" t="str">
        <f t="shared" ref="D41:D65" si="12">IF($O41&amp;$P41&lt;&gt;"",cellAbove,INDEX($J:$J,ROW()))&amp;""</f>
        <v>信用减值损失重分类</v>
      </c>
      <c r="E41" s="2749" t="str">
        <f t="shared" ref="E41:E65" si="13">IF($O41&amp;$P41&lt;&gt;"",cellAbove,INDEX($I:$I,ROW()))&amp;""</f>
        <v>8</v>
      </c>
      <c r="F41" s="2749">
        <f t="shared" si="4"/>
        <v>8.0329999999999995</v>
      </c>
      <c r="G41" s="2759" t="str">
        <f t="shared" si="5"/>
        <v>本期</v>
      </c>
      <c r="H41" s="3117"/>
      <c r="I41" s="3118"/>
      <c r="J41" s="3119" t="str">
        <f t="shared" si="11"/>
        <v>借</v>
      </c>
      <c r="K41" s="3109" t="s">
        <v>6889</v>
      </c>
      <c r="L41" s="3120"/>
      <c r="M41" s="3120"/>
      <c r="N41" s="3120"/>
      <c r="O41" s="3121">
        <v>523724.98</v>
      </c>
      <c r="P41" s="3122"/>
      <c r="Q41" s="735" t="str">
        <f t="shared" si="6"/>
        <v>7410E</v>
      </c>
      <c r="R41" s="732" t="str">
        <f t="shared" si="7"/>
        <v>6</v>
      </c>
      <c r="S41" s="732"/>
      <c r="T41" s="732"/>
      <c r="U41" s="732"/>
      <c r="V41" s="732"/>
      <c r="W41" s="734"/>
      <c r="X41" s="732"/>
      <c r="Y41" s="732"/>
      <c r="Z41" s="732"/>
      <c r="AA41" s="2772"/>
      <c r="AB41" s="2772"/>
      <c r="AC41" s="2773">
        <f t="shared" si="8"/>
        <v>523724.98</v>
      </c>
      <c r="AD41" s="2773">
        <f t="shared" si="9"/>
        <v>0</v>
      </c>
      <c r="AE41" s="847" t="str">
        <f t="shared" si="10"/>
        <v>请选择分录类型！</v>
      </c>
      <c r="AF41" s="641"/>
    </row>
    <row r="42" spans="1:32" ht="18">
      <c r="A42" s="2752"/>
      <c r="B42" s="2779" t="str">
        <f t="shared" si="0"/>
        <v>J6671</v>
      </c>
      <c r="C42" s="2749">
        <f t="shared" si="1"/>
        <v>6671</v>
      </c>
      <c r="D42" s="2749" t="str">
        <f t="shared" si="12"/>
        <v>信用减值损失重分类</v>
      </c>
      <c r="E42" s="2749" t="str">
        <f t="shared" si="13"/>
        <v>8</v>
      </c>
      <c r="F42" s="2749">
        <f t="shared" si="4"/>
        <v>8.0340000000000007</v>
      </c>
      <c r="G42" s="2759" t="str">
        <f t="shared" si="5"/>
        <v>本期</v>
      </c>
      <c r="H42" s="3117"/>
      <c r="I42" s="3118"/>
      <c r="J42" s="3119" t="str">
        <f t="shared" si="11"/>
        <v>贷</v>
      </c>
      <c r="K42" s="3109" t="s">
        <v>6890</v>
      </c>
      <c r="L42" s="3120"/>
      <c r="M42" s="3120"/>
      <c r="N42" s="3120"/>
      <c r="O42" s="3121"/>
      <c r="P42" s="3122">
        <f>O41</f>
        <v>523724.98</v>
      </c>
      <c r="Q42" s="735" t="str">
        <f t="shared" si="6"/>
        <v>7410F</v>
      </c>
      <c r="R42" s="732" t="str">
        <f t="shared" si="7"/>
        <v>6</v>
      </c>
      <c r="S42" s="732"/>
      <c r="T42" s="732"/>
      <c r="U42" s="732"/>
      <c r="V42" s="732"/>
      <c r="W42" s="734"/>
      <c r="X42" s="732"/>
      <c r="Y42" s="732"/>
      <c r="Z42" s="732"/>
      <c r="AA42" s="2772"/>
      <c r="AB42" s="2772"/>
      <c r="AC42" s="2773">
        <f t="shared" si="8"/>
        <v>0</v>
      </c>
      <c r="AD42" s="2773">
        <f t="shared" si="9"/>
        <v>523724.98</v>
      </c>
      <c r="AE42" s="847" t="str">
        <f t="shared" si="10"/>
        <v>请选择分录类型！</v>
      </c>
      <c r="AF42" s="641"/>
    </row>
    <row r="43" spans="1:32" ht="18">
      <c r="A43" s="2752"/>
      <c r="B43" s="2779" t="str">
        <f t="shared" si="0"/>
        <v/>
      </c>
      <c r="C43" s="2749" t="str">
        <f t="shared" si="1"/>
        <v/>
      </c>
      <c r="D43" s="2749" t="str">
        <f t="shared" si="12"/>
        <v/>
      </c>
      <c r="E43" s="2749" t="str">
        <f t="shared" si="13"/>
        <v/>
      </c>
      <c r="F43" s="2749">
        <f>VALUE(IF(E43="",E42&amp;"."&amp;TEXT((ROW()-8),"000"),E43&amp;"."&amp;TEXT((ROW()-8),"000")))</f>
        <v>8.0350000000000001</v>
      </c>
      <c r="G43" s="2759" t="str">
        <f t="shared" si="5"/>
        <v/>
      </c>
      <c r="H43" s="650"/>
      <c r="I43" s="691"/>
      <c r="J43" s="692" t="str">
        <f t="shared" si="11"/>
        <v/>
      </c>
      <c r="K43" s="689"/>
      <c r="L43" s="693"/>
      <c r="M43" s="693"/>
      <c r="N43" s="693"/>
      <c r="O43" s="193"/>
      <c r="P43" s="215"/>
      <c r="Q43" s="735" t="str">
        <f t="shared" si="6"/>
        <v/>
      </c>
      <c r="R43" s="732" t="str">
        <f t="shared" si="7"/>
        <v/>
      </c>
      <c r="S43" s="732"/>
      <c r="T43" s="732"/>
      <c r="U43" s="732"/>
      <c r="V43" s="732"/>
      <c r="W43" s="734"/>
      <c r="X43" s="732"/>
      <c r="Y43" s="732"/>
      <c r="Z43" s="732"/>
      <c r="AA43" s="2772"/>
      <c r="AB43" s="2772"/>
      <c r="AC43" s="2773">
        <f t="shared" si="8"/>
        <v>0</v>
      </c>
      <c r="AD43" s="2773">
        <f t="shared" si="9"/>
        <v>0</v>
      </c>
      <c r="AE43" s="847" t="str">
        <f t="shared" si="10"/>
        <v/>
      </c>
      <c r="AF43" s="641"/>
    </row>
    <row r="44" spans="1:32" ht="18">
      <c r="A44" s="2752"/>
      <c r="B44" s="2779" t="str">
        <f t="shared" si="0"/>
        <v/>
      </c>
      <c r="C44" s="2749" t="str">
        <f t="shared" si="1"/>
        <v/>
      </c>
      <c r="D44" s="2749" t="str">
        <f t="shared" si="12"/>
        <v>调整所得税</v>
      </c>
      <c r="E44" s="2749" t="str">
        <f t="shared" si="13"/>
        <v>9</v>
      </c>
      <c r="F44" s="2749">
        <f t="shared" si="4"/>
        <v>9.0359999999999996</v>
      </c>
      <c r="G44" s="2759" t="str">
        <f t="shared" si="5"/>
        <v>本期</v>
      </c>
      <c r="H44" s="3357"/>
      <c r="I44" s="780">
        <v>9</v>
      </c>
      <c r="J44" s="3359" t="s">
        <v>7287</v>
      </c>
      <c r="K44" s="689"/>
      <c r="L44" s="695"/>
      <c r="M44" s="695"/>
      <c r="N44" s="695"/>
      <c r="O44" s="196"/>
      <c r="P44" s="216"/>
      <c r="Q44" s="3358" t="str">
        <f t="shared" si="6"/>
        <v/>
      </c>
      <c r="R44" s="732" t="str">
        <f t="shared" si="7"/>
        <v/>
      </c>
      <c r="S44" s="732"/>
      <c r="T44" s="732"/>
      <c r="U44" s="732"/>
      <c r="V44" s="732"/>
      <c r="W44" s="734"/>
      <c r="X44" s="732"/>
      <c r="Y44" s="732"/>
      <c r="Z44" s="732"/>
      <c r="AA44" s="2772"/>
      <c r="AB44" s="2772"/>
      <c r="AC44" s="2773">
        <f t="shared" si="8"/>
        <v>0</v>
      </c>
      <c r="AD44" s="2773">
        <f t="shared" si="9"/>
        <v>0</v>
      </c>
      <c r="AE44" s="847" t="str">
        <f t="shared" si="10"/>
        <v>请选择分录类型！</v>
      </c>
      <c r="AF44" s="641"/>
    </row>
    <row r="45" spans="1:32" ht="18">
      <c r="A45" s="2752"/>
      <c r="B45" s="2779" t="str">
        <f t="shared" si="0"/>
        <v>J6791</v>
      </c>
      <c r="C45" s="2749">
        <f t="shared" si="1"/>
        <v>6791</v>
      </c>
      <c r="D45" s="2749" t="str">
        <f t="shared" si="12"/>
        <v>调整所得税</v>
      </c>
      <c r="E45" s="2749" t="str">
        <f t="shared" si="13"/>
        <v>9</v>
      </c>
      <c r="F45" s="2749">
        <f t="shared" si="4"/>
        <v>9.0370000000000008</v>
      </c>
      <c r="G45" s="2759" t="str">
        <f t="shared" si="5"/>
        <v>本期</v>
      </c>
      <c r="H45" s="3357"/>
      <c r="I45" s="780"/>
      <c r="J45" s="3119" t="str">
        <f t="shared" si="11"/>
        <v>借</v>
      </c>
      <c r="K45" s="3109" t="s">
        <v>7288</v>
      </c>
      <c r="L45" s="695"/>
      <c r="M45" s="695"/>
      <c r="N45" s="695"/>
      <c r="O45" s="196">
        <f>P46+P47</f>
        <v>1291164.8899999999</v>
      </c>
      <c r="P45" s="216"/>
      <c r="Q45" s="3358" t="str">
        <f t="shared" si="6"/>
        <v>7500A</v>
      </c>
      <c r="R45" s="732" t="str">
        <f t="shared" si="7"/>
        <v>6</v>
      </c>
      <c r="S45" s="732"/>
      <c r="T45" s="732"/>
      <c r="U45" s="732"/>
      <c r="V45" s="732"/>
      <c r="W45" s="734"/>
      <c r="X45" s="732"/>
      <c r="Y45" s="732"/>
      <c r="Z45" s="732"/>
      <c r="AA45" s="2772"/>
      <c r="AB45" s="2772"/>
      <c r="AC45" s="2773">
        <f t="shared" si="8"/>
        <v>1291164.8899999999</v>
      </c>
      <c r="AD45" s="2773">
        <f t="shared" si="9"/>
        <v>0</v>
      </c>
      <c r="AE45" s="847" t="str">
        <f t="shared" si="10"/>
        <v>请选择分录类型！</v>
      </c>
      <c r="AF45" s="641"/>
    </row>
    <row r="46" spans="1:32" ht="18">
      <c r="A46" s="2752"/>
      <c r="B46" s="2779" t="str">
        <f t="shared" si="0"/>
        <v>J1811</v>
      </c>
      <c r="C46" s="2749">
        <f t="shared" si="1"/>
        <v>1811</v>
      </c>
      <c r="D46" s="2749" t="str">
        <f t="shared" si="12"/>
        <v>调整所得税</v>
      </c>
      <c r="E46" s="2749" t="str">
        <f t="shared" si="13"/>
        <v>9</v>
      </c>
      <c r="F46" s="2749">
        <f t="shared" si="4"/>
        <v>9.0380000000000003</v>
      </c>
      <c r="G46" s="2759" t="str">
        <f t="shared" si="5"/>
        <v>本期</v>
      </c>
      <c r="H46" s="3357"/>
      <c r="I46" s="780"/>
      <c r="J46" s="3119" t="str">
        <f t="shared" si="11"/>
        <v>贷</v>
      </c>
      <c r="K46" s="3109" t="s">
        <v>7286</v>
      </c>
      <c r="L46" s="695"/>
      <c r="M46" s="695"/>
      <c r="N46" s="695"/>
      <c r="O46" s="196"/>
      <c r="P46" s="216">
        <f>递延所得税计算表!I13</f>
        <v>146243.85</v>
      </c>
      <c r="Q46" s="3358" t="str">
        <f t="shared" si="6"/>
        <v>5850A</v>
      </c>
      <c r="R46" s="732" t="str">
        <f t="shared" si="7"/>
        <v>1</v>
      </c>
      <c r="S46" s="732"/>
      <c r="T46" s="732"/>
      <c r="U46" s="732"/>
      <c r="V46" s="732"/>
      <c r="W46" s="734"/>
      <c r="X46" s="732"/>
      <c r="Y46" s="732"/>
      <c r="Z46" s="732"/>
      <c r="AA46" s="2772"/>
      <c r="AB46" s="2772"/>
      <c r="AC46" s="2773">
        <f t="shared" si="8"/>
        <v>0</v>
      </c>
      <c r="AD46" s="2773">
        <f t="shared" si="9"/>
        <v>146243.85</v>
      </c>
      <c r="AE46" s="847" t="str">
        <f t="shared" si="10"/>
        <v>请选择分录类型！</v>
      </c>
      <c r="AF46" s="641"/>
    </row>
    <row r="47" spans="1:32" ht="18">
      <c r="A47" s="2752"/>
      <c r="B47" s="2779" t="str">
        <f t="shared" si="0"/>
        <v>J1496</v>
      </c>
      <c r="C47" s="2749">
        <f t="shared" si="1"/>
        <v>1496</v>
      </c>
      <c r="D47" s="2749" t="str">
        <f t="shared" si="12"/>
        <v>调整所得税</v>
      </c>
      <c r="E47" s="2749" t="str">
        <f t="shared" si="13"/>
        <v>9</v>
      </c>
      <c r="F47" s="2749">
        <f t="shared" si="4"/>
        <v>9.0389999999999997</v>
      </c>
      <c r="G47" s="2759" t="str">
        <f t="shared" si="5"/>
        <v>本期</v>
      </c>
      <c r="H47" s="3357"/>
      <c r="I47" s="780"/>
      <c r="J47" s="3119" t="str">
        <f t="shared" si="11"/>
        <v>贷</v>
      </c>
      <c r="K47" s="3109" t="s">
        <v>7290</v>
      </c>
      <c r="L47" s="3360" t="s">
        <v>7289</v>
      </c>
      <c r="M47" s="695"/>
      <c r="N47" s="695"/>
      <c r="O47" s="196"/>
      <c r="P47" s="216">
        <v>1144921.04</v>
      </c>
      <c r="Q47" s="3358" t="str">
        <f t="shared" si="6"/>
        <v>5400Z</v>
      </c>
      <c r="R47" s="732" t="str">
        <f t="shared" si="7"/>
        <v>1</v>
      </c>
      <c r="S47" s="732"/>
      <c r="T47" s="732"/>
      <c r="U47" s="732"/>
      <c r="V47" s="732"/>
      <c r="W47" s="734"/>
      <c r="X47" s="732"/>
      <c r="Y47" s="732"/>
      <c r="Z47" s="732"/>
      <c r="AA47" s="2772"/>
      <c r="AB47" s="2772"/>
      <c r="AC47" s="2773">
        <f t="shared" si="8"/>
        <v>0</v>
      </c>
      <c r="AD47" s="2773">
        <f t="shared" si="9"/>
        <v>1144921.04</v>
      </c>
      <c r="AE47" s="847" t="str">
        <f t="shared" si="10"/>
        <v>请选择分录类型！</v>
      </c>
      <c r="AF47" s="641"/>
    </row>
    <row r="48" spans="1:32" ht="18">
      <c r="A48" s="2752"/>
      <c r="B48" s="2779" t="str">
        <f t="shared" si="0"/>
        <v/>
      </c>
      <c r="C48" s="2749" t="str">
        <f t="shared" si="1"/>
        <v/>
      </c>
      <c r="D48" s="2749" t="str">
        <f t="shared" si="12"/>
        <v/>
      </c>
      <c r="E48" s="2749" t="str">
        <f t="shared" si="13"/>
        <v/>
      </c>
      <c r="F48" s="2749">
        <f t="shared" si="4"/>
        <v>9.0399999999999991</v>
      </c>
      <c r="G48" s="2759" t="str">
        <f t="shared" si="5"/>
        <v/>
      </c>
      <c r="H48" s="3357"/>
      <c r="I48" s="780"/>
      <c r="J48" s="3119" t="str">
        <f t="shared" si="11"/>
        <v/>
      </c>
      <c r="K48" s="689"/>
      <c r="L48" s="695"/>
      <c r="M48" s="695"/>
      <c r="N48" s="695"/>
      <c r="O48" s="196"/>
      <c r="P48" s="216"/>
      <c r="Q48" s="3358" t="str">
        <f t="shared" si="6"/>
        <v/>
      </c>
      <c r="R48" s="732" t="str">
        <f t="shared" si="7"/>
        <v/>
      </c>
      <c r="S48" s="732"/>
      <c r="T48" s="732"/>
      <c r="U48" s="732"/>
      <c r="V48" s="732"/>
      <c r="W48" s="734"/>
      <c r="X48" s="732"/>
      <c r="Y48" s="732"/>
      <c r="Z48" s="732"/>
      <c r="AA48" s="2772"/>
      <c r="AB48" s="2772"/>
      <c r="AC48" s="2773">
        <f t="shared" si="8"/>
        <v>0</v>
      </c>
      <c r="AD48" s="2773">
        <f t="shared" si="9"/>
        <v>0</v>
      </c>
      <c r="AE48" s="847" t="str">
        <f t="shared" si="10"/>
        <v/>
      </c>
      <c r="AF48" s="641"/>
    </row>
    <row r="49" spans="1:32" ht="18">
      <c r="A49" s="2752"/>
      <c r="B49" s="2779" t="str">
        <f t="shared" si="0"/>
        <v/>
      </c>
      <c r="C49" s="2749" t="str">
        <f t="shared" si="1"/>
        <v/>
      </c>
      <c r="D49" s="2749" t="str">
        <f t="shared" si="12"/>
        <v>调整应收账款中的票据至应收款项融资</v>
      </c>
      <c r="E49" s="2749" t="str">
        <f t="shared" si="13"/>
        <v>10</v>
      </c>
      <c r="F49" s="2749">
        <f t="shared" si="4"/>
        <v>10.041</v>
      </c>
      <c r="G49" s="2759" t="str">
        <f t="shared" si="5"/>
        <v>本期</v>
      </c>
      <c r="H49" s="3357"/>
      <c r="I49" s="780">
        <v>10</v>
      </c>
      <c r="J49" s="3359" t="s">
        <v>7326</v>
      </c>
      <c r="K49" s="3109"/>
      <c r="L49" s="695"/>
      <c r="M49" s="695"/>
      <c r="N49" s="695"/>
      <c r="O49" s="196"/>
      <c r="P49" s="216"/>
      <c r="Q49" s="3358" t="str">
        <f t="shared" si="6"/>
        <v/>
      </c>
      <c r="R49" s="732" t="str">
        <f t="shared" si="7"/>
        <v/>
      </c>
      <c r="S49" s="732"/>
      <c r="T49" s="732"/>
      <c r="U49" s="732"/>
      <c r="V49" s="732"/>
      <c r="W49" s="734"/>
      <c r="X49" s="732"/>
      <c r="Y49" s="732"/>
      <c r="Z49" s="732"/>
      <c r="AA49" s="2772"/>
      <c r="AB49" s="2772"/>
      <c r="AC49" s="2773">
        <f t="shared" si="8"/>
        <v>0</v>
      </c>
      <c r="AD49" s="2773">
        <f t="shared" si="9"/>
        <v>0</v>
      </c>
      <c r="AE49" s="847" t="str">
        <f t="shared" si="10"/>
        <v>请选择分录类型！</v>
      </c>
      <c r="AF49" s="641"/>
    </row>
    <row r="50" spans="1:32" ht="18">
      <c r="A50" s="2752"/>
      <c r="B50" s="2779" t="str">
        <f t="shared" si="0"/>
        <v>J1124</v>
      </c>
      <c r="C50" s="2749">
        <f t="shared" si="1"/>
        <v>1124</v>
      </c>
      <c r="D50" s="2749" t="str">
        <f t="shared" si="12"/>
        <v>调整应收账款中的票据至应收款项融资</v>
      </c>
      <c r="E50" s="2749" t="str">
        <f t="shared" si="13"/>
        <v>10</v>
      </c>
      <c r="F50" s="2749">
        <f t="shared" si="4"/>
        <v>10.042</v>
      </c>
      <c r="G50" s="2759" t="str">
        <f t="shared" si="5"/>
        <v>本期</v>
      </c>
      <c r="H50" s="3357"/>
      <c r="I50" s="780"/>
      <c r="J50" s="692" t="str">
        <f t="shared" si="11"/>
        <v>借</v>
      </c>
      <c r="K50" s="3109" t="s">
        <v>7325</v>
      </c>
      <c r="L50" s="695"/>
      <c r="M50" s="695"/>
      <c r="N50" s="695"/>
      <c r="O50" s="196">
        <v>279569.36</v>
      </c>
      <c r="P50" s="216"/>
      <c r="Q50" s="3358" t="str">
        <f t="shared" si="6"/>
        <v>5200C</v>
      </c>
      <c r="R50" s="732" t="str">
        <f t="shared" si="7"/>
        <v>1</v>
      </c>
      <c r="S50" s="732"/>
      <c r="T50" s="732"/>
      <c r="U50" s="732"/>
      <c r="V50" s="732"/>
      <c r="W50" s="734"/>
      <c r="X50" s="732"/>
      <c r="Y50" s="732"/>
      <c r="Z50" s="732"/>
      <c r="AA50" s="2772"/>
      <c r="AB50" s="2772"/>
      <c r="AC50" s="2773">
        <f t="shared" si="8"/>
        <v>279569.36</v>
      </c>
      <c r="AD50" s="2773">
        <f t="shared" si="9"/>
        <v>0</v>
      </c>
      <c r="AE50" s="847" t="str">
        <f t="shared" si="10"/>
        <v>请选择分录类型！</v>
      </c>
      <c r="AF50" s="641"/>
    </row>
    <row r="51" spans="1:32" ht="18">
      <c r="A51" s="2752"/>
      <c r="B51" s="2779" t="str">
        <f t="shared" si="0"/>
        <v>J1122</v>
      </c>
      <c r="C51" s="2749">
        <f t="shared" si="1"/>
        <v>1122</v>
      </c>
      <c r="D51" s="2749" t="str">
        <f t="shared" si="12"/>
        <v>调整应收账款中的票据至应收款项融资</v>
      </c>
      <c r="E51" s="2749" t="str">
        <f t="shared" si="13"/>
        <v>10</v>
      </c>
      <c r="F51" s="2749">
        <f t="shared" si="4"/>
        <v>10.042999999999999</v>
      </c>
      <c r="G51" s="2759" t="str">
        <f t="shared" si="5"/>
        <v>本期</v>
      </c>
      <c r="H51" s="3357"/>
      <c r="I51" s="780"/>
      <c r="J51" s="3119" t="s">
        <v>6711</v>
      </c>
      <c r="K51" s="3109" t="s">
        <v>7324</v>
      </c>
      <c r="L51" s="695"/>
      <c r="M51" s="695"/>
      <c r="N51" s="695"/>
      <c r="O51" s="196"/>
      <c r="P51" s="216">
        <v>279569.36</v>
      </c>
      <c r="Q51" s="3358" t="str">
        <f t="shared" si="6"/>
        <v>5200A</v>
      </c>
      <c r="R51" s="732" t="str">
        <f t="shared" si="7"/>
        <v>1</v>
      </c>
      <c r="S51" s="732"/>
      <c r="T51" s="732"/>
      <c r="U51" s="732"/>
      <c r="V51" s="732"/>
      <c r="W51" s="734"/>
      <c r="X51" s="732"/>
      <c r="Y51" s="732"/>
      <c r="Z51" s="732"/>
      <c r="AA51" s="2772"/>
      <c r="AB51" s="2772"/>
      <c r="AC51" s="2773">
        <f t="shared" si="8"/>
        <v>0</v>
      </c>
      <c r="AD51" s="2773">
        <f t="shared" si="9"/>
        <v>279569.36</v>
      </c>
      <c r="AE51" s="847" t="str">
        <f t="shared" si="10"/>
        <v>请选择分录类型！</v>
      </c>
      <c r="AF51" s="641"/>
    </row>
    <row r="52" spans="1:32" ht="18">
      <c r="A52" s="2752"/>
      <c r="B52" s="2779" t="str">
        <f t="shared" si="0"/>
        <v/>
      </c>
      <c r="C52" s="2749" t="str">
        <f t="shared" si="1"/>
        <v/>
      </c>
      <c r="D52" s="2749" t="str">
        <f t="shared" si="12"/>
        <v/>
      </c>
      <c r="E52" s="2749" t="str">
        <f t="shared" si="13"/>
        <v/>
      </c>
      <c r="F52" s="2749">
        <f t="shared" si="4"/>
        <v>10.044</v>
      </c>
      <c r="G52" s="2759" t="str">
        <f t="shared" si="5"/>
        <v/>
      </c>
      <c r="H52" s="3357"/>
      <c r="I52" s="780"/>
      <c r="J52" s="3119" t="str">
        <f t="shared" si="11"/>
        <v/>
      </c>
      <c r="K52" s="689"/>
      <c r="L52" s="695"/>
      <c r="M52" s="695"/>
      <c r="N52" s="695"/>
      <c r="O52" s="196"/>
      <c r="P52" s="216"/>
      <c r="Q52" s="3358" t="str">
        <f t="shared" si="6"/>
        <v/>
      </c>
      <c r="R52" s="732" t="str">
        <f t="shared" si="7"/>
        <v/>
      </c>
      <c r="S52" s="732"/>
      <c r="T52" s="732"/>
      <c r="U52" s="732"/>
      <c r="V52" s="732"/>
      <c r="W52" s="734"/>
      <c r="X52" s="732"/>
      <c r="Y52" s="732"/>
      <c r="Z52" s="732"/>
      <c r="AA52" s="2772"/>
      <c r="AB52" s="2772"/>
      <c r="AC52" s="2773">
        <f t="shared" si="8"/>
        <v>0</v>
      </c>
      <c r="AD52" s="2773">
        <f t="shared" si="9"/>
        <v>0</v>
      </c>
      <c r="AE52" s="847" t="str">
        <f t="shared" si="10"/>
        <v/>
      </c>
      <c r="AF52" s="641"/>
    </row>
    <row r="53" spans="1:32" ht="18">
      <c r="A53" s="2752"/>
      <c r="B53" s="2779" t="str">
        <f t="shared" si="0"/>
        <v/>
      </c>
      <c r="C53" s="2749" t="str">
        <f t="shared" si="1"/>
        <v/>
      </c>
      <c r="D53" s="2749" t="str">
        <f t="shared" si="12"/>
        <v>计提固定资产减值准备</v>
      </c>
      <c r="E53" s="2749" t="str">
        <f t="shared" si="13"/>
        <v>11</v>
      </c>
      <c r="F53" s="2749">
        <f t="shared" si="4"/>
        <v>11.045</v>
      </c>
      <c r="G53" s="2759" t="str">
        <f t="shared" si="5"/>
        <v>本期</v>
      </c>
      <c r="H53" s="3357"/>
      <c r="I53" s="780">
        <v>11</v>
      </c>
      <c r="J53" s="3359" t="s">
        <v>7314</v>
      </c>
      <c r="K53" s="689"/>
      <c r="L53" s="695"/>
      <c r="M53" s="695"/>
      <c r="N53" s="695"/>
      <c r="O53" s="196"/>
      <c r="P53" s="216"/>
      <c r="Q53" s="3358" t="str">
        <f t="shared" si="6"/>
        <v/>
      </c>
      <c r="R53" s="732" t="str">
        <f t="shared" si="7"/>
        <v/>
      </c>
      <c r="S53" s="732"/>
      <c r="T53" s="732"/>
      <c r="U53" s="732"/>
      <c r="V53" s="732"/>
      <c r="W53" s="734"/>
      <c r="X53" s="732"/>
      <c r="Y53" s="732"/>
      <c r="Z53" s="732"/>
      <c r="AA53" s="2772"/>
      <c r="AB53" s="2772"/>
      <c r="AC53" s="2773">
        <f t="shared" si="8"/>
        <v>0</v>
      </c>
      <c r="AD53" s="2773">
        <f t="shared" si="9"/>
        <v>0</v>
      </c>
      <c r="AE53" s="847" t="str">
        <f t="shared" si="10"/>
        <v>请选择分录类型！</v>
      </c>
      <c r="AF53" s="641"/>
    </row>
    <row r="54" spans="1:32" ht="18">
      <c r="A54" s="2752"/>
      <c r="B54" s="2779" t="str">
        <f t="shared" si="0"/>
        <v>J6671</v>
      </c>
      <c r="C54" s="2749">
        <f t="shared" si="1"/>
        <v>6671</v>
      </c>
      <c r="D54" s="2749" t="str">
        <f t="shared" si="12"/>
        <v>计提固定资产减值准备</v>
      </c>
      <c r="E54" s="2749" t="str">
        <f t="shared" si="13"/>
        <v>11</v>
      </c>
      <c r="F54" s="2749">
        <f t="shared" si="4"/>
        <v>11.045999999999999</v>
      </c>
      <c r="G54" s="2759" t="str">
        <f t="shared" si="5"/>
        <v>本期</v>
      </c>
      <c r="H54" s="3357"/>
      <c r="I54" s="780"/>
      <c r="J54" s="692" t="str">
        <f t="shared" si="11"/>
        <v>借</v>
      </c>
      <c r="K54" s="3109" t="s">
        <v>7315</v>
      </c>
      <c r="L54" s="695"/>
      <c r="M54" s="695"/>
      <c r="N54" s="695"/>
      <c r="O54" s="196">
        <f>9899184.6-9265826.83</f>
        <v>633357.77</v>
      </c>
      <c r="P54" s="216"/>
      <c r="Q54" s="3358" t="str">
        <f t="shared" si="6"/>
        <v>7410F</v>
      </c>
      <c r="R54" s="732" t="str">
        <f t="shared" si="7"/>
        <v>6</v>
      </c>
      <c r="S54" s="732"/>
      <c r="T54" s="732"/>
      <c r="U54" s="732"/>
      <c r="V54" s="732"/>
      <c r="W54" s="734"/>
      <c r="X54" s="732"/>
      <c r="Y54" s="732"/>
      <c r="Z54" s="732"/>
      <c r="AA54" s="2772"/>
      <c r="AB54" s="2772"/>
      <c r="AC54" s="2773">
        <f t="shared" si="8"/>
        <v>633357.77</v>
      </c>
      <c r="AD54" s="2773">
        <f t="shared" si="9"/>
        <v>0</v>
      </c>
      <c r="AE54" s="847" t="str">
        <f t="shared" si="10"/>
        <v>请选择分录类型！</v>
      </c>
      <c r="AF54" s="641"/>
    </row>
    <row r="55" spans="1:32" ht="18">
      <c r="A55" s="2752"/>
      <c r="B55" s="2779" t="str">
        <f t="shared" si="0"/>
        <v>J1601</v>
      </c>
      <c r="C55" s="2749">
        <f t="shared" si="1"/>
        <v>1601</v>
      </c>
      <c r="D55" s="2749" t="str">
        <f t="shared" si="12"/>
        <v>计提固定资产减值准备</v>
      </c>
      <c r="E55" s="2749" t="str">
        <f t="shared" si="13"/>
        <v>11</v>
      </c>
      <c r="F55" s="2749">
        <f t="shared" si="4"/>
        <v>11.047000000000001</v>
      </c>
      <c r="G55" s="2759" t="str">
        <f t="shared" si="5"/>
        <v>本期</v>
      </c>
      <c r="H55" s="3357"/>
      <c r="I55" s="780"/>
      <c r="J55" s="692" t="str">
        <f t="shared" si="11"/>
        <v>贷</v>
      </c>
      <c r="K55" s="3109" t="s">
        <v>7316</v>
      </c>
      <c r="L55" s="3360" t="s">
        <v>7317</v>
      </c>
      <c r="M55" s="695"/>
      <c r="N55" s="695"/>
      <c r="O55" s="196"/>
      <c r="P55" s="216">
        <f>O54</f>
        <v>633357.77</v>
      </c>
      <c r="Q55" s="3358" t="str">
        <f t="shared" si="6"/>
        <v>5500A</v>
      </c>
      <c r="R55" s="732" t="str">
        <f t="shared" si="7"/>
        <v>1</v>
      </c>
      <c r="S55" s="732"/>
      <c r="T55" s="732"/>
      <c r="U55" s="732"/>
      <c r="V55" s="732"/>
      <c r="W55" s="734"/>
      <c r="X55" s="732"/>
      <c r="Y55" s="732"/>
      <c r="Z55" s="732"/>
      <c r="AA55" s="2772"/>
      <c r="AB55" s="2772"/>
      <c r="AC55" s="2773">
        <f t="shared" si="8"/>
        <v>0</v>
      </c>
      <c r="AD55" s="2773">
        <f t="shared" si="9"/>
        <v>633357.77</v>
      </c>
      <c r="AE55" s="847" t="str">
        <f t="shared" si="10"/>
        <v>请选择分录类型！</v>
      </c>
      <c r="AF55" s="641"/>
    </row>
    <row r="56" spans="1:32" ht="18">
      <c r="A56" s="2752"/>
      <c r="B56" s="2779" t="str">
        <f t="shared" si="0"/>
        <v/>
      </c>
      <c r="C56" s="2749" t="str">
        <f t="shared" si="1"/>
        <v/>
      </c>
      <c r="D56" s="2749" t="str">
        <f t="shared" si="12"/>
        <v/>
      </c>
      <c r="E56" s="2749" t="str">
        <f t="shared" si="13"/>
        <v/>
      </c>
      <c r="F56" s="2749">
        <f t="shared" si="4"/>
        <v>11.048</v>
      </c>
      <c r="G56" s="2759" t="str">
        <f t="shared" si="5"/>
        <v/>
      </c>
      <c r="H56" s="3357"/>
      <c r="I56" s="780"/>
      <c r="J56" s="692" t="str">
        <f t="shared" si="11"/>
        <v/>
      </c>
      <c r="K56" s="689"/>
      <c r="L56" s="695"/>
      <c r="M56" s="695"/>
      <c r="N56" s="695"/>
      <c r="O56" s="196"/>
      <c r="P56" s="216"/>
      <c r="Q56" s="3358" t="str">
        <f t="shared" si="6"/>
        <v/>
      </c>
      <c r="R56" s="732" t="str">
        <f t="shared" si="7"/>
        <v/>
      </c>
      <c r="S56" s="732"/>
      <c r="T56" s="732"/>
      <c r="U56" s="732"/>
      <c r="V56" s="732"/>
      <c r="W56" s="734"/>
      <c r="X56" s="732"/>
      <c r="Y56" s="732"/>
      <c r="Z56" s="732"/>
      <c r="AA56" s="2772"/>
      <c r="AB56" s="2772"/>
      <c r="AC56" s="2773">
        <f t="shared" si="8"/>
        <v>0</v>
      </c>
      <c r="AD56" s="2773">
        <f t="shared" si="9"/>
        <v>0</v>
      </c>
      <c r="AE56" s="847" t="str">
        <f t="shared" si="10"/>
        <v/>
      </c>
      <c r="AF56" s="641"/>
    </row>
    <row r="57" spans="1:32" ht="18">
      <c r="A57" s="2752"/>
      <c r="B57" s="2779" t="str">
        <f t="shared" si="0"/>
        <v/>
      </c>
      <c r="C57" s="2749" t="str">
        <f t="shared" si="1"/>
        <v/>
      </c>
      <c r="D57" s="2749" t="str">
        <f t="shared" si="12"/>
        <v>调整应付利息至金融工具原值</v>
      </c>
      <c r="E57" s="2749" t="str">
        <f t="shared" si="13"/>
        <v>12</v>
      </c>
      <c r="F57" s="2749">
        <f t="shared" si="4"/>
        <v>12.048999999999999</v>
      </c>
      <c r="G57" s="2759" t="str">
        <f t="shared" si="5"/>
        <v>本期</v>
      </c>
      <c r="H57" s="3357"/>
      <c r="I57" s="780">
        <v>12</v>
      </c>
      <c r="J57" s="3115" t="s">
        <v>7320</v>
      </c>
      <c r="K57" s="689"/>
      <c r="L57" s="695"/>
      <c r="M57" s="695"/>
      <c r="N57" s="695"/>
      <c r="O57" s="196"/>
      <c r="P57" s="216"/>
      <c r="Q57" s="3358" t="str">
        <f t="shared" si="6"/>
        <v/>
      </c>
      <c r="R57" s="732" t="str">
        <f t="shared" si="7"/>
        <v/>
      </c>
      <c r="S57" s="732"/>
      <c r="T57" s="732"/>
      <c r="U57" s="732"/>
      <c r="V57" s="732"/>
      <c r="W57" s="734"/>
      <c r="X57" s="732"/>
      <c r="Y57" s="732"/>
      <c r="Z57" s="732"/>
      <c r="AA57" s="2772"/>
      <c r="AB57" s="2772"/>
      <c r="AC57" s="2773">
        <f t="shared" si="8"/>
        <v>0</v>
      </c>
      <c r="AD57" s="2773">
        <f t="shared" si="9"/>
        <v>0</v>
      </c>
      <c r="AE57" s="847" t="str">
        <f t="shared" si="10"/>
        <v>请选择分录类型！</v>
      </c>
      <c r="AF57" s="641"/>
    </row>
    <row r="58" spans="1:32" ht="18">
      <c r="A58" s="2752"/>
      <c r="B58" s="2779" t="str">
        <f t="shared" si="0"/>
        <v>J2001</v>
      </c>
      <c r="C58" s="2749">
        <f t="shared" si="1"/>
        <v>2001</v>
      </c>
      <c r="D58" s="2749" t="str">
        <f t="shared" si="12"/>
        <v>调整应付利息至金融工具原值</v>
      </c>
      <c r="E58" s="2749" t="str">
        <f t="shared" si="13"/>
        <v>12</v>
      </c>
      <c r="F58" s="2749">
        <f t="shared" si="4"/>
        <v>12.05</v>
      </c>
      <c r="G58" s="2759" t="str">
        <f t="shared" si="5"/>
        <v>本期</v>
      </c>
      <c r="H58" s="3357"/>
      <c r="I58" s="780"/>
      <c r="J58" s="692" t="str">
        <f t="shared" si="11"/>
        <v>贷</v>
      </c>
      <c r="K58" s="3109" t="s">
        <v>7321</v>
      </c>
      <c r="L58" s="695"/>
      <c r="M58" s="695"/>
      <c r="N58" s="695"/>
      <c r="O58" s="196"/>
      <c r="P58" s="216">
        <v>2968.82</v>
      </c>
      <c r="Q58" s="3358" t="str">
        <f t="shared" si="6"/>
        <v>6000B</v>
      </c>
      <c r="R58" s="732" t="str">
        <f t="shared" si="7"/>
        <v>2</v>
      </c>
      <c r="S58" s="732"/>
      <c r="T58" s="732"/>
      <c r="U58" s="732"/>
      <c r="V58" s="732"/>
      <c r="W58" s="734"/>
      <c r="X58" s="732"/>
      <c r="Y58" s="732"/>
      <c r="Z58" s="732"/>
      <c r="AA58" s="2772"/>
      <c r="AB58" s="2772"/>
      <c r="AC58" s="2773">
        <f t="shared" si="8"/>
        <v>0</v>
      </c>
      <c r="AD58" s="2773">
        <f t="shared" si="9"/>
        <v>2968.82</v>
      </c>
      <c r="AE58" s="847" t="str">
        <f t="shared" si="10"/>
        <v>请选择分录类型！</v>
      </c>
      <c r="AF58" s="641"/>
    </row>
    <row r="59" spans="1:32" ht="18">
      <c r="A59" s="2752"/>
      <c r="B59" s="2779" t="str">
        <f t="shared" si="0"/>
        <v>J2241</v>
      </c>
      <c r="C59" s="2749">
        <f t="shared" si="1"/>
        <v>2241</v>
      </c>
      <c r="D59" s="2749" t="str">
        <f t="shared" si="12"/>
        <v>调整应付利息至金融工具原值</v>
      </c>
      <c r="E59" s="2749" t="str">
        <f t="shared" si="13"/>
        <v>12</v>
      </c>
      <c r="F59" s="2749">
        <f t="shared" si="4"/>
        <v>12.051</v>
      </c>
      <c r="G59" s="2759" t="str">
        <f t="shared" si="5"/>
        <v>本期</v>
      </c>
      <c r="H59" s="3357"/>
      <c r="I59" s="780"/>
      <c r="J59" s="692" t="str">
        <f t="shared" si="11"/>
        <v>借</v>
      </c>
      <c r="K59" s="3109" t="s">
        <v>7322</v>
      </c>
      <c r="L59" s="3360" t="s">
        <v>7323</v>
      </c>
      <c r="M59" s="695"/>
      <c r="N59" s="695"/>
      <c r="O59" s="196">
        <v>2968.82</v>
      </c>
      <c r="P59" s="216"/>
      <c r="Q59" s="3358" t="str">
        <f t="shared" si="6"/>
        <v>6200H</v>
      </c>
      <c r="R59" s="732" t="str">
        <f t="shared" si="7"/>
        <v>2</v>
      </c>
      <c r="S59" s="732"/>
      <c r="T59" s="732"/>
      <c r="U59" s="732"/>
      <c r="V59" s="732"/>
      <c r="W59" s="734"/>
      <c r="X59" s="732"/>
      <c r="Y59" s="732"/>
      <c r="Z59" s="732"/>
      <c r="AA59" s="2772"/>
      <c r="AB59" s="2772"/>
      <c r="AC59" s="2773">
        <f t="shared" si="8"/>
        <v>2968.82</v>
      </c>
      <c r="AD59" s="2773">
        <f t="shared" si="9"/>
        <v>0</v>
      </c>
      <c r="AE59" s="847" t="str">
        <f t="shared" si="10"/>
        <v>请选择分录类型！</v>
      </c>
      <c r="AF59" s="641"/>
    </row>
    <row r="60" spans="1:32" ht="18">
      <c r="A60" s="2752"/>
      <c r="B60" s="2779" t="str">
        <f t="shared" si="0"/>
        <v/>
      </c>
      <c r="C60" s="2749" t="str">
        <f t="shared" si="1"/>
        <v/>
      </c>
      <c r="D60" s="2749" t="str">
        <f t="shared" si="12"/>
        <v/>
      </c>
      <c r="E60" s="2749" t="str">
        <f t="shared" si="13"/>
        <v/>
      </c>
      <c r="F60" s="2749">
        <f t="shared" si="4"/>
        <v>12.052</v>
      </c>
      <c r="G60" s="2759" t="str">
        <f t="shared" si="5"/>
        <v/>
      </c>
      <c r="H60" s="3357"/>
      <c r="I60" s="780"/>
      <c r="J60" s="692" t="str">
        <f t="shared" si="11"/>
        <v/>
      </c>
      <c r="K60" s="689"/>
      <c r="L60" s="695"/>
      <c r="M60" s="695"/>
      <c r="N60" s="695"/>
      <c r="O60" s="196"/>
      <c r="P60" s="216"/>
      <c r="Q60" s="3358" t="str">
        <f t="shared" si="6"/>
        <v/>
      </c>
      <c r="R60" s="732" t="str">
        <f t="shared" si="7"/>
        <v/>
      </c>
      <c r="S60" s="732"/>
      <c r="T60" s="732"/>
      <c r="U60" s="732"/>
      <c r="V60" s="732"/>
      <c r="W60" s="734"/>
      <c r="X60" s="732"/>
      <c r="Y60" s="732"/>
      <c r="Z60" s="732"/>
      <c r="AA60" s="2772"/>
      <c r="AB60" s="2772"/>
      <c r="AC60" s="2773">
        <f t="shared" si="8"/>
        <v>0</v>
      </c>
      <c r="AD60" s="2773">
        <f t="shared" si="9"/>
        <v>0</v>
      </c>
      <c r="AE60" s="847" t="str">
        <f t="shared" si="10"/>
        <v/>
      </c>
      <c r="AF60" s="641"/>
    </row>
    <row r="61" spans="1:32" ht="18">
      <c r="A61" s="2752"/>
      <c r="B61" s="2779" t="str">
        <f t="shared" si="0"/>
        <v/>
      </c>
      <c r="C61" s="2749" t="str">
        <f t="shared" si="1"/>
        <v/>
      </c>
      <c r="D61" s="2749" t="str">
        <f t="shared" si="12"/>
        <v/>
      </c>
      <c r="E61" s="2749" t="str">
        <f t="shared" si="13"/>
        <v/>
      </c>
      <c r="F61" s="2749">
        <f t="shared" si="4"/>
        <v>5.2999999999999999E-2</v>
      </c>
      <c r="G61" s="2759" t="str">
        <f t="shared" si="5"/>
        <v/>
      </c>
      <c r="H61" s="3357"/>
      <c r="I61" s="780"/>
      <c r="J61" s="3115"/>
      <c r="K61" s="689"/>
      <c r="L61" s="695"/>
      <c r="M61" s="695"/>
      <c r="N61" s="695"/>
      <c r="O61" s="196"/>
      <c r="P61" s="216"/>
      <c r="Q61" s="3358" t="str">
        <f t="shared" si="6"/>
        <v/>
      </c>
      <c r="R61" s="732" t="str">
        <f t="shared" si="7"/>
        <v/>
      </c>
      <c r="S61" s="732"/>
      <c r="T61" s="732"/>
      <c r="U61" s="732"/>
      <c r="V61" s="732"/>
      <c r="W61" s="734"/>
      <c r="X61" s="732"/>
      <c r="Y61" s="732"/>
      <c r="Z61" s="732"/>
      <c r="AA61" s="2772"/>
      <c r="AB61" s="2772"/>
      <c r="AC61" s="2773">
        <f t="shared" si="8"/>
        <v>0</v>
      </c>
      <c r="AD61" s="2773">
        <f t="shared" si="9"/>
        <v>0</v>
      </c>
      <c r="AE61" s="847" t="str">
        <f t="shared" si="10"/>
        <v/>
      </c>
      <c r="AF61" s="641"/>
    </row>
    <row r="62" spans="1:32" ht="18">
      <c r="A62" s="2752"/>
      <c r="B62" s="2779" t="str">
        <f t="shared" si="0"/>
        <v/>
      </c>
      <c r="C62" s="2749" t="str">
        <f t="shared" si="1"/>
        <v/>
      </c>
      <c r="D62" s="2749" t="str">
        <f t="shared" si="12"/>
        <v/>
      </c>
      <c r="E62" s="2749" t="str">
        <f t="shared" si="13"/>
        <v/>
      </c>
      <c r="F62" s="2749">
        <f t="shared" si="4"/>
        <v>5.3999999999999999E-2</v>
      </c>
      <c r="G62" s="2759" t="str">
        <f t="shared" si="5"/>
        <v/>
      </c>
      <c r="H62" s="3357"/>
      <c r="I62" s="780"/>
      <c r="J62" s="692" t="str">
        <f t="shared" si="11"/>
        <v/>
      </c>
      <c r="K62" s="689"/>
      <c r="L62" s="695"/>
      <c r="M62" s="695"/>
      <c r="N62" s="695"/>
      <c r="O62" s="196"/>
      <c r="P62" s="216"/>
      <c r="Q62" s="3358" t="str">
        <f t="shared" si="6"/>
        <v/>
      </c>
      <c r="R62" s="732" t="str">
        <f t="shared" si="7"/>
        <v/>
      </c>
      <c r="S62" s="732"/>
      <c r="T62" s="732"/>
      <c r="U62" s="732"/>
      <c r="V62" s="732"/>
      <c r="W62" s="734"/>
      <c r="X62" s="732"/>
      <c r="Y62" s="732"/>
      <c r="Z62" s="732"/>
      <c r="AA62" s="2772"/>
      <c r="AB62" s="2772"/>
      <c r="AC62" s="2773">
        <f t="shared" si="8"/>
        <v>0</v>
      </c>
      <c r="AD62" s="2773">
        <f t="shared" si="9"/>
        <v>0</v>
      </c>
      <c r="AE62" s="847" t="str">
        <f t="shared" si="10"/>
        <v/>
      </c>
      <c r="AF62" s="641"/>
    </row>
    <row r="63" spans="1:32" ht="18">
      <c r="A63" s="2752"/>
      <c r="B63" s="2779" t="str">
        <f t="shared" si="0"/>
        <v/>
      </c>
      <c r="C63" s="2749" t="str">
        <f t="shared" si="1"/>
        <v/>
      </c>
      <c r="D63" s="2749" t="str">
        <f t="shared" si="12"/>
        <v/>
      </c>
      <c r="E63" s="2749" t="str">
        <f t="shared" si="13"/>
        <v/>
      </c>
      <c r="F63" s="2749">
        <f t="shared" si="4"/>
        <v>5.5E-2</v>
      </c>
      <c r="G63" s="2759" t="str">
        <f t="shared" si="5"/>
        <v/>
      </c>
      <c r="H63" s="3357"/>
      <c r="I63" s="780"/>
      <c r="J63" s="692" t="str">
        <f t="shared" si="11"/>
        <v/>
      </c>
      <c r="K63" s="689"/>
      <c r="L63" s="695"/>
      <c r="M63" s="695"/>
      <c r="N63" s="695"/>
      <c r="O63" s="196"/>
      <c r="P63" s="216"/>
      <c r="Q63" s="3358" t="str">
        <f t="shared" si="6"/>
        <v/>
      </c>
      <c r="R63" s="732" t="str">
        <f t="shared" si="7"/>
        <v/>
      </c>
      <c r="S63" s="732"/>
      <c r="T63" s="732"/>
      <c r="U63" s="732"/>
      <c r="V63" s="732"/>
      <c r="W63" s="734"/>
      <c r="X63" s="732"/>
      <c r="Y63" s="732"/>
      <c r="Z63" s="732"/>
      <c r="AA63" s="2772"/>
      <c r="AB63" s="2772"/>
      <c r="AC63" s="2773">
        <f t="shared" si="8"/>
        <v>0</v>
      </c>
      <c r="AD63" s="2773">
        <f t="shared" si="9"/>
        <v>0</v>
      </c>
      <c r="AE63" s="847" t="str">
        <f t="shared" si="10"/>
        <v/>
      </c>
      <c r="AF63" s="641"/>
    </row>
    <row r="64" spans="1:32" ht="18">
      <c r="A64" s="2752"/>
      <c r="B64" s="2779" t="str">
        <f t="shared" si="0"/>
        <v/>
      </c>
      <c r="C64" s="2749" t="str">
        <f t="shared" si="1"/>
        <v/>
      </c>
      <c r="D64" s="2749" t="str">
        <f t="shared" si="12"/>
        <v/>
      </c>
      <c r="E64" s="2749" t="str">
        <f t="shared" si="13"/>
        <v/>
      </c>
      <c r="F64" s="2749">
        <f t="shared" si="4"/>
        <v>5.6000000000000001E-2</v>
      </c>
      <c r="G64" s="2759" t="str">
        <f t="shared" si="5"/>
        <v/>
      </c>
      <c r="H64" s="3357"/>
      <c r="I64" s="780"/>
      <c r="J64" s="692" t="str">
        <f t="shared" si="11"/>
        <v/>
      </c>
      <c r="K64" s="689"/>
      <c r="L64" s="695"/>
      <c r="M64" s="695"/>
      <c r="N64" s="695"/>
      <c r="O64" s="196"/>
      <c r="P64" s="216"/>
      <c r="Q64" s="3358" t="str">
        <f t="shared" si="6"/>
        <v/>
      </c>
      <c r="R64" s="732" t="str">
        <f t="shared" si="7"/>
        <v/>
      </c>
      <c r="S64" s="732"/>
      <c r="T64" s="732"/>
      <c r="U64" s="732"/>
      <c r="V64" s="732"/>
      <c r="W64" s="734"/>
      <c r="X64" s="732"/>
      <c r="Y64" s="732"/>
      <c r="Z64" s="732"/>
      <c r="AA64" s="2772"/>
      <c r="AB64" s="2772"/>
      <c r="AC64" s="2773">
        <f t="shared" si="8"/>
        <v>0</v>
      </c>
      <c r="AD64" s="2773">
        <f t="shared" si="9"/>
        <v>0</v>
      </c>
      <c r="AE64" s="847" t="str">
        <f t="shared" si="10"/>
        <v/>
      </c>
      <c r="AF64" s="641"/>
    </row>
    <row r="65" spans="1:34" ht="18">
      <c r="A65" s="2752"/>
      <c r="B65" s="2779" t="str">
        <f t="shared" si="0"/>
        <v/>
      </c>
      <c r="C65" s="2749" t="str">
        <f t="shared" si="1"/>
        <v/>
      </c>
      <c r="D65" s="2749" t="str">
        <f t="shared" si="12"/>
        <v/>
      </c>
      <c r="E65" s="2749" t="str">
        <f t="shared" si="13"/>
        <v/>
      </c>
      <c r="F65" s="2749">
        <f t="shared" si="4"/>
        <v>5.7000000000000002E-2</v>
      </c>
      <c r="G65" s="2759" t="str">
        <f t="shared" si="5"/>
        <v/>
      </c>
      <c r="H65" s="651"/>
      <c r="I65" s="694"/>
      <c r="J65" s="692" t="str">
        <f t="shared" si="11"/>
        <v/>
      </c>
      <c r="K65" s="689"/>
      <c r="L65" s="695"/>
      <c r="M65" s="695"/>
      <c r="N65" s="695"/>
      <c r="O65" s="196"/>
      <c r="P65" s="218"/>
      <c r="Q65" s="738" t="str">
        <f t="shared" si="6"/>
        <v/>
      </c>
      <c r="R65" s="732" t="str">
        <f t="shared" si="7"/>
        <v/>
      </c>
      <c r="S65" s="732"/>
      <c r="T65" s="732"/>
      <c r="U65" s="732"/>
      <c r="V65" s="732"/>
      <c r="W65" s="734"/>
      <c r="X65" s="732"/>
      <c r="Y65" s="732"/>
      <c r="Z65" s="732"/>
      <c r="AA65" s="2772"/>
      <c r="AB65" s="2772"/>
      <c r="AC65" s="2773">
        <f t="shared" si="8"/>
        <v>0</v>
      </c>
      <c r="AD65" s="2773">
        <f t="shared" si="9"/>
        <v>0</v>
      </c>
      <c r="AE65" s="847" t="str">
        <f t="shared" si="10"/>
        <v/>
      </c>
      <c r="AF65" s="641"/>
    </row>
    <row r="66" spans="1:34" ht="18" hidden="1">
      <c r="A66" s="2752"/>
      <c r="B66" s="2780"/>
      <c r="C66" s="2749"/>
      <c r="D66" s="2749"/>
      <c r="E66" s="2749"/>
      <c r="F66" s="2749"/>
      <c r="G66" s="2759"/>
      <c r="H66" s="652"/>
      <c r="I66" s="696"/>
      <c r="J66" s="697"/>
      <c r="K66" s="231"/>
      <c r="L66" s="231"/>
      <c r="M66" s="231"/>
      <c r="N66" s="231"/>
      <c r="O66" s="698"/>
      <c r="P66" s="698"/>
      <c r="Q66" s="739"/>
      <c r="R66" s="740"/>
      <c r="S66" s="732"/>
      <c r="T66" s="740"/>
      <c r="U66" s="740"/>
      <c r="V66" s="740"/>
      <c r="W66" s="741"/>
      <c r="X66" s="740"/>
      <c r="Y66" s="740"/>
      <c r="Z66" s="740"/>
      <c r="AA66" s="2772"/>
      <c r="AB66" s="2772"/>
      <c r="AC66" s="2774"/>
      <c r="AD66" s="2774"/>
      <c r="AE66" s="847"/>
      <c r="AF66" s="641"/>
    </row>
    <row r="67" spans="1:34" s="640" customFormat="1" ht="18" customHeight="1">
      <c r="A67" s="2753" t="s">
        <v>2688</v>
      </c>
      <c r="B67" s="2781"/>
      <c r="C67" s="2760"/>
      <c r="D67" s="2761"/>
      <c r="E67" s="2761"/>
      <c r="F67" s="2761"/>
      <c r="G67" s="2762"/>
      <c r="H67" s="842"/>
      <c r="I67" s="843"/>
      <c r="J67" s="844" t="s">
        <v>2689</v>
      </c>
      <c r="K67" s="842"/>
      <c r="L67" s="842"/>
      <c r="M67" s="845"/>
      <c r="N67" s="845"/>
      <c r="O67" s="830">
        <f>SUBTOTAL(109,(INDEX(O:O,ROW(O$8)+1):cellAbove))</f>
        <v>5435951.6500000004</v>
      </c>
      <c r="P67" s="846">
        <f>SUBTOTAL(109,(INDEX(P:P,ROW(P$8)+1):cellAbove))</f>
        <v>5435951.6500000004</v>
      </c>
      <c r="Q67" s="842"/>
      <c r="R67" s="740"/>
      <c r="S67" s="732"/>
      <c r="T67" s="740"/>
      <c r="U67" s="740"/>
      <c r="V67" s="740"/>
      <c r="W67" s="741"/>
      <c r="X67" s="740"/>
      <c r="Y67" s="742"/>
      <c r="Z67" s="742"/>
      <c r="AA67" s="2775"/>
      <c r="AB67" s="2775"/>
      <c r="AC67" s="2776"/>
      <c r="AD67" s="2776"/>
      <c r="AE67" s="840" t="str">
        <f>IF(AND(O67=0,P67=0),"",IF(ROUND(O67-P67,2)=0,"借贷平衡!","借贷相差："&amp;(TEXT(O67-P67,"#,0.00"))))</f>
        <v>借贷平衡!</v>
      </c>
      <c r="AF67" s="747"/>
      <c r="AG67" s="748"/>
      <c r="AH67" s="748"/>
    </row>
    <row r="68" spans="1:34" ht="12.75">
      <c r="A68" s="2749"/>
      <c r="B68" s="642"/>
      <c r="C68" s="2749"/>
      <c r="D68" s="2749"/>
      <c r="E68" s="2749"/>
      <c r="F68" s="2749"/>
      <c r="G68" s="2763"/>
      <c r="H68" s="641"/>
      <c r="I68" s="641"/>
      <c r="J68" s="641"/>
      <c r="K68" s="641"/>
      <c r="L68" s="641"/>
      <c r="M68" s="641"/>
      <c r="N68" s="641"/>
      <c r="O68" s="641"/>
      <c r="P68" s="641"/>
      <c r="Q68" s="641"/>
      <c r="R68" s="740"/>
      <c r="S68" s="732"/>
      <c r="T68" s="740"/>
      <c r="U68" s="740"/>
      <c r="V68" s="740"/>
      <c r="W68" s="740"/>
      <c r="X68" s="740"/>
      <c r="Y68" s="641"/>
      <c r="Z68" s="641"/>
      <c r="AA68" s="2765"/>
      <c r="AB68" s="2765"/>
      <c r="AE68" s="641"/>
    </row>
    <row r="69" spans="1:34" ht="18" customHeight="1">
      <c r="A69" s="2749"/>
      <c r="B69" s="642"/>
      <c r="C69" s="2749"/>
      <c r="D69" s="2749"/>
      <c r="E69" s="2749"/>
      <c r="F69" s="2749"/>
      <c r="G69" s="2749"/>
      <c r="H69" s="656"/>
      <c r="I69" s="704" t="s">
        <v>2690</v>
      </c>
      <c r="J69" s="705"/>
      <c r="K69" s="705"/>
      <c r="L69" s="706"/>
      <c r="M69" s="705"/>
      <c r="N69" s="705"/>
      <c r="O69" s="705"/>
      <c r="P69" s="707"/>
      <c r="Q69" s="709"/>
      <c r="R69" s="740"/>
      <c r="S69" s="732"/>
      <c r="T69" s="740"/>
      <c r="U69" s="740"/>
      <c r="V69" s="740"/>
      <c r="W69" s="740"/>
      <c r="X69" s="740"/>
      <c r="Y69" s="709"/>
      <c r="Z69" s="709"/>
      <c r="AA69" s="2777"/>
      <c r="AB69" s="2777"/>
      <c r="AE69" s="641"/>
    </row>
    <row r="70" spans="1:34" ht="18" customHeight="1">
      <c r="A70" s="2749"/>
      <c r="B70" s="642"/>
      <c r="C70" s="2749"/>
      <c r="D70" s="2749"/>
      <c r="E70" s="2749"/>
      <c r="F70" s="2749"/>
      <c r="G70" s="2764"/>
      <c r="H70" s="657"/>
      <c r="I70" s="708"/>
      <c r="J70" s="709"/>
      <c r="K70" s="186"/>
      <c r="L70" s="710"/>
      <c r="M70" s="186"/>
      <c r="N70" s="186"/>
      <c r="O70" s="186"/>
      <c r="P70" s="711"/>
      <c r="Q70" s="709"/>
      <c r="R70" s="740"/>
      <c r="S70" s="732"/>
      <c r="T70" s="740"/>
      <c r="U70" s="740"/>
      <c r="V70" s="740"/>
      <c r="W70" s="740"/>
      <c r="X70" s="740"/>
      <c r="Y70" s="709"/>
      <c r="Z70" s="709"/>
      <c r="AA70" s="2777"/>
      <c r="AB70" s="2777"/>
      <c r="AE70" s="641"/>
    </row>
    <row r="71" spans="1:34" ht="18" customHeight="1">
      <c r="A71" s="2749"/>
      <c r="B71" s="642"/>
      <c r="C71" s="2749"/>
      <c r="D71" s="2749"/>
      <c r="E71" s="2749"/>
      <c r="F71" s="2749"/>
      <c r="G71" s="2749"/>
      <c r="H71" s="656"/>
      <c r="I71" s="712" t="s">
        <v>2691</v>
      </c>
      <c r="J71" s="709"/>
      <c r="K71" s="709"/>
      <c r="L71" s="713" t="s">
        <v>2692</v>
      </c>
      <c r="M71" s="709"/>
      <c r="N71" s="709"/>
      <c r="O71" s="709"/>
      <c r="P71" s="657"/>
      <c r="Q71" s="709"/>
      <c r="R71" s="740"/>
      <c r="S71" s="732"/>
      <c r="T71" s="740"/>
      <c r="U71" s="740"/>
      <c r="V71" s="740"/>
      <c r="W71" s="740"/>
      <c r="X71" s="740"/>
      <c r="Y71" s="709"/>
      <c r="Z71" s="709"/>
      <c r="AA71" s="2777"/>
      <c r="AB71" s="2777"/>
      <c r="AE71" s="641"/>
    </row>
    <row r="72" spans="1:34" ht="18" customHeight="1">
      <c r="A72" s="2749"/>
      <c r="B72" s="642"/>
      <c r="C72" s="2749"/>
      <c r="D72" s="2749"/>
      <c r="E72" s="2749"/>
      <c r="F72" s="2749"/>
      <c r="G72" s="2749"/>
      <c r="H72" s="658"/>
      <c r="I72" s="714" t="s">
        <v>2693</v>
      </c>
      <c r="J72" s="709"/>
      <c r="K72" s="709"/>
      <c r="L72" s="715" t="s">
        <v>2694</v>
      </c>
      <c r="M72" s="709"/>
      <c r="N72" s="709"/>
      <c r="O72" s="715" t="s">
        <v>2695</v>
      </c>
      <c r="P72" s="657"/>
      <c r="Q72" s="709"/>
      <c r="R72" s="740"/>
      <c r="S72" s="732"/>
      <c r="T72" s="740"/>
      <c r="U72" s="740"/>
      <c r="V72" s="740"/>
      <c r="W72" s="740"/>
      <c r="X72" s="740"/>
      <c r="Y72" s="709"/>
      <c r="Z72" s="709"/>
      <c r="AA72" s="2777"/>
      <c r="AB72" s="2777"/>
      <c r="AE72" s="641"/>
    </row>
    <row r="73" spans="1:34" ht="18" customHeight="1">
      <c r="A73" s="2749"/>
      <c r="B73" s="642"/>
      <c r="C73" s="2749"/>
      <c r="D73" s="2749"/>
      <c r="E73" s="2749"/>
      <c r="F73" s="2749"/>
      <c r="G73" s="2763"/>
      <c r="H73" s="657"/>
      <c r="I73" s="716"/>
      <c r="J73" s="717"/>
      <c r="K73" s="717" t="s">
        <v>2696</v>
      </c>
      <c r="L73" s="718" t="s">
        <v>2697</v>
      </c>
      <c r="M73" s="717"/>
      <c r="N73" s="717"/>
      <c r="O73" s="718" t="s">
        <v>2697</v>
      </c>
      <c r="P73" s="719"/>
      <c r="Q73" s="709"/>
      <c r="R73" s="740"/>
      <c r="S73" s="732"/>
      <c r="T73" s="740"/>
      <c r="U73" s="740"/>
      <c r="V73" s="740"/>
      <c r="W73" s="740"/>
      <c r="X73" s="740"/>
      <c r="Y73" s="709"/>
      <c r="Z73" s="709"/>
      <c r="AA73" s="2777"/>
      <c r="AB73" s="2777"/>
      <c r="AE73" s="641"/>
    </row>
    <row r="74" spans="1:34" ht="12.75">
      <c r="A74" s="2749"/>
      <c r="B74" s="642"/>
      <c r="C74" s="2749"/>
      <c r="D74" s="2749"/>
      <c r="E74" s="2749"/>
      <c r="F74" s="2749"/>
      <c r="G74" s="2749"/>
      <c r="H74" s="659"/>
      <c r="I74" s="659" t="s">
        <v>2698</v>
      </c>
      <c r="J74" s="641"/>
      <c r="K74" s="641"/>
      <c r="L74" s="641"/>
      <c r="M74" s="641"/>
      <c r="N74" s="641"/>
      <c r="O74" s="641"/>
      <c r="P74" s="641"/>
      <c r="Q74" s="641"/>
      <c r="R74" s="740"/>
      <c r="S74" s="732"/>
      <c r="T74" s="740"/>
      <c r="U74" s="740"/>
      <c r="V74" s="740"/>
      <c r="W74" s="740"/>
      <c r="X74" s="740"/>
      <c r="Y74" s="641"/>
      <c r="Z74" s="641"/>
      <c r="AA74" s="2765"/>
      <c r="AB74" s="2765"/>
      <c r="AE74" s="641"/>
    </row>
    <row r="75" spans="1:34" ht="12.75">
      <c r="A75" s="2749"/>
      <c r="B75" s="642"/>
      <c r="C75" s="2749"/>
      <c r="D75" s="2749"/>
      <c r="E75" s="2749"/>
      <c r="F75" s="2749"/>
      <c r="G75" s="2749"/>
      <c r="H75" s="660"/>
      <c r="I75" s="660" t="s">
        <v>2699</v>
      </c>
      <c r="J75" s="641"/>
      <c r="K75" s="641"/>
      <c r="L75" s="641"/>
      <c r="M75" s="641"/>
      <c r="N75" s="641"/>
      <c r="O75" s="641"/>
      <c r="P75" s="641"/>
      <c r="Q75" s="641"/>
      <c r="R75" s="740"/>
      <c r="S75" s="732"/>
      <c r="T75" s="740"/>
      <c r="U75" s="740"/>
      <c r="V75" s="740"/>
      <c r="W75" s="740"/>
      <c r="X75" s="740"/>
      <c r="Y75" s="641"/>
      <c r="Z75" s="641"/>
      <c r="AA75" s="2765"/>
      <c r="AB75" s="2765"/>
      <c r="AE75" s="641"/>
    </row>
    <row r="76" spans="1:34" ht="12.75">
      <c r="A76" s="2749"/>
      <c r="B76" s="642"/>
      <c r="C76" s="2749"/>
      <c r="D76" s="2749"/>
      <c r="E76" s="2749"/>
      <c r="F76" s="2749"/>
      <c r="G76" s="2763"/>
      <c r="R76" s="740"/>
      <c r="S76" s="732"/>
      <c r="T76" s="740"/>
      <c r="U76" s="740"/>
      <c r="V76" s="740"/>
      <c r="W76" s="740"/>
      <c r="X76" s="740"/>
    </row>
    <row r="77" spans="1:34">
      <c r="R77" s="742"/>
      <c r="S77" s="736"/>
      <c r="T77" s="742"/>
      <c r="U77" s="742"/>
      <c r="V77" s="742"/>
      <c r="W77" s="742"/>
      <c r="X77" s="742"/>
    </row>
    <row r="78" spans="1:34">
      <c r="R78" s="641"/>
      <c r="T78" s="641"/>
      <c r="U78" s="641"/>
      <c r="V78" s="641"/>
      <c r="W78" s="641"/>
      <c r="X78" s="641"/>
    </row>
    <row r="79" spans="1:34" ht="12.75">
      <c r="R79" s="740"/>
      <c r="S79" s="732"/>
      <c r="T79" s="740"/>
      <c r="U79" s="740"/>
      <c r="V79" s="740"/>
      <c r="W79" s="740"/>
      <c r="X79" s="740"/>
    </row>
    <row r="80" spans="1:3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2"/>
      <c r="T94" s="740"/>
      <c r="U94" s="740"/>
      <c r="V94" s="740"/>
      <c r="W94" s="740"/>
      <c r="X94" s="740"/>
    </row>
    <row r="95" spans="18:24" ht="12.75">
      <c r="R95" s="740"/>
      <c r="S95" s="732"/>
      <c r="T95" s="740"/>
      <c r="U95" s="740"/>
      <c r="V95" s="740"/>
      <c r="W95" s="740"/>
      <c r="X95" s="740"/>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c r="R99" s="742"/>
      <c r="S99" s="736"/>
      <c r="T99" s="742"/>
      <c r="U99" s="742"/>
      <c r="V99" s="742"/>
      <c r="W99" s="742"/>
      <c r="X99" s="742"/>
    </row>
    <row r="100" spans="18:24">
      <c r="R100" s="641"/>
      <c r="T100" s="641"/>
      <c r="U100" s="641"/>
      <c r="V100" s="641"/>
      <c r="W100" s="641"/>
      <c r="X100" s="641"/>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2"/>
      <c r="T116" s="740"/>
      <c r="U116" s="740"/>
      <c r="V116" s="740"/>
      <c r="W116" s="740"/>
      <c r="X116" s="740"/>
    </row>
    <row r="117" spans="18:24" ht="12.75">
      <c r="R117" s="740"/>
      <c r="S117" s="732"/>
      <c r="T117" s="740"/>
      <c r="U117" s="740"/>
      <c r="V117" s="740"/>
      <c r="W117" s="740"/>
      <c r="X117" s="740"/>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c r="R121" s="742"/>
      <c r="S121" s="736"/>
      <c r="T121" s="742"/>
      <c r="U121" s="742"/>
      <c r="V121" s="742"/>
      <c r="W121" s="742"/>
      <c r="X121" s="742"/>
    </row>
    <row r="122" spans="18:24">
      <c r="R122" s="641"/>
      <c r="T122" s="641"/>
      <c r="U122" s="641"/>
      <c r="V122" s="641"/>
      <c r="W122" s="641"/>
      <c r="X122" s="641"/>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2"/>
      <c r="T138" s="740"/>
      <c r="U138" s="740"/>
      <c r="V138" s="740"/>
      <c r="W138" s="740"/>
      <c r="X138" s="740"/>
    </row>
    <row r="139" spans="18:24" ht="12.75">
      <c r="R139" s="740"/>
      <c r="S139" s="732"/>
      <c r="T139" s="740"/>
      <c r="U139" s="740"/>
      <c r="V139" s="740"/>
      <c r="W139" s="740"/>
      <c r="X139" s="740"/>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c r="R143" s="742"/>
      <c r="S143" s="736"/>
      <c r="T143" s="742"/>
      <c r="U143" s="742"/>
      <c r="V143" s="742"/>
      <c r="W143" s="742"/>
      <c r="X143" s="742"/>
    </row>
    <row r="144" spans="18:24">
      <c r="R144" s="641"/>
      <c r="T144" s="641"/>
      <c r="U144" s="641"/>
      <c r="V144" s="641"/>
      <c r="W144" s="641"/>
      <c r="X144" s="641"/>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2"/>
      <c r="T160" s="740"/>
      <c r="U160" s="740"/>
      <c r="V160" s="740"/>
      <c r="W160" s="740"/>
      <c r="X160" s="740"/>
    </row>
    <row r="161" spans="18:24" ht="12.75">
      <c r="R161" s="740"/>
      <c r="S161" s="732"/>
      <c r="T161" s="740"/>
      <c r="U161" s="740"/>
      <c r="V161" s="740"/>
      <c r="W161" s="740"/>
      <c r="X161" s="740"/>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c r="R165" s="742"/>
      <c r="S165" s="736"/>
      <c r="T165" s="742"/>
      <c r="U165" s="742"/>
      <c r="V165" s="742"/>
      <c r="W165" s="742"/>
      <c r="X165" s="742"/>
    </row>
    <row r="166" spans="18:24">
      <c r="R166" s="641"/>
      <c r="T166" s="641"/>
      <c r="U166" s="641"/>
      <c r="V166" s="641"/>
      <c r="W166" s="641"/>
      <c r="X166" s="641"/>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2"/>
      <c r="T182" s="740"/>
      <c r="U182" s="740"/>
      <c r="V182" s="740"/>
      <c r="W182" s="740"/>
      <c r="X182" s="740"/>
    </row>
    <row r="183" spans="18:24" ht="12.75">
      <c r="R183" s="740"/>
      <c r="S183" s="732"/>
      <c r="T183" s="740"/>
      <c r="U183" s="740"/>
      <c r="V183" s="740"/>
      <c r="W183" s="740"/>
      <c r="X183" s="740"/>
    </row>
    <row r="184" spans="18:24" ht="12.75">
      <c r="R184" s="740"/>
      <c r="S184" s="732"/>
      <c r="T184" s="740"/>
      <c r="U184" s="740"/>
      <c r="V184" s="740"/>
      <c r="W184" s="740"/>
      <c r="X184" s="740"/>
    </row>
    <row r="185" spans="18:24" ht="12.75">
      <c r="R185" s="740"/>
      <c r="S185" s="732"/>
      <c r="T185" s="740"/>
      <c r="U185" s="740"/>
      <c r="V185" s="740"/>
      <c r="W185" s="740"/>
      <c r="X185" s="740"/>
    </row>
    <row r="186" spans="18:24" ht="12.75">
      <c r="R186" s="740"/>
      <c r="S186" s="732"/>
      <c r="T186" s="740"/>
      <c r="U186" s="740"/>
      <c r="V186" s="740"/>
      <c r="W186" s="740"/>
      <c r="X186" s="740"/>
    </row>
    <row r="187" spans="18:24">
      <c r="R187" s="742"/>
      <c r="S187" s="736"/>
      <c r="T187" s="742"/>
      <c r="U187" s="742"/>
      <c r="V187" s="742"/>
      <c r="W187" s="742"/>
      <c r="X187" s="742"/>
    </row>
    <row r="188" spans="18:24">
      <c r="R188" s="641"/>
      <c r="T188" s="641"/>
      <c r="U188" s="641"/>
      <c r="V188" s="641"/>
      <c r="W188" s="641"/>
      <c r="X188" s="641"/>
    </row>
    <row r="189" spans="18:24" ht="12.75">
      <c r="R189" s="740"/>
      <c r="S189" s="732"/>
      <c r="T189" s="740"/>
      <c r="U189" s="740"/>
      <c r="V189" s="740"/>
      <c r="W189" s="740"/>
      <c r="X189" s="740"/>
    </row>
    <row r="190" spans="18:24" ht="12.75">
      <c r="R190" s="740"/>
      <c r="S190" s="732"/>
      <c r="T190" s="740"/>
      <c r="U190" s="740"/>
      <c r="V190" s="740"/>
      <c r="W190" s="740"/>
      <c r="X190" s="740"/>
    </row>
    <row r="191" spans="18:24" ht="12.75">
      <c r="R191" s="740"/>
      <c r="S191" s="732"/>
      <c r="T191" s="740"/>
      <c r="U191" s="740"/>
      <c r="V191" s="740"/>
      <c r="W191" s="740"/>
      <c r="X191" s="740"/>
    </row>
    <row r="192" spans="18:24" ht="12.75">
      <c r="R192" s="740"/>
      <c r="S192" s="732"/>
      <c r="T192" s="740"/>
      <c r="U192" s="740"/>
      <c r="V192" s="740"/>
      <c r="W192" s="740"/>
      <c r="X192" s="740"/>
    </row>
    <row r="193" spans="18:24" ht="12.75">
      <c r="R193" s="740"/>
      <c r="S193" s="732"/>
      <c r="T193" s="740"/>
      <c r="U193" s="740"/>
      <c r="V193" s="740"/>
      <c r="W193" s="740"/>
      <c r="X193" s="740"/>
    </row>
    <row r="194" spans="18:24" ht="12.75">
      <c r="R194" s="740"/>
      <c r="S194" s="732"/>
      <c r="T194" s="740"/>
      <c r="U194" s="740"/>
      <c r="V194" s="740"/>
      <c r="W194" s="740"/>
      <c r="X194" s="740"/>
    </row>
    <row r="195" spans="18:24" ht="12.75">
      <c r="R195" s="740"/>
      <c r="S195" s="732"/>
      <c r="T195" s="740"/>
      <c r="U195" s="740"/>
      <c r="V195" s="740"/>
      <c r="W195" s="740"/>
      <c r="X195" s="740"/>
    </row>
    <row r="196" spans="18:24" ht="12.75">
      <c r="R196" s="740"/>
      <c r="S196" s="732"/>
      <c r="T196" s="740"/>
      <c r="U196" s="740"/>
      <c r="V196" s="740"/>
      <c r="W196" s="740"/>
      <c r="X196" s="740"/>
    </row>
    <row r="197" spans="18:24" ht="12.75">
      <c r="R197" s="740"/>
      <c r="S197" s="732"/>
      <c r="T197" s="740"/>
      <c r="U197" s="740"/>
      <c r="V197" s="740"/>
      <c r="W197" s="740"/>
      <c r="X197" s="740"/>
    </row>
    <row r="198" spans="18:24" ht="12.75">
      <c r="R198" s="740"/>
      <c r="S198" s="732"/>
      <c r="T198" s="740"/>
      <c r="U198" s="740"/>
      <c r="V198" s="740"/>
      <c r="W198" s="740"/>
      <c r="X198" s="740"/>
    </row>
    <row r="199" spans="18:24" ht="12.75">
      <c r="R199" s="740"/>
      <c r="S199" s="732"/>
      <c r="T199" s="740"/>
      <c r="U199" s="740"/>
      <c r="V199" s="740"/>
      <c r="W199" s="740"/>
      <c r="X199" s="740"/>
    </row>
    <row r="200" spans="18:24" ht="12.75">
      <c r="R200" s="740"/>
      <c r="S200" s="732"/>
      <c r="T200" s="740"/>
      <c r="U200" s="740"/>
      <c r="V200" s="740"/>
      <c r="W200" s="740"/>
      <c r="X200" s="740"/>
    </row>
    <row r="201" spans="18:24" ht="12.75">
      <c r="R201" s="740"/>
      <c r="S201" s="732"/>
      <c r="T201" s="740"/>
      <c r="U201" s="740"/>
      <c r="V201" s="740"/>
      <c r="W201" s="740"/>
      <c r="X201" s="740"/>
    </row>
    <row r="202" spans="18:24" ht="12.75">
      <c r="R202" s="740"/>
      <c r="S202" s="732"/>
      <c r="T202" s="740"/>
      <c r="U202" s="740"/>
      <c r="V202" s="740"/>
      <c r="W202" s="740"/>
      <c r="X202" s="740"/>
    </row>
    <row r="203" spans="18:24" ht="12.75">
      <c r="R203" s="740"/>
      <c r="S203" s="732"/>
      <c r="T203" s="740"/>
      <c r="U203" s="740"/>
      <c r="V203" s="740"/>
      <c r="W203" s="740"/>
      <c r="X203" s="740"/>
    </row>
    <row r="204" spans="18:24" ht="12.75">
      <c r="R204" s="740"/>
      <c r="S204" s="732"/>
      <c r="T204" s="740"/>
      <c r="U204" s="740"/>
      <c r="V204" s="740"/>
      <c r="W204" s="740"/>
      <c r="X204" s="740"/>
    </row>
    <row r="205" spans="18:24" ht="12.75">
      <c r="R205" s="740"/>
      <c r="S205" s="732"/>
      <c r="T205" s="740"/>
      <c r="U205" s="740"/>
      <c r="V205" s="740"/>
      <c r="W205" s="740"/>
      <c r="X205" s="740"/>
    </row>
    <row r="206" spans="18:24" ht="12.75">
      <c r="R206" s="740"/>
      <c r="S206" s="732"/>
      <c r="T206" s="740"/>
      <c r="U206" s="740"/>
      <c r="V206" s="740"/>
      <c r="W206" s="740"/>
      <c r="X206" s="740"/>
    </row>
    <row r="207" spans="18:24" ht="12.75">
      <c r="R207" s="740"/>
      <c r="S207" s="732"/>
      <c r="T207" s="740"/>
      <c r="U207" s="740"/>
      <c r="V207" s="740"/>
      <c r="W207" s="740"/>
      <c r="X207" s="740"/>
    </row>
    <row r="208" spans="18:24" ht="12.75">
      <c r="R208" s="740"/>
      <c r="S208" s="732"/>
      <c r="T208" s="740"/>
      <c r="U208" s="740"/>
      <c r="V208" s="740"/>
      <c r="W208" s="740"/>
      <c r="X208" s="740"/>
    </row>
    <row r="209" spans="18:24">
      <c r="R209" s="742"/>
      <c r="S209" s="736"/>
      <c r="T209" s="742"/>
      <c r="U209" s="742"/>
      <c r="V209" s="742"/>
      <c r="W209" s="742"/>
      <c r="X209" s="742"/>
    </row>
    <row r="210" spans="18:24">
      <c r="R210" s="641"/>
      <c r="T210" s="641"/>
      <c r="U210" s="641"/>
      <c r="V210" s="641"/>
      <c r="W210" s="641"/>
      <c r="X210" s="641"/>
    </row>
    <row r="211" spans="18:24">
      <c r="R211" s="709"/>
      <c r="S211" s="709"/>
      <c r="T211" s="709"/>
      <c r="U211" s="709"/>
      <c r="V211" s="709"/>
      <c r="W211" s="709"/>
      <c r="X211" s="709"/>
    </row>
    <row r="212" spans="18:24">
      <c r="R212" s="709"/>
      <c r="S212" s="709"/>
      <c r="T212" s="709"/>
      <c r="U212" s="709"/>
      <c r="V212" s="709"/>
      <c r="W212" s="709"/>
      <c r="X212" s="709"/>
    </row>
    <row r="213" spans="18:24">
      <c r="R213" s="709"/>
      <c r="S213" s="709"/>
      <c r="T213" s="709"/>
      <c r="U213" s="709"/>
      <c r="V213" s="709"/>
      <c r="W213" s="709"/>
      <c r="X213" s="709"/>
    </row>
    <row r="214" spans="18:24">
      <c r="R214" s="709"/>
      <c r="S214" s="709"/>
      <c r="T214" s="709"/>
      <c r="U214" s="709"/>
      <c r="V214" s="709"/>
      <c r="W214" s="709"/>
      <c r="X214" s="709"/>
    </row>
    <row r="215" spans="18:24">
      <c r="R215" s="709"/>
      <c r="S215" s="709"/>
      <c r="T215" s="709"/>
      <c r="U215" s="709"/>
      <c r="V215" s="709"/>
      <c r="W215" s="709"/>
      <c r="X215" s="709"/>
    </row>
    <row r="216" spans="18:24">
      <c r="R216" s="709"/>
      <c r="S216" s="709"/>
      <c r="T216" s="709"/>
      <c r="U216" s="709"/>
      <c r="V216" s="709"/>
      <c r="W216" s="709"/>
      <c r="X216" s="709"/>
    </row>
    <row r="217" spans="18:24">
      <c r="R217" s="709"/>
      <c r="S217" s="709"/>
      <c r="T217" s="709"/>
      <c r="U217" s="709"/>
      <c r="V217" s="709"/>
      <c r="W217" s="709"/>
      <c r="X217" s="709"/>
    </row>
    <row r="218" spans="18:24">
      <c r="R218" s="641"/>
      <c r="T218" s="641"/>
      <c r="U218" s="641"/>
      <c r="V218" s="641"/>
      <c r="W218" s="641"/>
      <c r="X218" s="641"/>
    </row>
    <row r="219" spans="18:24">
      <c r="R219" s="641"/>
      <c r="T219" s="641"/>
      <c r="U219" s="641"/>
      <c r="V219" s="641"/>
      <c r="W219" s="641"/>
      <c r="X219" s="641"/>
    </row>
  </sheetData>
  <sheetProtection algorithmName="SHA-512" hashValue="Qn09bZaQFYRUfnlGHga8yQMw8py/hu2AzQaS3gYG5xMG0PYba6FWApcN6OLKuIwa+Jq4ZKYhuvq6LlOZe7atWw==" saltValue="IniuwQ8FLfRTrECwNlp9AQ==" spinCount="100000" sheet="1" scenarios="1" formatCells="0" autoFilter="0"/>
  <autoFilter ref="A8:AE65"/>
  <phoneticPr fontId="163" type="noConversion"/>
  <conditionalFormatting sqref="P4:Q4">
    <cfRule type="expression" dxfId="91" priority="2" stopIfTrue="1">
      <formula>$P4&lt;&gt;""</formula>
    </cfRule>
  </conditionalFormatting>
  <conditionalFormatting sqref="AE9:AE66">
    <cfRule type="expression" dxfId="90" priority="11" stopIfTrue="1">
      <formula>AE9&lt;&gt;""</formula>
    </cfRule>
  </conditionalFormatting>
  <conditionalFormatting sqref="B9:B65">
    <cfRule type="expression" dxfId="89" priority="1">
      <formula>ISERROR($B9)</formula>
    </cfRule>
  </conditionalFormatting>
  <conditionalFormatting sqref="K8:K65">
    <cfRule type="expression" dxfId="88" priority="11164" stopIfTrue="1">
      <formula>ISERROR($C9)</formula>
    </cfRule>
    <cfRule type="expression" dxfId="87" priority="11165" stopIfTrue="1">
      <formula>AND(OR($L9&lt;&gt;"",$M9&lt;&gt;"",$N9&lt;&gt;"",$O9&lt;&gt;"",$P9&lt;&gt;""),$K9="")</formula>
    </cfRule>
  </conditionalFormatting>
  <conditionalFormatting sqref="L8:Q65">
    <cfRule type="expression" priority="11166" stopIfTrue="1">
      <formula>OR($J9&lt;&gt;"",$K9&lt;&gt;"",$J10&lt;&gt;"")</formula>
    </cfRule>
    <cfRule type="expression" dxfId="86" priority="11167" stopIfTrue="1">
      <formula>AND($J9="",$K9="")</formula>
    </cfRule>
  </conditionalFormatting>
  <dataValidations xWindow="187" yWindow="509" count="12">
    <dataValidation type="list" allowBlank="1" showInputMessage="1" showErrorMessage="1" sqref="R9">
      <formula1>Sheet_AcctClass</formula1>
    </dataValidation>
    <dataValidation type="list" showDropDown="1" showInputMessage="1" showErrorMessage="1" error="分录表末行属性值FLend，不能更改!" prompt="A列请勿输入" sqref="A67">
      <formula1>"FLend"</formula1>
    </dataValidation>
    <dataValidation type="decimal" showInputMessage="1" showErrorMessage="1" errorTitle="WPE" error="请输入数值！" prompt="贷方金额" sqref="P9:P66">
      <formula1>-922337203685477</formula1>
      <formula2>922337203685477</formula2>
    </dataValidation>
    <dataValidation type="list" showInputMessage="1" showErrorMessage="1" errorTitle="WPE" error="请选择分录类型！" prompt="AJE 调整分录_x000a_RJE 重分类分录" sqref="H9:H66">
      <formula1>"AJE,RJE"</formula1>
    </dataValidation>
    <dataValidation type="list" allowBlank="1" showInputMessage="1" showErrorMessage="1" sqref="U9:U65">
      <formula1>Sheet_MisstaCause</formula1>
    </dataValidation>
    <dataValidation type="list" allowBlank="1" showInputMessage="1" prompt="输入金额后，WPE自动判断方向" sqref="J10:J66">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66">
      <formula1>OFFSET(ACCT_AJE1,0,0,COUNTA(ACCT_AJE1),1)</formula1>
    </dataValidation>
    <dataValidation type="decimal" showInputMessage="1" showErrorMessage="1" errorTitle="WPE" error="请输入数值！" prompt="借方金额" sqref="O9:O66">
      <formula1>-922337203685477</formula1>
      <formula2>922337203685477</formula2>
    </dataValidation>
    <dataValidation type="list" allowBlank="1" showInputMessage="1" showErrorMessage="1" sqref="T9:T65">
      <formula1>Sheet_MisstaType</formula1>
    </dataValidation>
    <dataValidation type="list" sqref="Y9:Y66">
      <formula1>OFFSET(Sheet_AjeSatus,0,0,COUNTA(Sheet_AjeSatus),1)</formula1>
    </dataValidation>
    <dataValidation type="list" sqref="Z9:Z66">
      <formula1>OFFSET(Sheet_AjeProof,0,0,COUNTA(Sheet_AjeProof),1)</formula1>
    </dataValidation>
    <dataValidation allowBlank="1" showInputMessage="1" showErrorMessage="1" prompt="请输入建议调整的会计科目名称" sqref="L9:N66"/>
  </dataValidations>
  <pageMargins left="0.78740157480314998" right="0" top="0.39370078740157499" bottom="0.39370078740157499" header="0.511811023622047" footer="0.511811023622047"/>
  <pageSetup paperSize="9" scale="95" orientation="portrait" blackAndWhite="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32"/>
  <sheetViews>
    <sheetView workbookViewId="0">
      <selection activeCell="E20" sqref="E20"/>
    </sheetView>
  </sheetViews>
  <sheetFormatPr defaultRowHeight="18" customHeight="1"/>
  <cols>
    <col min="1" max="1" width="4.42578125" style="3170" customWidth="1"/>
    <col min="2" max="2" width="25.7109375" style="3170" customWidth="1"/>
    <col min="3" max="3" width="5.28515625" style="3229" customWidth="1"/>
    <col min="4" max="4" width="17.42578125" style="3230" customWidth="1"/>
    <col min="5" max="5" width="17.85546875" style="3170" customWidth="1"/>
    <col min="6" max="6" width="17" style="3230" customWidth="1"/>
    <col min="7" max="7" width="18.7109375" style="3230" customWidth="1"/>
    <col min="8" max="10" width="14.42578125" style="3230" bestFit="1" customWidth="1"/>
    <col min="11" max="15" width="19.42578125" style="3190" customWidth="1"/>
    <col min="16" max="19" width="19.42578125" style="3170" customWidth="1"/>
    <col min="20" max="16384" width="9.140625" style="3170"/>
  </cols>
  <sheetData>
    <row r="1" spans="1:19" ht="33.75">
      <c r="B1" s="3571" t="s">
        <v>6928</v>
      </c>
      <c r="C1" s="3572"/>
      <c r="D1" s="3572"/>
      <c r="E1" s="3572"/>
      <c r="F1" s="3572"/>
      <c r="G1" s="3572"/>
      <c r="H1" s="3171"/>
      <c r="I1" s="3171"/>
      <c r="J1" s="3171"/>
      <c r="K1" s="3172"/>
      <c r="L1" s="3172"/>
      <c r="M1" s="3172"/>
      <c r="N1" s="3172"/>
      <c r="O1" s="3172"/>
      <c r="P1" s="3173"/>
      <c r="Q1" s="3173"/>
      <c r="R1" s="3173"/>
      <c r="S1" s="3173"/>
    </row>
    <row r="2" spans="1:19" ht="21" customHeight="1">
      <c r="B2" s="3573" t="s">
        <v>6929</v>
      </c>
      <c r="C2" s="3573"/>
      <c r="D2" s="3573"/>
      <c r="E2" s="3573"/>
      <c r="F2" s="3573"/>
      <c r="G2" s="3573"/>
      <c r="H2" s="3174"/>
      <c r="I2" s="3174"/>
      <c r="J2" s="3174"/>
      <c r="K2" s="3172"/>
      <c r="L2" s="3172"/>
      <c r="M2" s="3172"/>
      <c r="N2" s="3172"/>
      <c r="O2" s="3172"/>
      <c r="P2" s="3173"/>
      <c r="Q2" s="3173"/>
      <c r="R2" s="3173"/>
      <c r="S2" s="3173"/>
    </row>
    <row r="3" spans="1:19" ht="17.25" customHeight="1">
      <c r="B3" s="3175"/>
      <c r="C3" s="3175"/>
      <c r="D3" s="3175"/>
      <c r="E3" s="3176"/>
      <c r="F3" s="3177"/>
      <c r="G3" s="3178"/>
      <c r="H3" s="3178"/>
      <c r="I3" s="3178"/>
      <c r="J3" s="3178"/>
      <c r="K3" s="3172"/>
      <c r="L3" s="3172"/>
      <c r="M3" s="3172"/>
      <c r="N3" s="3172"/>
      <c r="O3" s="3172"/>
      <c r="P3" s="3173"/>
      <c r="Q3" s="3173"/>
      <c r="R3" s="3173"/>
      <c r="S3" s="3173"/>
    </row>
    <row r="4" spans="1:19" ht="18" customHeight="1" thickBot="1">
      <c r="B4" s="3179"/>
      <c r="C4" s="3180"/>
      <c r="D4" s="3181"/>
      <c r="E4" s="3182"/>
      <c r="F4" s="3181"/>
      <c r="G4" s="3183"/>
      <c r="H4" s="3183" t="s">
        <v>6930</v>
      </c>
      <c r="I4" s="3183"/>
      <c r="J4" s="3183"/>
      <c r="K4" s="3172"/>
      <c r="L4" s="3172"/>
      <c r="M4" s="3172"/>
      <c r="N4" s="3172"/>
      <c r="O4" s="3172"/>
      <c r="P4" s="3173"/>
      <c r="Q4" s="3173"/>
      <c r="R4" s="3173"/>
      <c r="S4" s="3173"/>
    </row>
    <row r="5" spans="1:19" ht="21.95" customHeight="1" thickTop="1">
      <c r="A5" s="3184"/>
      <c r="B5" s="3185" t="s">
        <v>6751</v>
      </c>
      <c r="C5" s="3186" t="s">
        <v>6931</v>
      </c>
      <c r="D5" s="3187" t="s">
        <v>6932</v>
      </c>
      <c r="E5" s="3188" t="s">
        <v>6933</v>
      </c>
      <c r="F5" s="3187" t="s">
        <v>6934</v>
      </c>
      <c r="G5" s="3187" t="s">
        <v>6935</v>
      </c>
      <c r="H5" s="3189" t="s">
        <v>6936</v>
      </c>
      <c r="I5" s="3189" t="s">
        <v>6937</v>
      </c>
      <c r="J5" s="3189" t="s">
        <v>6938</v>
      </c>
    </row>
    <row r="6" spans="1:19" ht="21.95" customHeight="1">
      <c r="B6" s="3191" t="s">
        <v>5262</v>
      </c>
      <c r="C6" s="3192"/>
      <c r="D6" s="3193">
        <f>Notes!I330</f>
        <v>18436472.039999999</v>
      </c>
      <c r="E6" s="3194">
        <f>Notes!H330</f>
        <v>20279942.379999999</v>
      </c>
      <c r="F6" s="3195"/>
      <c r="G6" s="3195"/>
      <c r="H6" s="3196">
        <f>E6+F6-G6</f>
        <v>20279942.379999999</v>
      </c>
      <c r="I6" s="3196"/>
      <c r="J6" s="3196"/>
      <c r="K6" s="3172"/>
      <c r="L6" s="3172"/>
      <c r="M6" s="3172"/>
      <c r="N6" s="3172"/>
      <c r="O6" s="3172"/>
      <c r="P6" s="3173"/>
      <c r="Q6" s="3173"/>
      <c r="R6" s="3173"/>
      <c r="S6" s="3173"/>
    </row>
    <row r="7" spans="1:19" ht="21.95" customHeight="1">
      <c r="B7" s="3191" t="s">
        <v>6843</v>
      </c>
      <c r="C7" s="3192"/>
      <c r="D7" s="3193">
        <f>Notes!I331+AJE!P20</f>
        <v>2865673.66</v>
      </c>
      <c r="E7" s="3193">
        <f>Notes!H331</f>
        <v>4797822.0999999996</v>
      </c>
      <c r="F7" s="3195"/>
      <c r="G7" s="3195"/>
      <c r="H7" s="3196">
        <f>E7+G7-F7</f>
        <v>4797822.0999999996</v>
      </c>
      <c r="I7" s="3196"/>
      <c r="J7" s="3196">
        <f>H7-D7</f>
        <v>1932148.44</v>
      </c>
      <c r="K7" s="3197"/>
      <c r="L7" s="3172"/>
      <c r="M7" s="3172"/>
      <c r="N7" s="3172"/>
      <c r="O7" s="3172"/>
      <c r="P7" s="3173"/>
      <c r="Q7" s="3173"/>
      <c r="R7" s="3173"/>
      <c r="S7" s="3173"/>
    </row>
    <row r="8" spans="1:19" ht="21.95" customHeight="1">
      <c r="B8" s="3198" t="s">
        <v>6939</v>
      </c>
      <c r="C8" s="3192"/>
      <c r="D8" s="3193">
        <f>D6-D7</f>
        <v>15570798.380000001</v>
      </c>
      <c r="E8" s="3195">
        <f>E6-E7</f>
        <v>15482120.279999999</v>
      </c>
      <c r="F8" s="3195">
        <f>F6-F7</f>
        <v>0</v>
      </c>
      <c r="G8" s="3195">
        <f>G6-G7</f>
        <v>0</v>
      </c>
      <c r="H8" s="3196">
        <f>H6-H7</f>
        <v>15482120.279999999</v>
      </c>
      <c r="I8" s="3196">
        <f>BS!G13</f>
        <v>15482120.279999999</v>
      </c>
      <c r="J8" s="3196">
        <f>H8-I8</f>
        <v>0</v>
      </c>
      <c r="K8" s="3197"/>
      <c r="L8" s="3172"/>
      <c r="M8" s="3172"/>
      <c r="N8" s="3172"/>
      <c r="O8" s="3172"/>
      <c r="P8" s="3173"/>
      <c r="Q8" s="3173"/>
      <c r="R8" s="3173"/>
      <c r="S8" s="3173"/>
    </row>
    <row r="9" spans="1:19" ht="21.95" customHeight="1">
      <c r="B9" s="3191" t="s">
        <v>5615</v>
      </c>
      <c r="C9" s="3192"/>
      <c r="D9" s="3199">
        <f>Notes!I1002</f>
        <v>347257.59</v>
      </c>
      <c r="E9" s="3200">
        <f>Notes!H1002</f>
        <v>2219135.13</v>
      </c>
      <c r="F9" s="3195"/>
      <c r="G9" s="3195"/>
      <c r="H9" s="3196">
        <f>E9+F9-G9</f>
        <v>2219135.13</v>
      </c>
      <c r="I9" s="3196"/>
      <c r="J9" s="3196"/>
      <c r="K9" s="3197"/>
      <c r="L9" s="3172"/>
      <c r="M9" s="3172"/>
      <c r="N9" s="3172"/>
      <c r="O9" s="3172"/>
      <c r="P9" s="3173"/>
      <c r="Q9" s="3173"/>
      <c r="R9" s="3173"/>
      <c r="S9" s="3173"/>
    </row>
    <row r="10" spans="1:19" ht="21.95" customHeight="1">
      <c r="B10" s="3191" t="s">
        <v>6940</v>
      </c>
      <c r="C10" s="3192"/>
      <c r="D10" s="3199">
        <f>Notes!I1003</f>
        <v>19238.12</v>
      </c>
      <c r="E10" s="3200">
        <f>Notes!H1003</f>
        <v>10987.92</v>
      </c>
      <c r="F10" s="3195"/>
      <c r="G10" s="3195"/>
      <c r="H10" s="3196">
        <f>E10+G10-F10</f>
        <v>10987.92</v>
      </c>
      <c r="I10" s="3196"/>
      <c r="J10" s="3196">
        <f>H10-D10</f>
        <v>-8250.2000000000007</v>
      </c>
      <c r="K10" s="3201"/>
      <c r="L10" s="3172"/>
      <c r="M10" s="3172"/>
      <c r="N10" s="3172"/>
      <c r="O10" s="3172"/>
      <c r="P10" s="3173"/>
      <c r="Q10" s="3173"/>
      <c r="R10" s="3173"/>
      <c r="S10" s="3173"/>
    </row>
    <row r="11" spans="1:19" ht="21.95" customHeight="1">
      <c r="B11" s="3198" t="s">
        <v>6941</v>
      </c>
      <c r="C11" s="3192"/>
      <c r="D11" s="3195">
        <f>D9-D10</f>
        <v>328019.46999999997</v>
      </c>
      <c r="E11" s="3195">
        <f>E9-E10</f>
        <v>2208147.21</v>
      </c>
      <c r="F11" s="3195">
        <f>F9-F10</f>
        <v>0</v>
      </c>
      <c r="G11" s="3195">
        <f>G9-G10</f>
        <v>0</v>
      </c>
      <c r="H11" s="3196">
        <f>H9-H10</f>
        <v>2208147.21</v>
      </c>
      <c r="I11" s="3196">
        <f>BS!G16</f>
        <v>2208147.21</v>
      </c>
      <c r="J11" s="3196">
        <f>H11-I11</f>
        <v>0</v>
      </c>
      <c r="K11" s="3202"/>
      <c r="L11" s="3172"/>
      <c r="M11" s="3172"/>
      <c r="N11" s="3172"/>
      <c r="O11" s="3172"/>
      <c r="P11" s="3173"/>
      <c r="Q11" s="3173"/>
      <c r="R11" s="3173"/>
      <c r="S11" s="3173"/>
    </row>
    <row r="12" spans="1:19" ht="21.95" customHeight="1">
      <c r="B12" s="3191" t="s">
        <v>5254</v>
      </c>
      <c r="C12" s="3192"/>
      <c r="D12" s="3195"/>
      <c r="E12" s="3195"/>
      <c r="F12" s="3195"/>
      <c r="G12" s="3195"/>
      <c r="H12" s="3196">
        <f>E12+F12-G12</f>
        <v>0</v>
      </c>
      <c r="I12" s="3196"/>
      <c r="J12" s="3196"/>
      <c r="K12" s="3202"/>
      <c r="L12" s="3172"/>
      <c r="M12" s="3172"/>
      <c r="N12" s="3172"/>
      <c r="O12" s="3172"/>
      <c r="P12" s="3173"/>
      <c r="Q12" s="3173"/>
      <c r="R12" s="3173"/>
      <c r="S12" s="3173"/>
    </row>
    <row r="13" spans="1:19" ht="21.95" customHeight="1">
      <c r="B13" s="3191" t="s">
        <v>6942</v>
      </c>
      <c r="C13" s="3192"/>
      <c r="D13" s="3195"/>
      <c r="E13" s="3195"/>
      <c r="F13" s="3195"/>
      <c r="G13" s="3195"/>
      <c r="H13" s="3196">
        <f>E13+F13-G13</f>
        <v>0</v>
      </c>
      <c r="I13" s="3196"/>
      <c r="J13" s="3196">
        <f>H13-D13</f>
        <v>0</v>
      </c>
      <c r="K13" s="3202"/>
      <c r="L13" s="3172"/>
      <c r="M13" s="3172"/>
      <c r="N13" s="3172"/>
      <c r="O13" s="3172"/>
      <c r="P13" s="3173"/>
      <c r="Q13" s="3173"/>
      <c r="R13" s="3173"/>
      <c r="S13" s="3173"/>
    </row>
    <row r="14" spans="1:19" ht="21.95" customHeight="1">
      <c r="B14" s="3198" t="s">
        <v>6943</v>
      </c>
      <c r="C14" s="3192"/>
      <c r="D14" s="3195"/>
      <c r="E14" s="3195">
        <f>E12-E13</f>
        <v>0</v>
      </c>
      <c r="F14" s="3195"/>
      <c r="G14" s="3195"/>
      <c r="H14" s="3196">
        <f>H12-H13</f>
        <v>0</v>
      </c>
      <c r="I14" s="3196"/>
      <c r="J14" s="3196"/>
      <c r="K14" s="3202"/>
      <c r="L14" s="3172"/>
      <c r="M14" s="3172"/>
      <c r="N14" s="3172"/>
      <c r="O14" s="3172"/>
      <c r="P14" s="3173"/>
      <c r="Q14" s="3173"/>
      <c r="R14" s="3173"/>
      <c r="S14" s="3173"/>
    </row>
    <row r="15" spans="1:19" ht="21.95" customHeight="1">
      <c r="B15" s="3191" t="s">
        <v>6944</v>
      </c>
      <c r="C15" s="3192"/>
      <c r="D15" s="3193">
        <f>Notes!K1634</f>
        <v>12797884.34</v>
      </c>
      <c r="E15" s="3203">
        <f>Notes!H1634</f>
        <v>14269137.289999999</v>
      </c>
      <c r="F15" s="3195"/>
      <c r="G15" s="3195"/>
      <c r="H15" s="3196">
        <f>E15+F15-G15</f>
        <v>14269137.289999999</v>
      </c>
      <c r="I15" s="3196"/>
      <c r="J15" s="3196"/>
      <c r="K15" s="3172"/>
      <c r="L15" s="3172"/>
      <c r="M15" s="3172"/>
      <c r="N15" s="3172"/>
      <c r="O15" s="3172"/>
      <c r="P15" s="3173"/>
      <c r="Q15" s="3173"/>
      <c r="R15" s="3173"/>
      <c r="S15" s="3173"/>
    </row>
    <row r="16" spans="1:19" ht="21.95" customHeight="1">
      <c r="B16" s="3191" t="s">
        <v>6945</v>
      </c>
      <c r="C16" s="3192"/>
      <c r="D16" s="3193">
        <f>Notes!L1634</f>
        <v>58285.06</v>
      </c>
      <c r="E16" s="3204">
        <f>Notes!I1634</f>
        <v>289567.38</v>
      </c>
      <c r="F16" s="3195"/>
      <c r="G16" s="3195"/>
      <c r="H16" s="3196">
        <f>E16+G16-F16</f>
        <v>289567.38</v>
      </c>
      <c r="I16" s="3196"/>
      <c r="J16" s="3196">
        <f>H16-D16</f>
        <v>231282.32</v>
      </c>
      <c r="K16" s="3205"/>
      <c r="L16" s="3172"/>
      <c r="M16" s="3172"/>
      <c r="N16" s="3172"/>
      <c r="O16" s="3172"/>
      <c r="P16" s="3173"/>
      <c r="Q16" s="3173"/>
      <c r="R16" s="3173"/>
      <c r="S16" s="3173"/>
    </row>
    <row r="17" spans="1:19" ht="21.95" customHeight="1">
      <c r="B17" s="3198" t="s">
        <v>6946</v>
      </c>
      <c r="C17" s="3192"/>
      <c r="D17" s="3193">
        <f>D15-D16</f>
        <v>12739599.279999999</v>
      </c>
      <c r="E17" s="3195">
        <f>E15-E16</f>
        <v>13979569.91</v>
      </c>
      <c r="F17" s="3195">
        <f>F15-F16</f>
        <v>0</v>
      </c>
      <c r="G17" s="3195">
        <f>G15-G16</f>
        <v>0</v>
      </c>
      <c r="H17" s="3196">
        <f>H15-H16</f>
        <v>13979569.91</v>
      </c>
      <c r="I17" s="3196">
        <f>BS!G19</f>
        <v>13979569.91</v>
      </c>
      <c r="J17" s="3196">
        <f>H17-I17</f>
        <v>0</v>
      </c>
      <c r="K17" s="3172"/>
      <c r="L17" s="3172"/>
      <c r="M17" s="3172"/>
      <c r="N17" s="3172"/>
      <c r="O17" s="3172"/>
      <c r="P17" s="3173"/>
      <c r="Q17" s="3173"/>
      <c r="R17" s="3173"/>
      <c r="S17" s="3173"/>
    </row>
    <row r="18" spans="1:19" ht="21.95" customHeight="1">
      <c r="B18" s="3191" t="s">
        <v>6947</v>
      </c>
      <c r="C18" s="3192"/>
      <c r="D18" s="3195"/>
      <c r="E18" s="3204"/>
      <c r="F18" s="3195"/>
      <c r="G18" s="3195"/>
      <c r="H18" s="3196">
        <f t="shared" ref="H18:H25" si="0">E18+G18-F18</f>
        <v>0</v>
      </c>
      <c r="I18" s="3196"/>
      <c r="J18" s="3196"/>
      <c r="K18" s="3172"/>
      <c r="L18" s="3172"/>
      <c r="M18" s="3172"/>
      <c r="N18" s="3172"/>
      <c r="O18" s="3172"/>
      <c r="P18" s="3173"/>
      <c r="Q18" s="3173"/>
      <c r="R18" s="3173"/>
      <c r="S18" s="3173"/>
    </row>
    <row r="19" spans="1:19" ht="21.95" customHeight="1">
      <c r="B19" s="3191" t="s">
        <v>6948</v>
      </c>
      <c r="C19" s="3192"/>
      <c r="D19" s="3195"/>
      <c r="E19" s="3204"/>
      <c r="F19" s="3195"/>
      <c r="G19" s="3195"/>
      <c r="H19" s="3196">
        <f t="shared" si="0"/>
        <v>0</v>
      </c>
      <c r="I19" s="3196"/>
      <c r="J19" s="3196"/>
      <c r="K19" s="3172"/>
      <c r="L19" s="3172"/>
      <c r="M19" s="3172"/>
      <c r="N19" s="3172"/>
      <c r="O19" s="3172"/>
      <c r="P19" s="3173"/>
      <c r="Q19" s="3173"/>
      <c r="R19" s="3173"/>
      <c r="S19" s="3173"/>
    </row>
    <row r="20" spans="1:19" ht="21.95" customHeight="1">
      <c r="B20" s="3191" t="s">
        <v>6949</v>
      </c>
      <c r="C20" s="3192"/>
      <c r="D20" s="3195"/>
      <c r="E20" s="3204"/>
      <c r="F20" s="3195"/>
      <c r="G20" s="3195"/>
      <c r="H20" s="3196">
        <f t="shared" si="0"/>
        <v>0</v>
      </c>
      <c r="I20" s="3196"/>
      <c r="J20" s="3196"/>
      <c r="K20" s="3172"/>
      <c r="L20" s="3172"/>
      <c r="M20" s="3172"/>
      <c r="N20" s="3172"/>
      <c r="O20" s="3172"/>
      <c r="P20" s="3173"/>
      <c r="Q20" s="3173"/>
      <c r="R20" s="3173"/>
      <c r="S20" s="3173"/>
    </row>
    <row r="21" spans="1:19" ht="21.95" customHeight="1">
      <c r="B21" s="3191" t="s">
        <v>6950</v>
      </c>
      <c r="C21" s="3192"/>
      <c r="D21" s="3195"/>
      <c r="E21" s="3204"/>
      <c r="F21" s="3195"/>
      <c r="G21" s="3195"/>
      <c r="H21" s="3196">
        <f t="shared" si="0"/>
        <v>0</v>
      </c>
      <c r="I21" s="3196"/>
      <c r="J21" s="3196"/>
      <c r="K21" s="3172"/>
      <c r="L21" s="3172"/>
      <c r="M21" s="3172"/>
      <c r="N21" s="3172"/>
      <c r="O21" s="3172"/>
      <c r="P21" s="3173"/>
      <c r="Q21" s="3173"/>
      <c r="R21" s="3173"/>
      <c r="S21" s="3173"/>
    </row>
    <row r="22" spans="1:19" ht="21.95" customHeight="1">
      <c r="B22" s="3191" t="s">
        <v>6951</v>
      </c>
      <c r="C22" s="3192"/>
      <c r="D22" s="3195"/>
      <c r="E22" s="3204"/>
      <c r="F22" s="3195"/>
      <c r="G22" s="3195"/>
      <c r="H22" s="3196">
        <f t="shared" si="0"/>
        <v>0</v>
      </c>
      <c r="I22" s="3196"/>
      <c r="J22" s="3196"/>
      <c r="K22" s="3172"/>
      <c r="L22" s="3172"/>
      <c r="M22" s="3172"/>
      <c r="N22" s="3172"/>
      <c r="O22" s="3172"/>
      <c r="P22" s="3173"/>
      <c r="Q22" s="3173"/>
      <c r="R22" s="3173"/>
      <c r="S22" s="3173"/>
    </row>
    <row r="23" spans="1:19" ht="21.95" customHeight="1">
      <c r="B23" s="3191" t="s">
        <v>6952</v>
      </c>
      <c r="C23" s="3192"/>
      <c r="D23" s="3195"/>
      <c r="E23" s="3204"/>
      <c r="F23" s="3195"/>
      <c r="G23" s="3195"/>
      <c r="H23" s="3196">
        <f t="shared" si="0"/>
        <v>0</v>
      </c>
      <c r="I23" s="3196"/>
      <c r="J23" s="3196"/>
      <c r="K23" s="3172"/>
      <c r="L23" s="3172"/>
      <c r="M23" s="3172"/>
      <c r="N23" s="3172"/>
      <c r="O23" s="3172"/>
      <c r="P23" s="3173"/>
      <c r="Q23" s="3173"/>
      <c r="R23" s="3173"/>
      <c r="S23" s="3173"/>
    </row>
    <row r="24" spans="1:19" ht="21.95" customHeight="1">
      <c r="B24" s="3191" t="s">
        <v>6953</v>
      </c>
      <c r="C24" s="3192"/>
      <c r="D24" s="3195"/>
      <c r="E24" s="3204"/>
      <c r="F24" s="3195"/>
      <c r="G24" s="3195"/>
      <c r="H24" s="3196">
        <f t="shared" si="0"/>
        <v>0</v>
      </c>
      <c r="I24" s="3196"/>
      <c r="J24" s="3196"/>
      <c r="K24" s="3172"/>
      <c r="L24" s="3172"/>
      <c r="M24" s="3172"/>
      <c r="N24" s="3172"/>
      <c r="O24" s="3172"/>
      <c r="P24" s="3173"/>
      <c r="Q24" s="3173"/>
      <c r="R24" s="3173"/>
      <c r="S24" s="3173"/>
    </row>
    <row r="25" spans="1:19" ht="21.95" customHeight="1">
      <c r="B25" s="3191" t="s">
        <v>6954</v>
      </c>
      <c r="C25" s="3192"/>
      <c r="D25" s="3195"/>
      <c r="E25" s="3204"/>
      <c r="F25" s="3195"/>
      <c r="G25" s="3195"/>
      <c r="H25" s="3196">
        <f t="shared" si="0"/>
        <v>0</v>
      </c>
      <c r="I25" s="3196"/>
      <c r="J25" s="3196"/>
      <c r="K25" s="3172"/>
      <c r="L25" s="3172"/>
      <c r="M25" s="3172"/>
      <c r="N25" s="3172"/>
      <c r="O25" s="3172"/>
      <c r="P25" s="3173"/>
      <c r="Q25" s="3173"/>
      <c r="R25" s="3173"/>
      <c r="S25" s="3173"/>
    </row>
    <row r="26" spans="1:19" ht="22.5" customHeight="1">
      <c r="B26" s="3206"/>
      <c r="C26" s="3207"/>
      <c r="D26" s="3208"/>
      <c r="E26" s="3207"/>
      <c r="F26" s="3209"/>
      <c r="G26" s="3209"/>
      <c r="H26" s="3210"/>
      <c r="I26" s="3210"/>
      <c r="J26" s="3210">
        <f>SUM(J6:J25)</f>
        <v>2155180.56</v>
      </c>
    </row>
    <row r="27" spans="1:19" ht="21" customHeight="1" thickBot="1">
      <c r="B27" s="3211"/>
      <c r="C27" s="3212"/>
      <c r="D27" s="3213"/>
      <c r="E27" s="3212"/>
      <c r="F27" s="3213"/>
      <c r="G27" s="3213"/>
      <c r="H27" s="3214"/>
      <c r="I27" s="3214"/>
      <c r="J27" s="3214">
        <f>IS!E22+IS!E23</f>
        <v>-2788538.33</v>
      </c>
    </row>
    <row r="28" spans="1:19" ht="18" customHeight="1" thickTop="1">
      <c r="A28" s="3215"/>
      <c r="B28" s="3216"/>
      <c r="C28" s="3217"/>
      <c r="D28" s="3218"/>
      <c r="E28" s="3217"/>
      <c r="F28" s="3217"/>
      <c r="G28" s="3219"/>
      <c r="H28" s="3219"/>
      <c r="I28" s="3219"/>
      <c r="J28" s="3219"/>
    </row>
    <row r="29" spans="1:19" ht="18" customHeight="1">
      <c r="B29" s="3220"/>
      <c r="C29" s="3221"/>
      <c r="D29" s="3222"/>
      <c r="E29" s="3223"/>
      <c r="F29" s="3223"/>
      <c r="G29" s="3223"/>
      <c r="H29" s="3223"/>
      <c r="I29" s="3224"/>
      <c r="J29" s="3225">
        <f>J26+J27</f>
        <v>-633357.77</v>
      </c>
    </row>
    <row r="30" spans="1:19" ht="18" customHeight="1">
      <c r="B30" s="3173"/>
      <c r="C30" s="3221"/>
      <c r="D30" s="3226"/>
      <c r="E30" s="3173"/>
      <c r="F30" s="3226"/>
      <c r="G30" s="3227"/>
      <c r="H30" s="3227"/>
      <c r="I30" s="3228"/>
      <c r="J30" s="3227"/>
    </row>
    <row r="32" spans="1:19" ht="18" customHeight="1">
      <c r="I32" s="3231"/>
    </row>
  </sheetData>
  <mergeCells count="2">
    <mergeCell ref="B1:G1"/>
    <mergeCell ref="B2:G2"/>
  </mergeCells>
  <phoneticPr fontId="16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R93"/>
  <sheetViews>
    <sheetView workbookViewId="0">
      <selection activeCell="E9" sqref="E9"/>
    </sheetView>
  </sheetViews>
  <sheetFormatPr defaultColWidth="9.140625" defaultRowHeight="12"/>
  <cols>
    <col min="1" max="1" width="4.28515625" style="1" customWidth="1"/>
    <col min="2" max="2" width="6.28515625" style="1" customWidth="1"/>
    <col min="3" max="3" width="8.7109375" style="1" customWidth="1"/>
    <col min="4" max="4" width="0.140625" style="637" customWidth="1"/>
    <col min="5" max="5" width="15.7109375" style="1" customWidth="1"/>
    <col min="6" max="6" width="9.7109375" style="1" customWidth="1"/>
    <col min="7" max="7" width="12.7109375" style="1" customWidth="1"/>
    <col min="8" max="8" width="8.7109375" style="1" customWidth="1"/>
    <col min="9" max="9" width="0.140625" style="637" customWidth="1"/>
    <col min="10" max="10" width="15.7109375" style="1" customWidth="1"/>
    <col min="11" max="11" width="9.7109375" style="1" customWidth="1"/>
    <col min="12" max="13" width="12.7109375" style="1" customWidth="1"/>
    <col min="14" max="14" width="10.7109375" style="1" customWidth="1"/>
    <col min="15" max="16384" width="9.140625" style="1"/>
  </cols>
  <sheetData>
    <row r="1" spans="1:18">
      <c r="O1" s="641"/>
      <c r="P1" s="641"/>
      <c r="Q1" s="641"/>
      <c r="R1" s="641"/>
    </row>
    <row r="2" spans="1:18" ht="18" customHeight="1">
      <c r="B2" s="1244" t="s">
        <v>2520</v>
      </c>
      <c r="C2" s="1245" t="str">
        <f>IF(Lead!$C$5="","",Lead!$C$5)</f>
        <v>福建省力菲克药业有限公司</v>
      </c>
      <c r="D2" s="1246"/>
      <c r="E2" s="1247"/>
      <c r="F2" s="1247"/>
      <c r="G2" s="1248"/>
      <c r="H2" s="1249"/>
      <c r="I2" s="1278"/>
      <c r="J2" s="1279" t="s">
        <v>2521</v>
      </c>
      <c r="K2" s="638"/>
      <c r="L2" s="1280" t="s">
        <v>2501</v>
      </c>
      <c r="M2" s="1281"/>
      <c r="N2" s="1282"/>
      <c r="O2" s="641"/>
      <c r="P2" s="641"/>
      <c r="Q2" s="641"/>
      <c r="R2" s="641"/>
    </row>
    <row r="3" spans="1:18" ht="18" customHeight="1">
      <c r="B3" s="1244" t="s">
        <v>2522</v>
      </c>
      <c r="C3" s="1250" t="s">
        <v>2539</v>
      </c>
      <c r="D3" s="1251"/>
      <c r="E3" s="1252"/>
      <c r="F3" s="1252"/>
      <c r="G3" s="1253"/>
      <c r="H3" s="1254" t="s">
        <v>2450</v>
      </c>
      <c r="I3" s="1283"/>
      <c r="J3" s="1284" t="str">
        <f>IF(Lead!$E$9="","",Lead!$E$9)</f>
        <v>孙健</v>
      </c>
      <c r="K3" s="1285"/>
      <c r="L3" s="897">
        <f>IF(Lead!$F$9="","",Lead!$F$9)</f>
        <v>43864</v>
      </c>
      <c r="M3" s="1286" t="s">
        <v>2524</v>
      </c>
      <c r="N3" s="2790" t="s">
        <v>6590</v>
      </c>
      <c r="O3" s="641"/>
      <c r="P3" s="641"/>
      <c r="Q3" s="641"/>
      <c r="R3" s="641"/>
    </row>
    <row r="4" spans="1:18" ht="18" customHeight="1">
      <c r="B4" s="1244" t="s">
        <v>2436</v>
      </c>
      <c r="C4" s="1255">
        <f>Lead!$F$5</f>
        <v>43830</v>
      </c>
      <c r="D4" s="1256"/>
      <c r="E4" s="1257"/>
      <c r="F4" s="1257"/>
      <c r="G4" s="1258"/>
      <c r="H4" s="1254" t="s">
        <v>2457</v>
      </c>
      <c r="I4" s="1283"/>
      <c r="J4" s="1287" t="str">
        <f>IF(Lead!$E$10="","",Lead!$E$10)</f>
        <v/>
      </c>
      <c r="K4" s="1285"/>
      <c r="L4" s="898" t="str">
        <f>IF(Lead!$F$10="","",Lead!$F$10)</f>
        <v/>
      </c>
      <c r="M4" s="1286" t="s">
        <v>2525</v>
      </c>
      <c r="N4" s="1288"/>
      <c r="O4" s="641"/>
      <c r="P4" s="641"/>
      <c r="Q4" s="641"/>
      <c r="R4" s="641"/>
    </row>
    <row r="5" spans="1:18" ht="12" customHeight="1">
      <c r="B5" s="1259"/>
      <c r="C5" s="1260"/>
      <c r="D5" s="1261"/>
      <c r="E5" s="1260"/>
      <c r="F5" s="1260"/>
      <c r="G5" s="1259"/>
      <c r="H5" s="1262"/>
      <c r="I5" s="1289"/>
      <c r="J5" s="1290"/>
      <c r="K5" s="1260"/>
      <c r="L5" s="1291"/>
      <c r="M5" s="1290"/>
      <c r="N5" s="1260"/>
      <c r="O5" s="641"/>
      <c r="P5" s="641"/>
      <c r="Q5" s="641"/>
      <c r="R5" s="641"/>
    </row>
    <row r="6" spans="1:18" ht="12" customHeight="1">
      <c r="O6" s="641"/>
      <c r="P6" s="641"/>
      <c r="Q6" s="641"/>
      <c r="R6" s="641"/>
    </row>
    <row r="7" spans="1:18" ht="12" hidden="1" customHeight="1">
      <c r="O7" s="641"/>
      <c r="P7" s="641"/>
      <c r="Q7" s="641"/>
      <c r="R7" s="641"/>
    </row>
    <row r="8" spans="1:18" ht="36">
      <c r="A8" s="30"/>
      <c r="B8" s="1263" t="s">
        <v>2528</v>
      </c>
      <c r="C8" s="1264" t="s">
        <v>2540</v>
      </c>
      <c r="D8" s="1265" t="s">
        <v>2541</v>
      </c>
      <c r="E8" s="1264" t="s">
        <v>2542</v>
      </c>
      <c r="F8" s="1266" t="s">
        <v>2543</v>
      </c>
      <c r="G8" s="1267" t="s">
        <v>2544</v>
      </c>
      <c r="H8" s="1268" t="s">
        <v>2545</v>
      </c>
      <c r="I8" s="1265" t="s">
        <v>2546</v>
      </c>
      <c r="J8" s="1266" t="s">
        <v>2547</v>
      </c>
      <c r="K8" s="1266" t="s">
        <v>2548</v>
      </c>
      <c r="L8" s="1267" t="s">
        <v>2549</v>
      </c>
      <c r="M8" s="1268" t="s">
        <v>2550</v>
      </c>
      <c r="N8" s="1292" t="s">
        <v>2551</v>
      </c>
      <c r="O8" s="641"/>
      <c r="P8" s="641"/>
      <c r="Q8" s="641"/>
      <c r="R8" s="641"/>
    </row>
    <row r="9" spans="1:18" ht="18">
      <c r="A9" s="30"/>
      <c r="B9" s="31" t="s">
        <v>58</v>
      </c>
      <c r="C9" s="35" t="s">
        <v>59</v>
      </c>
      <c r="D9" s="1269">
        <v>1999</v>
      </c>
      <c r="E9" s="3073" t="str">
        <f t="shared" ref="E9:E40" si="0">VLOOKUP(D9,Sheet_Items,2,0)</f>
        <v>资产</v>
      </c>
      <c r="F9" s="1270">
        <f>Area_RepDate</f>
        <v>43830</v>
      </c>
      <c r="G9" s="3078">
        <f ca="1">INDIRECT(C9&amp;"!CheckA"&amp;D9)</f>
        <v>63138219.909999996</v>
      </c>
      <c r="H9" s="1271" t="s">
        <v>59</v>
      </c>
      <c r="I9" s="1269">
        <v>5000</v>
      </c>
      <c r="J9" s="3073" t="str">
        <f t="shared" ref="J9:J40" si="1">VLOOKUP(I9,Sheet_Items,2,0)</f>
        <v>负债和所有者权益</v>
      </c>
      <c r="K9" s="1270">
        <f>Area_RepDate</f>
        <v>43830</v>
      </c>
      <c r="L9" s="3078">
        <f ca="1">INDIRECT(H9&amp;"!CheckA"&amp;I9)</f>
        <v>63138219.909999996</v>
      </c>
      <c r="M9" s="70">
        <f t="shared" ref="M9:M40" ca="1" si="2">ROUND(G9-L9,2)</f>
        <v>0</v>
      </c>
      <c r="N9" s="1293" t="str">
        <f t="shared" ref="N9:N40" ca="1" si="3">IF(M9=0,"√","×")</f>
        <v>√</v>
      </c>
      <c r="O9" s="641"/>
      <c r="P9" s="641"/>
      <c r="Q9" s="641"/>
      <c r="R9" s="641"/>
    </row>
    <row r="10" spans="1:18" ht="24">
      <c r="A10" s="30"/>
      <c r="B10" s="3066" t="s">
        <v>79</v>
      </c>
      <c r="C10" s="3067" t="s">
        <v>59</v>
      </c>
      <c r="D10" s="3068">
        <v>1999</v>
      </c>
      <c r="E10" s="3074" t="str">
        <f t="shared" si="0"/>
        <v>资产</v>
      </c>
      <c r="F10" s="3069">
        <f>Area_RepDate1</f>
        <v>43465</v>
      </c>
      <c r="G10" s="3079">
        <f ca="1">INDIRECT(C10&amp;"!CheckB"&amp;D10)</f>
        <v>59007107.990000002</v>
      </c>
      <c r="H10" s="3070" t="s">
        <v>59</v>
      </c>
      <c r="I10" s="3068">
        <v>5000</v>
      </c>
      <c r="J10" s="3074" t="str">
        <f t="shared" si="1"/>
        <v>负债和所有者权益</v>
      </c>
      <c r="K10" s="3069">
        <f>Area_RepDate1</f>
        <v>43465</v>
      </c>
      <c r="L10" s="3079">
        <f ca="1">INDIRECT(H10&amp;"!CheckB"&amp;I10)</f>
        <v>59007107.990000002</v>
      </c>
      <c r="M10" s="3071">
        <f t="shared" ca="1" si="2"/>
        <v>0</v>
      </c>
      <c r="N10" s="3072" t="str">
        <f t="shared" ca="1" si="3"/>
        <v>√</v>
      </c>
      <c r="O10" s="641"/>
      <c r="P10" s="641"/>
      <c r="Q10" s="641"/>
      <c r="R10" s="641"/>
    </row>
    <row r="11" spans="1:18" ht="24">
      <c r="A11" s="30"/>
      <c r="B11" s="3066" t="s">
        <v>96</v>
      </c>
      <c r="C11" s="3067" t="s">
        <v>97</v>
      </c>
      <c r="D11" s="3068">
        <v>6811</v>
      </c>
      <c r="E11" s="3075" t="str">
        <f t="shared" si="0"/>
        <v>归属于母公司所有者的净利润</v>
      </c>
      <c r="F11" s="3069" t="str">
        <f>Area_RepDuration</f>
        <v>2019年度</v>
      </c>
      <c r="G11" s="3080">
        <f ca="1">INDIRECT(C11&amp;"!CheckA"&amp;D11)</f>
        <v>80463.97</v>
      </c>
      <c r="H11" s="3070" t="s">
        <v>99</v>
      </c>
      <c r="I11" s="3068">
        <v>8740</v>
      </c>
      <c r="J11" s="3075" t="str">
        <f t="shared" si="1"/>
        <v>未分配利润_综合收益总额增加权益</v>
      </c>
      <c r="K11" s="3069" t="str">
        <f>Area_RepDuration</f>
        <v>2019年度</v>
      </c>
      <c r="L11" s="3080">
        <f ca="1">INDIRECT(H11&amp;"!CheckA"&amp;I11)</f>
        <v>80463.97</v>
      </c>
      <c r="M11" s="3071">
        <f t="shared" ca="1" si="2"/>
        <v>0</v>
      </c>
      <c r="N11" s="3072" t="str">
        <f t="shared" ca="1" si="3"/>
        <v>√</v>
      </c>
      <c r="O11" s="641"/>
      <c r="P11" s="641"/>
      <c r="Q11" s="641"/>
      <c r="R11" s="641"/>
    </row>
    <row r="12" spans="1:18" ht="36">
      <c r="A12" s="30"/>
      <c r="B12" s="3066" t="s">
        <v>115</v>
      </c>
      <c r="C12" s="3067" t="s">
        <v>97</v>
      </c>
      <c r="D12" s="3068">
        <v>6811</v>
      </c>
      <c r="E12" s="3074" t="str">
        <f t="shared" si="0"/>
        <v>归属于母公司所有者的净利润</v>
      </c>
      <c r="F12" s="3069" t="str">
        <f>Area_RepDuration1</f>
        <v>2018年度</v>
      </c>
      <c r="G12" s="3079">
        <f ca="1">INDIRECT(C12&amp;"!CheckB"&amp;D12)</f>
        <v>520228.91</v>
      </c>
      <c r="H12" s="3070" t="s">
        <v>99</v>
      </c>
      <c r="I12" s="3068">
        <v>8740</v>
      </c>
      <c r="J12" s="3074" t="str">
        <f t="shared" si="1"/>
        <v>未分配利润_综合收益总额增加权益</v>
      </c>
      <c r="K12" s="3069" t="str">
        <f>Area_RepDuration1</f>
        <v>2018年度</v>
      </c>
      <c r="L12" s="3079">
        <f ca="1">INDIRECT(H12&amp;"!CheckB"&amp;I12)</f>
        <v>520228.91</v>
      </c>
      <c r="M12" s="3071">
        <f t="shared" ca="1" si="2"/>
        <v>0</v>
      </c>
      <c r="N12" s="3072" t="str">
        <f t="shared" ca="1" si="3"/>
        <v>√</v>
      </c>
      <c r="O12" s="641"/>
      <c r="P12" s="641"/>
      <c r="Q12" s="641"/>
      <c r="R12" s="641"/>
    </row>
    <row r="13" spans="1:18" ht="24">
      <c r="A13" s="30"/>
      <c r="B13" s="3066" t="s">
        <v>130</v>
      </c>
      <c r="C13" s="3067" t="s">
        <v>97</v>
      </c>
      <c r="D13" s="3068">
        <v>6839</v>
      </c>
      <c r="E13" s="3075" t="str">
        <f t="shared" si="0"/>
        <v>综合收益总额</v>
      </c>
      <c r="F13" s="3069" t="str">
        <f>Area_RepDuration</f>
        <v>2019年度</v>
      </c>
      <c r="G13" s="3080">
        <f ca="1">INDIRECT(C13&amp;"!CheckA"&amp;D13)</f>
        <v>80463.97</v>
      </c>
      <c r="H13" s="3070" t="s">
        <v>99</v>
      </c>
      <c r="I13" s="3068">
        <v>8040</v>
      </c>
      <c r="J13" s="3075" t="str">
        <f t="shared" si="1"/>
        <v>所有者权益_综合收益总额增加权益</v>
      </c>
      <c r="K13" s="3069" t="str">
        <f>Area_RepDuration</f>
        <v>2019年度</v>
      </c>
      <c r="L13" s="3080">
        <f ca="1">INDIRECT(H13&amp;"!CheckA"&amp;I13)</f>
        <v>80463.97</v>
      </c>
      <c r="M13" s="3071">
        <f t="shared" ca="1" si="2"/>
        <v>0</v>
      </c>
      <c r="N13" s="3072" t="str">
        <f t="shared" ca="1" si="3"/>
        <v>√</v>
      </c>
      <c r="O13" s="641"/>
      <c r="P13" s="641"/>
      <c r="Q13" s="641"/>
      <c r="R13" s="641"/>
    </row>
    <row r="14" spans="1:18" ht="36">
      <c r="A14" s="30"/>
      <c r="B14" s="3066" t="s">
        <v>143</v>
      </c>
      <c r="C14" s="3067" t="s">
        <v>97</v>
      </c>
      <c r="D14" s="3068">
        <v>6839</v>
      </c>
      <c r="E14" s="3074" t="str">
        <f t="shared" si="0"/>
        <v>综合收益总额</v>
      </c>
      <c r="F14" s="3069" t="str">
        <f>Area_RepDuration1</f>
        <v>2018年度</v>
      </c>
      <c r="G14" s="3079">
        <f ca="1">INDIRECT(C14&amp;"!CheckB"&amp;D14)</f>
        <v>520228.91</v>
      </c>
      <c r="H14" s="3070" t="s">
        <v>99</v>
      </c>
      <c r="I14" s="3068">
        <v>8040</v>
      </c>
      <c r="J14" s="3074" t="str">
        <f t="shared" si="1"/>
        <v>所有者权益_综合收益总额增加权益</v>
      </c>
      <c r="K14" s="3069" t="str">
        <f>Area_RepDuration1</f>
        <v>2018年度</v>
      </c>
      <c r="L14" s="3079">
        <f ca="1">INDIRECT(H14&amp;"!CheckB"&amp;I14)</f>
        <v>520228.91</v>
      </c>
      <c r="M14" s="3071">
        <f t="shared" ca="1" si="2"/>
        <v>0</v>
      </c>
      <c r="N14" s="3072" t="str">
        <f t="shared" ca="1" si="3"/>
        <v>√</v>
      </c>
      <c r="O14" s="641"/>
      <c r="P14" s="641"/>
      <c r="Q14" s="641"/>
      <c r="R14" s="641"/>
    </row>
    <row r="15" spans="1:18" ht="36">
      <c r="A15" s="30"/>
      <c r="B15" s="3066" t="s">
        <v>155</v>
      </c>
      <c r="C15" s="3067" t="s">
        <v>97</v>
      </c>
      <c r="D15" s="3068">
        <v>6842</v>
      </c>
      <c r="E15" s="3075" t="str">
        <f t="shared" si="0"/>
        <v>归属于少数股东的综合收益总额</v>
      </c>
      <c r="F15" s="3069" t="str">
        <f>Area_RepDuration</f>
        <v>2019年度</v>
      </c>
      <c r="G15" s="3080">
        <f ca="1">INDIRECT(C15&amp;"!CheckA"&amp;D15)</f>
        <v>0</v>
      </c>
      <c r="H15" s="3070" t="s">
        <v>99</v>
      </c>
      <c r="I15" s="3068">
        <v>8940</v>
      </c>
      <c r="J15" s="3075" t="str">
        <f t="shared" si="1"/>
        <v>少数股东权益_综合收益总额增加权益</v>
      </c>
      <c r="K15" s="3069" t="str">
        <f>Area_RepDuration</f>
        <v>2019年度</v>
      </c>
      <c r="L15" s="3080">
        <f ca="1">INDIRECT(H15&amp;"!CheckA"&amp;I15)</f>
        <v>0</v>
      </c>
      <c r="M15" s="3071">
        <f t="shared" ca="1" si="2"/>
        <v>0</v>
      </c>
      <c r="N15" s="3072" t="str">
        <f t="shared" ca="1" si="3"/>
        <v>√</v>
      </c>
      <c r="O15" s="641"/>
      <c r="P15" s="641"/>
      <c r="Q15" s="641"/>
      <c r="R15" s="641"/>
    </row>
    <row r="16" spans="1:18" ht="36">
      <c r="A16" s="30"/>
      <c r="B16" s="3066" t="s">
        <v>166</v>
      </c>
      <c r="C16" s="3067" t="s">
        <v>97</v>
      </c>
      <c r="D16" s="3068">
        <v>6842</v>
      </c>
      <c r="E16" s="3074" t="str">
        <f t="shared" si="0"/>
        <v>归属于少数股东的综合收益总额</v>
      </c>
      <c r="F16" s="3069" t="str">
        <f>Area_RepDuration1</f>
        <v>2018年度</v>
      </c>
      <c r="G16" s="3079">
        <f ca="1">INDIRECT(C16&amp;"!CheckB"&amp;D16)</f>
        <v>0</v>
      </c>
      <c r="H16" s="3070" t="s">
        <v>99</v>
      </c>
      <c r="I16" s="3068">
        <v>8940</v>
      </c>
      <c r="J16" s="3074" t="str">
        <f t="shared" si="1"/>
        <v>少数股东权益_综合收益总额增加权益</v>
      </c>
      <c r="K16" s="3069" t="str">
        <f t="shared" ref="K16:K25" si="4">Area_RepDuration1</f>
        <v>2018年度</v>
      </c>
      <c r="L16" s="3079">
        <f t="shared" ref="L16:L25" ca="1" si="5">INDIRECT(H16&amp;"!CheckB"&amp;I16)</f>
        <v>0</v>
      </c>
      <c r="M16" s="3071">
        <f t="shared" ca="1" si="2"/>
        <v>0</v>
      </c>
      <c r="N16" s="3072" t="str">
        <f t="shared" ca="1" si="3"/>
        <v>√</v>
      </c>
      <c r="O16" s="641"/>
      <c r="P16" s="641"/>
      <c r="Q16" s="641"/>
      <c r="R16" s="641"/>
    </row>
    <row r="17" spans="1:18" ht="24">
      <c r="A17" s="30"/>
      <c r="B17" s="3066" t="s">
        <v>175</v>
      </c>
      <c r="C17" s="3067" t="s">
        <v>99</v>
      </c>
      <c r="D17" s="3068">
        <v>8110</v>
      </c>
      <c r="E17" s="3075" t="str">
        <f t="shared" si="0"/>
        <v>实收资本_本年年初余额</v>
      </c>
      <c r="F17" s="3069" t="str">
        <f t="shared" ref="F17:F26" si="6">Area_RepDuration</f>
        <v>2019年度</v>
      </c>
      <c r="G17" s="3080">
        <f t="shared" ref="G17:G26" ca="1" si="7">INDIRECT(C17&amp;"!CheckA"&amp;D17)</f>
        <v>30000000</v>
      </c>
      <c r="H17" s="3070" t="s">
        <v>99</v>
      </c>
      <c r="I17" s="3068">
        <v>8199</v>
      </c>
      <c r="J17" s="3074" t="str">
        <f t="shared" si="1"/>
        <v>实收资本_本期期末余额</v>
      </c>
      <c r="K17" s="3069" t="str">
        <f t="shared" si="4"/>
        <v>2018年度</v>
      </c>
      <c r="L17" s="3079">
        <f t="shared" ca="1" si="5"/>
        <v>30000000</v>
      </c>
      <c r="M17" s="3071">
        <f t="shared" ca="1" si="2"/>
        <v>0</v>
      </c>
      <c r="N17" s="3072" t="str">
        <f t="shared" ca="1" si="3"/>
        <v>√</v>
      </c>
      <c r="O17" s="641"/>
      <c r="P17" s="641"/>
      <c r="Q17" s="641"/>
      <c r="R17" s="641"/>
    </row>
    <row r="18" spans="1:18" ht="24">
      <c r="A18" s="30"/>
      <c r="B18" s="3066" t="s">
        <v>184</v>
      </c>
      <c r="C18" s="3067" t="s">
        <v>99</v>
      </c>
      <c r="D18" s="3068">
        <v>8210</v>
      </c>
      <c r="E18" s="3075" t="str">
        <f t="shared" si="0"/>
        <v>资本公积_本年年初余额</v>
      </c>
      <c r="F18" s="3069" t="str">
        <f t="shared" si="6"/>
        <v>2019年度</v>
      </c>
      <c r="G18" s="3080">
        <f t="shared" ca="1" si="7"/>
        <v>0</v>
      </c>
      <c r="H18" s="3070" t="s">
        <v>99</v>
      </c>
      <c r="I18" s="3068">
        <v>8299</v>
      </c>
      <c r="J18" s="3074" t="str">
        <f t="shared" si="1"/>
        <v>资本公积_本期期末余额</v>
      </c>
      <c r="K18" s="3069" t="str">
        <f t="shared" si="4"/>
        <v>2018年度</v>
      </c>
      <c r="L18" s="3079">
        <f t="shared" ca="1" si="5"/>
        <v>0</v>
      </c>
      <c r="M18" s="3071">
        <f t="shared" ca="1" si="2"/>
        <v>0</v>
      </c>
      <c r="N18" s="3072" t="str">
        <f t="shared" ca="1" si="3"/>
        <v>√</v>
      </c>
      <c r="O18" s="641"/>
      <c r="P18" s="641"/>
      <c r="Q18" s="641"/>
      <c r="R18" s="641"/>
    </row>
    <row r="19" spans="1:18" ht="24">
      <c r="A19" s="30"/>
      <c r="B19" s="3066" t="s">
        <v>195</v>
      </c>
      <c r="C19" s="3067" t="s">
        <v>99</v>
      </c>
      <c r="D19" s="3068">
        <v>8310</v>
      </c>
      <c r="E19" s="3075" t="str">
        <f t="shared" si="0"/>
        <v>库存股_本年年初余额</v>
      </c>
      <c r="F19" s="3069" t="str">
        <f t="shared" si="6"/>
        <v>2019年度</v>
      </c>
      <c r="G19" s="3080">
        <f t="shared" ca="1" si="7"/>
        <v>0</v>
      </c>
      <c r="H19" s="3070" t="s">
        <v>99</v>
      </c>
      <c r="I19" s="3068">
        <v>8399</v>
      </c>
      <c r="J19" s="3074" t="str">
        <f t="shared" si="1"/>
        <v>库存股_本期期末余额</v>
      </c>
      <c r="K19" s="3069" t="str">
        <f t="shared" si="4"/>
        <v>2018年度</v>
      </c>
      <c r="L19" s="3079">
        <f t="shared" ca="1" si="5"/>
        <v>0</v>
      </c>
      <c r="M19" s="3071">
        <f t="shared" ca="1" si="2"/>
        <v>0</v>
      </c>
      <c r="N19" s="3072" t="str">
        <f t="shared" ca="1" si="3"/>
        <v>√</v>
      </c>
      <c r="O19" s="641"/>
      <c r="P19" s="641"/>
      <c r="Q19" s="641"/>
      <c r="R19" s="641"/>
    </row>
    <row r="20" spans="1:18" ht="24">
      <c r="A20" s="30"/>
      <c r="B20" s="3066" t="s">
        <v>204</v>
      </c>
      <c r="C20" s="3067" t="s">
        <v>99</v>
      </c>
      <c r="D20" s="3068">
        <v>8410</v>
      </c>
      <c r="E20" s="3075" t="str">
        <f t="shared" si="0"/>
        <v>专项储备_本年年初余额</v>
      </c>
      <c r="F20" s="3069" t="str">
        <f t="shared" si="6"/>
        <v>2019年度</v>
      </c>
      <c r="G20" s="3080">
        <f t="shared" ca="1" si="7"/>
        <v>0</v>
      </c>
      <c r="H20" s="3070" t="s">
        <v>99</v>
      </c>
      <c r="I20" s="3068">
        <v>8499</v>
      </c>
      <c r="J20" s="3074" t="str">
        <f t="shared" si="1"/>
        <v>专项储备_本期期末余额</v>
      </c>
      <c r="K20" s="3069" t="str">
        <f t="shared" si="4"/>
        <v>2018年度</v>
      </c>
      <c r="L20" s="3079">
        <f t="shared" ca="1" si="5"/>
        <v>0</v>
      </c>
      <c r="M20" s="3071">
        <f t="shared" ca="1" si="2"/>
        <v>0</v>
      </c>
      <c r="N20" s="3072" t="str">
        <f t="shared" ca="1" si="3"/>
        <v>√</v>
      </c>
      <c r="O20" s="641"/>
      <c r="P20" s="641"/>
      <c r="Q20" s="641"/>
      <c r="R20" s="641"/>
    </row>
    <row r="21" spans="1:18" ht="24">
      <c r="A21" s="30"/>
      <c r="B21" s="3066" t="s">
        <v>214</v>
      </c>
      <c r="C21" s="3067" t="s">
        <v>99</v>
      </c>
      <c r="D21" s="3068">
        <v>8510</v>
      </c>
      <c r="E21" s="3075" t="str">
        <f t="shared" si="0"/>
        <v>盈余公积_本年年初余额</v>
      </c>
      <c r="F21" s="3069" t="str">
        <f t="shared" si="6"/>
        <v>2019年度</v>
      </c>
      <c r="G21" s="3080">
        <f t="shared" ca="1" si="7"/>
        <v>1476848.22</v>
      </c>
      <c r="H21" s="3070" t="s">
        <v>99</v>
      </c>
      <c r="I21" s="3068">
        <v>8599</v>
      </c>
      <c r="J21" s="3074" t="str">
        <f t="shared" si="1"/>
        <v>盈余公积_本期期末余额</v>
      </c>
      <c r="K21" s="3069" t="str">
        <f t="shared" si="4"/>
        <v>2018年度</v>
      </c>
      <c r="L21" s="3079">
        <f t="shared" ca="1" si="5"/>
        <v>1476848.22</v>
      </c>
      <c r="M21" s="3071">
        <f t="shared" ca="1" si="2"/>
        <v>0</v>
      </c>
      <c r="N21" s="3072" t="str">
        <f t="shared" ca="1" si="3"/>
        <v>√</v>
      </c>
      <c r="O21" s="641"/>
      <c r="P21" s="641"/>
      <c r="Q21" s="641"/>
      <c r="R21" s="641"/>
    </row>
    <row r="22" spans="1:18" ht="24">
      <c r="A22" s="30"/>
      <c r="B22" s="3066" t="s">
        <v>224</v>
      </c>
      <c r="C22" s="3067" t="s">
        <v>99</v>
      </c>
      <c r="D22" s="3068">
        <v>8610</v>
      </c>
      <c r="E22" s="3075" t="str">
        <f t="shared" si="0"/>
        <v>一般风险准备_本年年初余额</v>
      </c>
      <c r="F22" s="3069" t="str">
        <f t="shared" si="6"/>
        <v>2019年度</v>
      </c>
      <c r="G22" s="3080">
        <f t="shared" ca="1" si="7"/>
        <v>0</v>
      </c>
      <c r="H22" s="3070" t="s">
        <v>99</v>
      </c>
      <c r="I22" s="3068">
        <v>8699</v>
      </c>
      <c r="J22" s="3074" t="str">
        <f t="shared" si="1"/>
        <v>一般风险准备_本期期末余额</v>
      </c>
      <c r="K22" s="3069" t="str">
        <f t="shared" si="4"/>
        <v>2018年度</v>
      </c>
      <c r="L22" s="3079">
        <f t="shared" ca="1" si="5"/>
        <v>0</v>
      </c>
      <c r="M22" s="3071">
        <f t="shared" ca="1" si="2"/>
        <v>0</v>
      </c>
      <c r="N22" s="3072" t="str">
        <f t="shared" ca="1" si="3"/>
        <v>√</v>
      </c>
      <c r="O22" s="641"/>
      <c r="P22" s="641"/>
      <c r="Q22" s="641"/>
      <c r="R22" s="641"/>
    </row>
    <row r="23" spans="1:18" ht="24">
      <c r="A23" s="30"/>
      <c r="B23" s="3066" t="s">
        <v>232</v>
      </c>
      <c r="C23" s="3067" t="s">
        <v>99</v>
      </c>
      <c r="D23" s="3068">
        <v>8710</v>
      </c>
      <c r="E23" s="3075" t="str">
        <f t="shared" si="0"/>
        <v>未分配利润_本年年初余额</v>
      </c>
      <c r="F23" s="3069" t="str">
        <f t="shared" si="6"/>
        <v>2019年度</v>
      </c>
      <c r="G23" s="3080">
        <f t="shared" ca="1" si="7"/>
        <v>13291633.890000001</v>
      </c>
      <c r="H23" s="3070" t="s">
        <v>99</v>
      </c>
      <c r="I23" s="3068">
        <v>8799</v>
      </c>
      <c r="J23" s="3074" t="str">
        <f t="shared" si="1"/>
        <v>未分配利润_本期期末余额</v>
      </c>
      <c r="K23" s="3069" t="str">
        <f t="shared" si="4"/>
        <v>2018年度</v>
      </c>
      <c r="L23" s="3079">
        <f t="shared" ca="1" si="5"/>
        <v>13291633.890000001</v>
      </c>
      <c r="M23" s="3071">
        <f t="shared" ca="1" si="2"/>
        <v>0</v>
      </c>
      <c r="N23" s="3072" t="str">
        <f t="shared" ca="1" si="3"/>
        <v>√</v>
      </c>
      <c r="O23" s="641"/>
      <c r="P23" s="641"/>
      <c r="Q23" s="641"/>
      <c r="R23" s="641"/>
    </row>
    <row r="24" spans="1:18" ht="36">
      <c r="A24" s="30"/>
      <c r="B24" s="3066" t="s">
        <v>240</v>
      </c>
      <c r="C24" s="3067" t="s">
        <v>99</v>
      </c>
      <c r="D24" s="3068">
        <v>8810</v>
      </c>
      <c r="E24" s="3075" t="str">
        <f t="shared" si="0"/>
        <v>其他归属于母公司所有者权益_本年年初余额</v>
      </c>
      <c r="F24" s="3069" t="str">
        <f t="shared" si="6"/>
        <v>2019年度</v>
      </c>
      <c r="G24" s="3080">
        <f t="shared" ca="1" si="7"/>
        <v>0</v>
      </c>
      <c r="H24" s="3070" t="s">
        <v>99</v>
      </c>
      <c r="I24" s="3068">
        <v>8899</v>
      </c>
      <c r="J24" s="3074" t="str">
        <f t="shared" si="1"/>
        <v>其他归属于母公司所有者权益_本期期末余额</v>
      </c>
      <c r="K24" s="3069" t="str">
        <f t="shared" si="4"/>
        <v>2018年度</v>
      </c>
      <c r="L24" s="3079">
        <f t="shared" ca="1" si="5"/>
        <v>0</v>
      </c>
      <c r="M24" s="3071">
        <f t="shared" ca="1" si="2"/>
        <v>0</v>
      </c>
      <c r="N24" s="3072" t="str">
        <f t="shared" ca="1" si="3"/>
        <v>√</v>
      </c>
      <c r="O24" s="641"/>
      <c r="P24" s="641"/>
      <c r="Q24" s="641"/>
      <c r="R24" s="641"/>
    </row>
    <row r="25" spans="1:18" ht="24">
      <c r="A25" s="30"/>
      <c r="B25" s="3066" t="s">
        <v>250</v>
      </c>
      <c r="C25" s="3067" t="s">
        <v>99</v>
      </c>
      <c r="D25" s="3068">
        <v>8010</v>
      </c>
      <c r="E25" s="3075" t="str">
        <f t="shared" si="0"/>
        <v>所有者权益_本年年初余额</v>
      </c>
      <c r="F25" s="3069" t="str">
        <f t="shared" si="6"/>
        <v>2019年度</v>
      </c>
      <c r="G25" s="3080">
        <f t="shared" ca="1" si="7"/>
        <v>44768482.109999999</v>
      </c>
      <c r="H25" s="3070" t="s">
        <v>99</v>
      </c>
      <c r="I25" s="3068">
        <v>8099</v>
      </c>
      <c r="J25" s="3074" t="str">
        <f t="shared" si="1"/>
        <v>所有者权益_本期期末余额</v>
      </c>
      <c r="K25" s="3069" t="str">
        <f t="shared" si="4"/>
        <v>2018年度</v>
      </c>
      <c r="L25" s="3079">
        <f t="shared" ca="1" si="5"/>
        <v>44768482.109999999</v>
      </c>
      <c r="M25" s="3071">
        <f t="shared" ca="1" si="2"/>
        <v>0</v>
      </c>
      <c r="N25" s="3072" t="str">
        <f t="shared" ca="1" si="3"/>
        <v>√</v>
      </c>
      <c r="O25" s="641"/>
      <c r="P25" s="641"/>
      <c r="Q25" s="641"/>
      <c r="R25" s="641"/>
    </row>
    <row r="26" spans="1:18" ht="24">
      <c r="A26" s="30"/>
      <c r="B26" s="3066" t="s">
        <v>260</v>
      </c>
      <c r="C26" s="3067" t="s">
        <v>99</v>
      </c>
      <c r="D26" s="3068">
        <v>8199</v>
      </c>
      <c r="E26" s="3075" t="str">
        <f t="shared" si="0"/>
        <v>实收资本_本期期末余额</v>
      </c>
      <c r="F26" s="3069" t="str">
        <f t="shared" si="6"/>
        <v>2019年度</v>
      </c>
      <c r="G26" s="3080">
        <f t="shared" ca="1" si="7"/>
        <v>30000000</v>
      </c>
      <c r="H26" s="3070" t="s">
        <v>59</v>
      </c>
      <c r="I26" s="3068">
        <v>4001</v>
      </c>
      <c r="J26" s="3075" t="str">
        <f t="shared" si="1"/>
        <v>实收资本</v>
      </c>
      <c r="K26" s="3069">
        <f>Area_RepDate</f>
        <v>43830</v>
      </c>
      <c r="L26" s="3080">
        <f ca="1">INDIRECT(H26&amp;"!CheckA"&amp;I26)</f>
        <v>30000000</v>
      </c>
      <c r="M26" s="3071">
        <f t="shared" ca="1" si="2"/>
        <v>0</v>
      </c>
      <c r="N26" s="3072" t="str">
        <f t="shared" ca="1" si="3"/>
        <v>√</v>
      </c>
      <c r="O26" s="641"/>
      <c r="P26" s="641"/>
      <c r="Q26" s="641"/>
      <c r="R26" s="641"/>
    </row>
    <row r="27" spans="1:18" ht="24">
      <c r="A27" s="30"/>
      <c r="B27" s="3066" t="s">
        <v>268</v>
      </c>
      <c r="C27" s="3067" t="s">
        <v>99</v>
      </c>
      <c r="D27" s="3068">
        <v>8199</v>
      </c>
      <c r="E27" s="3074" t="str">
        <f t="shared" si="0"/>
        <v>实收资本_本期期末余额</v>
      </c>
      <c r="F27" s="3069" t="str">
        <f>Area_RepDuration1</f>
        <v>2018年度</v>
      </c>
      <c r="G27" s="3079">
        <f ca="1">INDIRECT(C27&amp;"!CheckB"&amp;D27)</f>
        <v>30000000</v>
      </c>
      <c r="H27" s="3070" t="s">
        <v>59</v>
      </c>
      <c r="I27" s="3068">
        <v>4001</v>
      </c>
      <c r="J27" s="3074" t="str">
        <f t="shared" si="1"/>
        <v>实收资本</v>
      </c>
      <c r="K27" s="3069">
        <f>Area_RepDate1</f>
        <v>43465</v>
      </c>
      <c r="L27" s="3079">
        <f ca="1">INDIRECT(H27&amp;"!CheckB"&amp;I27)</f>
        <v>30000000</v>
      </c>
      <c r="M27" s="3071">
        <f t="shared" ca="1" si="2"/>
        <v>0</v>
      </c>
      <c r="N27" s="3072" t="str">
        <f t="shared" ca="1" si="3"/>
        <v>√</v>
      </c>
      <c r="O27" s="641"/>
      <c r="P27" s="641"/>
      <c r="Q27" s="641"/>
      <c r="R27" s="641"/>
    </row>
    <row r="28" spans="1:18" ht="24">
      <c r="A28" s="30"/>
      <c r="B28" s="3066" t="s">
        <v>277</v>
      </c>
      <c r="C28" s="3067" t="s">
        <v>99</v>
      </c>
      <c r="D28" s="3068">
        <v>8299</v>
      </c>
      <c r="E28" s="3075" t="str">
        <f t="shared" si="0"/>
        <v>资本公积_本期期末余额</v>
      </c>
      <c r="F28" s="3069" t="str">
        <f>Area_RepDuration</f>
        <v>2019年度</v>
      </c>
      <c r="G28" s="3080">
        <f ca="1">INDIRECT(C28&amp;"!CheckA"&amp;D28)</f>
        <v>10464100</v>
      </c>
      <c r="H28" s="3070" t="s">
        <v>59</v>
      </c>
      <c r="I28" s="3068">
        <v>4002</v>
      </c>
      <c r="J28" s="3075" t="str">
        <f t="shared" si="1"/>
        <v>资本公积</v>
      </c>
      <c r="K28" s="3069">
        <f>Area_RepDate</f>
        <v>43830</v>
      </c>
      <c r="L28" s="3080">
        <f ca="1">INDIRECT(H28&amp;"!CheckA"&amp;I28)</f>
        <v>10464100</v>
      </c>
      <c r="M28" s="3071">
        <f t="shared" ca="1" si="2"/>
        <v>0</v>
      </c>
      <c r="N28" s="3072" t="str">
        <f t="shared" ca="1" si="3"/>
        <v>√</v>
      </c>
      <c r="O28" s="641"/>
      <c r="P28" s="641"/>
      <c r="Q28" s="641"/>
      <c r="R28" s="641"/>
    </row>
    <row r="29" spans="1:18" ht="24">
      <c r="A29" s="30"/>
      <c r="B29" s="3066" t="s">
        <v>285</v>
      </c>
      <c r="C29" s="3067" t="s">
        <v>99</v>
      </c>
      <c r="D29" s="3068">
        <v>8299</v>
      </c>
      <c r="E29" s="3074" t="str">
        <f t="shared" si="0"/>
        <v>资本公积_本期期末余额</v>
      </c>
      <c r="F29" s="3069" t="str">
        <f>Area_RepDuration1</f>
        <v>2018年度</v>
      </c>
      <c r="G29" s="3079">
        <f ca="1">INDIRECT(C29&amp;"!CheckB"&amp;D29)</f>
        <v>0</v>
      </c>
      <c r="H29" s="3070" t="s">
        <v>59</v>
      </c>
      <c r="I29" s="3068">
        <v>4002</v>
      </c>
      <c r="J29" s="3074" t="str">
        <f t="shared" si="1"/>
        <v>资本公积</v>
      </c>
      <c r="K29" s="3069">
        <f>Area_RepDate1</f>
        <v>43465</v>
      </c>
      <c r="L29" s="3079">
        <f ca="1">INDIRECT(H29&amp;"!CheckB"&amp;I29)</f>
        <v>0</v>
      </c>
      <c r="M29" s="3071">
        <f t="shared" ca="1" si="2"/>
        <v>0</v>
      </c>
      <c r="N29" s="3072" t="str">
        <f t="shared" ca="1" si="3"/>
        <v>√</v>
      </c>
      <c r="O29" s="641"/>
      <c r="P29" s="641"/>
      <c r="Q29" s="641"/>
      <c r="R29" s="641"/>
    </row>
    <row r="30" spans="1:18" ht="24">
      <c r="A30" s="30"/>
      <c r="B30" s="3066" t="s">
        <v>296</v>
      </c>
      <c r="C30" s="3067" t="s">
        <v>99</v>
      </c>
      <c r="D30" s="3068">
        <v>8399</v>
      </c>
      <c r="E30" s="3075" t="str">
        <f t="shared" si="0"/>
        <v>库存股_本期期末余额</v>
      </c>
      <c r="F30" s="3069" t="str">
        <f>Area_RepDuration</f>
        <v>2019年度</v>
      </c>
      <c r="G30" s="3080">
        <f ca="1">INDIRECT(C30&amp;"!CheckA"&amp;D30)</f>
        <v>0</v>
      </c>
      <c r="H30" s="3070" t="s">
        <v>59</v>
      </c>
      <c r="I30" s="3068">
        <v>4201</v>
      </c>
      <c r="J30" s="3075" t="str">
        <f t="shared" si="1"/>
        <v>库存股</v>
      </c>
      <c r="K30" s="3069">
        <f>Area_RepDate</f>
        <v>43830</v>
      </c>
      <c r="L30" s="3080">
        <f ca="1">INDIRECT(H30&amp;"!CheckA"&amp;I30)</f>
        <v>0</v>
      </c>
      <c r="M30" s="3071">
        <f t="shared" ca="1" si="2"/>
        <v>0</v>
      </c>
      <c r="N30" s="3072" t="str">
        <f t="shared" ca="1" si="3"/>
        <v>√</v>
      </c>
      <c r="O30" s="641"/>
      <c r="P30" s="641"/>
      <c r="Q30" s="641"/>
      <c r="R30" s="641"/>
    </row>
    <row r="31" spans="1:18" ht="24">
      <c r="A31" s="30"/>
      <c r="B31" s="3066" t="s">
        <v>306</v>
      </c>
      <c r="C31" s="3067" t="s">
        <v>99</v>
      </c>
      <c r="D31" s="3068">
        <v>8399</v>
      </c>
      <c r="E31" s="3074" t="str">
        <f t="shared" si="0"/>
        <v>库存股_本期期末余额</v>
      </c>
      <c r="F31" s="3069" t="str">
        <f>Area_RepDuration1</f>
        <v>2018年度</v>
      </c>
      <c r="G31" s="3079">
        <f ca="1">INDIRECT(C31&amp;"!CheckB"&amp;D31)</f>
        <v>0</v>
      </c>
      <c r="H31" s="3070" t="s">
        <v>59</v>
      </c>
      <c r="I31" s="3068">
        <v>4201</v>
      </c>
      <c r="J31" s="3074" t="str">
        <f t="shared" si="1"/>
        <v>库存股</v>
      </c>
      <c r="K31" s="3069">
        <f>Area_RepDate1</f>
        <v>43465</v>
      </c>
      <c r="L31" s="3079">
        <f ca="1">INDIRECT(H31&amp;"!CheckB"&amp;I31)</f>
        <v>0</v>
      </c>
      <c r="M31" s="3071">
        <f t="shared" ca="1" si="2"/>
        <v>0</v>
      </c>
      <c r="N31" s="3072" t="str">
        <f t="shared" ca="1" si="3"/>
        <v>√</v>
      </c>
      <c r="O31" s="641"/>
      <c r="P31" s="641"/>
      <c r="Q31" s="641"/>
      <c r="R31" s="641"/>
    </row>
    <row r="32" spans="1:18" ht="24">
      <c r="A32" s="30"/>
      <c r="B32" s="3066" t="s">
        <v>312</v>
      </c>
      <c r="C32" s="3067" t="s">
        <v>99</v>
      </c>
      <c r="D32" s="3068">
        <v>8499</v>
      </c>
      <c r="E32" s="3075" t="str">
        <f t="shared" si="0"/>
        <v>专项储备_本期期末余额</v>
      </c>
      <c r="F32" s="3069" t="str">
        <f>Area_RepDuration</f>
        <v>2019年度</v>
      </c>
      <c r="G32" s="3080">
        <f ca="1">INDIRECT(C32&amp;"!CheckA"&amp;D32)</f>
        <v>0</v>
      </c>
      <c r="H32" s="3070" t="s">
        <v>59</v>
      </c>
      <c r="I32" s="3068">
        <v>4301</v>
      </c>
      <c r="J32" s="3075" t="str">
        <f t="shared" si="1"/>
        <v>专项储备</v>
      </c>
      <c r="K32" s="3069">
        <f>Area_RepDate</f>
        <v>43830</v>
      </c>
      <c r="L32" s="3080">
        <f ca="1">INDIRECT(H32&amp;"!CheckA"&amp;I32)</f>
        <v>0</v>
      </c>
      <c r="M32" s="3071">
        <f t="shared" ca="1" si="2"/>
        <v>0</v>
      </c>
      <c r="N32" s="3072" t="str">
        <f t="shared" ca="1" si="3"/>
        <v>√</v>
      </c>
      <c r="O32" s="641"/>
      <c r="P32" s="641"/>
      <c r="Q32" s="641"/>
      <c r="R32" s="641"/>
    </row>
    <row r="33" spans="1:18" ht="24">
      <c r="A33" s="30"/>
      <c r="B33" s="3066" t="s">
        <v>318</v>
      </c>
      <c r="C33" s="3067" t="s">
        <v>99</v>
      </c>
      <c r="D33" s="3068">
        <v>8499</v>
      </c>
      <c r="E33" s="3074" t="str">
        <f t="shared" si="0"/>
        <v>专项储备_本期期末余额</v>
      </c>
      <c r="F33" s="3069" t="str">
        <f>Area_RepDuration1</f>
        <v>2018年度</v>
      </c>
      <c r="G33" s="3079">
        <f ca="1">INDIRECT(C33&amp;"!CheckB"&amp;D33)</f>
        <v>0</v>
      </c>
      <c r="H33" s="3070" t="s">
        <v>59</v>
      </c>
      <c r="I33" s="3068">
        <v>4301</v>
      </c>
      <c r="J33" s="3074" t="str">
        <f t="shared" si="1"/>
        <v>专项储备</v>
      </c>
      <c r="K33" s="3069">
        <f>Area_RepDate1</f>
        <v>43465</v>
      </c>
      <c r="L33" s="3079">
        <f ca="1">INDIRECT(H33&amp;"!CheckB"&amp;I33)</f>
        <v>0</v>
      </c>
      <c r="M33" s="3071">
        <f t="shared" ca="1" si="2"/>
        <v>0</v>
      </c>
      <c r="N33" s="3072" t="str">
        <f t="shared" ca="1" si="3"/>
        <v>√</v>
      </c>
      <c r="O33" s="641"/>
      <c r="P33" s="641"/>
      <c r="Q33" s="641"/>
      <c r="R33" s="641"/>
    </row>
    <row r="34" spans="1:18" ht="24">
      <c r="A34" s="30"/>
      <c r="B34" s="3066" t="s">
        <v>324</v>
      </c>
      <c r="C34" s="3067" t="s">
        <v>99</v>
      </c>
      <c r="D34" s="3068">
        <v>8599</v>
      </c>
      <c r="E34" s="3075" t="str">
        <f t="shared" si="0"/>
        <v>盈余公积_本期期末余额</v>
      </c>
      <c r="F34" s="3069" t="str">
        <f>Area_RepDuration</f>
        <v>2019年度</v>
      </c>
      <c r="G34" s="3080">
        <f ca="1">INDIRECT(C34&amp;"!CheckA"&amp;D34)</f>
        <v>1484894.62</v>
      </c>
      <c r="H34" s="3070" t="s">
        <v>59</v>
      </c>
      <c r="I34" s="3068">
        <v>4101</v>
      </c>
      <c r="J34" s="3075" t="str">
        <f t="shared" si="1"/>
        <v>盈余公积</v>
      </c>
      <c r="K34" s="3069">
        <f>Area_RepDate</f>
        <v>43830</v>
      </c>
      <c r="L34" s="3080">
        <f ca="1">INDIRECT(H34&amp;"!CheckA"&amp;I34)</f>
        <v>1484894.62</v>
      </c>
      <c r="M34" s="3071">
        <f t="shared" ca="1" si="2"/>
        <v>0</v>
      </c>
      <c r="N34" s="3072" t="str">
        <f t="shared" ca="1" si="3"/>
        <v>√</v>
      </c>
      <c r="O34" s="641"/>
      <c r="P34" s="641"/>
      <c r="Q34" s="641"/>
      <c r="R34" s="641"/>
    </row>
    <row r="35" spans="1:18" ht="24">
      <c r="A35" s="30"/>
      <c r="B35" s="3066" t="s">
        <v>330</v>
      </c>
      <c r="C35" s="3067" t="s">
        <v>99</v>
      </c>
      <c r="D35" s="3068">
        <v>8599</v>
      </c>
      <c r="E35" s="3074" t="str">
        <f t="shared" si="0"/>
        <v>盈余公积_本期期末余额</v>
      </c>
      <c r="F35" s="3069" t="str">
        <f>Area_RepDuration1</f>
        <v>2018年度</v>
      </c>
      <c r="G35" s="3079">
        <f ca="1">INDIRECT(C35&amp;"!CheckB"&amp;D35)</f>
        <v>1476848.22</v>
      </c>
      <c r="H35" s="3070" t="s">
        <v>59</v>
      </c>
      <c r="I35" s="3068">
        <v>4101</v>
      </c>
      <c r="J35" s="3074" t="str">
        <f t="shared" si="1"/>
        <v>盈余公积</v>
      </c>
      <c r="K35" s="3069">
        <f>Area_RepDate1</f>
        <v>43465</v>
      </c>
      <c r="L35" s="3079">
        <f ca="1">INDIRECT(H35&amp;"!CheckB"&amp;I35)</f>
        <v>1476848.22</v>
      </c>
      <c r="M35" s="3071">
        <f t="shared" ca="1" si="2"/>
        <v>0</v>
      </c>
      <c r="N35" s="3072" t="str">
        <f t="shared" ca="1" si="3"/>
        <v>√</v>
      </c>
      <c r="O35" s="641"/>
      <c r="P35" s="641"/>
      <c r="Q35" s="641"/>
      <c r="R35" s="641"/>
    </row>
    <row r="36" spans="1:18" ht="24">
      <c r="A36" s="30"/>
      <c r="B36" s="3066" t="s">
        <v>338</v>
      </c>
      <c r="C36" s="3067" t="s">
        <v>99</v>
      </c>
      <c r="D36" s="3068">
        <v>8699</v>
      </c>
      <c r="E36" s="3075" t="str">
        <f t="shared" si="0"/>
        <v>一般风险准备_本期期末余额</v>
      </c>
      <c r="F36" s="3069" t="str">
        <f>Area_RepDuration</f>
        <v>2019年度</v>
      </c>
      <c r="G36" s="3080">
        <f ca="1">INDIRECT(C36&amp;"!CheckA"&amp;D36)</f>
        <v>0</v>
      </c>
      <c r="H36" s="3070" t="s">
        <v>59</v>
      </c>
      <c r="I36" s="3068">
        <v>4102</v>
      </c>
      <c r="J36" s="3075" t="str">
        <f t="shared" si="1"/>
        <v>一般风险准备</v>
      </c>
      <c r="K36" s="3069">
        <f>Area_RepDate</f>
        <v>43830</v>
      </c>
      <c r="L36" s="3080">
        <f ca="1">INDIRECT(H36&amp;"!CheckA"&amp;I36)</f>
        <v>0</v>
      </c>
      <c r="M36" s="3071">
        <f t="shared" ca="1" si="2"/>
        <v>0</v>
      </c>
      <c r="N36" s="3072" t="str">
        <f t="shared" ca="1" si="3"/>
        <v>√</v>
      </c>
      <c r="O36" s="641"/>
      <c r="P36" s="641"/>
      <c r="Q36" s="641"/>
      <c r="R36" s="641"/>
    </row>
    <row r="37" spans="1:18" ht="24">
      <c r="A37" s="30"/>
      <c r="B37" s="3066" t="s">
        <v>345</v>
      </c>
      <c r="C37" s="3067" t="s">
        <v>99</v>
      </c>
      <c r="D37" s="3068">
        <v>8699</v>
      </c>
      <c r="E37" s="3074" t="str">
        <f t="shared" si="0"/>
        <v>一般风险准备_本期期末余额</v>
      </c>
      <c r="F37" s="3069" t="str">
        <f>Area_RepDuration1</f>
        <v>2018年度</v>
      </c>
      <c r="G37" s="3079">
        <f ca="1">INDIRECT(C37&amp;"!CheckB"&amp;D37)</f>
        <v>0</v>
      </c>
      <c r="H37" s="3070" t="s">
        <v>59</v>
      </c>
      <c r="I37" s="3068">
        <v>4102</v>
      </c>
      <c r="J37" s="3074" t="str">
        <f t="shared" si="1"/>
        <v>一般风险准备</v>
      </c>
      <c r="K37" s="3069">
        <f>Area_RepDate1</f>
        <v>43465</v>
      </c>
      <c r="L37" s="3079">
        <f ca="1">INDIRECT(H37&amp;"!CheckB"&amp;I37)</f>
        <v>0</v>
      </c>
      <c r="M37" s="3071">
        <f t="shared" ca="1" si="2"/>
        <v>0</v>
      </c>
      <c r="N37" s="3072" t="str">
        <f t="shared" ca="1" si="3"/>
        <v>√</v>
      </c>
      <c r="O37" s="641"/>
      <c r="P37" s="641"/>
      <c r="Q37" s="641"/>
      <c r="R37" s="641"/>
    </row>
    <row r="38" spans="1:18" ht="24">
      <c r="A38" s="30"/>
      <c r="B38" s="3066" t="s">
        <v>352</v>
      </c>
      <c r="C38" s="3067" t="s">
        <v>99</v>
      </c>
      <c r="D38" s="3068">
        <v>8799</v>
      </c>
      <c r="E38" s="3075" t="str">
        <f t="shared" si="0"/>
        <v>未分配利润_本期期末余额</v>
      </c>
      <c r="F38" s="3069" t="str">
        <f>Area_RepDuration</f>
        <v>2019年度</v>
      </c>
      <c r="G38" s="3080">
        <f ca="1">INDIRECT(C38&amp;"!CheckA"&amp;D38)</f>
        <v>2899951.46</v>
      </c>
      <c r="H38" s="3070" t="s">
        <v>59</v>
      </c>
      <c r="I38" s="3068">
        <v>4200</v>
      </c>
      <c r="J38" s="3075" t="str">
        <f t="shared" si="1"/>
        <v>未分配利润</v>
      </c>
      <c r="K38" s="3069">
        <f>Area_RepDate</f>
        <v>43830</v>
      </c>
      <c r="L38" s="3080">
        <f ca="1">INDIRECT(H38&amp;"!CheckA"&amp;I38)</f>
        <v>2899951.46</v>
      </c>
      <c r="M38" s="3071">
        <f t="shared" ca="1" si="2"/>
        <v>0</v>
      </c>
      <c r="N38" s="3072" t="str">
        <f t="shared" ca="1" si="3"/>
        <v>√</v>
      </c>
      <c r="O38" s="641"/>
      <c r="P38" s="641"/>
      <c r="Q38" s="641"/>
      <c r="R38" s="641"/>
    </row>
    <row r="39" spans="1:18" ht="24">
      <c r="A39" s="30"/>
      <c r="B39" s="3066" t="s">
        <v>360</v>
      </c>
      <c r="C39" s="3067" t="s">
        <v>99</v>
      </c>
      <c r="D39" s="3068">
        <v>8799</v>
      </c>
      <c r="E39" s="3074" t="str">
        <f t="shared" si="0"/>
        <v>未分配利润_本期期末余额</v>
      </c>
      <c r="F39" s="3069" t="str">
        <f>Area_RepDuration1</f>
        <v>2018年度</v>
      </c>
      <c r="G39" s="3079">
        <f ca="1">INDIRECT(C39&amp;"!CheckB"&amp;D39)</f>
        <v>13291633.890000001</v>
      </c>
      <c r="H39" s="3070" t="s">
        <v>59</v>
      </c>
      <c r="I39" s="3068">
        <v>4200</v>
      </c>
      <c r="J39" s="3074" t="str">
        <f t="shared" si="1"/>
        <v>未分配利润</v>
      </c>
      <c r="K39" s="3069">
        <f>Area_RepDate1</f>
        <v>43465</v>
      </c>
      <c r="L39" s="3079">
        <f ca="1">INDIRECT(H39&amp;"!CheckB"&amp;I39)</f>
        <v>13291633.890000001</v>
      </c>
      <c r="M39" s="3071">
        <f t="shared" ca="1" si="2"/>
        <v>0</v>
      </c>
      <c r="N39" s="3072" t="str">
        <f t="shared" ca="1" si="3"/>
        <v>√</v>
      </c>
      <c r="O39" s="641"/>
      <c r="P39" s="641"/>
      <c r="Q39" s="641"/>
      <c r="R39" s="641"/>
    </row>
    <row r="40" spans="1:18" ht="24">
      <c r="A40" s="30"/>
      <c r="B40" s="3066" t="s">
        <v>368</v>
      </c>
      <c r="C40" s="3067" t="s">
        <v>99</v>
      </c>
      <c r="D40" s="3068">
        <v>8099</v>
      </c>
      <c r="E40" s="3075" t="str">
        <f t="shared" si="0"/>
        <v>所有者权益_本期期末余额</v>
      </c>
      <c r="F40" s="3069" t="str">
        <f>Area_RepDuration</f>
        <v>2019年度</v>
      </c>
      <c r="G40" s="3080">
        <f ca="1">INDIRECT(C40&amp;"!CheckA"&amp;D40)</f>
        <v>44848946.079999998</v>
      </c>
      <c r="H40" s="3070" t="s">
        <v>59</v>
      </c>
      <c r="I40" s="3068">
        <v>4999</v>
      </c>
      <c r="J40" s="3075" t="str">
        <f t="shared" si="1"/>
        <v>所有者权益</v>
      </c>
      <c r="K40" s="3069">
        <f>Area_RepDate</f>
        <v>43830</v>
      </c>
      <c r="L40" s="3080">
        <f ca="1">INDIRECT(H40&amp;"!CheckA"&amp;I40)</f>
        <v>44848946.079999998</v>
      </c>
      <c r="M40" s="3071">
        <f t="shared" ca="1" si="2"/>
        <v>0</v>
      </c>
      <c r="N40" s="3072" t="str">
        <f t="shared" ca="1" si="3"/>
        <v>√</v>
      </c>
      <c r="O40" s="641"/>
      <c r="P40" s="641"/>
      <c r="Q40" s="641"/>
      <c r="R40" s="641"/>
    </row>
    <row r="41" spans="1:18" ht="24">
      <c r="A41" s="30"/>
      <c r="B41" s="3066" t="s">
        <v>375</v>
      </c>
      <c r="C41" s="3067" t="s">
        <v>99</v>
      </c>
      <c r="D41" s="3068">
        <v>8099</v>
      </c>
      <c r="E41" s="3074" t="str">
        <f t="shared" ref="E41:E72" si="8">VLOOKUP(D41,Sheet_Items,2,0)</f>
        <v>所有者权益_本期期末余额</v>
      </c>
      <c r="F41" s="3069" t="str">
        <f>Area_RepDuration1</f>
        <v>2018年度</v>
      </c>
      <c r="G41" s="3079">
        <f ca="1">INDIRECT(C41&amp;"!CheckB"&amp;D41)</f>
        <v>44768482.109999999</v>
      </c>
      <c r="H41" s="3070" t="s">
        <v>59</v>
      </c>
      <c r="I41" s="3068">
        <v>4999</v>
      </c>
      <c r="J41" s="3074" t="str">
        <f t="shared" ref="J41:J72" si="9">VLOOKUP(I41,Sheet_Items,2,0)</f>
        <v>所有者权益</v>
      </c>
      <c r="K41" s="3069">
        <f>Area_RepDate1</f>
        <v>43465</v>
      </c>
      <c r="L41" s="3079">
        <f ca="1">INDIRECT(H41&amp;"!CheckB"&amp;I41)</f>
        <v>44768482.109999999</v>
      </c>
      <c r="M41" s="3071">
        <f t="shared" ref="M41:M72" ca="1" si="10">ROUND(G41-L41,2)</f>
        <v>0</v>
      </c>
      <c r="N41" s="3072" t="str">
        <f t="shared" ref="N41:N72" ca="1" si="11">IF(M41=0,"√","×")</f>
        <v>√</v>
      </c>
      <c r="O41" s="641"/>
      <c r="P41" s="641"/>
      <c r="Q41" s="641"/>
      <c r="R41" s="641"/>
    </row>
    <row r="42" spans="1:18" ht="24">
      <c r="A42" s="30"/>
      <c r="B42" s="3066" t="s">
        <v>382</v>
      </c>
      <c r="C42" s="3067" t="s">
        <v>383</v>
      </c>
      <c r="D42" s="3068">
        <v>7349</v>
      </c>
      <c r="E42" s="3075" t="str">
        <f t="shared" si="8"/>
        <v>期初现金及现金等价物余额</v>
      </c>
      <c r="F42" s="3069" t="str">
        <f>Area_RepDuration</f>
        <v>2019年度</v>
      </c>
      <c r="G42" s="3080">
        <f ca="1">INDIRECT(C42&amp;"!CheckA"&amp;D42)</f>
        <v>252723.84</v>
      </c>
      <c r="H42" s="3070" t="s">
        <v>383</v>
      </c>
      <c r="I42" s="3068">
        <v>7399</v>
      </c>
      <c r="J42" s="3074" t="str">
        <f t="shared" si="9"/>
        <v>期末现金及现金等价物余额</v>
      </c>
      <c r="K42" s="3069" t="str">
        <f>Area_RepDuration1</f>
        <v>2018年度</v>
      </c>
      <c r="L42" s="3079">
        <f ca="1">INDIRECT(H42&amp;"!CheckB"&amp;I42)</f>
        <v>252723.84</v>
      </c>
      <c r="M42" s="3071">
        <f t="shared" ca="1" si="10"/>
        <v>0</v>
      </c>
      <c r="N42" s="3072" t="str">
        <f t="shared" ca="1" si="11"/>
        <v>√</v>
      </c>
      <c r="O42" s="641"/>
      <c r="P42" s="641"/>
      <c r="Q42" s="641"/>
      <c r="R42" s="641"/>
    </row>
    <row r="43" spans="1:18" ht="18">
      <c r="A43" s="30"/>
      <c r="B43" s="3066" t="s">
        <v>389</v>
      </c>
      <c r="C43" s="3067" t="s">
        <v>383</v>
      </c>
      <c r="D43" s="3068">
        <v>7502</v>
      </c>
      <c r="E43" s="3075" t="str">
        <f t="shared" si="8"/>
        <v>净利润金额</v>
      </c>
      <c r="F43" s="3069" t="str">
        <f>Area_RepDuration</f>
        <v>2019年度</v>
      </c>
      <c r="G43" s="3080">
        <f ca="1">INDIRECT(C43&amp;"!CheckA"&amp;D43)</f>
        <v>-3349908.33</v>
      </c>
      <c r="H43" s="3070" t="s">
        <v>97</v>
      </c>
      <c r="I43" s="3068">
        <v>6799</v>
      </c>
      <c r="J43" s="3075" t="str">
        <f t="shared" si="9"/>
        <v>净利润</v>
      </c>
      <c r="K43" s="3069" t="str">
        <f>Area_RepDuration</f>
        <v>2019年度</v>
      </c>
      <c r="L43" s="3080">
        <f ca="1">INDIRECT(H43&amp;"!CheckA"&amp;I43)</f>
        <v>80463.97</v>
      </c>
      <c r="M43" s="3071">
        <f t="shared" ca="1" si="10"/>
        <v>-3430372.3</v>
      </c>
      <c r="N43" s="3072" t="str">
        <f t="shared" ca="1" si="11"/>
        <v>×</v>
      </c>
      <c r="O43" s="641"/>
      <c r="P43" s="641"/>
      <c r="Q43" s="641"/>
      <c r="R43" s="641"/>
    </row>
    <row r="44" spans="1:18" ht="18">
      <c r="A44" s="30"/>
      <c r="B44" s="3066" t="s">
        <v>395</v>
      </c>
      <c r="C44" s="3067" t="s">
        <v>383</v>
      </c>
      <c r="D44" s="3068">
        <v>7502</v>
      </c>
      <c r="E44" s="3074" t="str">
        <f t="shared" si="8"/>
        <v>净利润金额</v>
      </c>
      <c r="F44" s="3069" t="str">
        <f>Area_RepDuration1</f>
        <v>2018年度</v>
      </c>
      <c r="G44" s="3079">
        <f ca="1">INDIRECT(C44&amp;"!CheckB"&amp;D44)</f>
        <v>520228.91</v>
      </c>
      <c r="H44" s="3070" t="s">
        <v>97</v>
      </c>
      <c r="I44" s="3068">
        <v>6799</v>
      </c>
      <c r="J44" s="3074" t="str">
        <f t="shared" si="9"/>
        <v>净利润</v>
      </c>
      <c r="K44" s="3069" t="str">
        <f>Area_RepDuration1</f>
        <v>2018年度</v>
      </c>
      <c r="L44" s="3079">
        <f ca="1">INDIRECT(H44&amp;"!CheckB"&amp;I44)</f>
        <v>520228.91</v>
      </c>
      <c r="M44" s="3071">
        <f t="shared" ca="1" si="10"/>
        <v>0</v>
      </c>
      <c r="N44" s="3072" t="str">
        <f t="shared" ca="1" si="11"/>
        <v>√</v>
      </c>
      <c r="O44" s="641"/>
      <c r="P44" s="641"/>
      <c r="Q44" s="641"/>
      <c r="R44" s="641"/>
    </row>
    <row r="45" spans="1:18" ht="24">
      <c r="A45" s="30"/>
      <c r="B45" s="3066" t="s">
        <v>401</v>
      </c>
      <c r="C45" s="3067" t="s">
        <v>383</v>
      </c>
      <c r="D45" s="3068">
        <v>7525</v>
      </c>
      <c r="E45" s="3075" t="str">
        <f t="shared" si="8"/>
        <v>经营活动产生的现金流量净额</v>
      </c>
      <c r="F45" s="3069" t="str">
        <f>Area_RepDuration</f>
        <v>2019年度</v>
      </c>
      <c r="G45" s="3080">
        <f ca="1">INDIRECT(C45&amp;"!CheckA"&amp;D45)</f>
        <v>963447.92</v>
      </c>
      <c r="H45" s="3070" t="s">
        <v>383</v>
      </c>
      <c r="I45" s="3068">
        <v>7099</v>
      </c>
      <c r="J45" s="3075" t="str">
        <f t="shared" si="9"/>
        <v>经营活动产生的现金流量净额</v>
      </c>
      <c r="K45" s="3069" t="str">
        <f>Area_RepDuration</f>
        <v>2019年度</v>
      </c>
      <c r="L45" s="3080">
        <f ca="1">INDIRECT(H45&amp;"!CheckA"&amp;I45)</f>
        <v>963447.92</v>
      </c>
      <c r="M45" s="3071">
        <f t="shared" ca="1" si="10"/>
        <v>0</v>
      </c>
      <c r="N45" s="3072" t="str">
        <f t="shared" ca="1" si="11"/>
        <v>√</v>
      </c>
      <c r="O45" s="641"/>
      <c r="P45" s="641"/>
      <c r="Q45" s="641"/>
      <c r="R45" s="641"/>
    </row>
    <row r="46" spans="1:18" ht="24">
      <c r="A46" s="30"/>
      <c r="B46" s="3066" t="s">
        <v>408</v>
      </c>
      <c r="C46" s="3067" t="s">
        <v>383</v>
      </c>
      <c r="D46" s="3068">
        <v>7525</v>
      </c>
      <c r="E46" s="3074" t="str">
        <f t="shared" si="8"/>
        <v>经营活动产生的现金流量净额</v>
      </c>
      <c r="F46" s="3069" t="str">
        <f>Area_RepDuration1</f>
        <v>2018年度</v>
      </c>
      <c r="G46" s="3079">
        <f ca="1">INDIRECT(C46&amp;"!CheckB"&amp;D46)</f>
        <v>11322700.880000001</v>
      </c>
      <c r="H46" s="3070" t="s">
        <v>383</v>
      </c>
      <c r="I46" s="3068">
        <v>7099</v>
      </c>
      <c r="J46" s="3074" t="str">
        <f t="shared" si="9"/>
        <v>经营活动产生的现金流量净额</v>
      </c>
      <c r="K46" s="3069" t="str">
        <f>Area_RepDuration1</f>
        <v>2018年度</v>
      </c>
      <c r="L46" s="3079">
        <f ca="1">INDIRECT(H46&amp;"!CheckB"&amp;I46)</f>
        <v>11322700.880000001</v>
      </c>
      <c r="M46" s="3071">
        <f t="shared" ca="1" si="10"/>
        <v>0</v>
      </c>
      <c r="N46" s="3072" t="str">
        <f t="shared" ca="1" si="11"/>
        <v>√</v>
      </c>
      <c r="O46" s="641"/>
      <c r="P46" s="641"/>
      <c r="Q46" s="641"/>
      <c r="R46" s="641"/>
    </row>
    <row r="47" spans="1:18" ht="24">
      <c r="A47" s="30"/>
      <c r="B47" s="3066" t="s">
        <v>414</v>
      </c>
      <c r="C47" s="3067" t="s">
        <v>383</v>
      </c>
      <c r="D47" s="3068">
        <v>7539</v>
      </c>
      <c r="E47" s="3075" t="str">
        <f t="shared" si="8"/>
        <v>现金及现金等价物净增加额</v>
      </c>
      <c r="F47" s="3069" t="str">
        <f>Area_RepDuration</f>
        <v>2019年度</v>
      </c>
      <c r="G47" s="3080">
        <f ca="1">INDIRECT(C47&amp;"!CheckA"&amp;D47)</f>
        <v>226581.11</v>
      </c>
      <c r="H47" s="3070" t="s">
        <v>383</v>
      </c>
      <c r="I47" s="3068">
        <v>7348</v>
      </c>
      <c r="J47" s="3075" t="str">
        <f t="shared" si="9"/>
        <v>现金及现金等价物净增加额</v>
      </c>
      <c r="K47" s="3069" t="str">
        <f>Area_RepDuration</f>
        <v>2019年度</v>
      </c>
      <c r="L47" s="3080">
        <f ca="1">INDIRECT(H47&amp;"!CheckA"&amp;I47)</f>
        <v>226581.11</v>
      </c>
      <c r="M47" s="3071">
        <f t="shared" ca="1" si="10"/>
        <v>0</v>
      </c>
      <c r="N47" s="3072" t="str">
        <f t="shared" ca="1" si="11"/>
        <v>√</v>
      </c>
      <c r="O47" s="641"/>
      <c r="P47" s="641"/>
      <c r="Q47" s="641"/>
      <c r="R47" s="641"/>
    </row>
    <row r="48" spans="1:18" ht="24">
      <c r="A48" s="30"/>
      <c r="B48" s="3066" t="s">
        <v>421</v>
      </c>
      <c r="C48" s="3067" t="s">
        <v>383</v>
      </c>
      <c r="D48" s="3068">
        <v>7539</v>
      </c>
      <c r="E48" s="3074" t="str">
        <f t="shared" si="8"/>
        <v>现金及现金等价物净增加额</v>
      </c>
      <c r="F48" s="3069" t="str">
        <f>Area_RepDuration1</f>
        <v>2018年度</v>
      </c>
      <c r="G48" s="3079">
        <f ca="1">INDIRECT(C48&amp;"!CheckB"&amp;D48)</f>
        <v>-2979289.28</v>
      </c>
      <c r="H48" s="3070" t="s">
        <v>383</v>
      </c>
      <c r="I48" s="3068">
        <v>7348</v>
      </c>
      <c r="J48" s="3074" t="str">
        <f t="shared" si="9"/>
        <v>现金及现金等价物净增加额</v>
      </c>
      <c r="K48" s="3069" t="str">
        <f>Area_RepDuration1</f>
        <v>2018年度</v>
      </c>
      <c r="L48" s="3079">
        <f ca="1">INDIRECT(H48&amp;"!CheckB"&amp;I48)</f>
        <v>-2979289.28</v>
      </c>
      <c r="M48" s="3071">
        <f t="shared" ca="1" si="10"/>
        <v>0</v>
      </c>
      <c r="N48" s="3072" t="str">
        <f t="shared" ca="1" si="11"/>
        <v>√</v>
      </c>
      <c r="O48" s="641"/>
      <c r="P48" s="641"/>
      <c r="Q48" s="641"/>
      <c r="R48" s="641"/>
    </row>
    <row r="49" spans="1:18" ht="18">
      <c r="A49" s="30"/>
      <c r="B49" s="3066" t="s">
        <v>427</v>
      </c>
      <c r="C49" s="3067" t="s">
        <v>428</v>
      </c>
      <c r="D49" s="3068">
        <v>1999</v>
      </c>
      <c r="E49" s="3075" t="str">
        <f t="shared" si="8"/>
        <v>资产</v>
      </c>
      <c r="F49" s="3069">
        <f>Area_RepDate</f>
        <v>43830</v>
      </c>
      <c r="G49" s="3080">
        <f ca="1">INDIRECT(C49&amp;"!CheckA"&amp;D49)</f>
        <v>59310285.469999999</v>
      </c>
      <c r="H49" s="3070" t="s">
        <v>428</v>
      </c>
      <c r="I49" s="3068">
        <v>5000</v>
      </c>
      <c r="J49" s="3075" t="str">
        <f t="shared" si="9"/>
        <v>负债和所有者权益</v>
      </c>
      <c r="K49" s="3069">
        <f>Area_RepDate</f>
        <v>43830</v>
      </c>
      <c r="L49" s="3080">
        <f ca="1">INDIRECT(H49&amp;"!CheckA"&amp;I49)</f>
        <v>59310285.469999999</v>
      </c>
      <c r="M49" s="3071">
        <f t="shared" ca="1" si="10"/>
        <v>0</v>
      </c>
      <c r="N49" s="3072" t="str">
        <f t="shared" ca="1" si="11"/>
        <v>√</v>
      </c>
      <c r="O49" s="641"/>
      <c r="P49" s="641"/>
      <c r="Q49" s="641"/>
      <c r="R49" s="641"/>
    </row>
    <row r="50" spans="1:18" ht="24">
      <c r="A50" s="30"/>
      <c r="B50" s="3066" t="s">
        <v>435</v>
      </c>
      <c r="C50" s="3067" t="s">
        <v>428</v>
      </c>
      <c r="D50" s="3068">
        <v>1999</v>
      </c>
      <c r="E50" s="3074" t="str">
        <f t="shared" si="8"/>
        <v>资产</v>
      </c>
      <c r="F50" s="3069">
        <f>Area_RepDate1</f>
        <v>43465</v>
      </c>
      <c r="G50" s="3079">
        <f ca="1">INDIRECT(C50&amp;"!CheckB"&amp;D50)</f>
        <v>59007107.990000002</v>
      </c>
      <c r="H50" s="3070" t="s">
        <v>428</v>
      </c>
      <c r="I50" s="3068">
        <v>5000</v>
      </c>
      <c r="J50" s="3074" t="str">
        <f t="shared" si="9"/>
        <v>负债和所有者权益</v>
      </c>
      <c r="K50" s="3069">
        <f>Area_RepDate1</f>
        <v>43465</v>
      </c>
      <c r="L50" s="3079">
        <f ca="1">INDIRECT(H50&amp;"!CheckB"&amp;I50)</f>
        <v>59007107.990000002</v>
      </c>
      <c r="M50" s="3071">
        <f t="shared" ca="1" si="10"/>
        <v>0</v>
      </c>
      <c r="N50" s="3072" t="str">
        <f t="shared" ca="1" si="11"/>
        <v>√</v>
      </c>
      <c r="O50" s="641"/>
      <c r="P50" s="641"/>
      <c r="Q50" s="641"/>
      <c r="R50" s="641"/>
    </row>
    <row r="51" spans="1:18" ht="24">
      <c r="A51" s="30"/>
      <c r="B51" s="3066" t="s">
        <v>440</v>
      </c>
      <c r="C51" s="3067" t="s">
        <v>441</v>
      </c>
      <c r="D51" s="3068">
        <v>6839</v>
      </c>
      <c r="E51" s="3075" t="str">
        <f t="shared" si="8"/>
        <v>综合收益总额</v>
      </c>
      <c r="F51" s="3069" t="str">
        <f>Area_RepDuration</f>
        <v>2019年度</v>
      </c>
      <c r="G51" s="3080">
        <f ca="1">INDIRECT(C51&amp;"!CheckA"&amp;D51)</f>
        <v>-3349908.33</v>
      </c>
      <c r="H51" s="3070" t="s">
        <v>442</v>
      </c>
      <c r="I51" s="3068">
        <v>8040</v>
      </c>
      <c r="J51" s="3075" t="str">
        <f t="shared" si="9"/>
        <v>所有者权益_综合收益总额增加权益</v>
      </c>
      <c r="K51" s="3069" t="str">
        <f>Area_RepDuration</f>
        <v>2019年度</v>
      </c>
      <c r="L51" s="3080">
        <f ca="1">INDIRECT(H51&amp;"!CheckA"&amp;I51)</f>
        <v>-3349908.33</v>
      </c>
      <c r="M51" s="3071">
        <f t="shared" ca="1" si="10"/>
        <v>0</v>
      </c>
      <c r="N51" s="3072" t="str">
        <f t="shared" ca="1" si="11"/>
        <v>√</v>
      </c>
      <c r="O51" s="641"/>
      <c r="P51" s="641"/>
      <c r="Q51" s="641"/>
      <c r="R51" s="641"/>
    </row>
    <row r="52" spans="1:18" ht="36">
      <c r="A52" s="30"/>
      <c r="B52" s="3066" t="s">
        <v>450</v>
      </c>
      <c r="C52" s="3067" t="s">
        <v>441</v>
      </c>
      <c r="D52" s="3068">
        <v>6839</v>
      </c>
      <c r="E52" s="3074" t="str">
        <f t="shared" si="8"/>
        <v>综合收益总额</v>
      </c>
      <c r="F52" s="3069" t="str">
        <f>Area_RepDuration1</f>
        <v>2018年度</v>
      </c>
      <c r="G52" s="3079">
        <f ca="1">INDIRECT(C52&amp;"!CheckB"&amp;D52)</f>
        <v>520228.91</v>
      </c>
      <c r="H52" s="3070" t="s">
        <v>442</v>
      </c>
      <c r="I52" s="3068">
        <v>8040</v>
      </c>
      <c r="J52" s="3074" t="str">
        <f t="shared" si="9"/>
        <v>所有者权益_综合收益总额增加权益</v>
      </c>
      <c r="K52" s="3069" t="str">
        <f t="shared" ref="K52:K61" si="12">Area_RepDuration1</f>
        <v>2018年度</v>
      </c>
      <c r="L52" s="3079">
        <f t="shared" ref="L52:L61" ca="1" si="13">INDIRECT(H52&amp;"!CheckB"&amp;I52)</f>
        <v>520228.91</v>
      </c>
      <c r="M52" s="3071">
        <f t="shared" ca="1" si="10"/>
        <v>0</v>
      </c>
      <c r="N52" s="3072" t="str">
        <f t="shared" ca="1" si="11"/>
        <v>√</v>
      </c>
      <c r="O52" s="641"/>
      <c r="P52" s="641"/>
      <c r="Q52" s="641"/>
      <c r="R52" s="641"/>
    </row>
    <row r="53" spans="1:18" ht="24">
      <c r="A53" s="30"/>
      <c r="B53" s="3066" t="s">
        <v>455</v>
      </c>
      <c r="C53" s="3067" t="s">
        <v>442</v>
      </c>
      <c r="D53" s="3068">
        <v>8110</v>
      </c>
      <c r="E53" s="3075" t="str">
        <f t="shared" si="8"/>
        <v>实收资本_本年年初余额</v>
      </c>
      <c r="F53" s="3069" t="str">
        <f t="shared" ref="F53:F62" si="14">Area_RepDuration</f>
        <v>2019年度</v>
      </c>
      <c r="G53" s="3080">
        <f t="shared" ref="G53:G62" ca="1" si="15">INDIRECT(C53&amp;"!CheckA"&amp;D53)</f>
        <v>30000000</v>
      </c>
      <c r="H53" s="3070" t="s">
        <v>442</v>
      </c>
      <c r="I53" s="3068">
        <v>8199</v>
      </c>
      <c r="J53" s="3074" t="str">
        <f t="shared" si="9"/>
        <v>实收资本_本期期末余额</v>
      </c>
      <c r="K53" s="3069" t="str">
        <f t="shared" si="12"/>
        <v>2018年度</v>
      </c>
      <c r="L53" s="3079">
        <f t="shared" ca="1" si="13"/>
        <v>30000000</v>
      </c>
      <c r="M53" s="3071">
        <f t="shared" ca="1" si="10"/>
        <v>0</v>
      </c>
      <c r="N53" s="3072" t="str">
        <f t="shared" ca="1" si="11"/>
        <v>√</v>
      </c>
      <c r="O53" s="641"/>
      <c r="P53" s="641"/>
      <c r="Q53" s="641"/>
      <c r="R53" s="641"/>
    </row>
    <row r="54" spans="1:18" ht="24">
      <c r="A54" s="30"/>
      <c r="B54" s="3066" t="s">
        <v>458</v>
      </c>
      <c r="C54" s="3067" t="s">
        <v>442</v>
      </c>
      <c r="D54" s="3068">
        <v>8210</v>
      </c>
      <c r="E54" s="3075" t="str">
        <f t="shared" si="8"/>
        <v>资本公积_本年年初余额</v>
      </c>
      <c r="F54" s="3069" t="str">
        <f t="shared" si="14"/>
        <v>2019年度</v>
      </c>
      <c r="G54" s="3080">
        <f t="shared" ca="1" si="15"/>
        <v>0</v>
      </c>
      <c r="H54" s="3070" t="s">
        <v>442</v>
      </c>
      <c r="I54" s="3068">
        <v>8299</v>
      </c>
      <c r="J54" s="3074" t="str">
        <f t="shared" si="9"/>
        <v>资本公积_本期期末余额</v>
      </c>
      <c r="K54" s="3069" t="str">
        <f t="shared" si="12"/>
        <v>2018年度</v>
      </c>
      <c r="L54" s="3079">
        <f t="shared" ca="1" si="13"/>
        <v>0</v>
      </c>
      <c r="M54" s="3071">
        <f t="shared" ca="1" si="10"/>
        <v>0</v>
      </c>
      <c r="N54" s="3072" t="str">
        <f t="shared" ca="1" si="11"/>
        <v>√</v>
      </c>
      <c r="O54" s="641"/>
      <c r="P54" s="641"/>
      <c r="Q54" s="641"/>
      <c r="R54" s="641"/>
    </row>
    <row r="55" spans="1:18" ht="24">
      <c r="A55" s="30"/>
      <c r="B55" s="3066" t="s">
        <v>463</v>
      </c>
      <c r="C55" s="3067" t="s">
        <v>442</v>
      </c>
      <c r="D55" s="3068">
        <v>8310</v>
      </c>
      <c r="E55" s="3075" t="str">
        <f t="shared" si="8"/>
        <v>库存股_本年年初余额</v>
      </c>
      <c r="F55" s="3069" t="str">
        <f t="shared" si="14"/>
        <v>2019年度</v>
      </c>
      <c r="G55" s="3080">
        <f t="shared" ca="1" si="15"/>
        <v>0</v>
      </c>
      <c r="H55" s="3070" t="s">
        <v>442</v>
      </c>
      <c r="I55" s="3068">
        <v>8399</v>
      </c>
      <c r="J55" s="3074" t="str">
        <f t="shared" si="9"/>
        <v>库存股_本期期末余额</v>
      </c>
      <c r="K55" s="3069" t="str">
        <f t="shared" si="12"/>
        <v>2018年度</v>
      </c>
      <c r="L55" s="3079">
        <f t="shared" ca="1" si="13"/>
        <v>0</v>
      </c>
      <c r="M55" s="3071">
        <f t="shared" ca="1" si="10"/>
        <v>0</v>
      </c>
      <c r="N55" s="3072" t="str">
        <f t="shared" ca="1" si="11"/>
        <v>√</v>
      </c>
      <c r="O55" s="641"/>
      <c r="P55" s="641"/>
      <c r="Q55" s="641"/>
      <c r="R55" s="641"/>
    </row>
    <row r="56" spans="1:18" ht="24">
      <c r="A56" s="30"/>
      <c r="B56" s="3066" t="s">
        <v>468</v>
      </c>
      <c r="C56" s="3067" t="s">
        <v>442</v>
      </c>
      <c r="D56" s="3068">
        <v>8410</v>
      </c>
      <c r="E56" s="3075" t="str">
        <f t="shared" si="8"/>
        <v>专项储备_本年年初余额</v>
      </c>
      <c r="F56" s="3069" t="str">
        <f t="shared" si="14"/>
        <v>2019年度</v>
      </c>
      <c r="G56" s="3080">
        <f t="shared" ca="1" si="15"/>
        <v>0</v>
      </c>
      <c r="H56" s="3070" t="s">
        <v>442</v>
      </c>
      <c r="I56" s="3068">
        <v>8499</v>
      </c>
      <c r="J56" s="3074" t="str">
        <f t="shared" si="9"/>
        <v>专项储备_本期期末余额</v>
      </c>
      <c r="K56" s="3069" t="str">
        <f t="shared" si="12"/>
        <v>2018年度</v>
      </c>
      <c r="L56" s="3079">
        <f t="shared" ca="1" si="13"/>
        <v>0</v>
      </c>
      <c r="M56" s="3071">
        <f t="shared" ca="1" si="10"/>
        <v>0</v>
      </c>
      <c r="N56" s="3072" t="str">
        <f t="shared" ca="1" si="11"/>
        <v>√</v>
      </c>
      <c r="O56" s="641"/>
      <c r="P56" s="641"/>
      <c r="Q56" s="641"/>
      <c r="R56" s="641"/>
    </row>
    <row r="57" spans="1:18" ht="24">
      <c r="A57" s="30"/>
      <c r="B57" s="3066" t="s">
        <v>472</v>
      </c>
      <c r="C57" s="3067" t="s">
        <v>442</v>
      </c>
      <c r="D57" s="3068">
        <v>8510</v>
      </c>
      <c r="E57" s="3075" t="str">
        <f t="shared" si="8"/>
        <v>盈余公积_本年年初余额</v>
      </c>
      <c r="F57" s="3069" t="str">
        <f t="shared" si="14"/>
        <v>2019年度</v>
      </c>
      <c r="G57" s="3080">
        <f t="shared" ca="1" si="15"/>
        <v>1476848.22</v>
      </c>
      <c r="H57" s="3070" t="s">
        <v>442</v>
      </c>
      <c r="I57" s="3068">
        <v>8599</v>
      </c>
      <c r="J57" s="3074" t="str">
        <f t="shared" si="9"/>
        <v>盈余公积_本期期末余额</v>
      </c>
      <c r="K57" s="3069" t="str">
        <f t="shared" si="12"/>
        <v>2018年度</v>
      </c>
      <c r="L57" s="3079">
        <f t="shared" ca="1" si="13"/>
        <v>1476848.22</v>
      </c>
      <c r="M57" s="3071">
        <f t="shared" ca="1" si="10"/>
        <v>0</v>
      </c>
      <c r="N57" s="3072" t="str">
        <f t="shared" ca="1" si="11"/>
        <v>√</v>
      </c>
      <c r="O57" s="641"/>
      <c r="P57" s="641"/>
      <c r="Q57" s="641"/>
      <c r="R57" s="641"/>
    </row>
    <row r="58" spans="1:18" ht="24">
      <c r="A58" s="30"/>
      <c r="B58" s="3066" t="s">
        <v>477</v>
      </c>
      <c r="C58" s="3067" t="s">
        <v>442</v>
      </c>
      <c r="D58" s="3068">
        <v>8610</v>
      </c>
      <c r="E58" s="3075" t="str">
        <f t="shared" si="8"/>
        <v>一般风险准备_本年年初余额</v>
      </c>
      <c r="F58" s="3069" t="str">
        <f t="shared" si="14"/>
        <v>2019年度</v>
      </c>
      <c r="G58" s="3080" t="e">
        <f t="shared" ca="1" si="15"/>
        <v>#REF!</v>
      </c>
      <c r="H58" s="3070" t="s">
        <v>442</v>
      </c>
      <c r="I58" s="3068">
        <v>8699</v>
      </c>
      <c r="J58" s="3074" t="str">
        <f t="shared" si="9"/>
        <v>一般风险准备_本期期末余额</v>
      </c>
      <c r="K58" s="3069" t="str">
        <f t="shared" si="12"/>
        <v>2018年度</v>
      </c>
      <c r="L58" s="3079">
        <f t="shared" ca="1" si="13"/>
        <v>0</v>
      </c>
      <c r="M58" s="3071" t="e">
        <f t="shared" ca="1" si="10"/>
        <v>#REF!</v>
      </c>
      <c r="N58" s="3072" t="e">
        <f t="shared" ca="1" si="11"/>
        <v>#REF!</v>
      </c>
      <c r="O58" s="641"/>
      <c r="P58" s="641"/>
      <c r="Q58" s="641"/>
      <c r="R58" s="641"/>
    </row>
    <row r="59" spans="1:18" ht="24">
      <c r="A59" s="30"/>
      <c r="B59" s="3066" t="s">
        <v>481</v>
      </c>
      <c r="C59" s="3067" t="s">
        <v>442</v>
      </c>
      <c r="D59" s="3068">
        <v>8710</v>
      </c>
      <c r="E59" s="3075" t="str">
        <f t="shared" si="8"/>
        <v>未分配利润_本年年初余额</v>
      </c>
      <c r="F59" s="3069" t="str">
        <f t="shared" si="14"/>
        <v>2019年度</v>
      </c>
      <c r="G59" s="3080">
        <f t="shared" ca="1" si="15"/>
        <v>13034071.75</v>
      </c>
      <c r="H59" s="3070" t="s">
        <v>442</v>
      </c>
      <c r="I59" s="3068">
        <v>8799</v>
      </c>
      <c r="J59" s="3074" t="str">
        <f t="shared" si="9"/>
        <v>未分配利润_本期期末余额</v>
      </c>
      <c r="K59" s="3069" t="str">
        <f t="shared" si="12"/>
        <v>2018年度</v>
      </c>
      <c r="L59" s="3079">
        <f t="shared" ca="1" si="13"/>
        <v>13291633.890000001</v>
      </c>
      <c r="M59" s="3071">
        <f t="shared" ca="1" si="10"/>
        <v>-257562.14</v>
      </c>
      <c r="N59" s="3072" t="str">
        <f t="shared" ca="1" si="11"/>
        <v>×</v>
      </c>
      <c r="O59" s="641"/>
      <c r="P59" s="641"/>
      <c r="Q59" s="641"/>
      <c r="R59" s="641"/>
    </row>
    <row r="60" spans="1:18" ht="36">
      <c r="A60" s="30"/>
      <c r="B60" s="3066" t="s">
        <v>485</v>
      </c>
      <c r="C60" s="3067" t="s">
        <v>442</v>
      </c>
      <c r="D60" s="3068">
        <v>8810</v>
      </c>
      <c r="E60" s="3075" t="str">
        <f t="shared" si="8"/>
        <v>其他归属于母公司所有者权益_本年年初余额</v>
      </c>
      <c r="F60" s="3069" t="str">
        <f t="shared" si="14"/>
        <v>2019年度</v>
      </c>
      <c r="G60" s="3080">
        <f t="shared" ca="1" si="15"/>
        <v>0</v>
      </c>
      <c r="H60" s="3070" t="s">
        <v>442</v>
      </c>
      <c r="I60" s="3068">
        <v>8899</v>
      </c>
      <c r="J60" s="3074" t="str">
        <f t="shared" si="9"/>
        <v>其他归属于母公司所有者权益_本期期末余额</v>
      </c>
      <c r="K60" s="3069" t="str">
        <f t="shared" si="12"/>
        <v>2018年度</v>
      </c>
      <c r="L60" s="3079">
        <f t="shared" ca="1" si="13"/>
        <v>0</v>
      </c>
      <c r="M60" s="3071">
        <f t="shared" ca="1" si="10"/>
        <v>0</v>
      </c>
      <c r="N60" s="3072" t="str">
        <f t="shared" ca="1" si="11"/>
        <v>√</v>
      </c>
      <c r="O60" s="641"/>
      <c r="P60" s="641"/>
      <c r="Q60" s="641"/>
      <c r="R60" s="641"/>
    </row>
    <row r="61" spans="1:18" ht="24">
      <c r="A61" s="30"/>
      <c r="B61" s="3066" t="s">
        <v>490</v>
      </c>
      <c r="C61" s="3067" t="s">
        <v>442</v>
      </c>
      <c r="D61" s="3068">
        <v>8010</v>
      </c>
      <c r="E61" s="3075" t="str">
        <f t="shared" si="8"/>
        <v>所有者权益_本年年初余额</v>
      </c>
      <c r="F61" s="3069" t="str">
        <f t="shared" si="14"/>
        <v>2019年度</v>
      </c>
      <c r="G61" s="3080">
        <f t="shared" ca="1" si="15"/>
        <v>44510919.969999999</v>
      </c>
      <c r="H61" s="3070" t="s">
        <v>442</v>
      </c>
      <c r="I61" s="3068">
        <v>8099</v>
      </c>
      <c r="J61" s="3074" t="str">
        <f t="shared" si="9"/>
        <v>所有者权益_本期期末余额</v>
      </c>
      <c r="K61" s="3069" t="str">
        <f t="shared" si="12"/>
        <v>2018年度</v>
      </c>
      <c r="L61" s="3079">
        <f t="shared" ca="1" si="13"/>
        <v>44768482.109999999</v>
      </c>
      <c r="M61" s="3071">
        <f t="shared" ca="1" si="10"/>
        <v>-257562.14</v>
      </c>
      <c r="N61" s="3072" t="str">
        <f t="shared" ca="1" si="11"/>
        <v>×</v>
      </c>
      <c r="O61" s="641"/>
      <c r="P61" s="641"/>
      <c r="Q61" s="641"/>
      <c r="R61" s="641"/>
    </row>
    <row r="62" spans="1:18" ht="24">
      <c r="A62" s="30"/>
      <c r="B62" s="3066" t="s">
        <v>495</v>
      </c>
      <c r="C62" s="3067" t="s">
        <v>442</v>
      </c>
      <c r="D62" s="3068">
        <v>8199</v>
      </c>
      <c r="E62" s="3075" t="str">
        <f t="shared" si="8"/>
        <v>实收资本_本期期末余额</v>
      </c>
      <c r="F62" s="3069" t="str">
        <f t="shared" si="14"/>
        <v>2019年度</v>
      </c>
      <c r="G62" s="3080">
        <f t="shared" ca="1" si="15"/>
        <v>30000000</v>
      </c>
      <c r="H62" s="3070" t="s">
        <v>428</v>
      </c>
      <c r="I62" s="3068">
        <v>4001</v>
      </c>
      <c r="J62" s="3075" t="str">
        <f t="shared" si="9"/>
        <v>实收资本</v>
      </c>
      <c r="K62" s="3069">
        <f>Area_RepDate</f>
        <v>43830</v>
      </c>
      <c r="L62" s="3080">
        <f ca="1">INDIRECT(H62&amp;"!CheckA"&amp;I62)</f>
        <v>30000000</v>
      </c>
      <c r="M62" s="3071">
        <f t="shared" ca="1" si="10"/>
        <v>0</v>
      </c>
      <c r="N62" s="3072" t="str">
        <f t="shared" ca="1" si="11"/>
        <v>√</v>
      </c>
      <c r="O62" s="641"/>
      <c r="P62" s="641"/>
      <c r="Q62" s="641"/>
      <c r="R62" s="641"/>
    </row>
    <row r="63" spans="1:18" ht="24">
      <c r="A63" s="30"/>
      <c r="B63" s="3066" t="s">
        <v>500</v>
      </c>
      <c r="C63" s="3067" t="s">
        <v>442</v>
      </c>
      <c r="D63" s="3068">
        <v>8199</v>
      </c>
      <c r="E63" s="3074" t="str">
        <f t="shared" si="8"/>
        <v>实收资本_本期期末余额</v>
      </c>
      <c r="F63" s="3069" t="str">
        <f>Area_RepDuration1</f>
        <v>2018年度</v>
      </c>
      <c r="G63" s="3079">
        <f ca="1">INDIRECT(C63&amp;"!CheckB"&amp;D63)</f>
        <v>30000000</v>
      </c>
      <c r="H63" s="3070" t="s">
        <v>428</v>
      </c>
      <c r="I63" s="3068">
        <v>4001</v>
      </c>
      <c r="J63" s="3074" t="str">
        <f t="shared" si="9"/>
        <v>实收资本</v>
      </c>
      <c r="K63" s="3069">
        <f>Area_RepDate1</f>
        <v>43465</v>
      </c>
      <c r="L63" s="3079">
        <f ca="1">INDIRECT(H63&amp;"!CheckB"&amp;I63)</f>
        <v>30000000</v>
      </c>
      <c r="M63" s="3071">
        <f t="shared" ca="1" si="10"/>
        <v>0</v>
      </c>
      <c r="N63" s="3072" t="str">
        <f t="shared" ca="1" si="11"/>
        <v>√</v>
      </c>
      <c r="O63" s="641"/>
      <c r="P63" s="641"/>
      <c r="Q63" s="641"/>
      <c r="R63" s="641"/>
    </row>
    <row r="64" spans="1:18" ht="24">
      <c r="A64" s="30"/>
      <c r="B64" s="3066" t="s">
        <v>508</v>
      </c>
      <c r="C64" s="3067" t="s">
        <v>442</v>
      </c>
      <c r="D64" s="3068">
        <v>8299</v>
      </c>
      <c r="E64" s="3075" t="str">
        <f t="shared" si="8"/>
        <v>资本公积_本期期末余额</v>
      </c>
      <c r="F64" s="3069" t="str">
        <f>Area_RepDuration</f>
        <v>2019年度</v>
      </c>
      <c r="G64" s="3080">
        <f ca="1">INDIRECT(C64&amp;"!CheckA"&amp;D64)</f>
        <v>10464100</v>
      </c>
      <c r="H64" s="3070" t="s">
        <v>428</v>
      </c>
      <c r="I64" s="3068">
        <v>4002</v>
      </c>
      <c r="J64" s="3075" t="str">
        <f t="shared" si="9"/>
        <v>资本公积</v>
      </c>
      <c r="K64" s="3069">
        <f>Area_RepDate</f>
        <v>43830</v>
      </c>
      <c r="L64" s="3080">
        <f ca="1">INDIRECT(H64&amp;"!CheckA"&amp;I64)</f>
        <v>10464100</v>
      </c>
      <c r="M64" s="3071">
        <f t="shared" ca="1" si="10"/>
        <v>0</v>
      </c>
      <c r="N64" s="3072" t="str">
        <f t="shared" ca="1" si="11"/>
        <v>√</v>
      </c>
      <c r="O64" s="641"/>
      <c r="P64" s="641"/>
      <c r="Q64" s="641"/>
      <c r="R64" s="641"/>
    </row>
    <row r="65" spans="1:18" ht="24">
      <c r="A65" s="30"/>
      <c r="B65" s="3066" t="s">
        <v>514</v>
      </c>
      <c r="C65" s="3067" t="s">
        <v>442</v>
      </c>
      <c r="D65" s="3068">
        <v>8299</v>
      </c>
      <c r="E65" s="3074" t="str">
        <f t="shared" si="8"/>
        <v>资本公积_本期期末余额</v>
      </c>
      <c r="F65" s="3069" t="str">
        <f>Area_RepDuration1</f>
        <v>2018年度</v>
      </c>
      <c r="G65" s="3079">
        <f ca="1">INDIRECT(C65&amp;"!CheckB"&amp;D65)</f>
        <v>0</v>
      </c>
      <c r="H65" s="3070" t="s">
        <v>428</v>
      </c>
      <c r="I65" s="3068">
        <v>4002</v>
      </c>
      <c r="J65" s="3074" t="str">
        <f t="shared" si="9"/>
        <v>资本公积</v>
      </c>
      <c r="K65" s="3069">
        <f>Area_RepDate1</f>
        <v>43465</v>
      </c>
      <c r="L65" s="3079">
        <f ca="1">INDIRECT(H65&amp;"!CheckB"&amp;I65)</f>
        <v>0</v>
      </c>
      <c r="M65" s="3071">
        <f t="shared" ca="1" si="10"/>
        <v>0</v>
      </c>
      <c r="N65" s="3072" t="str">
        <f t="shared" ca="1" si="11"/>
        <v>√</v>
      </c>
      <c r="O65" s="641"/>
      <c r="P65" s="641"/>
      <c r="Q65" s="641"/>
      <c r="R65" s="641"/>
    </row>
    <row r="66" spans="1:18" ht="24">
      <c r="A66" s="30"/>
      <c r="B66" s="3066" t="s">
        <v>520</v>
      </c>
      <c r="C66" s="3067" t="s">
        <v>442</v>
      </c>
      <c r="D66" s="3068">
        <v>8399</v>
      </c>
      <c r="E66" s="3075" t="str">
        <f t="shared" si="8"/>
        <v>库存股_本期期末余额</v>
      </c>
      <c r="F66" s="3069" t="str">
        <f>Area_RepDuration</f>
        <v>2019年度</v>
      </c>
      <c r="G66" s="3080">
        <f ca="1">INDIRECT(C66&amp;"!CheckA"&amp;D66)</f>
        <v>0</v>
      </c>
      <c r="H66" s="3070" t="s">
        <v>428</v>
      </c>
      <c r="I66" s="3068">
        <v>4201</v>
      </c>
      <c r="J66" s="3075" t="str">
        <f t="shared" si="9"/>
        <v>库存股</v>
      </c>
      <c r="K66" s="3069">
        <f>Area_RepDate</f>
        <v>43830</v>
      </c>
      <c r="L66" s="3080">
        <f ca="1">INDIRECT(H66&amp;"!CheckA"&amp;I66)</f>
        <v>0</v>
      </c>
      <c r="M66" s="3071">
        <f t="shared" ca="1" si="10"/>
        <v>0</v>
      </c>
      <c r="N66" s="3072" t="str">
        <f t="shared" ca="1" si="11"/>
        <v>√</v>
      </c>
      <c r="O66" s="641"/>
      <c r="P66" s="641"/>
      <c r="Q66" s="641"/>
      <c r="R66" s="641"/>
    </row>
    <row r="67" spans="1:18" ht="24">
      <c r="A67" s="30"/>
      <c r="B67" s="3066" t="s">
        <v>525</v>
      </c>
      <c r="C67" s="3067" t="s">
        <v>442</v>
      </c>
      <c r="D67" s="3068">
        <v>8399</v>
      </c>
      <c r="E67" s="3074" t="str">
        <f t="shared" si="8"/>
        <v>库存股_本期期末余额</v>
      </c>
      <c r="F67" s="3069" t="str">
        <f>Area_RepDuration1</f>
        <v>2018年度</v>
      </c>
      <c r="G67" s="3079">
        <f ca="1">INDIRECT(C67&amp;"!CheckB"&amp;D67)</f>
        <v>0</v>
      </c>
      <c r="H67" s="3070" t="s">
        <v>428</v>
      </c>
      <c r="I67" s="3068">
        <v>4201</v>
      </c>
      <c r="J67" s="3074" t="str">
        <f t="shared" si="9"/>
        <v>库存股</v>
      </c>
      <c r="K67" s="3069">
        <f>Area_RepDate1</f>
        <v>43465</v>
      </c>
      <c r="L67" s="3079">
        <f ca="1">INDIRECT(H67&amp;"!CheckB"&amp;I67)</f>
        <v>0</v>
      </c>
      <c r="M67" s="3071">
        <f t="shared" ca="1" si="10"/>
        <v>0</v>
      </c>
      <c r="N67" s="3072" t="str">
        <f t="shared" ca="1" si="11"/>
        <v>√</v>
      </c>
      <c r="O67" s="641"/>
      <c r="P67" s="641"/>
      <c r="Q67" s="641"/>
      <c r="R67" s="641"/>
    </row>
    <row r="68" spans="1:18" ht="24">
      <c r="A68" s="30"/>
      <c r="B68" s="3066" t="s">
        <v>530</v>
      </c>
      <c r="C68" s="3067" t="s">
        <v>442</v>
      </c>
      <c r="D68" s="3068">
        <v>8499</v>
      </c>
      <c r="E68" s="3075" t="str">
        <f t="shared" si="8"/>
        <v>专项储备_本期期末余额</v>
      </c>
      <c r="F68" s="3069" t="str">
        <f>Area_RepDuration</f>
        <v>2019年度</v>
      </c>
      <c r="G68" s="3080">
        <f ca="1">INDIRECT(C68&amp;"!CheckA"&amp;D68)</f>
        <v>0</v>
      </c>
      <c r="H68" s="3070" t="s">
        <v>428</v>
      </c>
      <c r="I68" s="3068">
        <v>4301</v>
      </c>
      <c r="J68" s="3075" t="str">
        <f t="shared" si="9"/>
        <v>专项储备</v>
      </c>
      <c r="K68" s="3069">
        <f>Area_RepDate</f>
        <v>43830</v>
      </c>
      <c r="L68" s="3080">
        <f ca="1">INDIRECT(H68&amp;"!CheckA"&amp;I68)</f>
        <v>0</v>
      </c>
      <c r="M68" s="3071">
        <f t="shared" ca="1" si="10"/>
        <v>0</v>
      </c>
      <c r="N68" s="3072" t="str">
        <f t="shared" ca="1" si="11"/>
        <v>√</v>
      </c>
      <c r="O68" s="641"/>
      <c r="P68" s="641"/>
      <c r="Q68" s="641"/>
      <c r="R68" s="641"/>
    </row>
    <row r="69" spans="1:18" ht="24">
      <c r="A69" s="30"/>
      <c r="B69" s="3066" t="s">
        <v>535</v>
      </c>
      <c r="C69" s="3067" t="s">
        <v>442</v>
      </c>
      <c r="D69" s="3068">
        <v>8499</v>
      </c>
      <c r="E69" s="3074" t="str">
        <f t="shared" si="8"/>
        <v>专项储备_本期期末余额</v>
      </c>
      <c r="F69" s="3069" t="str">
        <f>Area_RepDuration1</f>
        <v>2018年度</v>
      </c>
      <c r="G69" s="3079">
        <f ca="1">INDIRECT(C69&amp;"!CheckB"&amp;D69)</f>
        <v>0</v>
      </c>
      <c r="H69" s="3070" t="s">
        <v>428</v>
      </c>
      <c r="I69" s="3068">
        <v>4301</v>
      </c>
      <c r="J69" s="3074" t="str">
        <f t="shared" si="9"/>
        <v>专项储备</v>
      </c>
      <c r="K69" s="3069">
        <f>Area_RepDate1</f>
        <v>43465</v>
      </c>
      <c r="L69" s="3079">
        <f ca="1">INDIRECT(H69&amp;"!CheckB"&amp;I69)</f>
        <v>0</v>
      </c>
      <c r="M69" s="3071">
        <f t="shared" ca="1" si="10"/>
        <v>0</v>
      </c>
      <c r="N69" s="3072" t="str">
        <f t="shared" ca="1" si="11"/>
        <v>√</v>
      </c>
      <c r="O69" s="641"/>
      <c r="P69" s="641"/>
      <c r="Q69" s="641"/>
      <c r="R69" s="641"/>
    </row>
    <row r="70" spans="1:18" ht="24">
      <c r="A70" s="30"/>
      <c r="B70" s="3066" t="s">
        <v>542</v>
      </c>
      <c r="C70" s="3067" t="s">
        <v>442</v>
      </c>
      <c r="D70" s="3068">
        <v>8599</v>
      </c>
      <c r="E70" s="3075" t="str">
        <f t="shared" si="8"/>
        <v>盈余公积_本期期末余额</v>
      </c>
      <c r="F70" s="3069" t="str">
        <f>Area_RepDuration</f>
        <v>2019年度</v>
      </c>
      <c r="G70" s="3080">
        <f ca="1">INDIRECT(C70&amp;"!CheckA"&amp;D70)</f>
        <v>1484894.62</v>
      </c>
      <c r="H70" s="3070" t="s">
        <v>428</v>
      </c>
      <c r="I70" s="3068">
        <v>4101</v>
      </c>
      <c r="J70" s="3075" t="str">
        <f t="shared" si="9"/>
        <v>盈余公积</v>
      </c>
      <c r="K70" s="3069">
        <f>Area_RepDate</f>
        <v>43830</v>
      </c>
      <c r="L70" s="3080">
        <f ca="1">INDIRECT(H70&amp;"!CheckA"&amp;I70)</f>
        <v>1484894.62</v>
      </c>
      <c r="M70" s="3071">
        <f t="shared" ca="1" si="10"/>
        <v>0</v>
      </c>
      <c r="N70" s="3072" t="str">
        <f t="shared" ca="1" si="11"/>
        <v>√</v>
      </c>
      <c r="O70" s="641"/>
      <c r="P70" s="641"/>
      <c r="Q70" s="641"/>
      <c r="R70" s="641"/>
    </row>
    <row r="71" spans="1:18" ht="24">
      <c r="A71" s="30"/>
      <c r="B71" s="3066" t="s">
        <v>547</v>
      </c>
      <c r="C71" s="3067" t="s">
        <v>442</v>
      </c>
      <c r="D71" s="3068">
        <v>8599</v>
      </c>
      <c r="E71" s="3074" t="str">
        <f t="shared" si="8"/>
        <v>盈余公积_本期期末余额</v>
      </c>
      <c r="F71" s="3069" t="str">
        <f>Area_RepDuration1</f>
        <v>2018年度</v>
      </c>
      <c r="G71" s="3079">
        <f ca="1">INDIRECT(C71&amp;"!CheckB"&amp;D71)</f>
        <v>1476848.22</v>
      </c>
      <c r="H71" s="3070" t="s">
        <v>428</v>
      </c>
      <c r="I71" s="3068">
        <v>4101</v>
      </c>
      <c r="J71" s="3074" t="str">
        <f t="shared" si="9"/>
        <v>盈余公积</v>
      </c>
      <c r="K71" s="3069">
        <f>Area_RepDate1</f>
        <v>43465</v>
      </c>
      <c r="L71" s="3079">
        <f ca="1">INDIRECT(H71&amp;"!CheckB"&amp;I71)</f>
        <v>1476848.22</v>
      </c>
      <c r="M71" s="3071">
        <f t="shared" ca="1" si="10"/>
        <v>0</v>
      </c>
      <c r="N71" s="3072" t="str">
        <f t="shared" ca="1" si="11"/>
        <v>√</v>
      </c>
      <c r="O71" s="641"/>
      <c r="P71" s="641"/>
      <c r="Q71" s="641"/>
      <c r="R71" s="641"/>
    </row>
    <row r="72" spans="1:18" ht="24">
      <c r="A72" s="30"/>
      <c r="B72" s="3066" t="s">
        <v>551</v>
      </c>
      <c r="C72" s="3067" t="s">
        <v>442</v>
      </c>
      <c r="D72" s="3068">
        <v>8699</v>
      </c>
      <c r="E72" s="3075" t="str">
        <f t="shared" si="8"/>
        <v>一般风险准备_本期期末余额</v>
      </c>
      <c r="F72" s="3069" t="str">
        <f>Area_RepDuration</f>
        <v>2019年度</v>
      </c>
      <c r="G72" s="3080">
        <f ca="1">INDIRECT(C72&amp;"!CheckA"&amp;D72)</f>
        <v>0</v>
      </c>
      <c r="H72" s="3070" t="s">
        <v>428</v>
      </c>
      <c r="I72" s="3068">
        <v>4102</v>
      </c>
      <c r="J72" s="3075" t="str">
        <f t="shared" si="9"/>
        <v>一般风险准备</v>
      </c>
      <c r="K72" s="3069">
        <f>Area_RepDate</f>
        <v>43830</v>
      </c>
      <c r="L72" s="3080">
        <f ca="1">INDIRECT(H72&amp;"!CheckA"&amp;I72)</f>
        <v>0</v>
      </c>
      <c r="M72" s="3071">
        <f t="shared" ca="1" si="10"/>
        <v>0</v>
      </c>
      <c r="N72" s="3072" t="str">
        <f t="shared" ca="1" si="11"/>
        <v>√</v>
      </c>
      <c r="O72" s="641"/>
      <c r="P72" s="641"/>
      <c r="Q72" s="641"/>
      <c r="R72" s="641"/>
    </row>
    <row r="73" spans="1:18" ht="24">
      <c r="A73" s="30"/>
      <c r="B73" s="3066" t="s">
        <v>555</v>
      </c>
      <c r="C73" s="3067" t="s">
        <v>442</v>
      </c>
      <c r="D73" s="3068">
        <v>8699</v>
      </c>
      <c r="E73" s="3074" t="str">
        <f t="shared" ref="E73:E84" si="16">VLOOKUP(D73,Sheet_Items,2,0)</f>
        <v>一般风险准备_本期期末余额</v>
      </c>
      <c r="F73" s="3069" t="str">
        <f>Area_RepDuration1</f>
        <v>2018年度</v>
      </c>
      <c r="G73" s="3079">
        <f ca="1">INDIRECT(C73&amp;"!CheckB"&amp;D73)</f>
        <v>0</v>
      </c>
      <c r="H73" s="3070" t="s">
        <v>428</v>
      </c>
      <c r="I73" s="3068">
        <v>4102</v>
      </c>
      <c r="J73" s="3074" t="str">
        <f t="shared" ref="J73:J84" si="17">VLOOKUP(I73,Sheet_Items,2,0)</f>
        <v>一般风险准备</v>
      </c>
      <c r="K73" s="3069">
        <f>Area_RepDate1</f>
        <v>43465</v>
      </c>
      <c r="L73" s="3079">
        <f ca="1">INDIRECT(H73&amp;"!CheckB"&amp;I73)</f>
        <v>0</v>
      </c>
      <c r="M73" s="3071">
        <f t="shared" ref="M73:M84" ca="1" si="18">ROUND(G73-L73,2)</f>
        <v>0</v>
      </c>
      <c r="N73" s="3072" t="str">
        <f t="shared" ref="N73:N84" ca="1" si="19">IF(M73=0,"√","×")</f>
        <v>√</v>
      </c>
      <c r="O73" s="641"/>
      <c r="P73" s="641"/>
      <c r="Q73" s="641"/>
      <c r="R73" s="641"/>
    </row>
    <row r="74" spans="1:18" ht="24">
      <c r="A74" s="30"/>
      <c r="B74" s="3066" t="s">
        <v>560</v>
      </c>
      <c r="C74" s="3067" t="s">
        <v>442</v>
      </c>
      <c r="D74" s="3068">
        <v>8799</v>
      </c>
      <c r="E74" s="3075" t="str">
        <f t="shared" si="16"/>
        <v>未分配利润_本期期末余额</v>
      </c>
      <c r="F74" s="3069" t="str">
        <f>Area_RepDuration</f>
        <v>2019年度</v>
      </c>
      <c r="G74" s="3080">
        <f ca="1">INDIRECT(C74&amp;"!CheckA"&amp;D74)</f>
        <v>-787982.98</v>
      </c>
      <c r="H74" s="3070" t="s">
        <v>428</v>
      </c>
      <c r="I74" s="3068">
        <v>4200</v>
      </c>
      <c r="J74" s="3075" t="str">
        <f t="shared" si="17"/>
        <v>未分配利润</v>
      </c>
      <c r="K74" s="3069">
        <f>Area_RepDate</f>
        <v>43830</v>
      </c>
      <c r="L74" s="3080">
        <f ca="1">INDIRECT(H74&amp;"!CheckA"&amp;I74)</f>
        <v>-787982.98</v>
      </c>
      <c r="M74" s="3071">
        <f t="shared" ca="1" si="18"/>
        <v>0</v>
      </c>
      <c r="N74" s="3072" t="str">
        <f t="shared" ca="1" si="19"/>
        <v>√</v>
      </c>
      <c r="O74" s="641"/>
      <c r="P74" s="641"/>
      <c r="Q74" s="641"/>
      <c r="R74" s="641"/>
    </row>
    <row r="75" spans="1:18" ht="24">
      <c r="A75" s="30"/>
      <c r="B75" s="3066" t="s">
        <v>563</v>
      </c>
      <c r="C75" s="3067" t="s">
        <v>442</v>
      </c>
      <c r="D75" s="3068">
        <v>8799</v>
      </c>
      <c r="E75" s="3074" t="str">
        <f t="shared" si="16"/>
        <v>未分配利润_本期期末余额</v>
      </c>
      <c r="F75" s="3069" t="str">
        <f>Area_RepDuration1</f>
        <v>2018年度</v>
      </c>
      <c r="G75" s="3079">
        <f ca="1">INDIRECT(C75&amp;"!CheckB"&amp;D75)</f>
        <v>13291633.890000001</v>
      </c>
      <c r="H75" s="3070" t="s">
        <v>428</v>
      </c>
      <c r="I75" s="3068">
        <v>4200</v>
      </c>
      <c r="J75" s="3074" t="str">
        <f t="shared" si="17"/>
        <v>未分配利润</v>
      </c>
      <c r="K75" s="3069">
        <f>Area_RepDate1</f>
        <v>43465</v>
      </c>
      <c r="L75" s="3079">
        <f ca="1">INDIRECT(H75&amp;"!CheckB"&amp;I75)</f>
        <v>13291633.890000001</v>
      </c>
      <c r="M75" s="3071">
        <f t="shared" ca="1" si="18"/>
        <v>0</v>
      </c>
      <c r="N75" s="3072" t="str">
        <f t="shared" ca="1" si="19"/>
        <v>√</v>
      </c>
      <c r="O75" s="641"/>
      <c r="P75" s="641"/>
      <c r="Q75" s="641"/>
      <c r="R75" s="641"/>
    </row>
    <row r="76" spans="1:18" ht="24">
      <c r="A76" s="30"/>
      <c r="B76" s="31" t="s">
        <v>565</v>
      </c>
      <c r="C76" s="35" t="s">
        <v>442</v>
      </c>
      <c r="D76" s="1269">
        <v>8099</v>
      </c>
      <c r="E76" s="3073" t="str">
        <f t="shared" si="16"/>
        <v>所有者权益_本期期末余额</v>
      </c>
      <c r="F76" s="1270" t="str">
        <f>Area_RepDuration</f>
        <v>2019年度</v>
      </c>
      <c r="G76" s="3078">
        <f ca="1">INDIRECT(C76&amp;"!CheckA"&amp;D76)</f>
        <v>41161011.640000001</v>
      </c>
      <c r="H76" s="1271" t="s">
        <v>428</v>
      </c>
      <c r="I76" s="1269">
        <v>4999</v>
      </c>
      <c r="J76" s="3073" t="str">
        <f t="shared" si="17"/>
        <v>所有者权益</v>
      </c>
      <c r="K76" s="1270">
        <f>Area_RepDate</f>
        <v>43830</v>
      </c>
      <c r="L76" s="3078">
        <f ca="1">INDIRECT(H76&amp;"!CheckA"&amp;I76)</f>
        <v>41161011.640000001</v>
      </c>
      <c r="M76" s="70">
        <f t="shared" ca="1" si="18"/>
        <v>0</v>
      </c>
      <c r="N76" s="1293" t="str">
        <f t="shared" ca="1" si="19"/>
        <v>√</v>
      </c>
      <c r="O76" s="641"/>
      <c r="P76" s="641"/>
      <c r="Q76" s="641"/>
      <c r="R76" s="641"/>
    </row>
    <row r="77" spans="1:18" ht="24">
      <c r="A77" s="30"/>
      <c r="B77" s="31" t="s">
        <v>571</v>
      </c>
      <c r="C77" s="35" t="s">
        <v>442</v>
      </c>
      <c r="D77" s="1269">
        <v>8099</v>
      </c>
      <c r="E77" s="3076" t="str">
        <f t="shared" si="16"/>
        <v>所有者权益_本期期末余额</v>
      </c>
      <c r="F77" s="1270" t="str">
        <f>Area_RepDuration1</f>
        <v>2018年度</v>
      </c>
      <c r="G77" s="3081">
        <f ca="1">INDIRECT(C77&amp;"!CheckB"&amp;D77)</f>
        <v>44768482.109999999</v>
      </c>
      <c r="H77" s="1271" t="s">
        <v>428</v>
      </c>
      <c r="I77" s="1269">
        <v>4999</v>
      </c>
      <c r="J77" s="3076" t="str">
        <f t="shared" si="17"/>
        <v>所有者权益</v>
      </c>
      <c r="K77" s="1270">
        <f>Area_RepDate1</f>
        <v>43465</v>
      </c>
      <c r="L77" s="3081">
        <f ca="1">INDIRECT(H77&amp;"!CheckB"&amp;I77)</f>
        <v>44768482.109999999</v>
      </c>
      <c r="M77" s="70">
        <f t="shared" ca="1" si="18"/>
        <v>0</v>
      </c>
      <c r="N77" s="1293" t="str">
        <f t="shared" ca="1" si="19"/>
        <v>√</v>
      </c>
      <c r="O77" s="641"/>
      <c r="P77" s="641"/>
      <c r="Q77" s="641"/>
      <c r="R77" s="641"/>
    </row>
    <row r="78" spans="1:18" ht="24">
      <c r="A78" s="30"/>
      <c r="B78" s="31" t="s">
        <v>577</v>
      </c>
      <c r="C78" s="35" t="s">
        <v>578</v>
      </c>
      <c r="D78" s="1269">
        <v>7349</v>
      </c>
      <c r="E78" s="3073" t="str">
        <f t="shared" si="16"/>
        <v>期初现金及现金等价物余额</v>
      </c>
      <c r="F78" s="1270" t="str">
        <f>Area_RepDuration</f>
        <v>2019年度</v>
      </c>
      <c r="G78" s="3078">
        <f ca="1">INDIRECT(C78&amp;"!CheckA"&amp;D78)</f>
        <v>252723.84</v>
      </c>
      <c r="H78" s="1271" t="s">
        <v>578</v>
      </c>
      <c r="I78" s="1269">
        <v>7399</v>
      </c>
      <c r="J78" s="3076" t="str">
        <f t="shared" si="17"/>
        <v>期末现金及现金等价物余额</v>
      </c>
      <c r="K78" s="1270" t="str">
        <f>Area_RepDuration1</f>
        <v>2018年度</v>
      </c>
      <c r="L78" s="3081">
        <f ca="1">INDIRECT(H78&amp;"!CheckB"&amp;I78)</f>
        <v>252723.84</v>
      </c>
      <c r="M78" s="70">
        <f t="shared" ca="1" si="18"/>
        <v>0</v>
      </c>
      <c r="N78" s="1293" t="str">
        <f t="shared" ca="1" si="19"/>
        <v>√</v>
      </c>
      <c r="O78" s="641"/>
      <c r="P78" s="641"/>
      <c r="Q78" s="641"/>
      <c r="R78" s="641"/>
    </row>
    <row r="79" spans="1:18" ht="18">
      <c r="A79" s="30"/>
      <c r="B79" s="31" t="s">
        <v>582</v>
      </c>
      <c r="C79" s="35" t="s">
        <v>578</v>
      </c>
      <c r="D79" s="1269">
        <v>7502</v>
      </c>
      <c r="E79" s="3073" t="str">
        <f t="shared" si="16"/>
        <v>净利润金额</v>
      </c>
      <c r="F79" s="1270" t="str">
        <f>Area_RepDuration</f>
        <v>2019年度</v>
      </c>
      <c r="G79" s="3078">
        <f ca="1">INDIRECT(C79&amp;"!CheckA"&amp;D79)</f>
        <v>-3349908.33</v>
      </c>
      <c r="H79" s="1271" t="s">
        <v>441</v>
      </c>
      <c r="I79" s="1269">
        <v>6799</v>
      </c>
      <c r="J79" s="3073" t="str">
        <f t="shared" si="17"/>
        <v>净利润</v>
      </c>
      <c r="K79" s="1270" t="str">
        <f>Area_RepDuration</f>
        <v>2019年度</v>
      </c>
      <c r="L79" s="3078">
        <f ca="1">INDIRECT(H79&amp;"!CheckA"&amp;I79)</f>
        <v>-3349908.33</v>
      </c>
      <c r="M79" s="70">
        <f t="shared" ca="1" si="18"/>
        <v>0</v>
      </c>
      <c r="N79" s="1293" t="str">
        <f t="shared" ca="1" si="19"/>
        <v>√</v>
      </c>
      <c r="O79" s="641"/>
      <c r="P79" s="641"/>
      <c r="Q79" s="641"/>
      <c r="R79" s="641"/>
    </row>
    <row r="80" spans="1:18" ht="18">
      <c r="A80" s="30"/>
      <c r="B80" s="31" t="s">
        <v>587</v>
      </c>
      <c r="C80" s="35" t="s">
        <v>578</v>
      </c>
      <c r="D80" s="1269">
        <v>7502</v>
      </c>
      <c r="E80" s="3076" t="str">
        <f t="shared" si="16"/>
        <v>净利润金额</v>
      </c>
      <c r="F80" s="1270" t="str">
        <f>Area_RepDuration1</f>
        <v>2018年度</v>
      </c>
      <c r="G80" s="3081">
        <f ca="1">INDIRECT(C80&amp;"!CheckB"&amp;D80)</f>
        <v>520228.91</v>
      </c>
      <c r="H80" s="1271" t="s">
        <v>441</v>
      </c>
      <c r="I80" s="1269">
        <v>6799</v>
      </c>
      <c r="J80" s="3076" t="str">
        <f t="shared" si="17"/>
        <v>净利润</v>
      </c>
      <c r="K80" s="1270" t="str">
        <f>Area_RepDuration1</f>
        <v>2018年度</v>
      </c>
      <c r="L80" s="3081">
        <f ca="1">INDIRECT(H80&amp;"!CheckB"&amp;I80)</f>
        <v>520228.91</v>
      </c>
      <c r="M80" s="70">
        <f t="shared" ca="1" si="18"/>
        <v>0</v>
      </c>
      <c r="N80" s="1293" t="str">
        <f t="shared" ca="1" si="19"/>
        <v>√</v>
      </c>
      <c r="O80" s="641"/>
      <c r="P80" s="641"/>
      <c r="Q80" s="641"/>
      <c r="R80" s="641"/>
    </row>
    <row r="81" spans="1:18" ht="24">
      <c r="A81" s="30"/>
      <c r="B81" s="31" t="s">
        <v>593</v>
      </c>
      <c r="C81" s="35" t="s">
        <v>578</v>
      </c>
      <c r="D81" s="1269">
        <v>7525</v>
      </c>
      <c r="E81" s="3073" t="str">
        <f t="shared" si="16"/>
        <v>经营活动产生的现金流量净额</v>
      </c>
      <c r="F81" s="1270" t="str">
        <f>Area_RepDuration</f>
        <v>2019年度</v>
      </c>
      <c r="G81" s="3078">
        <f ca="1">INDIRECT(C81&amp;"!CheckA"&amp;D81)</f>
        <v>963447.92</v>
      </c>
      <c r="H81" s="1271" t="s">
        <v>578</v>
      </c>
      <c r="I81" s="1269">
        <v>7099</v>
      </c>
      <c r="J81" s="3073" t="str">
        <f t="shared" si="17"/>
        <v>经营活动产生的现金流量净额</v>
      </c>
      <c r="K81" s="1270" t="str">
        <f>Area_RepDuration</f>
        <v>2019年度</v>
      </c>
      <c r="L81" s="3078">
        <f ca="1">INDIRECT(H81&amp;"!CheckA"&amp;I81)</f>
        <v>963447.92</v>
      </c>
      <c r="M81" s="70">
        <f t="shared" ca="1" si="18"/>
        <v>0</v>
      </c>
      <c r="N81" s="1293" t="str">
        <f t="shared" ca="1" si="19"/>
        <v>√</v>
      </c>
      <c r="O81" s="641"/>
      <c r="P81" s="641"/>
      <c r="Q81" s="641"/>
      <c r="R81" s="641"/>
    </row>
    <row r="82" spans="1:18" ht="24">
      <c r="A82" s="30"/>
      <c r="B82" s="31" t="s">
        <v>598</v>
      </c>
      <c r="C82" s="35" t="s">
        <v>578</v>
      </c>
      <c r="D82" s="1269">
        <v>7525</v>
      </c>
      <c r="E82" s="3076" t="str">
        <f t="shared" si="16"/>
        <v>经营活动产生的现金流量净额</v>
      </c>
      <c r="F82" s="1270" t="str">
        <f>Area_RepDuration1</f>
        <v>2018年度</v>
      </c>
      <c r="G82" s="3081">
        <f ca="1">INDIRECT(C82&amp;"!CheckB"&amp;D82)</f>
        <v>11322700.880000001</v>
      </c>
      <c r="H82" s="1271" t="s">
        <v>578</v>
      </c>
      <c r="I82" s="1269">
        <v>7099</v>
      </c>
      <c r="J82" s="3076" t="str">
        <f t="shared" si="17"/>
        <v>经营活动产生的现金流量净额</v>
      </c>
      <c r="K82" s="1270" t="str">
        <f>Area_RepDuration1</f>
        <v>2018年度</v>
      </c>
      <c r="L82" s="3081">
        <f ca="1">INDIRECT(H82&amp;"!CheckB"&amp;I82)</f>
        <v>11322700.880000001</v>
      </c>
      <c r="M82" s="70">
        <f t="shared" ca="1" si="18"/>
        <v>0</v>
      </c>
      <c r="N82" s="1293" t="str">
        <f t="shared" ca="1" si="19"/>
        <v>√</v>
      </c>
      <c r="O82" s="641"/>
      <c r="P82" s="641"/>
      <c r="Q82" s="641"/>
      <c r="R82" s="641"/>
    </row>
    <row r="83" spans="1:18" ht="24">
      <c r="A83" s="30"/>
      <c r="B83" s="31" t="s">
        <v>603</v>
      </c>
      <c r="C83" s="35" t="s">
        <v>578</v>
      </c>
      <c r="D83" s="1269">
        <v>7539</v>
      </c>
      <c r="E83" s="3073" t="str">
        <f t="shared" si="16"/>
        <v>现金及现金等价物净增加额</v>
      </c>
      <c r="F83" s="1270" t="str">
        <f>Area_RepDuration</f>
        <v>2019年度</v>
      </c>
      <c r="G83" s="3078">
        <f ca="1">INDIRECT(C83&amp;"!CheckA"&amp;D83)</f>
        <v>226581.11</v>
      </c>
      <c r="H83" s="1271" t="s">
        <v>578</v>
      </c>
      <c r="I83" s="1269">
        <v>7348</v>
      </c>
      <c r="J83" s="3073" t="str">
        <f t="shared" si="17"/>
        <v>现金及现金等价物净增加额</v>
      </c>
      <c r="K83" s="1270" t="str">
        <f>Area_RepDuration</f>
        <v>2019年度</v>
      </c>
      <c r="L83" s="3078">
        <f ca="1">INDIRECT(H83&amp;"!CheckA"&amp;I83)</f>
        <v>226581.11</v>
      </c>
      <c r="M83" s="70">
        <f t="shared" ca="1" si="18"/>
        <v>0</v>
      </c>
      <c r="N83" s="1293" t="str">
        <f t="shared" ca="1" si="19"/>
        <v>√</v>
      </c>
      <c r="O83" s="641"/>
      <c r="P83" s="641"/>
      <c r="Q83" s="641"/>
      <c r="R83" s="641"/>
    </row>
    <row r="84" spans="1:18" ht="24">
      <c r="A84" s="30"/>
      <c r="B84" s="36" t="s">
        <v>608</v>
      </c>
      <c r="C84" s="37" t="s">
        <v>578</v>
      </c>
      <c r="D84" s="1272">
        <v>7539</v>
      </c>
      <c r="E84" s="3077" t="str">
        <f t="shared" si="16"/>
        <v>现金及现金等价物净增加额</v>
      </c>
      <c r="F84" s="1273" t="str">
        <f>Area_RepDuration1</f>
        <v>2018年度</v>
      </c>
      <c r="G84" s="3082">
        <f ca="1">INDIRECT(C84&amp;"!CheckB"&amp;D84)</f>
        <v>-2979289.28</v>
      </c>
      <c r="H84" s="1274" t="s">
        <v>578</v>
      </c>
      <c r="I84" s="1272">
        <v>7348</v>
      </c>
      <c r="J84" s="3077" t="str">
        <f t="shared" si="17"/>
        <v>现金及现金等价物净增加额</v>
      </c>
      <c r="K84" s="1273" t="str">
        <f>Area_RepDuration1</f>
        <v>2018年度</v>
      </c>
      <c r="L84" s="3082">
        <f ca="1">INDIRECT(H84&amp;"!CheckB"&amp;I84)</f>
        <v>-2979289.28</v>
      </c>
      <c r="M84" s="70">
        <f t="shared" ca="1" si="18"/>
        <v>0</v>
      </c>
      <c r="N84" s="1293" t="str">
        <f t="shared" ca="1" si="19"/>
        <v>√</v>
      </c>
      <c r="O84" s="641"/>
      <c r="P84" s="641"/>
      <c r="Q84" s="641"/>
      <c r="R84" s="641"/>
    </row>
    <row r="85" spans="1:18" ht="18">
      <c r="A85" s="30"/>
      <c r="B85" s="1275"/>
      <c r="C85" s="1275"/>
      <c r="D85" s="1276"/>
      <c r="E85" s="1275"/>
      <c r="F85" s="1275"/>
      <c r="G85" s="1275"/>
      <c r="H85" s="1275"/>
      <c r="I85" s="1276"/>
      <c r="J85" s="1275"/>
      <c r="K85" s="1275"/>
      <c r="L85" s="1275"/>
      <c r="M85" s="1275"/>
      <c r="N85" s="1275"/>
      <c r="O85" s="641"/>
      <c r="P85" s="641"/>
      <c r="Q85" s="641"/>
      <c r="R85" s="641"/>
    </row>
    <row r="86" spans="1:18" ht="18">
      <c r="A86" s="181"/>
      <c r="B86" s="641"/>
      <c r="C86" s="641"/>
      <c r="D86" s="720"/>
      <c r="E86" s="641"/>
      <c r="F86" s="641"/>
      <c r="G86" s="641"/>
      <c r="H86" s="641"/>
      <c r="I86" s="720"/>
      <c r="J86" s="641"/>
      <c r="K86" s="641"/>
      <c r="L86" s="641"/>
      <c r="M86" s="641"/>
      <c r="N86" s="641"/>
      <c r="O86" s="641"/>
      <c r="P86" s="641"/>
      <c r="Q86" s="641"/>
      <c r="R86" s="641"/>
    </row>
    <row r="87" spans="1:18" ht="18">
      <c r="A87" s="181"/>
      <c r="B87" s="1277" t="s">
        <v>2538</v>
      </c>
      <c r="C87" s="641"/>
      <c r="D87" s="720"/>
      <c r="E87" s="641"/>
      <c r="F87" s="641"/>
      <c r="G87" s="641"/>
      <c r="H87" s="641"/>
      <c r="I87" s="720"/>
      <c r="J87" s="641"/>
      <c r="K87" s="641"/>
      <c r="L87" s="641"/>
      <c r="M87" s="641"/>
      <c r="N87" s="641"/>
      <c r="O87" s="641"/>
      <c r="P87" s="641"/>
      <c r="Q87" s="641"/>
      <c r="R87" s="641"/>
    </row>
    <row r="88" spans="1:18" ht="18">
      <c r="A88" s="181"/>
      <c r="B88" s="641"/>
      <c r="C88" s="641"/>
      <c r="D88" s="720"/>
      <c r="E88" s="641"/>
      <c r="F88" s="641"/>
      <c r="G88" s="641"/>
      <c r="H88" s="641"/>
      <c r="I88" s="720"/>
      <c r="J88" s="641"/>
      <c r="K88" s="641"/>
      <c r="L88" s="641"/>
      <c r="M88" s="641"/>
      <c r="N88" s="641"/>
      <c r="O88" s="641"/>
      <c r="P88" s="641"/>
      <c r="Q88" s="641"/>
      <c r="R88" s="641"/>
    </row>
    <row r="89" spans="1:18" ht="18">
      <c r="A89" s="181"/>
      <c r="B89" s="641"/>
      <c r="C89" s="641"/>
      <c r="D89" s="720"/>
      <c r="E89" s="641"/>
      <c r="F89" s="641"/>
      <c r="G89" s="641"/>
      <c r="H89" s="641"/>
      <c r="I89" s="720"/>
      <c r="J89" s="641"/>
      <c r="K89" s="641"/>
      <c r="L89" s="641"/>
      <c r="M89" s="641"/>
      <c r="N89" s="641"/>
      <c r="O89" s="641"/>
      <c r="P89" s="641"/>
      <c r="Q89" s="641"/>
      <c r="R89" s="641"/>
    </row>
    <row r="90" spans="1:18" ht="18">
      <c r="A90" s="30"/>
    </row>
    <row r="91" spans="1:18" ht="18">
      <c r="A91" s="30"/>
    </row>
    <row r="92" spans="1:18" ht="18">
      <c r="A92" s="30"/>
    </row>
    <row r="93" spans="1:18" ht="18">
      <c r="A93" s="30"/>
    </row>
  </sheetData>
  <sheetProtection algorithmName="SHA-512" hashValue="3G5xOU1oRHDXzKb+sKZo9FYxkBH3h8AcUIQtvnqA3/DPw0u+V8v5ekUgqmbfR5oFzjNco1Lo35jEMatTZXf67w==" saltValue="wkOeU0TQn2/E0E+XZ/MltQ==" spinCount="100000" sheet="1" scenarios="1" formatCells="0" autoFilter="0"/>
  <phoneticPr fontId="163" type="noConversion"/>
  <conditionalFormatting sqref="M9:M84">
    <cfRule type="expression" dxfId="85" priority="1" stopIfTrue="1">
      <formula>N9&lt;&gt;"√"</formula>
    </cfRule>
  </conditionalFormatting>
  <dataValidations count="1">
    <dataValidation type="list" allowBlank="1" showInputMessage="1" showErrorMessage="1" sqref="N9:N75">
      <formula1>"√,×,N/A,？"</formula1>
    </dataValidation>
  </dataValidations>
  <hyperlinks>
    <hyperlink ref="G9" location="preBS!CheckA1999" display="preBS!CheckA1999"/>
    <hyperlink ref="L9" location="preBS!CheckA5000" display="preBS!CheckA5000"/>
    <hyperlink ref="G10" location="preBS!CheckB1999" display="preBS!CheckB1999"/>
    <hyperlink ref="L10" location="preBS!CheckB5000" display="preBS!CheckB5000"/>
    <hyperlink ref="G11" location="preIS!CheckA6811" display="preIS!CheckA6811"/>
    <hyperlink ref="L11" location="preCE!CheckA8740" display="preCE!CheckA8740"/>
    <hyperlink ref="G12" location="preIS!CheckB6811" display="preIS!CheckB6811"/>
    <hyperlink ref="L12" location="preCE!CheckB8740" display="preCE!CheckB8740"/>
    <hyperlink ref="G13" location="preIS!CheckA6839" display="preIS!CheckA6839"/>
    <hyperlink ref="L13" location="preCE!CheckA8040" display="preCE!CheckA8040"/>
    <hyperlink ref="G14" location="preIS!CheckB6839" display="preIS!CheckB6839"/>
    <hyperlink ref="L14" location="preCE!CheckB8040" display="preCE!CheckB8040"/>
    <hyperlink ref="G15" location="preIS!CheckA6842" display="preIS!CheckA6842"/>
    <hyperlink ref="L15" location="preCE!CheckA8940" display="preCE!CheckA8940"/>
    <hyperlink ref="G16" location="preIS!CheckB6842" display="preIS!CheckB6842"/>
    <hyperlink ref="L16" location="preCE!CheckB8940" display="preCE!CheckB8940"/>
    <hyperlink ref="G17" location="preCE!CheckA8110" display="preCE!CheckA8110"/>
    <hyperlink ref="L17" location="preCE!CheckB8199" display="preCE!CheckB8199"/>
    <hyperlink ref="G18" location="preCE!CheckA8210" display="preCE!CheckA8210"/>
    <hyperlink ref="L18" location="preCE!CheckB8299" display="preCE!CheckB8299"/>
    <hyperlink ref="G19" location="preCE!CheckA8310" display="preCE!CheckA8310"/>
    <hyperlink ref="L19" location="preCE!CheckB8399" display="preCE!CheckB8399"/>
    <hyperlink ref="G20" location="preCE!CheckA8410" display="preCE!CheckA8410"/>
    <hyperlink ref="L20" location="preCE!CheckB8499" display="preCE!CheckB8499"/>
    <hyperlink ref="G21" location="preCE!CheckA8510" display="preCE!CheckA8510"/>
    <hyperlink ref="L21" location="preCE!CheckB8599" display="preCE!CheckB8599"/>
    <hyperlink ref="G22" location="preCE!CheckA8610" display="preCE!CheckA8610"/>
    <hyperlink ref="L22" location="preCE!CheckB8699" display="preCE!CheckB8699"/>
    <hyperlink ref="G23" location="preCE!CheckA8710" display="preCE!CheckA8710"/>
    <hyperlink ref="L23" location="preCE!CheckB8799" display="preCE!CheckB8799"/>
    <hyperlink ref="G24" location="preCE!CheckA8810" display="preCE!CheckA8810"/>
    <hyperlink ref="L24" location="preCE!CheckB8899" display="preCE!CheckB8899"/>
    <hyperlink ref="G25" location="preCE!CheckA8010" display="preCE!CheckA8010"/>
    <hyperlink ref="L25" location="preCE!CheckB8099" display="preCE!CheckB8099"/>
    <hyperlink ref="G26" location="preCE!CheckA8199" display="preCE!CheckA8199"/>
    <hyperlink ref="L26" location="preBS!CheckA4001" display="preBS!CheckA4001"/>
    <hyperlink ref="G27" location="preCE!CheckB8199" display="preCE!CheckB8199"/>
    <hyperlink ref="L27" location="preBS!CheckB4001" display="preBS!CheckB4001"/>
    <hyperlink ref="G28" location="preCE!CheckA8299" display="preCE!CheckA8299"/>
    <hyperlink ref="L28" location="preBS!CheckA4002" display="preBS!CheckA4002"/>
    <hyperlink ref="G29" location="preCE!CheckB8299" display="preCE!CheckB8299"/>
    <hyperlink ref="L29" location="preBS!CheckB4002" display="preBS!CheckB4002"/>
    <hyperlink ref="G30" location="preCE!CheckA8399" display="preCE!CheckA8399"/>
    <hyperlink ref="L30" location="preBS!CheckA4201" display="preBS!CheckA4201"/>
    <hyperlink ref="G31" location="preCE!CheckB8399" display="preCE!CheckB8399"/>
    <hyperlink ref="L31" location="preBS!CheckB4201" display="preBS!CheckB4201"/>
    <hyperlink ref="G32" location="preCE!CheckA8499" display="preCE!CheckA8499"/>
    <hyperlink ref="L32" location="preBS!CheckA4301" display="preBS!CheckA4301"/>
    <hyperlink ref="G33" location="preCE!CheckB8499" display="preCE!CheckB8499"/>
    <hyperlink ref="L33" location="preBS!CheckB4301" display="preBS!CheckB4301"/>
    <hyperlink ref="G34" location="preCE!CheckA8599" display="preCE!CheckA8599"/>
    <hyperlink ref="L34" location="preBS!CheckA4101" display="preBS!CheckA4101"/>
    <hyperlink ref="G35" location="preCE!CheckB8599" display="preCE!CheckB8599"/>
    <hyperlink ref="L35" location="preBS!CheckB4101" display="preBS!CheckB4101"/>
    <hyperlink ref="G36" location="preCE!CheckA8699" display="preCE!CheckA8699"/>
    <hyperlink ref="L36" location="preBS!CheckA4102" display="preBS!CheckA4102"/>
    <hyperlink ref="G37" location="preCE!CheckB8699" display="preCE!CheckB8699"/>
    <hyperlink ref="L37" location="preBS!CheckB4102" display="preBS!CheckB4102"/>
    <hyperlink ref="G38" location="preCE!CheckA8799" display="preCE!CheckA8799"/>
    <hyperlink ref="L38" location="preBS!CheckA4200" display="preBS!CheckA4200"/>
    <hyperlink ref="G39" location="preCE!CheckB8799" display="preCE!CheckB8799"/>
    <hyperlink ref="L39" location="preBS!CheckB4200" display="preBS!CheckB4200"/>
    <hyperlink ref="G40" location="preCE!CheckA8099" display="preCE!CheckA8099"/>
    <hyperlink ref="L40" location="preBS!CheckA4999" display="preBS!CheckA4999"/>
    <hyperlink ref="G41" location="preCE!CheckB8099" display="preCE!CheckB8099"/>
    <hyperlink ref="L41" location="preBS!CheckB4999" display="preBS!CheckB4999"/>
    <hyperlink ref="G42" location="preCF!CheckA7349" display="preCF!CheckA7349"/>
    <hyperlink ref="L42" location="preCF!CheckB7399" display="preCF!CheckB7399"/>
    <hyperlink ref="G43" location="preCF!CheckA7502" display="preCF!CheckA7502"/>
    <hyperlink ref="L43" location="preIS!CheckA6799" display="preIS!CheckA6799"/>
    <hyperlink ref="G44" location="preCF!CheckB7502" display="preCF!CheckB7502"/>
    <hyperlink ref="L44" location="preIS!CheckB6799" display="preIS!CheckB6799"/>
    <hyperlink ref="G45" location="preCF!CheckA7525" display="preCF!CheckA7525"/>
    <hyperlink ref="L45" location="preCF!CheckA7099" display="preCF!CheckA7099"/>
    <hyperlink ref="G46" location="preCF!CheckB7525" display="preCF!CheckB7525"/>
    <hyperlink ref="L46" location="preCF!CheckB7099" display="preCF!CheckB7099"/>
    <hyperlink ref="G47" location="preCF!CheckA7539" display="preCF!CheckA7539"/>
    <hyperlink ref="L47" location="preCF!CheckA7348" display="preCF!CheckA7348"/>
    <hyperlink ref="G48" location="preCF!CheckB7539" display="preCF!CheckB7539"/>
    <hyperlink ref="L48" location="preCF!CheckB7348" display="preCF!CheckB7348"/>
    <hyperlink ref="G49" location="BS!CheckA1999" display="BS!CheckA1999"/>
    <hyperlink ref="L49" location="BS!CheckA5000" display="BS!CheckA5000"/>
    <hyperlink ref="G50" location="BS!CheckB1999" display="BS!CheckB1999"/>
    <hyperlink ref="L50" location="BS!CheckB5000" display="BS!CheckB5000"/>
    <hyperlink ref="G51" location="IS!CheckA6839" display="IS!CheckA6839"/>
    <hyperlink ref="L51" location="CE!CheckA8040" display="CE!CheckA8040"/>
    <hyperlink ref="G52" location="IS!CheckB6839" display="IS!CheckB6839"/>
    <hyperlink ref="L52" location="CE!CheckB8040" display="CE!CheckB8040"/>
    <hyperlink ref="G53" location="CE!CheckA8110" display="CE!CheckA8110"/>
    <hyperlink ref="L53" location="CE!CheckB8199" display="CE!CheckB8199"/>
    <hyperlink ref="G54" location="CE!CheckA8210" display="CE!CheckA8210"/>
    <hyperlink ref="L54" location="CE!CheckB8299" display="CE!CheckB8299"/>
    <hyperlink ref="G55" location="CE!CheckA8310" display="CE!CheckA8310"/>
    <hyperlink ref="L55" location="CE!CheckB8399" display="CE!CheckB8399"/>
    <hyperlink ref="G56" location="CE!CheckA8410" display="CE!CheckA8410"/>
    <hyperlink ref="L56" location="CE!CheckB8499" display="CE!CheckB8499"/>
    <hyperlink ref="G57" location="CE!CheckA8510" display="CE!CheckA8510"/>
    <hyperlink ref="L57" location="CE!CheckB8599" display="CE!CheckB8599"/>
    <hyperlink ref="G58" location="CE!CheckA8610" display="CE!CheckA8610"/>
    <hyperlink ref="L58" location="CE!CheckB8699" display="CE!CheckB8699"/>
    <hyperlink ref="G59" location="CE!CheckA8710" display="CE!CheckA8710"/>
    <hyperlink ref="L59" location="CE!CheckB8799" display="CE!CheckB8799"/>
    <hyperlink ref="G60" location="CE!CheckA8810" display="CE!CheckA8810"/>
    <hyperlink ref="L60" location="CE!CheckB8899" display="CE!CheckB8899"/>
    <hyperlink ref="G61" location="CE!CheckA8010" display="CE!CheckA8010"/>
    <hyperlink ref="L61" location="CE!CheckB8099" display="CE!CheckB8099"/>
    <hyperlink ref="G62" location="CE!CheckA8199" display="CE!CheckA8199"/>
    <hyperlink ref="L62" location="BS!CheckA4001" display="BS!CheckA4001"/>
    <hyperlink ref="G63" location="CE!CheckB8199" display="CE!CheckB8199"/>
    <hyperlink ref="L63" location="BS!CheckB4001" display="BS!CheckB4001"/>
    <hyperlink ref="G64" location="CE!CheckA8299" display="CE!CheckA8299"/>
    <hyperlink ref="L64" location="BS!CheckA4002" display="BS!CheckA4002"/>
    <hyperlink ref="G65" location="CE!CheckB8299" display="CE!CheckB8299"/>
    <hyperlink ref="L65" location="BS!CheckB4002" display="BS!CheckB4002"/>
    <hyperlink ref="G66" location="CE!CheckA8399" display="CE!CheckA8399"/>
    <hyperlink ref="L66" location="BS!CheckA4201" display="BS!CheckA4201"/>
    <hyperlink ref="G67" location="CE!CheckB8399" display="CE!CheckB8399"/>
    <hyperlink ref="L67" location="BS!CheckB4201" display="BS!CheckB4201"/>
    <hyperlink ref="G68" location="CE!CheckA8499" display="CE!CheckA8499"/>
    <hyperlink ref="L68" location="BS!CheckA4301" display="BS!CheckA4301"/>
    <hyperlink ref="G69" location="CE!CheckB8499" display="CE!CheckB8499"/>
    <hyperlink ref="L69" location="BS!CheckB4301" display="BS!CheckB4301"/>
    <hyperlink ref="G70" location="CE!CheckA8599" display="CE!CheckA8599"/>
    <hyperlink ref="L70" location="BS!CheckA4101" display="BS!CheckA4101"/>
    <hyperlink ref="G71" location="CE!CheckB8599" display="CE!CheckB8599"/>
    <hyperlink ref="L71" location="BS!CheckB4101" display="BS!CheckB4101"/>
    <hyperlink ref="G72" location="CE!CheckA8699" display="CE!CheckA8699"/>
    <hyperlink ref="L72" location="BS!CheckA4102" display="BS!CheckA4102"/>
    <hyperlink ref="G73" location="CE!CheckB8699" display="CE!CheckB8699"/>
    <hyperlink ref="L73" location="BS!CheckB4102" display="BS!CheckB4102"/>
    <hyperlink ref="G74" location="CE!CheckA8799" display="CE!CheckA8799"/>
    <hyperlink ref="L74" location="BS!CheckA4200" display="BS!CheckA4200"/>
    <hyperlink ref="G75" location="CE!CheckB8799" display="CE!CheckB8799"/>
    <hyperlink ref="L75" location="BS!CheckB4200" display="BS!CheckB4200"/>
    <hyperlink ref="G76" location="CE!CheckA8099" display="CE!CheckA8099"/>
    <hyperlink ref="L76" location="BS!CheckA4999" display="BS!CheckA4999"/>
    <hyperlink ref="G77" location="CE!CheckB8099" display="CE!CheckB8099"/>
    <hyperlink ref="L77" location="BS!CheckB4999" display="BS!CheckB4999"/>
    <hyperlink ref="G78" location="CF!CheckA7349" display="CF!CheckA7349"/>
    <hyperlink ref="L78" location="CF!CheckB7399" display="CF!CheckB7399"/>
    <hyperlink ref="G79" location="CF!CheckA7502" display="CF!CheckA7502"/>
    <hyperlink ref="L79" location="IS!CheckA6799" display="IS!CheckA6799"/>
    <hyperlink ref="G80" location="CF!CheckB7502" display="CF!CheckB7502"/>
    <hyperlink ref="L80" location="IS!CheckB6799" display="IS!CheckB6799"/>
    <hyperlink ref="G81" location="CF!CheckA7525" display="CF!CheckA7525"/>
    <hyperlink ref="L81" location="CF!CheckA7099" display="CF!CheckA7099"/>
    <hyperlink ref="G82" location="CF!CheckB7525" display="CF!CheckB7525"/>
    <hyperlink ref="L82" location="CF!CheckB7099" display="CF!CheckB7099"/>
    <hyperlink ref="G83" location="CF!CheckA7539" display="CF!CheckA7539"/>
    <hyperlink ref="L83" location="CF!CheckA7348" display="CF!CheckA7348"/>
    <hyperlink ref="G84" location="CF!CheckB7539" display="CF!CheckB7539"/>
    <hyperlink ref="L84" location="CF!CheckB7348" display="CF!CheckB7348"/>
  </hyperlinks>
  <pageMargins left="0.78740157480314998" right="0" top="0.78740157480314998" bottom="0.196850393700787" header="0.511811023622047" footer="0.511811023622047"/>
  <pageSetup paperSize="9" scale="85" orientation="portrait" blackAndWhite="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Q101"/>
  <sheetViews>
    <sheetView topLeftCell="A13" workbookViewId="0">
      <selection activeCell="J14" sqref="J14"/>
    </sheetView>
  </sheetViews>
  <sheetFormatPr defaultColWidth="9.140625" defaultRowHeight="12"/>
  <cols>
    <col min="1" max="3" width="0.140625" style="2754" customWidth="1"/>
    <col min="4" max="4" width="26.7109375" style="1" customWidth="1"/>
    <col min="5" max="5" width="5.140625" style="1" customWidth="1"/>
    <col min="6" max="7" width="14.7109375" style="1" customWidth="1"/>
    <col min="8" max="8" width="0.140625" style="2754" customWidth="1"/>
    <col min="9" max="9" width="26.7109375" style="1" customWidth="1"/>
    <col min="10" max="10" width="4.7109375" style="1" customWidth="1"/>
    <col min="11" max="12" width="14.7109375" style="1" customWidth="1"/>
    <col min="13" max="13" width="12.7109375" style="1" customWidth="1"/>
    <col min="14" max="16384" width="9.140625" style="1"/>
  </cols>
  <sheetData>
    <row r="1" spans="1:16" s="637" customFormat="1" ht="0.75" customHeight="1">
      <c r="A1" s="2749"/>
      <c r="B1" s="2749"/>
      <c r="C1" s="2749"/>
      <c r="D1" s="642"/>
      <c r="E1" s="642"/>
      <c r="F1" s="642"/>
      <c r="G1" s="642"/>
      <c r="H1" s="2749"/>
      <c r="I1" s="642"/>
      <c r="J1" s="642"/>
      <c r="K1" s="642"/>
      <c r="L1" s="642"/>
      <c r="M1" s="720"/>
      <c r="N1" s="720"/>
      <c r="O1" s="720"/>
      <c r="P1" s="720"/>
    </row>
    <row r="2" spans="1:16" ht="27">
      <c r="A2" s="2749"/>
      <c r="B2" s="2749"/>
      <c r="C2" s="2749"/>
      <c r="D2" s="1191" t="s">
        <v>2552</v>
      </c>
      <c r="E2" s="833"/>
      <c r="F2" s="833"/>
      <c r="G2" s="833"/>
      <c r="H2" s="2749"/>
      <c r="I2" s="833"/>
      <c r="J2" s="833"/>
      <c r="K2" s="833"/>
      <c r="L2" s="833"/>
      <c r="M2" s="641"/>
      <c r="N2" s="641"/>
      <c r="O2" s="641"/>
      <c r="P2" s="641"/>
    </row>
    <row r="3" spans="1:16" ht="18" customHeight="1">
      <c r="A3" s="2749"/>
      <c r="B3" s="2749"/>
      <c r="C3" s="2749"/>
      <c r="D3" s="1192" t="str">
        <f>TEXT(Lead!$F$5,"yyyy 年 mm 月 dd 日")</f>
        <v>2019 年 12 月 31 日</v>
      </c>
      <c r="E3" s="833"/>
      <c r="F3" s="833"/>
      <c r="G3" s="833"/>
      <c r="H3" s="2749"/>
      <c r="I3" s="833"/>
      <c r="J3" s="833"/>
      <c r="K3" s="833"/>
      <c r="L3" s="833"/>
      <c r="M3" s="641"/>
      <c r="N3" s="641"/>
      <c r="O3" s="641"/>
      <c r="P3" s="641"/>
    </row>
    <row r="4" spans="1:16" ht="18" customHeight="1">
      <c r="A4" s="2749"/>
      <c r="B4" s="2749"/>
      <c r="C4" s="2749"/>
      <c r="D4" s="1064"/>
      <c r="E4" s="833"/>
      <c r="F4" s="833"/>
      <c r="G4" s="833"/>
      <c r="H4" s="2749"/>
      <c r="I4" s="833"/>
      <c r="J4" s="833"/>
      <c r="K4" s="833"/>
      <c r="L4" s="833" t="s">
        <v>2553</v>
      </c>
      <c r="M4" s="641"/>
      <c r="N4" s="641"/>
      <c r="O4" s="641"/>
      <c r="P4" s="641"/>
    </row>
    <row r="5" spans="1:16" ht="18" customHeight="1">
      <c r="A5" s="2749"/>
      <c r="B5" s="2749"/>
      <c r="C5" s="2749"/>
      <c r="D5" s="1193" t="str">
        <f>Lead!$B$5&amp;"："&amp;Lead!$C$5</f>
        <v>编制单位：福建省力菲克药业有限公司</v>
      </c>
      <c r="E5" s="833"/>
      <c r="F5" s="833"/>
      <c r="G5" s="833"/>
      <c r="H5" s="2749"/>
      <c r="I5" s="833"/>
      <c r="J5" s="833"/>
      <c r="K5" s="833" t="s">
        <v>2554</v>
      </c>
      <c r="L5" s="833" t="s">
        <v>2555</v>
      </c>
      <c r="M5" s="641"/>
      <c r="N5" s="641"/>
      <c r="O5" s="641"/>
      <c r="P5" s="641"/>
    </row>
    <row r="6" spans="1:16" s="637" customFormat="1" ht="0.75" customHeight="1">
      <c r="A6" s="2749"/>
      <c r="B6" s="2749"/>
      <c r="C6" s="2749"/>
      <c r="D6" s="1066"/>
      <c r="E6" s="642"/>
      <c r="F6" s="642"/>
      <c r="G6" s="642"/>
      <c r="H6" s="2749"/>
      <c r="I6" s="642"/>
      <c r="J6" s="642"/>
      <c r="K6" s="642"/>
      <c r="L6" s="642"/>
      <c r="M6" s="720"/>
      <c r="N6" s="720"/>
      <c r="O6" s="720"/>
      <c r="P6" s="720"/>
    </row>
    <row r="7" spans="1:16" s="637" customFormat="1" ht="0.75" customHeight="1">
      <c r="A7" s="2749"/>
      <c r="B7" s="2749"/>
      <c r="C7" s="2749"/>
      <c r="D7" s="1066"/>
      <c r="E7" s="642"/>
      <c r="F7" s="642"/>
      <c r="G7" s="642"/>
      <c r="H7" s="2749"/>
      <c r="I7" s="642"/>
      <c r="J7" s="642"/>
      <c r="K7" s="642"/>
      <c r="L7" s="642"/>
      <c r="M7" s="720"/>
      <c r="N7" s="720"/>
      <c r="O7" s="720"/>
      <c r="P7" s="720"/>
    </row>
    <row r="8" spans="1:16" ht="18" customHeight="1">
      <c r="A8" s="2749" t="s">
        <v>2556</v>
      </c>
      <c r="B8" s="2749" t="s">
        <v>2557</v>
      </c>
      <c r="C8" s="2749" t="s">
        <v>2558</v>
      </c>
      <c r="D8" s="1069" t="s">
        <v>47</v>
      </c>
      <c r="E8" s="1070" t="s">
        <v>2559</v>
      </c>
      <c r="F8" s="1071" t="s">
        <v>2560</v>
      </c>
      <c r="G8" s="1194" t="s">
        <v>2561</v>
      </c>
      <c r="H8" s="2815" t="s">
        <v>2562</v>
      </c>
      <c r="I8" s="1070" t="s">
        <v>47</v>
      </c>
      <c r="J8" s="1070" t="s">
        <v>2559</v>
      </c>
      <c r="K8" s="1071" t="s">
        <v>2560</v>
      </c>
      <c r="L8" s="1134" t="s">
        <v>2561</v>
      </c>
      <c r="M8" s="641"/>
      <c r="N8" s="641"/>
      <c r="O8" s="641"/>
      <c r="P8" s="641"/>
    </row>
    <row r="9" spans="1:16" ht="18">
      <c r="A9" s="2752" t="str">
        <f t="shared" ref="A9:A68" si="0">IF($C9="","",VLOOKUP($C9,Sheet_Items,4,0))</f>
        <v>：</v>
      </c>
      <c r="B9" s="2752" t="str">
        <f t="shared" ref="B9:B68" si="1">IF($H9="","",VLOOKUP($H9,Sheet_Items,4,0))</f>
        <v>：</v>
      </c>
      <c r="C9" s="2809">
        <v>1000</v>
      </c>
      <c r="D9" s="1195" t="str">
        <f t="shared" ref="D9:D46" si="2">IF($C9="","",VLOOKUP($C9,Sheet_Items,6,0))</f>
        <v>流动资产：</v>
      </c>
      <c r="E9" s="1196"/>
      <c r="F9" s="1075"/>
      <c r="G9" s="922">
        <f t="shared" ref="G9:G22" si="3">IF($C9="","",IF(ISERROR(VLOOKUP($C9,Sheet_Balance1,2,0)),0,VLOOKUP($C9,Sheet_Balance1,2,0)))</f>
        <v>0</v>
      </c>
      <c r="H9" s="2816">
        <v>2000</v>
      </c>
      <c r="I9" s="1205" t="str">
        <f t="shared" ref="I9:I48" si="4">IF($H9="","",VLOOKUP($H9,Sheet_Items,6,0))</f>
        <v>流动负债：</v>
      </c>
      <c r="J9" s="1196"/>
      <c r="K9" s="1075"/>
      <c r="L9" s="1076">
        <f t="shared" ref="L9:L25" si="5">IF($H9="","",IF(ISERROR(VLOOKUP($H9,Sheet_Balance1,2,0)),0,VLOOKUP($H9,Sheet_Balance1,2,0)))</f>
        <v>0</v>
      </c>
      <c r="M9" s="641"/>
      <c r="N9" s="641"/>
      <c r="O9" s="641"/>
      <c r="P9" s="641"/>
    </row>
    <row r="10" spans="1:16" ht="18">
      <c r="A10" s="2752">
        <f t="shared" si="0"/>
        <v>0</v>
      </c>
      <c r="B10" s="2752">
        <f t="shared" si="1"/>
        <v>0</v>
      </c>
      <c r="C10" s="2809">
        <v>1015</v>
      </c>
      <c r="D10" s="975" t="str">
        <f t="shared" si="2"/>
        <v>货币资金</v>
      </c>
      <c r="E10" s="1197" t="s">
        <v>6816</v>
      </c>
      <c r="F10" s="1198">
        <v>479304.95</v>
      </c>
      <c r="G10" s="1199">
        <f t="shared" si="3"/>
        <v>252723.84</v>
      </c>
      <c r="H10" s="2817">
        <v>2001</v>
      </c>
      <c r="I10" s="1206" t="str">
        <f t="shared" si="4"/>
        <v>短期借款</v>
      </c>
      <c r="J10" s="1197" t="s">
        <v>6816</v>
      </c>
      <c r="K10" s="1198">
        <v>2000000</v>
      </c>
      <c r="L10" s="1207">
        <f t="shared" si="5"/>
        <v>0</v>
      </c>
      <c r="M10" s="641"/>
      <c r="N10" s="641"/>
      <c r="O10" s="641"/>
      <c r="P10" s="641"/>
    </row>
    <row r="11" spans="1:16" ht="18">
      <c r="A11" s="2752" t="str">
        <f t="shared" si="0"/>
        <v>△</v>
      </c>
      <c r="B11" s="2752" t="str">
        <f t="shared" si="1"/>
        <v>△</v>
      </c>
      <c r="C11" s="2809">
        <v>1021</v>
      </c>
      <c r="D11" s="975" t="str">
        <f t="shared" si="2"/>
        <v>结算备付金</v>
      </c>
      <c r="E11" s="1197"/>
      <c r="F11" s="1198"/>
      <c r="G11" s="1199">
        <f t="shared" si="3"/>
        <v>0</v>
      </c>
      <c r="H11" s="2817">
        <v>2004</v>
      </c>
      <c r="I11" s="1206" t="str">
        <f t="shared" si="4"/>
        <v>向中央银行借款</v>
      </c>
      <c r="J11" s="1197"/>
      <c r="K11" s="1198"/>
      <c r="L11" s="1207">
        <f t="shared" si="5"/>
        <v>0</v>
      </c>
      <c r="M11" s="641"/>
      <c r="N11" s="641"/>
      <c r="O11" s="641"/>
      <c r="P11" s="641"/>
    </row>
    <row r="12" spans="1:16" ht="18">
      <c r="A12" s="2752" t="str">
        <f t="shared" si="0"/>
        <v>△</v>
      </c>
      <c r="B12" s="2752" t="str">
        <f t="shared" si="1"/>
        <v>△</v>
      </c>
      <c r="C12" s="2809">
        <v>1302</v>
      </c>
      <c r="D12" s="975" t="str">
        <f t="shared" si="2"/>
        <v>拆出资金</v>
      </c>
      <c r="E12" s="1197"/>
      <c r="F12" s="1198"/>
      <c r="G12" s="1199">
        <f t="shared" si="3"/>
        <v>0</v>
      </c>
      <c r="H12" s="2817">
        <v>2003</v>
      </c>
      <c r="I12" s="1206" t="str">
        <f t="shared" si="4"/>
        <v>拆入资金</v>
      </c>
      <c r="J12" s="1197"/>
      <c r="K12" s="1198"/>
      <c r="L12" s="1207">
        <f t="shared" si="5"/>
        <v>0</v>
      </c>
      <c r="M12" s="641"/>
      <c r="N12" s="641"/>
      <c r="O12" s="641"/>
      <c r="P12" s="641"/>
    </row>
    <row r="13" spans="1:16" ht="18">
      <c r="A13" s="2752" t="str">
        <f t="shared" si="0"/>
        <v>_JR</v>
      </c>
      <c r="B13" s="2752" t="str">
        <f t="shared" si="1"/>
        <v>_JR</v>
      </c>
      <c r="C13" s="2809">
        <v>1102</v>
      </c>
      <c r="D13" s="975" t="str">
        <f t="shared" si="2"/>
        <v>交易性金融资产</v>
      </c>
      <c r="E13" s="1197"/>
      <c r="F13" s="1198"/>
      <c r="G13" s="1199">
        <f t="shared" si="3"/>
        <v>0</v>
      </c>
      <c r="H13" s="2817">
        <v>2102</v>
      </c>
      <c r="I13" s="1206" t="str">
        <f t="shared" si="4"/>
        <v>交易性金融负债</v>
      </c>
      <c r="J13" s="1197"/>
      <c r="K13" s="1198"/>
      <c r="L13" s="1207">
        <f t="shared" si="5"/>
        <v>0</v>
      </c>
      <c r="M13" s="641"/>
      <c r="N13" s="641"/>
      <c r="O13" s="641"/>
      <c r="P13" s="641"/>
    </row>
    <row r="14" spans="1:16" ht="24">
      <c r="A14" s="2752" t="str">
        <f t="shared" si="0"/>
        <v>JRH</v>
      </c>
      <c r="B14" s="2752" t="str">
        <f t="shared" si="1"/>
        <v>JRH</v>
      </c>
      <c r="C14" s="2809">
        <v>1101</v>
      </c>
      <c r="D14" s="975" t="str">
        <f>VLOOKUP($C14,Sheet_Items,6,0)</f>
        <v>以公允价值计量且其变动计入当期损益的金融资产</v>
      </c>
      <c r="E14" s="1197"/>
      <c r="F14" s="1198"/>
      <c r="G14" s="1199">
        <f t="shared" si="3"/>
        <v>0</v>
      </c>
      <c r="H14" s="2817">
        <v>2101</v>
      </c>
      <c r="I14" s="1206" t="str">
        <f>VLOOKUP($H14,Sheet_Items,6,0)</f>
        <v>以公允价值计量且其变动计入当期损益的金融负债</v>
      </c>
      <c r="J14" s="1197"/>
      <c r="K14" s="1198"/>
      <c r="L14" s="1207">
        <f t="shared" si="5"/>
        <v>0</v>
      </c>
      <c r="M14" s="641"/>
      <c r="N14" s="641"/>
      <c r="O14" s="641"/>
      <c r="P14" s="641"/>
    </row>
    <row r="15" spans="1:16" ht="18">
      <c r="A15" s="2752" t="str">
        <f t="shared" si="0"/>
        <v>Ｘ</v>
      </c>
      <c r="B15" s="2752" t="str">
        <f t="shared" si="1"/>
        <v>Ｘ</v>
      </c>
      <c r="C15" s="2809">
        <v>1115</v>
      </c>
      <c r="D15" s="975" t="str">
        <f t="shared" si="2"/>
        <v>衍生金融资产</v>
      </c>
      <c r="E15" s="1197"/>
      <c r="F15" s="1198"/>
      <c r="G15" s="1199">
        <f t="shared" si="3"/>
        <v>0</v>
      </c>
      <c r="H15" s="2817">
        <v>2115</v>
      </c>
      <c r="I15" s="1206" t="str">
        <f t="shared" si="4"/>
        <v>衍生金融负债</v>
      </c>
      <c r="J15" s="1197"/>
      <c r="K15" s="1198"/>
      <c r="L15" s="1207">
        <f t="shared" si="5"/>
        <v>0</v>
      </c>
      <c r="M15" s="641"/>
      <c r="N15" s="641"/>
      <c r="O15" s="641"/>
      <c r="P15" s="641"/>
    </row>
    <row r="16" spans="1:16" ht="18">
      <c r="A16" s="2752">
        <f t="shared" si="0"/>
        <v>0</v>
      </c>
      <c r="B16" s="2752">
        <f t="shared" si="1"/>
        <v>0</v>
      </c>
      <c r="C16" s="2809">
        <v>1121</v>
      </c>
      <c r="D16" s="975" t="str">
        <f t="shared" si="2"/>
        <v>应收票据</v>
      </c>
      <c r="E16" s="1197"/>
      <c r="F16" s="1198"/>
      <c r="G16" s="1199">
        <f t="shared" si="3"/>
        <v>0</v>
      </c>
      <c r="H16" s="2817">
        <v>2201</v>
      </c>
      <c r="I16" s="1206" t="str">
        <f t="shared" si="4"/>
        <v>应付票据</v>
      </c>
      <c r="J16" s="1197"/>
      <c r="K16" s="1198"/>
      <c r="L16" s="1207">
        <f t="shared" si="5"/>
        <v>0</v>
      </c>
      <c r="M16" s="641"/>
      <c r="N16" s="641"/>
      <c r="O16" s="641"/>
      <c r="P16" s="641"/>
    </row>
    <row r="17" spans="1:16" ht="18">
      <c r="A17" s="2752">
        <f t="shared" si="0"/>
        <v>0</v>
      </c>
      <c r="B17" s="2752">
        <f t="shared" si="1"/>
        <v>0</v>
      </c>
      <c r="C17" s="2809">
        <v>1122</v>
      </c>
      <c r="D17" s="975" t="str">
        <f t="shared" si="2"/>
        <v>应收账款</v>
      </c>
      <c r="E17" s="1197" t="s">
        <v>6816</v>
      </c>
      <c r="F17" s="1198">
        <v>17534070.530000001</v>
      </c>
      <c r="G17" s="1199">
        <f t="shared" si="3"/>
        <v>15914214.57</v>
      </c>
      <c r="H17" s="2817">
        <v>2202</v>
      </c>
      <c r="I17" s="1206" t="str">
        <f t="shared" si="4"/>
        <v>应付账款</v>
      </c>
      <c r="J17" s="1197" t="s">
        <v>6817</v>
      </c>
      <c r="K17" s="1198">
        <v>11123454.48</v>
      </c>
      <c r="L17" s="1207">
        <f t="shared" si="5"/>
        <v>8476287.8300000001</v>
      </c>
      <c r="M17" s="641"/>
      <c r="N17" s="641"/>
      <c r="O17" s="641"/>
      <c r="P17" s="641"/>
    </row>
    <row r="18" spans="1:16" ht="18">
      <c r="A18" s="2752" t="str">
        <f t="shared" si="0"/>
        <v>_JR</v>
      </c>
      <c r="B18" s="2752">
        <f t="shared" si="1"/>
        <v>0</v>
      </c>
      <c r="C18" s="2809">
        <v>1124</v>
      </c>
      <c r="D18" s="975" t="str">
        <f t="shared" si="2"/>
        <v>应收款项融资</v>
      </c>
      <c r="E18" s="1197"/>
      <c r="F18" s="1198"/>
      <c r="G18" s="1199">
        <f t="shared" si="3"/>
        <v>0</v>
      </c>
      <c r="H18" s="2817">
        <v>2205</v>
      </c>
      <c r="I18" s="1206" t="str">
        <f t="shared" si="4"/>
        <v>预收款项</v>
      </c>
      <c r="J18" s="1197" t="s">
        <v>6816</v>
      </c>
      <c r="K18" s="1198">
        <v>2360727.0299999998</v>
      </c>
      <c r="L18" s="1207">
        <f t="shared" si="5"/>
        <v>2229809.83</v>
      </c>
      <c r="M18" s="641"/>
      <c r="N18" s="641"/>
      <c r="O18" s="641"/>
      <c r="P18" s="641"/>
    </row>
    <row r="19" spans="1:16" ht="18">
      <c r="A19" s="2752">
        <f t="shared" si="0"/>
        <v>0</v>
      </c>
      <c r="B19" s="2752" t="str">
        <f t="shared" si="1"/>
        <v>_SR</v>
      </c>
      <c r="C19" s="2809">
        <v>1125</v>
      </c>
      <c r="D19" s="975" t="str">
        <f>VLOOKUP($C19,Sheet_Items,6,0)</f>
        <v>预付款项</v>
      </c>
      <c r="E19" s="1197" t="s">
        <v>6817</v>
      </c>
      <c r="F19" s="1198">
        <v>815153.11</v>
      </c>
      <c r="G19" s="1199">
        <f t="shared" si="3"/>
        <v>916036.19</v>
      </c>
      <c r="H19" s="2817">
        <v>2206</v>
      </c>
      <c r="I19" s="1206" t="str">
        <f t="shared" si="4"/>
        <v>合同负债</v>
      </c>
      <c r="J19" s="1197"/>
      <c r="K19" s="1198"/>
      <c r="L19" s="1207">
        <f t="shared" si="5"/>
        <v>0</v>
      </c>
      <c r="M19" s="641"/>
      <c r="N19" s="641"/>
      <c r="O19" s="641"/>
      <c r="P19" s="641"/>
    </row>
    <row r="20" spans="1:16" ht="18">
      <c r="A20" s="2752" t="str">
        <f t="shared" si="0"/>
        <v>△</v>
      </c>
      <c r="B20" s="2752" t="str">
        <f t="shared" si="1"/>
        <v>△</v>
      </c>
      <c r="C20" s="2809">
        <v>1127</v>
      </c>
      <c r="D20" s="975" t="str">
        <f t="shared" si="2"/>
        <v>应收保费</v>
      </c>
      <c r="E20" s="1197"/>
      <c r="F20" s="1198"/>
      <c r="G20" s="1199">
        <f t="shared" si="3"/>
        <v>0</v>
      </c>
      <c r="H20" s="2817">
        <v>2111</v>
      </c>
      <c r="I20" s="1206" t="str">
        <f t="shared" si="4"/>
        <v>卖出回购金融资产款</v>
      </c>
      <c r="J20" s="1197"/>
      <c r="K20" s="1198"/>
      <c r="L20" s="1207">
        <f t="shared" si="5"/>
        <v>0</v>
      </c>
      <c r="M20" s="641"/>
      <c r="N20" s="641"/>
      <c r="O20" s="641"/>
      <c r="P20" s="641"/>
    </row>
    <row r="21" spans="1:16" ht="18">
      <c r="A21" s="2752" t="str">
        <f t="shared" si="0"/>
        <v>△</v>
      </c>
      <c r="B21" s="2752" t="str">
        <f t="shared" si="1"/>
        <v>△</v>
      </c>
      <c r="C21" s="2809">
        <v>1211</v>
      </c>
      <c r="D21" s="975" t="str">
        <f t="shared" si="2"/>
        <v>应收分保账款</v>
      </c>
      <c r="E21" s="1197"/>
      <c r="F21" s="1198"/>
      <c r="G21" s="1199">
        <f t="shared" si="3"/>
        <v>0</v>
      </c>
      <c r="H21" s="2817">
        <v>2010</v>
      </c>
      <c r="I21" s="1206" t="str">
        <f>VLOOKUP($H21,Sheet_Items,6,0)</f>
        <v>吸收存款及同业存放</v>
      </c>
      <c r="J21" s="1197"/>
      <c r="K21" s="1198"/>
      <c r="L21" s="1207">
        <f t="shared" si="5"/>
        <v>0</v>
      </c>
      <c r="M21" s="641"/>
      <c r="N21" s="641"/>
      <c r="O21" s="641"/>
      <c r="P21" s="641"/>
    </row>
    <row r="22" spans="1:16" ht="18">
      <c r="A22" s="2752" t="str">
        <f t="shared" si="0"/>
        <v>△</v>
      </c>
      <c r="B22" s="2752" t="str">
        <f t="shared" si="1"/>
        <v>△</v>
      </c>
      <c r="C22" s="2809">
        <v>1212</v>
      </c>
      <c r="D22" s="975" t="str">
        <f t="shared" si="2"/>
        <v>应收分保合同准备金</v>
      </c>
      <c r="E22" s="1197"/>
      <c r="F22" s="1198"/>
      <c r="G22" s="1199">
        <f t="shared" si="3"/>
        <v>0</v>
      </c>
      <c r="H22" s="2817">
        <v>2311</v>
      </c>
      <c r="I22" s="1206" t="str">
        <f t="shared" si="4"/>
        <v>代理买卖证券款</v>
      </c>
      <c r="J22" s="1197"/>
      <c r="K22" s="1198"/>
      <c r="L22" s="1207">
        <f t="shared" si="5"/>
        <v>0</v>
      </c>
      <c r="M22" s="641"/>
      <c r="N22" s="641"/>
      <c r="O22" s="641"/>
      <c r="P22" s="641"/>
    </row>
    <row r="23" spans="1:16" ht="18">
      <c r="A23" s="2752">
        <f t="shared" si="0"/>
        <v>0</v>
      </c>
      <c r="B23" s="2752" t="str">
        <f t="shared" si="1"/>
        <v>△</v>
      </c>
      <c r="C23" s="2809">
        <v>1220</v>
      </c>
      <c r="D23" s="975" t="str">
        <f>VLOOKUP($C23,Sheet_Items,2,0)</f>
        <v>其他应收款（报表项目）</v>
      </c>
      <c r="E23" s="1200"/>
      <c r="F23" s="1201">
        <f>SUM(F24:F26)</f>
        <v>2179355.77</v>
      </c>
      <c r="G23" s="1202">
        <f>SUM(G24:G26)</f>
        <v>328019.46999999997</v>
      </c>
      <c r="H23" s="2817">
        <v>2312</v>
      </c>
      <c r="I23" s="1206" t="str">
        <f t="shared" si="4"/>
        <v>代理承销证券款</v>
      </c>
      <c r="J23" s="1197"/>
      <c r="K23" s="1198"/>
      <c r="L23" s="1207">
        <f t="shared" si="5"/>
        <v>0</v>
      </c>
      <c r="M23" s="641"/>
      <c r="N23" s="641"/>
      <c r="O23" s="641"/>
      <c r="P23" s="641"/>
    </row>
    <row r="24" spans="1:16" ht="18">
      <c r="A24" s="2752">
        <f t="shared" si="0"/>
        <v>0</v>
      </c>
      <c r="B24" s="2752">
        <f t="shared" si="1"/>
        <v>0</v>
      </c>
      <c r="C24" s="2809">
        <v>1132</v>
      </c>
      <c r="D24" s="975" t="str">
        <f t="shared" si="2"/>
        <v>其中：应收利息</v>
      </c>
      <c r="E24" s="1197"/>
      <c r="F24" s="1198"/>
      <c r="G24" s="1199">
        <f t="shared" ref="G24:G34" si="6">IF($C24="","",IF(ISERROR(VLOOKUP($C24,Sheet_Balance1,2,0)),0,VLOOKUP($C24,Sheet_Balance1,2,0)))</f>
        <v>0</v>
      </c>
      <c r="H24" s="2817">
        <v>2211</v>
      </c>
      <c r="I24" s="1206" t="str">
        <f t="shared" si="4"/>
        <v>应付职工薪酬</v>
      </c>
      <c r="J24" s="1197" t="s">
        <v>6818</v>
      </c>
      <c r="K24" s="1198">
        <v>1058561.81</v>
      </c>
      <c r="L24" s="1207">
        <f t="shared" si="5"/>
        <v>974467.27</v>
      </c>
      <c r="M24" s="641"/>
      <c r="N24" s="641"/>
      <c r="O24" s="641"/>
      <c r="P24" s="641"/>
    </row>
    <row r="25" spans="1:16" ht="18">
      <c r="A25" s="2752">
        <f t="shared" si="0"/>
        <v>0</v>
      </c>
      <c r="B25" s="2752">
        <f t="shared" si="1"/>
        <v>0</v>
      </c>
      <c r="C25" s="2809">
        <v>1131</v>
      </c>
      <c r="D25" s="1140" t="str">
        <f t="shared" si="2"/>
        <v>应收股利</v>
      </c>
      <c r="E25" s="1197"/>
      <c r="F25" s="1198"/>
      <c r="G25" s="1199">
        <f t="shared" si="6"/>
        <v>0</v>
      </c>
      <c r="H25" s="2817">
        <v>2221</v>
      </c>
      <c r="I25" s="1206" t="str">
        <f t="shared" si="4"/>
        <v>应交税费</v>
      </c>
      <c r="J25" s="1197" t="s">
        <v>6818</v>
      </c>
      <c r="K25" s="1198">
        <v>507471.64</v>
      </c>
      <c r="L25" s="1207">
        <f t="shared" si="5"/>
        <v>487153.95</v>
      </c>
      <c r="M25" s="641"/>
      <c r="N25" s="641"/>
      <c r="O25" s="641"/>
      <c r="P25" s="641"/>
    </row>
    <row r="26" spans="1:16" ht="18">
      <c r="A26" s="2752">
        <f t="shared" si="0"/>
        <v>0</v>
      </c>
      <c r="B26" s="2752">
        <f t="shared" si="1"/>
        <v>0</v>
      </c>
      <c r="C26" s="2809">
        <v>1221</v>
      </c>
      <c r="D26" s="1140" t="str">
        <f t="shared" si="2"/>
        <v>其他应收款</v>
      </c>
      <c r="E26" s="3373" t="s">
        <v>6818</v>
      </c>
      <c r="F26" s="3374">
        <v>2179355.77</v>
      </c>
      <c r="G26" s="1199">
        <f t="shared" si="6"/>
        <v>328019.46999999997</v>
      </c>
      <c r="H26" s="2817">
        <v>2246</v>
      </c>
      <c r="I26" s="1206" t="str">
        <f>VLOOKUP($H26,Sheet_Items,2,0)</f>
        <v>其他应付款（报表项目）</v>
      </c>
      <c r="J26" s="1200"/>
      <c r="K26" s="1201">
        <f>SUM(K27:K29)</f>
        <v>1099058.8700000001</v>
      </c>
      <c r="L26" s="1208">
        <f>SUM(L27,L28,L29)</f>
        <v>2070907</v>
      </c>
      <c r="M26" s="641"/>
      <c r="N26" s="641"/>
      <c r="O26" s="641"/>
      <c r="P26" s="641"/>
    </row>
    <row r="27" spans="1:16" ht="18">
      <c r="A27" s="2752" t="str">
        <f t="shared" si="0"/>
        <v>△</v>
      </c>
      <c r="B27" s="2752">
        <f t="shared" si="1"/>
        <v>0</v>
      </c>
      <c r="C27" s="2809">
        <v>1111</v>
      </c>
      <c r="D27" s="975" t="str">
        <f t="shared" si="2"/>
        <v>买入返售金融资产</v>
      </c>
      <c r="E27" s="1197"/>
      <c r="F27" s="1198"/>
      <c r="G27" s="1199">
        <f t="shared" si="6"/>
        <v>0</v>
      </c>
      <c r="H27" s="2817">
        <v>2231</v>
      </c>
      <c r="I27" s="1206" t="str">
        <f t="shared" si="4"/>
        <v>其中：应付利息</v>
      </c>
      <c r="J27" s="1197"/>
      <c r="K27" s="1198"/>
      <c r="L27" s="1207">
        <f t="shared" ref="L27:L34" si="7">IF($H27="","",IF(ISERROR(VLOOKUP($H27,Sheet_Balance1,2,0)),0,VLOOKUP($H27,Sheet_Balance1,2,0)))</f>
        <v>0</v>
      </c>
      <c r="M27" s="641"/>
      <c r="N27" s="641"/>
      <c r="O27" s="641"/>
      <c r="P27" s="641"/>
    </row>
    <row r="28" spans="1:16" ht="18">
      <c r="A28" s="2752">
        <f t="shared" si="0"/>
        <v>0</v>
      </c>
      <c r="B28" s="2752">
        <f t="shared" si="1"/>
        <v>0</v>
      </c>
      <c r="C28" s="2809">
        <v>1400</v>
      </c>
      <c r="D28" s="975" t="str">
        <f t="shared" si="2"/>
        <v>存货</v>
      </c>
      <c r="E28" s="1197" t="s">
        <v>6817</v>
      </c>
      <c r="F28" s="1198">
        <v>14225246.289999999</v>
      </c>
      <c r="G28" s="1199">
        <f t="shared" si="6"/>
        <v>12739599.279999999</v>
      </c>
      <c r="H28" s="2817">
        <v>2232</v>
      </c>
      <c r="I28" s="1653" t="str">
        <f t="shared" si="4"/>
        <v>应付股利</v>
      </c>
      <c r="J28" s="1197"/>
      <c r="K28" s="1198"/>
      <c r="L28" s="1207">
        <f t="shared" si="7"/>
        <v>0</v>
      </c>
      <c r="M28" s="641"/>
      <c r="N28" s="641"/>
      <c r="O28" s="641"/>
      <c r="P28" s="641"/>
    </row>
    <row r="29" spans="1:16" ht="18">
      <c r="A29" s="2752" t="str">
        <f t="shared" si="0"/>
        <v>_SR</v>
      </c>
      <c r="B29" s="2752">
        <f t="shared" si="1"/>
        <v>0</v>
      </c>
      <c r="C29" s="2809">
        <v>1313</v>
      </c>
      <c r="D29" s="975" t="str">
        <f t="shared" si="2"/>
        <v>合同资产</v>
      </c>
      <c r="E29" s="1197"/>
      <c r="F29" s="1198"/>
      <c r="G29" s="1199">
        <f t="shared" si="6"/>
        <v>0</v>
      </c>
      <c r="H29" s="2817">
        <v>2241</v>
      </c>
      <c r="I29" s="1653" t="str">
        <f t="shared" si="4"/>
        <v>其他应付款</v>
      </c>
      <c r="J29" s="1197" t="s">
        <v>6818</v>
      </c>
      <c r="K29" s="1198">
        <v>1099058.8700000001</v>
      </c>
      <c r="L29" s="1207">
        <f t="shared" si="7"/>
        <v>2070907</v>
      </c>
      <c r="M29" s="641"/>
      <c r="N29" s="641"/>
      <c r="O29" s="641"/>
      <c r="P29" s="641"/>
    </row>
    <row r="30" spans="1:16" ht="18">
      <c r="A30" s="2752" t="str">
        <f t="shared" si="0"/>
        <v>Ｘ</v>
      </c>
      <c r="B30" s="2752" t="str">
        <f t="shared" si="1"/>
        <v>△</v>
      </c>
      <c r="C30" s="2809">
        <v>1315</v>
      </c>
      <c r="D30" s="975" t="str">
        <f t="shared" si="2"/>
        <v>持有待售资产</v>
      </c>
      <c r="E30" s="1197"/>
      <c r="F30" s="1198"/>
      <c r="G30" s="1199">
        <f t="shared" si="6"/>
        <v>0</v>
      </c>
      <c r="H30" s="2817">
        <v>2240</v>
      </c>
      <c r="I30" s="1206" t="str">
        <f t="shared" si="4"/>
        <v>应付手续费及佣金</v>
      </c>
      <c r="J30" s="1197"/>
      <c r="K30" s="1198"/>
      <c r="L30" s="1207">
        <f t="shared" si="7"/>
        <v>0</v>
      </c>
      <c r="M30" s="641"/>
      <c r="N30" s="641"/>
      <c r="O30" s="641"/>
      <c r="P30" s="641"/>
    </row>
    <row r="31" spans="1:16" ht="18">
      <c r="A31" s="2752">
        <f t="shared" si="0"/>
        <v>0</v>
      </c>
      <c r="B31" s="2752" t="str">
        <f t="shared" si="1"/>
        <v>△</v>
      </c>
      <c r="C31" s="2809">
        <v>1495</v>
      </c>
      <c r="D31" s="975" t="str">
        <f t="shared" si="2"/>
        <v>一年内到期的非流动资产</v>
      </c>
      <c r="E31" s="1197"/>
      <c r="F31" s="1198"/>
      <c r="G31" s="1199">
        <f t="shared" si="6"/>
        <v>0</v>
      </c>
      <c r="H31" s="2817">
        <v>2261</v>
      </c>
      <c r="I31" s="1206" t="str">
        <f t="shared" si="4"/>
        <v>应付分保账款</v>
      </c>
      <c r="J31" s="1197"/>
      <c r="K31" s="1198"/>
      <c r="L31" s="1207">
        <f t="shared" si="7"/>
        <v>0</v>
      </c>
      <c r="M31" s="641"/>
      <c r="N31" s="641"/>
      <c r="O31" s="641"/>
      <c r="P31" s="641"/>
    </row>
    <row r="32" spans="1:16" ht="18">
      <c r="A32" s="2752">
        <f t="shared" si="0"/>
        <v>0</v>
      </c>
      <c r="B32" s="2752" t="str">
        <f t="shared" si="1"/>
        <v>Ｘ</v>
      </c>
      <c r="C32" s="2809">
        <v>1496</v>
      </c>
      <c r="D32" s="975" t="str">
        <f t="shared" si="2"/>
        <v>其他流动资产</v>
      </c>
      <c r="E32" s="3373" t="s">
        <v>6818</v>
      </c>
      <c r="F32" s="3374">
        <v>2835344.41</v>
      </c>
      <c r="G32" s="1199">
        <f t="shared" si="6"/>
        <v>2233000.7799999998</v>
      </c>
      <c r="H32" s="2817">
        <v>2315</v>
      </c>
      <c r="I32" s="1206" t="str">
        <f t="shared" si="4"/>
        <v>持有待售负债</v>
      </c>
      <c r="J32" s="1197"/>
      <c r="K32" s="1198"/>
      <c r="L32" s="1207">
        <f t="shared" si="7"/>
        <v>0</v>
      </c>
      <c r="M32" s="641"/>
      <c r="N32" s="641"/>
      <c r="O32" s="641"/>
      <c r="P32" s="641"/>
    </row>
    <row r="33" spans="1:16" ht="18">
      <c r="A33" s="2752" t="str">
        <f t="shared" si="0"/>
        <v/>
      </c>
      <c r="B33" s="2752">
        <f t="shared" si="1"/>
        <v>0</v>
      </c>
      <c r="C33" s="2809"/>
      <c r="D33" s="975" t="str">
        <f t="shared" si="2"/>
        <v/>
      </c>
      <c r="E33" s="1197"/>
      <c r="F33" s="1198"/>
      <c r="G33" s="1199" t="str">
        <f t="shared" si="6"/>
        <v/>
      </c>
      <c r="H33" s="2817">
        <v>2395</v>
      </c>
      <c r="I33" s="1206" t="str">
        <f t="shared" si="4"/>
        <v>一年内到期的非流动负债</v>
      </c>
      <c r="J33" s="1197"/>
      <c r="K33" s="1198"/>
      <c r="L33" s="1207">
        <f t="shared" si="7"/>
        <v>0</v>
      </c>
      <c r="M33" s="641"/>
      <c r="N33" s="641"/>
      <c r="O33" s="641"/>
      <c r="P33" s="641"/>
    </row>
    <row r="34" spans="1:16" ht="18">
      <c r="A34" s="2752" t="str">
        <f t="shared" si="0"/>
        <v/>
      </c>
      <c r="B34" s="2752">
        <f t="shared" si="1"/>
        <v>0</v>
      </c>
      <c r="C34" s="2809"/>
      <c r="D34" s="975" t="str">
        <f t="shared" si="2"/>
        <v/>
      </c>
      <c r="E34" s="1197"/>
      <c r="F34" s="1198"/>
      <c r="G34" s="1199" t="str">
        <f t="shared" si="6"/>
        <v/>
      </c>
      <c r="H34" s="2817">
        <v>2396</v>
      </c>
      <c r="I34" s="1206" t="str">
        <f t="shared" si="4"/>
        <v>其他流动负债</v>
      </c>
      <c r="J34" s="1197"/>
      <c r="K34" s="1198"/>
      <c r="L34" s="1207">
        <f t="shared" si="7"/>
        <v>0</v>
      </c>
      <c r="M34" s="641"/>
      <c r="N34" s="641"/>
      <c r="O34" s="641"/>
      <c r="P34" s="641"/>
    </row>
    <row r="35" spans="1:16" ht="18">
      <c r="A35" s="2752" t="str">
        <f t="shared" si="0"/>
        <v>＝</v>
      </c>
      <c r="B35" s="2752" t="str">
        <f t="shared" si="1"/>
        <v>＝</v>
      </c>
      <c r="C35" s="2809">
        <v>1498</v>
      </c>
      <c r="D35" s="1195" t="str">
        <f t="shared" si="2"/>
        <v>流动资产合计</v>
      </c>
      <c r="E35" s="1200"/>
      <c r="F35" s="1203">
        <f>SUM(F10:F34)-SUM(F23)</f>
        <v>38068475.060000002</v>
      </c>
      <c r="G35" s="1204">
        <f>SUM(G10:G34)-SUM(G23)</f>
        <v>32383594.129999999</v>
      </c>
      <c r="H35" s="2818">
        <v>2498</v>
      </c>
      <c r="I35" s="1205" t="str">
        <f t="shared" si="4"/>
        <v>流动负债合计</v>
      </c>
      <c r="J35" s="1200"/>
      <c r="K35" s="1203">
        <f>SUM(K10:K34)-SUM(K26)</f>
        <v>18149273.829999998</v>
      </c>
      <c r="L35" s="1209">
        <f>SUM(L10:L34)-SUM(L26)</f>
        <v>14238625.880000001</v>
      </c>
      <c r="M35" s="641"/>
      <c r="N35" s="641"/>
      <c r="O35" s="641"/>
      <c r="P35" s="641"/>
    </row>
    <row r="36" spans="1:16" ht="18">
      <c r="A36" s="2752" t="str">
        <f t="shared" si="0"/>
        <v>：</v>
      </c>
      <c r="B36" s="2752" t="str">
        <f t="shared" si="1"/>
        <v>：</v>
      </c>
      <c r="C36" s="2809">
        <v>1500</v>
      </c>
      <c r="D36" s="1195" t="str">
        <f t="shared" si="2"/>
        <v>非流动资产：</v>
      </c>
      <c r="E36" s="1197"/>
      <c r="F36" s="1198"/>
      <c r="G36" s="1199">
        <f t="shared" ref="G36:G46" si="8">IF($C36="","",IF(ISERROR(VLOOKUP($C36,Sheet_Balance1,2,0)),0,VLOOKUP($C36,Sheet_Balance1,2,0)))</f>
        <v>0</v>
      </c>
      <c r="H36" s="2816">
        <v>2500</v>
      </c>
      <c r="I36" s="1205" t="str">
        <f t="shared" si="4"/>
        <v>非流动负债：</v>
      </c>
      <c r="J36" s="1197"/>
      <c r="K36" s="1198"/>
      <c r="L36" s="1207">
        <f t="shared" ref="L36:L42" si="9">IF($H36="","",IF(ISERROR(VLOOKUP($H36,Sheet_Balance1,2,0)),0,VLOOKUP($H36,Sheet_Balance1,2,0)))</f>
        <v>0</v>
      </c>
      <c r="M36" s="641"/>
      <c r="N36" s="641"/>
      <c r="O36" s="641"/>
      <c r="P36" s="641"/>
    </row>
    <row r="37" spans="1:16" ht="18">
      <c r="A37" s="2752" t="str">
        <f t="shared" si="0"/>
        <v>△</v>
      </c>
      <c r="B37" s="2752" t="str">
        <f t="shared" si="1"/>
        <v>△</v>
      </c>
      <c r="C37" s="2809">
        <v>1600</v>
      </c>
      <c r="D37" s="975" t="str">
        <f t="shared" si="2"/>
        <v>发放贷款和垫款</v>
      </c>
      <c r="E37" s="1197"/>
      <c r="F37" s="1198"/>
      <c r="G37" s="1199">
        <f t="shared" si="8"/>
        <v>0</v>
      </c>
      <c r="H37" s="2817">
        <v>2310</v>
      </c>
      <c r="I37" s="1206" t="str">
        <f>IF($H37="","",VLOOKUP($H37,Sheet_Items,6,0))</f>
        <v>保险合同准备金</v>
      </c>
      <c r="J37" s="1197"/>
      <c r="K37" s="1198"/>
      <c r="L37" s="1207">
        <f t="shared" si="9"/>
        <v>0</v>
      </c>
      <c r="M37" s="641"/>
      <c r="N37" s="641"/>
      <c r="O37" s="641"/>
      <c r="P37" s="641"/>
    </row>
    <row r="38" spans="1:16" ht="18">
      <c r="A38" s="2752" t="str">
        <f t="shared" si="0"/>
        <v>_JR</v>
      </c>
      <c r="B38" s="2752">
        <f t="shared" si="1"/>
        <v>0</v>
      </c>
      <c r="C38" s="2809">
        <v>1505</v>
      </c>
      <c r="D38" s="975" t="str">
        <f>VLOOKUP($C38,Sheet_Items,6,0)</f>
        <v>债权投资</v>
      </c>
      <c r="E38" s="1197"/>
      <c r="F38" s="1198"/>
      <c r="G38" s="1199">
        <f t="shared" si="8"/>
        <v>0</v>
      </c>
      <c r="H38" s="2817">
        <v>2501</v>
      </c>
      <c r="I38" s="1206" t="str">
        <f>IF($H38="","",VLOOKUP($H38,Sheet_Items,6,0))</f>
        <v>长期借款</v>
      </c>
      <c r="J38" s="1197"/>
      <c r="K38" s="1198"/>
      <c r="L38" s="1207">
        <f t="shared" si="9"/>
        <v>0</v>
      </c>
      <c r="M38" s="641"/>
      <c r="N38" s="641"/>
      <c r="O38" s="641"/>
      <c r="P38" s="641"/>
    </row>
    <row r="39" spans="1:16" ht="18">
      <c r="A39" s="2752" t="str">
        <f t="shared" si="0"/>
        <v>JRH</v>
      </c>
      <c r="B39" s="2752">
        <f t="shared" si="1"/>
        <v>0</v>
      </c>
      <c r="C39" s="2809">
        <v>1503</v>
      </c>
      <c r="D39" s="975" t="str">
        <f t="shared" si="2"/>
        <v>可供出售金融资产</v>
      </c>
      <c r="E39" s="1197"/>
      <c r="F39" s="1198"/>
      <c r="G39" s="1199">
        <f t="shared" si="8"/>
        <v>0</v>
      </c>
      <c r="H39" s="2817">
        <v>2502</v>
      </c>
      <c r="I39" s="1206" t="str">
        <f t="shared" si="4"/>
        <v>应付债券</v>
      </c>
      <c r="J39" s="1197"/>
      <c r="K39" s="1198"/>
      <c r="L39" s="1207">
        <f t="shared" si="9"/>
        <v>0</v>
      </c>
      <c r="M39" s="641"/>
      <c r="N39" s="641"/>
      <c r="O39" s="641"/>
      <c r="P39" s="641"/>
    </row>
    <row r="40" spans="1:16" ht="18">
      <c r="A40" s="2752" t="str">
        <f t="shared" si="0"/>
        <v>_JR</v>
      </c>
      <c r="B40" s="2752" t="str">
        <f t="shared" si="1"/>
        <v>OEI</v>
      </c>
      <c r="C40" s="2809">
        <v>1508</v>
      </c>
      <c r="D40" s="975" t="str">
        <f t="shared" si="2"/>
        <v>其他债权投资</v>
      </c>
      <c r="E40" s="1197"/>
      <c r="F40" s="1198"/>
      <c r="G40" s="1199">
        <f t="shared" si="8"/>
        <v>0</v>
      </c>
      <c r="H40" s="2817">
        <v>2502.11</v>
      </c>
      <c r="I40" s="1206" t="str">
        <f t="shared" si="4"/>
        <v>其中：优先股</v>
      </c>
      <c r="J40" s="1197"/>
      <c r="K40" s="1198"/>
      <c r="L40" s="1207">
        <f t="shared" si="9"/>
        <v>0</v>
      </c>
      <c r="M40" s="641"/>
      <c r="N40" s="641"/>
      <c r="O40" s="641"/>
      <c r="P40" s="641"/>
    </row>
    <row r="41" spans="1:16" ht="18">
      <c r="A41" s="2752" t="str">
        <f t="shared" si="0"/>
        <v>JRH</v>
      </c>
      <c r="B41" s="2752" t="str">
        <f t="shared" si="1"/>
        <v>OEI</v>
      </c>
      <c r="C41" s="2809">
        <v>1501</v>
      </c>
      <c r="D41" s="975" t="str">
        <f t="shared" si="2"/>
        <v>持有至到期投资</v>
      </c>
      <c r="E41" s="1197"/>
      <c r="F41" s="1198"/>
      <c r="G41" s="1199">
        <f t="shared" si="8"/>
        <v>0</v>
      </c>
      <c r="H41" s="2817">
        <v>2502.31</v>
      </c>
      <c r="I41" s="1653" t="str">
        <f t="shared" si="4"/>
        <v>永续债</v>
      </c>
      <c r="J41" s="1197"/>
      <c r="K41" s="1198"/>
      <c r="L41" s="1207">
        <f t="shared" si="9"/>
        <v>0</v>
      </c>
      <c r="M41" s="641"/>
      <c r="N41" s="641"/>
      <c r="O41" s="641"/>
      <c r="P41" s="641"/>
    </row>
    <row r="42" spans="1:16" ht="18">
      <c r="A42" s="2752">
        <f t="shared" si="0"/>
        <v>0</v>
      </c>
      <c r="B42" s="2752" t="str">
        <f t="shared" si="1"/>
        <v>_ZL</v>
      </c>
      <c r="C42" s="2809">
        <v>1531</v>
      </c>
      <c r="D42" s="975" t="str">
        <f t="shared" si="2"/>
        <v>长期应收款</v>
      </c>
      <c r="E42" s="1197"/>
      <c r="F42" s="1198"/>
      <c r="G42" s="1199">
        <f t="shared" si="8"/>
        <v>0</v>
      </c>
      <c r="H42" s="2817">
        <v>2506</v>
      </c>
      <c r="I42" s="1206" t="str">
        <f>VLOOKUP($H42,Sheet_Items,6,0)</f>
        <v>租赁负债</v>
      </c>
      <c r="J42" s="1197"/>
      <c r="K42" s="1198"/>
      <c r="L42" s="1207">
        <f t="shared" si="9"/>
        <v>0</v>
      </c>
      <c r="M42" s="641"/>
      <c r="N42" s="641"/>
      <c r="O42" s="641"/>
      <c r="P42" s="641"/>
    </row>
    <row r="43" spans="1:16" ht="18">
      <c r="A43" s="2752">
        <f t="shared" si="0"/>
        <v>0</v>
      </c>
      <c r="B43" s="2752">
        <f t="shared" si="1"/>
        <v>0</v>
      </c>
      <c r="C43" s="2809">
        <v>1511</v>
      </c>
      <c r="D43" s="975" t="str">
        <f t="shared" si="2"/>
        <v>长期股权投资</v>
      </c>
      <c r="E43" s="1197"/>
      <c r="F43" s="1198"/>
      <c r="G43" s="1199">
        <f t="shared" si="8"/>
        <v>0</v>
      </c>
      <c r="H43" s="2817">
        <v>2706</v>
      </c>
      <c r="I43" s="1206" t="str">
        <f>VLOOKUP($H43,Sheet_Items,2,0)</f>
        <v>长期应付款（报表项目）</v>
      </c>
      <c r="J43" s="1200"/>
      <c r="K43" s="1201">
        <f>SUM(K44:K45)</f>
        <v>140000</v>
      </c>
      <c r="L43" s="1208">
        <f>SUM(L44:L45)</f>
        <v>0</v>
      </c>
      <c r="M43" s="641"/>
      <c r="N43" s="641"/>
      <c r="O43" s="641"/>
      <c r="P43" s="641"/>
    </row>
    <row r="44" spans="1:16" ht="18">
      <c r="A44" s="2752" t="str">
        <f t="shared" si="0"/>
        <v>_JR</v>
      </c>
      <c r="B44" s="2752">
        <f t="shared" si="1"/>
        <v>0</v>
      </c>
      <c r="C44" s="2809">
        <v>1538</v>
      </c>
      <c r="D44" s="975" t="str">
        <f>VLOOKUP($C44,Sheet_Items,6,0)</f>
        <v>其他权益工具投资</v>
      </c>
      <c r="E44" s="1197"/>
      <c r="F44" s="1198"/>
      <c r="G44" s="1199">
        <f t="shared" si="8"/>
        <v>0</v>
      </c>
      <c r="H44" s="2817">
        <v>2701</v>
      </c>
      <c r="I44" s="1206" t="str">
        <f>IF($H44="","",VLOOKUP($H44,Sheet_Items,6,0))</f>
        <v>其中：长期应付款</v>
      </c>
      <c r="J44" s="1197"/>
      <c r="K44" s="1198"/>
      <c r="L44" s="1207">
        <f t="shared" ref="L44:L50" si="10">IF($H44="","",IF(ISERROR(VLOOKUP($H44,Sheet_Balance1,2,0)),0,VLOOKUP($H44,Sheet_Balance1,2,0)))</f>
        <v>0</v>
      </c>
      <c r="M44" s="641"/>
      <c r="N44" s="641"/>
      <c r="O44" s="641"/>
      <c r="P44" s="641"/>
    </row>
    <row r="45" spans="1:16" ht="18">
      <c r="A45" s="2752" t="str">
        <f t="shared" si="0"/>
        <v>_JR</v>
      </c>
      <c r="B45" s="2752">
        <f t="shared" si="1"/>
        <v>0</v>
      </c>
      <c r="C45" s="2809">
        <v>1539</v>
      </c>
      <c r="D45" s="975" t="str">
        <f>VLOOKUP($C45,Sheet_Items,6,0)</f>
        <v>其他非流动金融资产</v>
      </c>
      <c r="E45" s="1197"/>
      <c r="F45" s="1198"/>
      <c r="G45" s="1199">
        <f t="shared" si="8"/>
        <v>0</v>
      </c>
      <c r="H45" s="2817">
        <v>2711</v>
      </c>
      <c r="I45" s="1653" t="str">
        <f>IF($H45="","",VLOOKUP($H45,Sheet_Items,6,0))</f>
        <v>专项应付款</v>
      </c>
      <c r="J45" s="1197" t="s">
        <v>6818</v>
      </c>
      <c r="K45" s="1198">
        <v>140000</v>
      </c>
      <c r="L45" s="1207">
        <f t="shared" si="10"/>
        <v>0</v>
      </c>
      <c r="M45" s="641"/>
      <c r="N45" s="641"/>
      <c r="O45" s="641"/>
      <c r="P45" s="641"/>
    </row>
    <row r="46" spans="1:16" ht="18">
      <c r="A46" s="2752">
        <f t="shared" si="0"/>
        <v>0</v>
      </c>
      <c r="B46" s="2752">
        <f t="shared" si="1"/>
        <v>0</v>
      </c>
      <c r="C46" s="2809">
        <v>1521</v>
      </c>
      <c r="D46" s="975" t="str">
        <f t="shared" si="2"/>
        <v>投资性房地产</v>
      </c>
      <c r="E46" s="1197"/>
      <c r="F46" s="1198"/>
      <c r="G46" s="1199">
        <f t="shared" si="8"/>
        <v>0</v>
      </c>
      <c r="H46" s="2817">
        <v>2715</v>
      </c>
      <c r="I46" s="1206" t="str">
        <f t="shared" si="4"/>
        <v>长期应付职工薪酬</v>
      </c>
      <c r="J46" s="1197"/>
      <c r="K46" s="1198"/>
      <c r="L46" s="1207">
        <f t="shared" si="10"/>
        <v>0</v>
      </c>
      <c r="M46" s="641"/>
      <c r="N46" s="641"/>
      <c r="O46" s="641"/>
      <c r="P46" s="641"/>
    </row>
    <row r="47" spans="1:16" ht="18">
      <c r="A47" s="2752">
        <f t="shared" si="0"/>
        <v>0</v>
      </c>
      <c r="B47" s="2752">
        <f t="shared" si="1"/>
        <v>0</v>
      </c>
      <c r="C47" s="2809">
        <v>1611</v>
      </c>
      <c r="D47" s="975" t="str">
        <f>VLOOKUP($C47,Sheet_Items,2,0)</f>
        <v>固定资产（报表项目）</v>
      </c>
      <c r="E47" s="1200"/>
      <c r="F47" s="1201">
        <f>SUM(F48:F49)</f>
        <v>19451657.940000001</v>
      </c>
      <c r="G47" s="1202">
        <f>SUM(G48:G49)</f>
        <v>20288571.73</v>
      </c>
      <c r="H47" s="2817">
        <v>2801</v>
      </c>
      <c r="I47" s="1206" t="str">
        <f t="shared" si="4"/>
        <v>预计负债</v>
      </c>
      <c r="J47" s="1197"/>
      <c r="K47" s="1198"/>
      <c r="L47" s="1207">
        <f t="shared" si="10"/>
        <v>0</v>
      </c>
      <c r="M47" s="641"/>
      <c r="N47" s="641"/>
      <c r="O47" s="641"/>
      <c r="P47" s="641"/>
    </row>
    <row r="48" spans="1:16" ht="18">
      <c r="A48" s="2752">
        <f t="shared" si="0"/>
        <v>0</v>
      </c>
      <c r="B48" s="2752">
        <f t="shared" si="1"/>
        <v>0</v>
      </c>
      <c r="C48" s="2809">
        <v>1601</v>
      </c>
      <c r="D48" s="975" t="str">
        <f>IF($C48="","",VLOOKUP($C48,Sheet_Items,6,0))</f>
        <v>其中：固定资产</v>
      </c>
      <c r="E48" s="3373" t="s">
        <v>6818</v>
      </c>
      <c r="F48" s="3374">
        <v>19451657.940000001</v>
      </c>
      <c r="G48" s="1199">
        <f>IF($C48="","",IF(ISERROR(VLOOKUP($C48,Sheet_Balance1,2,0)),0,VLOOKUP($C48,Sheet_Balance1,2,0)))</f>
        <v>20288571.73</v>
      </c>
      <c r="H48" s="2817">
        <v>2401</v>
      </c>
      <c r="I48" s="1206" t="str">
        <f t="shared" si="4"/>
        <v>递延收益</v>
      </c>
      <c r="J48" s="1197"/>
      <c r="K48" s="1198"/>
      <c r="L48" s="1207">
        <f t="shared" si="10"/>
        <v>0</v>
      </c>
      <c r="M48" s="641"/>
      <c r="N48" s="641"/>
      <c r="O48" s="641"/>
      <c r="P48" s="641"/>
    </row>
    <row r="49" spans="1:16" ht="18">
      <c r="A49" s="2752">
        <f t="shared" si="0"/>
        <v>0</v>
      </c>
      <c r="B49" s="2752">
        <f t="shared" si="1"/>
        <v>0</v>
      </c>
      <c r="C49" s="2809">
        <v>1606</v>
      </c>
      <c r="D49" s="1140" t="str">
        <f>IF($C49="","",VLOOKUP($C49,Sheet_Items,6,0))</f>
        <v>固定资产清理</v>
      </c>
      <c r="E49" s="1197"/>
      <c r="F49" s="1198"/>
      <c r="G49" s="1199">
        <f>IF($C49="","",IF(ISERROR(VLOOKUP($C49,Sheet_Balance1,2,0)),0,VLOOKUP($C49,Sheet_Balance1,2,0)))</f>
        <v>0</v>
      </c>
      <c r="H49" s="2817">
        <v>2901</v>
      </c>
      <c r="I49" s="1206" t="str">
        <f>IF($H49="","",VLOOKUP($H49,Sheet_Items,6,0))</f>
        <v>递延所得税负债</v>
      </c>
      <c r="J49" s="1197"/>
      <c r="K49" s="1198"/>
      <c r="L49" s="1207">
        <f t="shared" si="10"/>
        <v>0</v>
      </c>
      <c r="M49" s="641"/>
      <c r="N49" s="641"/>
      <c r="O49" s="641"/>
      <c r="P49" s="641"/>
    </row>
    <row r="50" spans="1:16" ht="18">
      <c r="A50" s="2752">
        <f t="shared" si="0"/>
        <v>0</v>
      </c>
      <c r="B50" s="2752">
        <f t="shared" si="1"/>
        <v>0</v>
      </c>
      <c r="C50" s="2809">
        <v>1616</v>
      </c>
      <c r="D50" s="975" t="str">
        <f>VLOOKUP($C50,Sheet_Items,2,0)</f>
        <v>在建工程（报表项目）</v>
      </c>
      <c r="E50" s="1200"/>
      <c r="F50" s="1201">
        <f>SUM(F51:F52)</f>
        <v>0</v>
      </c>
      <c r="G50" s="1202">
        <f>SUM(G51:G52)</f>
        <v>41650</v>
      </c>
      <c r="H50" s="2817">
        <v>2996</v>
      </c>
      <c r="I50" s="1206" t="str">
        <f>IF($H50="","",VLOOKUP($H50,Sheet_Items,6,0))</f>
        <v>其他非流动负债</v>
      </c>
      <c r="J50" s="1197"/>
      <c r="K50" s="1198"/>
      <c r="L50" s="1207">
        <f t="shared" si="10"/>
        <v>0</v>
      </c>
      <c r="M50" s="641"/>
      <c r="N50" s="641"/>
      <c r="O50" s="641"/>
      <c r="P50" s="641"/>
    </row>
    <row r="51" spans="1:16" ht="18">
      <c r="A51" s="2752">
        <f t="shared" si="0"/>
        <v>0</v>
      </c>
      <c r="B51" s="2752" t="str">
        <f t="shared" si="1"/>
        <v>＝</v>
      </c>
      <c r="C51" s="2809">
        <v>1604</v>
      </c>
      <c r="D51" s="975" t="str">
        <f>IF($C51="","",VLOOKUP($C51,Sheet_Items,6,0))</f>
        <v>其中：在建工程</v>
      </c>
      <c r="E51" s="1197"/>
      <c r="F51" s="1198"/>
      <c r="G51" s="1199">
        <f t="shared" ref="G51:G66" si="11">IF($C51="","",IF(ISERROR(VLOOKUP($C51,Sheet_Balance1,2,0)),0,VLOOKUP($C51,Sheet_Balance1,2,0)))</f>
        <v>41650</v>
      </c>
      <c r="H51" s="2817">
        <v>2998</v>
      </c>
      <c r="I51" s="1205" t="str">
        <f>IF($H51="","",VLOOKUP($H51,Sheet_Items,6,0))</f>
        <v>非流动负债合计</v>
      </c>
      <c r="J51" s="1200"/>
      <c r="K51" s="1203">
        <f>SUM(K37:K50)-SUM(K40,K41,K43)</f>
        <v>140000</v>
      </c>
      <c r="L51" s="1209">
        <f>SUM(L37:L50)-SUM(L40,L41,L43)</f>
        <v>0</v>
      </c>
      <c r="M51" s="641"/>
      <c r="N51" s="641"/>
      <c r="O51" s="641"/>
      <c r="P51" s="641"/>
    </row>
    <row r="52" spans="1:16" ht="18">
      <c r="A52" s="2752">
        <f t="shared" si="0"/>
        <v>0</v>
      </c>
      <c r="B52" s="2752" t="str">
        <f t="shared" si="1"/>
        <v>＝</v>
      </c>
      <c r="C52" s="2809">
        <v>1605</v>
      </c>
      <c r="D52" s="1140" t="str">
        <f>IF($C52="","",VLOOKUP($C52,Sheet_Items,6,0))</f>
        <v>工程物资</v>
      </c>
      <c r="E52" s="1197"/>
      <c r="F52" s="1198"/>
      <c r="G52" s="1199">
        <f t="shared" si="11"/>
        <v>0</v>
      </c>
      <c r="H52" s="2817">
        <v>2999</v>
      </c>
      <c r="I52" s="1205" t="str">
        <f>IF($H52="","",VLOOKUP($H52,Sheet_Items,6,0))</f>
        <v>负债合计</v>
      </c>
      <c r="J52" s="1200"/>
      <c r="K52" s="1203">
        <f>SUM(K35,K51)</f>
        <v>18289273.829999998</v>
      </c>
      <c r="L52" s="1209">
        <f>SUM(L35,L51)</f>
        <v>14238625.880000001</v>
      </c>
      <c r="M52" s="641"/>
      <c r="N52" s="641"/>
      <c r="O52" s="641"/>
      <c r="P52" s="641"/>
    </row>
    <row r="53" spans="1:16" ht="18">
      <c r="A53" s="2752">
        <f t="shared" si="0"/>
        <v>0</v>
      </c>
      <c r="B53" s="2752" t="str">
        <f t="shared" si="1"/>
        <v>：</v>
      </c>
      <c r="C53" s="2809">
        <v>1621</v>
      </c>
      <c r="D53" s="975" t="str">
        <f>IF($C53="","",VLOOKUP($C53,Sheet_Items,6,0))</f>
        <v>生产性生物资产</v>
      </c>
      <c r="E53" s="1197"/>
      <c r="F53" s="1198"/>
      <c r="G53" s="1199">
        <f t="shared" si="11"/>
        <v>0</v>
      </c>
      <c r="H53" s="2817">
        <v>4000</v>
      </c>
      <c r="I53" s="1205" t="str">
        <f t="shared" ref="I53:I68" si="12">IF($H53="","",VLOOKUP($H53,Sheet_Items,7,0))</f>
        <v>所有者权益(或股东权益)：</v>
      </c>
      <c r="J53" s="1197"/>
      <c r="K53" s="1198"/>
      <c r="L53" s="1207">
        <f t="shared" ref="L53:L64" si="13">IF($H53="","",IF(ISERROR(VLOOKUP($H53,Sheet_Balance1,2,0)),0,VLOOKUP($H53,Sheet_Balance1,2,0)))</f>
        <v>0</v>
      </c>
      <c r="M53" s="641"/>
      <c r="N53" s="641"/>
      <c r="O53" s="641"/>
      <c r="P53" s="641"/>
    </row>
    <row r="54" spans="1:16" ht="18">
      <c r="A54" s="2752">
        <f t="shared" si="0"/>
        <v>0</v>
      </c>
      <c r="B54" s="2752">
        <f t="shared" si="1"/>
        <v>0</v>
      </c>
      <c r="C54" s="2809">
        <v>1631</v>
      </c>
      <c r="D54" s="975" t="str">
        <f>IF($C54="","",VLOOKUP($C54,Sheet_Items,6,0))</f>
        <v>油气资产</v>
      </c>
      <c r="E54" s="1197"/>
      <c r="F54" s="1198"/>
      <c r="G54" s="1199">
        <f t="shared" si="11"/>
        <v>0</v>
      </c>
      <c r="H54" s="2817">
        <v>4001</v>
      </c>
      <c r="I54" s="1206" t="str">
        <f t="shared" si="12"/>
        <v>实收资本（或股本）</v>
      </c>
      <c r="J54" s="1197" t="s">
        <v>6818</v>
      </c>
      <c r="K54" s="1198">
        <v>30000000</v>
      </c>
      <c r="L54" s="1207">
        <f t="shared" si="13"/>
        <v>30000000</v>
      </c>
      <c r="M54" s="641"/>
      <c r="N54" s="641"/>
      <c r="O54" s="641"/>
      <c r="P54" s="641"/>
    </row>
    <row r="55" spans="1:16" ht="18">
      <c r="A55" s="2752" t="str">
        <f t="shared" si="0"/>
        <v>_ZL</v>
      </c>
      <c r="B55" s="2752" t="str">
        <f t="shared" si="1"/>
        <v>OEI</v>
      </c>
      <c r="C55" s="2809">
        <v>1636</v>
      </c>
      <c r="D55" s="975" t="str">
        <f>IF($C55="","",VLOOKUP($C55,Sheet_Items,6,0))</f>
        <v>使用权资产</v>
      </c>
      <c r="E55" s="1197"/>
      <c r="F55" s="1198"/>
      <c r="G55" s="1199">
        <f t="shared" si="11"/>
        <v>0</v>
      </c>
      <c r="H55" s="2817">
        <v>4015</v>
      </c>
      <c r="I55" s="1206" t="str">
        <f t="shared" si="12"/>
        <v>其他权益工具</v>
      </c>
      <c r="J55" s="1197"/>
      <c r="K55" s="1198"/>
      <c r="L55" s="1207">
        <f t="shared" si="13"/>
        <v>0</v>
      </c>
      <c r="M55" s="641"/>
      <c r="N55" s="641"/>
      <c r="O55" s="641"/>
      <c r="P55" s="641"/>
    </row>
    <row r="56" spans="1:16" ht="18">
      <c r="A56" s="2752">
        <f t="shared" si="0"/>
        <v>0</v>
      </c>
      <c r="B56" s="2752" t="str">
        <f t="shared" si="1"/>
        <v>OEI</v>
      </c>
      <c r="C56" s="2809">
        <v>1701</v>
      </c>
      <c r="D56" s="975" t="str">
        <f t="shared" ref="D56:D68" si="14">IF($C56="","",VLOOKUP($C56,Sheet_Items,6,0))</f>
        <v>无形资产</v>
      </c>
      <c r="E56" s="3373" t="s">
        <v>6818</v>
      </c>
      <c r="F56" s="3374">
        <v>1951607.86</v>
      </c>
      <c r="G56" s="1199">
        <f t="shared" si="11"/>
        <v>1820271.51</v>
      </c>
      <c r="H56" s="2819">
        <v>4015.11</v>
      </c>
      <c r="I56" s="1206" t="str">
        <f>VLOOKUP($H56,Sheet_Items,6,0)</f>
        <v>其中：优先股</v>
      </c>
      <c r="J56" s="1197"/>
      <c r="K56" s="1198"/>
      <c r="L56" s="1207">
        <f t="shared" si="13"/>
        <v>0</v>
      </c>
      <c r="M56" s="641"/>
      <c r="N56" s="641"/>
      <c r="O56" s="641"/>
      <c r="P56" s="641"/>
    </row>
    <row r="57" spans="1:16" ht="18">
      <c r="A57" s="2752">
        <f t="shared" si="0"/>
        <v>0</v>
      </c>
      <c r="B57" s="2752" t="str">
        <f t="shared" si="1"/>
        <v>OEI</v>
      </c>
      <c r="C57" s="2809">
        <v>1700</v>
      </c>
      <c r="D57" s="975" t="str">
        <f t="shared" si="14"/>
        <v>开发支出</v>
      </c>
      <c r="E57" s="3373" t="s">
        <v>6818</v>
      </c>
      <c r="F57" s="3374">
        <v>1467375.43</v>
      </c>
      <c r="G57" s="1199">
        <f t="shared" si="11"/>
        <v>2369218.02</v>
      </c>
      <c r="H57" s="2819">
        <v>4015.31</v>
      </c>
      <c r="I57" s="1653" t="str">
        <f>VLOOKUP($H57,Sheet_Items,6,0)</f>
        <v>永续债</v>
      </c>
      <c r="J57" s="1197"/>
      <c r="K57" s="1198"/>
      <c r="L57" s="1207">
        <f t="shared" si="13"/>
        <v>0</v>
      </c>
      <c r="M57" s="641"/>
      <c r="N57" s="641"/>
      <c r="O57" s="641"/>
      <c r="P57" s="641"/>
    </row>
    <row r="58" spans="1:16" ht="18">
      <c r="A58" s="2752">
        <f t="shared" si="0"/>
        <v>0</v>
      </c>
      <c r="B58" s="2752">
        <f t="shared" si="1"/>
        <v>0</v>
      </c>
      <c r="C58" s="2809">
        <v>1711</v>
      </c>
      <c r="D58" s="975" t="str">
        <f t="shared" si="14"/>
        <v>商誉</v>
      </c>
      <c r="E58" s="1197"/>
      <c r="F58" s="1198"/>
      <c r="G58" s="1199">
        <f t="shared" si="11"/>
        <v>0</v>
      </c>
      <c r="H58" s="2817">
        <v>4002</v>
      </c>
      <c r="I58" s="1206" t="str">
        <f t="shared" si="12"/>
        <v>资本公积</v>
      </c>
      <c r="J58" s="1197" t="s">
        <v>6818</v>
      </c>
      <c r="K58" s="1198">
        <v>10464100</v>
      </c>
      <c r="L58" s="1207">
        <f t="shared" si="13"/>
        <v>0</v>
      </c>
      <c r="M58" s="641"/>
      <c r="N58" s="641"/>
      <c r="O58" s="641"/>
      <c r="P58" s="641"/>
    </row>
    <row r="59" spans="1:16" ht="18">
      <c r="A59" s="2752">
        <f t="shared" si="0"/>
        <v>0</v>
      </c>
      <c r="B59" s="2752">
        <f t="shared" si="1"/>
        <v>0</v>
      </c>
      <c r="C59" s="2809">
        <v>1801</v>
      </c>
      <c r="D59" s="975" t="str">
        <f t="shared" si="14"/>
        <v>长期待摊费用</v>
      </c>
      <c r="E59" s="3373" t="s">
        <v>6818</v>
      </c>
      <c r="F59" s="3374">
        <v>233942.48</v>
      </c>
      <c r="G59" s="1199">
        <f t="shared" si="11"/>
        <v>395514.45</v>
      </c>
      <c r="H59" s="2817">
        <v>4201</v>
      </c>
      <c r="I59" s="1206" t="str">
        <f t="shared" si="12"/>
        <v>减：库存股</v>
      </c>
      <c r="J59" s="1197"/>
      <c r="K59" s="1198"/>
      <c r="L59" s="1207">
        <f t="shared" si="13"/>
        <v>0</v>
      </c>
      <c r="M59" s="641"/>
      <c r="N59" s="641"/>
      <c r="O59" s="641"/>
      <c r="P59" s="641"/>
    </row>
    <row r="60" spans="1:16" ht="18">
      <c r="A60" s="2752">
        <f t="shared" si="0"/>
        <v>0</v>
      </c>
      <c r="B60" s="2752">
        <f t="shared" si="1"/>
        <v>0</v>
      </c>
      <c r="C60" s="2809">
        <v>1811</v>
      </c>
      <c r="D60" s="975" t="str">
        <f t="shared" si="14"/>
        <v>递延所得税资产</v>
      </c>
      <c r="E60" s="1197" t="s">
        <v>6818</v>
      </c>
      <c r="F60" s="1198">
        <v>1870191.14</v>
      </c>
      <c r="G60" s="1199">
        <f t="shared" si="11"/>
        <v>1185152.1499999999</v>
      </c>
      <c r="H60" s="2817">
        <v>4215</v>
      </c>
      <c r="I60" s="1206" t="str">
        <f t="shared" si="12"/>
        <v>其他综合收益</v>
      </c>
      <c r="J60" s="1197"/>
      <c r="K60" s="1198"/>
      <c r="L60" s="1207">
        <f t="shared" si="13"/>
        <v>0</v>
      </c>
      <c r="M60" s="641"/>
      <c r="N60" s="641"/>
      <c r="O60" s="641"/>
      <c r="P60" s="641"/>
    </row>
    <row r="61" spans="1:16" ht="18">
      <c r="A61" s="2752">
        <f t="shared" si="0"/>
        <v>0</v>
      </c>
      <c r="B61" s="2752">
        <f t="shared" si="1"/>
        <v>0</v>
      </c>
      <c r="C61" s="2809">
        <v>1996</v>
      </c>
      <c r="D61" s="975" t="str">
        <f t="shared" si="14"/>
        <v>其他非流动资产</v>
      </c>
      <c r="E61" s="3373" t="s">
        <v>6818</v>
      </c>
      <c r="F61" s="3374">
        <v>94970</v>
      </c>
      <c r="G61" s="1199">
        <f t="shared" si="11"/>
        <v>523136</v>
      </c>
      <c r="H61" s="2817">
        <v>4301</v>
      </c>
      <c r="I61" s="1206" t="str">
        <f t="shared" si="12"/>
        <v>专项储备</v>
      </c>
      <c r="J61" s="1197"/>
      <c r="K61" s="1198"/>
      <c r="L61" s="1207">
        <f t="shared" si="13"/>
        <v>0</v>
      </c>
      <c r="M61" s="641"/>
      <c r="N61" s="641"/>
      <c r="O61" s="641"/>
      <c r="P61" s="641"/>
    </row>
    <row r="62" spans="1:16" ht="18">
      <c r="A62" s="2752" t="str">
        <f t="shared" si="0"/>
        <v/>
      </c>
      <c r="B62" s="2752">
        <f t="shared" si="1"/>
        <v>0</v>
      </c>
      <c r="C62" s="2809"/>
      <c r="D62" s="975" t="str">
        <f t="shared" si="14"/>
        <v/>
      </c>
      <c r="E62" s="1197"/>
      <c r="F62" s="1198"/>
      <c r="G62" s="1199" t="str">
        <f t="shared" si="11"/>
        <v/>
      </c>
      <c r="H62" s="2817">
        <v>4101</v>
      </c>
      <c r="I62" s="1206" t="str">
        <f t="shared" si="12"/>
        <v>盈余公积</v>
      </c>
      <c r="J62" s="1197" t="s">
        <v>6818</v>
      </c>
      <c r="K62" s="1198">
        <v>1484894.62</v>
      </c>
      <c r="L62" s="1207">
        <f t="shared" si="13"/>
        <v>1476848.22</v>
      </c>
      <c r="M62" s="641"/>
      <c r="N62" s="641"/>
      <c r="O62" s="641"/>
      <c r="P62" s="641"/>
    </row>
    <row r="63" spans="1:16" ht="18">
      <c r="A63" s="2752" t="str">
        <f t="shared" si="0"/>
        <v/>
      </c>
      <c r="B63" s="2752">
        <f t="shared" si="1"/>
        <v>0</v>
      </c>
      <c r="C63" s="2809"/>
      <c r="D63" s="975" t="str">
        <f t="shared" si="14"/>
        <v/>
      </c>
      <c r="E63" s="1197"/>
      <c r="F63" s="1198"/>
      <c r="G63" s="1199" t="str">
        <f t="shared" si="11"/>
        <v/>
      </c>
      <c r="H63" s="2817">
        <v>4102</v>
      </c>
      <c r="I63" s="1206" t="str">
        <f t="shared" si="12"/>
        <v>一般风险准备</v>
      </c>
      <c r="J63" s="1197"/>
      <c r="K63" s="1198"/>
      <c r="L63" s="1207">
        <f t="shared" si="13"/>
        <v>0</v>
      </c>
      <c r="M63" s="641"/>
      <c r="N63" s="641"/>
      <c r="O63" s="641"/>
      <c r="P63" s="641"/>
    </row>
    <row r="64" spans="1:16" ht="18">
      <c r="A64" s="2752" t="str">
        <f t="shared" si="0"/>
        <v/>
      </c>
      <c r="B64" s="2752">
        <f t="shared" si="1"/>
        <v>0</v>
      </c>
      <c r="C64" s="2809"/>
      <c r="D64" s="975" t="str">
        <f t="shared" si="14"/>
        <v/>
      </c>
      <c r="E64" s="1197"/>
      <c r="F64" s="1198"/>
      <c r="G64" s="1199" t="str">
        <f t="shared" si="11"/>
        <v/>
      </c>
      <c r="H64" s="2817">
        <v>4200</v>
      </c>
      <c r="I64" s="1206" t="str">
        <f t="shared" si="12"/>
        <v>未分配利润</v>
      </c>
      <c r="J64" s="1197" t="s">
        <v>6818</v>
      </c>
      <c r="K64" s="1198">
        <v>2899951.46</v>
      </c>
      <c r="L64" s="1207">
        <f t="shared" si="13"/>
        <v>13291633.890000001</v>
      </c>
      <c r="M64" s="641"/>
      <c r="N64" s="641"/>
      <c r="O64" s="641"/>
      <c r="P64" s="641"/>
    </row>
    <row r="65" spans="1:16" ht="24">
      <c r="A65" s="2752" t="str">
        <f t="shared" si="0"/>
        <v/>
      </c>
      <c r="B65" s="2752" t="str">
        <f t="shared" si="1"/>
        <v>※</v>
      </c>
      <c r="C65" s="2809"/>
      <c r="D65" s="975" t="str">
        <f t="shared" si="14"/>
        <v/>
      </c>
      <c r="E65" s="1197"/>
      <c r="F65" s="1198"/>
      <c r="G65" s="1199" t="str">
        <f t="shared" si="11"/>
        <v/>
      </c>
      <c r="H65" s="2817">
        <v>4298</v>
      </c>
      <c r="I65" s="1205" t="str">
        <f t="shared" si="12"/>
        <v>归属于母公司所有者权益（或股东权益）合计</v>
      </c>
      <c r="J65" s="1197"/>
      <c r="K65" s="1231">
        <f>SUM(K54:K55,K58,-K59,K60:K64)</f>
        <v>44848946.079999998</v>
      </c>
      <c r="L65" s="1232">
        <f>SUM(L54:L55,L58,-L59,L60:L64)</f>
        <v>44768482.109999999</v>
      </c>
      <c r="M65" s="641"/>
      <c r="N65" s="641"/>
      <c r="O65" s="641"/>
      <c r="P65" s="641"/>
    </row>
    <row r="66" spans="1:16" ht="18">
      <c r="A66" s="2752" t="str">
        <f t="shared" si="0"/>
        <v/>
      </c>
      <c r="B66" s="2752" t="str">
        <f t="shared" si="1"/>
        <v>※</v>
      </c>
      <c r="C66" s="2809"/>
      <c r="D66" s="975" t="str">
        <f t="shared" si="14"/>
        <v/>
      </c>
      <c r="E66" s="1197"/>
      <c r="F66" s="1198"/>
      <c r="G66" s="1199" t="str">
        <f t="shared" si="11"/>
        <v/>
      </c>
      <c r="H66" s="2817">
        <v>4398</v>
      </c>
      <c r="I66" s="1206" t="str">
        <f t="shared" si="12"/>
        <v>少数股东权益</v>
      </c>
      <c r="J66" s="1197"/>
      <c r="K66" s="1198"/>
      <c r="L66" s="1207">
        <f>IF($H66="","",IF(ISERROR(VLOOKUP($H66,Sheet_Balance1,2,0)),0,VLOOKUP($H66,Sheet_Balance1,2,0)))</f>
        <v>0</v>
      </c>
      <c r="M66" s="641"/>
      <c r="N66" s="641"/>
      <c r="O66" s="641"/>
      <c r="P66" s="641"/>
    </row>
    <row r="67" spans="1:16" ht="18">
      <c r="A67" s="2752" t="str">
        <f t="shared" si="0"/>
        <v>＝</v>
      </c>
      <c r="B67" s="2752" t="str">
        <f t="shared" si="1"/>
        <v>＝</v>
      </c>
      <c r="C67" s="2809">
        <v>1998</v>
      </c>
      <c r="D67" s="1195" t="str">
        <f t="shared" si="14"/>
        <v>非流动资产合计</v>
      </c>
      <c r="E67" s="1200"/>
      <c r="F67" s="1203">
        <f>SUM(F37:F66)-SUM(F47,F50)</f>
        <v>25069744.850000001</v>
      </c>
      <c r="G67" s="1204">
        <f>SUM(G37:G66)-SUM(G47,G50)</f>
        <v>26623513.859999999</v>
      </c>
      <c r="H67" s="2820">
        <v>4999</v>
      </c>
      <c r="I67" s="1233" t="str">
        <f t="shared" si="12"/>
        <v>所有者权益（或股东权益）合计</v>
      </c>
      <c r="J67" s="1200"/>
      <c r="K67" s="1203">
        <f>SUM(K65,K66)</f>
        <v>44848946.079999998</v>
      </c>
      <c r="L67" s="1209">
        <f>SUM(L65,L66)</f>
        <v>44768482.109999999</v>
      </c>
      <c r="M67" s="641"/>
      <c r="N67" s="641"/>
      <c r="O67" s="641"/>
      <c r="P67" s="641"/>
    </row>
    <row r="68" spans="1:16" ht="24">
      <c r="A68" s="2752" t="str">
        <f t="shared" si="0"/>
        <v>＝</v>
      </c>
      <c r="B68" s="2752" t="str">
        <f t="shared" si="1"/>
        <v>＝</v>
      </c>
      <c r="C68" s="2809">
        <v>1999</v>
      </c>
      <c r="D68" s="1210" t="str">
        <f t="shared" si="14"/>
        <v>资产总计</v>
      </c>
      <c r="E68" s="1211"/>
      <c r="F68" s="1212">
        <f>SUM(F35,F67)</f>
        <v>63138219.909999996</v>
      </c>
      <c r="G68" s="1213">
        <f>SUM(G35,G67)</f>
        <v>59007107.990000002</v>
      </c>
      <c r="H68" s="2821">
        <v>5000</v>
      </c>
      <c r="I68" s="1234" t="str">
        <f t="shared" si="12"/>
        <v>负债和所有者权益（或股东权益）总计</v>
      </c>
      <c r="J68" s="1211"/>
      <c r="K68" s="1212">
        <f>SUM(K52,K67)</f>
        <v>63138219.909999996</v>
      </c>
      <c r="L68" s="1235">
        <f>SUM(L52,L67)</f>
        <v>59007107.990000002</v>
      </c>
      <c r="M68" s="641"/>
      <c r="N68" s="641"/>
      <c r="O68" s="641"/>
      <c r="P68" s="641"/>
    </row>
    <row r="69" spans="1:16" ht="18">
      <c r="A69" s="2749"/>
      <c r="B69" s="2749"/>
      <c r="C69" s="2810"/>
      <c r="D69" s="745" t="str">
        <f>Lead!$B$8&amp;"："&amp;Lead!$C$8</f>
        <v>法定代表人：</v>
      </c>
      <c r="E69" s="833"/>
      <c r="F69" s="833"/>
      <c r="G69" s="745" t="str">
        <f>Lead!$B$9&amp;"："&amp;Lead!$C$9</f>
        <v>主管会计工作负责人：</v>
      </c>
      <c r="H69" s="2749"/>
      <c r="I69" s="833"/>
      <c r="J69" s="833"/>
      <c r="K69" s="745" t="str">
        <f>Lead!$B$10&amp;"："&amp;Lead!$C$10</f>
        <v>会计机构负责人：</v>
      </c>
      <c r="L69" s="833"/>
      <c r="M69" s="641"/>
      <c r="N69" s="641"/>
      <c r="O69" s="641"/>
      <c r="P69" s="641"/>
    </row>
    <row r="70" spans="1:16" ht="18">
      <c r="A70" s="2749"/>
      <c r="B70" s="2749"/>
      <c r="C70" s="2810"/>
      <c r="D70" s="641"/>
      <c r="E70" s="641"/>
      <c r="F70" s="641"/>
      <c r="G70" s="641"/>
      <c r="H70" s="2765"/>
      <c r="I70" s="641"/>
      <c r="J70" s="641"/>
      <c r="K70" s="641"/>
      <c r="L70" s="641"/>
      <c r="M70" s="641"/>
      <c r="N70" s="641"/>
      <c r="O70" s="641"/>
      <c r="P70" s="641"/>
    </row>
    <row r="71" spans="1:16" ht="18">
      <c r="A71" s="2752"/>
      <c r="B71" s="2749"/>
      <c r="C71" s="2809" t="s">
        <v>2563</v>
      </c>
      <c r="D71" s="2511" t="s">
        <v>2564</v>
      </c>
      <c r="E71" s="2512"/>
      <c r="F71" s="2513" t="s">
        <v>2560</v>
      </c>
      <c r="G71" s="2514" t="s">
        <v>2561</v>
      </c>
      <c r="H71" s="2765"/>
      <c r="I71" s="641"/>
      <c r="J71" s="641"/>
      <c r="K71" s="641"/>
      <c r="L71" s="641"/>
    </row>
    <row r="72" spans="1:16" ht="18">
      <c r="A72" s="2752"/>
      <c r="B72" s="2749"/>
      <c r="C72" s="2809">
        <v>1122.1231</v>
      </c>
      <c r="D72" s="1214" t="str">
        <f t="shared" ref="D72:D88" si="15">IF($C72="","",VLOOKUP($C72,Sheet_Items,6,0))</f>
        <v>应收账款坏账准备</v>
      </c>
      <c r="E72" s="1098"/>
      <c r="F72" s="1099"/>
      <c r="G72" s="1100"/>
      <c r="H72" s="2765"/>
      <c r="I72" s="641"/>
      <c r="J72" s="641"/>
      <c r="K72" s="641"/>
      <c r="L72" s="641"/>
    </row>
    <row r="73" spans="1:16" ht="18">
      <c r="A73" s="2752"/>
      <c r="B73" s="2749"/>
      <c r="C73" s="2809">
        <v>1125.1231</v>
      </c>
      <c r="D73" s="1214" t="str">
        <f t="shared" si="15"/>
        <v>预付款项坏账准备</v>
      </c>
      <c r="E73" s="1098"/>
      <c r="F73" s="1099"/>
      <c r="G73" s="1100"/>
      <c r="H73" s="2765"/>
      <c r="I73" s="641"/>
      <c r="J73" s="641"/>
      <c r="K73" s="641"/>
      <c r="L73" s="641"/>
    </row>
    <row r="74" spans="1:16" ht="18">
      <c r="A74" s="2752"/>
      <c r="B74" s="2749"/>
      <c r="C74" s="2809">
        <v>1221.1231</v>
      </c>
      <c r="D74" s="1214" t="str">
        <f t="shared" si="15"/>
        <v>其他应收款坏账准备</v>
      </c>
      <c r="E74" s="1098"/>
      <c r="F74" s="1099"/>
      <c r="G74" s="1100"/>
      <c r="H74" s="2765"/>
      <c r="I74" s="641"/>
      <c r="J74" s="641"/>
      <c r="K74" s="641"/>
      <c r="L74" s="641"/>
    </row>
    <row r="75" spans="1:16" ht="18">
      <c r="A75" s="2752"/>
      <c r="B75" s="2749"/>
      <c r="C75" s="2809">
        <v>1400.1470999999999</v>
      </c>
      <c r="D75" s="1214" t="str">
        <f t="shared" si="15"/>
        <v>存货跌价准备</v>
      </c>
      <c r="E75" s="1098"/>
      <c r="F75" s="1099"/>
      <c r="G75" s="1100"/>
      <c r="H75" s="2765"/>
      <c r="I75" s="641"/>
      <c r="J75" s="641"/>
      <c r="K75" s="641"/>
      <c r="L75" s="641"/>
    </row>
    <row r="76" spans="1:16" ht="18">
      <c r="A76" s="2752"/>
      <c r="B76" s="2749"/>
      <c r="C76" s="2809">
        <v>1503.1504</v>
      </c>
      <c r="D76" s="1214" t="str">
        <f t="shared" si="15"/>
        <v>可供出售金融资产减值准备</v>
      </c>
      <c r="E76" s="1098"/>
      <c r="F76" s="1099"/>
      <c r="G76" s="1100"/>
      <c r="H76" s="2765"/>
      <c r="I76" s="641"/>
      <c r="J76" s="641"/>
      <c r="K76" s="641"/>
      <c r="L76" s="641"/>
    </row>
    <row r="77" spans="1:16" ht="18">
      <c r="A77" s="2752"/>
      <c r="B77" s="2749"/>
      <c r="C77" s="2809">
        <v>1501.1502</v>
      </c>
      <c r="D77" s="1214" t="str">
        <f t="shared" si="15"/>
        <v>持有至到期投资减值准备</v>
      </c>
      <c r="E77" s="1098"/>
      <c r="F77" s="1099"/>
      <c r="G77" s="1100"/>
      <c r="H77" s="2765"/>
      <c r="I77" s="641"/>
      <c r="J77" s="641"/>
      <c r="K77" s="641"/>
      <c r="L77" s="641"/>
    </row>
    <row r="78" spans="1:16" ht="18">
      <c r="A78" s="2752"/>
      <c r="B78" s="2749"/>
      <c r="C78" s="2809">
        <v>1511.1512</v>
      </c>
      <c r="D78" s="1214" t="str">
        <f t="shared" si="15"/>
        <v>长期股权投资减值准备</v>
      </c>
      <c r="E78" s="1098"/>
      <c r="F78" s="1099"/>
      <c r="G78" s="1100"/>
      <c r="H78" s="2765"/>
      <c r="I78" s="641"/>
      <c r="J78" s="641"/>
      <c r="K78" s="641"/>
      <c r="L78" s="641"/>
    </row>
    <row r="79" spans="1:16" ht="18">
      <c r="A79" s="2752"/>
      <c r="B79" s="2749"/>
      <c r="C79" s="2809">
        <v>1521.1522</v>
      </c>
      <c r="D79" s="1214" t="str">
        <f t="shared" si="15"/>
        <v>投资性房地产减值准备</v>
      </c>
      <c r="E79" s="1098"/>
      <c r="F79" s="1099"/>
      <c r="G79" s="1100"/>
      <c r="H79" s="2765"/>
      <c r="I79" s="641"/>
      <c r="J79" s="641"/>
      <c r="K79" s="641"/>
      <c r="L79" s="641"/>
    </row>
    <row r="80" spans="1:16" ht="18">
      <c r="A80" s="2752"/>
      <c r="B80" s="2749"/>
      <c r="C80" s="2809">
        <v>1601.1603</v>
      </c>
      <c r="D80" s="1214" t="str">
        <f t="shared" si="15"/>
        <v>固定资产减值准备</v>
      </c>
      <c r="E80" s="1098"/>
      <c r="F80" s="1099"/>
      <c r="G80" s="1100"/>
      <c r="H80" s="2765"/>
      <c r="I80" s="641"/>
      <c r="J80" s="641"/>
      <c r="K80" s="641"/>
      <c r="L80" s="641"/>
    </row>
    <row r="81" spans="1:17" ht="18">
      <c r="A81" s="2752"/>
      <c r="B81" s="2749"/>
      <c r="C81" s="2809">
        <v>1605.1608000000001</v>
      </c>
      <c r="D81" s="1214" t="str">
        <f t="shared" si="15"/>
        <v>工程物资减值准备</v>
      </c>
      <c r="E81" s="1098"/>
      <c r="F81" s="1099"/>
      <c r="G81" s="1100"/>
      <c r="H81" s="2765"/>
      <c r="I81" s="641"/>
      <c r="J81" s="641"/>
      <c r="K81" s="641"/>
      <c r="L81" s="641"/>
    </row>
    <row r="82" spans="1:17" ht="18">
      <c r="A82" s="2752"/>
      <c r="B82" s="2749"/>
      <c r="C82" s="2809">
        <v>1604.1606999999999</v>
      </c>
      <c r="D82" s="1214" t="str">
        <f t="shared" si="15"/>
        <v>在建工程减值准备</v>
      </c>
      <c r="E82" s="1098"/>
      <c r="F82" s="1099"/>
      <c r="G82" s="1100"/>
      <c r="H82" s="2765"/>
      <c r="I82" s="641"/>
      <c r="J82" s="641"/>
      <c r="K82" s="641"/>
      <c r="L82" s="641"/>
    </row>
    <row r="83" spans="1:17" ht="18">
      <c r="A83" s="2752"/>
      <c r="B83" s="2749"/>
      <c r="C83" s="2809">
        <v>1621.1623999999999</v>
      </c>
      <c r="D83" s="1214" t="str">
        <f t="shared" si="15"/>
        <v>生产性生物资产减值准备</v>
      </c>
      <c r="E83" s="1098"/>
      <c r="F83" s="1099"/>
      <c r="G83" s="1100"/>
      <c r="H83" s="2765"/>
      <c r="I83" s="641"/>
      <c r="J83" s="641"/>
      <c r="K83" s="641"/>
      <c r="L83" s="641"/>
    </row>
    <row r="84" spans="1:17" ht="18">
      <c r="A84" s="2752"/>
      <c r="B84" s="2749"/>
      <c r="C84" s="2809">
        <v>1631.1632999999999</v>
      </c>
      <c r="D84" s="1214" t="str">
        <f t="shared" si="15"/>
        <v>油气资产减值准备</v>
      </c>
      <c r="E84" s="1098"/>
      <c r="F84" s="1099"/>
      <c r="G84" s="1100"/>
      <c r="H84" s="2765"/>
      <c r="I84" s="641"/>
      <c r="J84" s="641"/>
      <c r="K84" s="641"/>
      <c r="L84" s="641"/>
    </row>
    <row r="85" spans="1:17" ht="18">
      <c r="A85" s="2752"/>
      <c r="B85" s="2749"/>
      <c r="C85" s="2809">
        <v>1701.1703</v>
      </c>
      <c r="D85" s="1214" t="str">
        <f t="shared" si="15"/>
        <v>无形资产减值准备</v>
      </c>
      <c r="E85" s="1098"/>
      <c r="F85" s="1099"/>
      <c r="G85" s="1100"/>
      <c r="H85" s="2765"/>
      <c r="I85" s="641"/>
      <c r="J85" s="641"/>
      <c r="K85" s="641"/>
      <c r="L85" s="641"/>
    </row>
    <row r="86" spans="1:17" ht="18">
      <c r="A86" s="2752"/>
      <c r="B86" s="2749"/>
      <c r="C86" s="2809">
        <v>1711.1712</v>
      </c>
      <c r="D86" s="1214" t="str">
        <f t="shared" si="15"/>
        <v>商誉减值准备</v>
      </c>
      <c r="E86" s="1098"/>
      <c r="F86" s="1099"/>
      <c r="G86" s="1100"/>
      <c r="H86" s="2765"/>
      <c r="I86" s="641"/>
      <c r="J86" s="641"/>
      <c r="K86" s="641"/>
      <c r="L86" s="641"/>
    </row>
    <row r="87" spans="1:17" ht="18">
      <c r="A87" s="2752"/>
      <c r="B87" s="2749"/>
      <c r="C87" s="2809">
        <v>1991.1992</v>
      </c>
      <c r="D87" s="1214" t="str">
        <f t="shared" si="15"/>
        <v>其他</v>
      </c>
      <c r="E87" s="1215"/>
      <c r="F87" s="1216"/>
      <c r="G87" s="1217"/>
      <c r="H87" s="2765"/>
      <c r="I87" s="641"/>
      <c r="J87" s="641"/>
      <c r="K87" s="641"/>
      <c r="L87" s="641"/>
    </row>
    <row r="88" spans="1:17" ht="18">
      <c r="A88" s="2752"/>
      <c r="B88" s="2749"/>
      <c r="C88" s="2809">
        <v>1991</v>
      </c>
      <c r="D88" s="1218" t="str">
        <f t="shared" si="15"/>
        <v>资产减值准备小计</v>
      </c>
      <c r="E88" s="1108"/>
      <c r="F88" s="1219">
        <f>SUM(F72:F87)</f>
        <v>0</v>
      </c>
      <c r="G88" s="1220">
        <f>SUM(G72:G87)</f>
        <v>0</v>
      </c>
      <c r="H88" s="2765"/>
      <c r="I88" s="641"/>
      <c r="J88" s="641"/>
      <c r="K88" s="641"/>
      <c r="L88" s="641"/>
    </row>
    <row r="89" spans="1:17" ht="18">
      <c r="A89" s="2752"/>
      <c r="B89" s="2749"/>
      <c r="C89" s="2811"/>
    </row>
    <row r="90" spans="1:17" s="963" customFormat="1" ht="18" customHeight="1">
      <c r="A90" s="2812" t="s">
        <v>2565</v>
      </c>
      <c r="B90" s="2813"/>
      <c r="C90" s="2814"/>
      <c r="D90" s="2515" t="s">
        <v>2566</v>
      </c>
      <c r="E90" s="2516"/>
      <c r="F90" s="2517"/>
      <c r="G90" s="2517"/>
      <c r="H90" s="2822"/>
      <c r="I90" s="2517"/>
      <c r="J90" s="2517"/>
      <c r="K90" s="2517"/>
      <c r="L90" s="2518"/>
      <c r="M90" s="709"/>
      <c r="N90" s="1053"/>
      <c r="O90" s="1053"/>
      <c r="P90" s="1053"/>
      <c r="Q90" s="1053"/>
    </row>
    <row r="91" spans="1:17" s="963" customFormat="1" ht="18" customHeight="1">
      <c r="A91" s="2812" t="s">
        <v>2565</v>
      </c>
      <c r="B91" s="2813"/>
      <c r="C91" s="2814"/>
      <c r="D91" s="2519" t="s">
        <v>2567</v>
      </c>
      <c r="E91" s="2520"/>
      <c r="F91" s="2520"/>
      <c r="G91" s="2520" t="s">
        <v>2568</v>
      </c>
      <c r="H91" s="2823"/>
      <c r="I91" s="2520" t="s">
        <v>2569</v>
      </c>
      <c r="J91" s="2521"/>
      <c r="K91" s="2520" t="s">
        <v>2570</v>
      </c>
      <c r="L91" s="2522" t="s">
        <v>2550</v>
      </c>
      <c r="M91" s="709"/>
      <c r="N91" s="1053"/>
      <c r="O91" s="1053"/>
      <c r="P91" s="1053"/>
      <c r="Q91" s="1053"/>
    </row>
    <row r="92" spans="1:17" ht="18">
      <c r="A92" s="2813" t="s">
        <v>2565</v>
      </c>
      <c r="B92" s="2812"/>
      <c r="C92" s="2811"/>
      <c r="D92" s="1119" t="s">
        <v>2571</v>
      </c>
      <c r="E92" s="1221"/>
      <c r="F92" s="1222"/>
      <c r="G92" s="1223"/>
      <c r="H92" s="2824"/>
      <c r="I92" s="1236"/>
      <c r="J92" s="1222"/>
      <c r="K92" s="1237"/>
      <c r="L92" s="1054"/>
      <c r="M92" s="709"/>
      <c r="N92" s="641"/>
      <c r="O92" s="641"/>
      <c r="P92" s="641"/>
      <c r="Q92" s="641"/>
    </row>
    <row r="93" spans="1:17" ht="18">
      <c r="A93" s="2813" t="s">
        <v>2565</v>
      </c>
      <c r="B93" s="2812"/>
      <c r="C93" s="2811"/>
      <c r="D93" s="1174" t="str">
        <f>$F$8</f>
        <v>期末余额</v>
      </c>
      <c r="E93" s="927"/>
      <c r="F93" s="1222"/>
      <c r="G93" s="1224"/>
      <c r="H93" s="2825"/>
      <c r="I93" s="1236"/>
      <c r="J93" s="1222"/>
      <c r="K93" s="1237"/>
      <c r="L93" s="1238"/>
      <c r="M93" s="709"/>
      <c r="N93" s="641"/>
      <c r="O93" s="641"/>
      <c r="P93" s="641"/>
      <c r="Q93" s="641"/>
    </row>
    <row r="94" spans="1:17" ht="18">
      <c r="A94" s="2813" t="s">
        <v>2565</v>
      </c>
      <c r="B94" s="2812"/>
      <c r="C94" s="2811"/>
      <c r="D94" s="1179" t="str">
        <f>D68</f>
        <v>资产总计</v>
      </c>
      <c r="E94" s="1013"/>
      <c r="F94" s="1029" t="s">
        <v>428</v>
      </c>
      <c r="G94" s="1223">
        <f>F68</f>
        <v>63138219.909999996</v>
      </c>
      <c r="H94" s="2825"/>
      <c r="I94" s="1236" t="str">
        <f>I68</f>
        <v>负债和所有者权益（或股东权益）总计</v>
      </c>
      <c r="J94" s="1222"/>
      <c r="K94" s="1001">
        <f>K68</f>
        <v>63138219.909999996</v>
      </c>
      <c r="L94" s="1054">
        <f>ROUND(G94-K94,2)</f>
        <v>0</v>
      </c>
      <c r="M94" s="1239" t="str">
        <f>IF(L94=0,"√","×")</f>
        <v>√</v>
      </c>
      <c r="N94" s="641"/>
      <c r="O94" s="641"/>
      <c r="P94" s="641"/>
      <c r="Q94" s="641"/>
    </row>
    <row r="95" spans="1:17" ht="18">
      <c r="A95" s="2813" t="s">
        <v>2565</v>
      </c>
      <c r="B95" s="2812"/>
      <c r="C95" s="2811"/>
      <c r="D95" s="1225" t="str">
        <f>$G$8</f>
        <v>年初余额</v>
      </c>
      <c r="E95" s="1226"/>
      <c r="F95" s="1222"/>
      <c r="G95" s="1224"/>
      <c r="H95" s="2825"/>
      <c r="I95" s="1236"/>
      <c r="J95" s="1222"/>
      <c r="K95" s="1237"/>
      <c r="L95" s="1238"/>
      <c r="M95" s="1240"/>
      <c r="N95" s="641"/>
      <c r="O95" s="641"/>
      <c r="P95" s="641"/>
      <c r="Q95" s="641"/>
    </row>
    <row r="96" spans="1:17" ht="18">
      <c r="A96" s="2813" t="s">
        <v>2565</v>
      </c>
      <c r="B96" s="2812"/>
      <c r="C96" s="2811"/>
      <c r="D96" s="1227" t="str">
        <f>D68</f>
        <v>资产总计</v>
      </c>
      <c r="E96" s="1228"/>
      <c r="F96" s="1029" t="s">
        <v>428</v>
      </c>
      <c r="G96" s="1223">
        <f>G68</f>
        <v>59007107.990000002</v>
      </c>
      <c r="H96" s="2825"/>
      <c r="I96" s="1241" t="str">
        <f>I68</f>
        <v>负债和所有者权益（或股东权益）总计</v>
      </c>
      <c r="J96" s="1222"/>
      <c r="K96" s="1001">
        <f>L68</f>
        <v>59007107.990000002</v>
      </c>
      <c r="L96" s="1054">
        <f>ROUND(G96-K96,2)</f>
        <v>0</v>
      </c>
      <c r="M96" s="1239" t="str">
        <f>IF(L96=0,"√","×")</f>
        <v>√</v>
      </c>
      <c r="N96" s="641"/>
      <c r="O96" s="641"/>
      <c r="P96" s="641"/>
      <c r="Q96" s="641"/>
    </row>
    <row r="97" spans="1:17" ht="18">
      <c r="A97" s="2813" t="s">
        <v>2565</v>
      </c>
      <c r="B97" s="2812"/>
      <c r="C97" s="2811"/>
      <c r="D97" s="1186" t="s">
        <v>2572</v>
      </c>
      <c r="E97" s="1229"/>
      <c r="F97" s="1229"/>
      <c r="G97" s="1230"/>
      <c r="H97" s="2826"/>
      <c r="I97" s="1229"/>
      <c r="J97" s="1229"/>
      <c r="K97" s="1242"/>
      <c r="L97" s="1243">
        <f>SUM(L92:L96)</f>
        <v>0</v>
      </c>
      <c r="M97" s="956" t="str">
        <f>IF(L97=0,"Balanced","Diff "&amp;TEXT(ROUND(L97,2),"#,###.00"))</f>
        <v>Balanced</v>
      </c>
      <c r="N97" s="641"/>
      <c r="O97" s="641"/>
      <c r="P97" s="641"/>
      <c r="Q97" s="641"/>
    </row>
    <row r="98" spans="1:17">
      <c r="D98" s="641"/>
      <c r="E98" s="641"/>
      <c r="F98" s="641"/>
      <c r="G98" s="641"/>
      <c r="H98" s="2765"/>
      <c r="I98" s="641"/>
      <c r="J98" s="641"/>
      <c r="K98" s="641"/>
      <c r="L98" s="641"/>
    </row>
    <row r="99" spans="1:17">
      <c r="D99" s="641"/>
      <c r="E99" s="641"/>
      <c r="F99" s="641"/>
      <c r="G99" s="641"/>
      <c r="H99" s="2765"/>
      <c r="I99" s="641"/>
      <c r="J99" s="641"/>
      <c r="K99" s="641"/>
      <c r="L99" s="641"/>
    </row>
    <row r="100" spans="1:17">
      <c r="D100" s="641"/>
      <c r="E100" s="641"/>
      <c r="F100" s="641"/>
      <c r="G100" s="641"/>
      <c r="H100" s="2765"/>
      <c r="I100" s="641"/>
      <c r="J100" s="641"/>
      <c r="K100" s="641"/>
      <c r="L100" s="641"/>
    </row>
    <row r="101" spans="1:17">
      <c r="D101" s="641"/>
      <c r="E101" s="641"/>
      <c r="F101" s="641"/>
      <c r="G101" s="641"/>
      <c r="H101" s="2765"/>
      <c r="I101" s="641"/>
      <c r="J101" s="641"/>
      <c r="K101" s="641"/>
      <c r="L101" s="641"/>
    </row>
  </sheetData>
  <sheetProtection algorithmName="SHA-512" hashValue="idezTScyFb4pi6pncoJXraGLbXW0qWv6da0SDP1gr5+j1m3VfU+8VfUQ1K6UvCLAGbGC8wDZA4CQbHYUUBVKFA==" saltValue="xTk2JKPiwbX67FVVZuQ4pg==" spinCount="100000" sheet="1" scenarios="1" formatCells="0" autoFilter="0"/>
  <phoneticPr fontId="163" type="noConversion"/>
  <conditionalFormatting sqref="F68:G68">
    <cfRule type="expression" dxfId="84" priority="1" stopIfTrue="1">
      <formula>ROUND(F68-K68,2)&lt;&gt;0</formula>
    </cfRule>
  </conditionalFormatting>
  <conditionalFormatting sqref="K68:L68">
    <cfRule type="expression" dxfId="83" priority="2" stopIfTrue="1">
      <formula>ROUND(K68-F68,2)&lt;&gt;0</formula>
    </cfRule>
  </conditionalFormatting>
  <conditionalFormatting sqref="L94 L92 L96:L97">
    <cfRule type="cellIs" dxfId="82" priority="9" stopIfTrue="1" operator="notEqual">
      <formula>0</formula>
    </cfRule>
  </conditionalFormatting>
  <pageMargins left="0.78740157480314998" right="0" top="0.78740157480314998" bottom="0.39370078740157499" header="0.511811023622047" footer="0.511811023622047"/>
  <pageSetup paperSize="9" scale="85" orientation="portrait" blackAndWhite="1"/>
  <headerFooter alignWithMargins="0"/>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L133"/>
  <sheetViews>
    <sheetView showZeros="0" topLeftCell="A31" workbookViewId="0">
      <selection activeCell="E38" sqref="E38"/>
    </sheetView>
  </sheetViews>
  <sheetFormatPr defaultColWidth="9.140625" defaultRowHeight="12"/>
  <cols>
    <col min="1" max="2" width="0.140625" style="2754" customWidth="1"/>
    <col min="3" max="3" width="48.7109375" style="1" customWidth="1"/>
    <col min="4" max="4" width="7.7109375" style="1" customWidth="1"/>
    <col min="5" max="6" width="20.7109375" style="1" customWidth="1"/>
    <col min="7" max="7" width="5" style="1" customWidth="1"/>
    <col min="8" max="8" width="12.7109375" style="1" customWidth="1"/>
    <col min="9" max="9" width="9.140625" style="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133" t="s">
        <v>2573</v>
      </c>
      <c r="D2" s="833"/>
      <c r="E2" s="833"/>
      <c r="F2" s="833"/>
      <c r="G2" s="641"/>
      <c r="H2" s="641"/>
      <c r="I2" s="641"/>
      <c r="J2" s="641"/>
    </row>
    <row r="3" spans="1:10" ht="15.75">
      <c r="A3" s="2749"/>
      <c r="B3" s="2749"/>
      <c r="C3" s="1063" t="str">
        <f>Lead!$F$7</f>
        <v>2019年度</v>
      </c>
      <c r="D3" s="833"/>
      <c r="E3" s="833"/>
      <c r="F3" s="833"/>
      <c r="G3" s="641"/>
      <c r="H3" s="641"/>
      <c r="I3" s="641"/>
      <c r="J3" s="641"/>
    </row>
    <row r="4" spans="1:10" ht="15.75">
      <c r="A4" s="2749"/>
      <c r="B4" s="2749"/>
      <c r="C4" s="1063"/>
      <c r="D4" s="833"/>
      <c r="E4" s="833"/>
      <c r="F4" s="1044" t="s">
        <v>2574</v>
      </c>
      <c r="G4" s="641"/>
      <c r="H4" s="641"/>
      <c r="I4" s="641"/>
      <c r="J4" s="641"/>
    </row>
    <row r="5" spans="1:10" ht="18" customHeight="1">
      <c r="A5" s="2749"/>
      <c r="B5" s="2749"/>
      <c r="C5" s="966" t="str">
        <f>Lead!$B$5&amp;"："&amp;Lead!$C$5</f>
        <v>编制单位：福建省力菲克药业有限公司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18" customHeight="1">
      <c r="A8" s="2749" t="s">
        <v>2575</v>
      </c>
      <c r="B8" s="2749" t="s">
        <v>2576</v>
      </c>
      <c r="C8" s="1069" t="s">
        <v>47</v>
      </c>
      <c r="D8" s="1070" t="s">
        <v>2559</v>
      </c>
      <c r="E8" s="1071" t="s">
        <v>2577</v>
      </c>
      <c r="F8" s="1134" t="s">
        <v>2578</v>
      </c>
      <c r="G8" s="641"/>
      <c r="H8" s="641"/>
      <c r="I8" s="641"/>
      <c r="J8" s="641"/>
    </row>
    <row r="9" spans="1:10" ht="18">
      <c r="A9" s="2752" t="str">
        <f t="shared" ref="A9:A79" si="0">VLOOKUP($B9,Sheet_Items,4,0)</f>
        <v>※</v>
      </c>
      <c r="B9" s="2809">
        <v>6098</v>
      </c>
      <c r="C9" s="1073" t="str">
        <f t="shared" ref="C9:C79" si="1">VLOOKUP($B9,Sheet_Items,6,0)</f>
        <v>一、营业总收入</v>
      </c>
      <c r="D9" s="1081" t="s">
        <v>6816</v>
      </c>
      <c r="E9" s="921">
        <f>SUM(E10:E13)</f>
        <v>34251580.890000001</v>
      </c>
      <c r="F9" s="1135">
        <f>SUM(F10:F13)</f>
        <v>37369847.649999999</v>
      </c>
      <c r="G9" s="641"/>
      <c r="H9" s="641"/>
      <c r="I9" s="641"/>
      <c r="J9" s="641"/>
    </row>
    <row r="10" spans="1:10" ht="18">
      <c r="A10" s="2752">
        <f t="shared" si="0"/>
        <v>0</v>
      </c>
      <c r="B10" s="2809">
        <v>6001</v>
      </c>
      <c r="C10" s="1654" t="str">
        <f>VLOOKUP($B10,Sheet_Items,7,0)</f>
        <v>其中：营业收入</v>
      </c>
      <c r="D10" s="1136" t="s">
        <v>6816</v>
      </c>
      <c r="E10" s="1079">
        <f>3107313.9+31144266.99</f>
        <v>34251580.890000001</v>
      </c>
      <c r="F10" s="1080">
        <f>IF($B10="","",IF(ISERROR(VLOOKUP($B10,Sheet_Balance1,2,0)),0,VLOOKUP($B10,Sheet_Balance1,2,0)))</f>
        <v>37369847.649999999</v>
      </c>
      <c r="G10" s="641"/>
      <c r="H10" s="641"/>
      <c r="I10" s="641"/>
      <c r="J10" s="641"/>
    </row>
    <row r="11" spans="1:10" ht="18">
      <c r="A11" s="2752" t="str">
        <f t="shared" si="0"/>
        <v>△</v>
      </c>
      <c r="B11" s="2809">
        <v>6011</v>
      </c>
      <c r="C11" s="975" t="str">
        <f t="shared" si="1"/>
        <v>利息收入</v>
      </c>
      <c r="D11" s="1136"/>
      <c r="E11" s="1079"/>
      <c r="F11" s="1080">
        <f>IF($B11="","",IF(ISERROR(VLOOKUP($B11,Sheet_Balance1,2,0)),0,VLOOKUP($B11,Sheet_Balance1,2,0)))</f>
        <v>0</v>
      </c>
      <c r="G11" s="641"/>
      <c r="H11" s="641"/>
      <c r="I11" s="641"/>
      <c r="J11" s="641"/>
    </row>
    <row r="12" spans="1:10" ht="18">
      <c r="A12" s="2752" t="str">
        <f t="shared" si="0"/>
        <v>△</v>
      </c>
      <c r="B12" s="2809">
        <v>6030</v>
      </c>
      <c r="C12" s="975" t="str">
        <f t="shared" si="1"/>
        <v>已赚保费</v>
      </c>
      <c r="D12" s="1136"/>
      <c r="E12" s="1079"/>
      <c r="F12" s="1080">
        <f>IF($B12="","",IF(ISERROR(VLOOKUP($B12,Sheet_Balance1,2,0)),0,VLOOKUP($B12,Sheet_Balance1,2,0)))</f>
        <v>0</v>
      </c>
      <c r="G12" s="641"/>
      <c r="H12" s="641"/>
      <c r="I12" s="641"/>
      <c r="J12" s="641"/>
    </row>
    <row r="13" spans="1:10" ht="18">
      <c r="A13" s="2752" t="str">
        <f t="shared" si="0"/>
        <v>△</v>
      </c>
      <c r="B13" s="2809">
        <v>6021</v>
      </c>
      <c r="C13" s="975" t="str">
        <f t="shared" si="1"/>
        <v>手续费及佣金收入</v>
      </c>
      <c r="D13" s="1136"/>
      <c r="E13" s="1079"/>
      <c r="F13" s="1080">
        <f>IF($B13="","",IF(ISERROR(VLOOKUP($B13,Sheet_Balance1,2,0)),0,VLOOKUP($B13,Sheet_Balance1,2,0)))</f>
        <v>0</v>
      </c>
      <c r="G13" s="641"/>
      <c r="H13" s="641"/>
      <c r="I13" s="641"/>
      <c r="J13" s="641"/>
    </row>
    <row r="14" spans="1:10" ht="18">
      <c r="A14" s="2752" t="str">
        <f t="shared" si="0"/>
        <v>※</v>
      </c>
      <c r="B14" s="2809">
        <v>6598</v>
      </c>
      <c r="C14" s="1137" t="str">
        <f t="shared" si="1"/>
        <v>二、营业总成本</v>
      </c>
      <c r="D14" s="1081"/>
      <c r="E14" s="921">
        <f>SUM(E15:E27)</f>
        <v>36087527.850000001</v>
      </c>
      <c r="F14" s="1135">
        <f>SUM(F15:F27)</f>
        <v>37564442.520000003</v>
      </c>
      <c r="G14" s="641"/>
      <c r="H14" s="641"/>
      <c r="I14" s="641"/>
      <c r="J14" s="641"/>
    </row>
    <row r="15" spans="1:10" ht="18">
      <c r="A15" s="2752">
        <f t="shared" si="0"/>
        <v>0</v>
      </c>
      <c r="B15" s="2809">
        <v>6401</v>
      </c>
      <c r="C15" s="1138" t="str">
        <f t="shared" si="1"/>
        <v>减：营业成本</v>
      </c>
      <c r="D15" s="1081" t="s">
        <v>6817</v>
      </c>
      <c r="E15" s="1079">
        <f>117525.55+21784613.41</f>
        <v>21902138.960000001</v>
      </c>
      <c r="F15" s="1080">
        <f t="shared" ref="F15:F37" si="2">IF($B15="","",IF(ISERROR(VLOOKUP($B15,Sheet_Balance1,2,0)),0,VLOOKUP($B15,Sheet_Balance1,2,0)))</f>
        <v>23934591.690000001</v>
      </c>
      <c r="G15" s="641"/>
      <c r="H15" s="641"/>
      <c r="I15" s="641"/>
      <c r="J15" s="641"/>
    </row>
    <row r="16" spans="1:10" ht="18">
      <c r="A16" s="2752" t="str">
        <f t="shared" si="0"/>
        <v>△</v>
      </c>
      <c r="B16" s="2809">
        <v>6411</v>
      </c>
      <c r="C16" s="975" t="str">
        <f t="shared" si="1"/>
        <v>利息支出</v>
      </c>
      <c r="D16" s="1081"/>
      <c r="E16" s="1079"/>
      <c r="F16" s="1080">
        <f t="shared" si="2"/>
        <v>0</v>
      </c>
      <c r="G16" s="641"/>
      <c r="H16" s="641"/>
      <c r="I16" s="641"/>
      <c r="J16" s="641"/>
    </row>
    <row r="17" spans="1:10" ht="18">
      <c r="A17" s="2752" t="str">
        <f t="shared" si="0"/>
        <v>△</v>
      </c>
      <c r="B17" s="2809">
        <v>6421</v>
      </c>
      <c r="C17" s="975" t="str">
        <f t="shared" si="1"/>
        <v>手续费及佣金支出</v>
      </c>
      <c r="D17" s="1081"/>
      <c r="E17" s="1079"/>
      <c r="F17" s="1080">
        <f t="shared" si="2"/>
        <v>0</v>
      </c>
      <c r="G17" s="641"/>
      <c r="H17" s="641"/>
      <c r="I17" s="641"/>
      <c r="J17" s="641"/>
    </row>
    <row r="18" spans="1:10" ht="18">
      <c r="A18" s="2752" t="str">
        <f t="shared" si="0"/>
        <v>△</v>
      </c>
      <c r="B18" s="2809">
        <v>6531</v>
      </c>
      <c r="C18" s="975" t="str">
        <f t="shared" si="1"/>
        <v>退保金</v>
      </c>
      <c r="D18" s="1081"/>
      <c r="E18" s="1079"/>
      <c r="F18" s="1080">
        <f t="shared" si="2"/>
        <v>0</v>
      </c>
      <c r="G18" s="641"/>
      <c r="H18" s="641"/>
      <c r="I18" s="641"/>
      <c r="J18" s="641"/>
    </row>
    <row r="19" spans="1:10" ht="18">
      <c r="A19" s="2752" t="str">
        <f t="shared" si="0"/>
        <v>△</v>
      </c>
      <c r="B19" s="2809">
        <v>6510</v>
      </c>
      <c r="C19" s="975" t="str">
        <f t="shared" si="1"/>
        <v>赔付支出净额</v>
      </c>
      <c r="D19" s="1081"/>
      <c r="E19" s="1079"/>
      <c r="F19" s="1080">
        <f t="shared" si="2"/>
        <v>0</v>
      </c>
      <c r="G19" s="641"/>
      <c r="H19" s="641"/>
      <c r="I19" s="641"/>
      <c r="J19" s="641"/>
    </row>
    <row r="20" spans="1:10" ht="18">
      <c r="A20" s="2752" t="str">
        <f t="shared" si="0"/>
        <v>△</v>
      </c>
      <c r="B20" s="2809">
        <v>6505</v>
      </c>
      <c r="C20" s="975" t="str">
        <f t="shared" si="1"/>
        <v>提取保险责任准备金净额</v>
      </c>
      <c r="D20" s="1081"/>
      <c r="E20" s="1079"/>
      <c r="F20" s="1080">
        <f t="shared" si="2"/>
        <v>0</v>
      </c>
      <c r="G20" s="641"/>
      <c r="H20" s="641"/>
      <c r="I20" s="641"/>
      <c r="J20" s="641"/>
    </row>
    <row r="21" spans="1:10" ht="18">
      <c r="A21" s="2752" t="str">
        <f t="shared" si="0"/>
        <v>△</v>
      </c>
      <c r="B21" s="2809">
        <v>6521</v>
      </c>
      <c r="C21" s="975" t="str">
        <f t="shared" si="1"/>
        <v>保单红利支出</v>
      </c>
      <c r="D21" s="1081"/>
      <c r="E21" s="1079"/>
      <c r="F21" s="1080">
        <f t="shared" si="2"/>
        <v>0</v>
      </c>
      <c r="G21" s="641"/>
      <c r="H21" s="641"/>
      <c r="I21" s="641"/>
      <c r="J21" s="641"/>
    </row>
    <row r="22" spans="1:10" ht="18">
      <c r="A22" s="2752" t="str">
        <f t="shared" si="0"/>
        <v>△</v>
      </c>
      <c r="B22" s="2809">
        <v>6542</v>
      </c>
      <c r="C22" s="975" t="str">
        <f t="shared" si="1"/>
        <v>分保费用</v>
      </c>
      <c r="D22" s="1081"/>
      <c r="E22" s="1079"/>
      <c r="F22" s="1080">
        <f t="shared" si="2"/>
        <v>0</v>
      </c>
      <c r="G22" s="641"/>
      <c r="H22" s="641"/>
      <c r="I22" s="641"/>
      <c r="J22" s="641"/>
    </row>
    <row r="23" spans="1:10" ht="18">
      <c r="A23" s="2752">
        <f t="shared" si="0"/>
        <v>0</v>
      </c>
      <c r="B23" s="2809">
        <v>6600</v>
      </c>
      <c r="C23" s="975" t="str">
        <f t="shared" si="1"/>
        <v>税金及附加</v>
      </c>
      <c r="D23" s="1081" t="s">
        <v>6818</v>
      </c>
      <c r="E23" s="1079">
        <v>698053.95</v>
      </c>
      <c r="F23" s="1080">
        <f t="shared" si="2"/>
        <v>816515.77</v>
      </c>
      <c r="G23" s="641"/>
      <c r="H23" s="641"/>
      <c r="I23" s="641"/>
      <c r="J23" s="641"/>
    </row>
    <row r="24" spans="1:10" ht="18">
      <c r="A24" s="2752">
        <f t="shared" si="0"/>
        <v>0</v>
      </c>
      <c r="B24" s="2809">
        <v>6601</v>
      </c>
      <c r="C24" s="975" t="str">
        <f t="shared" si="1"/>
        <v>销售费用</v>
      </c>
      <c r="D24" s="1081" t="s">
        <v>6818</v>
      </c>
      <c r="E24" s="1079">
        <v>5573302.79</v>
      </c>
      <c r="F24" s="1080">
        <f t="shared" si="2"/>
        <v>5670698.4400000004</v>
      </c>
      <c r="G24" s="641"/>
      <c r="H24" s="641"/>
      <c r="I24" s="641"/>
      <c r="J24" s="641"/>
    </row>
    <row r="25" spans="1:10" ht="18">
      <c r="A25" s="2752">
        <f t="shared" si="0"/>
        <v>0</v>
      </c>
      <c r="B25" s="2809">
        <v>6602</v>
      </c>
      <c r="C25" s="975" t="str">
        <f t="shared" si="1"/>
        <v>管理费用</v>
      </c>
      <c r="D25" s="1081" t="s">
        <v>6818</v>
      </c>
      <c r="E25" s="1079">
        <f>7866876.04-E26</f>
        <v>3468057.07</v>
      </c>
      <c r="F25" s="1080">
        <f t="shared" si="2"/>
        <v>2881011.76</v>
      </c>
      <c r="G25" s="641"/>
      <c r="H25" s="641"/>
      <c r="I25" s="641"/>
      <c r="J25" s="641"/>
    </row>
    <row r="26" spans="1:10" ht="18">
      <c r="A26" s="2752">
        <f>VLOOKUP($B26,Sheet_Items,4,0)</f>
        <v>0</v>
      </c>
      <c r="B26" s="2809">
        <v>6606</v>
      </c>
      <c r="C26" s="975" t="str">
        <f>VLOOKUP($B26,Sheet_Items,6,0)</f>
        <v>研发费用</v>
      </c>
      <c r="D26" s="1081" t="s">
        <v>6818</v>
      </c>
      <c r="E26" s="1079">
        <v>4398818.97</v>
      </c>
      <c r="F26" s="1080">
        <f t="shared" si="2"/>
        <v>3908463.7</v>
      </c>
      <c r="G26" s="641"/>
      <c r="H26" s="641"/>
      <c r="I26" s="641"/>
      <c r="J26" s="641"/>
    </row>
    <row r="27" spans="1:10" ht="18">
      <c r="A27" s="2752">
        <f t="shared" si="0"/>
        <v>0</v>
      </c>
      <c r="B27" s="2809">
        <v>6603</v>
      </c>
      <c r="C27" s="975" t="str">
        <f t="shared" si="1"/>
        <v>财务费用</v>
      </c>
      <c r="D27" s="1081" t="s">
        <v>6818</v>
      </c>
      <c r="E27" s="1079">
        <v>47156.11</v>
      </c>
      <c r="F27" s="1080">
        <f t="shared" si="2"/>
        <v>353161.16</v>
      </c>
      <c r="G27" s="641"/>
      <c r="H27" s="641"/>
      <c r="I27" s="641"/>
      <c r="J27" s="641"/>
    </row>
    <row r="28" spans="1:10" ht="18">
      <c r="A28" s="2752">
        <f>VLOOKUP($B28,Sheet_Items,4,0)</f>
        <v>0</v>
      </c>
      <c r="B28" s="2809" t="s">
        <v>803</v>
      </c>
      <c r="C28" s="975" t="str">
        <f>VLOOKUP($B28,Sheet_Items,6,0)</f>
        <v>其中：利息费用</v>
      </c>
      <c r="D28" s="1081"/>
      <c r="E28" s="1079">
        <v>-745.38</v>
      </c>
      <c r="F28" s="1080">
        <f t="shared" si="2"/>
        <v>342900.23</v>
      </c>
      <c r="G28" s="641"/>
      <c r="H28" s="641"/>
      <c r="I28" s="641"/>
      <c r="J28" s="641"/>
    </row>
    <row r="29" spans="1:10" ht="18">
      <c r="A29" s="2752">
        <f>VLOOKUP($B29,Sheet_Items,4,0)</f>
        <v>0</v>
      </c>
      <c r="B29" s="2809" t="s">
        <v>810</v>
      </c>
      <c r="C29" s="1140" t="str">
        <f>VLOOKUP($B29,Sheet_Items,6,0)</f>
        <v>利息收入</v>
      </c>
      <c r="D29" s="1081"/>
      <c r="E29" s="1079">
        <v>41179.21</v>
      </c>
      <c r="F29" s="1080">
        <f t="shared" si="2"/>
        <v>881.95</v>
      </c>
      <c r="G29" s="641"/>
      <c r="H29" s="641"/>
      <c r="I29" s="641"/>
      <c r="J29" s="641"/>
    </row>
    <row r="30" spans="1:10" ht="18">
      <c r="A30" s="2752">
        <f>VLOOKUP($B30,Sheet_Items,4,0)</f>
        <v>0</v>
      </c>
      <c r="B30" s="2809">
        <v>6181</v>
      </c>
      <c r="C30" s="1139" t="str">
        <f>VLOOKUP($B30,Sheet_Items,7,0)</f>
        <v>加：其他收益</v>
      </c>
      <c r="D30" s="1081"/>
      <c r="E30" s="1079"/>
      <c r="F30" s="1080">
        <f t="shared" si="2"/>
        <v>80500</v>
      </c>
      <c r="G30" s="641"/>
      <c r="H30" s="641"/>
      <c r="I30" s="641"/>
      <c r="J30" s="641"/>
    </row>
    <row r="31" spans="1:10" ht="18">
      <c r="A31" s="2752">
        <f t="shared" si="0"/>
        <v>0</v>
      </c>
      <c r="B31" s="2809">
        <v>6111</v>
      </c>
      <c r="C31" s="975" t="str">
        <f t="shared" si="1"/>
        <v>投资收益（损失以“-”号填列）</v>
      </c>
      <c r="D31" s="1081" t="s">
        <v>6818</v>
      </c>
      <c r="E31" s="1079">
        <v>41851.06</v>
      </c>
      <c r="F31" s="1080">
        <f t="shared" si="2"/>
        <v>38200.720000000001</v>
      </c>
      <c r="G31" s="641"/>
      <c r="H31" s="641"/>
      <c r="I31" s="641"/>
      <c r="J31" s="641"/>
    </row>
    <row r="32" spans="1:10" ht="18">
      <c r="A32" s="2752">
        <f t="shared" si="0"/>
        <v>0</v>
      </c>
      <c r="B32" s="2827">
        <v>6111.01</v>
      </c>
      <c r="C32" s="1140" t="str">
        <f>VLOOKUP($B32,Sheet_Items,6,0)</f>
        <v>其中：对联营企业和合营企业的投资收益</v>
      </c>
      <c r="D32" s="1081"/>
      <c r="E32" s="1079"/>
      <c r="F32" s="1080">
        <f t="shared" si="2"/>
        <v>0</v>
      </c>
      <c r="G32" s="641"/>
      <c r="H32" s="641"/>
      <c r="I32" s="641"/>
      <c r="J32" s="641"/>
    </row>
    <row r="33" spans="1:10" ht="18">
      <c r="A33" s="2752" t="str">
        <f>VLOOKUP($B33,Sheet_Items,4,0)</f>
        <v>_JR</v>
      </c>
      <c r="B33" s="2809" t="s">
        <v>777</v>
      </c>
      <c r="C33" s="1141" t="str">
        <f>VLOOKUP($B33,Sheet_Items,7,0)</f>
        <v>以摊余成本计量的金融资产终止确认收益</v>
      </c>
      <c r="D33" s="1081"/>
      <c r="E33" s="1079"/>
      <c r="F33" s="1080">
        <f t="shared" si="2"/>
        <v>0</v>
      </c>
      <c r="G33" s="641"/>
      <c r="H33" s="641"/>
      <c r="I33" s="641"/>
      <c r="J33" s="641"/>
    </row>
    <row r="34" spans="1:10" ht="18">
      <c r="A34" s="2752" t="str">
        <f t="shared" si="0"/>
        <v>△</v>
      </c>
      <c r="B34" s="2809">
        <v>6161</v>
      </c>
      <c r="C34" s="975" t="str">
        <f t="shared" si="1"/>
        <v>汇兑收益（损失以“-”号填列）</v>
      </c>
      <c r="D34" s="1081"/>
      <c r="E34" s="1079"/>
      <c r="F34" s="1080">
        <f t="shared" si="2"/>
        <v>0</v>
      </c>
      <c r="G34" s="641"/>
      <c r="H34" s="641"/>
      <c r="I34" s="641"/>
      <c r="J34" s="641"/>
    </row>
    <row r="35" spans="1:10" ht="18">
      <c r="A35" s="2752" t="str">
        <f>VLOOKUP($B35,Sheet_Items,4,0)</f>
        <v>_JR</v>
      </c>
      <c r="B35" s="2809">
        <v>6102</v>
      </c>
      <c r="C35" s="1142" t="str">
        <f>VLOOKUP($B35,Sheet_Items,6,0)</f>
        <v>净敞口套期收益（损失以“-”号填列）</v>
      </c>
      <c r="D35" s="1081"/>
      <c r="E35" s="1079"/>
      <c r="F35" s="1080">
        <f t="shared" si="2"/>
        <v>0</v>
      </c>
      <c r="G35" s="641"/>
      <c r="H35" s="641"/>
      <c r="I35" s="641"/>
      <c r="J35" s="641"/>
    </row>
    <row r="36" spans="1:10" ht="18">
      <c r="A36" s="2752">
        <f>VLOOKUP($B36,Sheet_Items,4,0)</f>
        <v>0</v>
      </c>
      <c r="B36" s="2809">
        <v>6101</v>
      </c>
      <c r="C36" s="975" t="str">
        <f>VLOOKUP($B36,Sheet_Items,6,0)</f>
        <v>公允价值变动收益（损失以“-”号填列）</v>
      </c>
      <c r="D36" s="1081"/>
      <c r="E36" s="1079"/>
      <c r="F36" s="1080">
        <f t="shared" si="2"/>
        <v>0</v>
      </c>
      <c r="G36" s="641"/>
      <c r="H36" s="641"/>
      <c r="I36" s="641"/>
      <c r="J36" s="641"/>
    </row>
    <row r="37" spans="1:10" ht="18">
      <c r="A37" s="2752" t="str">
        <f>VLOOKUP($B37,Sheet_Items,4,0)</f>
        <v>_JR</v>
      </c>
      <c r="B37" s="2809">
        <v>6672</v>
      </c>
      <c r="C37" s="1142" t="str">
        <f>VLOOKUP($B37,Sheet_Items,6,0)</f>
        <v>信用减值损失（损失以“-”号填列）</v>
      </c>
      <c r="D37" s="1081"/>
      <c r="E37" s="1079"/>
      <c r="F37" s="1080">
        <f t="shared" si="2"/>
        <v>0</v>
      </c>
      <c r="G37" s="641"/>
      <c r="H37" s="641"/>
      <c r="I37" s="641"/>
      <c r="J37" s="641"/>
    </row>
    <row r="38" spans="1:10" ht="18">
      <c r="A38" s="2752">
        <f>VLOOKUP($B38,Sheet_Items,4,0)</f>
        <v>0</v>
      </c>
      <c r="B38" s="2809">
        <v>6671</v>
      </c>
      <c r="C38" s="975" t="str">
        <f>VLOOKUP($B38,Sheet_Items,6,0)</f>
        <v>资产减值损失（损失以“-”号填列）</v>
      </c>
      <c r="D38" s="1081" t="s">
        <v>6818</v>
      </c>
      <c r="E38" s="1079">
        <v>-509330.92</v>
      </c>
      <c r="F38" s="1080">
        <f>(IF($B38="","",IF(ISERROR(VLOOKUP($B38,Sheet_Balance1,2,0)),0,VLOOKUP($B38,Sheet_Balance1,2,0))))*-1</f>
        <v>198814.86</v>
      </c>
      <c r="G38" s="641"/>
      <c r="H38" s="641">
        <v>-509330.92</v>
      </c>
      <c r="I38" s="641"/>
      <c r="J38" s="641"/>
    </row>
    <row r="39" spans="1:10" ht="18">
      <c r="A39" s="2752">
        <f>VLOOKUP($B39,Sheet_Items,4,0)</f>
        <v>0</v>
      </c>
      <c r="B39" s="2809">
        <v>6171</v>
      </c>
      <c r="C39" s="1139" t="str">
        <f>VLOOKUP($B39,Sheet_Items,6,0)</f>
        <v>资产处置收益（损失以“-”号填列）</v>
      </c>
      <c r="D39" s="1081"/>
      <c r="E39" s="1079"/>
      <c r="F39" s="1080">
        <f>IF($B39="","",IF(ISERROR(VLOOKUP($B39,Sheet_Balance1,2,0)),0,VLOOKUP($B39,Sheet_Balance1,2,0)))</f>
        <v>456.04</v>
      </c>
      <c r="G39" s="641"/>
      <c r="H39" s="641">
        <v>14394.06</v>
      </c>
      <c r="I39" s="641"/>
      <c r="J39" s="641"/>
    </row>
    <row r="40" spans="1:10" ht="18">
      <c r="A40" s="2752" t="str">
        <f t="shared" si="0"/>
        <v>＝</v>
      </c>
      <c r="B40" s="2809">
        <v>6689</v>
      </c>
      <c r="C40" s="1143" t="str">
        <f>VLOOKUP($B40,Sheet_Items,7,0)</f>
        <v>三、营业利润（亏损以“-”号填列）</v>
      </c>
      <c r="D40" s="1081"/>
      <c r="E40" s="1079">
        <f>SUM(E10:E13)-SUM(E15:E27)+SUM(E30:E39)-SUM(E32,E33)</f>
        <v>-2303426.8199999998</v>
      </c>
      <c r="F40" s="1080">
        <f>SUM(F10:F13)-SUM(F15:F27)+SUM(F30:F39)-SUM(F32,F33)</f>
        <v>123376.75</v>
      </c>
      <c r="G40" s="641"/>
      <c r="H40" s="641"/>
      <c r="I40" s="641"/>
      <c r="J40" s="641"/>
    </row>
    <row r="41" spans="1:10" ht="18">
      <c r="A41" s="2752">
        <f t="shared" si="0"/>
        <v>0</v>
      </c>
      <c r="B41" s="2809">
        <v>6710</v>
      </c>
      <c r="C41" s="975" t="str">
        <f t="shared" si="1"/>
        <v>加：营业外收入</v>
      </c>
      <c r="D41" s="1081" t="s">
        <v>6818</v>
      </c>
      <c r="E41" s="1079">
        <v>575901.06000000006</v>
      </c>
      <c r="F41" s="1080">
        <f>IF($B41="","",IF(ISERROR(VLOOKUP($B41,Sheet_Balance1,2,0)),0,VLOOKUP($B41,Sheet_Balance1,2,0)))</f>
        <v>0</v>
      </c>
      <c r="G41" s="641"/>
      <c r="H41" s="641">
        <v>-523724.98</v>
      </c>
      <c r="I41" s="641"/>
      <c r="J41" s="641"/>
    </row>
    <row r="42" spans="1:10" ht="18">
      <c r="A42" s="2752">
        <f t="shared" si="0"/>
        <v>0</v>
      </c>
      <c r="B42" s="2809">
        <v>6711</v>
      </c>
      <c r="C42" s="975" t="str">
        <f t="shared" si="1"/>
        <v>减：营业外支出</v>
      </c>
      <c r="D42" s="1081" t="s">
        <v>6818</v>
      </c>
      <c r="E42" s="1079">
        <v>21970.3</v>
      </c>
      <c r="F42" s="1080">
        <f>IF($B42="","",IF(ISERROR(VLOOKUP($B42,Sheet_Balance1,2,0)),0,VLOOKUP($B42,Sheet_Balance1,2,0)))</f>
        <v>88651.11</v>
      </c>
      <c r="G42" s="641"/>
      <c r="H42" s="641"/>
      <c r="I42" s="641"/>
      <c r="J42" s="641"/>
    </row>
    <row r="43" spans="1:10" ht="18">
      <c r="A43" s="2752" t="str">
        <f t="shared" si="0"/>
        <v>＝</v>
      </c>
      <c r="B43" s="2809">
        <v>6788</v>
      </c>
      <c r="C43" s="1144" t="str">
        <f>VLOOKUP($B43,Sheet_Items,7,0)</f>
        <v>四、利润总额（亏损总额以“-”号填列）</v>
      </c>
      <c r="D43" s="1081"/>
      <c r="E43" s="1082">
        <f>SUM(E40,E41,-E42)</f>
        <v>-1749496.06</v>
      </c>
      <c r="F43" s="1083">
        <f>SUM(F40,F41,-F42)</f>
        <v>34725.64</v>
      </c>
      <c r="G43" s="641"/>
      <c r="H43" s="641"/>
      <c r="I43" s="641"/>
      <c r="J43" s="641"/>
    </row>
    <row r="44" spans="1:10" ht="18">
      <c r="A44" s="2752">
        <f t="shared" si="0"/>
        <v>0</v>
      </c>
      <c r="B44" s="2809">
        <v>6791</v>
      </c>
      <c r="C44" s="975" t="str">
        <f t="shared" si="1"/>
        <v>减：所得税费用</v>
      </c>
      <c r="D44" s="1081" t="s">
        <v>6818</v>
      </c>
      <c r="E44" s="1079">
        <v>-1829960.03</v>
      </c>
      <c r="F44" s="1080">
        <f>IF($B44="","",IF(ISERROR(VLOOKUP($B44,Sheet_Balance1,2,0)),0,VLOOKUP($B44,Sheet_Balance1,2,0)))</f>
        <v>-485503.27</v>
      </c>
      <c r="G44" s="641"/>
      <c r="H44" s="641"/>
      <c r="I44" s="641"/>
      <c r="J44" s="641"/>
    </row>
    <row r="45" spans="1:10" ht="18">
      <c r="A45" s="2752" t="str">
        <f t="shared" si="0"/>
        <v>＝</v>
      </c>
      <c r="B45" s="2809">
        <v>6799</v>
      </c>
      <c r="C45" s="1144" t="str">
        <f>VLOOKUP($B45,Sheet_Items,7,0)</f>
        <v>五、净利润（净亏损以“-”号填列）</v>
      </c>
      <c r="D45" s="1081"/>
      <c r="E45" s="1082">
        <f>SUM(E43,-E44)</f>
        <v>80463.97</v>
      </c>
      <c r="F45" s="1083">
        <f>SUM(F43,-F44)</f>
        <v>520228.91</v>
      </c>
      <c r="G45" s="641"/>
      <c r="H45" s="641"/>
      <c r="I45" s="641"/>
      <c r="J45" s="641"/>
    </row>
    <row r="46" spans="1:10" ht="18">
      <c r="A46" s="2752" t="str">
        <f t="shared" ref="A46:A51" si="3">VLOOKUP($B46,Sheet_Items,4,0)</f>
        <v>※</v>
      </c>
      <c r="B46" s="2809">
        <v>6835</v>
      </c>
      <c r="C46" s="1145" t="str">
        <f t="shared" ref="C46:C51" si="4">VLOOKUP($B46,Sheet_Items,7,0)</f>
        <v>（一）按经营持续性分类</v>
      </c>
      <c r="D46" s="1081" t="s">
        <v>19</v>
      </c>
      <c r="E46" s="1079" t="s">
        <v>19</v>
      </c>
      <c r="F46" s="1080">
        <f>IF($B46="","",IF(ISERROR(VLOOKUP($B46,Sheet_Balance1,2,0)),0,VLOOKUP($B46,Sheet_Balance1,2,0)))</f>
        <v>0</v>
      </c>
      <c r="G46" s="641"/>
      <c r="H46" s="641"/>
      <c r="I46" s="641"/>
      <c r="J46" s="641"/>
    </row>
    <row r="47" spans="1:10" ht="18">
      <c r="A47" s="2752">
        <f t="shared" si="3"/>
        <v>0</v>
      </c>
      <c r="B47" s="2809">
        <v>6816</v>
      </c>
      <c r="C47" s="975" t="str">
        <f t="shared" si="4"/>
        <v>1.持续经营净利润（净亏损以“-”号填列）</v>
      </c>
      <c r="D47" s="1081" t="s">
        <v>19</v>
      </c>
      <c r="E47" s="1079">
        <f>E45</f>
        <v>80463.97</v>
      </c>
      <c r="F47" s="1080">
        <f>F45</f>
        <v>520228.91</v>
      </c>
      <c r="G47" s="641"/>
      <c r="H47" s="641"/>
      <c r="I47" s="641"/>
      <c r="J47" s="641"/>
    </row>
    <row r="48" spans="1:10" ht="18">
      <c r="A48" s="2752">
        <f t="shared" si="3"/>
        <v>0</v>
      </c>
      <c r="B48" s="2809">
        <v>6817</v>
      </c>
      <c r="C48" s="975" t="str">
        <f t="shared" si="4"/>
        <v>2.终止经营净利润（净亏损以“-”号填列）</v>
      </c>
      <c r="D48" s="1081" t="s">
        <v>19</v>
      </c>
      <c r="E48" s="1079"/>
      <c r="F48" s="1080">
        <f>IF($B48="","",IF(ISERROR(VLOOKUP($B48,Sheet_Balance1,2,0)),0,VLOOKUP($B48,Sheet_Balance1,2,0)))</f>
        <v>0</v>
      </c>
      <c r="G48" s="641"/>
      <c r="H48" s="641"/>
      <c r="I48" s="641"/>
      <c r="J48" s="641"/>
    </row>
    <row r="49" spans="1:10" ht="18">
      <c r="A49" s="2752" t="str">
        <f t="shared" si="3"/>
        <v>※</v>
      </c>
      <c r="B49" s="2809">
        <v>6830</v>
      </c>
      <c r="C49" s="1145" t="str">
        <f t="shared" si="4"/>
        <v>（二）按所有权归属分类</v>
      </c>
      <c r="D49" s="1081" t="s">
        <v>19</v>
      </c>
      <c r="E49" s="1082" t="s">
        <v>19</v>
      </c>
      <c r="F49" s="1083">
        <f>IF($B49="","",IF(ISERROR(VLOOKUP($B49,Sheet_Balance1,2,0)),0,VLOOKUP($B49,Sheet_Balance1,2,0)))</f>
        <v>0</v>
      </c>
      <c r="G49" s="641"/>
      <c r="H49" s="641"/>
      <c r="I49" s="641"/>
      <c r="J49" s="641"/>
    </row>
    <row r="50" spans="1:10" ht="24">
      <c r="A50" s="2752" t="str">
        <f>VLOOKUP($B50,Sheet_Items,4,0)</f>
        <v>※</v>
      </c>
      <c r="B50" s="2809">
        <v>6811</v>
      </c>
      <c r="C50" s="975" t="str">
        <f>VLOOKUP($B50,Sheet_Items,6,0)</f>
        <v>1.归属于母公司所有者的净利润（净亏损以“-”号填列）</v>
      </c>
      <c r="D50" s="1081"/>
      <c r="E50" s="1079">
        <f>SUM(E45)</f>
        <v>80463.97</v>
      </c>
      <c r="F50" s="1080">
        <f>SUM(F45)</f>
        <v>520228.91</v>
      </c>
      <c r="G50" s="641"/>
      <c r="H50" s="641"/>
      <c r="I50" s="641"/>
      <c r="J50" s="641"/>
    </row>
    <row r="51" spans="1:10" ht="18">
      <c r="A51" s="2752" t="str">
        <f t="shared" si="3"/>
        <v>※</v>
      </c>
      <c r="B51" s="2809">
        <v>6812</v>
      </c>
      <c r="C51" s="975" t="str">
        <f t="shared" si="4"/>
        <v>2.少数股东损益（净亏损以“-”号填列）</v>
      </c>
      <c r="D51" s="1081"/>
      <c r="E51" s="1079"/>
      <c r="F51" s="1080">
        <f>IF($B51="","",IF(ISERROR(VLOOKUP($B51,Sheet_Balance1,2,0)),0,VLOOKUP($B51,Sheet_Balance1,2,0)))</f>
        <v>0</v>
      </c>
      <c r="G51" s="641"/>
      <c r="H51" s="641"/>
      <c r="I51" s="641"/>
      <c r="J51" s="641"/>
    </row>
    <row r="52" spans="1:10" ht="18">
      <c r="A52" s="2752" t="str">
        <f t="shared" si="0"/>
        <v>＝</v>
      </c>
      <c r="B52" s="2809">
        <v>6829</v>
      </c>
      <c r="C52" s="1144" t="str">
        <f t="shared" ref="C52:C75" si="5">VLOOKUP($B52,Sheet_Items,7,0)</f>
        <v>六、其他综合收益的税后净额</v>
      </c>
      <c r="D52" s="1081"/>
      <c r="E52" s="1082">
        <f>SUM(E53,E73)</f>
        <v>0</v>
      </c>
      <c r="F52" s="1083">
        <f>SUM(F53,F73)</f>
        <v>0</v>
      </c>
      <c r="G52" s="641"/>
      <c r="H52" s="641"/>
      <c r="I52" s="641"/>
      <c r="J52" s="641"/>
    </row>
    <row r="53" spans="1:10" ht="18">
      <c r="A53" s="2752" t="str">
        <f t="shared" si="0"/>
        <v>※</v>
      </c>
      <c r="B53" s="2828">
        <v>6829.2</v>
      </c>
      <c r="C53" s="975" t="str">
        <f t="shared" si="5"/>
        <v>（一）归属于母公司所有者的其他综合收益的税后净额</v>
      </c>
      <c r="D53" s="1146"/>
      <c r="E53" s="1147">
        <f>SUM(E54,E60)</f>
        <v>0</v>
      </c>
      <c r="F53" s="1148">
        <f>SUM(F54,F60)</f>
        <v>0</v>
      </c>
      <c r="G53" s="641"/>
      <c r="H53" s="641"/>
      <c r="I53" s="641"/>
      <c r="J53" s="641"/>
    </row>
    <row r="54" spans="1:10" ht="18">
      <c r="A54" s="2752" t="str">
        <f t="shared" si="0"/>
        <v>＝</v>
      </c>
      <c r="B54" s="2828">
        <v>6829.21</v>
      </c>
      <c r="C54" s="975" t="str">
        <f t="shared" si="5"/>
        <v>1.不能重分类进损益的其他综合收益</v>
      </c>
      <c r="D54" s="1146"/>
      <c r="E54" s="1149">
        <f>SUM(E55:E59)</f>
        <v>0</v>
      </c>
      <c r="F54" s="1150">
        <f>SUM(F55:F59)</f>
        <v>0</v>
      </c>
      <c r="G54" s="641"/>
      <c r="H54" s="641"/>
      <c r="I54" s="641"/>
      <c r="J54" s="641"/>
    </row>
    <row r="55" spans="1:10" ht="18">
      <c r="A55" s="2752" t="str">
        <f t="shared" si="0"/>
        <v>Ｘ</v>
      </c>
      <c r="B55" s="2828">
        <v>6829.2110000000002</v>
      </c>
      <c r="C55" s="1655" t="str">
        <f t="shared" si="5"/>
        <v>重新计量设定受益计划变动额</v>
      </c>
      <c r="D55" s="1146"/>
      <c r="E55" s="1147"/>
      <c r="F55" s="1148">
        <f>IF($B55="","",IF(ISERROR(VLOOKUP($B55,Sheet_Balance1,2,0)),0,VLOOKUP($B55,Sheet_Balance1,2,0)))</f>
        <v>0</v>
      </c>
      <c r="G55" s="641"/>
      <c r="H55" s="641"/>
      <c r="I55" s="641"/>
      <c r="J55" s="641"/>
    </row>
    <row r="56" spans="1:10" ht="18">
      <c r="A56" s="2752" t="str">
        <f t="shared" si="0"/>
        <v>Ｘ</v>
      </c>
      <c r="B56" s="2828">
        <v>6829.2120000000004</v>
      </c>
      <c r="C56" s="1655" t="str">
        <f t="shared" si="5"/>
        <v>权益法下不能转损益的其他综合收益</v>
      </c>
      <c r="D56" s="1146"/>
      <c r="E56" s="1147"/>
      <c r="F56" s="1148">
        <f>IF($B56="","",IF(ISERROR(VLOOKUP($B56,Sheet_Balance1,2,0)),0,VLOOKUP($B56,Sheet_Balance1,2,0)))</f>
        <v>0</v>
      </c>
      <c r="G56" s="641"/>
      <c r="H56" s="641"/>
      <c r="I56" s="641"/>
      <c r="J56" s="641"/>
    </row>
    <row r="57" spans="1:10" ht="18">
      <c r="A57" s="2752" t="str">
        <f>VLOOKUP($B57,Sheet_Items,4,0)</f>
        <v>_JR</v>
      </c>
      <c r="B57" s="2828" t="s">
        <v>865</v>
      </c>
      <c r="C57" s="1655" t="str">
        <f t="shared" si="5"/>
        <v>其他权益工具投资公允价值变动</v>
      </c>
      <c r="D57" s="1146"/>
      <c r="E57" s="1147"/>
      <c r="F57" s="1148">
        <f>IF($B57="","",IF(ISERROR(VLOOKUP($B57,Sheet_Balance1,2,0)),0,VLOOKUP($B57,Sheet_Balance1,2,0)))</f>
        <v>0</v>
      </c>
      <c r="G57" s="641"/>
      <c r="H57" s="641"/>
      <c r="I57" s="641"/>
      <c r="J57" s="641"/>
    </row>
    <row r="58" spans="1:10" ht="18">
      <c r="A58" s="2752" t="str">
        <f>VLOOKUP($B58,Sheet_Items,4,0)</f>
        <v>_JR</v>
      </c>
      <c r="B58" s="2828" t="s">
        <v>869</v>
      </c>
      <c r="C58" s="1655" t="str">
        <f t="shared" si="5"/>
        <v>企业自身信用风险公允价值变动</v>
      </c>
      <c r="D58" s="1146"/>
      <c r="E58" s="1147"/>
      <c r="F58" s="1148">
        <f>IF($B58="","",IF(ISERROR(VLOOKUP($B58,Sheet_Balance1,2,0)),0,VLOOKUP($B58,Sheet_Balance1,2,0)))</f>
        <v>0</v>
      </c>
      <c r="G58" s="641"/>
      <c r="H58" s="641"/>
      <c r="I58" s="641"/>
      <c r="J58" s="641"/>
    </row>
    <row r="59" spans="1:10" ht="18">
      <c r="A59" s="2752">
        <f t="shared" si="0"/>
        <v>0</v>
      </c>
      <c r="B59" s="2828">
        <v>6829.2190000000001</v>
      </c>
      <c r="C59" s="1655" t="str">
        <f t="shared" si="5"/>
        <v>其他</v>
      </c>
      <c r="D59" s="1146"/>
      <c r="E59" s="1147"/>
      <c r="F59" s="1148">
        <f>IF($B59="","",IF(ISERROR(VLOOKUP($B59,Sheet_Balance1,2,0)),0,VLOOKUP($B59,Sheet_Balance1,2,0)))</f>
        <v>0</v>
      </c>
      <c r="G59" s="641"/>
      <c r="H59" s="641"/>
      <c r="I59" s="641"/>
      <c r="J59" s="641"/>
    </row>
    <row r="60" spans="1:10" ht="18">
      <c r="A60" s="2752" t="str">
        <f t="shared" si="0"/>
        <v>＝</v>
      </c>
      <c r="B60" s="2828">
        <v>6829.23</v>
      </c>
      <c r="C60" s="975" t="str">
        <f t="shared" si="5"/>
        <v>2.将重分类进损益的其他综合收益</v>
      </c>
      <c r="D60" s="1146"/>
      <c r="E60" s="1149">
        <f>SUM(E61:E72)</f>
        <v>0</v>
      </c>
      <c r="F60" s="1150">
        <f>SUM(F61:F72)</f>
        <v>0</v>
      </c>
      <c r="G60" s="641"/>
      <c r="H60" s="641"/>
      <c r="I60" s="641"/>
      <c r="J60" s="641"/>
    </row>
    <row r="61" spans="1:10" ht="18">
      <c r="A61" s="2752" t="str">
        <f t="shared" si="0"/>
        <v>Ｘ</v>
      </c>
      <c r="B61" s="2828">
        <v>6829.2309999999998</v>
      </c>
      <c r="C61" s="1655" t="str">
        <f t="shared" si="5"/>
        <v>权益法下可转损益的其他综合收益</v>
      </c>
      <c r="D61" s="1146"/>
      <c r="E61" s="1147"/>
      <c r="F61" s="1148">
        <f t="shared" ref="F61:F73" si="6">IF($B61="","",IF(ISERROR(VLOOKUP($B61,Sheet_Balance1,2,0)),0,VLOOKUP($B61,Sheet_Balance1,2,0)))</f>
        <v>0</v>
      </c>
      <c r="G61" s="641"/>
      <c r="H61" s="641"/>
      <c r="I61" s="641"/>
      <c r="J61" s="641"/>
    </row>
    <row r="62" spans="1:10" ht="18">
      <c r="A62" s="2752" t="str">
        <f t="shared" ref="A62:A67" si="7">VLOOKUP($B62,Sheet_Items,4,0)</f>
        <v>_JR</v>
      </c>
      <c r="B62" s="2828" t="s">
        <v>916</v>
      </c>
      <c r="C62" s="1655" t="str">
        <f t="shared" si="5"/>
        <v>其他债权投资公允价值变动</v>
      </c>
      <c r="D62" s="1146"/>
      <c r="E62" s="1147"/>
      <c r="F62" s="1148">
        <f t="shared" si="6"/>
        <v>0</v>
      </c>
      <c r="G62" s="641"/>
      <c r="H62" s="641"/>
      <c r="I62" s="641"/>
      <c r="J62" s="641"/>
    </row>
    <row r="63" spans="1:10" ht="18">
      <c r="A63" s="2752" t="str">
        <f t="shared" si="7"/>
        <v>ＸJRH</v>
      </c>
      <c r="B63" s="2828">
        <v>6829.232</v>
      </c>
      <c r="C63" s="1655" t="str">
        <f t="shared" si="5"/>
        <v>可供出售金融资产公允价值变动损益</v>
      </c>
      <c r="D63" s="1146"/>
      <c r="E63" s="1147"/>
      <c r="F63" s="1148">
        <f t="shared" si="6"/>
        <v>0</v>
      </c>
      <c r="G63" s="641"/>
      <c r="H63" s="641"/>
      <c r="I63" s="641"/>
      <c r="J63" s="641"/>
    </row>
    <row r="64" spans="1:10" ht="18">
      <c r="A64" s="2752" t="str">
        <f t="shared" si="7"/>
        <v>_JR</v>
      </c>
      <c r="B64" s="2828" t="s">
        <v>922</v>
      </c>
      <c r="C64" s="1655" t="str">
        <f t="shared" si="5"/>
        <v>金融资产重分类计入其他综合收益的金额</v>
      </c>
      <c r="D64" s="1146"/>
      <c r="E64" s="1147"/>
      <c r="F64" s="1148">
        <f t="shared" si="6"/>
        <v>0</v>
      </c>
      <c r="G64" s="641"/>
      <c r="H64" s="641"/>
      <c r="I64" s="641"/>
      <c r="J64" s="641"/>
    </row>
    <row r="65" spans="1:10" ht="18">
      <c r="A65" s="2752" t="str">
        <f t="shared" si="7"/>
        <v>ＸJRH</v>
      </c>
      <c r="B65" s="2828">
        <v>6829.2330000000002</v>
      </c>
      <c r="C65" s="1655" t="str">
        <f t="shared" si="5"/>
        <v>持有至到期投资重分类为可供出售金融资产损益</v>
      </c>
      <c r="D65" s="1146"/>
      <c r="E65" s="1147"/>
      <c r="F65" s="1148">
        <f t="shared" si="6"/>
        <v>0</v>
      </c>
      <c r="G65" s="641"/>
      <c r="H65" s="641"/>
      <c r="I65" s="641"/>
      <c r="J65" s="641"/>
    </row>
    <row r="66" spans="1:10" ht="18">
      <c r="A66" s="2752" t="str">
        <f t="shared" si="7"/>
        <v>_JR</v>
      </c>
      <c r="B66" s="2828" t="s">
        <v>927</v>
      </c>
      <c r="C66" s="1655" t="str">
        <f t="shared" si="5"/>
        <v>其他债权投资信用减值准备</v>
      </c>
      <c r="D66" s="1146"/>
      <c r="E66" s="1147"/>
      <c r="F66" s="1148">
        <f t="shared" si="6"/>
        <v>0</v>
      </c>
      <c r="G66" s="641"/>
      <c r="H66" s="641"/>
      <c r="I66" s="641"/>
      <c r="J66" s="641"/>
    </row>
    <row r="67" spans="1:10" ht="18">
      <c r="A67" s="2752" t="str">
        <f t="shared" si="7"/>
        <v>_JR</v>
      </c>
      <c r="B67" s="2828" t="s">
        <v>930</v>
      </c>
      <c r="C67" s="1655" t="str">
        <f t="shared" si="5"/>
        <v>现金流量套期储备</v>
      </c>
      <c r="D67" s="1146"/>
      <c r="E67" s="1147"/>
      <c r="F67" s="1148">
        <f t="shared" si="6"/>
        <v>0</v>
      </c>
      <c r="G67" s="641"/>
      <c r="H67" s="641"/>
      <c r="I67" s="641"/>
      <c r="J67" s="641"/>
    </row>
    <row r="68" spans="1:10" ht="18">
      <c r="A68" s="2752" t="str">
        <f t="shared" si="0"/>
        <v>ＸJRH</v>
      </c>
      <c r="B68" s="2828">
        <v>6829.2340000000004</v>
      </c>
      <c r="C68" s="1655" t="str">
        <f t="shared" si="5"/>
        <v>现金流量套期损益的有效部分</v>
      </c>
      <c r="D68" s="1146"/>
      <c r="E68" s="1147"/>
      <c r="F68" s="1148">
        <f t="shared" si="6"/>
        <v>0</v>
      </c>
      <c r="G68" s="641"/>
      <c r="H68" s="641"/>
      <c r="I68" s="641"/>
      <c r="J68" s="641"/>
    </row>
    <row r="69" spans="1:10" ht="18">
      <c r="A69" s="2752" t="str">
        <f t="shared" si="0"/>
        <v>Ｘ</v>
      </c>
      <c r="B69" s="2828">
        <v>6829.2349999999997</v>
      </c>
      <c r="C69" s="1655" t="str">
        <f t="shared" si="5"/>
        <v>外币财务报表折算差额</v>
      </c>
      <c r="D69" s="1146"/>
      <c r="E69" s="1147"/>
      <c r="F69" s="1148">
        <f t="shared" si="6"/>
        <v>0</v>
      </c>
      <c r="G69" s="641"/>
      <c r="H69" s="641"/>
      <c r="I69" s="641"/>
      <c r="J69" s="641"/>
    </row>
    <row r="70" spans="1:10" ht="36">
      <c r="A70" s="2752" t="str">
        <f t="shared" si="0"/>
        <v>Ｘ</v>
      </c>
      <c r="B70" s="2828">
        <v>6829.2359999999999</v>
      </c>
      <c r="C70" s="1655" t="str">
        <f t="shared" si="5"/>
        <v>自用房地产或作为存货的房地产转换为以公允价值计量的投资性房地产在转换日公允价值大于账面价值部分</v>
      </c>
      <c r="D70" s="1146"/>
      <c r="E70" s="1147"/>
      <c r="F70" s="1148">
        <f t="shared" si="6"/>
        <v>0</v>
      </c>
      <c r="G70" s="641"/>
      <c r="H70" s="641"/>
      <c r="I70" s="641"/>
      <c r="J70" s="641"/>
    </row>
    <row r="71" spans="1:10" ht="36">
      <c r="A71" s="2752" t="str">
        <f t="shared" si="0"/>
        <v>Ｘ</v>
      </c>
      <c r="B71" s="2828">
        <v>6829.2370000000001</v>
      </c>
      <c r="C71" s="1655" t="str">
        <f t="shared" si="5"/>
        <v>多次交易分步处置子公司股权构成一揽子交易的丧失控制权之前各次交易处置价款与对应净资产账面价值份额的差额</v>
      </c>
      <c r="D71" s="1146"/>
      <c r="E71" s="1147"/>
      <c r="F71" s="1148">
        <f t="shared" si="6"/>
        <v>0</v>
      </c>
      <c r="G71" s="641"/>
      <c r="H71" s="641"/>
      <c r="I71" s="641"/>
      <c r="J71" s="641"/>
    </row>
    <row r="72" spans="1:10" ht="18">
      <c r="A72" s="2752">
        <f t="shared" si="0"/>
        <v>0</v>
      </c>
      <c r="B72" s="2828">
        <v>6829.2389999999996</v>
      </c>
      <c r="C72" s="1655" t="str">
        <f t="shared" si="5"/>
        <v>其他</v>
      </c>
      <c r="D72" s="1146"/>
      <c r="E72" s="1147"/>
      <c r="F72" s="1148">
        <f t="shared" si="6"/>
        <v>0</v>
      </c>
      <c r="G72" s="641"/>
      <c r="H72" s="641"/>
      <c r="I72" s="641"/>
      <c r="J72" s="641"/>
    </row>
    <row r="73" spans="1:10" ht="18">
      <c r="A73" s="2752" t="str">
        <f t="shared" si="0"/>
        <v>※</v>
      </c>
      <c r="B73" s="2828">
        <v>6829.5</v>
      </c>
      <c r="C73" s="975" t="str">
        <f t="shared" si="5"/>
        <v>（二）归属于少数股东的其他综合收益的税后净额</v>
      </c>
      <c r="D73" s="1146"/>
      <c r="E73" s="1147"/>
      <c r="F73" s="1148">
        <f t="shared" si="6"/>
        <v>0</v>
      </c>
      <c r="G73" s="641"/>
      <c r="H73" s="641"/>
      <c r="I73" s="641"/>
      <c r="J73" s="641"/>
    </row>
    <row r="74" spans="1:10" ht="18">
      <c r="A74" s="2752" t="str">
        <f t="shared" si="0"/>
        <v>＝</v>
      </c>
      <c r="B74" s="2809">
        <v>6839</v>
      </c>
      <c r="C74" s="1144" t="str">
        <f t="shared" si="5"/>
        <v>七、综合收益总额</v>
      </c>
      <c r="D74" s="1081"/>
      <c r="E74" s="1082">
        <f>SUM(E45,E52)</f>
        <v>80463.97</v>
      </c>
      <c r="F74" s="1083">
        <f>SUM(F45,F52)</f>
        <v>520228.91</v>
      </c>
      <c r="G74" s="641"/>
      <c r="H74" s="641"/>
      <c r="I74" s="641"/>
      <c r="J74" s="641"/>
    </row>
    <row r="75" spans="1:10" ht="18">
      <c r="A75" s="2752" t="str">
        <f t="shared" si="0"/>
        <v>※</v>
      </c>
      <c r="B75" s="2809">
        <v>6841</v>
      </c>
      <c r="C75" s="1151" t="str">
        <f t="shared" si="5"/>
        <v>（一）归属于母公司所有者的综合收益总额</v>
      </c>
      <c r="D75" s="1152"/>
      <c r="E75" s="1153">
        <f>SUM(E50,E53)</f>
        <v>80463.97</v>
      </c>
      <c r="F75" s="1154">
        <f>SUM(F50,F53)</f>
        <v>520228.91</v>
      </c>
      <c r="G75" s="641"/>
      <c r="H75" s="641"/>
      <c r="I75" s="641"/>
      <c r="J75" s="641"/>
    </row>
    <row r="76" spans="1:10" ht="18">
      <c r="A76" s="2752" t="str">
        <f t="shared" si="0"/>
        <v>※</v>
      </c>
      <c r="B76" s="2809">
        <v>6842</v>
      </c>
      <c r="C76" s="1151" t="str">
        <f t="shared" si="1"/>
        <v>（二）归属于少数股东的综合收益总额</v>
      </c>
      <c r="D76" s="1152"/>
      <c r="E76" s="1155">
        <f>SUM(E51,E73)</f>
        <v>0</v>
      </c>
      <c r="F76" s="1156">
        <f>SUM(F51,F73)</f>
        <v>0</v>
      </c>
      <c r="G76" s="641"/>
      <c r="H76" s="641"/>
      <c r="I76" s="641"/>
      <c r="J76" s="641"/>
    </row>
    <row r="77" spans="1:10" ht="18">
      <c r="A77" s="2752" t="str">
        <f t="shared" si="0"/>
        <v>：</v>
      </c>
      <c r="B77" s="2809">
        <v>6820</v>
      </c>
      <c r="C77" s="1144" t="str">
        <f>VLOOKUP($B77,Sheet_Items,7,0)</f>
        <v>八、每股收益</v>
      </c>
      <c r="D77" s="1081"/>
      <c r="E77" s="1082"/>
      <c r="F77" s="1083">
        <f>IF($B77="","",IF(ISERROR(VLOOKUP($B77,Sheet_Balance1,2,0)),0,VLOOKUP($B77,Sheet_Balance1,2,0)))</f>
        <v>0</v>
      </c>
      <c r="G77" s="641"/>
      <c r="H77" s="641"/>
      <c r="I77" s="641"/>
      <c r="J77" s="641"/>
    </row>
    <row r="78" spans="1:10" ht="18">
      <c r="A78" s="2752">
        <f t="shared" si="0"/>
        <v>0</v>
      </c>
      <c r="B78" s="2809">
        <v>6821</v>
      </c>
      <c r="C78" s="1145" t="str">
        <f t="shared" si="1"/>
        <v>（一）基本每股收益（元/股）</v>
      </c>
      <c r="D78" s="1081"/>
      <c r="E78" s="1079"/>
      <c r="F78" s="1080">
        <f>IF($B78="","",IF(ISERROR(VLOOKUP($B78,Sheet_Balance1,2,0)),0,VLOOKUP($B78,Sheet_Balance1,2,0)))</f>
        <v>0</v>
      </c>
      <c r="G78" s="641"/>
      <c r="H78" s="641"/>
      <c r="I78" s="641"/>
      <c r="J78" s="641"/>
    </row>
    <row r="79" spans="1:10" ht="18">
      <c r="A79" s="2752">
        <f t="shared" si="0"/>
        <v>0</v>
      </c>
      <c r="B79" s="2809">
        <v>6822</v>
      </c>
      <c r="C79" s="1157" t="str">
        <f t="shared" si="1"/>
        <v>（二）稀释每股收益（元/股）</v>
      </c>
      <c r="D79" s="1158"/>
      <c r="E79" s="1159"/>
      <c r="F79" s="1160">
        <f>IF($B79="","",IF(ISERROR(VLOOKUP($B79,Sheet_Balance1,2,0)),0,VLOOKUP($B79,Sheet_Balance1,2,0)))</f>
        <v>0</v>
      </c>
      <c r="G79" s="641"/>
      <c r="H79" s="641"/>
      <c r="I79" s="641"/>
      <c r="J79" s="641"/>
    </row>
    <row r="80" spans="1:10" ht="18">
      <c r="A80" s="2749"/>
      <c r="B80" s="2752"/>
      <c r="C80" s="1652" t="s">
        <v>5648</v>
      </c>
      <c r="D80" s="641"/>
      <c r="E80" s="641"/>
      <c r="F80" s="641" t="str">
        <f>IF($B80="","",IF(ISERROR(VLOOKUP($B80,Sheet_Balance1,2,0)),0,VLOOKUP($B80,Sheet_Balance1,2,0)))</f>
        <v/>
      </c>
      <c r="G80" s="641"/>
      <c r="H80" s="641"/>
      <c r="I80" s="641"/>
      <c r="J80" s="641"/>
    </row>
    <row r="81" spans="1:12" ht="18">
      <c r="A81" s="2749"/>
      <c r="B81" s="2752"/>
      <c r="C81" s="833" t="str">
        <f>Lead!$B$8&amp;"："&amp;Lead!$C$8&amp;REPT(" ",20)&amp;Lead!$B$9&amp;"："&amp;Lead!$C$9&amp;REPT(" ",20)&amp;Lead!$B$10&amp;"："&amp;Lead!$C$10</f>
        <v>法定代表人：                    主管会计工作负责人：                    会计机构负责人：</v>
      </c>
      <c r="D81" s="745"/>
      <c r="E81" s="745"/>
      <c r="F81" s="745"/>
      <c r="G81" s="641"/>
      <c r="H81" s="641"/>
      <c r="I81" s="641"/>
      <c r="J81" s="641"/>
    </row>
    <row r="82" spans="1:12" ht="18">
      <c r="A82" s="2749"/>
      <c r="B82" s="2752"/>
      <c r="G82" s="641"/>
      <c r="H82" s="641"/>
      <c r="I82" s="641"/>
      <c r="J82" s="641"/>
    </row>
    <row r="83" spans="1:12">
      <c r="A83" s="2749"/>
      <c r="B83" s="2749"/>
      <c r="G83" s="641"/>
      <c r="H83" s="641"/>
      <c r="I83" s="641"/>
      <c r="J83" s="641"/>
    </row>
    <row r="84" spans="1:12">
      <c r="A84" s="2749"/>
      <c r="B84" s="2749"/>
      <c r="G84" s="641"/>
      <c r="H84" s="641"/>
      <c r="I84" s="641"/>
      <c r="J84" s="641"/>
    </row>
    <row r="85" spans="1:12" s="963" customFormat="1" ht="18" customHeight="1">
      <c r="A85" s="2812" t="s">
        <v>2565</v>
      </c>
      <c r="B85" s="2813"/>
      <c r="C85" s="1161" t="s">
        <v>2566</v>
      </c>
      <c r="D85" s="1162"/>
      <c r="E85" s="1163"/>
      <c r="F85" s="1164"/>
      <c r="G85" s="1115"/>
      <c r="H85" s="1115"/>
      <c r="I85" s="1115"/>
      <c r="J85" s="1115"/>
      <c r="K85" s="1188"/>
      <c r="L85" s="1188"/>
    </row>
    <row r="86" spans="1:12" s="963" customFormat="1" ht="18" customHeight="1">
      <c r="A86" s="2812" t="s">
        <v>2565</v>
      </c>
      <c r="B86" s="2813"/>
      <c r="C86" s="1165" t="s">
        <v>47</v>
      </c>
      <c r="D86" s="1166"/>
      <c r="E86" s="1167" t="s">
        <v>2577</v>
      </c>
      <c r="F86" s="1168" t="s">
        <v>2578</v>
      </c>
      <c r="G86" s="1115"/>
      <c r="H86" s="1115"/>
      <c r="I86" s="1115"/>
      <c r="J86" s="1115"/>
      <c r="K86" s="1188"/>
      <c r="L86" s="1188"/>
    </row>
    <row r="87" spans="1:12" ht="18">
      <c r="A87" s="2813" t="s">
        <v>2565</v>
      </c>
      <c r="B87" s="2812"/>
      <c r="C87" s="1119" t="s">
        <v>2571</v>
      </c>
      <c r="D87" s="1029"/>
      <c r="E87" s="1121"/>
      <c r="F87" s="1054"/>
      <c r="G87" s="709"/>
      <c r="H87" s="709"/>
      <c r="I87" s="709"/>
      <c r="J87" s="734"/>
      <c r="K87" s="1189"/>
      <c r="L87" s="753"/>
    </row>
    <row r="88" spans="1:12" ht="18">
      <c r="A88" s="2813" t="s">
        <v>2579</v>
      </c>
      <c r="B88" s="2812"/>
      <c r="C88" s="1169" t="str">
        <f>C45</f>
        <v>五、净利润（净亏损以“-”号填列）</v>
      </c>
      <c r="D88" s="1029" t="s">
        <v>441</v>
      </c>
      <c r="E88" s="1170">
        <f>E45</f>
        <v>80463.97</v>
      </c>
      <c r="F88" s="1171">
        <f>F45</f>
        <v>520228.91</v>
      </c>
      <c r="G88" s="709"/>
      <c r="H88" s="709"/>
      <c r="I88" s="709"/>
      <c r="J88" s="734"/>
      <c r="K88" s="1189"/>
      <c r="L88" s="1190"/>
    </row>
    <row r="89" spans="1:12" ht="24">
      <c r="A89" s="2813" t="s">
        <v>2579</v>
      </c>
      <c r="B89" s="2812"/>
      <c r="C89" s="1172" t="str">
        <f>C50&amp;" + "&amp;C51</f>
        <v>1.归属于母公司所有者的净利润（净亏损以“-”号填列） + 2.少数股东损益（净亏损以“-”号填列）</v>
      </c>
      <c r="D89" s="1029" t="s">
        <v>441</v>
      </c>
      <c r="E89" s="1170">
        <f>E50+E51</f>
        <v>80463.97</v>
      </c>
      <c r="F89" s="1171">
        <f>F50+F51</f>
        <v>520228.91</v>
      </c>
      <c r="G89" s="709"/>
      <c r="H89" s="709"/>
      <c r="I89" s="709"/>
      <c r="J89" s="734"/>
      <c r="K89" s="1189"/>
      <c r="L89" s="1190"/>
    </row>
    <row r="90" spans="1:12" ht="18">
      <c r="A90" s="2813" t="s">
        <v>2579</v>
      </c>
      <c r="B90" s="2812"/>
      <c r="C90" s="1173" t="s">
        <v>2580</v>
      </c>
      <c r="D90" s="1029"/>
      <c r="E90" s="1032">
        <f>ROUND(E88-E89,2)</f>
        <v>0</v>
      </c>
      <c r="F90" s="1056">
        <f>ROUND(F88-F89,2)</f>
        <v>0</v>
      </c>
      <c r="G90" s="709"/>
      <c r="H90" s="709"/>
      <c r="I90" s="709"/>
      <c r="J90" s="734"/>
      <c r="K90" s="1189"/>
      <c r="L90" s="1190"/>
    </row>
    <row r="91" spans="1:12" ht="18.75" thickTop="1">
      <c r="A91" s="2813" t="s">
        <v>2579</v>
      </c>
      <c r="B91" s="2812"/>
      <c r="C91" s="1174" t="s">
        <v>2581</v>
      </c>
      <c r="D91" s="1029"/>
      <c r="E91" s="1033" t="str">
        <f>IF(E90=0,"√","×")</f>
        <v>√</v>
      </c>
      <c r="F91" s="1057" t="str">
        <f>IF(F90=0,"√","×")</f>
        <v>√</v>
      </c>
      <c r="G91" s="709"/>
      <c r="H91" s="709"/>
      <c r="I91" s="709"/>
      <c r="J91" s="734"/>
      <c r="K91" s="1189"/>
      <c r="L91" s="1190"/>
    </row>
    <row r="92" spans="1:12" ht="18">
      <c r="A92" s="2813" t="s">
        <v>2565</v>
      </c>
      <c r="B92" s="2812"/>
      <c r="C92" s="1169" t="str">
        <f>C45</f>
        <v>五、净利润（净亏损以“-”号填列）</v>
      </c>
      <c r="D92" s="1029" t="s">
        <v>441</v>
      </c>
      <c r="E92" s="1170">
        <f>E45</f>
        <v>80463.97</v>
      </c>
      <c r="F92" s="1171">
        <f>F45</f>
        <v>520228.91</v>
      </c>
      <c r="G92" s="709"/>
      <c r="H92" s="709"/>
      <c r="I92" s="709"/>
      <c r="J92" s="734"/>
      <c r="K92" s="1189"/>
      <c r="L92" s="1190"/>
    </row>
    <row r="93" spans="1:12" ht="24">
      <c r="A93" s="2813" t="s">
        <v>2565</v>
      </c>
      <c r="B93" s="2812"/>
      <c r="C93" s="1172" t="str">
        <f>C47 &amp; " + " &amp;C48</f>
        <v>1.持续经营净利润（净亏损以“-”号填列） + 2.终止经营净利润（净亏损以“-”号填列）</v>
      </c>
      <c r="D93" s="1029" t="s">
        <v>441</v>
      </c>
      <c r="E93" s="1170">
        <f>E47</f>
        <v>80463.97</v>
      </c>
      <c r="F93" s="1171">
        <f>F47+F48</f>
        <v>520228.91</v>
      </c>
      <c r="G93" s="709"/>
      <c r="H93" s="709"/>
      <c r="I93" s="709"/>
      <c r="J93" s="734"/>
      <c r="K93" s="1189"/>
      <c r="L93" s="1190"/>
    </row>
    <row r="94" spans="1:12" ht="18.75" thickBot="1">
      <c r="A94" s="2813" t="s">
        <v>2565</v>
      </c>
      <c r="B94" s="2812"/>
      <c r="C94" s="1173" t="s">
        <v>2580</v>
      </c>
      <c r="D94" s="1029"/>
      <c r="E94" s="1032">
        <f>ROUND(E92-E93,2)</f>
        <v>0</v>
      </c>
      <c r="F94" s="1056">
        <f>ROUND(F92-F93,2)</f>
        <v>0</v>
      </c>
      <c r="G94" s="709"/>
      <c r="H94" s="709"/>
      <c r="I94" s="709"/>
      <c r="J94" s="734"/>
      <c r="K94" s="1189"/>
      <c r="L94" s="1190"/>
    </row>
    <row r="95" spans="1:12" ht="18.75" thickTop="1">
      <c r="A95" s="2813" t="s">
        <v>2565</v>
      </c>
      <c r="B95" s="2812"/>
      <c r="C95" s="1174" t="s">
        <v>2581</v>
      </c>
      <c r="D95" s="1029"/>
      <c r="E95" s="1033" t="str">
        <f>IF(E94=0,"√","×")</f>
        <v>√</v>
      </c>
      <c r="F95" s="1057" t="str">
        <f>IF(F94=0,"√","×")</f>
        <v>√</v>
      </c>
      <c r="G95" s="709"/>
      <c r="H95" s="709"/>
      <c r="I95" s="709"/>
      <c r="J95" s="734"/>
      <c r="K95" s="1189"/>
      <c r="L95" s="1190"/>
    </row>
    <row r="96" spans="1:12" ht="18">
      <c r="A96" s="2813" t="s">
        <v>2579</v>
      </c>
      <c r="B96" s="2812"/>
      <c r="C96" s="1169" t="str">
        <f>C74</f>
        <v>七、综合收益总额</v>
      </c>
      <c r="D96" s="1029" t="s">
        <v>441</v>
      </c>
      <c r="E96" s="1170">
        <f>E74</f>
        <v>80463.97</v>
      </c>
      <c r="F96" s="1055">
        <f>F74</f>
        <v>520228.91</v>
      </c>
      <c r="G96" s="709"/>
      <c r="H96" s="709"/>
      <c r="I96" s="709"/>
      <c r="J96" s="734"/>
      <c r="K96" s="1189"/>
      <c r="L96" s="1190"/>
    </row>
    <row r="97" spans="1:12" ht="24">
      <c r="A97" s="2813" t="s">
        <v>2579</v>
      </c>
      <c r="B97" s="2812"/>
      <c r="C97" s="1172" t="str">
        <f>C75&amp;" 加 "&amp;C76</f>
        <v>（一）归属于母公司所有者的综合收益总额 加 （二）归属于少数股东的综合收益总额</v>
      </c>
      <c r="D97" s="1029" t="s">
        <v>441</v>
      </c>
      <c r="E97" s="1170">
        <f>E75+E76</f>
        <v>80463.97</v>
      </c>
      <c r="F97" s="1171">
        <f>F75+F76</f>
        <v>520228.91</v>
      </c>
      <c r="G97" s="709"/>
      <c r="H97" s="709"/>
      <c r="I97" s="709"/>
      <c r="J97" s="734"/>
      <c r="K97" s="1189"/>
      <c r="L97" s="1190"/>
    </row>
    <row r="98" spans="1:12" ht="18">
      <c r="A98" s="2813" t="s">
        <v>2579</v>
      </c>
      <c r="B98" s="2812"/>
      <c r="C98" s="1173" t="s">
        <v>2580</v>
      </c>
      <c r="D98" s="1029"/>
      <c r="E98" s="1032">
        <f>ROUND(E96-E97,2)</f>
        <v>0</v>
      </c>
      <c r="F98" s="1056">
        <f>ROUND(F96-F97,2)</f>
        <v>0</v>
      </c>
      <c r="G98" s="709"/>
      <c r="H98" s="709"/>
      <c r="I98" s="641"/>
      <c r="J98" s="734"/>
      <c r="K98" s="1189"/>
      <c r="L98" s="1190"/>
    </row>
    <row r="99" spans="1:12" ht="18">
      <c r="A99" s="2813" t="s">
        <v>2565</v>
      </c>
      <c r="B99" s="2829"/>
      <c r="C99" s="1174" t="s">
        <v>2581</v>
      </c>
      <c r="D99" s="1029"/>
      <c r="E99" s="1033" t="str">
        <f>IF(E98=0,"√","×")</f>
        <v>√</v>
      </c>
      <c r="F99" s="1057" t="str">
        <f>IF(F98=0,"√","×")</f>
        <v>√</v>
      </c>
      <c r="G99" s="709"/>
      <c r="H99" s="709"/>
      <c r="I99" s="641"/>
      <c r="J99" s="734"/>
      <c r="K99" s="1189"/>
      <c r="L99" s="1190"/>
    </row>
    <row r="100" spans="1:12" ht="18">
      <c r="A100" s="2813" t="s">
        <v>2565</v>
      </c>
      <c r="B100" s="2812"/>
      <c r="C100" s="1119" t="s">
        <v>2582</v>
      </c>
      <c r="D100" s="1029"/>
      <c r="E100" s="1121"/>
      <c r="F100" s="1054"/>
      <c r="G100" s="709"/>
      <c r="H100" s="709"/>
      <c r="I100" s="641"/>
      <c r="J100" s="734"/>
      <c r="K100" s="1189"/>
      <c r="L100" s="1190"/>
    </row>
    <row r="101" spans="1:12" ht="18" hidden="1">
      <c r="A101" s="2813" t="s">
        <v>2565</v>
      </c>
      <c r="B101" s="2812"/>
      <c r="C101" s="1175" t="str">
        <f>C45</f>
        <v>五、净利润（净亏损以“-”号填列）</v>
      </c>
      <c r="D101" s="1176"/>
      <c r="E101" s="1177"/>
      <c r="F101" s="1178"/>
      <c r="G101" s="709"/>
      <c r="H101" s="709"/>
      <c r="I101" s="641"/>
      <c r="J101" s="734"/>
      <c r="K101" s="1189"/>
      <c r="L101" s="1190"/>
    </row>
    <row r="102" spans="1:12" ht="18" hidden="1">
      <c r="A102" s="2813" t="s">
        <v>2565</v>
      </c>
      <c r="B102" s="2812"/>
      <c r="C102" s="1179" t="str">
        <f>preCE!$C$16</f>
        <v>（一）净利润</v>
      </c>
      <c r="D102" s="1180"/>
      <c r="E102" s="1177"/>
      <c r="F102" s="1178"/>
      <c r="G102" s="709"/>
      <c r="H102" s="709"/>
      <c r="I102" s="641"/>
      <c r="J102" s="734"/>
      <c r="K102" s="1189"/>
      <c r="L102" s="1190"/>
    </row>
    <row r="103" spans="1:12" ht="18" hidden="1">
      <c r="A103" s="2813" t="s">
        <v>2565</v>
      </c>
      <c r="B103" s="2812"/>
      <c r="C103" s="1173" t="s">
        <v>2580</v>
      </c>
      <c r="D103" s="1180"/>
      <c r="E103" s="1181"/>
      <c r="F103" s="1182"/>
      <c r="G103" s="709"/>
      <c r="H103" s="709"/>
      <c r="I103" s="641"/>
      <c r="J103" s="734"/>
      <c r="K103" s="1189"/>
      <c r="L103" s="1190"/>
    </row>
    <row r="104" spans="1:12" ht="18" hidden="1">
      <c r="A104" s="2813" t="s">
        <v>2565</v>
      </c>
      <c r="B104" s="2812"/>
      <c r="C104" s="1183"/>
      <c r="D104" s="1180"/>
      <c r="E104" s="1184"/>
      <c r="F104" s="1185"/>
      <c r="G104" s="709"/>
      <c r="H104" s="709"/>
      <c r="I104" s="641"/>
      <c r="J104" s="734"/>
      <c r="K104" s="1189"/>
      <c r="L104" s="1190"/>
    </row>
    <row r="105" spans="1:12" ht="18">
      <c r="A105" s="2813" t="s">
        <v>2565</v>
      </c>
      <c r="B105" s="2812"/>
      <c r="C105" s="1175" t="str">
        <f>$C$50</f>
        <v>1.归属于母公司所有者的净利润（净亏损以“-”号填列）</v>
      </c>
      <c r="D105" s="1029" t="s">
        <v>441</v>
      </c>
      <c r="E105" s="1028">
        <f>E50</f>
        <v>80463.97</v>
      </c>
      <c r="F105" s="1055">
        <f>F50</f>
        <v>520228.91</v>
      </c>
      <c r="G105" s="709"/>
      <c r="H105" s="709"/>
      <c r="I105" s="641"/>
      <c r="J105" s="734"/>
      <c r="K105" s="1189"/>
      <c r="L105" s="1190"/>
    </row>
    <row r="106" spans="1:12" ht="18">
      <c r="A106" s="2813" t="s">
        <v>2565</v>
      </c>
      <c r="B106" s="2812"/>
      <c r="C106" s="1179" t="str">
        <f>preCE!$C$18&amp;":"&amp;preCE!$N$8</f>
        <v>（一）综合收益总额:未分配利润</v>
      </c>
      <c r="D106" s="1029" t="s">
        <v>442</v>
      </c>
      <c r="E106" s="1028">
        <f>preCE!N18</f>
        <v>80463.97</v>
      </c>
      <c r="F106" s="1055">
        <f>preCE!AB18</f>
        <v>520228.91</v>
      </c>
      <c r="G106" s="709"/>
      <c r="H106" s="709"/>
      <c r="I106" s="641"/>
      <c r="J106" s="734"/>
      <c r="K106" s="1189"/>
      <c r="L106" s="1190"/>
    </row>
    <row r="107" spans="1:12" ht="18">
      <c r="A107" s="2813" t="s">
        <v>2565</v>
      </c>
      <c r="B107" s="2812"/>
      <c r="C107" s="1173" t="s">
        <v>2580</v>
      </c>
      <c r="D107" s="1029"/>
      <c r="E107" s="1032">
        <f>ROUND(E105-E106,2)</f>
        <v>0</v>
      </c>
      <c r="F107" s="1056">
        <f>ROUND(F105-F106,2)</f>
        <v>0</v>
      </c>
      <c r="G107" s="709"/>
      <c r="H107" s="709"/>
      <c r="I107" s="641"/>
      <c r="J107" s="734"/>
      <c r="K107" s="1189"/>
      <c r="L107" s="1190"/>
    </row>
    <row r="108" spans="1:12" ht="18.75" thickTop="1">
      <c r="A108" s="2813" t="s">
        <v>2565</v>
      </c>
      <c r="B108" s="2812"/>
      <c r="C108" s="1174" t="s">
        <v>2581</v>
      </c>
      <c r="D108" s="1029"/>
      <c r="E108" s="1033" t="str">
        <f>IF(E107=0,"√","×")</f>
        <v>√</v>
      </c>
      <c r="F108" s="1057" t="str">
        <f>IF(F107=0,"√","×")</f>
        <v>√</v>
      </c>
      <c r="G108" s="709"/>
      <c r="H108" s="709"/>
      <c r="I108" s="641"/>
      <c r="J108" s="734"/>
      <c r="K108" s="1189"/>
      <c r="L108" s="1190"/>
    </row>
    <row r="109" spans="1:12" ht="18" hidden="1">
      <c r="A109" s="2813" t="s">
        <v>2579</v>
      </c>
      <c r="B109" s="2812"/>
      <c r="C109" s="1175" t="str">
        <f>$C$51</f>
        <v>2.少数股东损益（净亏损以“-”号填列）</v>
      </c>
      <c r="D109" s="1176"/>
      <c r="E109" s="1177"/>
      <c r="F109" s="1178"/>
      <c r="G109" s="709"/>
      <c r="H109" s="709"/>
      <c r="I109" s="641"/>
      <c r="J109" s="734"/>
      <c r="K109" s="1189"/>
      <c r="L109" s="1190"/>
    </row>
    <row r="110" spans="1:12" ht="18" hidden="1">
      <c r="A110" s="2813" t="s">
        <v>2579</v>
      </c>
      <c r="B110" s="2812"/>
      <c r="C110" s="1179" t="str">
        <f>preCE!$C$16&amp;"|"&amp;preCE!$P$8</f>
        <v>（一）净利润|少数股东权益</v>
      </c>
      <c r="D110" s="1180"/>
      <c r="E110" s="1177"/>
      <c r="F110" s="1178"/>
      <c r="G110" s="709"/>
      <c r="H110" s="709"/>
      <c r="I110" s="641"/>
      <c r="J110" s="734"/>
      <c r="K110" s="1189"/>
      <c r="L110" s="1190"/>
    </row>
    <row r="111" spans="1:12" ht="18" hidden="1">
      <c r="A111" s="2813" t="s">
        <v>2579</v>
      </c>
      <c r="B111" s="2812"/>
      <c r="C111" s="1173" t="s">
        <v>2580</v>
      </c>
      <c r="D111" s="1180"/>
      <c r="E111" s="1181"/>
      <c r="F111" s="1182"/>
      <c r="G111" s="709"/>
      <c r="H111" s="709"/>
      <c r="I111" s="641"/>
      <c r="J111" s="734"/>
      <c r="K111" s="1189"/>
      <c r="L111" s="1190"/>
    </row>
    <row r="112" spans="1:12" ht="18" hidden="1">
      <c r="A112" s="2813" t="s">
        <v>2579</v>
      </c>
      <c r="B112" s="2812"/>
      <c r="C112" s="1183"/>
      <c r="D112" s="1180"/>
      <c r="E112" s="1184"/>
      <c r="F112" s="1185"/>
      <c r="G112" s="709"/>
      <c r="H112" s="709"/>
      <c r="I112" s="641"/>
      <c r="J112" s="734"/>
      <c r="K112" s="1189"/>
      <c r="L112" s="1190"/>
    </row>
    <row r="113" spans="1:12" ht="18">
      <c r="A113" s="2813" t="s">
        <v>2565</v>
      </c>
      <c r="B113" s="2812"/>
      <c r="C113" s="1175" t="str">
        <f>$C$53</f>
        <v>（一）归属于母公司所有者的其他综合收益的税后净额</v>
      </c>
      <c r="D113" s="1029" t="s">
        <v>441</v>
      </c>
      <c r="E113" s="1028">
        <f>E53</f>
        <v>0</v>
      </c>
      <c r="F113" s="1055">
        <f>F53</f>
        <v>0</v>
      </c>
      <c r="G113" s="709"/>
      <c r="H113" s="709"/>
      <c r="I113" s="641"/>
      <c r="J113" s="734"/>
      <c r="K113" s="1189"/>
      <c r="L113" s="1190"/>
    </row>
    <row r="114" spans="1:12" ht="18">
      <c r="A114" s="2813" t="s">
        <v>2565</v>
      </c>
      <c r="B114" s="2812"/>
      <c r="C114" s="1179" t="str">
        <f>preCE!$C$18&amp;":"&amp;preCE!$J$8</f>
        <v>（一）综合收益总额:其他综合收益</v>
      </c>
      <c r="D114" s="1029" t="s">
        <v>442</v>
      </c>
      <c r="E114" s="1028">
        <f>preCE!J18</f>
        <v>0</v>
      </c>
      <c r="F114" s="1055">
        <f>preCE!X18</f>
        <v>0</v>
      </c>
      <c r="G114" s="709"/>
      <c r="H114" s="709"/>
      <c r="I114" s="641"/>
      <c r="J114" s="734"/>
      <c r="K114" s="1189"/>
      <c r="L114" s="1190"/>
    </row>
    <row r="115" spans="1:12" ht="18">
      <c r="A115" s="2813" t="s">
        <v>2565</v>
      </c>
      <c r="B115" s="2812"/>
      <c r="C115" s="1173" t="s">
        <v>2580</v>
      </c>
      <c r="D115" s="1029"/>
      <c r="E115" s="1032">
        <f>ROUND(E113-E114,2)</f>
        <v>0</v>
      </c>
      <c r="F115" s="1056">
        <f>ROUND(F113-F114,2)</f>
        <v>0</v>
      </c>
      <c r="G115" s="709"/>
      <c r="H115" s="709"/>
      <c r="I115" s="641"/>
      <c r="J115" s="734"/>
      <c r="K115" s="1189"/>
      <c r="L115" s="1190"/>
    </row>
    <row r="116" spans="1:12" ht="18">
      <c r="A116" s="2813" t="s">
        <v>2565</v>
      </c>
      <c r="B116" s="2812"/>
      <c r="C116" s="1174" t="s">
        <v>2581</v>
      </c>
      <c r="D116" s="1029"/>
      <c r="E116" s="1033" t="str">
        <f>IF(E115=0,"√","×")</f>
        <v>√</v>
      </c>
      <c r="F116" s="1057" t="str">
        <f>IF(F115=0,"√","×")</f>
        <v>√</v>
      </c>
      <c r="G116" s="709"/>
      <c r="H116" s="641"/>
      <c r="I116" s="641"/>
      <c r="J116" s="641"/>
      <c r="K116" s="1189"/>
      <c r="L116" s="1190"/>
    </row>
    <row r="117" spans="1:12" ht="18">
      <c r="A117" s="2813" t="s">
        <v>2565</v>
      </c>
      <c r="B117" s="2812"/>
      <c r="C117" s="1169" t="str">
        <f>C74</f>
        <v>七、综合收益总额</v>
      </c>
      <c r="D117" s="1029" t="s">
        <v>441</v>
      </c>
      <c r="E117" s="1028">
        <f>E74</f>
        <v>80463.97</v>
      </c>
      <c r="F117" s="1055">
        <f>F74</f>
        <v>520228.91</v>
      </c>
      <c r="G117" s="709"/>
      <c r="H117" s="641"/>
      <c r="I117" s="641"/>
      <c r="J117" s="641"/>
      <c r="K117" s="1189"/>
      <c r="L117" s="1190"/>
    </row>
    <row r="118" spans="1:12" ht="18">
      <c r="A118" s="2813" t="s">
        <v>2565</v>
      </c>
      <c r="B118" s="2812"/>
      <c r="C118" s="1179" t="str">
        <f>preCE!$C$18&amp;":"&amp;preCE!$Q$8</f>
        <v>（一）综合收益总额:所有者权益合计</v>
      </c>
      <c r="D118" s="1029" t="s">
        <v>442</v>
      </c>
      <c r="E118" s="1028">
        <f>preCE!Q18</f>
        <v>80463.97</v>
      </c>
      <c r="F118" s="1055">
        <f>preCE!AE18</f>
        <v>520228.91</v>
      </c>
      <c r="G118" s="709"/>
      <c r="H118" s="641"/>
      <c r="I118" s="641"/>
      <c r="J118" s="641"/>
      <c r="K118" s="1189"/>
      <c r="L118" s="1190"/>
    </row>
    <row r="119" spans="1:12" ht="18">
      <c r="A119" s="2813" t="s">
        <v>2565</v>
      </c>
      <c r="B119" s="2812"/>
      <c r="C119" s="1173" t="s">
        <v>2580</v>
      </c>
      <c r="D119" s="1029"/>
      <c r="E119" s="1032">
        <f>ROUND(E117-E118,2)</f>
        <v>0</v>
      </c>
      <c r="F119" s="1056">
        <f>ROUND(F117-F118,2)</f>
        <v>0</v>
      </c>
      <c r="G119" s="709"/>
      <c r="H119" s="641"/>
      <c r="I119" s="641"/>
      <c r="J119" s="641"/>
      <c r="K119" s="1189"/>
      <c r="L119" s="1190"/>
    </row>
    <row r="120" spans="1:12" ht="18">
      <c r="A120" s="2813" t="s">
        <v>2565</v>
      </c>
      <c r="B120" s="2812"/>
      <c r="C120" s="1174" t="s">
        <v>2581</v>
      </c>
      <c r="D120" s="1029"/>
      <c r="E120" s="1033" t="str">
        <f>IF(E119=0,"√","×")</f>
        <v>√</v>
      </c>
      <c r="F120" s="1057" t="str">
        <f>IF(F119=0,"√","×")</f>
        <v>√</v>
      </c>
      <c r="G120" s="709"/>
      <c r="H120" s="641"/>
      <c r="I120" s="641"/>
      <c r="J120" s="641"/>
      <c r="K120" s="1189"/>
      <c r="L120" s="1190"/>
    </row>
    <row r="121" spans="1:12" ht="18">
      <c r="A121" s="2813" t="s">
        <v>2565</v>
      </c>
      <c r="B121" s="2812"/>
      <c r="C121" s="1175" t="str">
        <f>$C$75</f>
        <v>（一）归属于母公司所有者的综合收益总额</v>
      </c>
      <c r="D121" s="1029" t="s">
        <v>441</v>
      </c>
      <c r="E121" s="1028">
        <f>E75</f>
        <v>80463.97</v>
      </c>
      <c r="F121" s="1055">
        <f>F75</f>
        <v>520228.91</v>
      </c>
      <c r="G121" s="709"/>
      <c r="H121" s="641"/>
      <c r="I121" s="641"/>
      <c r="J121" s="641"/>
      <c r="K121" s="1189"/>
      <c r="L121" s="1190"/>
    </row>
    <row r="122" spans="1:12" ht="18">
      <c r="A122" s="2813" t="s">
        <v>2565</v>
      </c>
      <c r="B122" s="2812"/>
      <c r="C122" s="1179" t="str">
        <f>preCE!$C$18</f>
        <v>（一）综合收益总额</v>
      </c>
      <c r="D122" s="1029" t="s">
        <v>442</v>
      </c>
      <c r="E122" s="1028">
        <f>preCE!Q18-preCE!P18</f>
        <v>80463.97</v>
      </c>
      <c r="F122" s="1055">
        <f>preCE!AE18-preCE!AD18</f>
        <v>520228.91</v>
      </c>
      <c r="G122" s="709"/>
      <c r="H122" s="641"/>
      <c r="I122" s="641"/>
      <c r="J122" s="641"/>
      <c r="K122" s="1189"/>
      <c r="L122" s="1190"/>
    </row>
    <row r="123" spans="1:12" ht="18">
      <c r="A123" s="2813" t="s">
        <v>2565</v>
      </c>
      <c r="B123" s="2812"/>
      <c r="C123" s="1173" t="s">
        <v>2580</v>
      </c>
      <c r="D123" s="1029"/>
      <c r="E123" s="1032">
        <f>ROUND(E121-E122,2)</f>
        <v>0</v>
      </c>
      <c r="F123" s="1056">
        <f>ROUND(F121-F122,2)</f>
        <v>0</v>
      </c>
      <c r="G123" s="709"/>
      <c r="H123" s="641"/>
      <c r="I123" s="641"/>
      <c r="J123" s="641"/>
      <c r="K123" s="1189"/>
      <c r="L123" s="1190"/>
    </row>
    <row r="124" spans="1:12" ht="18">
      <c r="A124" s="2813" t="s">
        <v>2565</v>
      </c>
      <c r="B124" s="2812"/>
      <c r="C124" s="1174" t="s">
        <v>2581</v>
      </c>
      <c r="D124" s="1029"/>
      <c r="E124" s="1033" t="str">
        <f>IF(E123=0,"√","×")</f>
        <v>√</v>
      </c>
      <c r="F124" s="1057" t="str">
        <f>IF(F123=0,"√","×")</f>
        <v>√</v>
      </c>
      <c r="G124" s="709"/>
      <c r="H124" s="641"/>
      <c r="I124" s="641"/>
      <c r="J124" s="641"/>
      <c r="K124" s="1189"/>
      <c r="L124" s="1190"/>
    </row>
    <row r="125" spans="1:12" ht="18">
      <c r="A125" s="2813" t="s">
        <v>2579</v>
      </c>
      <c r="B125" s="2812"/>
      <c r="C125" s="1175" t="str">
        <f>$C$76</f>
        <v>（二）归属于少数股东的综合收益总额</v>
      </c>
      <c r="D125" s="1029" t="s">
        <v>441</v>
      </c>
      <c r="E125" s="1028">
        <f>E76</f>
        <v>0</v>
      </c>
      <c r="F125" s="1055">
        <f>F76</f>
        <v>0</v>
      </c>
      <c r="G125" s="709"/>
      <c r="H125" s="641"/>
      <c r="I125" s="641"/>
      <c r="J125" s="641"/>
      <c r="K125" s="1189"/>
      <c r="L125" s="1190"/>
    </row>
    <row r="126" spans="1:12" ht="18">
      <c r="A126" s="2813" t="s">
        <v>2579</v>
      </c>
      <c r="B126" s="2812"/>
      <c r="C126" s="1179" t="str">
        <f>preCE!$C$18&amp;":"&amp;preCE!$P$8</f>
        <v>（一）综合收益总额:少数股东权益</v>
      </c>
      <c r="D126" s="1029" t="s">
        <v>442</v>
      </c>
      <c r="E126" s="1028">
        <f>preCE!P18</f>
        <v>0</v>
      </c>
      <c r="F126" s="1055">
        <f>preCE!AD18</f>
        <v>0</v>
      </c>
      <c r="G126" s="709"/>
      <c r="H126" s="641"/>
      <c r="I126" s="641"/>
      <c r="J126" s="641"/>
      <c r="K126" s="1189"/>
      <c r="L126" s="1190"/>
    </row>
    <row r="127" spans="1:12" ht="18">
      <c r="A127" s="2813" t="s">
        <v>2579</v>
      </c>
      <c r="B127" s="2812"/>
      <c r="C127" s="1173" t="s">
        <v>2580</v>
      </c>
      <c r="D127" s="1029"/>
      <c r="E127" s="1032">
        <f>ROUND(E125-E126,2)</f>
        <v>0</v>
      </c>
      <c r="F127" s="1056">
        <f>ROUND(F125-F126,2)</f>
        <v>0</v>
      </c>
      <c r="G127" s="709"/>
      <c r="H127" s="641"/>
      <c r="I127" s="641"/>
      <c r="J127" s="641"/>
      <c r="K127" s="1189"/>
      <c r="L127" s="1190"/>
    </row>
    <row r="128" spans="1:12" ht="18">
      <c r="A128" s="2813" t="s">
        <v>2579</v>
      </c>
      <c r="B128" s="2812"/>
      <c r="C128" s="1173" t="s">
        <v>2581</v>
      </c>
      <c r="D128" s="1029"/>
      <c r="E128" s="1033" t="str">
        <f>IF(E127=0,"√","×")</f>
        <v>√</v>
      </c>
      <c r="F128" s="1057" t="str">
        <f>IF(F127=0,"√","×")</f>
        <v>√</v>
      </c>
      <c r="G128" s="709"/>
      <c r="H128" s="641"/>
      <c r="K128" s="1189"/>
      <c r="L128" s="1190"/>
    </row>
    <row r="129" spans="1:12" ht="18">
      <c r="A129" s="2813" t="s">
        <v>2565</v>
      </c>
      <c r="B129" s="2812"/>
      <c r="C129" s="1186" t="s">
        <v>2572</v>
      </c>
      <c r="D129" s="1187"/>
      <c r="E129" s="1130">
        <f>SUMIF($C$87:$C$128,"差       异",E87:E128)</f>
        <v>0</v>
      </c>
      <c r="F129" s="1131">
        <f>SUMIF($C$87:$C$128,"差       异",F87:F128)</f>
        <v>0</v>
      </c>
      <c r="G129" s="709"/>
      <c r="H129" s="956" t="str">
        <f>IF(E129+F129=0,"Balanced","Diff "&amp;TEXT(ROUND(E129+F129,2),"#,###.00"))</f>
        <v>Balanced</v>
      </c>
      <c r="K129" s="1189"/>
      <c r="L129" s="1190"/>
    </row>
    <row r="130" spans="1:12">
      <c r="C130" s="641"/>
      <c r="D130" s="641"/>
      <c r="E130" s="641"/>
      <c r="F130" s="641"/>
      <c r="G130" s="641"/>
      <c r="H130" s="641"/>
      <c r="I130" s="641"/>
      <c r="J130" s="641"/>
    </row>
    <row r="131" spans="1:12">
      <c r="C131" s="641"/>
      <c r="D131" s="641"/>
      <c r="E131" s="641"/>
      <c r="F131" s="641"/>
      <c r="G131" s="641"/>
      <c r="H131" s="641"/>
      <c r="I131" s="641"/>
      <c r="J131" s="641"/>
    </row>
    <row r="132" spans="1:12">
      <c r="C132" s="641"/>
      <c r="D132" s="641"/>
      <c r="E132" s="641"/>
      <c r="F132" s="641"/>
      <c r="G132" s="641"/>
      <c r="H132" s="641"/>
      <c r="I132" s="641"/>
      <c r="J132" s="641"/>
    </row>
    <row r="133" spans="1:12">
      <c r="C133" s="641"/>
      <c r="D133" s="641"/>
      <c r="E133" s="641"/>
      <c r="F133" s="641"/>
      <c r="G133" s="641"/>
      <c r="H133" s="641"/>
      <c r="I133" s="641"/>
      <c r="J133" s="641"/>
    </row>
  </sheetData>
  <sheetProtection algorithmName="SHA-512" hashValue="uMjBHqmkYKp7wyt1XyF0D5T+pPrabfN2wmXzHm37jrIkvZYWCGGEjaXPm+Mgra7+Ulfu7MCKD+5SPEgyjd/13A==" saltValue="Dr6F2y4sjK5BrwHAa6K3fg==" spinCount="100000" sheet="1" scenarios="1" formatCells="0" autoFilter="0"/>
  <phoneticPr fontId="163" type="noConversion"/>
  <conditionalFormatting sqref="C9:F74">
    <cfRule type="expression" dxfId="81" priority="23" stopIfTrue="1">
      <formula>AND($A9&lt;&gt;"＝",MOD(ROW(),3)=0)</formula>
    </cfRule>
    <cfRule type="expression" dxfId="80" priority="24" stopIfTrue="1">
      <formula>$A9="："</formula>
    </cfRule>
    <cfRule type="expression" dxfId="79" priority="25" stopIfTrue="1">
      <formula>$A9="＝"</formula>
    </cfRule>
  </conditionalFormatting>
  <conditionalFormatting sqref="E90:F90 E98:F98 E103:F103 E107:F107 E111:F111 E115:F115 E123:F123 E127:F127 E129:F129 E119:F119">
    <cfRule type="cellIs" dxfId="78" priority="27" stopIfTrue="1" operator="notEqual">
      <formula>0</formula>
    </cfRule>
  </conditionalFormatting>
  <conditionalFormatting sqref="E94:F94">
    <cfRule type="cellIs" dxfId="77" priority="1" stopIfTrue="1" operator="notEqual">
      <formula>0</formula>
    </cfRule>
  </conditionalFormatting>
  <dataValidations count="1">
    <dataValidation type="list" allowBlank="1" showInputMessage="1" showErrorMessage="1" sqref="L87:L129">
      <formula1>"√,√ 正常差异,×"</formula1>
    </dataValidation>
  </dataValidations>
  <pageMargins left="0.78740157480314998" right="0" top="0.78740157480314998" bottom="0.39370078740157499" header="0.511811023622047" footer="0.511811023622047"/>
  <pageSetup paperSize="9" orientation="portrait" blackAndWhite="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
  <sheetData>
    <row r="1" spans="1:1">
      <c r="A1">
        <v>-1</v>
      </c>
    </row>
  </sheetData>
  <phoneticPr fontId="16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I61"/>
  <sheetViews>
    <sheetView showZeros="0" workbookViewId="0">
      <selection activeCell="AE11" sqref="F11:AE11"/>
    </sheetView>
  </sheetViews>
  <sheetFormatPr defaultColWidth="9.140625" defaultRowHeight="12"/>
  <cols>
    <col min="1" max="2" width="0.140625" style="2754" customWidth="1"/>
    <col min="3" max="3" width="31.5703125" style="1" customWidth="1"/>
    <col min="4" max="31" width="10.7109375" style="1" customWidth="1"/>
    <col min="32" max="16384" width="9.140625" style="1"/>
  </cols>
  <sheetData>
    <row r="1" spans="1:35" s="854" customFormat="1" ht="0.75" customHeight="1">
      <c r="A1" s="2749"/>
      <c r="B1" s="2749"/>
      <c r="C1" s="856"/>
      <c r="D1" s="856"/>
      <c r="E1" s="856"/>
      <c r="F1" s="856"/>
      <c r="G1" s="856"/>
      <c r="H1" s="856"/>
      <c r="I1" s="856"/>
      <c r="J1" s="856"/>
      <c r="K1" s="856"/>
      <c r="L1" s="856"/>
      <c r="M1" s="856"/>
      <c r="N1" s="856"/>
      <c r="O1" s="856"/>
      <c r="P1" s="856"/>
      <c r="Q1" s="856"/>
      <c r="R1" s="856"/>
      <c r="S1" s="856"/>
      <c r="T1" s="856"/>
      <c r="U1" s="856"/>
      <c r="V1" s="856"/>
      <c r="W1" s="856"/>
      <c r="X1" s="856"/>
      <c r="Y1" s="856"/>
      <c r="Z1" s="856"/>
      <c r="AA1" s="856"/>
      <c r="AB1" s="856"/>
      <c r="AC1" s="856"/>
      <c r="AD1" s="856"/>
      <c r="AE1" s="856"/>
      <c r="AF1" s="892"/>
      <c r="AG1" s="892"/>
      <c r="AH1" s="892"/>
      <c r="AI1" s="892"/>
    </row>
    <row r="2" spans="1:35" s="854" customFormat="1" ht="0.75" customHeight="1">
      <c r="A2" s="2749"/>
      <c r="B2" s="2749"/>
      <c r="C2" s="856"/>
      <c r="D2" s="1452" t="s">
        <v>2592</v>
      </c>
      <c r="E2" s="964" t="s">
        <v>2593</v>
      </c>
      <c r="F2" s="964" t="s">
        <v>2594</v>
      </c>
      <c r="G2" s="964" t="s">
        <v>2595</v>
      </c>
      <c r="H2" s="1452" t="s">
        <v>2596</v>
      </c>
      <c r="I2" s="1452" t="s">
        <v>2597</v>
      </c>
      <c r="J2" s="964" t="s">
        <v>2598</v>
      </c>
      <c r="K2" s="1452" t="s">
        <v>2599</v>
      </c>
      <c r="L2" s="1452" t="s">
        <v>2600</v>
      </c>
      <c r="M2" s="1452" t="s">
        <v>2601</v>
      </c>
      <c r="N2" s="1452" t="s">
        <v>2602</v>
      </c>
      <c r="O2" s="1452" t="s">
        <v>2603</v>
      </c>
      <c r="P2" s="1452" t="s">
        <v>2604</v>
      </c>
      <c r="Q2" s="1452" t="s">
        <v>2605</v>
      </c>
      <c r="R2" s="964">
        <v>81</v>
      </c>
      <c r="S2" s="964" t="s">
        <v>2593</v>
      </c>
      <c r="T2" s="964" t="s">
        <v>2594</v>
      </c>
      <c r="U2" s="964" t="s">
        <v>2595</v>
      </c>
      <c r="V2" s="964">
        <v>82</v>
      </c>
      <c r="W2" s="964">
        <v>83</v>
      </c>
      <c r="X2" s="964" t="s">
        <v>2598</v>
      </c>
      <c r="Y2" s="964">
        <v>84</v>
      </c>
      <c r="Z2" s="964">
        <v>85</v>
      </c>
      <c r="AA2" s="964">
        <v>86</v>
      </c>
      <c r="AB2" s="964">
        <v>87</v>
      </c>
      <c r="AC2" s="964">
        <v>88</v>
      </c>
      <c r="AD2" s="964">
        <v>89</v>
      </c>
      <c r="AE2" s="964">
        <v>80</v>
      </c>
      <c r="AF2" s="1042"/>
      <c r="AG2" s="892"/>
      <c r="AH2" s="892"/>
      <c r="AI2" s="892"/>
    </row>
    <row r="3" spans="1:35" ht="27">
      <c r="A3" s="2749"/>
      <c r="B3" s="2832" t="s">
        <v>2606</v>
      </c>
      <c r="C3" s="3574" t="s">
        <v>974</v>
      </c>
      <c r="D3" s="3574"/>
      <c r="E3" s="3574"/>
      <c r="F3" s="3574"/>
      <c r="G3" s="3574"/>
      <c r="H3" s="3574"/>
      <c r="I3" s="3574"/>
      <c r="J3" s="3574"/>
      <c r="K3" s="3574"/>
      <c r="L3" s="3574"/>
      <c r="M3" s="3574"/>
      <c r="N3" s="3574"/>
      <c r="O3" s="3574"/>
      <c r="P3" s="3574"/>
      <c r="Q3" s="3574"/>
      <c r="R3" s="3574"/>
      <c r="S3" s="3574"/>
      <c r="T3" s="3574"/>
      <c r="U3" s="3574"/>
      <c r="V3" s="3574"/>
      <c r="W3" s="3574"/>
      <c r="X3" s="3574"/>
      <c r="Y3" s="3574"/>
      <c r="Z3" s="3574"/>
      <c r="AA3" s="3574"/>
      <c r="AB3" s="3574"/>
      <c r="AC3" s="1043"/>
      <c r="AD3" s="1043"/>
      <c r="AE3" s="1043"/>
      <c r="AF3" s="641"/>
      <c r="AG3" s="641"/>
      <c r="AH3" s="641"/>
      <c r="AI3" s="641"/>
    </row>
    <row r="4" spans="1:35" ht="18.75" customHeight="1">
      <c r="A4" s="2749"/>
      <c r="B4" s="2749"/>
      <c r="C4" s="3575" t="str">
        <f>Lead!$F$7</f>
        <v>2019年度</v>
      </c>
      <c r="D4" s="3575"/>
      <c r="E4" s="3575"/>
      <c r="F4" s="3575"/>
      <c r="G4" s="3575"/>
      <c r="H4" s="3575"/>
      <c r="I4" s="3575"/>
      <c r="J4" s="3575"/>
      <c r="K4" s="3575"/>
      <c r="L4" s="3575"/>
      <c r="M4" s="3575"/>
      <c r="N4" s="3575"/>
      <c r="O4" s="3575"/>
      <c r="P4" s="3575"/>
      <c r="Q4" s="3575"/>
      <c r="R4" s="3575"/>
      <c r="S4" s="3575"/>
      <c r="T4" s="3575"/>
      <c r="U4" s="3575"/>
      <c r="V4" s="3575"/>
      <c r="W4" s="3575"/>
      <c r="X4" s="3575"/>
      <c r="Y4" s="3575"/>
      <c r="Z4" s="3575"/>
      <c r="AA4" s="3575"/>
      <c r="AB4" s="3575"/>
      <c r="AC4" s="965"/>
      <c r="AD4" s="965"/>
      <c r="AE4" s="833" t="s">
        <v>2607</v>
      </c>
      <c r="AF4" s="641"/>
      <c r="AG4" s="641"/>
      <c r="AH4" s="641"/>
      <c r="AI4" s="641"/>
    </row>
    <row r="5" spans="1:35" ht="18.75" customHeight="1">
      <c r="A5" s="2749"/>
      <c r="B5" s="2749"/>
      <c r="C5" s="966" t="str">
        <f>Lead!$B$5&amp;"："&amp;Lead!$C$5</f>
        <v>编制单位：福建省力菲克药业有限公司</v>
      </c>
      <c r="D5" s="833"/>
      <c r="E5" s="833"/>
      <c r="F5" s="833"/>
      <c r="G5" s="833"/>
      <c r="H5" s="833"/>
      <c r="I5" s="833"/>
      <c r="J5" s="833"/>
      <c r="K5" s="833"/>
      <c r="L5" s="833"/>
      <c r="M5" s="833"/>
      <c r="N5" s="833"/>
      <c r="O5" s="833"/>
      <c r="P5" s="833"/>
      <c r="Q5" s="833"/>
      <c r="R5" s="833"/>
      <c r="S5" s="833"/>
      <c r="T5" s="833"/>
      <c r="U5" s="833"/>
      <c r="V5" s="833"/>
      <c r="W5" s="833"/>
      <c r="X5" s="833"/>
      <c r="Y5" s="833"/>
      <c r="Z5" s="833"/>
      <c r="AA5" s="1044" t="s">
        <v>2608</v>
      </c>
      <c r="AB5" s="833"/>
      <c r="AC5" s="833"/>
      <c r="AD5" s="833"/>
      <c r="AE5" s="833"/>
      <c r="AF5" s="641"/>
      <c r="AG5" s="641"/>
      <c r="AH5" s="641"/>
      <c r="AI5" s="641"/>
    </row>
    <row r="6" spans="1:35" ht="18.75" customHeight="1">
      <c r="A6" s="2749"/>
      <c r="B6" s="2749"/>
      <c r="C6" s="967"/>
      <c r="D6" s="968" t="s">
        <v>6640</v>
      </c>
      <c r="E6" s="969"/>
      <c r="F6" s="969"/>
      <c r="G6" s="969"/>
      <c r="H6" s="970"/>
      <c r="I6" s="970"/>
      <c r="J6" s="970"/>
      <c r="K6" s="970"/>
      <c r="L6" s="970"/>
      <c r="M6" s="970"/>
      <c r="N6" s="970"/>
      <c r="O6" s="970"/>
      <c r="P6" s="970"/>
      <c r="Q6" s="1015"/>
      <c r="R6" s="1016" t="s">
        <v>6641</v>
      </c>
      <c r="S6" s="1016"/>
      <c r="T6" s="1016"/>
      <c r="U6" s="1016"/>
      <c r="V6" s="970"/>
      <c r="W6" s="970"/>
      <c r="X6" s="970"/>
      <c r="Y6" s="970"/>
      <c r="Z6" s="970"/>
      <c r="AA6" s="970"/>
      <c r="AB6" s="970"/>
      <c r="AC6" s="970"/>
      <c r="AD6" s="970"/>
      <c r="AE6" s="1045"/>
      <c r="AF6" s="641"/>
      <c r="AG6" s="641"/>
      <c r="AH6" s="641"/>
      <c r="AI6" s="641"/>
    </row>
    <row r="7" spans="1:35" ht="17.25" customHeight="1">
      <c r="A7" s="2749" t="s">
        <v>708</v>
      </c>
      <c r="B7" s="2749"/>
      <c r="C7" s="971"/>
      <c r="D7" s="3576" t="s">
        <v>713</v>
      </c>
      <c r="E7" s="3577"/>
      <c r="F7" s="3577"/>
      <c r="G7" s="3577"/>
      <c r="H7" s="3577"/>
      <c r="I7" s="3577"/>
      <c r="J7" s="3577"/>
      <c r="K7" s="3577"/>
      <c r="L7" s="3577"/>
      <c r="M7" s="3577"/>
      <c r="N7" s="3577"/>
      <c r="O7" s="3578"/>
      <c r="P7" s="1008"/>
      <c r="Q7" s="1017"/>
      <c r="R7" s="3579" t="s">
        <v>713</v>
      </c>
      <c r="S7" s="3577"/>
      <c r="T7" s="3577"/>
      <c r="U7" s="3577"/>
      <c r="V7" s="3577"/>
      <c r="W7" s="3577"/>
      <c r="X7" s="3577"/>
      <c r="Y7" s="3577"/>
      <c r="Z7" s="3577"/>
      <c r="AA7" s="3577"/>
      <c r="AB7" s="3577"/>
      <c r="AC7" s="3578"/>
      <c r="AD7" s="1008"/>
      <c r="AE7" s="1046"/>
      <c r="AF7" s="641"/>
      <c r="AG7" s="641"/>
      <c r="AH7" s="641"/>
      <c r="AI7" s="641"/>
    </row>
    <row r="8" spans="1:35" ht="36">
      <c r="A8" s="2749" t="s">
        <v>2556</v>
      </c>
      <c r="B8" s="2749" t="s">
        <v>2558</v>
      </c>
      <c r="C8" s="972" t="s">
        <v>47</v>
      </c>
      <c r="D8" s="973" t="s">
        <v>5878</v>
      </c>
      <c r="E8" s="973" t="s">
        <v>2610</v>
      </c>
      <c r="F8" s="973" t="s">
        <v>2611</v>
      </c>
      <c r="G8" s="973" t="s">
        <v>2612</v>
      </c>
      <c r="H8" s="973" t="s">
        <v>592</v>
      </c>
      <c r="I8" s="973" t="s">
        <v>682</v>
      </c>
      <c r="J8" s="973" t="s">
        <v>621</v>
      </c>
      <c r="K8" s="973" t="s">
        <v>627</v>
      </c>
      <c r="L8" s="973" t="s">
        <v>602</v>
      </c>
      <c r="M8" s="973" t="s">
        <v>2613</v>
      </c>
      <c r="N8" s="973" t="s">
        <v>611</v>
      </c>
      <c r="O8" s="973" t="s">
        <v>932</v>
      </c>
      <c r="P8" s="1009" t="s">
        <v>719</v>
      </c>
      <c r="Q8" s="1018" t="s">
        <v>2614</v>
      </c>
      <c r="R8" s="1019" t="s">
        <v>652</v>
      </c>
      <c r="S8" s="1019" t="s">
        <v>2610</v>
      </c>
      <c r="T8" s="1019" t="s">
        <v>2611</v>
      </c>
      <c r="U8" s="1019" t="s">
        <v>2612</v>
      </c>
      <c r="V8" s="973" t="s">
        <v>592</v>
      </c>
      <c r="W8" s="973" t="s">
        <v>682</v>
      </c>
      <c r="X8" s="973" t="s">
        <v>621</v>
      </c>
      <c r="Y8" s="973" t="s">
        <v>627</v>
      </c>
      <c r="Z8" s="973" t="s">
        <v>602</v>
      </c>
      <c r="AA8" s="973" t="s">
        <v>2613</v>
      </c>
      <c r="AB8" s="973" t="s">
        <v>611</v>
      </c>
      <c r="AC8" s="973" t="s">
        <v>932</v>
      </c>
      <c r="AD8" s="1009" t="s">
        <v>719</v>
      </c>
      <c r="AE8" s="1047" t="s">
        <v>2614</v>
      </c>
      <c r="AF8" s="1048"/>
      <c r="AG8" s="641"/>
      <c r="AH8" s="641"/>
      <c r="AI8" s="641"/>
    </row>
    <row r="9" spans="1:35" ht="18">
      <c r="A9" s="2752"/>
      <c r="B9" s="2833" t="s">
        <v>2615</v>
      </c>
      <c r="C9" s="974" t="str">
        <f t="shared" ref="C9:C15" si="0">VLOOKUP(VALUE($Q$2&amp;$B9),Sheet_Items,7,0)</f>
        <v>一、上年年末余额</v>
      </c>
      <c r="D9" s="918">
        <f>R40</f>
        <v>30000000</v>
      </c>
      <c r="E9" s="918"/>
      <c r="F9" s="918"/>
      <c r="G9" s="918"/>
      <c r="H9" s="918">
        <f>V40</f>
        <v>0</v>
      </c>
      <c r="I9" s="918"/>
      <c r="J9" s="918"/>
      <c r="K9" s="918"/>
      <c r="L9" s="918">
        <f>preBS!L62</f>
        <v>1476848.22</v>
      </c>
      <c r="M9" s="918"/>
      <c r="N9" s="918">
        <f>preBS!L64</f>
        <v>13291633.890000001</v>
      </c>
      <c r="O9" s="918"/>
      <c r="P9" s="918"/>
      <c r="Q9" s="1020">
        <f>SUM(D9:H9,-I9,J9:P9)</f>
        <v>44768482.109999999</v>
      </c>
      <c r="R9" s="1021">
        <f>IF(ISERROR(VLOOKUP(VALUE(R$2&amp;$B9),Sheet_Balance1,2,0)),0,VLOOKUP(VALUE(R$2&amp;$B9),Sheet_Balance1,2,0))</f>
        <v>30000000</v>
      </c>
      <c r="S9" s="1021">
        <f t="shared" ref="S9:U13" si="1">IF(ISERROR(VLOOKUP((S$2&amp;$B9),Sheet_Balance1,2,0)),0,VLOOKUP((S$2&amp;$B9),Sheet_Balance1,2,0))</f>
        <v>0</v>
      </c>
      <c r="T9" s="1021">
        <f t="shared" si="1"/>
        <v>0</v>
      </c>
      <c r="U9" s="1021">
        <f t="shared" si="1"/>
        <v>0</v>
      </c>
      <c r="V9" s="918">
        <f t="shared" ref="V9:W13" si="2">IF(ISERROR(VLOOKUP(VALUE(V$2&amp;$B9),Sheet_Balance1,2,0)),0,VLOOKUP(VALUE(V$2&amp;$B9),Sheet_Balance1,2,0))</f>
        <v>0</v>
      </c>
      <c r="W9" s="918">
        <f t="shared" si="2"/>
        <v>0</v>
      </c>
      <c r="X9" s="918">
        <f>IF(ISERROR(VLOOKUP((X$2&amp;$B9),Sheet_Balance1,2,0)),0,VLOOKUP((X$2&amp;$B9),Sheet_Balance1,2,0))</f>
        <v>0</v>
      </c>
      <c r="Y9" s="918">
        <f t="shared" ref="Y9:AD13" si="3">IF(ISERROR(VLOOKUP(VALUE(Y$2&amp;$B9),Sheet_Balance1,2,0)),0,VLOOKUP(VALUE(Y$2&amp;$B9),Sheet_Balance1,2,0))</f>
        <v>0</v>
      </c>
      <c r="Z9" s="918">
        <f t="shared" si="3"/>
        <v>1424825.33</v>
      </c>
      <c r="AA9" s="918">
        <f t="shared" si="3"/>
        <v>0</v>
      </c>
      <c r="AB9" s="918">
        <f t="shared" si="3"/>
        <v>12823427.869999999</v>
      </c>
      <c r="AC9" s="918">
        <f t="shared" si="3"/>
        <v>0</v>
      </c>
      <c r="AD9" s="918">
        <f t="shared" si="3"/>
        <v>0</v>
      </c>
      <c r="AE9" s="1049">
        <f>SUM(R9:V9,-W9,X9:AD9)</f>
        <v>44248253.200000003</v>
      </c>
      <c r="AF9" s="641"/>
      <c r="AG9" s="641"/>
      <c r="AH9" s="641"/>
      <c r="AI9" s="641"/>
    </row>
    <row r="10" spans="1:35" ht="18">
      <c r="A10" s="2752"/>
      <c r="B10" s="2833" t="s">
        <v>2616</v>
      </c>
      <c r="C10" s="975" t="str">
        <f t="shared" si="0"/>
        <v>加：会计政策变更</v>
      </c>
      <c r="D10" s="918"/>
      <c r="E10" s="918"/>
      <c r="F10" s="918"/>
      <c r="G10" s="918"/>
      <c r="H10" s="918"/>
      <c r="I10" s="918"/>
      <c r="J10" s="918"/>
      <c r="K10" s="918"/>
      <c r="L10" s="918"/>
      <c r="M10" s="918"/>
      <c r="N10" s="918"/>
      <c r="O10" s="918"/>
      <c r="P10" s="918"/>
      <c r="Q10" s="1020">
        <f t="shared" ref="Q10:Q39" si="4">SUM(D10:H10,-I10,J10:P10)</f>
        <v>0</v>
      </c>
      <c r="R10" s="1021">
        <f>IF(ISERROR(VLOOKUP(VALUE(R$2&amp;$B10),Sheet_Balance1,2,0)),0,VLOOKUP(VALUE(R$2&amp;$B10),Sheet_Balance1,2,0))</f>
        <v>0</v>
      </c>
      <c r="S10" s="1021">
        <f t="shared" si="1"/>
        <v>0</v>
      </c>
      <c r="T10" s="1021">
        <f t="shared" si="1"/>
        <v>0</v>
      </c>
      <c r="U10" s="1021">
        <f t="shared" si="1"/>
        <v>0</v>
      </c>
      <c r="V10" s="918">
        <f t="shared" si="2"/>
        <v>0</v>
      </c>
      <c r="W10" s="918">
        <f t="shared" si="2"/>
        <v>0</v>
      </c>
      <c r="X10" s="918">
        <f>IF(ISERROR(VLOOKUP((X$2&amp;$B10),Sheet_Balance1,2,0)),0,VLOOKUP((X$2&amp;$B10),Sheet_Balance1,2,0))</f>
        <v>0</v>
      </c>
      <c r="Y10" s="918">
        <f t="shared" si="3"/>
        <v>0</v>
      </c>
      <c r="Z10" s="918">
        <f t="shared" si="3"/>
        <v>0</v>
      </c>
      <c r="AA10" s="918">
        <f t="shared" si="3"/>
        <v>0</v>
      </c>
      <c r="AB10" s="918">
        <f t="shared" si="3"/>
        <v>0</v>
      </c>
      <c r="AC10" s="918">
        <f t="shared" si="3"/>
        <v>0</v>
      </c>
      <c r="AD10" s="918">
        <f t="shared" si="3"/>
        <v>0</v>
      </c>
      <c r="AE10" s="1049">
        <f t="shared" ref="AE10:AE39" si="5">SUM(R10:V10,-W10,X10:AD10)</f>
        <v>0</v>
      </c>
      <c r="AF10" s="641"/>
      <c r="AG10" s="641"/>
      <c r="AH10" s="641"/>
      <c r="AI10" s="641"/>
    </row>
    <row r="11" spans="1:35" ht="18">
      <c r="A11" s="2752"/>
      <c r="B11" s="2833" t="s">
        <v>2617</v>
      </c>
      <c r="C11" s="975" t="str">
        <f t="shared" si="0"/>
        <v>前期差错更正</v>
      </c>
      <c r="D11" s="918"/>
      <c r="E11" s="918"/>
      <c r="F11" s="918"/>
      <c r="G11" s="918"/>
      <c r="H11" s="918"/>
      <c r="I11" s="918"/>
      <c r="J11" s="918"/>
      <c r="K11" s="918"/>
      <c r="L11" s="918"/>
      <c r="M11" s="918"/>
      <c r="N11" s="918"/>
      <c r="O11" s="918"/>
      <c r="P11" s="918"/>
      <c r="Q11" s="1020">
        <f t="shared" si="4"/>
        <v>0</v>
      </c>
      <c r="R11" s="1021">
        <f>IF(ISERROR(VLOOKUP(VALUE(R$2&amp;$B11),Sheet_Balance1,2,0)),0,VLOOKUP(VALUE(R$2&amp;$B11),Sheet_Balance1,2,0))</f>
        <v>0</v>
      </c>
      <c r="S11" s="1021">
        <f t="shared" si="1"/>
        <v>0</v>
      </c>
      <c r="T11" s="1021">
        <f t="shared" si="1"/>
        <v>0</v>
      </c>
      <c r="U11" s="1021">
        <f t="shared" si="1"/>
        <v>0</v>
      </c>
      <c r="V11" s="918">
        <f t="shared" si="2"/>
        <v>0</v>
      </c>
      <c r="W11" s="918">
        <f t="shared" si="2"/>
        <v>0</v>
      </c>
      <c r="X11" s="918">
        <f>IF(ISERROR(VLOOKUP((X$2&amp;$B11),Sheet_Balance1,2,0)),0,VLOOKUP((X$2&amp;$B11),Sheet_Balance1,2,0))</f>
        <v>0</v>
      </c>
      <c r="Y11" s="918">
        <f t="shared" si="3"/>
        <v>0</v>
      </c>
      <c r="Z11" s="918">
        <f t="shared" si="3"/>
        <v>0</v>
      </c>
      <c r="AA11" s="918">
        <f t="shared" si="3"/>
        <v>0</v>
      </c>
      <c r="AB11" s="918">
        <f t="shared" si="3"/>
        <v>0</v>
      </c>
      <c r="AC11" s="918">
        <f t="shared" si="3"/>
        <v>0</v>
      </c>
      <c r="AD11" s="918">
        <f t="shared" si="3"/>
        <v>0</v>
      </c>
      <c r="AE11" s="1049">
        <f t="shared" si="5"/>
        <v>0</v>
      </c>
      <c r="AF11" s="641"/>
      <c r="AG11" s="641"/>
      <c r="AH11" s="641"/>
      <c r="AI11" s="641"/>
    </row>
    <row r="12" spans="1:35" ht="18">
      <c r="A12" s="2752"/>
      <c r="B12" s="2833" t="s">
        <v>2618</v>
      </c>
      <c r="C12" s="975" t="str">
        <f t="shared" si="0"/>
        <v>同一控制下企业合并</v>
      </c>
      <c r="D12" s="918"/>
      <c r="E12" s="918"/>
      <c r="F12" s="918"/>
      <c r="G12" s="918"/>
      <c r="H12" s="918"/>
      <c r="I12" s="918"/>
      <c r="J12" s="918"/>
      <c r="K12" s="918"/>
      <c r="L12" s="918"/>
      <c r="M12" s="918"/>
      <c r="N12" s="918"/>
      <c r="O12" s="918"/>
      <c r="P12" s="918"/>
      <c r="Q12" s="1020">
        <f t="shared" si="4"/>
        <v>0</v>
      </c>
      <c r="R12" s="1021">
        <f>IF(ISERROR(VLOOKUP(VALUE(R$2&amp;$B12),Sheet_Balance1,2,0)),0,VLOOKUP(VALUE(R$2&amp;$B12),Sheet_Balance1,2,0))</f>
        <v>0</v>
      </c>
      <c r="S12" s="1021">
        <f t="shared" si="1"/>
        <v>0</v>
      </c>
      <c r="T12" s="1021">
        <f t="shared" si="1"/>
        <v>0</v>
      </c>
      <c r="U12" s="1021">
        <f t="shared" si="1"/>
        <v>0</v>
      </c>
      <c r="V12" s="918">
        <f t="shared" si="2"/>
        <v>0</v>
      </c>
      <c r="W12" s="918">
        <f t="shared" si="2"/>
        <v>0</v>
      </c>
      <c r="X12" s="918">
        <f>IF(ISERROR(VLOOKUP((X$2&amp;$B12),Sheet_Balance1,2,0)),0,VLOOKUP((X$2&amp;$B12),Sheet_Balance1,2,0))</f>
        <v>0</v>
      </c>
      <c r="Y12" s="918">
        <f t="shared" si="3"/>
        <v>0</v>
      </c>
      <c r="Z12" s="918">
        <f t="shared" si="3"/>
        <v>0</v>
      </c>
      <c r="AA12" s="918">
        <f t="shared" si="3"/>
        <v>0</v>
      </c>
      <c r="AB12" s="918">
        <f t="shared" si="3"/>
        <v>0</v>
      </c>
      <c r="AC12" s="918">
        <f t="shared" si="3"/>
        <v>0</v>
      </c>
      <c r="AD12" s="918">
        <f t="shared" si="3"/>
        <v>0</v>
      </c>
      <c r="AE12" s="1049">
        <f t="shared" si="5"/>
        <v>0</v>
      </c>
      <c r="AF12" s="641"/>
      <c r="AG12" s="641"/>
      <c r="AH12" s="641"/>
      <c r="AI12" s="641"/>
    </row>
    <row r="13" spans="1:35" ht="18">
      <c r="A13" s="2752"/>
      <c r="B13" s="2833" t="s">
        <v>2619</v>
      </c>
      <c r="C13" s="975" t="str">
        <f t="shared" si="0"/>
        <v>其他</v>
      </c>
      <c r="D13" s="918"/>
      <c r="E13" s="918"/>
      <c r="F13" s="918"/>
      <c r="G13" s="918"/>
      <c r="H13" s="918"/>
      <c r="I13" s="918"/>
      <c r="J13" s="918"/>
      <c r="K13" s="918"/>
      <c r="L13" s="918"/>
      <c r="M13" s="918"/>
      <c r="N13" s="918"/>
      <c r="O13" s="918"/>
      <c r="P13" s="918"/>
      <c r="Q13" s="1020">
        <f t="shared" si="4"/>
        <v>0</v>
      </c>
      <c r="R13" s="1021">
        <f>IF(ISERROR(VLOOKUP(VALUE(R$2&amp;$B13),Sheet_Balance1,2,0)),0,VLOOKUP(VALUE(R$2&amp;$B13),Sheet_Balance1,2,0))</f>
        <v>0</v>
      </c>
      <c r="S13" s="1021">
        <f t="shared" si="1"/>
        <v>0</v>
      </c>
      <c r="T13" s="1021">
        <f t="shared" si="1"/>
        <v>0</v>
      </c>
      <c r="U13" s="1021">
        <f t="shared" si="1"/>
        <v>0</v>
      </c>
      <c r="V13" s="918">
        <f t="shared" si="2"/>
        <v>0</v>
      </c>
      <c r="W13" s="918">
        <f t="shared" si="2"/>
        <v>0</v>
      </c>
      <c r="X13" s="918">
        <f>IF(ISERROR(VLOOKUP((X$2&amp;$B13),Sheet_Balance1,2,0)),0,VLOOKUP((X$2&amp;$B13),Sheet_Balance1,2,0))</f>
        <v>0</v>
      </c>
      <c r="Y13" s="918">
        <f t="shared" si="3"/>
        <v>0</v>
      </c>
      <c r="Z13" s="918">
        <f t="shared" si="3"/>
        <v>0</v>
      </c>
      <c r="AA13" s="918">
        <f t="shared" si="3"/>
        <v>0</v>
      </c>
      <c r="AB13" s="918">
        <f t="shared" si="3"/>
        <v>0</v>
      </c>
      <c r="AC13" s="918">
        <f t="shared" si="3"/>
        <v>0</v>
      </c>
      <c r="AD13" s="918">
        <f t="shared" si="3"/>
        <v>0</v>
      </c>
      <c r="AE13" s="1049">
        <f t="shared" si="5"/>
        <v>0</v>
      </c>
      <c r="AF13" s="641"/>
      <c r="AG13" s="641"/>
      <c r="AH13" s="641"/>
      <c r="AI13" s="641"/>
    </row>
    <row r="14" spans="1:35" ht="18">
      <c r="A14" s="2752" t="s">
        <v>287</v>
      </c>
      <c r="B14" s="2833" t="s">
        <v>2620</v>
      </c>
      <c r="C14" s="974" t="str">
        <f t="shared" si="0"/>
        <v>二、本年年初余额</v>
      </c>
      <c r="D14" s="885">
        <f>SUM(D9:D13)</f>
        <v>30000000</v>
      </c>
      <c r="E14" s="885">
        <f>SUM(E9:E13)</f>
        <v>0</v>
      </c>
      <c r="F14" s="885">
        <f>SUM(F9:F13)</f>
        <v>0</v>
      </c>
      <c r="G14" s="885">
        <f>SUM(G9:G13)</f>
        <v>0</v>
      </c>
      <c r="H14" s="885">
        <f t="shared" ref="H14:P14" si="6">SUM(H9:H13)</f>
        <v>0</v>
      </c>
      <c r="I14" s="885">
        <f t="shared" si="6"/>
        <v>0</v>
      </c>
      <c r="J14" s="885">
        <f t="shared" si="6"/>
        <v>0</v>
      </c>
      <c r="K14" s="885">
        <f t="shared" si="6"/>
        <v>0</v>
      </c>
      <c r="L14" s="885">
        <f t="shared" si="6"/>
        <v>1476848.22</v>
      </c>
      <c r="M14" s="885">
        <f t="shared" si="6"/>
        <v>0</v>
      </c>
      <c r="N14" s="885">
        <f t="shared" si="6"/>
        <v>13291633.890000001</v>
      </c>
      <c r="O14" s="885">
        <f t="shared" si="6"/>
        <v>0</v>
      </c>
      <c r="P14" s="885">
        <f t="shared" si="6"/>
        <v>0</v>
      </c>
      <c r="Q14" s="1020">
        <f t="shared" si="4"/>
        <v>44768482.109999999</v>
      </c>
      <c r="R14" s="1022">
        <f t="shared" ref="R14:AD14" si="7">SUM(R9:R13)</f>
        <v>30000000</v>
      </c>
      <c r="S14" s="1022">
        <f t="shared" si="7"/>
        <v>0</v>
      </c>
      <c r="T14" s="1022">
        <f t="shared" si="7"/>
        <v>0</v>
      </c>
      <c r="U14" s="1022">
        <f t="shared" si="7"/>
        <v>0</v>
      </c>
      <c r="V14" s="885">
        <f t="shared" si="7"/>
        <v>0</v>
      </c>
      <c r="W14" s="885">
        <f t="shared" si="7"/>
        <v>0</v>
      </c>
      <c r="X14" s="885">
        <f t="shared" si="7"/>
        <v>0</v>
      </c>
      <c r="Y14" s="885">
        <f t="shared" si="7"/>
        <v>0</v>
      </c>
      <c r="Z14" s="885">
        <f t="shared" si="7"/>
        <v>1424825.33</v>
      </c>
      <c r="AA14" s="885">
        <f t="shared" si="7"/>
        <v>0</v>
      </c>
      <c r="AB14" s="885">
        <f t="shared" si="7"/>
        <v>12823427.869999999</v>
      </c>
      <c r="AC14" s="885">
        <f t="shared" si="7"/>
        <v>0</v>
      </c>
      <c r="AD14" s="885">
        <f t="shared" si="7"/>
        <v>0</v>
      </c>
      <c r="AE14" s="1049">
        <f t="shared" si="5"/>
        <v>44248253.200000003</v>
      </c>
      <c r="AF14" s="641"/>
      <c r="AG14" s="641"/>
      <c r="AH14" s="641"/>
      <c r="AI14" s="641"/>
    </row>
    <row r="15" spans="1:35" ht="24">
      <c r="A15" s="2752" t="s">
        <v>287</v>
      </c>
      <c r="B15" s="2833" t="s">
        <v>2621</v>
      </c>
      <c r="C15" s="974" t="str">
        <f t="shared" si="0"/>
        <v>三、本年增减变动金额（减少以“－”号填列）</v>
      </c>
      <c r="D15" s="885">
        <f>SUM(D18,D19,D24,D29,D36,D39)</f>
        <v>0</v>
      </c>
      <c r="E15" s="885">
        <f>SUM(E18,E19,E24,E29,E36,E39)</f>
        <v>0</v>
      </c>
      <c r="F15" s="885">
        <f>SUM(F18,F19,F24,F29,F36,F39)</f>
        <v>0</v>
      </c>
      <c r="G15" s="885">
        <f>SUM(G18,G19,G24,G29,G36,G39)</f>
        <v>0</v>
      </c>
      <c r="H15" s="885">
        <f t="shared" ref="H15:P15" si="8">SUM(H18,H19,H24,H29,H36,H39)</f>
        <v>10464100</v>
      </c>
      <c r="I15" s="885">
        <f t="shared" si="8"/>
        <v>0</v>
      </c>
      <c r="J15" s="885">
        <f t="shared" si="8"/>
        <v>0</v>
      </c>
      <c r="K15" s="885">
        <f t="shared" si="8"/>
        <v>0</v>
      </c>
      <c r="L15" s="885">
        <f t="shared" si="8"/>
        <v>8046.4</v>
      </c>
      <c r="M15" s="885">
        <f t="shared" si="8"/>
        <v>0</v>
      </c>
      <c r="N15" s="885">
        <f t="shared" si="8"/>
        <v>-10391682.43</v>
      </c>
      <c r="O15" s="885">
        <f t="shared" si="8"/>
        <v>0</v>
      </c>
      <c r="P15" s="885">
        <f t="shared" si="8"/>
        <v>0</v>
      </c>
      <c r="Q15" s="1020">
        <f t="shared" si="4"/>
        <v>80463.97</v>
      </c>
      <c r="R15" s="1022">
        <f t="shared" ref="R15:AD15" si="9">SUM(R18,R19,R24,R29,R36,R39)</f>
        <v>0</v>
      </c>
      <c r="S15" s="1022">
        <f t="shared" si="9"/>
        <v>0</v>
      </c>
      <c r="T15" s="1022">
        <f t="shared" si="9"/>
        <v>0</v>
      </c>
      <c r="U15" s="1022">
        <f t="shared" si="9"/>
        <v>0</v>
      </c>
      <c r="V15" s="885">
        <f t="shared" si="9"/>
        <v>0</v>
      </c>
      <c r="W15" s="885">
        <f t="shared" si="9"/>
        <v>0</v>
      </c>
      <c r="X15" s="885">
        <f t="shared" si="9"/>
        <v>0</v>
      </c>
      <c r="Y15" s="885">
        <f t="shared" si="9"/>
        <v>0</v>
      </c>
      <c r="Z15" s="885">
        <f t="shared" si="9"/>
        <v>52022.89</v>
      </c>
      <c r="AA15" s="885">
        <f t="shared" si="9"/>
        <v>0</v>
      </c>
      <c r="AB15" s="885">
        <f t="shared" si="9"/>
        <v>468206.02</v>
      </c>
      <c r="AC15" s="885">
        <f t="shared" si="9"/>
        <v>0</v>
      </c>
      <c r="AD15" s="885">
        <f t="shared" si="9"/>
        <v>0</v>
      </c>
      <c r="AE15" s="1049">
        <f t="shared" si="5"/>
        <v>520228.91</v>
      </c>
      <c r="AF15" s="641"/>
      <c r="AG15" s="641"/>
      <c r="AH15" s="641"/>
      <c r="AI15" s="641"/>
    </row>
    <row r="16" spans="1:35" ht="18" hidden="1">
      <c r="A16" s="2752"/>
      <c r="B16" s="2833" t="s">
        <v>2622</v>
      </c>
      <c r="C16" s="976" t="str">
        <f>VLOOKUP(VALUE($Q$2&amp;$B16),Sheet_Items,6,0)</f>
        <v>（一）净利润</v>
      </c>
      <c r="D16" s="918"/>
      <c r="E16" s="918"/>
      <c r="F16" s="918"/>
      <c r="G16" s="918"/>
      <c r="H16" s="918"/>
      <c r="I16" s="918"/>
      <c r="J16" s="918"/>
      <c r="K16" s="918"/>
      <c r="L16" s="918"/>
      <c r="M16" s="918"/>
      <c r="N16" s="885">
        <f>SUM(VLOOKUP(6811,Sheet_Trialbal,3,0))</f>
        <v>80463.97</v>
      </c>
      <c r="O16" s="918"/>
      <c r="P16" s="918"/>
      <c r="Q16" s="1020">
        <f t="shared" si="4"/>
        <v>80463.97</v>
      </c>
      <c r="R16" s="1021">
        <f>IF(ISERROR(VLOOKUP(VALUE(R$2&amp;$B16),Sheet_Balance1,2,0)),0,VLOOKUP(VALUE(R$2&amp;$B16),Sheet_Balance1,2,0))</f>
        <v>0</v>
      </c>
      <c r="S16" s="1021">
        <f t="shared" ref="S16:U18" si="10">IF(ISERROR(VLOOKUP((S$2&amp;$B16),Sheet_Balance1,2,0)),0,VLOOKUP((S$2&amp;$B16),Sheet_Balance1,2,0))</f>
        <v>0</v>
      </c>
      <c r="T16" s="1021">
        <f t="shared" si="10"/>
        <v>0</v>
      </c>
      <c r="U16" s="1021">
        <f t="shared" si="10"/>
        <v>0</v>
      </c>
      <c r="V16" s="918">
        <f t="shared" ref="V16:W18" si="11">IF(ISERROR(VLOOKUP(VALUE(V$2&amp;$B16),Sheet_Balance1,2,0)),0,VLOOKUP(VALUE(V$2&amp;$B16),Sheet_Balance1,2,0))</f>
        <v>0</v>
      </c>
      <c r="W16" s="918">
        <f t="shared" si="11"/>
        <v>0</v>
      </c>
      <c r="X16" s="918">
        <f>IF(ISERROR(VLOOKUP((X$2&amp;$B16),Sheet_Balance1,2,0)),0,VLOOKUP((X$2&amp;$B16),Sheet_Balance1,2,0))</f>
        <v>0</v>
      </c>
      <c r="Y16" s="918">
        <f t="shared" ref="Y16:AA18" si="12">IF(ISERROR(VLOOKUP(VALUE(Y$2&amp;$B16),Sheet_Balance1,2,0)),0,VLOOKUP(VALUE(Y$2&amp;$B16),Sheet_Balance1,2,0))</f>
        <v>0</v>
      </c>
      <c r="Z16" s="918">
        <f t="shared" si="12"/>
        <v>0</v>
      </c>
      <c r="AA16" s="918">
        <f t="shared" si="12"/>
        <v>0</v>
      </c>
      <c r="AB16" s="885">
        <f>SUM(VLOOKUP(6811,Sheet_Trialbal,7,0))</f>
        <v>520228.91</v>
      </c>
      <c r="AC16" s="918">
        <f t="shared" ref="AC16:AD18" si="13">IF(ISERROR(VLOOKUP(VALUE(AC$2&amp;$B16),Sheet_Balance1,2,0)),0,VLOOKUP(VALUE(AC$2&amp;$B16),Sheet_Balance1,2,0))</f>
        <v>0</v>
      </c>
      <c r="AD16" s="918">
        <f t="shared" si="13"/>
        <v>0</v>
      </c>
      <c r="AE16" s="1049">
        <f t="shared" si="5"/>
        <v>520228.91</v>
      </c>
      <c r="AF16" s="641"/>
      <c r="AG16" s="641"/>
      <c r="AH16" s="641"/>
      <c r="AI16" s="641"/>
    </row>
    <row r="17" spans="1:35" ht="18" hidden="1">
      <c r="A17" s="2752"/>
      <c r="B17" s="2833" t="s">
        <v>2623</v>
      </c>
      <c r="C17" s="976" t="str">
        <f>VLOOKUP(VALUE($Q$2&amp;$B17),Sheet_Items,6,0)</f>
        <v>（二）其他综合收益</v>
      </c>
      <c r="D17" s="918"/>
      <c r="E17" s="918"/>
      <c r="F17" s="918"/>
      <c r="G17" s="918"/>
      <c r="H17" s="918"/>
      <c r="I17" s="918"/>
      <c r="J17" s="918"/>
      <c r="K17" s="918"/>
      <c r="L17" s="918"/>
      <c r="M17" s="918"/>
      <c r="N17" s="918"/>
      <c r="O17" s="918"/>
      <c r="P17" s="918"/>
      <c r="Q17" s="1020">
        <f t="shared" si="4"/>
        <v>0</v>
      </c>
      <c r="R17" s="1021">
        <f>IF(ISERROR(VLOOKUP(VALUE(R$2&amp;$B17),Sheet_Balance1,2,0)),0,VLOOKUP(VALUE(R$2&amp;$B17),Sheet_Balance1,2,0))</f>
        <v>0</v>
      </c>
      <c r="S17" s="1021">
        <f t="shared" si="10"/>
        <v>0</v>
      </c>
      <c r="T17" s="1021">
        <f t="shared" si="10"/>
        <v>0</v>
      </c>
      <c r="U17" s="1021">
        <f t="shared" si="10"/>
        <v>0</v>
      </c>
      <c r="V17" s="918">
        <f t="shared" si="11"/>
        <v>0</v>
      </c>
      <c r="W17" s="918">
        <f t="shared" si="11"/>
        <v>0</v>
      </c>
      <c r="X17" s="918">
        <f>IF(ISERROR(VLOOKUP((X$2&amp;$B17),Sheet_Balance1,2,0)),0,VLOOKUP((X$2&amp;$B17),Sheet_Balance1,2,0))</f>
        <v>0</v>
      </c>
      <c r="Y17" s="918">
        <f t="shared" si="12"/>
        <v>0</v>
      </c>
      <c r="Z17" s="918">
        <f t="shared" si="12"/>
        <v>0</v>
      </c>
      <c r="AA17" s="918">
        <f t="shared" si="12"/>
        <v>0</v>
      </c>
      <c r="AB17" s="918">
        <f>IF(ISERROR(VLOOKUP(VALUE(AB$2&amp;$B17),Sheet_Balance1,2,0)),0,VLOOKUP(VALUE(AB$2&amp;$B17),Sheet_Balance1,2,0))</f>
        <v>0</v>
      </c>
      <c r="AC17" s="918">
        <f t="shared" si="13"/>
        <v>0</v>
      </c>
      <c r="AD17" s="918">
        <f t="shared" si="13"/>
        <v>0</v>
      </c>
      <c r="AE17" s="1049">
        <f t="shared" si="5"/>
        <v>0</v>
      </c>
      <c r="AF17" s="641"/>
      <c r="AG17" s="641"/>
      <c r="AH17" s="641"/>
      <c r="AI17" s="641"/>
    </row>
    <row r="18" spans="1:35" ht="18">
      <c r="A18" s="2752"/>
      <c r="B18" s="2833" t="s">
        <v>2624</v>
      </c>
      <c r="C18" s="975" t="str">
        <f t="shared" ref="C18:C40" si="14">VLOOKUP(VALUE($Q$2&amp;$B18),Sheet_Items,7,0)</f>
        <v>（一）综合收益总额</v>
      </c>
      <c r="D18" s="918"/>
      <c r="E18" s="918"/>
      <c r="F18" s="918"/>
      <c r="G18" s="918"/>
      <c r="H18" s="918"/>
      <c r="I18" s="918"/>
      <c r="J18" s="918">
        <f>SUM(VLOOKUP(6829.2,Sheet_Trialbal,3,0))</f>
        <v>0</v>
      </c>
      <c r="K18" s="918"/>
      <c r="L18" s="918"/>
      <c r="M18" s="918"/>
      <c r="N18" s="918">
        <f>SUM(VLOOKUP(6811,Sheet_Trialbal,3,0))</f>
        <v>80463.97</v>
      </c>
      <c r="O18" s="918"/>
      <c r="P18" s="918"/>
      <c r="Q18" s="1020">
        <f t="shared" si="4"/>
        <v>80463.97</v>
      </c>
      <c r="R18" s="1021">
        <f>IF(ISERROR(VLOOKUP(VALUE(R$2&amp;$B18),Sheet_Balance1,2,0)),0,VLOOKUP(VALUE(R$2&amp;$B18),Sheet_Balance1,2,0))</f>
        <v>0</v>
      </c>
      <c r="S18" s="1021">
        <f t="shared" si="10"/>
        <v>0</v>
      </c>
      <c r="T18" s="1021">
        <f t="shared" si="10"/>
        <v>0</v>
      </c>
      <c r="U18" s="1021">
        <f t="shared" si="10"/>
        <v>0</v>
      </c>
      <c r="V18" s="918">
        <f t="shared" si="11"/>
        <v>0</v>
      </c>
      <c r="W18" s="918">
        <f t="shared" si="11"/>
        <v>0</v>
      </c>
      <c r="X18" s="918">
        <f>SUM(VLOOKUP(6829.2,Sheet_Trialbal,7,0))</f>
        <v>0</v>
      </c>
      <c r="Y18" s="918">
        <f t="shared" si="12"/>
        <v>0</v>
      </c>
      <c r="Z18" s="918">
        <f t="shared" si="12"/>
        <v>0</v>
      </c>
      <c r="AA18" s="918">
        <f t="shared" si="12"/>
        <v>0</v>
      </c>
      <c r="AB18" s="918">
        <f>SUM(VLOOKUP(6811,Sheet_Trialbal,7,0))</f>
        <v>520228.91</v>
      </c>
      <c r="AC18" s="918">
        <f t="shared" si="13"/>
        <v>0</v>
      </c>
      <c r="AD18" s="918">
        <f t="shared" si="13"/>
        <v>0</v>
      </c>
      <c r="AE18" s="1049">
        <f t="shared" si="5"/>
        <v>520228.91</v>
      </c>
      <c r="AF18" s="641"/>
      <c r="AG18" s="641"/>
      <c r="AH18" s="641"/>
      <c r="AI18" s="641"/>
    </row>
    <row r="19" spans="1:35" ht="24">
      <c r="A19" s="2752" t="s">
        <v>287</v>
      </c>
      <c r="B19" s="2833" t="s">
        <v>2625</v>
      </c>
      <c r="C19" s="975" t="str">
        <f t="shared" si="14"/>
        <v>（二）股东（或所有者）投入和减少资本</v>
      </c>
      <c r="D19" s="885">
        <f>SUM(D20:D23)</f>
        <v>0</v>
      </c>
      <c r="E19" s="885">
        <f>SUM(E20:E23)</f>
        <v>0</v>
      </c>
      <c r="F19" s="885">
        <f>SUM(F20:F23)</f>
        <v>0</v>
      </c>
      <c r="G19" s="885">
        <f>SUM(G20:G23)</f>
        <v>0</v>
      </c>
      <c r="H19" s="885">
        <f t="shared" ref="H19:P19" si="15">SUM(H20:H23)</f>
        <v>10464100</v>
      </c>
      <c r="I19" s="885">
        <f t="shared" si="15"/>
        <v>0</v>
      </c>
      <c r="J19" s="885">
        <f t="shared" si="15"/>
        <v>0</v>
      </c>
      <c r="K19" s="885">
        <f t="shared" si="15"/>
        <v>0</v>
      </c>
      <c r="L19" s="885">
        <f t="shared" si="15"/>
        <v>0</v>
      </c>
      <c r="M19" s="885">
        <f t="shared" si="15"/>
        <v>0</v>
      </c>
      <c r="N19" s="885">
        <f t="shared" si="15"/>
        <v>0</v>
      </c>
      <c r="O19" s="885">
        <f t="shared" si="15"/>
        <v>0</v>
      </c>
      <c r="P19" s="885">
        <f t="shared" si="15"/>
        <v>0</v>
      </c>
      <c r="Q19" s="1020">
        <f t="shared" si="4"/>
        <v>10464100</v>
      </c>
      <c r="R19" s="1022">
        <f t="shared" ref="R19:AD19" si="16">SUM(R20:R23)</f>
        <v>0</v>
      </c>
      <c r="S19" s="1022">
        <f t="shared" si="16"/>
        <v>0</v>
      </c>
      <c r="T19" s="1022">
        <f t="shared" si="16"/>
        <v>0</v>
      </c>
      <c r="U19" s="1022">
        <f t="shared" si="16"/>
        <v>0</v>
      </c>
      <c r="V19" s="885">
        <f t="shared" si="16"/>
        <v>0</v>
      </c>
      <c r="W19" s="885">
        <f t="shared" si="16"/>
        <v>0</v>
      </c>
      <c r="X19" s="885">
        <f t="shared" si="16"/>
        <v>0</v>
      </c>
      <c r="Y19" s="885">
        <f t="shared" si="16"/>
        <v>0</v>
      </c>
      <c r="Z19" s="885">
        <f t="shared" si="16"/>
        <v>0</v>
      </c>
      <c r="AA19" s="885">
        <f t="shared" si="16"/>
        <v>0</v>
      </c>
      <c r="AB19" s="885">
        <f t="shared" si="16"/>
        <v>0</v>
      </c>
      <c r="AC19" s="885">
        <f t="shared" si="16"/>
        <v>0</v>
      </c>
      <c r="AD19" s="885">
        <f t="shared" si="16"/>
        <v>0</v>
      </c>
      <c r="AE19" s="1049">
        <f t="shared" si="5"/>
        <v>0</v>
      </c>
      <c r="AF19" s="641"/>
      <c r="AG19" s="641"/>
      <c r="AH19" s="641"/>
      <c r="AI19" s="641"/>
    </row>
    <row r="20" spans="1:35" ht="18">
      <c r="A20" s="2752"/>
      <c r="B20" s="2833" t="s">
        <v>2626</v>
      </c>
      <c r="C20" s="977" t="str">
        <f t="shared" si="14"/>
        <v>股东投入的普通股</v>
      </c>
      <c r="D20" s="918"/>
      <c r="E20" s="918"/>
      <c r="F20" s="918"/>
      <c r="G20" s="918"/>
      <c r="H20" s="918">
        <v>10464100</v>
      </c>
      <c r="I20" s="918"/>
      <c r="J20" s="918"/>
      <c r="K20" s="918"/>
      <c r="L20" s="918"/>
      <c r="M20" s="918"/>
      <c r="N20" s="918"/>
      <c r="O20" s="918"/>
      <c r="P20" s="918"/>
      <c r="Q20" s="1020">
        <f t="shared" si="4"/>
        <v>10464100</v>
      </c>
      <c r="R20" s="1021">
        <f>IF(ISERROR(VLOOKUP(VALUE(R$2&amp;$B20),Sheet_Balance1,2,0)),0,VLOOKUP(VALUE(R$2&amp;$B20),Sheet_Balance1,2,0))</f>
        <v>0</v>
      </c>
      <c r="S20" s="1021">
        <f t="shared" ref="S20:U23" si="17">IF(ISERROR(VLOOKUP((S$2&amp;$B20),Sheet_Balance1,2,0)),0,VLOOKUP((S$2&amp;$B20),Sheet_Balance1,2,0))</f>
        <v>0</v>
      </c>
      <c r="T20" s="1021">
        <f t="shared" si="17"/>
        <v>0</v>
      </c>
      <c r="U20" s="1021">
        <f t="shared" si="17"/>
        <v>0</v>
      </c>
      <c r="V20" s="918">
        <f t="shared" ref="V20:W23" si="18">IF(ISERROR(VLOOKUP(VALUE(V$2&amp;$B20),Sheet_Balance1,2,0)),0,VLOOKUP(VALUE(V$2&amp;$B20),Sheet_Balance1,2,0))</f>
        <v>0</v>
      </c>
      <c r="W20" s="918">
        <f t="shared" si="18"/>
        <v>0</v>
      </c>
      <c r="X20" s="918">
        <f>IF(ISERROR(VLOOKUP((X$2&amp;$B20),Sheet_Balance1,2,0)),0,VLOOKUP((X$2&amp;$B20),Sheet_Balance1,2,0))</f>
        <v>0</v>
      </c>
      <c r="Y20" s="918">
        <f t="shared" ref="Y20:AD23" si="19">IF(ISERROR(VLOOKUP(VALUE(Y$2&amp;$B20),Sheet_Balance1,2,0)),0,VLOOKUP(VALUE(Y$2&amp;$B20),Sheet_Balance1,2,0))</f>
        <v>0</v>
      </c>
      <c r="Z20" s="918">
        <f t="shared" si="19"/>
        <v>0</v>
      </c>
      <c r="AA20" s="918">
        <f t="shared" si="19"/>
        <v>0</v>
      </c>
      <c r="AB20" s="918">
        <f t="shared" si="19"/>
        <v>0</v>
      </c>
      <c r="AC20" s="918">
        <f t="shared" si="19"/>
        <v>0</v>
      </c>
      <c r="AD20" s="918">
        <f t="shared" si="19"/>
        <v>0</v>
      </c>
      <c r="AE20" s="1049">
        <f t="shared" si="5"/>
        <v>0</v>
      </c>
      <c r="AF20" s="641"/>
      <c r="AG20" s="641"/>
      <c r="AH20" s="641"/>
      <c r="AI20" s="641"/>
    </row>
    <row r="21" spans="1:35" ht="18">
      <c r="A21" s="2752"/>
      <c r="B21" s="2833" t="s">
        <v>2627</v>
      </c>
      <c r="C21" s="978" t="str">
        <f t="shared" si="14"/>
        <v>其他权益工具持有者投入资本</v>
      </c>
      <c r="D21" s="918"/>
      <c r="E21" s="918"/>
      <c r="F21" s="918"/>
      <c r="G21" s="918"/>
      <c r="H21" s="918"/>
      <c r="I21" s="918"/>
      <c r="J21" s="918"/>
      <c r="K21" s="918"/>
      <c r="L21" s="918"/>
      <c r="M21" s="918"/>
      <c r="N21" s="918"/>
      <c r="O21" s="918"/>
      <c r="P21" s="918"/>
      <c r="Q21" s="1020">
        <f t="shared" si="4"/>
        <v>0</v>
      </c>
      <c r="R21" s="1021">
        <f>IF(ISERROR(VLOOKUP(VALUE(R$2&amp;$B21),Sheet_Balance1,2,0)),0,VLOOKUP(VALUE(R$2&amp;$B21),Sheet_Balance1,2,0))</f>
        <v>0</v>
      </c>
      <c r="S21" s="1021">
        <f t="shared" si="17"/>
        <v>0</v>
      </c>
      <c r="T21" s="1021">
        <f t="shared" si="17"/>
        <v>0</v>
      </c>
      <c r="U21" s="1021">
        <f t="shared" si="17"/>
        <v>0</v>
      </c>
      <c r="V21" s="918">
        <f t="shared" si="18"/>
        <v>0</v>
      </c>
      <c r="W21" s="918">
        <f t="shared" si="18"/>
        <v>0</v>
      </c>
      <c r="X21" s="918">
        <f>IF(ISERROR(VLOOKUP((X$2&amp;$B21),Sheet_Balance1,2,0)),0,VLOOKUP((X$2&amp;$B21),Sheet_Balance1,2,0))</f>
        <v>0</v>
      </c>
      <c r="Y21" s="918">
        <f t="shared" si="19"/>
        <v>0</v>
      </c>
      <c r="Z21" s="918">
        <f t="shared" si="19"/>
        <v>0</v>
      </c>
      <c r="AA21" s="918">
        <f t="shared" si="19"/>
        <v>0</v>
      </c>
      <c r="AB21" s="918">
        <f t="shared" si="19"/>
        <v>0</v>
      </c>
      <c r="AC21" s="918">
        <f t="shared" si="19"/>
        <v>0</v>
      </c>
      <c r="AD21" s="918">
        <f t="shared" si="19"/>
        <v>0</v>
      </c>
      <c r="AE21" s="1049">
        <f t="shared" si="5"/>
        <v>0</v>
      </c>
      <c r="AF21" s="641"/>
      <c r="AG21" s="641"/>
      <c r="AH21" s="641"/>
      <c r="AI21" s="641"/>
    </row>
    <row r="22" spans="1:35" ht="18">
      <c r="A22" s="2752"/>
      <c r="B22" s="2833" t="s">
        <v>2628</v>
      </c>
      <c r="C22" s="1657" t="str">
        <f>VLOOKUP(VALUE($Q$2&amp;$B22),Sheet_Items,6,0)</f>
        <v>股份支付计入所有者权益的金额</v>
      </c>
      <c r="D22" s="918"/>
      <c r="E22" s="918"/>
      <c r="F22" s="918"/>
      <c r="G22" s="918"/>
      <c r="H22" s="918"/>
      <c r="I22" s="918"/>
      <c r="J22" s="918"/>
      <c r="K22" s="918"/>
      <c r="L22" s="918"/>
      <c r="M22" s="918"/>
      <c r="N22" s="918"/>
      <c r="O22" s="918"/>
      <c r="P22" s="918"/>
      <c r="Q22" s="1020">
        <f t="shared" si="4"/>
        <v>0</v>
      </c>
      <c r="R22" s="1021">
        <f>IF(ISERROR(VLOOKUP(VALUE(R$2&amp;$B22),Sheet_Balance1,2,0)),0,VLOOKUP(VALUE(R$2&amp;$B22),Sheet_Balance1,2,0))</f>
        <v>0</v>
      </c>
      <c r="S22" s="1021">
        <f t="shared" si="17"/>
        <v>0</v>
      </c>
      <c r="T22" s="1021">
        <f t="shared" si="17"/>
        <v>0</v>
      </c>
      <c r="U22" s="1021">
        <f t="shared" si="17"/>
        <v>0</v>
      </c>
      <c r="V22" s="918">
        <f t="shared" si="18"/>
        <v>0</v>
      </c>
      <c r="W22" s="918">
        <f t="shared" si="18"/>
        <v>0</v>
      </c>
      <c r="X22" s="918">
        <f>IF(ISERROR(VLOOKUP((X$2&amp;$B22),Sheet_Balance1,2,0)),0,VLOOKUP((X$2&amp;$B22),Sheet_Balance1,2,0))</f>
        <v>0</v>
      </c>
      <c r="Y22" s="918">
        <f t="shared" si="19"/>
        <v>0</v>
      </c>
      <c r="Z22" s="918">
        <f t="shared" si="19"/>
        <v>0</v>
      </c>
      <c r="AA22" s="918">
        <f t="shared" si="19"/>
        <v>0</v>
      </c>
      <c r="AB22" s="918">
        <f t="shared" si="19"/>
        <v>0</v>
      </c>
      <c r="AC22" s="918">
        <f t="shared" si="19"/>
        <v>0</v>
      </c>
      <c r="AD22" s="918">
        <f t="shared" si="19"/>
        <v>0</v>
      </c>
      <c r="AE22" s="1049">
        <f t="shared" si="5"/>
        <v>0</v>
      </c>
      <c r="AF22" s="641"/>
      <c r="AG22" s="641"/>
      <c r="AH22" s="641"/>
      <c r="AI22" s="641"/>
    </row>
    <row r="23" spans="1:35" ht="18">
      <c r="A23" s="2752"/>
      <c r="B23" s="2833" t="s">
        <v>2629</v>
      </c>
      <c r="C23" s="979" t="str">
        <f t="shared" si="14"/>
        <v>其他</v>
      </c>
      <c r="D23" s="918"/>
      <c r="E23" s="918"/>
      <c r="F23" s="918"/>
      <c r="G23" s="918"/>
      <c r="H23" s="918"/>
      <c r="I23" s="918"/>
      <c r="J23" s="918"/>
      <c r="K23" s="918"/>
      <c r="L23" s="918"/>
      <c r="M23" s="918"/>
      <c r="N23" s="918"/>
      <c r="O23" s="918"/>
      <c r="P23" s="918"/>
      <c r="Q23" s="1020">
        <f t="shared" si="4"/>
        <v>0</v>
      </c>
      <c r="R23" s="1021">
        <f>IF(ISERROR(VLOOKUP(VALUE(R$2&amp;$B23),Sheet_Balance1,2,0)),0,VLOOKUP(VALUE(R$2&amp;$B23),Sheet_Balance1,2,0))</f>
        <v>0</v>
      </c>
      <c r="S23" s="1021">
        <f t="shared" si="17"/>
        <v>0</v>
      </c>
      <c r="T23" s="1021">
        <f t="shared" si="17"/>
        <v>0</v>
      </c>
      <c r="U23" s="1021">
        <f t="shared" si="17"/>
        <v>0</v>
      </c>
      <c r="V23" s="918">
        <f t="shared" si="18"/>
        <v>0</v>
      </c>
      <c r="W23" s="918">
        <f t="shared" si="18"/>
        <v>0</v>
      </c>
      <c r="X23" s="918">
        <f>IF(ISERROR(VLOOKUP((X$2&amp;$B23),Sheet_Balance1,2,0)),0,VLOOKUP((X$2&amp;$B23),Sheet_Balance1,2,0))</f>
        <v>0</v>
      </c>
      <c r="Y23" s="918">
        <f t="shared" si="19"/>
        <v>0</v>
      </c>
      <c r="Z23" s="918">
        <f t="shared" si="19"/>
        <v>0</v>
      </c>
      <c r="AA23" s="918">
        <f t="shared" si="19"/>
        <v>0</v>
      </c>
      <c r="AB23" s="918">
        <f t="shared" si="19"/>
        <v>0</v>
      </c>
      <c r="AC23" s="918">
        <f t="shared" si="19"/>
        <v>0</v>
      </c>
      <c r="AD23" s="918">
        <f t="shared" si="19"/>
        <v>0</v>
      </c>
      <c r="AE23" s="1049">
        <f t="shared" si="5"/>
        <v>0</v>
      </c>
      <c r="AF23" s="641"/>
      <c r="AG23" s="641"/>
      <c r="AH23" s="641"/>
      <c r="AI23" s="641"/>
    </row>
    <row r="24" spans="1:35" ht="18">
      <c r="A24" s="2752" t="s">
        <v>287</v>
      </c>
      <c r="B24" s="2833" t="s">
        <v>2630</v>
      </c>
      <c r="C24" s="975" t="str">
        <f t="shared" si="14"/>
        <v>（三）利润分配</v>
      </c>
      <c r="D24" s="885">
        <f>SUM(D25:D28)</f>
        <v>0</v>
      </c>
      <c r="E24" s="885">
        <f>SUM(E25:E28)</f>
        <v>0</v>
      </c>
      <c r="F24" s="885">
        <f>SUM(F25:F28)</f>
        <v>0</v>
      </c>
      <c r="G24" s="885">
        <f>SUM(G25:G28)</f>
        <v>0</v>
      </c>
      <c r="H24" s="885">
        <f t="shared" ref="H24:P24" si="20">SUM(H25:H28)</f>
        <v>0</v>
      </c>
      <c r="I24" s="885">
        <f t="shared" si="20"/>
        <v>0</v>
      </c>
      <c r="J24" s="885">
        <f t="shared" si="20"/>
        <v>0</v>
      </c>
      <c r="K24" s="885">
        <f t="shared" si="20"/>
        <v>0</v>
      </c>
      <c r="L24" s="885">
        <f t="shared" si="20"/>
        <v>8046.4</v>
      </c>
      <c r="M24" s="885">
        <f t="shared" si="20"/>
        <v>0</v>
      </c>
      <c r="N24" s="885">
        <f t="shared" si="20"/>
        <v>-10472146.4</v>
      </c>
      <c r="O24" s="885">
        <f t="shared" si="20"/>
        <v>0</v>
      </c>
      <c r="P24" s="885">
        <f t="shared" si="20"/>
        <v>0</v>
      </c>
      <c r="Q24" s="1020">
        <f t="shared" si="4"/>
        <v>-10464100</v>
      </c>
      <c r="R24" s="1022">
        <f t="shared" ref="R24:AD24" si="21">SUM(R25:R28)</f>
        <v>0</v>
      </c>
      <c r="S24" s="1022">
        <f t="shared" si="21"/>
        <v>0</v>
      </c>
      <c r="T24" s="1022">
        <f t="shared" si="21"/>
        <v>0</v>
      </c>
      <c r="U24" s="1022">
        <f t="shared" si="21"/>
        <v>0</v>
      </c>
      <c r="V24" s="885">
        <f t="shared" si="21"/>
        <v>0</v>
      </c>
      <c r="W24" s="885">
        <f t="shared" si="21"/>
        <v>0</v>
      </c>
      <c r="X24" s="885">
        <f t="shared" si="21"/>
        <v>0</v>
      </c>
      <c r="Y24" s="885">
        <f t="shared" si="21"/>
        <v>0</v>
      </c>
      <c r="Z24" s="885">
        <f t="shared" si="21"/>
        <v>52022.89</v>
      </c>
      <c r="AA24" s="885">
        <f t="shared" si="21"/>
        <v>0</v>
      </c>
      <c r="AB24" s="885">
        <f t="shared" si="21"/>
        <v>-52022.89</v>
      </c>
      <c r="AC24" s="885">
        <f t="shared" si="21"/>
        <v>0</v>
      </c>
      <c r="AD24" s="885">
        <f t="shared" si="21"/>
        <v>0</v>
      </c>
      <c r="AE24" s="1049">
        <f t="shared" si="5"/>
        <v>0</v>
      </c>
      <c r="AF24" s="641"/>
      <c r="AG24" s="641"/>
      <c r="AH24" s="641"/>
      <c r="AI24" s="641"/>
    </row>
    <row r="25" spans="1:35" ht="18">
      <c r="A25" s="2752"/>
      <c r="B25" s="2833" t="s">
        <v>2631</v>
      </c>
      <c r="C25" s="977" t="str">
        <f t="shared" si="14"/>
        <v>提取盈余公积</v>
      </c>
      <c r="D25" s="918"/>
      <c r="E25" s="918"/>
      <c r="F25" s="918"/>
      <c r="G25" s="918"/>
      <c r="H25" s="918"/>
      <c r="I25" s="918"/>
      <c r="J25" s="918"/>
      <c r="K25" s="918"/>
      <c r="L25" s="918">
        <f>preBS!K62-preBS!L62</f>
        <v>8046.4</v>
      </c>
      <c r="M25" s="918"/>
      <c r="N25" s="918">
        <f>-L25</f>
        <v>-8046.4</v>
      </c>
      <c r="O25" s="918"/>
      <c r="P25" s="918"/>
      <c r="Q25" s="1020">
        <f t="shared" si="4"/>
        <v>0</v>
      </c>
      <c r="R25" s="1021">
        <f>IF(ISERROR(VLOOKUP(VALUE(R$2&amp;$B25),Sheet_Balance1,2,0)),0,VLOOKUP(VALUE(R$2&amp;$B25),Sheet_Balance1,2,0))</f>
        <v>0</v>
      </c>
      <c r="S25" s="1021">
        <f t="shared" ref="S25:U28" si="22">IF(ISERROR(VLOOKUP((S$2&amp;$B25),Sheet_Balance1,2,0)),0,VLOOKUP((S$2&amp;$B25),Sheet_Balance1,2,0))</f>
        <v>0</v>
      </c>
      <c r="T25" s="1021">
        <f t="shared" si="22"/>
        <v>0</v>
      </c>
      <c r="U25" s="1021">
        <f t="shared" si="22"/>
        <v>0</v>
      </c>
      <c r="V25" s="918">
        <f t="shared" ref="V25:W28" si="23">IF(ISERROR(VLOOKUP(VALUE(V$2&amp;$B25),Sheet_Balance1,2,0)),0,VLOOKUP(VALUE(V$2&amp;$B25),Sheet_Balance1,2,0))</f>
        <v>0</v>
      </c>
      <c r="W25" s="918">
        <f t="shared" si="23"/>
        <v>0</v>
      </c>
      <c r="X25" s="918">
        <f>IF(ISERROR(VLOOKUP((X$2&amp;$B25),Sheet_Balance1,2,0)),0,VLOOKUP((X$2&amp;$B25),Sheet_Balance1,2,0))</f>
        <v>0</v>
      </c>
      <c r="Y25" s="918">
        <f t="shared" ref="Y25:AD28" si="24">IF(ISERROR(VLOOKUP(VALUE(Y$2&amp;$B25),Sheet_Balance1,2,0)),0,VLOOKUP(VALUE(Y$2&amp;$B25),Sheet_Balance1,2,0))</f>
        <v>0</v>
      </c>
      <c r="Z25" s="918">
        <f t="shared" si="24"/>
        <v>52022.89</v>
      </c>
      <c r="AA25" s="918">
        <f t="shared" si="24"/>
        <v>0</v>
      </c>
      <c r="AB25" s="918">
        <f t="shared" si="24"/>
        <v>-52022.89</v>
      </c>
      <c r="AC25" s="918">
        <f t="shared" si="24"/>
        <v>0</v>
      </c>
      <c r="AD25" s="918">
        <f t="shared" si="24"/>
        <v>0</v>
      </c>
      <c r="AE25" s="1049">
        <f t="shared" si="5"/>
        <v>0</v>
      </c>
      <c r="AF25" s="641"/>
      <c r="AG25" s="641"/>
      <c r="AH25" s="641"/>
      <c r="AI25" s="641"/>
    </row>
    <row r="26" spans="1:35" ht="18">
      <c r="A26" s="2752"/>
      <c r="B26" s="2833" t="s">
        <v>2632</v>
      </c>
      <c r="C26" s="978" t="str">
        <f t="shared" si="14"/>
        <v>提取一般风险准备</v>
      </c>
      <c r="D26" s="918"/>
      <c r="E26" s="918"/>
      <c r="F26" s="918"/>
      <c r="G26" s="918"/>
      <c r="H26" s="918"/>
      <c r="I26" s="918"/>
      <c r="J26" s="918"/>
      <c r="K26" s="918"/>
      <c r="L26" s="918"/>
      <c r="M26" s="918"/>
      <c r="N26" s="918"/>
      <c r="O26" s="918"/>
      <c r="P26" s="918"/>
      <c r="Q26" s="1020">
        <f t="shared" si="4"/>
        <v>0</v>
      </c>
      <c r="R26" s="1021">
        <f>IF(ISERROR(VLOOKUP(VALUE(R$2&amp;$B26),Sheet_Balance1,2,0)),0,VLOOKUP(VALUE(R$2&amp;$B26),Sheet_Balance1,2,0))</f>
        <v>0</v>
      </c>
      <c r="S26" s="1021">
        <f t="shared" si="22"/>
        <v>0</v>
      </c>
      <c r="T26" s="1021">
        <f t="shared" si="22"/>
        <v>0</v>
      </c>
      <c r="U26" s="1021">
        <f t="shared" si="22"/>
        <v>0</v>
      </c>
      <c r="V26" s="918">
        <f t="shared" si="23"/>
        <v>0</v>
      </c>
      <c r="W26" s="918">
        <f t="shared" si="23"/>
        <v>0</v>
      </c>
      <c r="X26" s="918">
        <f>IF(ISERROR(VLOOKUP((X$2&amp;$B26),Sheet_Balance1,2,0)),0,VLOOKUP((X$2&amp;$B26),Sheet_Balance1,2,0))</f>
        <v>0</v>
      </c>
      <c r="Y26" s="918">
        <f t="shared" si="24"/>
        <v>0</v>
      </c>
      <c r="Z26" s="918">
        <f t="shared" si="24"/>
        <v>0</v>
      </c>
      <c r="AA26" s="918">
        <f t="shared" si="24"/>
        <v>0</v>
      </c>
      <c r="AB26" s="918">
        <f t="shared" si="24"/>
        <v>0</v>
      </c>
      <c r="AC26" s="918">
        <f t="shared" si="24"/>
        <v>0</v>
      </c>
      <c r="AD26" s="918">
        <f t="shared" si="24"/>
        <v>0</v>
      </c>
      <c r="AE26" s="1049">
        <f t="shared" si="5"/>
        <v>0</v>
      </c>
      <c r="AF26" s="641"/>
      <c r="AG26" s="641"/>
      <c r="AH26" s="641"/>
      <c r="AI26" s="641"/>
    </row>
    <row r="27" spans="1:35" ht="18">
      <c r="A27" s="2752"/>
      <c r="B27" s="2833" t="s">
        <v>2633</v>
      </c>
      <c r="C27" s="1658" t="str">
        <f>VLOOKUP(VALUE($Q$2&amp;$B27),Sheet_Items,6,0)</f>
        <v>对所有者（或股东）的分配</v>
      </c>
      <c r="D27" s="918"/>
      <c r="E27" s="918"/>
      <c r="F27" s="918"/>
      <c r="G27" s="918"/>
      <c r="H27" s="918"/>
      <c r="I27" s="918"/>
      <c r="J27" s="918"/>
      <c r="K27" s="918"/>
      <c r="L27" s="918"/>
      <c r="M27" s="918"/>
      <c r="N27" s="918">
        <f>-H20</f>
        <v>-10464100</v>
      </c>
      <c r="O27" s="918"/>
      <c r="P27" s="918"/>
      <c r="Q27" s="1020">
        <f t="shared" si="4"/>
        <v>-10464100</v>
      </c>
      <c r="R27" s="1021">
        <f>IF(ISERROR(VLOOKUP(VALUE(R$2&amp;$B27),Sheet_Balance1,2,0)),0,VLOOKUP(VALUE(R$2&amp;$B27),Sheet_Balance1,2,0))</f>
        <v>0</v>
      </c>
      <c r="S27" s="1021">
        <f t="shared" si="22"/>
        <v>0</v>
      </c>
      <c r="T27" s="1021">
        <f t="shared" si="22"/>
        <v>0</v>
      </c>
      <c r="U27" s="1021">
        <f t="shared" si="22"/>
        <v>0</v>
      </c>
      <c r="V27" s="918">
        <f t="shared" si="23"/>
        <v>0</v>
      </c>
      <c r="W27" s="918">
        <f t="shared" si="23"/>
        <v>0</v>
      </c>
      <c r="X27" s="918">
        <f>IF(ISERROR(VLOOKUP((X$2&amp;$B27),Sheet_Balance1,2,0)),0,VLOOKUP((X$2&amp;$B27),Sheet_Balance1,2,0))</f>
        <v>0</v>
      </c>
      <c r="Y27" s="918">
        <f t="shared" si="24"/>
        <v>0</v>
      </c>
      <c r="Z27" s="918">
        <f t="shared" si="24"/>
        <v>0</v>
      </c>
      <c r="AA27" s="918">
        <f t="shared" si="24"/>
        <v>0</v>
      </c>
      <c r="AB27" s="918">
        <f t="shared" si="24"/>
        <v>0</v>
      </c>
      <c r="AC27" s="918">
        <f t="shared" si="24"/>
        <v>0</v>
      </c>
      <c r="AD27" s="918">
        <f t="shared" si="24"/>
        <v>0</v>
      </c>
      <c r="AE27" s="1049">
        <f t="shared" si="5"/>
        <v>0</v>
      </c>
      <c r="AF27" s="641"/>
      <c r="AG27" s="641"/>
      <c r="AH27" s="641"/>
      <c r="AI27" s="641"/>
    </row>
    <row r="28" spans="1:35" ht="18">
      <c r="A28" s="2752"/>
      <c r="B28" s="2833" t="s">
        <v>2634</v>
      </c>
      <c r="C28" s="979" t="str">
        <f t="shared" si="14"/>
        <v>其他</v>
      </c>
      <c r="D28" s="918"/>
      <c r="E28" s="918"/>
      <c r="F28" s="918"/>
      <c r="G28" s="918"/>
      <c r="H28" s="918"/>
      <c r="I28" s="918"/>
      <c r="J28" s="918"/>
      <c r="K28" s="918"/>
      <c r="L28" s="918"/>
      <c r="M28" s="918"/>
      <c r="N28" s="918"/>
      <c r="O28" s="918"/>
      <c r="P28" s="918"/>
      <c r="Q28" s="1020">
        <f t="shared" si="4"/>
        <v>0</v>
      </c>
      <c r="R28" s="1021">
        <f>IF(ISERROR(VLOOKUP(VALUE(R$2&amp;$B28),Sheet_Balance1,2,0)),0,VLOOKUP(VALUE(R$2&amp;$B28),Sheet_Balance1,2,0))</f>
        <v>0</v>
      </c>
      <c r="S28" s="1021">
        <f t="shared" si="22"/>
        <v>0</v>
      </c>
      <c r="T28" s="1021">
        <f t="shared" si="22"/>
        <v>0</v>
      </c>
      <c r="U28" s="1021">
        <f t="shared" si="22"/>
        <v>0</v>
      </c>
      <c r="V28" s="918">
        <f t="shared" si="23"/>
        <v>0</v>
      </c>
      <c r="W28" s="918">
        <f t="shared" si="23"/>
        <v>0</v>
      </c>
      <c r="X28" s="918">
        <f>IF(ISERROR(VLOOKUP((X$2&amp;$B28),Sheet_Balance1,2,0)),0,VLOOKUP((X$2&amp;$B28),Sheet_Balance1,2,0))</f>
        <v>0</v>
      </c>
      <c r="Y28" s="918">
        <f t="shared" si="24"/>
        <v>0</v>
      </c>
      <c r="Z28" s="918">
        <f t="shared" si="24"/>
        <v>0</v>
      </c>
      <c r="AA28" s="918">
        <f t="shared" si="24"/>
        <v>0</v>
      </c>
      <c r="AB28" s="918">
        <f t="shared" si="24"/>
        <v>0</v>
      </c>
      <c r="AC28" s="918">
        <f t="shared" si="24"/>
        <v>0</v>
      </c>
      <c r="AD28" s="918">
        <f t="shared" si="24"/>
        <v>0</v>
      </c>
      <c r="AE28" s="1049">
        <f t="shared" si="5"/>
        <v>0</v>
      </c>
      <c r="AF28" s="641"/>
      <c r="AG28" s="641"/>
      <c r="AH28" s="641"/>
      <c r="AI28" s="641"/>
    </row>
    <row r="29" spans="1:35" ht="18">
      <c r="A29" s="2752" t="s">
        <v>287</v>
      </c>
      <c r="B29" s="2833" t="s">
        <v>2635</v>
      </c>
      <c r="C29" s="975" t="str">
        <f t="shared" si="14"/>
        <v>（四）所有者权益内部结转</v>
      </c>
      <c r="D29" s="885">
        <f>SUM(D30:D35)</f>
        <v>0</v>
      </c>
      <c r="E29" s="885">
        <f>SUM(E30:E35)</f>
        <v>0</v>
      </c>
      <c r="F29" s="885">
        <f>SUM(F30:F35)</f>
        <v>0</v>
      </c>
      <c r="G29" s="885">
        <f>SUM(G30:G35)</f>
        <v>0</v>
      </c>
      <c r="H29" s="885">
        <f t="shared" ref="H29:P29" si="25">SUM(H30:H35)</f>
        <v>0</v>
      </c>
      <c r="I29" s="885">
        <f t="shared" si="25"/>
        <v>0</v>
      </c>
      <c r="J29" s="885">
        <f t="shared" si="25"/>
        <v>0</v>
      </c>
      <c r="K29" s="885">
        <f t="shared" si="25"/>
        <v>0</v>
      </c>
      <c r="L29" s="885">
        <f t="shared" si="25"/>
        <v>0</v>
      </c>
      <c r="M29" s="885">
        <f t="shared" si="25"/>
        <v>0</v>
      </c>
      <c r="N29" s="885">
        <f t="shared" si="25"/>
        <v>0</v>
      </c>
      <c r="O29" s="885">
        <f t="shared" si="25"/>
        <v>0</v>
      </c>
      <c r="P29" s="885">
        <f t="shared" si="25"/>
        <v>0</v>
      </c>
      <c r="Q29" s="1020">
        <f t="shared" si="4"/>
        <v>0</v>
      </c>
      <c r="R29" s="1022">
        <f t="shared" ref="R29:AD29" si="26">SUM(R30:R35)</f>
        <v>0</v>
      </c>
      <c r="S29" s="1022">
        <f t="shared" si="26"/>
        <v>0</v>
      </c>
      <c r="T29" s="1022">
        <f t="shared" si="26"/>
        <v>0</v>
      </c>
      <c r="U29" s="1022">
        <f t="shared" si="26"/>
        <v>0</v>
      </c>
      <c r="V29" s="885">
        <f t="shared" si="26"/>
        <v>0</v>
      </c>
      <c r="W29" s="885">
        <f t="shared" si="26"/>
        <v>0</v>
      </c>
      <c r="X29" s="885">
        <f t="shared" si="26"/>
        <v>0</v>
      </c>
      <c r="Y29" s="885">
        <f t="shared" si="26"/>
        <v>0</v>
      </c>
      <c r="Z29" s="885">
        <f t="shared" si="26"/>
        <v>0</v>
      </c>
      <c r="AA29" s="885">
        <f t="shared" si="26"/>
        <v>0</v>
      </c>
      <c r="AB29" s="885">
        <f t="shared" si="26"/>
        <v>0</v>
      </c>
      <c r="AC29" s="885">
        <f t="shared" si="26"/>
        <v>0</v>
      </c>
      <c r="AD29" s="885">
        <f t="shared" si="26"/>
        <v>0</v>
      </c>
      <c r="AE29" s="1049">
        <f t="shared" si="5"/>
        <v>0</v>
      </c>
      <c r="AF29" s="641"/>
      <c r="AG29" s="641"/>
      <c r="AH29" s="641"/>
      <c r="AI29" s="641"/>
    </row>
    <row r="30" spans="1:35" ht="18">
      <c r="A30" s="2752"/>
      <c r="B30" s="2833" t="s">
        <v>2636</v>
      </c>
      <c r="C30" s="977" t="str">
        <f>VLOOKUP(VALUE($Q$2&amp;$B30),Sheet_Items,6,0)</f>
        <v>资本公积转增资本（或股本）</v>
      </c>
      <c r="D30" s="918"/>
      <c r="E30" s="918"/>
      <c r="F30" s="918"/>
      <c r="G30" s="918"/>
      <c r="H30" s="918"/>
      <c r="I30" s="918"/>
      <c r="J30" s="918"/>
      <c r="K30" s="918"/>
      <c r="L30" s="918"/>
      <c r="M30" s="918"/>
      <c r="N30" s="918"/>
      <c r="O30" s="918"/>
      <c r="P30" s="918"/>
      <c r="Q30" s="1020">
        <f t="shared" si="4"/>
        <v>0</v>
      </c>
      <c r="R30" s="1021">
        <f t="shared" ref="R30:R35" si="27">IF(ISERROR(VLOOKUP(VALUE(R$2&amp;$B30),Sheet_Balance1,2,0)),0,VLOOKUP(VALUE(R$2&amp;$B30),Sheet_Balance1,2,0))</f>
        <v>0</v>
      </c>
      <c r="S30" s="1021">
        <f t="shared" ref="S30:U35" si="28">IF(ISERROR(VLOOKUP((S$2&amp;$B30),Sheet_Balance1,2,0)),0,VLOOKUP((S$2&amp;$B30),Sheet_Balance1,2,0))</f>
        <v>0</v>
      </c>
      <c r="T30" s="1021">
        <f t="shared" si="28"/>
        <v>0</v>
      </c>
      <c r="U30" s="1021">
        <f t="shared" si="28"/>
        <v>0</v>
      </c>
      <c r="V30" s="918">
        <f t="shared" ref="V30:W35" si="29">IF(ISERROR(VLOOKUP(VALUE(V$2&amp;$B30),Sheet_Balance1,2,0)),0,VLOOKUP(VALUE(V$2&amp;$B30),Sheet_Balance1,2,0))</f>
        <v>0</v>
      </c>
      <c r="W30" s="918">
        <f t="shared" si="29"/>
        <v>0</v>
      </c>
      <c r="X30" s="918">
        <f t="shared" ref="X30:X35" si="30">IF(ISERROR(VLOOKUP((X$2&amp;$B30),Sheet_Balance1,2,0)),0,VLOOKUP((X$2&amp;$B30),Sheet_Balance1,2,0))</f>
        <v>0</v>
      </c>
      <c r="Y30" s="918">
        <f t="shared" ref="Y30:AD35" si="31">IF(ISERROR(VLOOKUP(VALUE(Y$2&amp;$B30),Sheet_Balance1,2,0)),0,VLOOKUP(VALUE(Y$2&amp;$B30),Sheet_Balance1,2,0))</f>
        <v>0</v>
      </c>
      <c r="Z30" s="918">
        <f t="shared" si="31"/>
        <v>0</v>
      </c>
      <c r="AA30" s="918">
        <f t="shared" si="31"/>
        <v>0</v>
      </c>
      <c r="AB30" s="918">
        <f t="shared" si="31"/>
        <v>0</v>
      </c>
      <c r="AC30" s="918">
        <f t="shared" si="31"/>
        <v>0</v>
      </c>
      <c r="AD30" s="918">
        <f t="shared" si="31"/>
        <v>0</v>
      </c>
      <c r="AE30" s="1049">
        <f t="shared" si="5"/>
        <v>0</v>
      </c>
      <c r="AF30" s="641"/>
      <c r="AG30" s="641"/>
      <c r="AH30" s="641"/>
      <c r="AI30" s="641"/>
    </row>
    <row r="31" spans="1:35" ht="18">
      <c r="A31" s="2752"/>
      <c r="B31" s="2833" t="s">
        <v>2637</v>
      </c>
      <c r="C31" s="978" t="str">
        <f>VLOOKUP(VALUE($Q$2&amp;$B31),Sheet_Items,6,0)</f>
        <v>盈余公积转增资本（或股本）</v>
      </c>
      <c r="D31" s="918"/>
      <c r="E31" s="918"/>
      <c r="F31" s="918"/>
      <c r="G31" s="918"/>
      <c r="H31" s="918"/>
      <c r="I31" s="918"/>
      <c r="J31" s="918"/>
      <c r="K31" s="918"/>
      <c r="L31" s="918"/>
      <c r="M31" s="918"/>
      <c r="N31" s="918"/>
      <c r="O31" s="918"/>
      <c r="P31" s="918"/>
      <c r="Q31" s="1020">
        <f t="shared" si="4"/>
        <v>0</v>
      </c>
      <c r="R31" s="1021">
        <f t="shared" si="27"/>
        <v>0</v>
      </c>
      <c r="S31" s="1021">
        <f t="shared" si="28"/>
        <v>0</v>
      </c>
      <c r="T31" s="1021">
        <f t="shared" si="28"/>
        <v>0</v>
      </c>
      <c r="U31" s="1021">
        <f t="shared" si="28"/>
        <v>0</v>
      </c>
      <c r="V31" s="918">
        <f t="shared" si="29"/>
        <v>0</v>
      </c>
      <c r="W31" s="918">
        <f t="shared" si="29"/>
        <v>0</v>
      </c>
      <c r="X31" s="918">
        <f t="shared" si="30"/>
        <v>0</v>
      </c>
      <c r="Y31" s="918">
        <f t="shared" si="31"/>
        <v>0</v>
      </c>
      <c r="Z31" s="918">
        <f t="shared" si="31"/>
        <v>0</v>
      </c>
      <c r="AA31" s="918">
        <f t="shared" si="31"/>
        <v>0</v>
      </c>
      <c r="AB31" s="918">
        <f t="shared" si="31"/>
        <v>0</v>
      </c>
      <c r="AC31" s="918">
        <f t="shared" si="31"/>
        <v>0</v>
      </c>
      <c r="AD31" s="918">
        <f t="shared" si="31"/>
        <v>0</v>
      </c>
      <c r="AE31" s="1049">
        <f t="shared" si="5"/>
        <v>0</v>
      </c>
      <c r="AF31" s="641"/>
      <c r="AG31" s="641"/>
      <c r="AH31" s="641"/>
      <c r="AI31" s="641"/>
    </row>
    <row r="32" spans="1:35" ht="18">
      <c r="A32" s="2752"/>
      <c r="B32" s="2833" t="s">
        <v>2638</v>
      </c>
      <c r="C32" s="980" t="str">
        <f t="shared" si="14"/>
        <v>盈余公积弥补亏损</v>
      </c>
      <c r="D32" s="918"/>
      <c r="E32" s="918"/>
      <c r="F32" s="918"/>
      <c r="G32" s="918"/>
      <c r="H32" s="918"/>
      <c r="I32" s="918"/>
      <c r="J32" s="918"/>
      <c r="K32" s="918"/>
      <c r="L32" s="918"/>
      <c r="M32" s="918"/>
      <c r="N32" s="918"/>
      <c r="O32" s="918"/>
      <c r="P32" s="918"/>
      <c r="Q32" s="1020">
        <f t="shared" si="4"/>
        <v>0</v>
      </c>
      <c r="R32" s="1021">
        <f t="shared" si="27"/>
        <v>0</v>
      </c>
      <c r="S32" s="1021">
        <f t="shared" si="28"/>
        <v>0</v>
      </c>
      <c r="T32" s="1021">
        <f t="shared" si="28"/>
        <v>0</v>
      </c>
      <c r="U32" s="1021">
        <f t="shared" si="28"/>
        <v>0</v>
      </c>
      <c r="V32" s="918">
        <f t="shared" si="29"/>
        <v>0</v>
      </c>
      <c r="W32" s="918">
        <f t="shared" si="29"/>
        <v>0</v>
      </c>
      <c r="X32" s="918">
        <f t="shared" si="30"/>
        <v>0</v>
      </c>
      <c r="Y32" s="918">
        <f t="shared" si="31"/>
        <v>0</v>
      </c>
      <c r="Z32" s="918">
        <f t="shared" si="31"/>
        <v>0</v>
      </c>
      <c r="AA32" s="918">
        <f t="shared" si="31"/>
        <v>0</v>
      </c>
      <c r="AB32" s="918">
        <f t="shared" si="31"/>
        <v>0</v>
      </c>
      <c r="AC32" s="918">
        <f t="shared" si="31"/>
        <v>0</v>
      </c>
      <c r="AD32" s="918">
        <f t="shared" si="31"/>
        <v>0</v>
      </c>
      <c r="AE32" s="1049">
        <f t="shared" si="5"/>
        <v>0</v>
      </c>
      <c r="AF32" s="641"/>
      <c r="AG32" s="641"/>
      <c r="AH32" s="641"/>
      <c r="AI32" s="641"/>
    </row>
    <row r="33" spans="1:35" ht="24">
      <c r="A33" s="2752"/>
      <c r="B33" s="2833" t="s">
        <v>2639</v>
      </c>
      <c r="C33" s="979" t="str">
        <f t="shared" si="14"/>
        <v>设定受益计划变动额结转留存收益</v>
      </c>
      <c r="D33" s="918"/>
      <c r="E33" s="918"/>
      <c r="F33" s="918"/>
      <c r="G33" s="918"/>
      <c r="H33" s="918"/>
      <c r="I33" s="918"/>
      <c r="J33" s="918"/>
      <c r="K33" s="918"/>
      <c r="L33" s="918"/>
      <c r="M33" s="918"/>
      <c r="N33" s="918"/>
      <c r="O33" s="918"/>
      <c r="P33" s="918"/>
      <c r="Q33" s="1020">
        <f t="shared" si="4"/>
        <v>0</v>
      </c>
      <c r="R33" s="1021">
        <f t="shared" si="27"/>
        <v>0</v>
      </c>
      <c r="S33" s="1021">
        <f t="shared" si="28"/>
        <v>0</v>
      </c>
      <c r="T33" s="1021">
        <f t="shared" si="28"/>
        <v>0</v>
      </c>
      <c r="U33" s="1021">
        <f t="shared" si="28"/>
        <v>0</v>
      </c>
      <c r="V33" s="918">
        <f t="shared" si="29"/>
        <v>0</v>
      </c>
      <c r="W33" s="918">
        <f t="shared" si="29"/>
        <v>0</v>
      </c>
      <c r="X33" s="918">
        <f t="shared" si="30"/>
        <v>0</v>
      </c>
      <c r="Y33" s="918">
        <f t="shared" si="31"/>
        <v>0</v>
      </c>
      <c r="Z33" s="918">
        <f t="shared" si="31"/>
        <v>0</v>
      </c>
      <c r="AA33" s="918">
        <f t="shared" si="31"/>
        <v>0</v>
      </c>
      <c r="AB33" s="918">
        <f t="shared" si="31"/>
        <v>0</v>
      </c>
      <c r="AC33" s="918">
        <f t="shared" si="31"/>
        <v>0</v>
      </c>
      <c r="AD33" s="918">
        <f t="shared" si="31"/>
        <v>0</v>
      </c>
      <c r="AE33" s="1049">
        <f t="shared" si="5"/>
        <v>0</v>
      </c>
      <c r="AF33" s="641"/>
      <c r="AG33" s="641"/>
      <c r="AH33" s="641"/>
      <c r="AI33" s="641"/>
    </row>
    <row r="34" spans="1:35" ht="18">
      <c r="A34" s="2752"/>
      <c r="B34" s="2833" t="s">
        <v>2640</v>
      </c>
      <c r="C34" s="981" t="str">
        <f t="shared" si="14"/>
        <v>其他综合收益结转留存收益</v>
      </c>
      <c r="D34" s="918"/>
      <c r="E34" s="918"/>
      <c r="F34" s="918"/>
      <c r="G34" s="918"/>
      <c r="H34" s="918"/>
      <c r="I34" s="918"/>
      <c r="J34" s="918"/>
      <c r="K34" s="918"/>
      <c r="L34" s="918"/>
      <c r="M34" s="918"/>
      <c r="N34" s="918"/>
      <c r="O34" s="918"/>
      <c r="P34" s="918"/>
      <c r="Q34" s="1020">
        <f t="shared" ref="Q34" si="32">SUM(D34:H34,-I34,J34:P34)</f>
        <v>0</v>
      </c>
      <c r="R34" s="1021">
        <f t="shared" si="27"/>
        <v>0</v>
      </c>
      <c r="S34" s="1021">
        <f t="shared" si="28"/>
        <v>0</v>
      </c>
      <c r="T34" s="1021">
        <f t="shared" si="28"/>
        <v>0</v>
      </c>
      <c r="U34" s="1021">
        <f t="shared" si="28"/>
        <v>0</v>
      </c>
      <c r="V34" s="918">
        <f t="shared" si="29"/>
        <v>0</v>
      </c>
      <c r="W34" s="918">
        <f t="shared" si="29"/>
        <v>0</v>
      </c>
      <c r="X34" s="918">
        <f t="shared" si="30"/>
        <v>0</v>
      </c>
      <c r="Y34" s="918">
        <f t="shared" si="31"/>
        <v>0</v>
      </c>
      <c r="Z34" s="918">
        <f t="shared" si="31"/>
        <v>0</v>
      </c>
      <c r="AA34" s="918">
        <f t="shared" si="31"/>
        <v>0</v>
      </c>
      <c r="AB34" s="918">
        <f t="shared" si="31"/>
        <v>0</v>
      </c>
      <c r="AC34" s="918">
        <f t="shared" si="31"/>
        <v>0</v>
      </c>
      <c r="AD34" s="918">
        <f t="shared" si="31"/>
        <v>0</v>
      </c>
      <c r="AE34" s="1049">
        <f t="shared" ref="AE34" si="33">SUM(R34:V34,-W34,X34:AD34)</f>
        <v>0</v>
      </c>
      <c r="AF34" s="641"/>
      <c r="AG34" s="641"/>
      <c r="AH34" s="641"/>
      <c r="AI34" s="641"/>
    </row>
    <row r="35" spans="1:35" ht="18">
      <c r="A35" s="2752"/>
      <c r="B35" s="2833" t="s">
        <v>2641</v>
      </c>
      <c r="C35" s="982" t="str">
        <f t="shared" si="14"/>
        <v>其他</v>
      </c>
      <c r="D35" s="918"/>
      <c r="E35" s="918"/>
      <c r="F35" s="918"/>
      <c r="G35" s="918"/>
      <c r="H35" s="918"/>
      <c r="I35" s="918"/>
      <c r="J35" s="918"/>
      <c r="K35" s="918"/>
      <c r="L35" s="918"/>
      <c r="M35" s="918"/>
      <c r="N35" s="918">
        <f>-H35</f>
        <v>0</v>
      </c>
      <c r="O35" s="918"/>
      <c r="P35" s="918"/>
      <c r="Q35" s="1020">
        <f t="shared" si="4"/>
        <v>0</v>
      </c>
      <c r="R35" s="1021">
        <f t="shared" si="27"/>
        <v>0</v>
      </c>
      <c r="S35" s="1021">
        <f t="shared" si="28"/>
        <v>0</v>
      </c>
      <c r="T35" s="1021">
        <f t="shared" si="28"/>
        <v>0</v>
      </c>
      <c r="U35" s="1021">
        <f t="shared" si="28"/>
        <v>0</v>
      </c>
      <c r="V35" s="918">
        <f t="shared" si="29"/>
        <v>0</v>
      </c>
      <c r="W35" s="918">
        <f t="shared" si="29"/>
        <v>0</v>
      </c>
      <c r="X35" s="918">
        <f t="shared" si="30"/>
        <v>0</v>
      </c>
      <c r="Y35" s="918">
        <f t="shared" si="31"/>
        <v>0</v>
      </c>
      <c r="Z35" s="918">
        <f t="shared" si="31"/>
        <v>0</v>
      </c>
      <c r="AA35" s="918">
        <f t="shared" si="31"/>
        <v>0</v>
      </c>
      <c r="AB35" s="918">
        <f t="shared" si="31"/>
        <v>0</v>
      </c>
      <c r="AC35" s="918">
        <f t="shared" si="31"/>
        <v>0</v>
      </c>
      <c r="AD35" s="918">
        <f t="shared" si="31"/>
        <v>0</v>
      </c>
      <c r="AE35" s="1049">
        <f t="shared" si="5"/>
        <v>0</v>
      </c>
      <c r="AF35" s="641"/>
      <c r="AG35" s="641"/>
      <c r="AH35" s="641"/>
      <c r="AI35" s="641"/>
    </row>
    <row r="36" spans="1:35" ht="18">
      <c r="A36" s="2752" t="s">
        <v>287</v>
      </c>
      <c r="B36" s="2833" t="s">
        <v>2605</v>
      </c>
      <c r="C36" s="975" t="str">
        <f t="shared" si="14"/>
        <v>（五）专项储备</v>
      </c>
      <c r="D36" s="885">
        <f>SUM(D37:D38)</f>
        <v>0</v>
      </c>
      <c r="E36" s="885">
        <f>SUM(E37:E38)</f>
        <v>0</v>
      </c>
      <c r="F36" s="885">
        <f>SUM(F37:F38)</f>
        <v>0</v>
      </c>
      <c r="G36" s="885">
        <f>SUM(G37:G38)</f>
        <v>0</v>
      </c>
      <c r="H36" s="885">
        <f t="shared" ref="H36:P36" si="34">SUM(H37:H38)</f>
        <v>0</v>
      </c>
      <c r="I36" s="885">
        <f t="shared" si="34"/>
        <v>0</v>
      </c>
      <c r="J36" s="885">
        <f t="shared" si="34"/>
        <v>0</v>
      </c>
      <c r="K36" s="885">
        <f t="shared" si="34"/>
        <v>0</v>
      </c>
      <c r="L36" s="885">
        <f t="shared" si="34"/>
        <v>0</v>
      </c>
      <c r="M36" s="885">
        <f t="shared" si="34"/>
        <v>0</v>
      </c>
      <c r="N36" s="885">
        <f t="shared" si="34"/>
        <v>0</v>
      </c>
      <c r="O36" s="885">
        <f t="shared" si="34"/>
        <v>0</v>
      </c>
      <c r="P36" s="885">
        <f t="shared" si="34"/>
        <v>0</v>
      </c>
      <c r="Q36" s="1020">
        <f t="shared" si="4"/>
        <v>0</v>
      </c>
      <c r="R36" s="1022">
        <f t="shared" ref="R36:AD36" si="35">SUM(R37:R38)</f>
        <v>0</v>
      </c>
      <c r="S36" s="1022">
        <f t="shared" si="35"/>
        <v>0</v>
      </c>
      <c r="T36" s="1022">
        <f t="shared" si="35"/>
        <v>0</v>
      </c>
      <c r="U36" s="1022">
        <f t="shared" si="35"/>
        <v>0</v>
      </c>
      <c r="V36" s="885">
        <f t="shared" si="35"/>
        <v>0</v>
      </c>
      <c r="W36" s="885">
        <f t="shared" si="35"/>
        <v>0</v>
      </c>
      <c r="X36" s="885">
        <f t="shared" si="35"/>
        <v>0</v>
      </c>
      <c r="Y36" s="885">
        <f t="shared" si="35"/>
        <v>0</v>
      </c>
      <c r="Z36" s="885">
        <f t="shared" si="35"/>
        <v>0</v>
      </c>
      <c r="AA36" s="885">
        <f t="shared" si="35"/>
        <v>0</v>
      </c>
      <c r="AB36" s="885">
        <f t="shared" si="35"/>
        <v>0</v>
      </c>
      <c r="AC36" s="885">
        <f t="shared" si="35"/>
        <v>0</v>
      </c>
      <c r="AD36" s="885">
        <f t="shared" si="35"/>
        <v>0</v>
      </c>
      <c r="AE36" s="1049">
        <f t="shared" si="5"/>
        <v>0</v>
      </c>
      <c r="AF36" s="641"/>
      <c r="AG36" s="641"/>
      <c r="AH36" s="641"/>
      <c r="AI36" s="641"/>
    </row>
    <row r="37" spans="1:35" ht="18">
      <c r="A37" s="2752"/>
      <c r="B37" s="2833" t="s">
        <v>2592</v>
      </c>
      <c r="C37" s="977" t="str">
        <f t="shared" si="14"/>
        <v>本期提取</v>
      </c>
      <c r="D37" s="918"/>
      <c r="E37" s="918"/>
      <c r="F37" s="918"/>
      <c r="G37" s="918"/>
      <c r="H37" s="918"/>
      <c r="I37" s="918"/>
      <c r="J37" s="918"/>
      <c r="K37" s="918"/>
      <c r="L37" s="918"/>
      <c r="M37" s="918"/>
      <c r="N37" s="918"/>
      <c r="O37" s="918"/>
      <c r="P37" s="918"/>
      <c r="Q37" s="1020">
        <f t="shared" si="4"/>
        <v>0</v>
      </c>
      <c r="R37" s="1021">
        <f>IF(ISERROR(VLOOKUP(VALUE(R$2&amp;$B37),Sheet_Balance1,2,0)),0,VLOOKUP(VALUE(R$2&amp;$B37),Sheet_Balance1,2,0))</f>
        <v>0</v>
      </c>
      <c r="S37" s="1021">
        <f t="shared" ref="S37:U39" si="36">IF(ISERROR(VLOOKUP((S$2&amp;$B37),Sheet_Balance1,2,0)),0,VLOOKUP((S$2&amp;$B37),Sheet_Balance1,2,0))</f>
        <v>0</v>
      </c>
      <c r="T37" s="1021">
        <f t="shared" si="36"/>
        <v>0</v>
      </c>
      <c r="U37" s="1021">
        <f t="shared" si="36"/>
        <v>0</v>
      </c>
      <c r="V37" s="918">
        <f t="shared" ref="V37:W39" si="37">IF(ISERROR(VLOOKUP(VALUE(V$2&amp;$B37),Sheet_Balance1,2,0)),0,VLOOKUP(VALUE(V$2&amp;$B37),Sheet_Balance1,2,0))</f>
        <v>0</v>
      </c>
      <c r="W37" s="918">
        <f t="shared" si="37"/>
        <v>0</v>
      </c>
      <c r="X37" s="918">
        <f>IF(ISERROR(VLOOKUP((X$2&amp;$B37),Sheet_Balance1,2,0)),0,VLOOKUP((X$2&amp;$B37),Sheet_Balance1,2,0))</f>
        <v>0</v>
      </c>
      <c r="Y37" s="918">
        <f t="shared" ref="Y37:AD39" si="38">IF(ISERROR(VLOOKUP(VALUE(Y$2&amp;$B37),Sheet_Balance1,2,0)),0,VLOOKUP(VALUE(Y$2&amp;$B37),Sheet_Balance1,2,0))</f>
        <v>0</v>
      </c>
      <c r="Z37" s="918">
        <f t="shared" si="38"/>
        <v>0</v>
      </c>
      <c r="AA37" s="918">
        <f t="shared" si="38"/>
        <v>0</v>
      </c>
      <c r="AB37" s="918">
        <f t="shared" si="38"/>
        <v>0</v>
      </c>
      <c r="AC37" s="918">
        <f t="shared" si="38"/>
        <v>0</v>
      </c>
      <c r="AD37" s="918">
        <f t="shared" si="38"/>
        <v>0</v>
      </c>
      <c r="AE37" s="1049">
        <f t="shared" si="5"/>
        <v>0</v>
      </c>
      <c r="AF37" s="641"/>
      <c r="AG37" s="641"/>
      <c r="AH37" s="641"/>
      <c r="AI37" s="641"/>
    </row>
    <row r="38" spans="1:35" ht="18">
      <c r="A38" s="2752"/>
      <c r="B38" s="2833" t="s">
        <v>2596</v>
      </c>
      <c r="C38" s="978" t="str">
        <f>VLOOKUP(VALUE($Q$2&amp;$B38),Sheet_Items,6,0)</f>
        <v>本年使用</v>
      </c>
      <c r="D38" s="918"/>
      <c r="E38" s="918"/>
      <c r="F38" s="918"/>
      <c r="G38" s="918"/>
      <c r="H38" s="918"/>
      <c r="I38" s="918"/>
      <c r="J38" s="918"/>
      <c r="K38" s="918"/>
      <c r="L38" s="918"/>
      <c r="M38" s="918"/>
      <c r="N38" s="918"/>
      <c r="O38" s="918"/>
      <c r="P38" s="918"/>
      <c r="Q38" s="1020">
        <f t="shared" si="4"/>
        <v>0</v>
      </c>
      <c r="R38" s="1021">
        <f>IF(ISERROR(VLOOKUP(VALUE(R$2&amp;$B38),Sheet_Balance1,2,0)),0,VLOOKUP(VALUE(R$2&amp;$B38),Sheet_Balance1,2,0))</f>
        <v>0</v>
      </c>
      <c r="S38" s="1021">
        <f t="shared" si="36"/>
        <v>0</v>
      </c>
      <c r="T38" s="1021">
        <f t="shared" si="36"/>
        <v>0</v>
      </c>
      <c r="U38" s="1021">
        <f t="shared" si="36"/>
        <v>0</v>
      </c>
      <c r="V38" s="918">
        <f t="shared" si="37"/>
        <v>0</v>
      </c>
      <c r="W38" s="918">
        <f t="shared" si="37"/>
        <v>0</v>
      </c>
      <c r="X38" s="918">
        <f>IF(ISERROR(VLOOKUP((X$2&amp;$B38),Sheet_Balance1,2,0)),0,VLOOKUP((X$2&amp;$B38),Sheet_Balance1,2,0))</f>
        <v>0</v>
      </c>
      <c r="Y38" s="918">
        <f t="shared" si="38"/>
        <v>0</v>
      </c>
      <c r="Z38" s="918">
        <f t="shared" si="38"/>
        <v>0</v>
      </c>
      <c r="AA38" s="918">
        <f t="shared" si="38"/>
        <v>0</v>
      </c>
      <c r="AB38" s="918">
        <f t="shared" si="38"/>
        <v>0</v>
      </c>
      <c r="AC38" s="918">
        <f t="shared" si="38"/>
        <v>0</v>
      </c>
      <c r="AD38" s="918">
        <f t="shared" si="38"/>
        <v>0</v>
      </c>
      <c r="AE38" s="1049">
        <f t="shared" si="5"/>
        <v>0</v>
      </c>
      <c r="AF38" s="641"/>
      <c r="AG38" s="641"/>
      <c r="AH38" s="641"/>
      <c r="AI38" s="641"/>
    </row>
    <row r="39" spans="1:35" ht="18">
      <c r="A39" s="2752"/>
      <c r="B39" s="2809" t="s">
        <v>2642</v>
      </c>
      <c r="C39" s="983" t="str">
        <f t="shared" si="14"/>
        <v>（六）其他</v>
      </c>
      <c r="D39" s="984"/>
      <c r="E39" s="984"/>
      <c r="F39" s="984"/>
      <c r="G39" s="984"/>
      <c r="H39" s="984"/>
      <c r="I39" s="984"/>
      <c r="J39" s="984"/>
      <c r="K39" s="984"/>
      <c r="L39" s="984"/>
      <c r="M39" s="984"/>
      <c r="N39" s="984"/>
      <c r="O39" s="984"/>
      <c r="P39" s="984"/>
      <c r="Q39" s="1023">
        <f t="shared" si="4"/>
        <v>0</v>
      </c>
      <c r="R39" s="1024">
        <f>IF(ISERROR(VLOOKUP(VALUE(R$2&amp;$B39),Sheet_Balance1,2,0)),0,VLOOKUP(VALUE(R$2&amp;$B39),Sheet_Balance1,2,0))</f>
        <v>0</v>
      </c>
      <c r="S39" s="1024">
        <f t="shared" si="36"/>
        <v>0</v>
      </c>
      <c r="T39" s="1024">
        <f t="shared" si="36"/>
        <v>0</v>
      </c>
      <c r="U39" s="1024">
        <f t="shared" si="36"/>
        <v>0</v>
      </c>
      <c r="V39" s="984">
        <f t="shared" si="37"/>
        <v>0</v>
      </c>
      <c r="W39" s="984">
        <f t="shared" si="37"/>
        <v>0</v>
      </c>
      <c r="X39" s="984">
        <f>IF(ISERROR(VLOOKUP((X$2&amp;$B39),Sheet_Balance1,2,0)),0,VLOOKUP((X$2&amp;$B39),Sheet_Balance1,2,0))</f>
        <v>0</v>
      </c>
      <c r="Y39" s="984">
        <f t="shared" si="38"/>
        <v>0</v>
      </c>
      <c r="Z39" s="984">
        <f t="shared" si="38"/>
        <v>0</v>
      </c>
      <c r="AA39" s="984">
        <f t="shared" si="38"/>
        <v>0</v>
      </c>
      <c r="AB39" s="984">
        <f t="shared" si="38"/>
        <v>0</v>
      </c>
      <c r="AC39" s="984">
        <f t="shared" si="38"/>
        <v>0</v>
      </c>
      <c r="AD39" s="984">
        <f t="shared" si="38"/>
        <v>0</v>
      </c>
      <c r="AE39" s="1050">
        <f t="shared" si="5"/>
        <v>0</v>
      </c>
      <c r="AF39" s="641"/>
      <c r="AG39" s="641"/>
      <c r="AH39" s="641"/>
      <c r="AI39" s="641"/>
    </row>
    <row r="40" spans="1:35" ht="18">
      <c r="A40" s="2752" t="s">
        <v>287</v>
      </c>
      <c r="B40" s="2833" t="s">
        <v>2643</v>
      </c>
      <c r="C40" s="985" t="str">
        <f t="shared" si="14"/>
        <v>四、本年年末余额</v>
      </c>
      <c r="D40" s="986">
        <f>SUM(D14,D15)</f>
        <v>30000000</v>
      </c>
      <c r="E40" s="986">
        <f>SUM(E14,E15)</f>
        <v>0</v>
      </c>
      <c r="F40" s="986">
        <f>SUM(F14,F15)</f>
        <v>0</v>
      </c>
      <c r="G40" s="986">
        <f>SUM(G14,G15)</f>
        <v>0</v>
      </c>
      <c r="H40" s="986">
        <f t="shared" ref="H40:AE40" si="39">SUM(H14,H15)</f>
        <v>10464100</v>
      </c>
      <c r="I40" s="986">
        <f t="shared" si="39"/>
        <v>0</v>
      </c>
      <c r="J40" s="986">
        <f t="shared" si="39"/>
        <v>0</v>
      </c>
      <c r="K40" s="986">
        <f t="shared" si="39"/>
        <v>0</v>
      </c>
      <c r="L40" s="986">
        <f t="shared" si="39"/>
        <v>1484894.62</v>
      </c>
      <c r="M40" s="986">
        <f t="shared" si="39"/>
        <v>0</v>
      </c>
      <c r="N40" s="986">
        <f t="shared" si="39"/>
        <v>2899951.46</v>
      </c>
      <c r="O40" s="986">
        <f t="shared" si="39"/>
        <v>0</v>
      </c>
      <c r="P40" s="1010">
        <f t="shared" si="39"/>
        <v>0</v>
      </c>
      <c r="Q40" s="1025">
        <f t="shared" si="39"/>
        <v>44848946.079999998</v>
      </c>
      <c r="R40" s="1010">
        <f t="shared" ref="R40:AD40" si="40">SUM(R14,R15)</f>
        <v>30000000</v>
      </c>
      <c r="S40" s="1010">
        <f t="shared" si="40"/>
        <v>0</v>
      </c>
      <c r="T40" s="1010">
        <f t="shared" si="40"/>
        <v>0</v>
      </c>
      <c r="U40" s="1010">
        <f t="shared" si="40"/>
        <v>0</v>
      </c>
      <c r="V40" s="986">
        <f t="shared" si="40"/>
        <v>0</v>
      </c>
      <c r="W40" s="986">
        <f t="shared" si="40"/>
        <v>0</v>
      </c>
      <c r="X40" s="986">
        <f t="shared" si="40"/>
        <v>0</v>
      </c>
      <c r="Y40" s="986">
        <f t="shared" si="40"/>
        <v>0</v>
      </c>
      <c r="Z40" s="986">
        <f t="shared" si="40"/>
        <v>1476848.22</v>
      </c>
      <c r="AA40" s="986">
        <f t="shared" si="40"/>
        <v>0</v>
      </c>
      <c r="AB40" s="986">
        <f t="shared" si="40"/>
        <v>13291633.890000001</v>
      </c>
      <c r="AC40" s="986">
        <f t="shared" si="40"/>
        <v>0</v>
      </c>
      <c r="AD40" s="986">
        <f t="shared" si="40"/>
        <v>0</v>
      </c>
      <c r="AE40" s="1051">
        <f t="shared" si="39"/>
        <v>44768482.109999999</v>
      </c>
      <c r="AF40" s="641"/>
      <c r="AG40" s="641"/>
      <c r="AH40" s="641"/>
      <c r="AI40" s="641"/>
    </row>
    <row r="41" spans="1:35" ht="18">
      <c r="A41" s="2749"/>
      <c r="B41" s="2752"/>
      <c r="C41" s="833" t="str">
        <f>Lead!$B$8&amp;"："&amp;Lead!$C$8</f>
        <v>法定代表人：</v>
      </c>
      <c r="D41" s="833"/>
      <c r="E41" s="833"/>
      <c r="F41" s="833"/>
      <c r="G41" s="833"/>
      <c r="H41" s="833"/>
      <c r="I41" s="833"/>
      <c r="J41" s="833"/>
      <c r="K41" s="833"/>
      <c r="L41" s="833"/>
      <c r="M41" s="833"/>
      <c r="N41" s="833" t="str">
        <f>Lead!$B$9&amp;"："&amp;Lead!$C$9</f>
        <v>主管会计工作负责人：</v>
      </c>
      <c r="O41" s="833"/>
      <c r="P41" s="833"/>
      <c r="Q41" s="833"/>
      <c r="R41" s="833"/>
      <c r="S41" s="833"/>
      <c r="T41" s="833"/>
      <c r="U41" s="833"/>
      <c r="V41" s="833"/>
      <c r="W41" s="833"/>
      <c r="X41" s="833"/>
      <c r="Y41" s="833"/>
      <c r="Z41" s="833"/>
      <c r="AA41" s="833" t="str">
        <f>Lead!$B$10&amp;"："&amp;Lead!$C$10</f>
        <v>会计机构负责人：</v>
      </c>
      <c r="AB41" s="833"/>
      <c r="AC41" s="833"/>
      <c r="AD41" s="833"/>
      <c r="AE41" s="833"/>
      <c r="AF41" s="641"/>
      <c r="AG41" s="641"/>
      <c r="AH41" s="641"/>
      <c r="AI41" s="641"/>
    </row>
    <row r="42" spans="1:35" ht="18">
      <c r="A42" s="2749"/>
      <c r="B42" s="2752"/>
      <c r="C42" s="641"/>
      <c r="D42" s="641"/>
      <c r="E42" s="641"/>
      <c r="F42" s="641"/>
      <c r="G42" s="641"/>
      <c r="H42" s="641"/>
      <c r="I42" s="641"/>
      <c r="J42" s="641"/>
      <c r="K42" s="641"/>
      <c r="L42" s="641"/>
      <c r="M42" s="641"/>
      <c r="N42" s="641"/>
      <c r="O42" s="641"/>
      <c r="P42" s="641"/>
      <c r="Q42" s="641"/>
      <c r="R42" s="641"/>
      <c r="S42" s="641"/>
      <c r="T42" s="641"/>
      <c r="U42" s="641"/>
      <c r="V42" s="641"/>
      <c r="W42" s="641"/>
      <c r="X42" s="641"/>
      <c r="Y42" s="641"/>
      <c r="Z42" s="641"/>
      <c r="AA42" s="641"/>
      <c r="AB42" s="641"/>
      <c r="AC42" s="641"/>
      <c r="AD42" s="641"/>
      <c r="AE42" s="641"/>
      <c r="AF42" s="641"/>
      <c r="AG42" s="641"/>
      <c r="AH42" s="641"/>
      <c r="AI42" s="641"/>
    </row>
    <row r="43" spans="1:35" ht="18">
      <c r="A43" s="2749"/>
      <c r="B43" s="2752"/>
      <c r="C43" s="641"/>
      <c r="D43" s="641"/>
      <c r="E43" s="641"/>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row>
    <row r="44" spans="1:35" ht="18">
      <c r="A44" s="2749"/>
      <c r="B44" s="2752"/>
      <c r="C44" s="641"/>
      <c r="D44" s="641"/>
      <c r="E44" s="641"/>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row>
    <row r="45" spans="1:35" s="963" customFormat="1" ht="41.25" customHeight="1">
      <c r="A45" s="2812" t="s">
        <v>2565</v>
      </c>
      <c r="B45" s="2813"/>
      <c r="C45" s="987" t="s">
        <v>2566</v>
      </c>
      <c r="D45" s="988"/>
      <c r="E45" s="988"/>
      <c r="F45" s="988"/>
      <c r="G45" s="988"/>
      <c r="H45" s="989"/>
      <c r="I45" s="989"/>
      <c r="J45" s="989"/>
      <c r="K45" s="989"/>
      <c r="L45" s="989"/>
      <c r="M45" s="989"/>
      <c r="N45" s="989"/>
      <c r="O45" s="1011" t="s">
        <v>47</v>
      </c>
      <c r="P45" s="989"/>
      <c r="Q45" s="989"/>
      <c r="R45" s="1026" t="s">
        <v>586</v>
      </c>
      <c r="S45" s="1026" t="s">
        <v>2610</v>
      </c>
      <c r="T45" s="1026" t="s">
        <v>2611</v>
      </c>
      <c r="U45" s="1026" t="s">
        <v>2612</v>
      </c>
      <c r="V45" s="1027" t="s">
        <v>592</v>
      </c>
      <c r="W45" s="1027" t="s">
        <v>682</v>
      </c>
      <c r="X45" s="1027" t="s">
        <v>621</v>
      </c>
      <c r="Y45" s="1027" t="s">
        <v>627</v>
      </c>
      <c r="Z45" s="1027" t="s">
        <v>602</v>
      </c>
      <c r="AA45" s="1027" t="s">
        <v>2613</v>
      </c>
      <c r="AB45" s="1027" t="s">
        <v>611</v>
      </c>
      <c r="AC45" s="1027" t="s">
        <v>932</v>
      </c>
      <c r="AD45" s="1027" t="s">
        <v>719</v>
      </c>
      <c r="AE45" s="1052" t="s">
        <v>2614</v>
      </c>
      <c r="AF45" s="1053"/>
      <c r="AG45" s="1053"/>
      <c r="AH45" s="1053"/>
      <c r="AI45" s="1053"/>
    </row>
    <row r="46" spans="1:35" ht="18">
      <c r="A46" s="2752" t="s">
        <v>2565</v>
      </c>
      <c r="B46" s="2752"/>
      <c r="C46" s="990" t="s">
        <v>2572</v>
      </c>
      <c r="D46" s="753"/>
      <c r="E46" s="753"/>
      <c r="F46" s="753"/>
      <c r="G46" s="753"/>
      <c r="H46" s="753"/>
      <c r="I46" s="753"/>
      <c r="J46" s="753"/>
      <c r="K46" s="753"/>
      <c r="L46" s="753"/>
      <c r="M46" s="1012" t="s">
        <v>2571</v>
      </c>
      <c r="N46" s="833"/>
      <c r="O46" s="833"/>
      <c r="P46" s="847"/>
      <c r="Q46" s="847"/>
      <c r="R46" s="1028"/>
      <c r="S46" s="1028"/>
      <c r="T46" s="1028"/>
      <c r="U46" s="1028"/>
      <c r="V46" s="1001"/>
      <c r="W46" s="1001"/>
      <c r="X46" s="1001"/>
      <c r="Y46" s="1001"/>
      <c r="Z46" s="1001"/>
      <c r="AA46" s="1001"/>
      <c r="AB46" s="1001"/>
      <c r="AC46" s="1001"/>
      <c r="AD46" s="1001"/>
      <c r="AE46" s="1054"/>
      <c r="AF46" s="641"/>
      <c r="AG46" s="641"/>
      <c r="AH46" s="641"/>
      <c r="AI46" s="641"/>
    </row>
    <row r="47" spans="1:35" ht="18">
      <c r="A47" s="2752" t="s">
        <v>2565</v>
      </c>
      <c r="B47" s="2752"/>
      <c r="C47" s="991">
        <f>SUM(R49:AD49,D56:P56,R56:AD56)</f>
        <v>0</v>
      </c>
      <c r="D47" s="753"/>
      <c r="E47" s="753"/>
      <c r="F47" s="753"/>
      <c r="G47" s="753"/>
      <c r="H47" s="753"/>
      <c r="I47" s="753"/>
      <c r="J47" s="753"/>
      <c r="K47" s="753"/>
      <c r="L47" s="753"/>
      <c r="M47" s="1013" t="str">
        <f>$C$9&amp;":"&amp;$D$6</f>
        <v>一、上年年末余额:本年金额</v>
      </c>
      <c r="N47" s="833"/>
      <c r="O47" s="833"/>
      <c r="P47" s="847"/>
      <c r="Q47" s="1029" t="s">
        <v>442</v>
      </c>
      <c r="R47" s="1028">
        <f>D14</f>
        <v>30000000</v>
      </c>
      <c r="S47" s="1028">
        <f t="shared" ref="S47:AD47" si="41">E14</f>
        <v>0</v>
      </c>
      <c r="T47" s="1028">
        <f t="shared" si="41"/>
        <v>0</v>
      </c>
      <c r="U47" s="1028">
        <f t="shared" si="41"/>
        <v>0</v>
      </c>
      <c r="V47" s="1001">
        <f t="shared" si="41"/>
        <v>0</v>
      </c>
      <c r="W47" s="1001">
        <f t="shared" si="41"/>
        <v>0</v>
      </c>
      <c r="X47" s="1001">
        <f t="shared" si="41"/>
        <v>0</v>
      </c>
      <c r="Y47" s="1001">
        <f t="shared" si="41"/>
        <v>0</v>
      </c>
      <c r="Z47" s="1001">
        <f t="shared" si="41"/>
        <v>1476848.22</v>
      </c>
      <c r="AA47" s="1001">
        <f t="shared" si="41"/>
        <v>0</v>
      </c>
      <c r="AB47" s="1001">
        <f>N9</f>
        <v>13291633.890000001</v>
      </c>
      <c r="AC47" s="1001">
        <f t="shared" si="41"/>
        <v>0</v>
      </c>
      <c r="AD47" s="1001">
        <f t="shared" si="41"/>
        <v>0</v>
      </c>
      <c r="AE47" s="1054">
        <f>Q9</f>
        <v>44768482.109999999</v>
      </c>
      <c r="AF47" s="641"/>
      <c r="AG47" s="641"/>
      <c r="AH47" s="641"/>
      <c r="AI47" s="641"/>
    </row>
    <row r="48" spans="1:35" ht="18">
      <c r="A48" s="2752" t="s">
        <v>2565</v>
      </c>
      <c r="B48" s="2752"/>
      <c r="C48" s="992" t="str">
        <f>IF(C47=0,"Balanced","Diff "&amp;TEXT(ROUND(C47,2),"#,###.00"))</f>
        <v>Balanced</v>
      </c>
      <c r="D48" s="753"/>
      <c r="E48" s="753"/>
      <c r="F48" s="753"/>
      <c r="G48" s="753"/>
      <c r="H48" s="753"/>
      <c r="I48" s="753"/>
      <c r="J48" s="753"/>
      <c r="K48" s="753"/>
      <c r="L48" s="753"/>
      <c r="M48" s="1013" t="str">
        <f>$R$6&amp;":"&amp;$C$40</f>
        <v>上年金额:四、本年年末余额</v>
      </c>
      <c r="N48" s="833"/>
      <c r="O48" s="833"/>
      <c r="P48" s="847"/>
      <c r="Q48" s="1029" t="s">
        <v>442</v>
      </c>
      <c r="R48" s="1030">
        <f>R40</f>
        <v>30000000</v>
      </c>
      <c r="S48" s="1030">
        <f>S40</f>
        <v>0</v>
      </c>
      <c r="T48" s="1030">
        <f>T40</f>
        <v>0</v>
      </c>
      <c r="U48" s="1030">
        <f>U40</f>
        <v>0</v>
      </c>
      <c r="V48" s="1031">
        <f t="shared" ref="V48:AE48" si="42">V40</f>
        <v>0</v>
      </c>
      <c r="W48" s="1031">
        <f t="shared" si="42"/>
        <v>0</v>
      </c>
      <c r="X48" s="1031">
        <f t="shared" si="42"/>
        <v>0</v>
      </c>
      <c r="Y48" s="1031">
        <f t="shared" si="42"/>
        <v>0</v>
      </c>
      <c r="Z48" s="1031">
        <f t="shared" si="42"/>
        <v>1476848.22</v>
      </c>
      <c r="AA48" s="1031">
        <f t="shared" si="42"/>
        <v>0</v>
      </c>
      <c r="AB48" s="1031">
        <f t="shared" si="42"/>
        <v>13291633.890000001</v>
      </c>
      <c r="AC48" s="1031">
        <f t="shared" si="42"/>
        <v>0</v>
      </c>
      <c r="AD48" s="1031">
        <f t="shared" si="42"/>
        <v>0</v>
      </c>
      <c r="AE48" s="1055">
        <f t="shared" si="42"/>
        <v>44768482.109999999</v>
      </c>
      <c r="AF48" s="641"/>
      <c r="AG48" s="641"/>
      <c r="AH48" s="641"/>
      <c r="AI48" s="641"/>
    </row>
    <row r="49" spans="1:35" ht="18">
      <c r="A49" s="2752" t="s">
        <v>2565</v>
      </c>
      <c r="B49" s="2752"/>
      <c r="C49" s="993" t="s">
        <v>2581</v>
      </c>
      <c r="D49" s="753"/>
      <c r="E49" s="753"/>
      <c r="F49" s="753"/>
      <c r="G49" s="753"/>
      <c r="H49" s="753"/>
      <c r="I49" s="753"/>
      <c r="J49" s="753"/>
      <c r="K49" s="753"/>
      <c r="L49" s="753"/>
      <c r="M49" s="1014" t="s">
        <v>2580</v>
      </c>
      <c r="N49" s="833"/>
      <c r="O49" s="833"/>
      <c r="P49" s="847"/>
      <c r="Q49" s="847"/>
      <c r="R49" s="1032">
        <f>ROUND(R47-R48,2)</f>
        <v>0</v>
      </c>
      <c r="S49" s="1032">
        <f>ROUND(S47-S48,2)</f>
        <v>0</v>
      </c>
      <c r="T49" s="1032">
        <f>ROUND(T47-T48,2)</f>
        <v>0</v>
      </c>
      <c r="U49" s="1032">
        <f>ROUND(U47-U48,2)</f>
        <v>0</v>
      </c>
      <c r="V49" s="1005">
        <f t="shared" ref="V49:AE49" si="43">ROUND(V47-V48,2)</f>
        <v>0</v>
      </c>
      <c r="W49" s="1005">
        <f t="shared" si="43"/>
        <v>0</v>
      </c>
      <c r="X49" s="1005">
        <f t="shared" si="43"/>
        <v>0</v>
      </c>
      <c r="Y49" s="1005">
        <f t="shared" si="43"/>
        <v>0</v>
      </c>
      <c r="Z49" s="1005">
        <f t="shared" si="43"/>
        <v>0</v>
      </c>
      <c r="AA49" s="1005">
        <f t="shared" si="43"/>
        <v>0</v>
      </c>
      <c r="AB49" s="1005">
        <f t="shared" si="43"/>
        <v>0</v>
      </c>
      <c r="AC49" s="1005">
        <f t="shared" si="43"/>
        <v>0</v>
      </c>
      <c r="AD49" s="1005">
        <f t="shared" si="43"/>
        <v>0</v>
      </c>
      <c r="AE49" s="1056">
        <f t="shared" si="43"/>
        <v>0</v>
      </c>
      <c r="AF49" s="641"/>
      <c r="AG49" s="641"/>
      <c r="AH49" s="641"/>
      <c r="AI49" s="641"/>
    </row>
    <row r="50" spans="1:35" ht="18">
      <c r="A50" s="2752" t="s">
        <v>2565</v>
      </c>
      <c r="B50" s="2752"/>
      <c r="C50" s="994" t="s">
        <v>2581</v>
      </c>
      <c r="D50" s="753"/>
      <c r="E50" s="753"/>
      <c r="F50" s="753"/>
      <c r="G50" s="753"/>
      <c r="H50" s="753"/>
      <c r="I50" s="753"/>
      <c r="J50" s="753"/>
      <c r="K50" s="753"/>
      <c r="L50" s="753"/>
      <c r="M50" s="753"/>
      <c r="N50" s="847"/>
      <c r="O50" s="847"/>
      <c r="P50" s="847"/>
      <c r="Q50" s="847"/>
      <c r="R50" s="1033" t="str">
        <f>IF(R49=0,"√","×")</f>
        <v>√</v>
      </c>
      <c r="S50" s="1033" t="str">
        <f>IF(S49=0,"√","×")</f>
        <v>√</v>
      </c>
      <c r="T50" s="1033" t="str">
        <f>IF(T49=0,"√","×")</f>
        <v>√</v>
      </c>
      <c r="U50" s="1033" t="str">
        <f>IF(U49=0,"√","×")</f>
        <v>√</v>
      </c>
      <c r="V50" s="1034" t="str">
        <f t="shared" ref="V50:AE50" si="44">IF(V49=0,"√","×")</f>
        <v>√</v>
      </c>
      <c r="W50" s="1034" t="str">
        <f t="shared" si="44"/>
        <v>√</v>
      </c>
      <c r="X50" s="1034" t="str">
        <f t="shared" si="44"/>
        <v>√</v>
      </c>
      <c r="Y50" s="1034" t="str">
        <f t="shared" si="44"/>
        <v>√</v>
      </c>
      <c r="Z50" s="1034" t="str">
        <f t="shared" si="44"/>
        <v>√</v>
      </c>
      <c r="AA50" s="1034" t="str">
        <f t="shared" si="44"/>
        <v>√</v>
      </c>
      <c r="AB50" s="1034" t="str">
        <f t="shared" si="44"/>
        <v>√</v>
      </c>
      <c r="AC50" s="1034" t="str">
        <f t="shared" si="44"/>
        <v>√</v>
      </c>
      <c r="AD50" s="1034" t="str">
        <f t="shared" si="44"/>
        <v>√</v>
      </c>
      <c r="AE50" s="1057" t="str">
        <f t="shared" si="44"/>
        <v>√</v>
      </c>
      <c r="AF50" s="641"/>
      <c r="AG50" s="641"/>
      <c r="AH50" s="641"/>
      <c r="AI50" s="641"/>
    </row>
    <row r="51" spans="1:35" s="963" customFormat="1" ht="18" customHeight="1">
      <c r="A51" s="2812" t="s">
        <v>2565</v>
      </c>
      <c r="B51" s="2813"/>
      <c r="C51" s="995" t="s">
        <v>2566</v>
      </c>
      <c r="D51" s="996" t="s">
        <v>6640</v>
      </c>
      <c r="E51" s="997"/>
      <c r="F51" s="997"/>
      <c r="G51" s="997"/>
      <c r="H51" s="998"/>
      <c r="I51" s="998"/>
      <c r="J51" s="998"/>
      <c r="K51" s="998"/>
      <c r="L51" s="998"/>
      <c r="M51" s="998"/>
      <c r="N51" s="998"/>
      <c r="O51" s="998"/>
      <c r="P51" s="998"/>
      <c r="Q51" s="1035"/>
      <c r="R51" s="1036" t="s">
        <v>2609</v>
      </c>
      <c r="S51" s="1036"/>
      <c r="T51" s="1036"/>
      <c r="U51" s="1036"/>
      <c r="V51" s="998"/>
      <c r="W51" s="998"/>
      <c r="X51" s="998"/>
      <c r="Y51" s="998"/>
      <c r="Z51" s="998"/>
      <c r="AA51" s="998"/>
      <c r="AB51" s="998"/>
      <c r="AC51" s="998"/>
      <c r="AD51" s="998"/>
      <c r="AE51" s="1058"/>
      <c r="AF51" s="1053"/>
      <c r="AG51" s="1053"/>
      <c r="AH51" s="1053"/>
      <c r="AI51" s="1053"/>
    </row>
    <row r="52" spans="1:35" s="963" customFormat="1" ht="40.5" customHeight="1">
      <c r="A52" s="2812" t="s">
        <v>2565</v>
      </c>
      <c r="B52" s="2813"/>
      <c r="C52" s="999" t="s">
        <v>47</v>
      </c>
      <c r="D52" s="973" t="s">
        <v>586</v>
      </c>
      <c r="E52" s="973" t="s">
        <v>2610</v>
      </c>
      <c r="F52" s="973" t="s">
        <v>2611</v>
      </c>
      <c r="G52" s="973" t="s">
        <v>2612</v>
      </c>
      <c r="H52" s="973" t="s">
        <v>592</v>
      </c>
      <c r="I52" s="973" t="s">
        <v>682</v>
      </c>
      <c r="J52" s="973" t="s">
        <v>621</v>
      </c>
      <c r="K52" s="973" t="s">
        <v>627</v>
      </c>
      <c r="L52" s="973" t="s">
        <v>602</v>
      </c>
      <c r="M52" s="973" t="s">
        <v>2613</v>
      </c>
      <c r="N52" s="973" t="s">
        <v>611</v>
      </c>
      <c r="O52" s="973" t="s">
        <v>932</v>
      </c>
      <c r="P52" s="1009" t="s">
        <v>719</v>
      </c>
      <c r="Q52" s="1018" t="s">
        <v>2614</v>
      </c>
      <c r="R52" s="1019" t="s">
        <v>586</v>
      </c>
      <c r="S52" s="1019" t="s">
        <v>2610</v>
      </c>
      <c r="T52" s="1019" t="s">
        <v>2611</v>
      </c>
      <c r="U52" s="1019" t="s">
        <v>2612</v>
      </c>
      <c r="V52" s="973" t="s">
        <v>592</v>
      </c>
      <c r="W52" s="973" t="s">
        <v>682</v>
      </c>
      <c r="X52" s="973" t="s">
        <v>621</v>
      </c>
      <c r="Y52" s="973" t="s">
        <v>627</v>
      </c>
      <c r="Z52" s="973" t="s">
        <v>602</v>
      </c>
      <c r="AA52" s="973" t="s">
        <v>2613</v>
      </c>
      <c r="AB52" s="973" t="s">
        <v>611</v>
      </c>
      <c r="AC52" s="973" t="s">
        <v>932</v>
      </c>
      <c r="AD52" s="1009" t="s">
        <v>719</v>
      </c>
      <c r="AE52" s="1059" t="s">
        <v>2614</v>
      </c>
      <c r="AF52" s="1053"/>
      <c r="AG52" s="1053"/>
      <c r="AH52" s="1053"/>
      <c r="AI52" s="1053"/>
    </row>
    <row r="53" spans="1:35" ht="18">
      <c r="A53" s="2752" t="s">
        <v>2565</v>
      </c>
      <c r="B53" s="2752"/>
      <c r="C53" s="1000" t="s">
        <v>2644</v>
      </c>
      <c r="D53" s="1001"/>
      <c r="E53" s="1001"/>
      <c r="F53" s="1001"/>
      <c r="G53" s="1001"/>
      <c r="H53" s="1001"/>
      <c r="I53" s="1001"/>
      <c r="J53" s="1001"/>
      <c r="K53" s="1001"/>
      <c r="L53" s="1001"/>
      <c r="M53" s="1001"/>
      <c r="N53" s="1001"/>
      <c r="O53" s="1001"/>
      <c r="P53" s="1001"/>
      <c r="Q53" s="1037"/>
      <c r="R53" s="1028"/>
      <c r="S53" s="1028"/>
      <c r="T53" s="1028"/>
      <c r="U53" s="1028"/>
      <c r="V53" s="1001"/>
      <c r="W53" s="1001"/>
      <c r="X53" s="1001"/>
      <c r="Y53" s="1001"/>
      <c r="Z53" s="1001"/>
      <c r="AA53" s="1001"/>
      <c r="AB53" s="1001"/>
      <c r="AC53" s="1001"/>
      <c r="AD53" s="1001"/>
      <c r="AE53" s="1054"/>
      <c r="AF53" s="641"/>
      <c r="AG53" s="641"/>
      <c r="AH53" s="641"/>
      <c r="AI53" s="641"/>
    </row>
    <row r="54" spans="1:35" ht="18">
      <c r="A54" s="2752" t="s">
        <v>2565</v>
      </c>
      <c r="B54" s="2752"/>
      <c r="C54" s="1002" t="str">
        <f>$C$40&amp;"  CE"</f>
        <v>四、本年年末余额  CE</v>
      </c>
      <c r="D54" s="1001">
        <f>D40</f>
        <v>30000000</v>
      </c>
      <c r="E54" s="1001">
        <f>E40</f>
        <v>0</v>
      </c>
      <c r="F54" s="1001">
        <f>F40</f>
        <v>0</v>
      </c>
      <c r="G54" s="1001">
        <f>G40</f>
        <v>0</v>
      </c>
      <c r="H54" s="1001">
        <f t="shared" ref="H54:AE54" si="45">H40</f>
        <v>10464100</v>
      </c>
      <c r="I54" s="1001">
        <f t="shared" si="45"/>
        <v>0</v>
      </c>
      <c r="J54" s="1001">
        <f t="shared" si="45"/>
        <v>0</v>
      </c>
      <c r="K54" s="1001">
        <f t="shared" si="45"/>
        <v>0</v>
      </c>
      <c r="L54" s="1001">
        <f t="shared" si="45"/>
        <v>1484894.62</v>
      </c>
      <c r="M54" s="1001">
        <f t="shared" si="45"/>
        <v>0</v>
      </c>
      <c r="N54" s="1001">
        <f t="shared" si="45"/>
        <v>2899951.46</v>
      </c>
      <c r="O54" s="1001">
        <f t="shared" si="45"/>
        <v>0</v>
      </c>
      <c r="P54" s="1001">
        <f t="shared" si="45"/>
        <v>0</v>
      </c>
      <c r="Q54" s="1038">
        <f t="shared" si="45"/>
        <v>44848946.079999998</v>
      </c>
      <c r="R54" s="1030">
        <f t="shared" si="45"/>
        <v>30000000</v>
      </c>
      <c r="S54" s="1030">
        <f t="shared" si="45"/>
        <v>0</v>
      </c>
      <c r="T54" s="1030">
        <f t="shared" si="45"/>
        <v>0</v>
      </c>
      <c r="U54" s="1030">
        <f t="shared" si="45"/>
        <v>0</v>
      </c>
      <c r="V54" s="1031">
        <f t="shared" si="45"/>
        <v>0</v>
      </c>
      <c r="W54" s="1031">
        <f t="shared" si="45"/>
        <v>0</v>
      </c>
      <c r="X54" s="1031">
        <f t="shared" si="45"/>
        <v>0</v>
      </c>
      <c r="Y54" s="1031">
        <f t="shared" si="45"/>
        <v>0</v>
      </c>
      <c r="Z54" s="1031">
        <f t="shared" si="45"/>
        <v>1476848.22</v>
      </c>
      <c r="AA54" s="1031">
        <f t="shared" si="45"/>
        <v>0</v>
      </c>
      <c r="AB54" s="1031">
        <f t="shared" si="45"/>
        <v>13291633.890000001</v>
      </c>
      <c r="AC54" s="1031">
        <f t="shared" si="45"/>
        <v>0</v>
      </c>
      <c r="AD54" s="1031">
        <f t="shared" si="45"/>
        <v>0</v>
      </c>
      <c r="AE54" s="1055">
        <f t="shared" si="45"/>
        <v>44768482.109999999</v>
      </c>
      <c r="AF54" s="641"/>
      <c r="AG54" s="641"/>
      <c r="AH54" s="641"/>
      <c r="AI54" s="641"/>
    </row>
    <row r="55" spans="1:35" ht="18">
      <c r="A55" s="2752" t="s">
        <v>2565</v>
      </c>
      <c r="B55" s="2752"/>
      <c r="C55" s="1003" t="s">
        <v>2645</v>
      </c>
      <c r="D55" s="1001">
        <f>preBS!K54</f>
        <v>30000000</v>
      </c>
      <c r="E55" s="1001">
        <f>preBS!K56</f>
        <v>0</v>
      </c>
      <c r="F55" s="1001">
        <f>preBS!K57</f>
        <v>0</v>
      </c>
      <c r="G55" s="1001">
        <f>preBS!K55-preBS!K56-preBS!K57</f>
        <v>0</v>
      </c>
      <c r="H55" s="1001">
        <f>preBS!K58</f>
        <v>10464100</v>
      </c>
      <c r="I55" s="1001">
        <f>preBS!K59</f>
        <v>0</v>
      </c>
      <c r="J55" s="1001">
        <f>preBS!K60</f>
        <v>0</v>
      </c>
      <c r="K55" s="1001">
        <f>preBS!K61</f>
        <v>0</v>
      </c>
      <c r="L55" s="1001">
        <f>preBS!K62</f>
        <v>1484894.62</v>
      </c>
      <c r="M55" s="1001">
        <f>preBS!K63</f>
        <v>0</v>
      </c>
      <c r="N55" s="1001">
        <f>preBS!K64</f>
        <v>2899951.46</v>
      </c>
      <c r="O55" s="1001"/>
      <c r="P55" s="1001">
        <f>preBS!K66</f>
        <v>0</v>
      </c>
      <c r="Q55" s="1038">
        <f>preBS!K67</f>
        <v>44848946.079999998</v>
      </c>
      <c r="R55" s="1030">
        <f>preBS!L54</f>
        <v>30000000</v>
      </c>
      <c r="S55" s="1030">
        <f>preBS!L56</f>
        <v>0</v>
      </c>
      <c r="T55" s="1030">
        <f>preBS!L57</f>
        <v>0</v>
      </c>
      <c r="U55" s="1030">
        <f>preBS!L55-preBS!L56-preBS!L57</f>
        <v>0</v>
      </c>
      <c r="V55" s="1031">
        <f>preBS!L58</f>
        <v>0</v>
      </c>
      <c r="W55" s="1031">
        <f>preBS!L59</f>
        <v>0</v>
      </c>
      <c r="X55" s="1031">
        <f>preBS!L60</f>
        <v>0</v>
      </c>
      <c r="Y55" s="1031">
        <f>preBS!L61</f>
        <v>0</v>
      </c>
      <c r="Z55" s="1031">
        <f>preBS!L62</f>
        <v>1476848.22</v>
      </c>
      <c r="AA55" s="1031">
        <f>preBS!L63</f>
        <v>0</v>
      </c>
      <c r="AB55" s="1031">
        <f>preBS!L64</f>
        <v>13291633.890000001</v>
      </c>
      <c r="AC55" s="1031"/>
      <c r="AD55" s="1031">
        <f>preBS!L66</f>
        <v>0</v>
      </c>
      <c r="AE55" s="1055">
        <f>preBS!L67</f>
        <v>44768482.109999999</v>
      </c>
      <c r="AF55" s="641"/>
      <c r="AG55" s="641"/>
      <c r="AH55" s="641"/>
      <c r="AI55" s="641"/>
    </row>
    <row r="56" spans="1:35" ht="18">
      <c r="A56" s="2752" t="s">
        <v>2565</v>
      </c>
      <c r="B56" s="2749"/>
      <c r="C56" s="1004" t="s">
        <v>2580</v>
      </c>
      <c r="D56" s="1005">
        <f>ROUND(D54-D55,2)</f>
        <v>0</v>
      </c>
      <c r="E56" s="1005">
        <f>ROUND(E54-E55,2)</f>
        <v>0</v>
      </c>
      <c r="F56" s="1005">
        <f>ROUND(F54-F55,2)</f>
        <v>0</v>
      </c>
      <c r="G56" s="1005">
        <f>ROUND(G54-G55,2)</f>
        <v>0</v>
      </c>
      <c r="H56" s="1005">
        <f t="shared" ref="H56:P56" si="46">ROUND(H54-H55,2)</f>
        <v>0</v>
      </c>
      <c r="I56" s="1005">
        <f t="shared" si="46"/>
        <v>0</v>
      </c>
      <c r="J56" s="1005">
        <f t="shared" si="46"/>
        <v>0</v>
      </c>
      <c r="K56" s="1005">
        <f t="shared" si="46"/>
        <v>0</v>
      </c>
      <c r="L56" s="1005">
        <f t="shared" si="46"/>
        <v>0</v>
      </c>
      <c r="M56" s="1005">
        <f t="shared" si="46"/>
        <v>0</v>
      </c>
      <c r="N56" s="1005">
        <f t="shared" si="46"/>
        <v>0</v>
      </c>
      <c r="O56" s="1005">
        <f t="shared" si="46"/>
        <v>0</v>
      </c>
      <c r="P56" s="1005">
        <f t="shared" si="46"/>
        <v>0</v>
      </c>
      <c r="Q56" s="1039">
        <f t="shared" ref="Q56:AE56" si="47">ROUND(Q54-Q55,2)</f>
        <v>0</v>
      </c>
      <c r="R56" s="1032">
        <f t="shared" si="47"/>
        <v>0</v>
      </c>
      <c r="S56" s="1032">
        <f t="shared" si="47"/>
        <v>0</v>
      </c>
      <c r="T56" s="1032">
        <f t="shared" si="47"/>
        <v>0</v>
      </c>
      <c r="U56" s="1032">
        <f t="shared" si="47"/>
        <v>0</v>
      </c>
      <c r="V56" s="1005">
        <f t="shared" si="47"/>
        <v>0</v>
      </c>
      <c r="W56" s="1005">
        <f t="shared" si="47"/>
        <v>0</v>
      </c>
      <c r="X56" s="1005">
        <f t="shared" si="47"/>
        <v>0</v>
      </c>
      <c r="Y56" s="1005">
        <f t="shared" si="47"/>
        <v>0</v>
      </c>
      <c r="Z56" s="1005">
        <f t="shared" si="47"/>
        <v>0</v>
      </c>
      <c r="AA56" s="1005">
        <f t="shared" si="47"/>
        <v>0</v>
      </c>
      <c r="AB56" s="1005">
        <f t="shared" si="47"/>
        <v>0</v>
      </c>
      <c r="AC56" s="1005">
        <f t="shared" si="47"/>
        <v>0</v>
      </c>
      <c r="AD56" s="1005">
        <f t="shared" si="47"/>
        <v>0</v>
      </c>
      <c r="AE56" s="1056">
        <f t="shared" si="47"/>
        <v>0</v>
      </c>
      <c r="AF56" s="641"/>
      <c r="AG56" s="641"/>
      <c r="AH56" s="641"/>
      <c r="AI56" s="641"/>
    </row>
    <row r="57" spans="1:35" ht="18">
      <c r="A57" s="2752" t="s">
        <v>2565</v>
      </c>
      <c r="B57" s="2749"/>
      <c r="C57" s="1006" t="s">
        <v>2581</v>
      </c>
      <c r="D57" s="1007" t="str">
        <f>IF(D56=0,"√","×")</f>
        <v>√</v>
      </c>
      <c r="E57" s="1007" t="str">
        <f>IF(E56=0,"√","×")</f>
        <v>√</v>
      </c>
      <c r="F57" s="1007" t="str">
        <f>IF(F56=0,"√","×")</f>
        <v>√</v>
      </c>
      <c r="G57" s="1007" t="str">
        <f>IF(G56=0,"√","×")</f>
        <v>√</v>
      </c>
      <c r="H57" s="1007" t="str">
        <f t="shared" ref="H57:P57" si="48">IF(H56=0,"√","×")</f>
        <v>√</v>
      </c>
      <c r="I57" s="1007" t="str">
        <f t="shared" si="48"/>
        <v>√</v>
      </c>
      <c r="J57" s="1007" t="str">
        <f t="shared" si="48"/>
        <v>√</v>
      </c>
      <c r="K57" s="1007" t="str">
        <f t="shared" si="48"/>
        <v>√</v>
      </c>
      <c r="L57" s="1007" t="str">
        <f t="shared" si="48"/>
        <v>√</v>
      </c>
      <c r="M57" s="1007" t="str">
        <f t="shared" si="48"/>
        <v>√</v>
      </c>
      <c r="N57" s="1007" t="str">
        <f t="shared" si="48"/>
        <v>√</v>
      </c>
      <c r="O57" s="1007" t="str">
        <f t="shared" si="48"/>
        <v>√</v>
      </c>
      <c r="P57" s="1007" t="str">
        <f t="shared" si="48"/>
        <v>√</v>
      </c>
      <c r="Q57" s="1040" t="str">
        <f t="shared" ref="Q57:AE57" si="49">IF(Q56=0,"√","×")</f>
        <v>√</v>
      </c>
      <c r="R57" s="1041" t="str">
        <f t="shared" si="49"/>
        <v>√</v>
      </c>
      <c r="S57" s="1041" t="str">
        <f t="shared" si="49"/>
        <v>√</v>
      </c>
      <c r="T57" s="1041" t="str">
        <f t="shared" si="49"/>
        <v>√</v>
      </c>
      <c r="U57" s="1041" t="str">
        <f t="shared" si="49"/>
        <v>√</v>
      </c>
      <c r="V57" s="1007" t="str">
        <f t="shared" si="49"/>
        <v>√</v>
      </c>
      <c r="W57" s="1007" t="str">
        <f t="shared" si="49"/>
        <v>√</v>
      </c>
      <c r="X57" s="1007" t="str">
        <f t="shared" si="49"/>
        <v>√</v>
      </c>
      <c r="Y57" s="1007" t="str">
        <f t="shared" si="49"/>
        <v>√</v>
      </c>
      <c r="Z57" s="1007" t="str">
        <f t="shared" si="49"/>
        <v>√</v>
      </c>
      <c r="AA57" s="1007" t="str">
        <f t="shared" si="49"/>
        <v>√</v>
      </c>
      <c r="AB57" s="1007" t="str">
        <f t="shared" si="49"/>
        <v>√</v>
      </c>
      <c r="AC57" s="1007" t="str">
        <f t="shared" si="49"/>
        <v>√</v>
      </c>
      <c r="AD57" s="1007" t="str">
        <f t="shared" si="49"/>
        <v>√</v>
      </c>
      <c r="AE57" s="1060" t="str">
        <f t="shared" si="49"/>
        <v>√</v>
      </c>
      <c r="AF57" s="641"/>
      <c r="AG57" s="641"/>
      <c r="AH57" s="641"/>
      <c r="AI57" s="641"/>
    </row>
    <row r="58" spans="1:35">
      <c r="C58" s="641"/>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row>
    <row r="59" spans="1:35">
      <c r="C59" s="641"/>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row>
    <row r="60" spans="1:35">
      <c r="C60" s="641"/>
      <c r="D60" s="641"/>
      <c r="E60" s="641"/>
      <c r="F60" s="641"/>
      <c r="G60" s="641"/>
      <c r="H60" s="641"/>
      <c r="I60" s="641"/>
      <c r="J60" s="641"/>
      <c r="K60" s="641"/>
      <c r="L60" s="641"/>
      <c r="M60" s="641"/>
      <c r="N60" s="641"/>
      <c r="O60" s="641"/>
      <c r="P60" s="641"/>
      <c r="Q60" s="641"/>
      <c r="R60" s="641"/>
      <c r="S60" s="641"/>
      <c r="T60" s="641"/>
      <c r="U60" s="641"/>
      <c r="V60" s="641"/>
      <c r="W60" s="641"/>
      <c r="X60" s="641"/>
      <c r="Y60" s="641"/>
      <c r="Z60" s="641"/>
      <c r="AA60" s="641"/>
      <c r="AB60" s="641"/>
      <c r="AC60" s="641"/>
      <c r="AD60" s="641"/>
      <c r="AE60" s="641"/>
      <c r="AF60" s="641"/>
      <c r="AG60" s="641"/>
      <c r="AH60" s="641"/>
      <c r="AI60" s="641"/>
    </row>
    <row r="61" spans="1:35">
      <c r="C61" s="641"/>
      <c r="D61" s="641"/>
      <c r="E61" s="641"/>
      <c r="F61" s="641"/>
      <c r="G61" s="641"/>
      <c r="H61" s="641"/>
      <c r="I61" s="641"/>
      <c r="J61" s="641"/>
      <c r="K61" s="641"/>
      <c r="L61" s="641"/>
      <c r="M61" s="641"/>
      <c r="N61" s="641"/>
      <c r="O61" s="641"/>
      <c r="P61" s="641"/>
      <c r="Q61" s="641"/>
      <c r="R61" s="641"/>
      <c r="S61" s="641"/>
      <c r="T61" s="641"/>
      <c r="U61" s="641"/>
      <c r="V61" s="641"/>
      <c r="W61" s="641"/>
      <c r="X61" s="641"/>
      <c r="Y61" s="641"/>
      <c r="Z61" s="641"/>
      <c r="AA61" s="641"/>
      <c r="AB61" s="641"/>
      <c r="AC61" s="641"/>
      <c r="AD61" s="641"/>
      <c r="AE61" s="641"/>
      <c r="AF61" s="641"/>
      <c r="AG61" s="641"/>
      <c r="AH61" s="641"/>
      <c r="AI61" s="641"/>
    </row>
  </sheetData>
  <sheetProtection algorithmName="SHA-512" hashValue="RfUlJ/J6/3KnLMbGaH5Geft0OUqhSh/ZCGT4szIbQ8USYET1wk7Z5R2hseCO+v7SlQIiKgH1xirpIImVi4kqlA==" saltValue="eTZQarWC5DBsCAdpqwuPDg==" spinCount="100000" sheet="1" scenarios="1" formatCells="0" autoFilter="0"/>
  <mergeCells count="4">
    <mergeCell ref="C3:AB3"/>
    <mergeCell ref="C4:AB4"/>
    <mergeCell ref="D7:O7"/>
    <mergeCell ref="R7:AC7"/>
  </mergeCells>
  <phoneticPr fontId="163" type="noConversion"/>
  <conditionalFormatting sqref="C40:P40 R40:AD40">
    <cfRule type="expression" dxfId="76" priority="1" stopIfTrue="1">
      <formula>$A40="："</formula>
    </cfRule>
    <cfRule type="expression" dxfId="75" priority="2" stopIfTrue="1">
      <formula>$A40="＝"</formula>
    </cfRule>
    <cfRule type="expression" dxfId="74" priority="3" stopIfTrue="1">
      <formula>AND($A40&lt;&gt;"＝",MOD(ROW(),3)=0)</formula>
    </cfRule>
  </conditionalFormatting>
  <conditionalFormatting sqref="C47 D56:AE56 R49:AE49">
    <cfRule type="cellIs" dxfId="73" priority="7" stopIfTrue="1" operator="notEqual">
      <formula>0</formula>
    </cfRule>
  </conditionalFormatting>
  <dataValidations count="1">
    <dataValidation type="list" allowBlank="1" showInputMessage="1" showErrorMessage="1" sqref="A9:A40">
      <formula1>"※,△,＃,：,＝,※＝,＃：,LOW"</formula1>
    </dataValidation>
  </dataValidations>
  <printOptions horizontalCentered="1"/>
  <pageMargins left="0.23622047244094499" right="0.196850393700787" top="0.78740157480314998" bottom="0" header="0.511811023622047" footer="0"/>
  <pageSetup paperSize="9" scale="63" orientation="landscape" blackAndWhite="1"/>
  <headerFooter alignWithMargins="0"/>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L133"/>
  <sheetViews>
    <sheetView tabSelected="1" topLeftCell="A49" workbookViewId="0">
      <selection activeCell="E57" sqref="E57"/>
    </sheetView>
  </sheetViews>
  <sheetFormatPr defaultColWidth="9.140625" defaultRowHeight="12"/>
  <cols>
    <col min="1" max="2" width="0.140625" style="2754" customWidth="1"/>
    <col min="3" max="3" width="53" style="1" customWidth="1"/>
    <col min="4" max="4" width="7.7109375" style="1" customWidth="1"/>
    <col min="5" max="6" width="20.7109375" style="1" customWidth="1"/>
    <col min="7" max="7" width="3.85546875" style="1" customWidth="1"/>
    <col min="8" max="8" width="12.7109375" style="1" customWidth="1"/>
    <col min="9" max="9" width="18.7109375" style="1" bestFit="1" customWidth="1"/>
    <col min="10" max="12" width="12.7109375" style="1" customWidth="1"/>
    <col min="13" max="16384" width="9.140625" style="1"/>
  </cols>
  <sheetData>
    <row r="1" spans="1:10" s="637" customFormat="1" ht="0.75" customHeight="1">
      <c r="A1" s="2749"/>
      <c r="B1" s="2749"/>
      <c r="C1" s="642"/>
      <c r="D1" s="642"/>
      <c r="E1" s="642"/>
      <c r="F1" s="642"/>
      <c r="G1" s="720"/>
      <c r="H1" s="720"/>
      <c r="I1" s="720"/>
      <c r="J1" s="720"/>
    </row>
    <row r="2" spans="1:10" ht="27">
      <c r="A2" s="2749"/>
      <c r="B2" s="2749"/>
      <c r="C2" s="1061" t="s">
        <v>2583</v>
      </c>
      <c r="D2" s="833"/>
      <c r="E2" s="833"/>
      <c r="F2" s="833"/>
      <c r="G2" s="641"/>
      <c r="H2" s="1062" t="str">
        <f>IF(F68="","请选择CF补充资料编制方案...","")</f>
        <v>请选择CF补充资料编制方案...</v>
      </c>
      <c r="I2" s="641"/>
      <c r="J2" s="641"/>
    </row>
    <row r="3" spans="1:10" ht="15.75">
      <c r="A3" s="2749"/>
      <c r="B3" s="2749"/>
      <c r="C3" s="1063" t="str">
        <f>Lead!$F$7</f>
        <v>2019年度</v>
      </c>
      <c r="D3" s="833"/>
      <c r="E3" s="833"/>
      <c r="F3" s="833"/>
      <c r="G3" s="641"/>
      <c r="H3" s="641"/>
      <c r="I3" s="641"/>
      <c r="J3" s="641"/>
    </row>
    <row r="4" spans="1:10" ht="15.75">
      <c r="A4" s="2749"/>
      <c r="B4" s="2749"/>
      <c r="C4" s="1064"/>
      <c r="D4" s="833"/>
      <c r="E4" s="833"/>
      <c r="F4" s="1044" t="s">
        <v>2584</v>
      </c>
      <c r="G4" s="641"/>
      <c r="H4" s="641"/>
      <c r="I4" s="641"/>
      <c r="J4" s="641"/>
    </row>
    <row r="5" spans="1:10" ht="18" customHeight="1">
      <c r="A5" s="2749"/>
      <c r="B5" s="2749"/>
      <c r="C5" s="966" t="str">
        <f>Lead!$B$5&amp;"："&amp;Lead!$C$5</f>
        <v>编制单位：福建省力菲克药业有限公司</v>
      </c>
      <c r="D5" s="833"/>
      <c r="E5" s="1065" t="s">
        <v>2554</v>
      </c>
      <c r="F5" s="1044" t="s">
        <v>2555</v>
      </c>
      <c r="G5" s="641"/>
      <c r="H5" s="641"/>
      <c r="I5" s="641"/>
      <c r="J5" s="641"/>
    </row>
    <row r="6" spans="1:10" s="637" customFormat="1" ht="0.75" customHeight="1">
      <c r="A6" s="2749"/>
      <c r="B6" s="2749"/>
      <c r="C6" s="1066"/>
      <c r="D6" s="642"/>
      <c r="E6" s="1067"/>
      <c r="F6" s="1068"/>
      <c r="G6" s="720"/>
      <c r="H6" s="720"/>
      <c r="I6" s="720"/>
      <c r="J6" s="720"/>
    </row>
    <row r="7" spans="1:10" s="637" customFormat="1" ht="0.75" customHeight="1">
      <c r="A7" s="2749"/>
      <c r="B7" s="2749"/>
      <c r="C7" s="1066"/>
      <c r="D7" s="642"/>
      <c r="E7" s="1067"/>
      <c r="F7" s="1068"/>
      <c r="G7" s="720"/>
      <c r="H7" s="720"/>
      <c r="I7" s="720"/>
      <c r="J7" s="720"/>
    </row>
    <row r="8" spans="1:10" ht="25.5" customHeight="1">
      <c r="A8" s="2749" t="s">
        <v>2575</v>
      </c>
      <c r="B8" s="2749" t="s">
        <v>2576</v>
      </c>
      <c r="C8" s="1069" t="s">
        <v>47</v>
      </c>
      <c r="D8" s="1070" t="s">
        <v>2559</v>
      </c>
      <c r="E8" s="1071" t="s">
        <v>2577</v>
      </c>
      <c r="F8" s="1072" t="s">
        <v>2578</v>
      </c>
      <c r="G8" s="641"/>
      <c r="H8" s="641"/>
      <c r="I8" s="641"/>
      <c r="J8" s="641"/>
    </row>
    <row r="9" spans="1:10" ht="18">
      <c r="A9" s="2752" t="str">
        <f t="shared" ref="A9:A41" si="0">VLOOKUP($B9,Sheet_Items,4,0)</f>
        <v>：</v>
      </c>
      <c r="B9" s="2809">
        <v>7000</v>
      </c>
      <c r="C9" s="1073" t="str">
        <f t="shared" ref="C9:C41" si="1">VLOOKUP($B9,Sheet_Items,6,0)</f>
        <v>一、经营活动产生的现金流量：</v>
      </c>
      <c r="D9" s="1074"/>
      <c r="E9" s="1075"/>
      <c r="F9" s="1076">
        <f t="shared" ref="F9:F22" si="2">IF($B9="","",IF(ISERROR(VLOOKUP($B9,Sheet_Balance1,2,0)),0,VLOOKUP($B9,Sheet_Balance1,2,0)))</f>
        <v>0</v>
      </c>
      <c r="G9" s="641"/>
      <c r="H9" s="641"/>
      <c r="I9" s="641"/>
      <c r="J9" s="641"/>
    </row>
    <row r="10" spans="1:10" ht="18">
      <c r="A10" s="2752">
        <f t="shared" si="0"/>
        <v>0</v>
      </c>
      <c r="B10" s="2809">
        <v>7001</v>
      </c>
      <c r="C10" s="1077" t="str">
        <f t="shared" si="1"/>
        <v>销售商品、提供劳务收到的现金</v>
      </c>
      <c r="D10" s="1078"/>
      <c r="E10" s="1079">
        <f>CF底稿!E21</f>
        <v>36631011.609999999</v>
      </c>
      <c r="F10" s="1080">
        <f t="shared" si="2"/>
        <v>43157155</v>
      </c>
      <c r="G10" s="641"/>
      <c r="H10" s="3366">
        <v>31538365.809999999</v>
      </c>
      <c r="I10" s="3366">
        <f>E10-H10</f>
        <v>5092645.8</v>
      </c>
      <c r="J10" s="641"/>
    </row>
    <row r="11" spans="1:10" ht="18">
      <c r="A11" s="2752" t="str">
        <f t="shared" si="0"/>
        <v>△</v>
      </c>
      <c r="B11" s="2809">
        <v>7011</v>
      </c>
      <c r="C11" s="975" t="str">
        <f t="shared" si="1"/>
        <v>客户存款和同业存放款项净增加额</v>
      </c>
      <c r="D11" s="1081"/>
      <c r="E11" s="1079"/>
      <c r="F11" s="1080">
        <f t="shared" si="2"/>
        <v>0</v>
      </c>
      <c r="G11" s="641"/>
      <c r="H11" s="3366"/>
      <c r="I11" s="3366">
        <f t="shared" ref="I11:I62" si="3">E11-H11</f>
        <v>0</v>
      </c>
      <c r="J11" s="641"/>
    </row>
    <row r="12" spans="1:10" ht="18">
      <c r="A12" s="2752" t="str">
        <f t="shared" si="0"/>
        <v>△</v>
      </c>
      <c r="B12" s="2809">
        <v>7012</v>
      </c>
      <c r="C12" s="1077" t="str">
        <f t="shared" si="1"/>
        <v>向中央银行借款净增加额</v>
      </c>
      <c r="D12" s="1078"/>
      <c r="E12" s="1079"/>
      <c r="F12" s="1080">
        <f t="shared" si="2"/>
        <v>0</v>
      </c>
      <c r="G12" s="641"/>
      <c r="H12" s="3366"/>
      <c r="I12" s="3366">
        <f t="shared" si="3"/>
        <v>0</v>
      </c>
      <c r="J12" s="641"/>
    </row>
    <row r="13" spans="1:10" ht="18">
      <c r="A13" s="2752" t="str">
        <f t="shared" si="0"/>
        <v>△</v>
      </c>
      <c r="B13" s="2809">
        <v>7013</v>
      </c>
      <c r="C13" s="1077" t="str">
        <f t="shared" si="1"/>
        <v>向其他金融机构拆入资金净增加额</v>
      </c>
      <c r="D13" s="1078"/>
      <c r="E13" s="1079"/>
      <c r="F13" s="1080">
        <f t="shared" si="2"/>
        <v>0</v>
      </c>
      <c r="G13" s="641"/>
      <c r="H13" s="3366"/>
      <c r="I13" s="3366">
        <f t="shared" si="3"/>
        <v>0</v>
      </c>
      <c r="J13" s="641"/>
    </row>
    <row r="14" spans="1:10" ht="18">
      <c r="A14" s="2752" t="str">
        <f t="shared" si="0"/>
        <v>△</v>
      </c>
      <c r="B14" s="2809">
        <v>7014</v>
      </c>
      <c r="C14" s="1077" t="str">
        <f t="shared" si="1"/>
        <v>收到原保险合同保费取得的现金</v>
      </c>
      <c r="D14" s="1078"/>
      <c r="E14" s="1079"/>
      <c r="F14" s="1080">
        <f t="shared" si="2"/>
        <v>0</v>
      </c>
      <c r="G14" s="641"/>
      <c r="H14" s="3366"/>
      <c r="I14" s="3366">
        <f t="shared" si="3"/>
        <v>0</v>
      </c>
      <c r="J14" s="641"/>
    </row>
    <row r="15" spans="1:10" ht="18">
      <c r="A15" s="2752" t="str">
        <f t="shared" si="0"/>
        <v>△</v>
      </c>
      <c r="B15" s="2809">
        <v>7015</v>
      </c>
      <c r="C15" s="1077" t="str">
        <f t="shared" si="1"/>
        <v>收到再保业务现金净额</v>
      </c>
      <c r="D15" s="1078"/>
      <c r="E15" s="1079"/>
      <c r="F15" s="1080">
        <f t="shared" si="2"/>
        <v>0</v>
      </c>
      <c r="G15" s="641"/>
      <c r="H15" s="3366"/>
      <c r="I15" s="3366">
        <f t="shared" si="3"/>
        <v>0</v>
      </c>
      <c r="J15" s="641"/>
    </row>
    <row r="16" spans="1:10" ht="18">
      <c r="A16" s="2752" t="str">
        <f t="shared" si="0"/>
        <v>△</v>
      </c>
      <c r="B16" s="2809">
        <v>7016</v>
      </c>
      <c r="C16" s="1077" t="str">
        <f t="shared" si="1"/>
        <v>保户储金及投资款净增加额</v>
      </c>
      <c r="D16" s="1078"/>
      <c r="E16" s="1079"/>
      <c r="F16" s="1080">
        <f t="shared" si="2"/>
        <v>0</v>
      </c>
      <c r="G16" s="641"/>
      <c r="H16" s="3366"/>
      <c r="I16" s="3366">
        <f t="shared" si="3"/>
        <v>0</v>
      </c>
      <c r="J16" s="641"/>
    </row>
    <row r="17" spans="1:10" ht="18">
      <c r="A17" s="2752" t="str">
        <f t="shared" si="0"/>
        <v>△</v>
      </c>
      <c r="B17" s="2809">
        <v>7023</v>
      </c>
      <c r="C17" s="1077" t="str">
        <f t="shared" si="1"/>
        <v>收取利息、手续费及佣金的现金</v>
      </c>
      <c r="D17" s="1078"/>
      <c r="E17" s="1079"/>
      <c r="F17" s="1080">
        <f t="shared" si="2"/>
        <v>0</v>
      </c>
      <c r="G17" s="641"/>
      <c r="H17" s="3366"/>
      <c r="I17" s="3366">
        <f t="shared" si="3"/>
        <v>0</v>
      </c>
      <c r="J17" s="641"/>
    </row>
    <row r="18" spans="1:10" ht="18">
      <c r="A18" s="2752" t="str">
        <f t="shared" si="0"/>
        <v>△</v>
      </c>
      <c r="B18" s="2809">
        <v>7025</v>
      </c>
      <c r="C18" s="1077" t="str">
        <f t="shared" si="1"/>
        <v>拆入资金净增加额</v>
      </c>
      <c r="D18" s="1078"/>
      <c r="E18" s="1079"/>
      <c r="F18" s="1080">
        <f t="shared" si="2"/>
        <v>0</v>
      </c>
      <c r="G18" s="641"/>
      <c r="H18" s="3366"/>
      <c r="I18" s="3366">
        <f t="shared" si="3"/>
        <v>0</v>
      </c>
      <c r="J18" s="641"/>
    </row>
    <row r="19" spans="1:10" ht="18">
      <c r="A19" s="2752" t="str">
        <f t="shared" si="0"/>
        <v>△</v>
      </c>
      <c r="B19" s="2809">
        <v>7026</v>
      </c>
      <c r="C19" s="1077" t="str">
        <f t="shared" si="1"/>
        <v>回购业务资金净增加额</v>
      </c>
      <c r="D19" s="1078"/>
      <c r="E19" s="1079"/>
      <c r="F19" s="1080">
        <f t="shared" si="2"/>
        <v>0</v>
      </c>
      <c r="G19" s="641"/>
      <c r="H19" s="3366"/>
      <c r="I19" s="3366">
        <f t="shared" si="3"/>
        <v>0</v>
      </c>
      <c r="J19" s="641"/>
    </row>
    <row r="20" spans="1:10" ht="18">
      <c r="A20" s="2752" t="str">
        <f t="shared" si="0"/>
        <v>△</v>
      </c>
      <c r="B20" s="2809">
        <v>7024</v>
      </c>
      <c r="C20" s="1077" t="str">
        <f t="shared" si="1"/>
        <v>代理买卖证券收到的现金净额</v>
      </c>
      <c r="D20" s="1078"/>
      <c r="E20" s="1079"/>
      <c r="F20" s="1080">
        <f t="shared" si="2"/>
        <v>0</v>
      </c>
      <c r="G20" s="641"/>
      <c r="H20" s="3366"/>
      <c r="I20" s="3366">
        <f t="shared" si="3"/>
        <v>0</v>
      </c>
      <c r="J20" s="641"/>
    </row>
    <row r="21" spans="1:10" ht="18">
      <c r="A21" s="2752">
        <f t="shared" si="0"/>
        <v>0</v>
      </c>
      <c r="B21" s="2809">
        <v>7031</v>
      </c>
      <c r="C21" s="1077" t="str">
        <f t="shared" si="1"/>
        <v>收到的税费返还</v>
      </c>
      <c r="D21" s="1078"/>
      <c r="E21" s="1079">
        <f>CF底稿!E26</f>
        <v>0</v>
      </c>
      <c r="F21" s="1080">
        <f t="shared" si="2"/>
        <v>0</v>
      </c>
      <c r="G21" s="641"/>
      <c r="H21" s="3366">
        <v>327540.31</v>
      </c>
      <c r="I21" s="3366">
        <f t="shared" si="3"/>
        <v>-327540.31</v>
      </c>
      <c r="J21" s="641"/>
    </row>
    <row r="22" spans="1:10" ht="18">
      <c r="A22" s="2752">
        <f t="shared" si="0"/>
        <v>0</v>
      </c>
      <c r="B22" s="2809">
        <v>7046</v>
      </c>
      <c r="C22" s="1077" t="str">
        <f t="shared" si="1"/>
        <v>收到其他与经营活动有关的现金</v>
      </c>
      <c r="D22" s="1078"/>
      <c r="E22" s="1079">
        <f>CF底稿!E68</f>
        <v>872175.39</v>
      </c>
      <c r="F22" s="1080">
        <f t="shared" si="2"/>
        <v>7228566.7800000003</v>
      </c>
      <c r="G22" s="641"/>
      <c r="H22" s="3366">
        <v>1161594.53</v>
      </c>
      <c r="I22" s="3366">
        <f t="shared" si="3"/>
        <v>-289419.14</v>
      </c>
      <c r="J22" s="641"/>
    </row>
    <row r="23" spans="1:10" ht="18">
      <c r="A23" s="2752" t="str">
        <f t="shared" si="0"/>
        <v>＝</v>
      </c>
      <c r="B23" s="2809">
        <v>7048</v>
      </c>
      <c r="C23" s="1073" t="str">
        <f t="shared" si="1"/>
        <v>经营活动现金流入小计</v>
      </c>
      <c r="D23" s="1078"/>
      <c r="E23" s="1082">
        <f>SUM(E10:E22)</f>
        <v>37503187</v>
      </c>
      <c r="F23" s="1083">
        <f>SUM(F10:F22)</f>
        <v>50385721.780000001</v>
      </c>
      <c r="G23" s="641"/>
      <c r="H23" s="3366"/>
      <c r="I23" s="3366">
        <f t="shared" si="3"/>
        <v>37503187</v>
      </c>
      <c r="J23" s="641"/>
    </row>
    <row r="24" spans="1:10" ht="18">
      <c r="A24" s="2752">
        <f t="shared" si="0"/>
        <v>0</v>
      </c>
      <c r="B24" s="2809">
        <v>7051</v>
      </c>
      <c r="C24" s="1077" t="str">
        <f t="shared" si="1"/>
        <v>购买商品、接受劳务支付的现金</v>
      </c>
      <c r="D24" s="1078"/>
      <c r="E24" s="1079">
        <f>CF底稿!E100</f>
        <v>19308391.789999999</v>
      </c>
      <c r="F24" s="1080">
        <f t="shared" ref="F24:F33" si="4">IF($B24="","",IF(ISERROR(VLOOKUP($B24,Sheet_Balance1,2,0)),0,VLOOKUP($B24,Sheet_Balance1,2,0)))</f>
        <v>21518656.059999999</v>
      </c>
      <c r="G24" s="641"/>
      <c r="H24" s="3366">
        <v>16872583.969999999</v>
      </c>
      <c r="I24" s="3366">
        <f t="shared" si="3"/>
        <v>2435807.8199999998</v>
      </c>
      <c r="J24" s="641"/>
    </row>
    <row r="25" spans="1:10" ht="18">
      <c r="A25" s="2752" t="str">
        <f t="shared" si="0"/>
        <v>△</v>
      </c>
      <c r="B25" s="2809">
        <v>7053</v>
      </c>
      <c r="C25" s="1077" t="str">
        <f t="shared" si="1"/>
        <v>客户贷款及垫款净增加额</v>
      </c>
      <c r="D25" s="1078"/>
      <c r="E25" s="1079"/>
      <c r="F25" s="1080">
        <f t="shared" si="4"/>
        <v>0</v>
      </c>
      <c r="G25" s="641"/>
      <c r="H25" s="3366"/>
      <c r="I25" s="3366">
        <f t="shared" si="3"/>
        <v>0</v>
      </c>
      <c r="J25" s="641"/>
    </row>
    <row r="26" spans="1:10" ht="18">
      <c r="A26" s="2752" t="str">
        <f t="shared" si="0"/>
        <v>△</v>
      </c>
      <c r="B26" s="2809">
        <v>7054</v>
      </c>
      <c r="C26" s="1077" t="str">
        <f t="shared" si="1"/>
        <v>存放中央银行和同业款项净增加额</v>
      </c>
      <c r="D26" s="1078"/>
      <c r="E26" s="1079"/>
      <c r="F26" s="1080">
        <f t="shared" si="4"/>
        <v>0</v>
      </c>
      <c r="G26" s="641"/>
      <c r="H26" s="3366"/>
      <c r="I26" s="3366">
        <f t="shared" si="3"/>
        <v>0</v>
      </c>
      <c r="J26" s="641"/>
    </row>
    <row r="27" spans="1:10" ht="18">
      <c r="A27" s="2752" t="str">
        <f t="shared" si="0"/>
        <v>△</v>
      </c>
      <c r="B27" s="2809">
        <v>7055</v>
      </c>
      <c r="C27" s="1077" t="str">
        <f t="shared" si="1"/>
        <v>支付原保险合同赔付款项的现金</v>
      </c>
      <c r="D27" s="1078"/>
      <c r="E27" s="1079"/>
      <c r="F27" s="1080">
        <f t="shared" si="4"/>
        <v>0</v>
      </c>
      <c r="G27" s="641"/>
      <c r="H27" s="3366"/>
      <c r="I27" s="3366">
        <f t="shared" si="3"/>
        <v>0</v>
      </c>
      <c r="J27" s="641"/>
    </row>
    <row r="28" spans="1:10" ht="18">
      <c r="A28" s="2752" t="str">
        <f t="shared" si="0"/>
        <v>△</v>
      </c>
      <c r="B28" s="2809">
        <v>7058</v>
      </c>
      <c r="C28" s="1077" t="str">
        <f t="shared" si="1"/>
        <v>拆出资金净增加额</v>
      </c>
      <c r="D28" s="1078"/>
      <c r="E28" s="1079"/>
      <c r="F28" s="1080">
        <f t="shared" si="4"/>
        <v>0</v>
      </c>
      <c r="G28" s="641"/>
      <c r="H28" s="3366"/>
      <c r="I28" s="3366">
        <f t="shared" si="3"/>
        <v>0</v>
      </c>
      <c r="J28" s="641"/>
    </row>
    <row r="29" spans="1:10" ht="18">
      <c r="A29" s="2752" t="str">
        <f t="shared" si="0"/>
        <v>△</v>
      </c>
      <c r="B29" s="2809">
        <v>7056</v>
      </c>
      <c r="C29" s="1077" t="str">
        <f t="shared" si="1"/>
        <v>支付利息、手续费及佣金的现金</v>
      </c>
      <c r="D29" s="1078"/>
      <c r="E29" s="1079"/>
      <c r="F29" s="1080">
        <f t="shared" si="4"/>
        <v>0</v>
      </c>
      <c r="G29" s="641"/>
      <c r="H29" s="3366"/>
      <c r="I29" s="3366">
        <f t="shared" si="3"/>
        <v>0</v>
      </c>
      <c r="J29" s="641"/>
    </row>
    <row r="30" spans="1:10" ht="18">
      <c r="A30" s="2752" t="str">
        <f t="shared" si="0"/>
        <v>△</v>
      </c>
      <c r="B30" s="2809">
        <v>7057</v>
      </c>
      <c r="C30" s="1077" t="str">
        <f t="shared" si="1"/>
        <v>支付保单红利的现金</v>
      </c>
      <c r="D30" s="1078"/>
      <c r="E30" s="1079"/>
      <c r="F30" s="1080">
        <f t="shared" si="4"/>
        <v>0</v>
      </c>
      <c r="G30" s="641"/>
      <c r="H30" s="3366"/>
      <c r="I30" s="3366">
        <f t="shared" si="3"/>
        <v>0</v>
      </c>
      <c r="J30" s="641"/>
    </row>
    <row r="31" spans="1:10" ht="18">
      <c r="A31" s="2752">
        <f t="shared" si="0"/>
        <v>0</v>
      </c>
      <c r="B31" s="2809">
        <v>7061</v>
      </c>
      <c r="C31" s="1077" t="str">
        <f t="shared" si="1"/>
        <v>支付给职工以及为职工支付的现金</v>
      </c>
      <c r="D31" s="1078"/>
      <c r="E31" s="1079">
        <f>CF底稿!E108</f>
        <v>8360207.9299999997</v>
      </c>
      <c r="F31" s="1080">
        <f t="shared" si="4"/>
        <v>7799242.21</v>
      </c>
      <c r="G31" s="641"/>
      <c r="H31" s="3366">
        <v>8368309.8899999997</v>
      </c>
      <c r="I31" s="3366">
        <f t="shared" si="3"/>
        <v>-8101.96</v>
      </c>
      <c r="J31" s="641"/>
    </row>
    <row r="32" spans="1:10" ht="18">
      <c r="A32" s="2752">
        <f t="shared" si="0"/>
        <v>0</v>
      </c>
      <c r="B32" s="2809">
        <v>7071</v>
      </c>
      <c r="C32" s="1077" t="str">
        <f t="shared" si="1"/>
        <v>支付的各项税费</v>
      </c>
      <c r="D32" s="1078"/>
      <c r="E32" s="1079">
        <f>CF底稿!E125</f>
        <v>3106865.8</v>
      </c>
      <c r="F32" s="1080">
        <f t="shared" si="4"/>
        <v>3876417.5</v>
      </c>
      <c r="G32" s="641"/>
      <c r="H32" s="3366">
        <v>3196191.62</v>
      </c>
      <c r="I32" s="3366">
        <f t="shared" si="3"/>
        <v>-89325.82</v>
      </c>
      <c r="J32" s="641"/>
    </row>
    <row r="33" spans="1:10" ht="18">
      <c r="A33" s="2752">
        <f t="shared" si="0"/>
        <v>0</v>
      </c>
      <c r="B33" s="2809">
        <v>7096</v>
      </c>
      <c r="C33" s="1077" t="str">
        <f t="shared" si="1"/>
        <v>支付其他与经营活动有关的现金</v>
      </c>
      <c r="D33" s="1078"/>
      <c r="E33" s="1079">
        <f>CF底稿!E191+100000</f>
        <v>5764273.5599999996</v>
      </c>
      <c r="F33" s="1080">
        <f t="shared" si="4"/>
        <v>5868705.1299999999</v>
      </c>
      <c r="G33" s="641"/>
      <c r="H33" s="3366">
        <v>2613780.5499999998</v>
      </c>
      <c r="I33" s="3366">
        <f t="shared" si="3"/>
        <v>3150493.01</v>
      </c>
      <c r="J33" s="641"/>
    </row>
    <row r="34" spans="1:10" ht="18">
      <c r="A34" s="2752" t="str">
        <f t="shared" si="0"/>
        <v>＝</v>
      </c>
      <c r="B34" s="2809">
        <v>7098</v>
      </c>
      <c r="C34" s="1073" t="str">
        <f t="shared" si="1"/>
        <v>经营活动现金流出小计</v>
      </c>
      <c r="D34" s="1078"/>
      <c r="E34" s="1082">
        <f>SUM(E24:E33)</f>
        <v>36539739.079999998</v>
      </c>
      <c r="F34" s="1083">
        <f>SUM(F24:F33)</f>
        <v>39063020.899999999</v>
      </c>
      <c r="G34" s="641"/>
      <c r="H34" s="3366"/>
      <c r="I34" s="3366">
        <f t="shared" si="3"/>
        <v>36539739.079999998</v>
      </c>
      <c r="J34" s="641"/>
    </row>
    <row r="35" spans="1:10" ht="18">
      <c r="A35" s="2752" t="str">
        <f t="shared" si="0"/>
        <v>＝</v>
      </c>
      <c r="B35" s="2809">
        <v>7099</v>
      </c>
      <c r="C35" s="1073" t="str">
        <f t="shared" si="1"/>
        <v>经营活动产生的现金流量净额</v>
      </c>
      <c r="D35" s="1078"/>
      <c r="E35" s="1082">
        <f>SUM(E23,-E34)</f>
        <v>963447.92</v>
      </c>
      <c r="F35" s="1083">
        <f>SUM(F23,-F34)</f>
        <v>11322700.880000001</v>
      </c>
      <c r="G35" s="641"/>
      <c r="H35" s="3366"/>
      <c r="I35" s="3366">
        <f t="shared" si="3"/>
        <v>963447.92</v>
      </c>
      <c r="J35" s="641"/>
    </row>
    <row r="36" spans="1:10" ht="18">
      <c r="A36" s="2752" t="str">
        <f t="shared" si="0"/>
        <v>：</v>
      </c>
      <c r="B36" s="2809">
        <v>7100</v>
      </c>
      <c r="C36" s="1073" t="str">
        <f t="shared" si="1"/>
        <v>二、投资活动产生的现金流量：</v>
      </c>
      <c r="D36" s="1078"/>
      <c r="E36" s="1079"/>
      <c r="F36" s="1080">
        <f t="shared" ref="F36:F41" si="5">IF($B36="","",IF(ISERROR(VLOOKUP($B36,Sheet_Balance1,2,0)),0,VLOOKUP($B36,Sheet_Balance1,2,0)))</f>
        <v>0</v>
      </c>
      <c r="G36" s="641"/>
      <c r="H36" s="3366"/>
      <c r="I36" s="3366">
        <f t="shared" si="3"/>
        <v>0</v>
      </c>
      <c r="J36" s="641"/>
    </row>
    <row r="37" spans="1:10" ht="18">
      <c r="A37" s="2752">
        <f t="shared" si="0"/>
        <v>0</v>
      </c>
      <c r="B37" s="2809">
        <v>7101</v>
      </c>
      <c r="C37" s="1077" t="str">
        <f t="shared" si="1"/>
        <v>收回投资收到的现金</v>
      </c>
      <c r="D37" s="1078"/>
      <c r="E37" s="1079">
        <f>CF底稿!E197</f>
        <v>650000</v>
      </c>
      <c r="F37" s="1080">
        <f t="shared" si="5"/>
        <v>0</v>
      </c>
      <c r="G37" s="641"/>
      <c r="H37" s="3366">
        <v>19600000</v>
      </c>
      <c r="I37" s="3366">
        <f t="shared" si="3"/>
        <v>-18950000</v>
      </c>
      <c r="J37" s="3370"/>
    </row>
    <row r="38" spans="1:10" ht="18">
      <c r="A38" s="2752">
        <f t="shared" si="0"/>
        <v>0</v>
      </c>
      <c r="B38" s="2809">
        <v>7105</v>
      </c>
      <c r="C38" s="1077" t="str">
        <f t="shared" si="1"/>
        <v>取得投资收益收到的现金</v>
      </c>
      <c r="D38" s="1078"/>
      <c r="E38" s="1079">
        <f>CF底稿!E209</f>
        <v>41851.06</v>
      </c>
      <c r="F38" s="1080">
        <f t="shared" si="5"/>
        <v>38200.720000000001</v>
      </c>
      <c r="G38" s="641"/>
      <c r="H38" s="3366">
        <v>44362.1</v>
      </c>
      <c r="I38" s="3366">
        <f t="shared" si="3"/>
        <v>-2511.04</v>
      </c>
      <c r="J38" s="3370"/>
    </row>
    <row r="39" spans="1:10" ht="18">
      <c r="A39" s="2752">
        <f t="shared" si="0"/>
        <v>0</v>
      </c>
      <c r="B39" s="2809">
        <v>7111</v>
      </c>
      <c r="C39" s="1077" t="str">
        <f t="shared" si="1"/>
        <v>处置固定资产、无形资产和其他长期资产收回的现金净额</v>
      </c>
      <c r="D39" s="1078"/>
      <c r="E39" s="1079">
        <f>CF底稿!E218</f>
        <v>0</v>
      </c>
      <c r="F39" s="1080">
        <f t="shared" si="5"/>
        <v>456.04</v>
      </c>
      <c r="G39" s="641"/>
      <c r="H39" s="3366">
        <v>1600</v>
      </c>
      <c r="I39" s="3366">
        <f t="shared" si="3"/>
        <v>-1600</v>
      </c>
      <c r="J39" s="641"/>
    </row>
    <row r="40" spans="1:10" ht="18">
      <c r="A40" s="2752">
        <f t="shared" si="0"/>
        <v>0</v>
      </c>
      <c r="B40" s="2809">
        <v>7121</v>
      </c>
      <c r="C40" s="1077" t="str">
        <f t="shared" si="1"/>
        <v>处置子公司及其他营业单位收到的现金净额</v>
      </c>
      <c r="D40" s="1078"/>
      <c r="E40" s="1079">
        <f>CF底稿!E222</f>
        <v>0</v>
      </c>
      <c r="F40" s="1080">
        <f t="shared" si="5"/>
        <v>0</v>
      </c>
      <c r="G40" s="641"/>
      <c r="H40" s="3366"/>
      <c r="I40" s="3366">
        <f t="shared" si="3"/>
        <v>0</v>
      </c>
      <c r="J40" s="641"/>
    </row>
    <row r="41" spans="1:10" ht="18">
      <c r="A41" s="2752">
        <f t="shared" si="0"/>
        <v>0</v>
      </c>
      <c r="B41" s="2809">
        <v>7146</v>
      </c>
      <c r="C41" s="1077" t="str">
        <f t="shared" si="1"/>
        <v>收到其他与投资活动有关的现金</v>
      </c>
      <c r="D41" s="1078"/>
      <c r="E41" s="1079">
        <f>CF底稿!E226+CF底稿!E306</f>
        <v>10464100</v>
      </c>
      <c r="F41" s="1080">
        <f t="shared" si="5"/>
        <v>0</v>
      </c>
      <c r="G41" s="641"/>
      <c r="H41" s="3366"/>
      <c r="I41" s="3366">
        <f t="shared" si="3"/>
        <v>10464100</v>
      </c>
      <c r="J41" s="641"/>
    </row>
    <row r="42" spans="1:10" ht="18">
      <c r="A42" s="2752" t="str">
        <f t="shared" ref="A42:A65" si="6">VLOOKUP($B42,Sheet_Items,4,0)</f>
        <v>＝</v>
      </c>
      <c r="B42" s="2809">
        <v>7148</v>
      </c>
      <c r="C42" s="1073" t="str">
        <f t="shared" ref="C42:C65" si="7">VLOOKUP($B42,Sheet_Items,6,0)</f>
        <v>投资活动现金流入小计</v>
      </c>
      <c r="D42" s="1078"/>
      <c r="E42" s="1082">
        <f>SUM(E37:E41)</f>
        <v>11155951.060000001</v>
      </c>
      <c r="F42" s="1083">
        <f>SUM(F37:F41)</f>
        <v>38656.76</v>
      </c>
      <c r="G42" s="641"/>
      <c r="H42" s="3366"/>
      <c r="I42" s="3366">
        <f t="shared" si="3"/>
        <v>11155951.060000001</v>
      </c>
      <c r="J42" s="641"/>
    </row>
    <row r="43" spans="1:10" ht="18">
      <c r="A43" s="2752">
        <f t="shared" si="6"/>
        <v>0</v>
      </c>
      <c r="B43" s="2809">
        <v>7151</v>
      </c>
      <c r="C43" s="1077" t="str">
        <f t="shared" si="7"/>
        <v>购建固定资产、无形资产和其他长期资产支付的现金</v>
      </c>
      <c r="D43" s="1078"/>
      <c r="E43" s="1079">
        <f>CF底稿!E275</f>
        <v>493144.53</v>
      </c>
      <c r="F43" s="1080">
        <f>IF($B43="","",IF(ISERROR(VLOOKUP($B43,Sheet_Balance1,2,0)),0,VLOOKUP($B43,Sheet_Balance1,2,0)))</f>
        <v>2473925.15</v>
      </c>
      <c r="G43" s="641"/>
      <c r="H43" s="3366">
        <v>1416420.64</v>
      </c>
      <c r="I43" s="3366">
        <f t="shared" si="3"/>
        <v>-923276.11</v>
      </c>
      <c r="J43" s="641"/>
    </row>
    <row r="44" spans="1:10" ht="18">
      <c r="A44" s="2752">
        <f t="shared" si="6"/>
        <v>0</v>
      </c>
      <c r="B44" s="2809">
        <v>7161</v>
      </c>
      <c r="C44" s="1077" t="str">
        <f t="shared" si="7"/>
        <v>投资支付的现金</v>
      </c>
      <c r="D44" s="1078"/>
      <c r="E44" s="1079">
        <f>CF底稿!E280</f>
        <v>0</v>
      </c>
      <c r="F44" s="1080">
        <f>IF($B44="","",IF(ISERROR(VLOOKUP($B44,Sheet_Balance1,2,0)),0,VLOOKUP($B44,Sheet_Balance1,2,0)))</f>
        <v>1850000</v>
      </c>
      <c r="G44" s="641"/>
      <c r="H44" s="3366">
        <v>20950000</v>
      </c>
      <c r="I44" s="3366">
        <f t="shared" si="3"/>
        <v>-20950000</v>
      </c>
      <c r="J44" s="641"/>
    </row>
    <row r="45" spans="1:10" ht="18">
      <c r="A45" s="2752" t="str">
        <f t="shared" si="6"/>
        <v>△</v>
      </c>
      <c r="B45" s="2809">
        <v>7165</v>
      </c>
      <c r="C45" s="1077" t="str">
        <f t="shared" si="7"/>
        <v>质押贷款净增加额</v>
      </c>
      <c r="D45" s="1078"/>
      <c r="E45" s="1079"/>
      <c r="F45" s="1080">
        <f>IF($B45="","",IF(ISERROR(VLOOKUP($B45,Sheet_Balance1,2,0)),0,VLOOKUP($B45,Sheet_Balance1,2,0)))</f>
        <v>0</v>
      </c>
      <c r="G45" s="641"/>
      <c r="H45" s="3366"/>
      <c r="I45" s="3366">
        <f t="shared" si="3"/>
        <v>0</v>
      </c>
      <c r="J45" s="641"/>
    </row>
    <row r="46" spans="1:10" ht="18">
      <c r="A46" s="2752">
        <f t="shared" si="6"/>
        <v>0</v>
      </c>
      <c r="B46" s="2809">
        <v>7171</v>
      </c>
      <c r="C46" s="1077" t="str">
        <f t="shared" si="7"/>
        <v>取得子公司及其他营业单位支付的现金净额</v>
      </c>
      <c r="D46" s="1078"/>
      <c r="E46" s="1079"/>
      <c r="F46" s="1080">
        <f>IF($B46="","",IF(ISERROR(VLOOKUP($B46,Sheet_Balance1,2,0)),0,VLOOKUP($B46,Sheet_Balance1,2,0)))</f>
        <v>0</v>
      </c>
      <c r="G46" s="641"/>
      <c r="H46" s="3366"/>
      <c r="I46" s="3366">
        <f t="shared" si="3"/>
        <v>0</v>
      </c>
      <c r="J46" s="641"/>
    </row>
    <row r="47" spans="1:10" ht="18">
      <c r="A47" s="2752">
        <f t="shared" si="6"/>
        <v>0</v>
      </c>
      <c r="B47" s="2809">
        <v>7196</v>
      </c>
      <c r="C47" s="1077" t="str">
        <f t="shared" si="7"/>
        <v>支付其他与投资活动有关的现金</v>
      </c>
      <c r="D47" s="1078"/>
      <c r="E47" s="1079">
        <f>CF底稿!E285-100000</f>
        <v>2900000</v>
      </c>
      <c r="F47" s="1080">
        <f>IF($B47="","",IF(ISERROR(VLOOKUP($B47,Sheet_Balance1,2,0)),0,VLOOKUP($B47,Sheet_Balance1,2,0)))</f>
        <v>0</v>
      </c>
      <c r="G47" s="641"/>
      <c r="H47" s="3366"/>
      <c r="I47" s="3366">
        <f t="shared" si="3"/>
        <v>2900000</v>
      </c>
      <c r="J47" s="641"/>
    </row>
    <row r="48" spans="1:10" ht="18">
      <c r="A48" s="2752" t="str">
        <f t="shared" si="6"/>
        <v>＝</v>
      </c>
      <c r="B48" s="2809">
        <v>7198</v>
      </c>
      <c r="C48" s="1073" t="str">
        <f t="shared" si="7"/>
        <v>投资活动现金流出小计</v>
      </c>
      <c r="D48" s="1078"/>
      <c r="E48" s="1082">
        <f>SUM(E43:E47)</f>
        <v>3393144.53</v>
      </c>
      <c r="F48" s="1083">
        <f>SUM(F43:F47)</f>
        <v>4323925.1500000004</v>
      </c>
      <c r="G48" s="641"/>
      <c r="H48" s="3366"/>
      <c r="I48" s="3366">
        <f t="shared" si="3"/>
        <v>3393144.53</v>
      </c>
      <c r="J48" s="641"/>
    </row>
    <row r="49" spans="1:10" ht="18">
      <c r="A49" s="2752" t="str">
        <f t="shared" si="6"/>
        <v>＝</v>
      </c>
      <c r="B49" s="2809">
        <v>7199</v>
      </c>
      <c r="C49" s="1073" t="str">
        <f t="shared" si="7"/>
        <v>投资活动产生的现金流量净额</v>
      </c>
      <c r="D49" s="1078"/>
      <c r="E49" s="1082">
        <f>SUM(E42,-E48)</f>
        <v>7762806.5300000003</v>
      </c>
      <c r="F49" s="1083">
        <f>SUM(F42,-F48)</f>
        <v>-4285268.3899999997</v>
      </c>
      <c r="G49" s="641"/>
      <c r="H49" s="3366"/>
      <c r="I49" s="3366">
        <f t="shared" si="3"/>
        <v>7762806.5300000003</v>
      </c>
      <c r="J49" s="641"/>
    </row>
    <row r="50" spans="1:10" ht="18">
      <c r="A50" s="2752" t="str">
        <f t="shared" si="6"/>
        <v>：</v>
      </c>
      <c r="B50" s="2809">
        <v>7200</v>
      </c>
      <c r="C50" s="1084" t="str">
        <f t="shared" si="7"/>
        <v>三、筹资活动产生的现金流量：</v>
      </c>
      <c r="D50" s="1078"/>
      <c r="E50" s="1079"/>
      <c r="F50" s="1080">
        <f>IF($B50="","",IF(ISERROR(VLOOKUP($B50,Sheet_Balance1,2,0)),0,VLOOKUP($B50,Sheet_Balance1,2,0)))</f>
        <v>0</v>
      </c>
      <c r="G50" s="641"/>
      <c r="H50" s="3366"/>
      <c r="I50" s="3366">
        <f t="shared" si="3"/>
        <v>0</v>
      </c>
      <c r="J50" s="641"/>
    </row>
    <row r="51" spans="1:10" ht="18">
      <c r="A51" s="2752">
        <f t="shared" si="6"/>
        <v>0</v>
      </c>
      <c r="B51" s="2809">
        <v>7201</v>
      </c>
      <c r="C51" s="1077" t="str">
        <f t="shared" si="7"/>
        <v>吸收投资收到的现金</v>
      </c>
      <c r="D51" s="1078"/>
      <c r="E51" s="1079"/>
      <c r="F51" s="1080">
        <f>IF($B51="","",IF(ISERROR(VLOOKUP($B51,Sheet_Balance1,2,0)),0,VLOOKUP($B51,Sheet_Balance1,2,0)))</f>
        <v>0</v>
      </c>
      <c r="G51" s="641"/>
      <c r="H51" s="3366">
        <v>10464100</v>
      </c>
      <c r="I51" s="3366">
        <f t="shared" si="3"/>
        <v>-10464100</v>
      </c>
      <c r="J51" s="641"/>
    </row>
    <row r="52" spans="1:10" ht="18">
      <c r="A52" s="2752" t="str">
        <f t="shared" si="6"/>
        <v>※</v>
      </c>
      <c r="B52" s="2828">
        <v>7201.01</v>
      </c>
      <c r="C52" s="1077" t="str">
        <f>VLOOKUP($B52,Sheet_Items,6,0)</f>
        <v>其中：子公司吸收少数股东投资收到的现金</v>
      </c>
      <c r="D52" s="1078"/>
      <c r="E52" s="1079"/>
      <c r="F52" s="1080">
        <f>IF($B52="","",IF(ISERROR(VLOOKUP($B52,Sheet_Balance1,2,0)),0,VLOOKUP($B52,Sheet_Balance1,2,0)))</f>
        <v>0</v>
      </c>
      <c r="G52" s="641"/>
      <c r="H52" s="3366"/>
      <c r="I52" s="3366">
        <f t="shared" si="3"/>
        <v>0</v>
      </c>
      <c r="J52" s="641"/>
    </row>
    <row r="53" spans="1:10" ht="18">
      <c r="A53" s="2752">
        <f t="shared" si="6"/>
        <v>0</v>
      </c>
      <c r="B53" s="2809">
        <v>7211</v>
      </c>
      <c r="C53" s="1077" t="str">
        <f t="shared" si="7"/>
        <v>取得借款收到的现金</v>
      </c>
      <c r="D53" s="1078"/>
      <c r="E53" s="1079">
        <f>CF底稿!E295</f>
        <v>2000000</v>
      </c>
      <c r="F53" s="1080">
        <f>IF($B53="","",IF(ISERROR(VLOOKUP($B53,Sheet_Balance1,2,0)),0,VLOOKUP($B53,Sheet_Balance1,2,0)))</f>
        <v>0</v>
      </c>
      <c r="G53" s="641"/>
      <c r="H53" s="3366">
        <v>2000000</v>
      </c>
      <c r="I53" s="3366">
        <f t="shared" si="3"/>
        <v>0</v>
      </c>
      <c r="J53" s="641"/>
    </row>
    <row r="54" spans="1:10" ht="18">
      <c r="A54" s="2752">
        <f t="shared" si="6"/>
        <v>0</v>
      </c>
      <c r="B54" s="2809">
        <v>7246</v>
      </c>
      <c r="C54" s="1077" t="str">
        <f t="shared" si="7"/>
        <v>收到其他与筹资活动有关的现金</v>
      </c>
      <c r="D54" s="1078"/>
      <c r="E54" s="1079">
        <f>CF底稿!E290-CF底稿!E306</f>
        <v>0</v>
      </c>
      <c r="F54" s="1080">
        <f>IF($B54="","",IF(ISERROR(VLOOKUP($B54,Sheet_Balance1,2,0)),0,VLOOKUP($B54,Sheet_Balance1,2,0)))</f>
        <v>0</v>
      </c>
      <c r="G54" s="641"/>
      <c r="H54" s="3366"/>
      <c r="I54" s="3366">
        <f t="shared" si="3"/>
        <v>0</v>
      </c>
      <c r="J54" s="641"/>
    </row>
    <row r="55" spans="1:10" ht="18">
      <c r="A55" s="2752" t="str">
        <f t="shared" si="6"/>
        <v>＝</v>
      </c>
      <c r="B55" s="2809">
        <v>7248</v>
      </c>
      <c r="C55" s="1073" t="str">
        <f t="shared" si="7"/>
        <v>筹资活动现金流入小计</v>
      </c>
      <c r="D55" s="1078"/>
      <c r="E55" s="1082">
        <f>SUM(E51,E53:E54)</f>
        <v>2000000</v>
      </c>
      <c r="F55" s="1083">
        <f>SUM(F51,F53:F54)</f>
        <v>0</v>
      </c>
      <c r="G55" s="641"/>
      <c r="H55" s="3366"/>
      <c r="I55" s="3366">
        <f t="shared" si="3"/>
        <v>2000000</v>
      </c>
      <c r="J55" s="641"/>
    </row>
    <row r="56" spans="1:10" ht="18">
      <c r="A56" s="2752">
        <f t="shared" si="6"/>
        <v>0</v>
      </c>
      <c r="B56" s="2809">
        <v>7251</v>
      </c>
      <c r="C56" s="1077" t="str">
        <f t="shared" si="7"/>
        <v>偿还债务支付的现金</v>
      </c>
      <c r="D56" s="1078"/>
      <c r="E56" s="1079">
        <f>CF底稿!E305</f>
        <v>0</v>
      </c>
      <c r="F56" s="1080">
        <f>IF($B56="","",IF(ISERROR(VLOOKUP($B56,Sheet_Balance1,2,0)),0,VLOOKUP($B56,Sheet_Balance1,2,0)))</f>
        <v>10000000</v>
      </c>
      <c r="G56" s="641"/>
      <c r="H56" s="3366">
        <v>1000000</v>
      </c>
      <c r="I56" s="3366">
        <f t="shared" si="3"/>
        <v>-1000000</v>
      </c>
      <c r="J56" s="641"/>
    </row>
    <row r="57" spans="1:10" ht="18">
      <c r="A57" s="2752">
        <f t="shared" si="6"/>
        <v>0</v>
      </c>
      <c r="B57" s="2809">
        <v>7261</v>
      </c>
      <c r="C57" s="1077" t="str">
        <f t="shared" si="7"/>
        <v>分配股利、利润或偿付利息支付的现金</v>
      </c>
      <c r="D57" s="1078"/>
      <c r="E57" s="1079">
        <f>CF底稿!E310</f>
        <v>10499673.34</v>
      </c>
      <c r="F57" s="1080">
        <f>IF($B57="","",IF(ISERROR(VLOOKUP($B57,Sheet_Balance1,2,0)),0,VLOOKUP($B57,Sheet_Balance1,2,0)))</f>
        <v>16721.77</v>
      </c>
      <c r="G57" s="641"/>
      <c r="H57" s="3366">
        <v>10493694.970000001</v>
      </c>
      <c r="I57" s="3366">
        <f t="shared" si="3"/>
        <v>5978.37</v>
      </c>
      <c r="J57" s="641"/>
    </row>
    <row r="58" spans="1:10" ht="18">
      <c r="A58" s="2752" t="str">
        <f t="shared" si="6"/>
        <v>※</v>
      </c>
      <c r="B58" s="2828">
        <v>7261.01</v>
      </c>
      <c r="C58" s="1077" t="str">
        <f>VLOOKUP($B58,Sheet_Items,6,0)</f>
        <v>其中：子公司支付给少数股东的股利、利润</v>
      </c>
      <c r="D58" s="1078"/>
      <c r="E58" s="1079"/>
      <c r="F58" s="1080">
        <f>IF($B58="","",IF(ISERROR(VLOOKUP($B58,Sheet_Balance1,2,0)),0,VLOOKUP($B58,Sheet_Balance1,2,0)))</f>
        <v>0</v>
      </c>
      <c r="G58" s="641"/>
      <c r="H58" s="3366"/>
      <c r="I58" s="3366">
        <f t="shared" si="3"/>
        <v>0</v>
      </c>
      <c r="J58" s="641"/>
    </row>
    <row r="59" spans="1:10" ht="18">
      <c r="A59" s="2752">
        <f t="shared" si="6"/>
        <v>0</v>
      </c>
      <c r="B59" s="2809">
        <v>7296</v>
      </c>
      <c r="C59" s="1077" t="str">
        <f t="shared" si="7"/>
        <v>支付其他与筹资活动有关的现金</v>
      </c>
      <c r="D59" s="1078"/>
      <c r="E59" s="1079"/>
      <c r="F59" s="1080">
        <f>IF($B59="","",IF(ISERROR(VLOOKUP($B59,Sheet_Balance1,2,0)),0,VLOOKUP($B59,Sheet_Balance1,2,0)))</f>
        <v>0</v>
      </c>
      <c r="G59" s="641"/>
      <c r="H59" s="3366"/>
      <c r="I59" s="3366">
        <f t="shared" si="3"/>
        <v>0</v>
      </c>
      <c r="J59" s="641"/>
    </row>
    <row r="60" spans="1:10" ht="18">
      <c r="A60" s="2752" t="str">
        <f t="shared" si="6"/>
        <v>＝</v>
      </c>
      <c r="B60" s="2809">
        <v>7298</v>
      </c>
      <c r="C60" s="1073" t="str">
        <f t="shared" si="7"/>
        <v>筹资活动现金流出小计</v>
      </c>
      <c r="D60" s="1078"/>
      <c r="E60" s="1082">
        <f>SUM(E56:E57,E59)</f>
        <v>10499673.34</v>
      </c>
      <c r="F60" s="1083">
        <f>SUM(F56:F57,F59)</f>
        <v>10016721.77</v>
      </c>
      <c r="G60" s="641"/>
      <c r="H60" s="3366"/>
      <c r="I60" s="3366">
        <f t="shared" si="3"/>
        <v>10499673.34</v>
      </c>
      <c r="J60" s="641"/>
    </row>
    <row r="61" spans="1:10" ht="18">
      <c r="A61" s="2752" t="str">
        <f t="shared" si="6"/>
        <v>＝</v>
      </c>
      <c r="B61" s="2809">
        <v>7299</v>
      </c>
      <c r="C61" s="1073" t="str">
        <f t="shared" si="7"/>
        <v>筹资活动产生的现金流量净额</v>
      </c>
      <c r="D61" s="1078"/>
      <c r="E61" s="1082">
        <f>SUM(E55,-E60)</f>
        <v>-8499673.3399999999</v>
      </c>
      <c r="F61" s="1083">
        <f>SUM(F55,-F60)</f>
        <v>-10016721.77</v>
      </c>
      <c r="G61" s="641"/>
      <c r="H61" s="3366"/>
      <c r="I61" s="3366">
        <f t="shared" si="3"/>
        <v>-8499673.3399999999</v>
      </c>
      <c r="J61" s="641"/>
    </row>
    <row r="62" spans="1:10" ht="18">
      <c r="A62" s="2752">
        <f t="shared" si="6"/>
        <v>0</v>
      </c>
      <c r="B62" s="2809">
        <v>7309</v>
      </c>
      <c r="C62" s="1085" t="str">
        <f t="shared" si="7"/>
        <v>四、汇率变动对现金及现金等价物的影响</v>
      </c>
      <c r="D62" s="1078"/>
      <c r="E62" s="1079"/>
      <c r="F62" s="1080">
        <f>IF($B62="","",IF(ISERROR(VLOOKUP($B62,Sheet_Balance1,2,0)),0,VLOOKUP($B62,Sheet_Balance1,2,0)))</f>
        <v>0</v>
      </c>
      <c r="G62" s="641"/>
      <c r="H62" s="3366"/>
      <c r="I62" s="3366">
        <f t="shared" si="3"/>
        <v>0</v>
      </c>
      <c r="J62" s="641"/>
    </row>
    <row r="63" spans="1:10" ht="18">
      <c r="A63" s="2752" t="str">
        <f t="shared" si="6"/>
        <v>＝</v>
      </c>
      <c r="B63" s="2809">
        <v>7348</v>
      </c>
      <c r="C63" s="1073" t="str">
        <f t="shared" si="7"/>
        <v>五、现金及现金等价物净增加额</v>
      </c>
      <c r="D63" s="1078"/>
      <c r="E63" s="1082">
        <f>SUM(E35,E49,E61,E62)</f>
        <v>226581.11</v>
      </c>
      <c r="F63" s="1083">
        <f>SUM(F35,F49,F61,F62)</f>
        <v>-2979289.28</v>
      </c>
      <c r="G63" s="641"/>
      <c r="H63" s="641"/>
      <c r="I63" s="641"/>
      <c r="J63" s="641"/>
    </row>
    <row r="64" spans="1:10" ht="18">
      <c r="A64" s="2752">
        <f t="shared" si="6"/>
        <v>0</v>
      </c>
      <c r="B64" s="2809">
        <v>7349</v>
      </c>
      <c r="C64" s="1084" t="str">
        <f t="shared" si="7"/>
        <v>加：期初现金及现金等价物余额</v>
      </c>
      <c r="D64" s="1078"/>
      <c r="E64" s="1079">
        <f>F65</f>
        <v>252723.84</v>
      </c>
      <c r="F64" s="1080">
        <f>IF($B64="","",IF(ISERROR(VLOOKUP($B64,Sheet_Balance1,2,0)),0,VLOOKUP($B64,Sheet_Balance1,2,0)))</f>
        <v>3232013.12</v>
      </c>
      <c r="G64" s="641"/>
      <c r="H64" s="641"/>
      <c r="I64" s="641"/>
      <c r="J64" s="641"/>
    </row>
    <row r="65" spans="1:10" ht="18">
      <c r="A65" s="2752" t="str">
        <f t="shared" si="6"/>
        <v>＝</v>
      </c>
      <c r="B65" s="2809">
        <v>7399</v>
      </c>
      <c r="C65" s="1086" t="str">
        <f t="shared" si="7"/>
        <v>六、期末现金及现金等价物余额</v>
      </c>
      <c r="D65" s="1087"/>
      <c r="E65" s="1088">
        <f>SUM(E63,E64)</f>
        <v>479304.95</v>
      </c>
      <c r="F65" s="1089">
        <f>SUM(F63,F64)</f>
        <v>252723.84</v>
      </c>
      <c r="G65" s="641"/>
      <c r="H65" s="641"/>
      <c r="I65" s="641"/>
      <c r="J65" s="641"/>
    </row>
    <row r="66" spans="1:10" ht="18">
      <c r="A66" s="2749"/>
      <c r="B66" s="2752"/>
      <c r="C66" s="745" t="str">
        <f>Lead!$B$8&amp;"："&amp;Lead!$C$8&amp;REPT(" ",20)&amp;Lead!$B$9&amp;"："&amp;Lead!$C$9&amp;REPT(" ",20)&amp;Lead!$B$10&amp;"："&amp;Lead!$C$10</f>
        <v>法定代表人：                    主管会计工作负责人：                    会计机构负责人：</v>
      </c>
      <c r="D66" s="745"/>
      <c r="E66" s="745"/>
      <c r="F66" s="745"/>
      <c r="G66" s="641"/>
      <c r="H66" s="641"/>
      <c r="I66" s="641"/>
      <c r="J66" s="641"/>
    </row>
    <row r="67" spans="1:10" ht="18">
      <c r="A67" s="2830"/>
      <c r="C67" s="641"/>
      <c r="D67" s="641"/>
      <c r="E67" s="3053">
        <f>E65-preBS!F10</f>
        <v>0</v>
      </c>
      <c r="F67" s="641"/>
      <c r="G67" s="641"/>
      <c r="H67" s="641"/>
      <c r="I67" s="641"/>
      <c r="J67" s="641"/>
    </row>
    <row r="68" spans="1:10" ht="18">
      <c r="A68" s="2830"/>
      <c r="C68" s="1090" t="s">
        <v>2585</v>
      </c>
      <c r="D68" s="641"/>
      <c r="E68" s="1091" t="s">
        <v>2586</v>
      </c>
      <c r="F68" s="1092"/>
      <c r="G68" s="641"/>
      <c r="H68" s="641"/>
      <c r="I68" s="641"/>
      <c r="J68" s="641"/>
    </row>
    <row r="69" spans="1:10" ht="18">
      <c r="A69" s="2752"/>
      <c r="B69" s="2749"/>
      <c r="C69" s="1093" t="s">
        <v>918</v>
      </c>
      <c r="D69" s="1094"/>
      <c r="E69" s="1095" t="s">
        <v>2587</v>
      </c>
      <c r="F69" s="1096" t="s">
        <v>2588</v>
      </c>
      <c r="G69" s="709"/>
      <c r="H69" s="709"/>
      <c r="I69" s="709"/>
      <c r="J69" s="641"/>
    </row>
    <row r="70" spans="1:10" ht="18">
      <c r="A70" s="2830" t="str">
        <f t="shared" ref="A70:A98" si="8">VLOOKUP($B70,Sheet_Items,4,0)</f>
        <v>：</v>
      </c>
      <c r="B70" s="2809">
        <v>7501</v>
      </c>
      <c r="C70" s="1097" t="str">
        <f t="shared" ref="C70:C98" si="9">VLOOKUP($B70,Sheet_Items,6,0)</f>
        <v>1.将净利润调节为经营活动现金流量：</v>
      </c>
      <c r="D70" s="1098"/>
      <c r="E70" s="1099"/>
      <c r="F70" s="1100">
        <f>IF($B70="","",IF(ISERROR(VLOOKUP($B70,Sheet_Balance1,2,0)),0,VLOOKUP($B70,Sheet_Balance1,2,0)))</f>
        <v>0</v>
      </c>
      <c r="G70" s="709"/>
      <c r="H70" s="709"/>
      <c r="I70" s="709"/>
      <c r="J70" s="641"/>
    </row>
    <row r="71" spans="1:10" ht="18">
      <c r="A71" s="2830">
        <f t="shared" si="8"/>
        <v>0</v>
      </c>
      <c r="B71" s="2809">
        <v>7502</v>
      </c>
      <c r="C71" s="1101" t="str">
        <f t="shared" si="9"/>
        <v>净利润</v>
      </c>
      <c r="D71" s="1098"/>
      <c r="E71" s="1099">
        <f>IS!E30</f>
        <v>-3349908.33</v>
      </c>
      <c r="F71" s="1100">
        <f>VLOOKUP(6799,Sheet_Trialbal,7,0)</f>
        <v>520228.91</v>
      </c>
      <c r="G71" s="709"/>
      <c r="H71" s="709"/>
      <c r="I71" s="709"/>
      <c r="J71" s="641"/>
    </row>
    <row r="72" spans="1:10" ht="18">
      <c r="A72" s="2830">
        <f t="shared" si="8"/>
        <v>0</v>
      </c>
      <c r="B72" s="2809">
        <v>7503</v>
      </c>
      <c r="C72" s="1101" t="str">
        <f>VLOOKUP($B72,Sheet_Items,6,0)</f>
        <v>加：资产减值准备</v>
      </c>
      <c r="D72" s="1098"/>
      <c r="E72" s="1099">
        <f>-IS!E23</f>
        <v>864640.09</v>
      </c>
      <c r="F72" s="1100">
        <f t="shared" ref="F72:F87" si="10">IF($B72="","",IF(ISERROR(VLOOKUP($B72,Sheet_Balance1,2,0)),0,VLOOKUP($B72,Sheet_Balance1,2,0)))</f>
        <v>-198814.86</v>
      </c>
      <c r="G72" s="709"/>
      <c r="H72" s="709"/>
      <c r="I72" s="709"/>
      <c r="J72" s="641"/>
    </row>
    <row r="73" spans="1:10" ht="18">
      <c r="A73" s="2830" t="str">
        <f>VLOOKUP($B73,Sheet_Items,4,0)</f>
        <v>_JR</v>
      </c>
      <c r="B73" s="2809">
        <v>7504</v>
      </c>
      <c r="C73" s="1102" t="str">
        <f>VLOOKUP($B73,Sheet_Items,6,0)</f>
        <v>信用减值损失</v>
      </c>
      <c r="D73" s="1098"/>
      <c r="E73" s="1099">
        <f>-IS!E22</f>
        <v>1923898.24</v>
      </c>
      <c r="F73" s="1100">
        <f t="shared" si="10"/>
        <v>0</v>
      </c>
      <c r="G73" s="709"/>
      <c r="H73" s="709"/>
      <c r="I73" s="709"/>
      <c r="J73" s="641"/>
    </row>
    <row r="74" spans="1:10" ht="24">
      <c r="A74" s="2830">
        <f t="shared" si="8"/>
        <v>0</v>
      </c>
      <c r="B74" s="2809">
        <v>7505</v>
      </c>
      <c r="C74" s="1656" t="str">
        <f t="shared" si="9"/>
        <v>固定资产折旧、投资性房地产折旧、油气资产折耗、生产性生物资产折旧</v>
      </c>
      <c r="D74" s="1098"/>
      <c r="E74" s="1099">
        <f>Notes!L2674</f>
        <v>2332438.67</v>
      </c>
      <c r="F74" s="1100">
        <f t="shared" si="10"/>
        <v>2200407.69</v>
      </c>
      <c r="G74" s="709"/>
      <c r="H74" s="709"/>
      <c r="I74" s="709"/>
      <c r="J74" s="641"/>
    </row>
    <row r="75" spans="1:10" ht="18">
      <c r="A75" s="2830">
        <f t="shared" si="8"/>
        <v>0</v>
      </c>
      <c r="B75" s="2809">
        <v>7506</v>
      </c>
      <c r="C75" s="1656" t="str">
        <f t="shared" si="9"/>
        <v>无形资产摊销</v>
      </c>
      <c r="D75" s="1098"/>
      <c r="E75" s="1099">
        <f>Notes!L3075</f>
        <v>102441.89</v>
      </c>
      <c r="F75" s="1100">
        <f t="shared" si="10"/>
        <v>88666.19</v>
      </c>
      <c r="G75" s="709"/>
      <c r="H75" s="709"/>
      <c r="I75" s="709"/>
      <c r="J75" s="641"/>
    </row>
    <row r="76" spans="1:10" ht="18">
      <c r="A76" s="2830">
        <f t="shared" si="8"/>
        <v>0</v>
      </c>
      <c r="B76" s="2809">
        <v>7507</v>
      </c>
      <c r="C76" s="1656" t="str">
        <f t="shared" si="9"/>
        <v>长期待摊费用摊销</v>
      </c>
      <c r="D76" s="1098"/>
      <c r="E76" s="1099">
        <f>Notes!J3227</f>
        <v>297071.96999999997</v>
      </c>
      <c r="F76" s="1100">
        <f t="shared" si="10"/>
        <v>195194.75</v>
      </c>
      <c r="G76" s="709"/>
      <c r="H76" s="709"/>
      <c r="I76" s="709"/>
      <c r="J76" s="641"/>
    </row>
    <row r="77" spans="1:10" ht="24">
      <c r="A77" s="2830">
        <f t="shared" si="8"/>
        <v>0</v>
      </c>
      <c r="B77" s="2809">
        <v>7508</v>
      </c>
      <c r="C77" s="1656" t="str">
        <f t="shared" si="9"/>
        <v>处置固定资产、无形资产和其他长期资产的损失（收益以“－”号填列）</v>
      </c>
      <c r="D77" s="1098"/>
      <c r="E77" s="1099"/>
      <c r="F77" s="1100">
        <f t="shared" si="10"/>
        <v>-456.04</v>
      </c>
      <c r="G77" s="709"/>
      <c r="H77" s="709"/>
      <c r="I77" s="709"/>
      <c r="J77" s="641"/>
    </row>
    <row r="78" spans="1:10" ht="18">
      <c r="A78" s="2830">
        <f t="shared" si="8"/>
        <v>0</v>
      </c>
      <c r="B78" s="2809">
        <v>7509</v>
      </c>
      <c r="C78" s="1656" t="str">
        <f t="shared" si="9"/>
        <v>固定资产报废损失（收益以“－”号填列）</v>
      </c>
      <c r="D78" s="1098"/>
      <c r="E78" s="1099"/>
      <c r="F78" s="1100">
        <f t="shared" si="10"/>
        <v>0</v>
      </c>
      <c r="G78" s="709"/>
      <c r="H78" s="709"/>
      <c r="I78" s="709"/>
      <c r="J78" s="641"/>
    </row>
    <row r="79" spans="1:10" ht="18">
      <c r="A79" s="2830">
        <f t="shared" si="8"/>
        <v>0</v>
      </c>
      <c r="B79" s="2809">
        <v>7510</v>
      </c>
      <c r="C79" s="1656" t="str">
        <f t="shared" si="9"/>
        <v>公允价值变动损失（收益以“－”号填列）</v>
      </c>
      <c r="D79" s="1098"/>
      <c r="E79" s="1099"/>
      <c r="F79" s="1100">
        <f t="shared" si="10"/>
        <v>0</v>
      </c>
      <c r="G79" s="709"/>
      <c r="H79" s="709"/>
      <c r="I79" s="709"/>
      <c r="J79" s="641"/>
    </row>
    <row r="80" spans="1:10" ht="18">
      <c r="A80" s="2830">
        <f t="shared" si="8"/>
        <v>0</v>
      </c>
      <c r="B80" s="2809">
        <v>7511</v>
      </c>
      <c r="C80" s="1656" t="str">
        <f t="shared" si="9"/>
        <v>财务费用（收益以“－”号填列）</v>
      </c>
      <c r="D80" s="1098"/>
      <c r="E80" s="1099">
        <f>AJE!O59</f>
        <v>2968.82</v>
      </c>
      <c r="F80" s="1100">
        <f t="shared" si="10"/>
        <v>0</v>
      </c>
      <c r="G80" s="709"/>
      <c r="H80" s="709"/>
      <c r="I80" s="709"/>
      <c r="J80" s="641"/>
    </row>
    <row r="81" spans="1:12" ht="18">
      <c r="A81" s="2830">
        <f t="shared" si="8"/>
        <v>0</v>
      </c>
      <c r="B81" s="2809">
        <v>7512</v>
      </c>
      <c r="C81" s="1656" t="str">
        <f t="shared" si="9"/>
        <v>投资损失（收益以“－”号填列）</v>
      </c>
      <c r="D81" s="1098"/>
      <c r="E81" s="1099">
        <f>-IS!E17</f>
        <v>-41851.06</v>
      </c>
      <c r="F81" s="1100">
        <f t="shared" si="10"/>
        <v>-38200.720000000001</v>
      </c>
      <c r="G81" s="709"/>
      <c r="H81" s="709"/>
      <c r="I81" s="709"/>
      <c r="J81" s="641"/>
    </row>
    <row r="82" spans="1:12" ht="18">
      <c r="A82" s="2830">
        <f t="shared" si="8"/>
        <v>0</v>
      </c>
      <c r="B82" s="2809">
        <v>7515</v>
      </c>
      <c r="C82" s="1656" t="str">
        <f t="shared" si="9"/>
        <v>递延所得税资产减少（增加以“－”号填列）</v>
      </c>
      <c r="D82" s="1098"/>
      <c r="E82" s="1099">
        <f>BS!H42-BS!G42</f>
        <v>-624649.18999999994</v>
      </c>
      <c r="F82" s="1100">
        <f t="shared" si="10"/>
        <v>-485503.27</v>
      </c>
      <c r="G82" s="709"/>
      <c r="H82" s="709"/>
      <c r="I82" s="709"/>
      <c r="J82" s="641"/>
    </row>
    <row r="83" spans="1:12" ht="18">
      <c r="A83" s="2830">
        <f t="shared" si="8"/>
        <v>0</v>
      </c>
      <c r="B83" s="2809">
        <v>7516</v>
      </c>
      <c r="C83" s="1656" t="str">
        <f t="shared" si="9"/>
        <v>递延所得税负债增加（减少以“－”号填列）</v>
      </c>
      <c r="D83" s="1098"/>
      <c r="E83" s="1099"/>
      <c r="F83" s="1100">
        <f t="shared" si="10"/>
        <v>0</v>
      </c>
      <c r="G83" s="709"/>
      <c r="H83" s="709"/>
      <c r="I83" s="709"/>
      <c r="J83" s="641"/>
    </row>
    <row r="84" spans="1:12" ht="18">
      <c r="A84" s="2830">
        <f t="shared" si="8"/>
        <v>0</v>
      </c>
      <c r="B84" s="2809">
        <v>7517</v>
      </c>
      <c r="C84" s="1656" t="str">
        <f t="shared" si="9"/>
        <v>存货的减少（增加以“－”号填列）</v>
      </c>
      <c r="D84" s="1098"/>
      <c r="E84" s="1099">
        <f>坏账及减值表!D15-坏账及减值表!E15</f>
        <v>-1471252.95</v>
      </c>
      <c r="F84" s="1100">
        <f t="shared" si="10"/>
        <v>2725020.2</v>
      </c>
      <c r="G84" s="709"/>
      <c r="H84" s="709"/>
      <c r="I84" s="709"/>
      <c r="J84" s="641"/>
    </row>
    <row r="85" spans="1:12" ht="18">
      <c r="A85" s="2830">
        <f t="shared" si="8"/>
        <v>0</v>
      </c>
      <c r="B85" s="2809">
        <v>7518</v>
      </c>
      <c r="C85" s="1656" t="str">
        <f t="shared" si="9"/>
        <v>经营性应收项目的减少（增加以“－”号填列）</v>
      </c>
      <c r="D85" s="1098"/>
      <c r="E85" s="1099">
        <f>Notes!J6219</f>
        <v>-2701456.75</v>
      </c>
      <c r="F85" s="1100">
        <f t="shared" si="10"/>
        <v>4222149.83</v>
      </c>
      <c r="G85" s="709"/>
      <c r="H85" s="709"/>
      <c r="I85" s="709"/>
      <c r="J85" s="641"/>
    </row>
    <row r="86" spans="1:12" ht="18">
      <c r="A86" s="2830">
        <f t="shared" si="8"/>
        <v>0</v>
      </c>
      <c r="B86" s="2809">
        <v>7519</v>
      </c>
      <c r="C86" s="1656" t="str">
        <f t="shared" si="9"/>
        <v>经营性应付项目的增加（减少以“－”号填列）</v>
      </c>
      <c r="D86" s="1098"/>
      <c r="E86" s="1099">
        <f>Notes!J6248</f>
        <v>3629106.52</v>
      </c>
      <c r="F86" s="1100">
        <f t="shared" si="10"/>
        <v>2094008.2</v>
      </c>
      <c r="G86" s="709"/>
      <c r="H86" s="709"/>
      <c r="I86" s="709"/>
      <c r="J86" s="641"/>
    </row>
    <row r="87" spans="1:12" ht="18">
      <c r="A87" s="2830">
        <f t="shared" si="8"/>
        <v>0</v>
      </c>
      <c r="B87" s="2809">
        <v>7523</v>
      </c>
      <c r="C87" s="1656" t="str">
        <f t="shared" si="9"/>
        <v>其他</v>
      </c>
      <c r="D87" s="1098"/>
      <c r="E87" s="1099"/>
      <c r="F87" s="1100">
        <f t="shared" si="10"/>
        <v>0</v>
      </c>
      <c r="G87" s="709"/>
      <c r="H87" s="709"/>
      <c r="I87" s="709"/>
      <c r="J87" s="641"/>
    </row>
    <row r="88" spans="1:12" ht="18">
      <c r="A88" s="2830" t="str">
        <f t="shared" si="8"/>
        <v>＝</v>
      </c>
      <c r="B88" s="2809">
        <v>7525</v>
      </c>
      <c r="C88" s="1103" t="str">
        <f t="shared" si="9"/>
        <v>经营活动产生的现金流量净额</v>
      </c>
      <c r="D88" s="1098"/>
      <c r="E88" s="1104">
        <f>SUM(E71:E87)</f>
        <v>963447.92</v>
      </c>
      <c r="F88" s="1105">
        <f>SUM(F71:F87)</f>
        <v>11322700.880000001</v>
      </c>
      <c r="G88" s="709"/>
      <c r="H88" s="709"/>
      <c r="I88" s="709"/>
      <c r="J88" s="641"/>
    </row>
    <row r="89" spans="1:12" ht="18">
      <c r="A89" s="2830" t="str">
        <f t="shared" si="8"/>
        <v>：</v>
      </c>
      <c r="B89" s="2809">
        <v>7526</v>
      </c>
      <c r="C89" s="1097" t="str">
        <f t="shared" si="9"/>
        <v>2.不涉及现金收支的重大投资和筹资活动：</v>
      </c>
      <c r="D89" s="1098"/>
      <c r="E89" s="1099"/>
      <c r="F89" s="1100">
        <f>IF($B89="","",IF(ISERROR(VLOOKUP($B89,Sheet_Balance1,2,0)),0,VLOOKUP($B89,Sheet_Balance1,2,0)))</f>
        <v>0</v>
      </c>
      <c r="G89" s="709"/>
      <c r="H89" s="709"/>
      <c r="I89" s="709"/>
      <c r="J89" s="641"/>
    </row>
    <row r="90" spans="1:12" ht="18">
      <c r="A90" s="2830">
        <f t="shared" si="8"/>
        <v>0</v>
      </c>
      <c r="B90" s="2809">
        <v>7527</v>
      </c>
      <c r="C90" s="1101" t="str">
        <f t="shared" si="9"/>
        <v>债务转为资本</v>
      </c>
      <c r="D90" s="1098"/>
      <c r="E90" s="1099"/>
      <c r="F90" s="1100">
        <f>IF($B90="","",IF(ISERROR(VLOOKUP($B90,Sheet_Balance1,2,0)),0,VLOOKUP($B90,Sheet_Balance1,2,0)))</f>
        <v>0</v>
      </c>
      <c r="G90" s="709"/>
      <c r="H90" s="709"/>
      <c r="I90" s="709"/>
      <c r="J90" s="641"/>
    </row>
    <row r="91" spans="1:12" ht="18">
      <c r="A91" s="2830">
        <f t="shared" si="8"/>
        <v>0</v>
      </c>
      <c r="B91" s="2809">
        <v>7528</v>
      </c>
      <c r="C91" s="1101" t="str">
        <f t="shared" si="9"/>
        <v>一年内到期的可转换公司债券</v>
      </c>
      <c r="D91" s="1098"/>
      <c r="E91" s="1099"/>
      <c r="F91" s="1100">
        <f>IF($B91="","",IF(ISERROR(VLOOKUP($B91,Sheet_Balance1,2,0)),0,VLOOKUP($B91,Sheet_Balance1,2,0)))</f>
        <v>0</v>
      </c>
      <c r="G91" s="709"/>
      <c r="H91" s="709"/>
      <c r="I91" s="709"/>
      <c r="J91" s="641"/>
    </row>
    <row r="92" spans="1:12" ht="18">
      <c r="A92" s="2830">
        <f t="shared" si="8"/>
        <v>0</v>
      </c>
      <c r="B92" s="2809">
        <v>7529</v>
      </c>
      <c r="C92" s="1101" t="str">
        <f t="shared" si="9"/>
        <v>融资租入固定资产</v>
      </c>
      <c r="D92" s="1098"/>
      <c r="E92" s="1099"/>
      <c r="F92" s="1100">
        <f>IF($B92="","",IF(ISERROR(VLOOKUP($B92,Sheet_Balance1,2,0)),0,VLOOKUP($B92,Sheet_Balance1,2,0)))</f>
        <v>0</v>
      </c>
      <c r="G92" s="709"/>
      <c r="H92" s="709"/>
      <c r="I92" s="709"/>
      <c r="J92" s="641"/>
    </row>
    <row r="93" spans="1:12" ht="18">
      <c r="A93" s="2830" t="str">
        <f t="shared" si="8"/>
        <v>：</v>
      </c>
      <c r="B93" s="2809">
        <v>7533</v>
      </c>
      <c r="C93" s="1097" t="str">
        <f t="shared" si="9"/>
        <v>3.现金及现金等价物净变动情况：</v>
      </c>
      <c r="D93" s="1098"/>
      <c r="E93" s="1099"/>
      <c r="F93" s="1100">
        <f>IF($B93="","",IF(ISERROR(VLOOKUP($B93,Sheet_Balance1,2,0)),0,VLOOKUP($B93,Sheet_Balance1,2,0)))</f>
        <v>0</v>
      </c>
      <c r="G93" s="709"/>
      <c r="H93" s="709"/>
      <c r="I93" s="709"/>
      <c r="J93" s="641"/>
    </row>
    <row r="94" spans="1:12" ht="18">
      <c r="A94" s="2830">
        <f t="shared" si="8"/>
        <v>0</v>
      </c>
      <c r="B94" s="2809">
        <v>7535</v>
      </c>
      <c r="C94" s="1101" t="str">
        <f t="shared" si="9"/>
        <v>现金的期末余额</v>
      </c>
      <c r="D94" s="1098"/>
      <c r="E94" s="1099">
        <f>VLOOKUP(1015,Sheet_Trialbal,3,0)</f>
        <v>479304.95</v>
      </c>
      <c r="F94" s="1100">
        <f>VLOOKUP(1015,Sheet_Trialbal,7,0)</f>
        <v>252723.84</v>
      </c>
      <c r="G94" s="709"/>
      <c r="H94" s="1106" t="s">
        <v>2589</v>
      </c>
      <c r="I94" s="1127"/>
      <c r="J94" s="1092"/>
      <c r="K94" s="1128"/>
      <c r="L94" s="1128"/>
    </row>
    <row r="95" spans="1:12" ht="18">
      <c r="A95" s="2830">
        <f t="shared" si="8"/>
        <v>0</v>
      </c>
      <c r="B95" s="2809">
        <v>7536</v>
      </c>
      <c r="C95" s="1101" t="str">
        <f t="shared" si="9"/>
        <v>减：现金的年初余额</v>
      </c>
      <c r="D95" s="1098"/>
      <c r="E95" s="1099">
        <f>VLOOKUP(1015,Sheet_Trialbal,7,0)</f>
        <v>252723.84</v>
      </c>
      <c r="F95" s="1100">
        <f>IF($B95="","",IF(ISERROR(VLOOKUP($B95,Sheet_Balance1,2,0)),0,VLOOKUP($B95,Sheet_Balance1,2,0)))</f>
        <v>3232013.12</v>
      </c>
      <c r="G95" s="709"/>
      <c r="H95" s="1106" t="s">
        <v>2589</v>
      </c>
      <c r="I95" s="1127"/>
      <c r="J95" s="1092"/>
      <c r="K95" s="1128"/>
      <c r="L95" s="1128"/>
    </row>
    <row r="96" spans="1:12" ht="18">
      <c r="A96" s="2830">
        <f t="shared" si="8"/>
        <v>0</v>
      </c>
      <c r="B96" s="2809">
        <v>7537</v>
      </c>
      <c r="C96" s="1101" t="str">
        <f t="shared" si="9"/>
        <v>加：现金等价物的期末余额</v>
      </c>
      <c r="D96" s="1098"/>
      <c r="E96" s="1099"/>
      <c r="F96" s="1100">
        <f>IF($B96="","",IF(ISERROR(VLOOKUP($B96,Sheet_Balance1,2,0)),0,VLOOKUP($B96,Sheet_Balance1,2,0)))</f>
        <v>0</v>
      </c>
      <c r="G96" s="709"/>
      <c r="H96" s="709"/>
      <c r="I96" s="709"/>
      <c r="J96" s="641"/>
    </row>
    <row r="97" spans="1:10" ht="18">
      <c r="A97" s="2830">
        <f t="shared" si="8"/>
        <v>0</v>
      </c>
      <c r="B97" s="2809">
        <v>7538</v>
      </c>
      <c r="C97" s="1101" t="str">
        <f t="shared" si="9"/>
        <v>减：现金等价物的年初余额</v>
      </c>
      <c r="D97" s="1098"/>
      <c r="E97" s="1099"/>
      <c r="F97" s="1100">
        <f>IF($B97="","",IF(ISERROR(VLOOKUP($B97,Sheet_Balance1,2,0)),0,VLOOKUP($B97,Sheet_Balance1,2,0)))</f>
        <v>0</v>
      </c>
      <c r="G97" s="709"/>
      <c r="H97" s="709"/>
      <c r="I97" s="709"/>
      <c r="J97" s="641"/>
    </row>
    <row r="98" spans="1:10" ht="18">
      <c r="A98" s="2830" t="str">
        <f t="shared" si="8"/>
        <v>＝</v>
      </c>
      <c r="B98" s="2809">
        <v>7539</v>
      </c>
      <c r="C98" s="1107" t="str">
        <f t="shared" si="9"/>
        <v>现金及现金等价物净增加额</v>
      </c>
      <c r="D98" s="1108"/>
      <c r="E98" s="1109">
        <f>SUM(E94,-E95,E96,-E97)</f>
        <v>226581.11</v>
      </c>
      <c r="F98" s="1110">
        <f>SUM(F94,-F95,F96,-F97)</f>
        <v>-2979289.28</v>
      </c>
      <c r="G98" s="709"/>
      <c r="H98" s="709"/>
      <c r="I98" s="709"/>
      <c r="J98" s="641"/>
    </row>
    <row r="99" spans="1:10" ht="18">
      <c r="A99" s="2830"/>
      <c r="B99" s="2831"/>
      <c r="C99" s="1048"/>
      <c r="D99" s="641"/>
      <c r="E99" s="641"/>
      <c r="F99" s="641"/>
      <c r="G99" s="709"/>
      <c r="H99" s="709"/>
      <c r="I99" s="709"/>
      <c r="J99" s="641"/>
    </row>
    <row r="100" spans="1:10" ht="18">
      <c r="A100" s="2830"/>
      <c r="B100" s="2831"/>
      <c r="C100" s="1111" t="s">
        <v>2566</v>
      </c>
      <c r="D100" s="1112"/>
      <c r="E100" s="1113"/>
      <c r="F100" s="1114"/>
      <c r="G100" s="1115"/>
      <c r="H100" s="1115"/>
      <c r="I100" s="709"/>
      <c r="J100" s="641"/>
    </row>
    <row r="101" spans="1:10" ht="18">
      <c r="A101" s="2830"/>
      <c r="B101" s="2831"/>
      <c r="C101" s="937" t="s">
        <v>47</v>
      </c>
      <c r="D101" s="1116"/>
      <c r="E101" s="1117" t="s">
        <v>2577</v>
      </c>
      <c r="F101" s="1118" t="s">
        <v>2578</v>
      </c>
      <c r="G101" s="1115"/>
      <c r="H101" s="1115"/>
      <c r="I101" s="709"/>
      <c r="J101" s="641"/>
    </row>
    <row r="102" spans="1:10" ht="18">
      <c r="A102" s="2830"/>
      <c r="B102" s="2831"/>
      <c r="C102" s="1119" t="s">
        <v>2571</v>
      </c>
      <c r="D102" s="1120"/>
      <c r="E102" s="1121"/>
      <c r="F102" s="1054"/>
      <c r="G102" s="709"/>
      <c r="H102" s="709"/>
      <c r="I102" s="709"/>
      <c r="J102" s="641"/>
    </row>
    <row r="103" spans="1:10" ht="18">
      <c r="A103" s="2830"/>
      <c r="B103" s="2831"/>
      <c r="C103" s="1122" t="str">
        <f>C64&amp;" | "&amp;E101</f>
        <v>加：期初现金及现金等价物余额 | 本期金额</v>
      </c>
      <c r="D103" s="1120" t="s">
        <v>578</v>
      </c>
      <c r="E103" s="1028">
        <f>E64</f>
        <v>252723.84</v>
      </c>
      <c r="F103" s="1055"/>
      <c r="G103" s="709"/>
      <c r="H103" s="709"/>
      <c r="I103" s="709"/>
      <c r="J103" s="641"/>
    </row>
    <row r="104" spans="1:10" ht="18">
      <c r="A104" s="2830"/>
      <c r="B104" s="2831"/>
      <c r="C104" s="1122" t="str">
        <f>C65&amp;" | "&amp;F101</f>
        <v>六、期末现金及现金等价物余额 | 上期金额</v>
      </c>
      <c r="D104" s="1120" t="s">
        <v>578</v>
      </c>
      <c r="E104" s="1028">
        <f>F65</f>
        <v>252723.84</v>
      </c>
      <c r="F104" s="1055"/>
      <c r="G104" s="709"/>
      <c r="H104" s="709"/>
      <c r="I104" s="709"/>
      <c r="J104" s="641"/>
    </row>
    <row r="105" spans="1:10" ht="18">
      <c r="A105" s="2830"/>
      <c r="B105" s="2831"/>
      <c r="C105" s="942" t="s">
        <v>2580</v>
      </c>
      <c r="D105" s="1120"/>
      <c r="E105" s="1032">
        <f>IF($F$68="方案B",0,ROUND(E103-E104,2))</f>
        <v>0</v>
      </c>
      <c r="F105" s="1056"/>
      <c r="G105" s="709"/>
      <c r="H105" s="709"/>
      <c r="I105" s="709"/>
      <c r="J105" s="641"/>
    </row>
    <row r="106" spans="1:10" ht="18">
      <c r="A106" s="2830"/>
      <c r="B106" s="2831"/>
      <c r="C106" s="1123"/>
      <c r="D106" s="1120"/>
      <c r="E106" s="1033" t="str">
        <f>IF(E105=0,"√","×")</f>
        <v>√</v>
      </c>
      <c r="F106" s="1057"/>
      <c r="G106" s="709"/>
      <c r="H106" s="709"/>
      <c r="I106" s="709"/>
      <c r="J106" s="641"/>
    </row>
    <row r="107" spans="1:10" ht="18">
      <c r="A107" s="2830"/>
      <c r="B107" s="2831"/>
      <c r="C107" s="1124" t="s">
        <v>2590</v>
      </c>
      <c r="D107" s="1120"/>
      <c r="E107" s="1121"/>
      <c r="F107" s="1054"/>
      <c r="G107" s="709"/>
      <c r="H107" s="709"/>
      <c r="I107" s="709"/>
      <c r="J107" s="641"/>
    </row>
    <row r="108" spans="1:10" ht="18">
      <c r="A108" s="2830"/>
      <c r="B108" s="2831"/>
      <c r="C108" s="1125" t="str">
        <f>C71</f>
        <v>净利润</v>
      </c>
      <c r="D108" s="1120" t="s">
        <v>578</v>
      </c>
      <c r="E108" s="1028">
        <f>E71</f>
        <v>-3349908.33</v>
      </c>
      <c r="F108" s="1055">
        <f>F71</f>
        <v>520228.91</v>
      </c>
      <c r="G108" s="709"/>
      <c r="H108" s="709"/>
      <c r="I108" s="709"/>
      <c r="J108" s="641"/>
    </row>
    <row r="109" spans="1:10" ht="18">
      <c r="A109" s="2830"/>
      <c r="B109" s="2831">
        <v>6799</v>
      </c>
      <c r="C109" s="1122" t="str">
        <f>VLOOKUP($B109,Sheet_Items,2,0)</f>
        <v>净利润</v>
      </c>
      <c r="D109" s="1120" t="s">
        <v>441</v>
      </c>
      <c r="E109" s="1028">
        <f>preIS!E45</f>
        <v>80463.97</v>
      </c>
      <c r="F109" s="1055">
        <f>preIS!F45</f>
        <v>520228.91</v>
      </c>
      <c r="G109" s="709"/>
      <c r="H109" s="709"/>
      <c r="I109" s="709"/>
      <c r="J109" s="641"/>
    </row>
    <row r="110" spans="1:10" ht="18">
      <c r="A110" s="2830"/>
      <c r="B110" s="2831"/>
      <c r="C110" s="942" t="s">
        <v>2580</v>
      </c>
      <c r="D110" s="1120"/>
      <c r="E110" s="1032">
        <f>IF($F$68="方案B",0,ROUND(E108-E109,2))</f>
        <v>-3430372.3</v>
      </c>
      <c r="F110" s="1056">
        <f>IF($F$68="方案B",0,ROUND(F108-F109,2))</f>
        <v>0</v>
      </c>
      <c r="G110" s="709"/>
      <c r="H110" s="709"/>
      <c r="I110" s="709"/>
      <c r="J110" s="641"/>
    </row>
    <row r="111" spans="1:10" ht="18">
      <c r="A111" s="2830"/>
      <c r="B111" s="2831"/>
      <c r="C111" s="1123"/>
      <c r="D111" s="1120"/>
      <c r="E111" s="1033" t="str">
        <f>IF(E110=0,"√","×")</f>
        <v>×</v>
      </c>
      <c r="F111" s="1057" t="str">
        <f>IF(F110=0,"√","×")</f>
        <v>√</v>
      </c>
      <c r="G111" s="709"/>
      <c r="H111" s="709"/>
      <c r="I111" s="709"/>
      <c r="J111" s="641"/>
    </row>
    <row r="112" spans="1:10" ht="18">
      <c r="A112" s="2830"/>
      <c r="B112" s="2831"/>
      <c r="C112" s="1124" t="s">
        <v>2591</v>
      </c>
      <c r="D112" s="1120"/>
      <c r="E112" s="1121"/>
      <c r="F112" s="1054"/>
      <c r="G112" s="709"/>
      <c r="H112" s="709"/>
      <c r="I112" s="709"/>
      <c r="J112" s="641"/>
    </row>
    <row r="113" spans="1:10" ht="18">
      <c r="A113" s="2830"/>
      <c r="B113" s="2831"/>
      <c r="C113" s="1125" t="str">
        <f>C88&amp;"（补充资料）"</f>
        <v>经营活动产生的现金流量净额（补充资料）</v>
      </c>
      <c r="D113" s="1120" t="s">
        <v>578</v>
      </c>
      <c r="E113" s="1028">
        <f>E88</f>
        <v>963447.92</v>
      </c>
      <c r="F113" s="1055">
        <f>F88</f>
        <v>11322700.880000001</v>
      </c>
      <c r="G113" s="709"/>
      <c r="H113" s="709"/>
      <c r="I113" s="709"/>
      <c r="J113" s="641"/>
    </row>
    <row r="114" spans="1:10" ht="18">
      <c r="A114" s="2830"/>
      <c r="B114" s="2831">
        <v>7099</v>
      </c>
      <c r="C114" s="1122" t="str">
        <f>C35&amp;"（主表）"</f>
        <v>经营活动产生的现金流量净额（主表）</v>
      </c>
      <c r="D114" s="1120" t="s">
        <v>578</v>
      </c>
      <c r="E114" s="1028">
        <f>E35</f>
        <v>963447.92</v>
      </c>
      <c r="F114" s="1055">
        <f>F35</f>
        <v>11322700.880000001</v>
      </c>
      <c r="G114" s="709"/>
      <c r="H114" s="709"/>
      <c r="I114" s="709"/>
      <c r="J114" s="641"/>
    </row>
    <row r="115" spans="1:10" ht="18">
      <c r="A115" s="2830"/>
      <c r="B115" s="2831"/>
      <c r="C115" s="942" t="s">
        <v>2580</v>
      </c>
      <c r="D115" s="1120"/>
      <c r="E115" s="1032">
        <f>IF($F$68="方案B",0,ROUND(E113-E114,2))</f>
        <v>0</v>
      </c>
      <c r="F115" s="1056">
        <f>IF($F$68="方案B",0,ROUND(F113-F114,2))</f>
        <v>0</v>
      </c>
      <c r="G115" s="709"/>
      <c r="H115" s="709"/>
      <c r="I115" s="709"/>
      <c r="J115" s="641"/>
    </row>
    <row r="116" spans="1:10" ht="18">
      <c r="A116" s="2830"/>
      <c r="B116" s="2831"/>
      <c r="C116" s="1126"/>
      <c r="D116" s="1120"/>
      <c r="E116" s="1033" t="str">
        <f>IF(E115=0,"√","×")</f>
        <v>√</v>
      </c>
      <c r="F116" s="1057" t="str">
        <f>IF(F115=0,"√","×")</f>
        <v>√</v>
      </c>
      <c r="G116" s="709"/>
      <c r="H116" s="709"/>
      <c r="I116" s="709"/>
      <c r="J116" s="641"/>
    </row>
    <row r="117" spans="1:10" ht="18">
      <c r="A117" s="2830"/>
      <c r="B117" s="2831"/>
      <c r="C117" s="1125" t="str">
        <f>C94&amp;" "&amp;C96</f>
        <v>现金的期末余额 加：现金等价物的期末余额</v>
      </c>
      <c r="D117" s="1120" t="s">
        <v>578</v>
      </c>
      <c r="E117" s="1028">
        <f>SUM(E94,E96)</f>
        <v>479304.95</v>
      </c>
      <c r="F117" s="1055">
        <f>SUM(F94,F96)</f>
        <v>252723.84</v>
      </c>
      <c r="G117" s="709"/>
      <c r="H117" s="709"/>
      <c r="I117" s="709"/>
      <c r="J117" s="641"/>
    </row>
    <row r="118" spans="1:10" ht="18">
      <c r="A118" s="2830"/>
      <c r="B118" s="2831">
        <v>7399</v>
      </c>
      <c r="C118" s="1122" t="str">
        <f>C65&amp;"（主表）"</f>
        <v>六、期末现金及现金等价物余额（主表）</v>
      </c>
      <c r="D118" s="1120" t="s">
        <v>578</v>
      </c>
      <c r="E118" s="1028">
        <f>E65</f>
        <v>479304.95</v>
      </c>
      <c r="F118" s="1055">
        <f>F65</f>
        <v>252723.84</v>
      </c>
      <c r="G118" s="709"/>
      <c r="H118" s="709"/>
      <c r="I118" s="709"/>
      <c r="J118" s="641"/>
    </row>
    <row r="119" spans="1:10" ht="18">
      <c r="A119" s="2830"/>
      <c r="B119" s="2831"/>
      <c r="C119" s="942" t="s">
        <v>2580</v>
      </c>
      <c r="D119" s="1120"/>
      <c r="E119" s="1032">
        <f>IF($F$68="方案B",0,ROUND(E117-E118,2))</f>
        <v>0</v>
      </c>
      <c r="F119" s="1056">
        <f>IF($F$68="方案B",0,ROUND(F117-F118,2))</f>
        <v>0</v>
      </c>
      <c r="G119" s="709"/>
      <c r="H119" s="709"/>
      <c r="I119" s="709"/>
      <c r="J119" s="641"/>
    </row>
    <row r="120" spans="1:10" ht="18">
      <c r="A120" s="2830"/>
      <c r="B120" s="2831"/>
      <c r="C120" s="1126"/>
      <c r="D120" s="1120"/>
      <c r="E120" s="1033" t="str">
        <f>IF(E119=0,"√","×")</f>
        <v>√</v>
      </c>
      <c r="F120" s="1057" t="str">
        <f>IF(F119=0,"√","×")</f>
        <v>√</v>
      </c>
      <c r="G120" s="709"/>
      <c r="H120" s="709"/>
      <c r="I120" s="709"/>
      <c r="J120" s="641"/>
    </row>
    <row r="121" spans="1:10" ht="18">
      <c r="A121" s="2830"/>
      <c r="B121" s="2831"/>
      <c r="C121" s="1125" t="str">
        <f>C95&amp;" "&amp;C97</f>
        <v>减：现金的年初余额 减：现金等价物的年初余额</v>
      </c>
      <c r="D121" s="1120" t="s">
        <v>578</v>
      </c>
      <c r="E121" s="1028">
        <f>SUM(E95,E97)</f>
        <v>252723.84</v>
      </c>
      <c r="F121" s="1055">
        <f>SUM(F95,F97)</f>
        <v>3232013.12</v>
      </c>
      <c r="G121" s="709"/>
      <c r="H121" s="709"/>
      <c r="I121" s="709"/>
      <c r="J121" s="641"/>
    </row>
    <row r="122" spans="1:10" ht="18">
      <c r="A122" s="2830"/>
      <c r="B122" s="2831">
        <v>7349</v>
      </c>
      <c r="C122" s="1122" t="str">
        <f>C64&amp;"（主表）"</f>
        <v>加：期初现金及现金等价物余额（主表）</v>
      </c>
      <c r="D122" s="1120" t="s">
        <v>578</v>
      </c>
      <c r="E122" s="1028">
        <f>E64</f>
        <v>252723.84</v>
      </c>
      <c r="F122" s="1055">
        <f>F64</f>
        <v>3232013.12</v>
      </c>
      <c r="G122" s="709"/>
      <c r="H122" s="709"/>
      <c r="I122" s="709"/>
      <c r="J122" s="641"/>
    </row>
    <row r="123" spans="1:10" ht="18">
      <c r="A123" s="2830"/>
      <c r="B123" s="2831"/>
      <c r="C123" s="942" t="s">
        <v>2580</v>
      </c>
      <c r="D123" s="1120"/>
      <c r="E123" s="1032">
        <f>IF($F$68="方案B",0,ROUND(E121-E122,2))</f>
        <v>0</v>
      </c>
      <c r="F123" s="1056">
        <f>IF($F$68="方案B",0,ROUND(F121-F122,2))</f>
        <v>0</v>
      </c>
      <c r="G123" s="709"/>
      <c r="H123" s="709"/>
      <c r="I123" s="709"/>
      <c r="J123" s="641"/>
    </row>
    <row r="124" spans="1:10" ht="18">
      <c r="A124" s="2830"/>
      <c r="B124" s="2831"/>
      <c r="C124" s="1126"/>
      <c r="D124" s="1120"/>
      <c r="E124" s="1033" t="str">
        <f>IF(E123=0,"√","×")</f>
        <v>√</v>
      </c>
      <c r="F124" s="1057" t="str">
        <f>IF(F123=0,"√","×")</f>
        <v>√</v>
      </c>
      <c r="G124" s="709"/>
      <c r="H124" s="709"/>
      <c r="I124" s="709"/>
      <c r="J124" s="641"/>
    </row>
    <row r="125" spans="1:10" ht="18">
      <c r="A125" s="2830"/>
      <c r="B125" s="2831"/>
      <c r="C125" s="1125" t="str">
        <f>C98&amp;"（补充资料）"</f>
        <v>现金及现金等价物净增加额（补充资料）</v>
      </c>
      <c r="D125" s="1120" t="s">
        <v>578</v>
      </c>
      <c r="E125" s="1028">
        <f>E98</f>
        <v>226581.11</v>
      </c>
      <c r="F125" s="1055">
        <f>F98</f>
        <v>-2979289.28</v>
      </c>
      <c r="G125" s="709"/>
      <c r="H125" s="709"/>
      <c r="I125" s="709"/>
      <c r="J125" s="641"/>
    </row>
    <row r="126" spans="1:10" ht="18">
      <c r="A126" s="2830"/>
      <c r="B126" s="2831">
        <v>7348</v>
      </c>
      <c r="C126" s="1122" t="str">
        <f>C63&amp;"（主表）"</f>
        <v>五、现金及现金等价物净增加额（主表）</v>
      </c>
      <c r="D126" s="1120" t="s">
        <v>578</v>
      </c>
      <c r="E126" s="1028">
        <f>E63</f>
        <v>226581.11</v>
      </c>
      <c r="F126" s="1055">
        <f>F63</f>
        <v>-2979289.28</v>
      </c>
      <c r="G126" s="709"/>
      <c r="H126" s="709"/>
      <c r="I126" s="709"/>
      <c r="J126" s="641"/>
    </row>
    <row r="127" spans="1:10" ht="18">
      <c r="A127" s="2830"/>
      <c r="B127" s="2831"/>
      <c r="C127" s="942" t="s">
        <v>2580</v>
      </c>
      <c r="D127" s="1120"/>
      <c r="E127" s="1032">
        <f>IF($F$68="方案B",0,ROUND(E125-E126,2))</f>
        <v>0</v>
      </c>
      <c r="F127" s="1056">
        <f>IF($F$68="方案B",0,ROUND(F125-F126,2))</f>
        <v>0</v>
      </c>
      <c r="G127" s="709"/>
      <c r="H127" s="709"/>
      <c r="I127" s="709"/>
      <c r="J127" s="641"/>
    </row>
    <row r="128" spans="1:10" ht="18">
      <c r="A128" s="2830"/>
      <c r="B128" s="2831"/>
      <c r="C128" s="1126"/>
      <c r="D128" s="1120"/>
      <c r="E128" s="1033" t="str">
        <f>IF(E127=0,"√","×")</f>
        <v>√</v>
      </c>
      <c r="F128" s="1057" t="str">
        <f>IF(F127=0,"√","×")</f>
        <v>√</v>
      </c>
      <c r="G128" s="709"/>
      <c r="H128" s="709"/>
      <c r="I128" s="709"/>
      <c r="J128" s="641"/>
    </row>
    <row r="129" spans="1:10" ht="18">
      <c r="A129" s="2830"/>
      <c r="B129" s="2831"/>
      <c r="C129" s="958" t="s">
        <v>2572</v>
      </c>
      <c r="D129" s="1129"/>
      <c r="E129" s="1130">
        <f>SUMIF($C102:$C128,"差       异",E102:E128)</f>
        <v>-3430372.3</v>
      </c>
      <c r="F129" s="1131">
        <f>SUMIF($C102:$C128,"差       异",F102:F128)</f>
        <v>0</v>
      </c>
      <c r="H129" s="1132" t="str">
        <f>IF(E129+F129=0,"Balanced","Diff "&amp;TEXT(ROUND(E129+F129,2),"#,###.00"))</f>
        <v>Diff -3,430,372.30</v>
      </c>
      <c r="I129" s="709"/>
      <c r="J129" s="641"/>
    </row>
    <row r="130" spans="1:10" ht="18">
      <c r="A130" s="2830"/>
      <c r="C130" s="641"/>
      <c r="D130" s="641"/>
      <c r="E130" s="641"/>
      <c r="F130" s="641"/>
      <c r="G130" s="641"/>
      <c r="H130" s="641"/>
      <c r="I130" s="641"/>
      <c r="J130" s="641"/>
    </row>
    <row r="131" spans="1:10">
      <c r="C131" s="641"/>
      <c r="D131" s="641"/>
      <c r="E131" s="641"/>
      <c r="F131" s="641"/>
      <c r="G131" s="641"/>
      <c r="H131" s="641"/>
      <c r="I131" s="641"/>
      <c r="J131" s="641"/>
    </row>
    <row r="132" spans="1:10">
      <c r="C132" s="641"/>
      <c r="D132" s="641"/>
      <c r="E132" s="641"/>
      <c r="F132" s="641"/>
      <c r="G132" s="641"/>
      <c r="H132" s="641"/>
      <c r="I132" s="641"/>
      <c r="J132" s="641"/>
    </row>
    <row r="133" spans="1:10">
      <c r="C133" s="641"/>
      <c r="D133" s="641"/>
      <c r="E133" s="641"/>
      <c r="F133" s="641"/>
      <c r="G133" s="641"/>
      <c r="H133" s="641"/>
      <c r="I133" s="641"/>
      <c r="J133" s="641"/>
    </row>
  </sheetData>
  <sheetProtection algorithmName="SHA-512" hashValue="O0XxZcBHBzDIoMc7inhIUofQxivjJ+xeUOX4bNWFeJctRGfldYL1OYrcItwH9A7IM/oq/i5mEGidNYokaz+uRA==" saltValue="+xJBe6kQQa7U/VWqPAviuQ==" spinCount="100000" sheet="1" scenarios="1" formatCells="0" autoFilter="0"/>
  <phoneticPr fontId="163" type="noConversion"/>
  <conditionalFormatting sqref="H2">
    <cfRule type="expression" dxfId="72" priority="6" stopIfTrue="1">
      <formula>$H$2&lt;&gt;""</formula>
    </cfRule>
  </conditionalFormatting>
  <conditionalFormatting sqref="C9:F64">
    <cfRule type="expression" dxfId="71" priority="1" stopIfTrue="1">
      <formula>AND($A9&lt;&gt;"＝",MOD(ROW(),3)=0)</formula>
    </cfRule>
    <cfRule type="expression" dxfId="70" priority="2" stopIfTrue="1">
      <formula>$A9="："</formula>
    </cfRule>
    <cfRule type="expression" dxfId="69" priority="3" stopIfTrue="1">
      <formula>$A9="＝"</formula>
    </cfRule>
  </conditionalFormatting>
  <conditionalFormatting sqref="E129:F129 E115:F115 E110:F110 E119:F119 E123:F123 E127:F127 E105:F105">
    <cfRule type="cellIs" dxfId="68" priority="4" stopIfTrue="1" operator="notEqual">
      <formula>0</formula>
    </cfRule>
  </conditionalFormatting>
  <dataValidations count="1">
    <dataValidation type="list" allowBlank="1" showErrorMessage="1" sqref="F68">
      <formula1>"方案A,方案B"</formula1>
    </dataValidation>
  </dataValidations>
  <hyperlinks>
    <hyperlink ref="H2" location="preCF!F68" display="=IF(F69=&quot;&quot;,&quot;请选择CF补充资料编制方案...&quot;,&quot;&quot;)"/>
  </hyperlinks>
  <pageMargins left="0.78740157480314998" right="0" top="0.78740157480314998" bottom="0.39370078740157499" header="0.511811023622047" footer="0.511811023622047"/>
  <pageSetup paperSize="9" scale="95" orientation="portrait" blackAndWhite="1"/>
  <headerFooter alignWithMargins="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L316"/>
  <sheetViews>
    <sheetView zoomScale="90" zoomScaleNormal="90" workbookViewId="0">
      <pane ySplit="7" topLeftCell="A305" activePane="bottomLeft" state="frozen"/>
      <selection activeCell="E9" sqref="E9"/>
      <selection pane="bottomLeft" activeCell="E306" sqref="E306"/>
    </sheetView>
  </sheetViews>
  <sheetFormatPr defaultRowHeight="18" customHeight="1"/>
  <cols>
    <col min="1" max="1" width="69.7109375" style="3302" customWidth="1"/>
    <col min="2" max="2" width="13.42578125" style="3352" customWidth="1"/>
    <col min="3" max="3" width="18.28515625" style="3352" customWidth="1"/>
    <col min="4" max="4" width="55.42578125" style="3353" customWidth="1"/>
    <col min="5" max="5" width="19" style="3354" customWidth="1"/>
    <col min="6" max="6" width="22.5703125" style="3302" bestFit="1" customWidth="1"/>
    <col min="7" max="7" width="12.85546875" style="3302" customWidth="1"/>
    <col min="8" max="8" width="14" style="3302" bestFit="1" customWidth="1"/>
    <col min="9" max="9" width="13.28515625" style="3302" bestFit="1" customWidth="1"/>
    <col min="10" max="10" width="11.5703125" style="3302" bestFit="1" customWidth="1"/>
    <col min="11" max="11" width="15.140625" style="3302" bestFit="1" customWidth="1"/>
    <col min="12" max="12" width="21.28515625" style="3302" bestFit="1" customWidth="1"/>
    <col min="13" max="16384" width="9.140625" style="3302"/>
  </cols>
  <sheetData>
    <row r="1" spans="1:6" ht="25.5">
      <c r="A1" s="3580" t="s">
        <v>7024</v>
      </c>
      <c r="B1" s="3581"/>
      <c r="C1" s="3581"/>
      <c r="D1" s="3581"/>
      <c r="E1" s="3581"/>
    </row>
    <row r="2" spans="1:6" ht="21" customHeight="1">
      <c r="A2" s="3582" t="s">
        <v>7025</v>
      </c>
      <c r="B2" s="3582"/>
      <c r="C2" s="3582"/>
      <c r="D2" s="3582"/>
      <c r="E2" s="3582"/>
    </row>
    <row r="3" spans="1:6" ht="18" customHeight="1">
      <c r="A3" s="3303"/>
      <c r="B3" s="3304"/>
      <c r="C3" s="3304"/>
      <c r="D3" s="3305"/>
      <c r="E3" s="3306"/>
    </row>
    <row r="4" spans="1:6" ht="18" customHeight="1" thickBot="1">
      <c r="A4" s="3307" t="s">
        <v>7026</v>
      </c>
      <c r="B4" s="3308"/>
      <c r="C4" s="3308"/>
      <c r="D4" s="3309"/>
      <c r="E4" s="3310"/>
    </row>
    <row r="5" spans="1:6" ht="21.95" customHeight="1" thickTop="1">
      <c r="A5" s="3311" t="s">
        <v>6751</v>
      </c>
      <c r="B5" s="3312" t="s">
        <v>7027</v>
      </c>
      <c r="C5" s="3312"/>
      <c r="D5" s="3312" t="s">
        <v>7028</v>
      </c>
      <c r="E5" s="3313" t="s">
        <v>7029</v>
      </c>
    </row>
    <row r="6" spans="1:6" ht="21.95" customHeight="1">
      <c r="A6" s="3314" t="s">
        <v>7030</v>
      </c>
      <c r="B6" s="3315"/>
      <c r="C6" s="3316"/>
      <c r="D6" s="3317"/>
      <c r="E6" s="3318">
        <f>CF!E107</f>
        <v>0</v>
      </c>
    </row>
    <row r="7" spans="1:6" ht="21.95" customHeight="1">
      <c r="A7" s="3319" t="s">
        <v>7031</v>
      </c>
      <c r="B7" s="3320"/>
      <c r="C7" s="3320"/>
      <c r="D7" s="3317"/>
      <c r="E7" s="3321">
        <f>CF!E95</f>
        <v>0</v>
      </c>
    </row>
    <row r="8" spans="1:6" ht="15.75">
      <c r="A8" s="3322" t="s">
        <v>7032</v>
      </c>
      <c r="B8" s="3323" t="s">
        <v>7033</v>
      </c>
      <c r="C8" s="3324" t="s">
        <v>7034</v>
      </c>
      <c r="D8" s="3325" t="s">
        <v>741</v>
      </c>
      <c r="E8" s="3321">
        <f>IS!E7</f>
        <v>34251580.890000001</v>
      </c>
    </row>
    <row r="9" spans="1:6" ht="21.95" customHeight="1">
      <c r="A9" s="3326"/>
      <c r="B9" s="3323" t="s">
        <v>7033</v>
      </c>
      <c r="C9" s="3324" t="s">
        <v>7035</v>
      </c>
      <c r="D9" s="3325" t="s">
        <v>7036</v>
      </c>
      <c r="E9" s="3327">
        <v>4371553.22</v>
      </c>
      <c r="F9" s="3328"/>
    </row>
    <row r="10" spans="1:6" ht="21.95" customHeight="1">
      <c r="A10" s="3326"/>
      <c r="B10" s="3323" t="s">
        <v>7033</v>
      </c>
      <c r="C10" s="3324" t="s">
        <v>7037</v>
      </c>
      <c r="D10" s="3325" t="s">
        <v>5254</v>
      </c>
      <c r="E10" s="3321"/>
    </row>
    <row r="11" spans="1:6" ht="21.95" customHeight="1">
      <c r="A11" s="3326"/>
      <c r="B11" s="3323" t="s">
        <v>7038</v>
      </c>
      <c r="C11" s="3324" t="s">
        <v>7039</v>
      </c>
      <c r="D11" s="3325" t="s">
        <v>7040</v>
      </c>
      <c r="E11" s="3321">
        <f>BS!G14</f>
        <v>279569.36</v>
      </c>
    </row>
    <row r="12" spans="1:6" ht="21.95" customHeight="1">
      <c r="A12" s="3326"/>
      <c r="B12" s="3323" t="s">
        <v>7038</v>
      </c>
      <c r="C12" s="3324" t="s">
        <v>7034</v>
      </c>
      <c r="D12" s="3325" t="s">
        <v>7041</v>
      </c>
      <c r="E12" s="3329"/>
    </row>
    <row r="13" spans="1:6" ht="21.95" customHeight="1">
      <c r="A13" s="3326"/>
      <c r="B13" s="3323" t="s">
        <v>7033</v>
      </c>
      <c r="C13" s="3324" t="s">
        <v>7042</v>
      </c>
      <c r="D13" s="3325" t="s">
        <v>7043</v>
      </c>
      <c r="E13" s="3321">
        <f>BS!H13</f>
        <v>15914214.57</v>
      </c>
    </row>
    <row r="14" spans="1:6" ht="21.95" customHeight="1">
      <c r="A14" s="3326"/>
      <c r="B14" s="3323" t="s">
        <v>7033</v>
      </c>
      <c r="C14" s="3324" t="s">
        <v>7037</v>
      </c>
      <c r="D14" s="3325" t="s">
        <v>7044</v>
      </c>
      <c r="E14" s="3321">
        <f>坏账及减值表!D7</f>
        <v>2865673.66</v>
      </c>
      <c r="F14" s="3330"/>
    </row>
    <row r="15" spans="1:6" ht="21.95" customHeight="1">
      <c r="A15" s="3326"/>
      <c r="B15" s="3331" t="s">
        <v>7045</v>
      </c>
      <c r="C15" s="3332" t="s">
        <v>7046</v>
      </c>
      <c r="D15" s="3333" t="s">
        <v>7047</v>
      </c>
      <c r="E15" s="3321"/>
    </row>
    <row r="16" spans="1:6" ht="21.95" customHeight="1">
      <c r="A16" s="3326"/>
      <c r="B16" s="3323" t="s">
        <v>7038</v>
      </c>
      <c r="C16" s="3324" t="s">
        <v>7048</v>
      </c>
      <c r="D16" s="3325" t="s">
        <v>5262</v>
      </c>
      <c r="E16" s="3321">
        <f>BS!G13</f>
        <v>15482120.279999999</v>
      </c>
    </row>
    <row r="17" spans="1:7" ht="21.95" customHeight="1">
      <c r="A17" s="3326"/>
      <c r="B17" s="3323" t="s">
        <v>7038</v>
      </c>
      <c r="C17" s="3324" t="s">
        <v>7048</v>
      </c>
      <c r="D17" s="3325" t="s">
        <v>7044</v>
      </c>
      <c r="E17" s="3321">
        <f>坏账及减值表!E7+AJE!P20</f>
        <v>5141238.29</v>
      </c>
      <c r="F17" s="3330"/>
    </row>
    <row r="18" spans="1:7" ht="21.95" customHeight="1">
      <c r="A18" s="3326"/>
      <c r="B18" s="3323" t="s">
        <v>7033</v>
      </c>
      <c r="C18" s="3324" t="s">
        <v>7034</v>
      </c>
      <c r="D18" s="3325" t="s">
        <v>7049</v>
      </c>
      <c r="E18" s="3321"/>
    </row>
    <row r="19" spans="1:7" ht="21.95" customHeight="1">
      <c r="A19" s="3326"/>
      <c r="B19" s="3323" t="s">
        <v>7033</v>
      </c>
      <c r="C19" s="3324" t="s">
        <v>7050</v>
      </c>
      <c r="D19" s="3325" t="s">
        <v>7051</v>
      </c>
      <c r="E19" s="3321">
        <f>BS!K14</f>
        <v>2360727.0299999998</v>
      </c>
    </row>
    <row r="20" spans="1:7" ht="21.95" customHeight="1">
      <c r="A20" s="3326"/>
      <c r="B20" s="3323" t="s">
        <v>7038</v>
      </c>
      <c r="C20" s="3324" t="s">
        <v>7037</v>
      </c>
      <c r="D20" s="3325" t="s">
        <v>7052</v>
      </c>
      <c r="E20" s="3321">
        <f>BS!L14</f>
        <v>2229809.83</v>
      </c>
    </row>
    <row r="21" spans="1:7" ht="21.95" customHeight="1">
      <c r="A21" s="3334" t="s">
        <v>2241</v>
      </c>
      <c r="B21" s="3335" t="s">
        <v>7053</v>
      </c>
      <c r="C21" s="3335"/>
      <c r="D21" s="3336"/>
      <c r="E21" s="3337">
        <f>SUMIF(B8:B20,"加",E8:E20)-SUMIF(B8:B20,"减",E8:E20)</f>
        <v>36631011.609999999</v>
      </c>
    </row>
    <row r="22" spans="1:7" ht="21.95" customHeight="1">
      <c r="A22" s="3322" t="s">
        <v>7054</v>
      </c>
      <c r="B22" s="3323" t="s">
        <v>7033</v>
      </c>
      <c r="C22" s="3324" t="s">
        <v>7035</v>
      </c>
      <c r="D22" s="3338" t="s">
        <v>7055</v>
      </c>
      <c r="E22" s="3321"/>
    </row>
    <row r="23" spans="1:7" ht="21.95" customHeight="1">
      <c r="A23" s="3326"/>
      <c r="B23" s="3323" t="s">
        <v>7033</v>
      </c>
      <c r="C23" s="3324" t="s">
        <v>7035</v>
      </c>
      <c r="D23" s="3325" t="s">
        <v>7056</v>
      </c>
      <c r="E23" s="3321"/>
    </row>
    <row r="24" spans="1:7" ht="21.95" customHeight="1">
      <c r="A24" s="3326"/>
      <c r="B24" s="3323" t="s">
        <v>7033</v>
      </c>
      <c r="C24" s="3324" t="s">
        <v>7035</v>
      </c>
      <c r="D24" s="3338" t="s">
        <v>7057</v>
      </c>
      <c r="E24" s="3321"/>
    </row>
    <row r="25" spans="1:7" ht="21.95" customHeight="1">
      <c r="A25" s="3326"/>
      <c r="B25" s="3323" t="s">
        <v>7033</v>
      </c>
      <c r="C25" s="3324" t="s">
        <v>7035</v>
      </c>
      <c r="D25" s="3338" t="s">
        <v>7058</v>
      </c>
      <c r="E25" s="3321"/>
    </row>
    <row r="26" spans="1:7" ht="21.95" customHeight="1">
      <c r="A26" s="3334" t="s">
        <v>43</v>
      </c>
      <c r="B26" s="3335" t="s">
        <v>6713</v>
      </c>
      <c r="C26" s="3335"/>
      <c r="D26" s="3336"/>
      <c r="E26" s="3337">
        <f>SUMIF(B22:B25,"加",E22:E25)-SUMIF(B22:B25,"减",E22:E25)</f>
        <v>0</v>
      </c>
    </row>
    <row r="27" spans="1:7" ht="21.95" customHeight="1">
      <c r="A27" s="3322" t="s">
        <v>7059</v>
      </c>
      <c r="B27" s="3323" t="s">
        <v>7033</v>
      </c>
      <c r="C27" s="3324" t="s">
        <v>7035</v>
      </c>
      <c r="D27" s="3325" t="s">
        <v>839</v>
      </c>
      <c r="E27" s="3321">
        <f>IS!E16+IS!E26</f>
        <v>715901.06</v>
      </c>
      <c r="F27" s="3367" t="s">
        <v>7295</v>
      </c>
      <c r="G27" s="3368">
        <v>715900</v>
      </c>
    </row>
    <row r="28" spans="1:7" ht="21.95" customHeight="1">
      <c r="A28" s="3326"/>
      <c r="B28" s="3339" t="s">
        <v>7060</v>
      </c>
      <c r="C28" s="3324" t="s">
        <v>7061</v>
      </c>
      <c r="D28" s="3325" t="s">
        <v>7062</v>
      </c>
      <c r="E28" s="3321"/>
    </row>
    <row r="29" spans="1:7" ht="21.95" customHeight="1">
      <c r="A29" s="3326"/>
      <c r="B29" s="3339" t="s">
        <v>7063</v>
      </c>
      <c r="C29" s="3339" t="s">
        <v>7050</v>
      </c>
      <c r="D29" s="3325" t="s">
        <v>7064</v>
      </c>
      <c r="E29" s="3321"/>
    </row>
    <row r="30" spans="1:7" ht="21.95" customHeight="1">
      <c r="A30" s="3326"/>
      <c r="B30" s="3339" t="s">
        <v>7060</v>
      </c>
      <c r="C30" s="3339" t="s">
        <v>7042</v>
      </c>
      <c r="D30" s="3325" t="s">
        <v>7065</v>
      </c>
      <c r="E30" s="3321"/>
    </row>
    <row r="31" spans="1:7" ht="21.95" customHeight="1">
      <c r="A31" s="3326"/>
      <c r="B31" s="3339" t="s">
        <v>7063</v>
      </c>
      <c r="C31" s="3339" t="s">
        <v>7042</v>
      </c>
      <c r="D31" s="3325" t="s">
        <v>7066</v>
      </c>
      <c r="E31" s="3321"/>
    </row>
    <row r="32" spans="1:7" ht="21.95" customHeight="1">
      <c r="A32" s="3326"/>
      <c r="B32" s="3324" t="s">
        <v>7063</v>
      </c>
      <c r="C32" s="3324" t="s">
        <v>7034</v>
      </c>
      <c r="D32" s="3325" t="s">
        <v>7067</v>
      </c>
      <c r="E32" s="3321"/>
    </row>
    <row r="33" spans="1:12" ht="21.95" customHeight="1">
      <c r="A33" s="3326"/>
      <c r="B33" s="3324" t="s">
        <v>7038</v>
      </c>
      <c r="C33" s="3324" t="s">
        <v>4242</v>
      </c>
      <c r="D33" s="3325" t="s">
        <v>7068</v>
      </c>
      <c r="E33" s="3321"/>
    </row>
    <row r="34" spans="1:12" ht="21.95" customHeight="1">
      <c r="A34" s="3326"/>
      <c r="B34" s="3323" t="s">
        <v>7038</v>
      </c>
      <c r="C34" s="3324" t="s">
        <v>7034</v>
      </c>
      <c r="D34" s="3325" t="s">
        <v>7069</v>
      </c>
      <c r="E34" s="3321"/>
    </row>
    <row r="35" spans="1:12" ht="21.95" customHeight="1">
      <c r="A35" s="3326"/>
      <c r="B35" s="3324" t="s">
        <v>7063</v>
      </c>
      <c r="C35" s="3324" t="s">
        <v>7070</v>
      </c>
      <c r="D35" s="3325" t="s">
        <v>7071</v>
      </c>
      <c r="E35" s="3321"/>
    </row>
    <row r="36" spans="1:12" ht="21.95" customHeight="1">
      <c r="A36" s="3326"/>
      <c r="B36" s="3323" t="s">
        <v>7033</v>
      </c>
      <c r="C36" s="3324" t="s">
        <v>7034</v>
      </c>
      <c r="D36" s="3325" t="s">
        <v>7072</v>
      </c>
      <c r="E36" s="3321"/>
    </row>
    <row r="37" spans="1:12" ht="21.95" customHeight="1">
      <c r="A37" s="3326"/>
      <c r="B37" s="3323" t="s">
        <v>7038</v>
      </c>
      <c r="C37" s="3324" t="s">
        <v>7034</v>
      </c>
      <c r="D37" s="3325" t="s">
        <v>7073</v>
      </c>
      <c r="E37" s="3321"/>
    </row>
    <row r="38" spans="1:12" ht="21.95" customHeight="1">
      <c r="A38" s="3326"/>
      <c r="B38" s="3339" t="s">
        <v>7063</v>
      </c>
      <c r="C38" s="3324" t="s">
        <v>7074</v>
      </c>
      <c r="D38" s="3325" t="s">
        <v>7075</v>
      </c>
      <c r="E38" s="3321"/>
    </row>
    <row r="39" spans="1:12" ht="21.95" customHeight="1">
      <c r="A39" s="3326"/>
      <c r="B39" s="3324" t="s">
        <v>7063</v>
      </c>
      <c r="C39" s="3324" t="s">
        <v>7034</v>
      </c>
      <c r="D39" s="3325" t="s">
        <v>7076</v>
      </c>
      <c r="E39" s="3321"/>
    </row>
    <row r="40" spans="1:12" ht="21.95" customHeight="1">
      <c r="A40" s="3326"/>
      <c r="B40" s="3323" t="s">
        <v>7038</v>
      </c>
      <c r="C40" s="3324" t="s">
        <v>7050</v>
      </c>
      <c r="D40" s="3325" t="s">
        <v>7077</v>
      </c>
      <c r="E40" s="3321"/>
    </row>
    <row r="41" spans="1:12" ht="21.95" customHeight="1">
      <c r="A41" s="3326"/>
      <c r="B41" s="3324" t="s">
        <v>7063</v>
      </c>
      <c r="C41" s="3324" t="s">
        <v>7042</v>
      </c>
      <c r="D41" s="3325" t="s">
        <v>7077</v>
      </c>
      <c r="E41" s="3321"/>
      <c r="K41" s="3328" t="s">
        <v>7297</v>
      </c>
      <c r="L41" s="3328" t="s">
        <v>7298</v>
      </c>
    </row>
    <row r="42" spans="1:12" ht="21.95" customHeight="1">
      <c r="A42" s="3326"/>
      <c r="B42" s="3323" t="s">
        <v>7038</v>
      </c>
      <c r="C42" s="3324" t="s">
        <v>7050</v>
      </c>
      <c r="D42" s="3325" t="s">
        <v>7078</v>
      </c>
      <c r="E42" s="3321">
        <f>BS!G16</f>
        <v>2208147.21</v>
      </c>
      <c r="H42" s="3369" t="s">
        <v>6894</v>
      </c>
      <c r="I42" s="3349">
        <v>26587.02</v>
      </c>
      <c r="J42" s="3349">
        <v>83187.02</v>
      </c>
      <c r="K42" s="3349">
        <f>J42-I42</f>
        <v>56600</v>
      </c>
    </row>
    <row r="43" spans="1:12" ht="21.95" customHeight="1">
      <c r="A43" s="3326"/>
      <c r="B43" s="3324" t="s">
        <v>7063</v>
      </c>
      <c r="C43" s="3324" t="s">
        <v>7042</v>
      </c>
      <c r="D43" s="3325" t="s">
        <v>7078</v>
      </c>
      <c r="E43" s="3321">
        <f>BS!H16</f>
        <v>328019.46999999997</v>
      </c>
      <c r="H43" s="3369" t="s">
        <v>6895</v>
      </c>
      <c r="I43" s="3349">
        <v>27548.19</v>
      </c>
      <c r="J43" s="3349">
        <v>99070.65</v>
      </c>
      <c r="K43" s="3349">
        <f>J43-I43</f>
        <v>71522.460000000006</v>
      </c>
    </row>
    <row r="44" spans="1:12" ht="21.95" customHeight="1">
      <c r="A44" s="3326"/>
      <c r="B44" s="3323" t="s">
        <v>7038</v>
      </c>
      <c r="C44" s="3324" t="s">
        <v>7048</v>
      </c>
      <c r="D44" s="3325" t="s">
        <v>7079</v>
      </c>
      <c r="E44" s="3321">
        <f>坏账及减值表!E10</f>
        <v>10987.92</v>
      </c>
      <c r="F44" s="3302">
        <f>E42-E44-BS!G16</f>
        <v>-10987.92</v>
      </c>
      <c r="H44" s="3369" t="s">
        <v>6896</v>
      </c>
      <c r="I44" s="3349">
        <v>164999.92000000001</v>
      </c>
      <c r="J44" s="3349">
        <v>164999.92000000001</v>
      </c>
      <c r="K44" s="3302">
        <f>J44-I44</f>
        <v>0</v>
      </c>
    </row>
    <row r="45" spans="1:12" ht="21.95" customHeight="1">
      <c r="A45" s="3326"/>
      <c r="B45" s="3324" t="s">
        <v>7080</v>
      </c>
      <c r="C45" s="3324" t="s">
        <v>7037</v>
      </c>
      <c r="D45" s="3325" t="s">
        <v>7079</v>
      </c>
      <c r="E45" s="3321">
        <f>坏账及减值表!D10</f>
        <v>19238.12</v>
      </c>
      <c r="F45" s="3340">
        <f>E43-E45-BS!H16</f>
        <v>-19238.12</v>
      </c>
      <c r="H45" s="3369" t="s">
        <v>7296</v>
      </c>
      <c r="I45" s="3349">
        <v>2000000</v>
      </c>
      <c r="L45" s="3349">
        <f>I45</f>
        <v>2000000</v>
      </c>
    </row>
    <row r="46" spans="1:12" ht="21.95" customHeight="1">
      <c r="A46" s="3326"/>
      <c r="B46" s="3324" t="s">
        <v>7060</v>
      </c>
      <c r="C46" s="3324" t="s">
        <v>7042</v>
      </c>
      <c r="D46" s="3325" t="s">
        <v>7081</v>
      </c>
      <c r="E46" s="3321"/>
      <c r="F46" s="3340"/>
    </row>
    <row r="47" spans="1:12" ht="21.95" customHeight="1">
      <c r="A47" s="3326"/>
      <c r="B47" s="3323" t="s">
        <v>7038</v>
      </c>
      <c r="C47" s="3324" t="s">
        <v>7050</v>
      </c>
      <c r="D47" s="3325" t="s">
        <v>7082</v>
      </c>
      <c r="E47" s="3321"/>
    </row>
    <row r="48" spans="1:12" ht="21.95" customHeight="1">
      <c r="A48" s="3326"/>
      <c r="B48" s="3324" t="s">
        <v>7063</v>
      </c>
      <c r="C48" s="3324" t="s">
        <v>7042</v>
      </c>
      <c r="D48" s="3325" t="s">
        <v>7082</v>
      </c>
      <c r="E48" s="3321"/>
    </row>
    <row r="49" spans="1:6" ht="21.95" customHeight="1">
      <c r="A49" s="3326"/>
      <c r="B49" s="3324" t="s">
        <v>7063</v>
      </c>
      <c r="C49" s="3324" t="s">
        <v>7050</v>
      </c>
      <c r="D49" s="3325" t="s">
        <v>7083</v>
      </c>
      <c r="E49" s="3321">
        <v>1099058.8700000001</v>
      </c>
    </row>
    <row r="50" spans="1:6" ht="21.95" customHeight="1">
      <c r="A50" s="3326"/>
      <c r="B50" s="3324" t="s">
        <v>7060</v>
      </c>
      <c r="C50" s="3324" t="s">
        <v>7042</v>
      </c>
      <c r="D50" s="3325" t="s">
        <v>7083</v>
      </c>
      <c r="E50" s="3321">
        <f>2070907-1000000</f>
        <v>1070907</v>
      </c>
      <c r="F50" s="3341"/>
    </row>
    <row r="51" spans="1:6" ht="21.95" customHeight="1">
      <c r="A51" s="3342"/>
      <c r="B51" s="3324" t="s">
        <v>7045</v>
      </c>
      <c r="C51" s="3343" t="s">
        <v>7048</v>
      </c>
      <c r="D51" s="3344" t="s">
        <v>7084</v>
      </c>
      <c r="E51" s="3321"/>
      <c r="F51" s="3341"/>
    </row>
    <row r="52" spans="1:6" ht="21.95" customHeight="1">
      <c r="A52" s="3342"/>
      <c r="B52" s="3324" t="s">
        <v>7080</v>
      </c>
      <c r="C52" s="3343" t="s">
        <v>7037</v>
      </c>
      <c r="D52" s="3344" t="s">
        <v>7084</v>
      </c>
      <c r="E52" s="3321"/>
      <c r="F52" s="3341"/>
    </row>
    <row r="53" spans="1:6" ht="21.95" customHeight="1">
      <c r="A53" s="3342"/>
      <c r="B53" s="3324" t="s">
        <v>7033</v>
      </c>
      <c r="C53" s="3343" t="s">
        <v>7048</v>
      </c>
      <c r="D53" s="3344" t="s">
        <v>7300</v>
      </c>
      <c r="E53" s="3321">
        <v>2000000</v>
      </c>
      <c r="F53" s="3341"/>
    </row>
    <row r="54" spans="1:6" ht="21.95" customHeight="1">
      <c r="A54" s="3342"/>
      <c r="B54" s="3324" t="s">
        <v>7038</v>
      </c>
      <c r="C54" s="3343" t="s">
        <v>7037</v>
      </c>
      <c r="D54" s="3344" t="s">
        <v>7299</v>
      </c>
      <c r="E54" s="3321"/>
      <c r="F54" s="3341"/>
    </row>
    <row r="55" spans="1:6" ht="21.95" customHeight="1">
      <c r="A55" s="3342"/>
      <c r="B55" s="3324" t="s">
        <v>7045</v>
      </c>
      <c r="C55" s="3343" t="s">
        <v>7085</v>
      </c>
      <c r="D55" s="3344" t="s">
        <v>7086</v>
      </c>
      <c r="E55" s="3321"/>
      <c r="F55" s="3341"/>
    </row>
    <row r="56" spans="1:6" ht="21.95" customHeight="1">
      <c r="A56" s="3342"/>
      <c r="B56" s="3339" t="s">
        <v>7080</v>
      </c>
      <c r="C56" s="3345" t="s">
        <v>7048</v>
      </c>
      <c r="D56" s="3344" t="s">
        <v>7087</v>
      </c>
      <c r="E56" s="3321"/>
      <c r="F56" s="3341"/>
    </row>
    <row r="57" spans="1:6" ht="21.95" customHeight="1">
      <c r="A57" s="3342"/>
      <c r="B57" s="3339" t="s">
        <v>7045</v>
      </c>
      <c r="C57" s="3345" t="s">
        <v>7037</v>
      </c>
      <c r="D57" s="3344" t="s">
        <v>7087</v>
      </c>
      <c r="E57" s="3321"/>
      <c r="F57" s="3341"/>
    </row>
    <row r="58" spans="1:6" ht="21.95" customHeight="1">
      <c r="A58" s="3342"/>
      <c r="B58" s="3339" t="s">
        <v>7080</v>
      </c>
      <c r="C58" s="3345" t="s">
        <v>7048</v>
      </c>
      <c r="D58" s="3344" t="s">
        <v>7088</v>
      </c>
      <c r="E58" s="3321"/>
      <c r="F58" s="3341"/>
    </row>
    <row r="59" spans="1:6" ht="21.95" customHeight="1">
      <c r="A59" s="3342"/>
      <c r="B59" s="3339" t="s">
        <v>7045</v>
      </c>
      <c r="C59" s="3345" t="s">
        <v>7037</v>
      </c>
      <c r="D59" s="3344" t="s">
        <v>7088</v>
      </c>
      <c r="E59" s="3321"/>
      <c r="F59" s="3341"/>
    </row>
    <row r="60" spans="1:6" ht="21.95" customHeight="1">
      <c r="A60" s="3342"/>
      <c r="B60" s="3339" t="s">
        <v>7080</v>
      </c>
      <c r="C60" s="3345" t="s">
        <v>7048</v>
      </c>
      <c r="D60" s="3344" t="s">
        <v>7089</v>
      </c>
      <c r="E60" s="3321"/>
      <c r="F60" s="3341"/>
    </row>
    <row r="61" spans="1:6" ht="21.95" customHeight="1">
      <c r="A61" s="3342"/>
      <c r="B61" s="3339" t="s">
        <v>7045</v>
      </c>
      <c r="C61" s="3345" t="s">
        <v>7037</v>
      </c>
      <c r="D61" s="3344" t="s">
        <v>7089</v>
      </c>
      <c r="E61" s="3321"/>
      <c r="F61" s="3341"/>
    </row>
    <row r="62" spans="1:6" ht="21.95" customHeight="1">
      <c r="A62" s="3342"/>
      <c r="B62" s="3339" t="s">
        <v>7080</v>
      </c>
      <c r="C62" s="3345" t="s">
        <v>7048</v>
      </c>
      <c r="D62" s="3344" t="s">
        <v>7090</v>
      </c>
      <c r="E62" s="3321"/>
      <c r="F62" s="3341"/>
    </row>
    <row r="63" spans="1:6" ht="21.95" customHeight="1">
      <c r="A63" s="3342"/>
      <c r="B63" s="3339" t="s">
        <v>7045</v>
      </c>
      <c r="C63" s="3345" t="s">
        <v>7037</v>
      </c>
      <c r="D63" s="3344" t="s">
        <v>7090</v>
      </c>
      <c r="E63" s="3321"/>
      <c r="F63" s="3341"/>
    </row>
    <row r="64" spans="1:6" ht="21.95" customHeight="1">
      <c r="A64" s="3342"/>
      <c r="B64" s="3324" t="s">
        <v>7045</v>
      </c>
      <c r="C64" s="3343" t="s">
        <v>2775</v>
      </c>
      <c r="D64" s="3344" t="s">
        <v>247</v>
      </c>
      <c r="E64" s="3321"/>
    </row>
    <row r="65" spans="1:6" ht="21.95" customHeight="1">
      <c r="A65" s="3342"/>
      <c r="B65" s="3343" t="s">
        <v>7033</v>
      </c>
      <c r="C65" s="3343" t="s">
        <v>2776</v>
      </c>
      <c r="D65" s="3344" t="s">
        <v>247</v>
      </c>
      <c r="E65" s="3321"/>
    </row>
    <row r="66" spans="1:6" ht="21.95" customHeight="1">
      <c r="A66" s="3342"/>
      <c r="B66" s="3343" t="s">
        <v>7033</v>
      </c>
      <c r="C66" s="3343" t="s">
        <v>2775</v>
      </c>
      <c r="D66" s="3344" t="s">
        <v>7091</v>
      </c>
      <c r="E66" s="3321"/>
    </row>
    <row r="67" spans="1:6" ht="21.95" customHeight="1">
      <c r="A67" s="3342"/>
      <c r="B67" s="3324" t="s">
        <v>7045</v>
      </c>
      <c r="C67" s="3343" t="s">
        <v>2776</v>
      </c>
      <c r="D67" s="3344" t="s">
        <v>534</v>
      </c>
      <c r="E67" s="3321"/>
      <c r="F67" s="3302">
        <f>[79]IS!E17+[79]IS!E21+[79]IS!E23+[79]BS!H15-[79]BS!G15+[79]BS!K15-([79]BS!L15-[79]BS!L16)</f>
        <v>7235947.3399999999</v>
      </c>
    </row>
    <row r="68" spans="1:6" ht="21.95" customHeight="1">
      <c r="A68" s="3334" t="s">
        <v>67</v>
      </c>
      <c r="B68" s="3335" t="s">
        <v>6713</v>
      </c>
      <c r="C68" s="3335"/>
      <c r="D68" s="3336"/>
      <c r="E68" s="3337">
        <f>SUMIF(B27:B67,"加",E27:E67)-SUMIF(B27:B67,"减",E27:E67)</f>
        <v>872175.39</v>
      </c>
    </row>
    <row r="69" spans="1:6" ht="21.95" customHeight="1">
      <c r="A69" s="3326" t="s">
        <v>7092</v>
      </c>
      <c r="B69" s="3323" t="s">
        <v>7033</v>
      </c>
      <c r="C69" s="3324" t="s">
        <v>7034</v>
      </c>
      <c r="D69" s="3325" t="s">
        <v>766</v>
      </c>
      <c r="E69" s="3321">
        <f>IS!E8</f>
        <v>21384532.949999999</v>
      </c>
    </row>
    <row r="70" spans="1:6" ht="21.95" customHeight="1">
      <c r="A70" s="3326"/>
      <c r="B70" s="3323" t="s">
        <v>7033</v>
      </c>
      <c r="C70" s="3324" t="s">
        <v>7035</v>
      </c>
      <c r="D70" s="3325" t="s">
        <v>7093</v>
      </c>
      <c r="E70" s="3327">
        <v>2092072.84</v>
      </c>
    </row>
    <row r="71" spans="1:6" ht="21.95" customHeight="1">
      <c r="A71" s="3326"/>
      <c r="B71" s="3323" t="s">
        <v>7033</v>
      </c>
      <c r="C71" s="3324" t="s">
        <v>7048</v>
      </c>
      <c r="D71" s="3325" t="s">
        <v>6944</v>
      </c>
      <c r="E71" s="3321">
        <f>BS!G19</f>
        <v>13979569.91</v>
      </c>
    </row>
    <row r="72" spans="1:6" ht="21.95" customHeight="1">
      <c r="A72" s="3326"/>
      <c r="B72" s="3323" t="s">
        <v>7038</v>
      </c>
      <c r="C72" s="3324" t="s">
        <v>7042</v>
      </c>
      <c r="D72" s="3325" t="s">
        <v>7094</v>
      </c>
      <c r="E72" s="3321">
        <f>BS!H19</f>
        <v>12739599.279999999</v>
      </c>
    </row>
    <row r="73" spans="1:6" ht="21.95" customHeight="1">
      <c r="A73" s="3326"/>
      <c r="B73" s="3331" t="s">
        <v>7045</v>
      </c>
      <c r="C73" s="3332" t="s">
        <v>7046</v>
      </c>
      <c r="D73" s="3333" t="s">
        <v>7095</v>
      </c>
      <c r="E73" s="3321"/>
    </row>
    <row r="74" spans="1:6" ht="21.95" customHeight="1">
      <c r="A74" s="3326"/>
      <c r="B74" s="3331" t="s">
        <v>7080</v>
      </c>
      <c r="C74" s="3332" t="s">
        <v>7046</v>
      </c>
      <c r="D74" s="3333" t="s">
        <v>7096</v>
      </c>
      <c r="E74" s="3321"/>
    </row>
    <row r="75" spans="1:6" ht="21.95" customHeight="1">
      <c r="A75" s="3326"/>
      <c r="B75" s="3323" t="s">
        <v>7038</v>
      </c>
      <c r="C75" s="3324" t="s">
        <v>7037</v>
      </c>
      <c r="D75" s="3325" t="s">
        <v>6838</v>
      </c>
      <c r="E75" s="3321">
        <f>坏账及减值表!D16</f>
        <v>58285.06</v>
      </c>
      <c r="F75" s="3302">
        <f>E72-E75-BS!H19</f>
        <v>-58285.06</v>
      </c>
    </row>
    <row r="76" spans="1:6" ht="21.95" customHeight="1">
      <c r="A76" s="3326"/>
      <c r="B76" s="3323" t="s">
        <v>7033</v>
      </c>
      <c r="C76" s="3324" t="s">
        <v>7050</v>
      </c>
      <c r="D76" s="3325" t="s">
        <v>6945</v>
      </c>
      <c r="E76" s="3321">
        <f>坏账及减值表!E16</f>
        <v>289567.38</v>
      </c>
      <c r="F76" s="3302">
        <f>E71-E76-BS!G19</f>
        <v>-289567.38</v>
      </c>
    </row>
    <row r="77" spans="1:6" ht="21.95" customHeight="1">
      <c r="A77" s="3326"/>
      <c r="B77" s="3323" t="s">
        <v>7033</v>
      </c>
      <c r="C77" s="3324" t="s">
        <v>7048</v>
      </c>
      <c r="D77" s="3325" t="s">
        <v>7097</v>
      </c>
      <c r="E77" s="3321">
        <f>BS!G15</f>
        <v>815153.11</v>
      </c>
    </row>
    <row r="78" spans="1:6" ht="22.5" customHeight="1">
      <c r="A78" s="3326"/>
      <c r="B78" s="3323" t="s">
        <v>7038</v>
      </c>
      <c r="C78" s="3324" t="s">
        <v>7098</v>
      </c>
      <c r="D78" s="3325" t="s">
        <v>7099</v>
      </c>
      <c r="E78" s="3321">
        <f>BS!H15</f>
        <v>916036.19</v>
      </c>
    </row>
    <row r="79" spans="1:6" ht="21.95" customHeight="1">
      <c r="A79" s="3326"/>
      <c r="B79" s="3323" t="s">
        <v>7033</v>
      </c>
      <c r="C79" s="3324" t="s">
        <v>7037</v>
      </c>
      <c r="D79" s="3325" t="s">
        <v>7100</v>
      </c>
      <c r="E79" s="3321"/>
    </row>
    <row r="80" spans="1:6" ht="21.95" customHeight="1">
      <c r="A80" s="3326"/>
      <c r="B80" s="3323" t="s">
        <v>7038</v>
      </c>
      <c r="C80" s="3324" t="s">
        <v>7048</v>
      </c>
      <c r="D80" s="3325" t="s">
        <v>7100</v>
      </c>
      <c r="E80" s="3321"/>
    </row>
    <row r="81" spans="1:5" ht="21.95" customHeight="1">
      <c r="A81" s="3326"/>
      <c r="B81" s="3323" t="s">
        <v>7038</v>
      </c>
      <c r="C81" s="3324" t="s">
        <v>7035</v>
      </c>
      <c r="D81" s="3325" t="s">
        <v>7101</v>
      </c>
      <c r="E81" s="3346"/>
    </row>
    <row r="82" spans="1:5" ht="21.95" customHeight="1">
      <c r="A82" s="3326"/>
      <c r="B82" s="3323" t="s">
        <v>7033</v>
      </c>
      <c r="C82" s="3324" t="s">
        <v>7042</v>
      </c>
      <c r="D82" s="3325" t="s">
        <v>7102</v>
      </c>
      <c r="E82" s="3321">
        <f>BS!L13</f>
        <v>8476287.8300000001</v>
      </c>
    </row>
    <row r="83" spans="1:5" ht="21.95" customHeight="1">
      <c r="A83" s="3326"/>
      <c r="B83" s="3323" t="s">
        <v>7038</v>
      </c>
      <c r="C83" s="3324" t="s">
        <v>7048</v>
      </c>
      <c r="D83" s="3325" t="s">
        <v>5256</v>
      </c>
      <c r="E83" s="3321">
        <f>BS!K13</f>
        <v>11123454.48</v>
      </c>
    </row>
    <row r="84" spans="1:5" ht="21.95" customHeight="1">
      <c r="A84" s="3326"/>
      <c r="B84" s="3339" t="s">
        <v>7060</v>
      </c>
      <c r="C84" s="3324" t="s">
        <v>7061</v>
      </c>
      <c r="D84" s="3325" t="s">
        <v>7062</v>
      </c>
      <c r="E84" s="3321"/>
    </row>
    <row r="85" spans="1:5" ht="21.95" customHeight="1">
      <c r="A85" s="3326"/>
      <c r="B85" s="3331" t="s">
        <v>7060</v>
      </c>
      <c r="C85" s="3332" t="s">
        <v>7042</v>
      </c>
      <c r="D85" s="3333" t="s">
        <v>7103</v>
      </c>
      <c r="E85" s="3321"/>
    </row>
    <row r="86" spans="1:5" ht="21.95" customHeight="1">
      <c r="A86" s="3326"/>
      <c r="B86" s="3331" t="s">
        <v>7063</v>
      </c>
      <c r="C86" s="3332" t="s">
        <v>7050</v>
      </c>
      <c r="D86" s="3333" t="s">
        <v>7103</v>
      </c>
      <c r="E86" s="3321"/>
    </row>
    <row r="87" spans="1:5" ht="21.95" customHeight="1">
      <c r="A87" s="3326"/>
      <c r="B87" s="3339" t="s">
        <v>7063</v>
      </c>
      <c r="C87" s="3339" t="s">
        <v>7042</v>
      </c>
      <c r="D87" s="3325" t="s">
        <v>7104</v>
      </c>
      <c r="E87" s="3321"/>
    </row>
    <row r="88" spans="1:5" ht="21.95" customHeight="1">
      <c r="A88" s="3326"/>
      <c r="B88" s="3339" t="s">
        <v>7060</v>
      </c>
      <c r="C88" s="3339" t="s">
        <v>7050</v>
      </c>
      <c r="D88" s="3325" t="s">
        <v>7104</v>
      </c>
      <c r="E88" s="3321"/>
    </row>
    <row r="89" spans="1:5" ht="21.95" customHeight="1">
      <c r="A89" s="3326"/>
      <c r="B89" s="3324" t="s">
        <v>7060</v>
      </c>
      <c r="C89" s="3324" t="s">
        <v>7050</v>
      </c>
      <c r="D89" s="3325" t="s">
        <v>7105</v>
      </c>
      <c r="E89" s="3321"/>
    </row>
    <row r="90" spans="1:5" ht="21.95" customHeight="1">
      <c r="A90" s="3326"/>
      <c r="B90" s="3324" t="s">
        <v>7063</v>
      </c>
      <c r="C90" s="3324" t="s">
        <v>7042</v>
      </c>
      <c r="D90" s="3325" t="s">
        <v>7105</v>
      </c>
      <c r="E90" s="3321"/>
    </row>
    <row r="91" spans="1:5" ht="21.95" customHeight="1">
      <c r="A91" s="3326"/>
      <c r="B91" s="3324" t="s">
        <v>7063</v>
      </c>
      <c r="C91" s="3324" t="s">
        <v>7042</v>
      </c>
      <c r="D91" s="3325" t="s">
        <v>7106</v>
      </c>
      <c r="E91" s="3321"/>
    </row>
    <row r="92" spans="1:5" ht="21.95" customHeight="1">
      <c r="A92" s="3326"/>
      <c r="B92" s="3324" t="s">
        <v>7060</v>
      </c>
      <c r="C92" s="3324" t="s">
        <v>7050</v>
      </c>
      <c r="D92" s="3325" t="s">
        <v>7106</v>
      </c>
      <c r="E92" s="3321"/>
    </row>
    <row r="93" spans="1:5" ht="21.95" customHeight="1">
      <c r="A93" s="3326"/>
      <c r="B93" s="3324" t="s">
        <v>7063</v>
      </c>
      <c r="C93" s="3324" t="s">
        <v>7050</v>
      </c>
      <c r="D93" s="3325" t="s">
        <v>7107</v>
      </c>
      <c r="E93" s="3321"/>
    </row>
    <row r="94" spans="1:5" ht="21.95" customHeight="1">
      <c r="A94" s="3326"/>
      <c r="B94" s="3324" t="s">
        <v>7060</v>
      </c>
      <c r="C94" s="3324" t="s">
        <v>7042</v>
      </c>
      <c r="D94" s="3325" t="s">
        <v>7107</v>
      </c>
      <c r="E94" s="3321"/>
    </row>
    <row r="95" spans="1:5" ht="21.95" customHeight="1">
      <c r="A95" s="3326"/>
      <c r="B95" s="3323" t="s">
        <v>7038</v>
      </c>
      <c r="C95" s="3324" t="s">
        <v>7034</v>
      </c>
      <c r="D95" s="3325" t="s">
        <v>7108</v>
      </c>
      <c r="E95" s="3321">
        <v>2288667.56</v>
      </c>
    </row>
    <row r="96" spans="1:5" ht="21.95" customHeight="1">
      <c r="A96" s="3326"/>
      <c r="B96" s="3323" t="s">
        <v>7038</v>
      </c>
      <c r="C96" s="3324" t="s">
        <v>7035</v>
      </c>
      <c r="D96" s="3325" t="s">
        <v>7109</v>
      </c>
      <c r="E96" s="3321">
        <v>602749.66</v>
      </c>
    </row>
    <row r="97" spans="1:6" ht="21.95" customHeight="1">
      <c r="A97" s="3326"/>
      <c r="B97" s="3323" t="s">
        <v>7038</v>
      </c>
      <c r="C97" s="3324" t="s">
        <v>7034</v>
      </c>
      <c r="D97" s="3325" t="s">
        <v>7110</v>
      </c>
      <c r="E97" s="3321"/>
    </row>
    <row r="98" spans="1:6" ht="21.95" customHeight="1">
      <c r="A98" s="3326"/>
      <c r="B98" s="3323" t="s">
        <v>7038</v>
      </c>
      <c r="C98" s="3324" t="s">
        <v>7111</v>
      </c>
      <c r="D98" s="3325" t="s">
        <v>7112</v>
      </c>
      <c r="E98" s="3321"/>
    </row>
    <row r="99" spans="1:6" ht="21.95" customHeight="1">
      <c r="A99" s="3326"/>
      <c r="B99" s="3323" t="s">
        <v>7038</v>
      </c>
      <c r="C99" s="3324" t="s">
        <v>7034</v>
      </c>
      <c r="D99" s="3325" t="s">
        <v>7113</v>
      </c>
      <c r="E99" s="3321"/>
    </row>
    <row r="100" spans="1:6" ht="21.95" customHeight="1">
      <c r="A100" s="3334" t="s">
        <v>2244</v>
      </c>
      <c r="B100" s="3335" t="s">
        <v>7053</v>
      </c>
      <c r="C100" s="3335"/>
      <c r="D100" s="3336"/>
      <c r="E100" s="3337">
        <f>SUMIF(B69:B99,"加",E69:E99)-SUMIF(B69:B99,"减",E69:E99)</f>
        <v>19308391.789999999</v>
      </c>
    </row>
    <row r="101" spans="1:6" ht="21.95" customHeight="1">
      <c r="A101" s="3322" t="s">
        <v>7114</v>
      </c>
      <c r="B101" s="3323" t="s">
        <v>7033</v>
      </c>
      <c r="C101" s="3324" t="s">
        <v>7034</v>
      </c>
      <c r="D101" s="3325" t="s">
        <v>7115</v>
      </c>
      <c r="E101" s="3321">
        <v>602749.66</v>
      </c>
    </row>
    <row r="102" spans="1:6" ht="21.95" customHeight="1">
      <c r="A102" s="3326"/>
      <c r="B102" s="3323" t="s">
        <v>7033</v>
      </c>
      <c r="C102" s="3324" t="s">
        <v>7034</v>
      </c>
      <c r="D102" s="3325" t="s">
        <v>7116</v>
      </c>
      <c r="E102" s="3321">
        <v>1973712.94</v>
      </c>
    </row>
    <row r="103" spans="1:6" ht="21.95" customHeight="1">
      <c r="A103" s="3326"/>
      <c r="B103" s="3323" t="s">
        <v>7033</v>
      </c>
      <c r="C103" s="3324" t="s">
        <v>7034</v>
      </c>
      <c r="D103" s="3325" t="s">
        <v>7117</v>
      </c>
      <c r="E103" s="3321"/>
    </row>
    <row r="104" spans="1:6" ht="21.95" customHeight="1">
      <c r="A104" s="3326"/>
      <c r="B104" s="3323" t="s">
        <v>7033</v>
      </c>
      <c r="C104" s="3324" t="s">
        <v>7034</v>
      </c>
      <c r="D104" s="3325" t="s">
        <v>7118</v>
      </c>
      <c r="E104" s="3321">
        <f>1967225.39+1611946.92</f>
        <v>3579172.31</v>
      </c>
    </row>
    <row r="105" spans="1:6" ht="21.95" customHeight="1">
      <c r="A105" s="3326"/>
      <c r="B105" s="3323" t="s">
        <v>7033</v>
      </c>
      <c r="C105" s="3324" t="s">
        <v>7035</v>
      </c>
      <c r="D105" s="3325" t="s">
        <v>7119</v>
      </c>
      <c r="E105" s="3321">
        <v>2288667.56</v>
      </c>
    </row>
    <row r="106" spans="1:6" ht="21.95" customHeight="1">
      <c r="A106" s="3326"/>
      <c r="B106" s="3323" t="s">
        <v>7033</v>
      </c>
      <c r="C106" s="3324" t="s">
        <v>7037</v>
      </c>
      <c r="D106" s="3325" t="s">
        <v>7120</v>
      </c>
      <c r="E106" s="3321">
        <f>BS!L15</f>
        <v>974467.27</v>
      </c>
    </row>
    <row r="107" spans="1:6" ht="21.95" customHeight="1">
      <c r="A107" s="3326"/>
      <c r="B107" s="3324" t="s">
        <v>7121</v>
      </c>
      <c r="C107" s="3324" t="s">
        <v>7122</v>
      </c>
      <c r="D107" s="3325" t="s">
        <v>7123</v>
      </c>
      <c r="E107" s="3321">
        <f>BS!K15</f>
        <v>1058561.81</v>
      </c>
      <c r="F107" s="3328" t="s">
        <v>7124</v>
      </c>
    </row>
    <row r="108" spans="1:6" ht="21.95" customHeight="1">
      <c r="A108" s="3334" t="s">
        <v>104</v>
      </c>
      <c r="B108" s="3335" t="s">
        <v>6713</v>
      </c>
      <c r="C108" s="3335"/>
      <c r="D108" s="3336"/>
      <c r="E108" s="3337">
        <f>SUMIF(B101:B107,"加",E101:E107)-SUMIF(B101:B107,"减",E101:E107)</f>
        <v>8360207.9299999997</v>
      </c>
      <c r="F108" s="3302">
        <f>E108-Notes!I3630</f>
        <v>164267.39000000001</v>
      </c>
    </row>
    <row r="109" spans="1:6" ht="21.95" customHeight="1">
      <c r="A109" s="3322" t="s">
        <v>7125</v>
      </c>
      <c r="B109" s="3323" t="s">
        <v>7033</v>
      </c>
      <c r="C109" s="3324" t="s">
        <v>7126</v>
      </c>
      <c r="D109" s="3325" t="s">
        <v>7127</v>
      </c>
      <c r="E109" s="3321">
        <f>IS!E9</f>
        <v>740280.52</v>
      </c>
    </row>
    <row r="110" spans="1:6" ht="21.95" customHeight="1">
      <c r="A110" s="3326"/>
      <c r="B110" s="3323" t="s">
        <v>7033</v>
      </c>
      <c r="C110" s="3324" t="s">
        <v>7035</v>
      </c>
      <c r="D110" s="3325" t="s">
        <v>7128</v>
      </c>
      <c r="E110" s="3321"/>
    </row>
    <row r="111" spans="1:6" ht="21.95" customHeight="1">
      <c r="A111" s="3326"/>
      <c r="B111" s="3323" t="s">
        <v>7033</v>
      </c>
      <c r="C111" s="3324" t="s">
        <v>7035</v>
      </c>
      <c r="D111" s="3325" t="s">
        <v>867</v>
      </c>
      <c r="E111" s="3321">
        <f>IS!E29</f>
        <v>-538795.14</v>
      </c>
    </row>
    <row r="112" spans="1:6" ht="21.95" customHeight="1">
      <c r="A112" s="3326"/>
      <c r="B112" s="3323" t="s">
        <v>7033</v>
      </c>
      <c r="C112" s="3324" t="s">
        <v>7034</v>
      </c>
      <c r="D112" s="3325" t="s">
        <v>7129</v>
      </c>
      <c r="E112" s="3321">
        <f>E9</f>
        <v>4371553.22</v>
      </c>
    </row>
    <row r="113" spans="1:7" ht="21.95" customHeight="1">
      <c r="A113" s="3326"/>
      <c r="B113" s="3323" t="s">
        <v>7033</v>
      </c>
      <c r="C113" s="3324" t="s">
        <v>7037</v>
      </c>
      <c r="D113" s="3325" t="s">
        <v>7130</v>
      </c>
      <c r="E113" s="3321">
        <f>BS!L16</f>
        <v>487153.95</v>
      </c>
    </row>
    <row r="114" spans="1:7" ht="21.95" customHeight="1">
      <c r="A114" s="3326"/>
      <c r="B114" s="3323" t="s">
        <v>7033</v>
      </c>
      <c r="C114" s="3324" t="s">
        <v>7042</v>
      </c>
      <c r="D114" s="3325" t="s">
        <v>7131</v>
      </c>
      <c r="E114" s="3321"/>
    </row>
    <row r="115" spans="1:7" ht="21.95" customHeight="1">
      <c r="A115" s="3326"/>
      <c r="B115" s="3323" t="s">
        <v>7033</v>
      </c>
      <c r="C115" s="3324" t="s">
        <v>7050</v>
      </c>
      <c r="D115" s="3325" t="s">
        <v>7132</v>
      </c>
      <c r="E115" s="3321">
        <f>BS!G42</f>
        <v>1809801.34</v>
      </c>
    </row>
    <row r="116" spans="1:7" ht="21.95" customHeight="1">
      <c r="A116" s="3326"/>
      <c r="B116" s="3324" t="s">
        <v>7080</v>
      </c>
      <c r="C116" s="3324" t="s">
        <v>7035</v>
      </c>
      <c r="D116" s="3325" t="s">
        <v>7056</v>
      </c>
      <c r="E116" s="3321"/>
    </row>
    <row r="117" spans="1:7" ht="21.95" customHeight="1">
      <c r="A117" s="3326"/>
      <c r="B117" s="3323" t="s">
        <v>7038</v>
      </c>
      <c r="C117" s="3324" t="s">
        <v>7035</v>
      </c>
      <c r="D117" s="3325" t="s">
        <v>7133</v>
      </c>
      <c r="E117" s="3321">
        <f>E70</f>
        <v>2092072.84</v>
      </c>
    </row>
    <row r="118" spans="1:7" ht="21.95" customHeight="1">
      <c r="A118" s="3326"/>
      <c r="B118" s="3323" t="s">
        <v>7033</v>
      </c>
      <c r="C118" s="3324" t="s">
        <v>7050</v>
      </c>
      <c r="D118" s="3347" t="s">
        <v>7134</v>
      </c>
      <c r="E118" s="3321">
        <f>BS!G22</f>
        <v>1690423.37</v>
      </c>
    </row>
    <row r="119" spans="1:7" ht="21.95" customHeight="1">
      <c r="A119" s="3326"/>
      <c r="B119" s="3323" t="s">
        <v>7038</v>
      </c>
      <c r="C119" s="3324" t="s">
        <v>7042</v>
      </c>
      <c r="D119" s="3347" t="s">
        <v>7134</v>
      </c>
      <c r="E119" s="3321">
        <f>BS!H22</f>
        <v>2233000.7799999998</v>
      </c>
    </row>
    <row r="120" spans="1:7" ht="21.95" customHeight="1">
      <c r="A120" s="3326"/>
      <c r="B120" s="3324" t="s">
        <v>7038</v>
      </c>
      <c r="C120" s="3324" t="s">
        <v>7050</v>
      </c>
      <c r="D120" s="3325" t="s">
        <v>7306</v>
      </c>
      <c r="E120" s="3321">
        <v>1200000</v>
      </c>
      <c r="F120" s="3302">
        <v>1200000</v>
      </c>
      <c r="G120" s="3302">
        <v>1850000</v>
      </c>
    </row>
    <row r="121" spans="1:7" ht="21.95" customHeight="1">
      <c r="A121" s="3326"/>
      <c r="B121" s="3323" t="s">
        <v>7033</v>
      </c>
      <c r="C121" s="3324" t="s">
        <v>7042</v>
      </c>
      <c r="D121" s="3325" t="s">
        <v>7305</v>
      </c>
      <c r="E121" s="3321">
        <v>1850000</v>
      </c>
    </row>
    <row r="122" spans="1:7" ht="21.95" customHeight="1">
      <c r="A122" s="3326"/>
      <c r="B122" s="3323" t="s">
        <v>7038</v>
      </c>
      <c r="C122" s="3324" t="s">
        <v>7050</v>
      </c>
      <c r="D122" s="3325" t="s">
        <v>7131</v>
      </c>
      <c r="E122" s="3321"/>
    </row>
    <row r="123" spans="1:7" ht="21.95" customHeight="1">
      <c r="A123" s="3326"/>
      <c r="B123" s="3323" t="s">
        <v>7038</v>
      </c>
      <c r="C123" s="3324" t="s">
        <v>7042</v>
      </c>
      <c r="D123" s="3325" t="s">
        <v>7132</v>
      </c>
      <c r="E123" s="3321">
        <f>BS!H42+AJE!O21</f>
        <v>1271006.2</v>
      </c>
    </row>
    <row r="124" spans="1:7" ht="21.95" customHeight="1">
      <c r="A124" s="3326"/>
      <c r="B124" s="3323" t="s">
        <v>7038</v>
      </c>
      <c r="C124" s="3324" t="s">
        <v>7048</v>
      </c>
      <c r="D124" s="3325" t="s">
        <v>7130</v>
      </c>
      <c r="E124" s="3321">
        <f>BS!K16</f>
        <v>507471.64</v>
      </c>
    </row>
    <row r="125" spans="1:7" ht="21.95" customHeight="1">
      <c r="A125" s="3334" t="s">
        <v>120</v>
      </c>
      <c r="B125" s="3335" t="s">
        <v>7136</v>
      </c>
      <c r="C125" s="3335"/>
      <c r="D125" s="3336"/>
      <c r="E125" s="3337">
        <f>SUMIF(B109:B124,"加",E109:E124)-SUMIF(B109:B124,"减",E109:E124)</f>
        <v>3106865.8</v>
      </c>
    </row>
    <row r="126" spans="1:7" ht="21.95" customHeight="1">
      <c r="A126" s="3322" t="s">
        <v>7137</v>
      </c>
      <c r="B126" s="3323" t="s">
        <v>7033</v>
      </c>
      <c r="C126" s="3324" t="s">
        <v>7126</v>
      </c>
      <c r="D126" s="3325" t="s">
        <v>7138</v>
      </c>
      <c r="E126" s="3321"/>
    </row>
    <row r="127" spans="1:7" ht="21.95" customHeight="1">
      <c r="A127" s="3326"/>
      <c r="B127" s="3323" t="s">
        <v>7033</v>
      </c>
      <c r="C127" s="3324" t="s">
        <v>7111</v>
      </c>
      <c r="D127" s="3325" t="s">
        <v>7112</v>
      </c>
      <c r="E127" s="3321"/>
    </row>
    <row r="128" spans="1:7" ht="21.95" customHeight="1">
      <c r="A128" s="3326"/>
      <c r="B128" s="3323" t="s">
        <v>7033</v>
      </c>
      <c r="C128" s="3324" t="s">
        <v>7126</v>
      </c>
      <c r="D128" s="3325" t="s">
        <v>680</v>
      </c>
      <c r="E128" s="3321">
        <f>IS!E10</f>
        <v>5573302.79</v>
      </c>
    </row>
    <row r="129" spans="1:5" ht="21.95" customHeight="1">
      <c r="A129" s="3326"/>
      <c r="B129" s="3323" t="s">
        <v>7033</v>
      </c>
      <c r="C129" s="3324" t="s">
        <v>7139</v>
      </c>
      <c r="D129" s="3325" t="s">
        <v>685</v>
      </c>
      <c r="E129" s="3321">
        <f>IS!E11+IS!E12</f>
        <v>8342255.4800000004</v>
      </c>
    </row>
    <row r="130" spans="1:5" ht="21.95" customHeight="1">
      <c r="A130" s="3326"/>
      <c r="B130" s="3323" t="s">
        <v>7033</v>
      </c>
      <c r="C130" s="3324" t="s">
        <v>7139</v>
      </c>
      <c r="D130" s="3325" t="s">
        <v>7140</v>
      </c>
      <c r="E130" s="3321">
        <f>IS!E13</f>
        <v>47156.11</v>
      </c>
    </row>
    <row r="131" spans="1:5" ht="21.95" customHeight="1">
      <c r="A131" s="3326"/>
      <c r="B131" s="3323" t="s">
        <v>7033</v>
      </c>
      <c r="C131" s="3324" t="s">
        <v>7139</v>
      </c>
      <c r="D131" s="3325" t="s">
        <v>851</v>
      </c>
      <c r="E131" s="3321">
        <f>IS!E27</f>
        <v>21970.3</v>
      </c>
    </row>
    <row r="132" spans="1:5" ht="21.95" customHeight="1">
      <c r="A132" s="3326"/>
      <c r="B132" s="3339" t="s">
        <v>7141</v>
      </c>
      <c r="C132" s="3345" t="s">
        <v>7142</v>
      </c>
      <c r="D132" s="3344" t="s">
        <v>7143</v>
      </c>
      <c r="E132" s="3321"/>
    </row>
    <row r="133" spans="1:5" ht="21.95" customHeight="1">
      <c r="A133" s="3326"/>
      <c r="B133" s="3339" t="s">
        <v>7144</v>
      </c>
      <c r="C133" s="3345" t="s">
        <v>7145</v>
      </c>
      <c r="D133" s="3344" t="s">
        <v>7143</v>
      </c>
      <c r="E133" s="3321"/>
    </row>
    <row r="134" spans="1:5" ht="21.95" customHeight="1">
      <c r="A134" s="3326"/>
      <c r="B134" s="3324" t="s">
        <v>7144</v>
      </c>
      <c r="C134" s="3343" t="s">
        <v>7142</v>
      </c>
      <c r="D134" s="3344" t="s">
        <v>7146</v>
      </c>
      <c r="E134" s="3321"/>
    </row>
    <row r="135" spans="1:5" ht="21.95" customHeight="1">
      <c r="A135" s="3326"/>
      <c r="B135" s="3324" t="s">
        <v>7141</v>
      </c>
      <c r="C135" s="3343" t="s">
        <v>7145</v>
      </c>
      <c r="D135" s="3344" t="s">
        <v>7146</v>
      </c>
      <c r="E135" s="3321"/>
    </row>
    <row r="136" spans="1:5" ht="21.95" customHeight="1">
      <c r="A136" s="3326"/>
      <c r="B136" s="3324" t="s">
        <v>7144</v>
      </c>
      <c r="C136" s="3343" t="s">
        <v>7142</v>
      </c>
      <c r="D136" s="3344" t="s">
        <v>7147</v>
      </c>
      <c r="E136" s="3321"/>
    </row>
    <row r="137" spans="1:5" ht="21.95" customHeight="1">
      <c r="A137" s="3326"/>
      <c r="B137" s="3324" t="s">
        <v>7141</v>
      </c>
      <c r="C137" s="3343" t="s">
        <v>7145</v>
      </c>
      <c r="D137" s="3344" t="s">
        <v>7147</v>
      </c>
      <c r="E137" s="3321"/>
    </row>
    <row r="138" spans="1:5" ht="21.95" customHeight="1">
      <c r="A138" s="3326"/>
      <c r="B138" s="3324" t="s">
        <v>7038</v>
      </c>
      <c r="C138" s="3324" t="s">
        <v>7142</v>
      </c>
      <c r="D138" s="3325" t="s">
        <v>7135</v>
      </c>
      <c r="E138" s="3321"/>
    </row>
    <row r="139" spans="1:5" ht="21.95" customHeight="1">
      <c r="A139" s="3326"/>
      <c r="B139" s="3323" t="s">
        <v>7033</v>
      </c>
      <c r="C139" s="3324" t="s">
        <v>7145</v>
      </c>
      <c r="D139" s="3325" t="s">
        <v>7135</v>
      </c>
      <c r="E139" s="3321"/>
    </row>
    <row r="140" spans="1:5" ht="21.95" customHeight="1">
      <c r="A140" s="3326"/>
      <c r="B140" s="3324" t="s">
        <v>7141</v>
      </c>
      <c r="C140" s="3324" t="s">
        <v>7142</v>
      </c>
      <c r="D140" s="3325" t="s">
        <v>7148</v>
      </c>
      <c r="E140" s="3321"/>
    </row>
    <row r="141" spans="1:5" ht="21.95" customHeight="1">
      <c r="A141" s="3326"/>
      <c r="B141" s="3324" t="s">
        <v>7144</v>
      </c>
      <c r="C141" s="3324" t="s">
        <v>7145</v>
      </c>
      <c r="D141" s="3325" t="s">
        <v>7148</v>
      </c>
      <c r="E141" s="3321"/>
    </row>
    <row r="142" spans="1:5" ht="23.25" customHeight="1">
      <c r="A142" s="3326"/>
      <c r="B142" s="3323" t="s">
        <v>7033</v>
      </c>
      <c r="C142" s="3324" t="s">
        <v>7142</v>
      </c>
      <c r="D142" s="3325" t="s">
        <v>7149</v>
      </c>
      <c r="E142" s="3321"/>
    </row>
    <row r="143" spans="1:5" ht="21.95" customHeight="1">
      <c r="A143" s="3326"/>
      <c r="B143" s="3323" t="s">
        <v>7038</v>
      </c>
      <c r="C143" s="3324" t="s">
        <v>7145</v>
      </c>
      <c r="D143" s="3325" t="s">
        <v>7149</v>
      </c>
      <c r="E143" s="3321"/>
    </row>
    <row r="144" spans="1:5" ht="21.95" customHeight="1">
      <c r="A144" s="3326"/>
      <c r="B144" s="3339" t="s">
        <v>7141</v>
      </c>
      <c r="C144" s="3345" t="s">
        <v>7142</v>
      </c>
      <c r="D144" s="3344" t="s">
        <v>7150</v>
      </c>
      <c r="E144" s="3321"/>
    </row>
    <row r="145" spans="1:11" ht="21.95" customHeight="1">
      <c r="A145" s="3326"/>
      <c r="B145" s="3339" t="s">
        <v>7144</v>
      </c>
      <c r="C145" s="3345" t="s">
        <v>7145</v>
      </c>
      <c r="D145" s="3344" t="s">
        <v>7150</v>
      </c>
      <c r="E145" s="3321"/>
    </row>
    <row r="146" spans="1:11" ht="21.95" customHeight="1">
      <c r="A146" s="3326"/>
      <c r="B146" s="3339" t="s">
        <v>7141</v>
      </c>
      <c r="C146" s="3345" t="s">
        <v>7142</v>
      </c>
      <c r="D146" s="3344" t="s">
        <v>7151</v>
      </c>
      <c r="E146" s="3321"/>
    </row>
    <row r="147" spans="1:11" ht="21.95" customHeight="1">
      <c r="A147" s="3326"/>
      <c r="B147" s="3339" t="s">
        <v>7144</v>
      </c>
      <c r="C147" s="3345" t="s">
        <v>7145</v>
      </c>
      <c r="D147" s="3344" t="s">
        <v>7151</v>
      </c>
      <c r="E147" s="3321"/>
    </row>
    <row r="148" spans="1:11" ht="21.95" customHeight="1">
      <c r="A148" s="3326"/>
      <c r="B148" s="3339" t="s">
        <v>7141</v>
      </c>
      <c r="C148" s="3345" t="s">
        <v>7142</v>
      </c>
      <c r="D148" s="3344" t="s">
        <v>7152</v>
      </c>
      <c r="E148" s="3321"/>
    </row>
    <row r="149" spans="1:11" ht="21.95" customHeight="1">
      <c r="A149" s="3326"/>
      <c r="B149" s="3339" t="s">
        <v>7144</v>
      </c>
      <c r="C149" s="3345" t="s">
        <v>7145</v>
      </c>
      <c r="D149" s="3344" t="s">
        <v>7152</v>
      </c>
      <c r="E149" s="3321"/>
    </row>
    <row r="150" spans="1:11" ht="21.95" customHeight="1">
      <c r="A150" s="3326"/>
      <c r="B150" s="3339" t="s">
        <v>7141</v>
      </c>
      <c r="C150" s="3324" t="s">
        <v>7153</v>
      </c>
      <c r="D150" s="3325" t="s">
        <v>7154</v>
      </c>
      <c r="E150" s="3321"/>
    </row>
    <row r="151" spans="1:11" ht="21.95" customHeight="1">
      <c r="A151" s="3326"/>
      <c r="B151" s="3323" t="s">
        <v>7033</v>
      </c>
      <c r="C151" s="3324" t="s">
        <v>7142</v>
      </c>
      <c r="D151" s="3325" t="s">
        <v>7155</v>
      </c>
      <c r="E151" s="3321"/>
    </row>
    <row r="152" spans="1:11" ht="21.95" customHeight="1">
      <c r="A152" s="3326"/>
      <c r="B152" s="3323" t="s">
        <v>7038</v>
      </c>
      <c r="C152" s="3324" t="s">
        <v>7145</v>
      </c>
      <c r="D152" s="3325" t="s">
        <v>7155</v>
      </c>
      <c r="E152" s="3321"/>
    </row>
    <row r="153" spans="1:11" ht="21.95" customHeight="1">
      <c r="A153" s="3326"/>
      <c r="B153" s="3323" t="s">
        <v>7033</v>
      </c>
      <c r="C153" s="3324" t="s">
        <v>7142</v>
      </c>
      <c r="D153" s="3325" t="s">
        <v>7156</v>
      </c>
      <c r="E153" s="3321"/>
    </row>
    <row r="154" spans="1:11" ht="21.95" customHeight="1">
      <c r="A154" s="3326"/>
      <c r="B154" s="3323" t="s">
        <v>7038</v>
      </c>
      <c r="C154" s="3324" t="s">
        <v>7145</v>
      </c>
      <c r="D154" s="3325" t="s">
        <v>7156</v>
      </c>
      <c r="E154" s="3321"/>
    </row>
    <row r="155" spans="1:11" ht="21.95" customHeight="1">
      <c r="A155" s="3326"/>
      <c r="B155" s="3323" t="s">
        <v>7038</v>
      </c>
      <c r="C155" s="3324" t="s">
        <v>7142</v>
      </c>
      <c r="D155" s="3325" t="s">
        <v>7157</v>
      </c>
      <c r="E155" s="3321"/>
    </row>
    <row r="156" spans="1:11" ht="21.95" customHeight="1">
      <c r="A156" s="3326"/>
      <c r="B156" s="3323" t="s">
        <v>7033</v>
      </c>
      <c r="C156" s="3324" t="s">
        <v>7145</v>
      </c>
      <c r="D156" s="3325" t="s">
        <v>7157</v>
      </c>
      <c r="E156" s="3321"/>
      <c r="J156" s="3328" t="s">
        <v>7308</v>
      </c>
      <c r="K156" s="3328" t="s">
        <v>7297</v>
      </c>
    </row>
    <row r="157" spans="1:11" ht="21.95" customHeight="1">
      <c r="A157" s="3326"/>
      <c r="B157" s="3323" t="s">
        <v>7038</v>
      </c>
      <c r="C157" s="3324" t="s">
        <v>7142</v>
      </c>
      <c r="D157" s="3325" t="s">
        <v>7158</v>
      </c>
      <c r="E157" s="3321"/>
      <c r="G157" s="3302" t="s">
        <v>6902</v>
      </c>
      <c r="H157" s="3349">
        <v>20000</v>
      </c>
      <c r="I157" s="3349">
        <v>20000</v>
      </c>
      <c r="J157" s="3302">
        <f>I157-H157</f>
        <v>0</v>
      </c>
    </row>
    <row r="158" spans="1:11" ht="21.95" customHeight="1">
      <c r="A158" s="3326"/>
      <c r="B158" s="3323" t="s">
        <v>7033</v>
      </c>
      <c r="C158" s="3324" t="s">
        <v>7145</v>
      </c>
      <c r="D158" s="3325" t="s">
        <v>7158</v>
      </c>
      <c r="E158" s="3321"/>
      <c r="G158" s="3302" t="s">
        <v>6896</v>
      </c>
      <c r="H158" s="3349">
        <v>306375</v>
      </c>
      <c r="I158" s="3349">
        <v>304375</v>
      </c>
      <c r="K158" s="3302">
        <f>H158-I158</f>
        <v>2000</v>
      </c>
    </row>
    <row r="159" spans="1:11" ht="21.95" customHeight="1">
      <c r="A159" s="3326"/>
      <c r="B159" s="3323" t="s">
        <v>7038</v>
      </c>
      <c r="C159" s="3324" t="str">
        <f>C55</f>
        <v>发生额</v>
      </c>
      <c r="D159" s="3325" t="str">
        <f>D55</f>
        <v>调整其他应付款中支付的其他</v>
      </c>
      <c r="E159" s="3321"/>
      <c r="G159" s="3302" t="s">
        <v>6904</v>
      </c>
      <c r="H159" s="3349">
        <v>772683.87</v>
      </c>
      <c r="I159" s="3349">
        <v>746532</v>
      </c>
      <c r="K159" s="3302">
        <f>H159-I159</f>
        <v>26151.87</v>
      </c>
    </row>
    <row r="160" spans="1:11" ht="21.95" customHeight="1">
      <c r="A160" s="3326"/>
      <c r="B160" s="3323" t="s">
        <v>7038</v>
      </c>
      <c r="C160" s="3324" t="s">
        <v>7048</v>
      </c>
      <c r="D160" s="3325" t="s">
        <v>6919</v>
      </c>
      <c r="E160" s="3321"/>
      <c r="G160" s="3302" t="s">
        <v>6905</v>
      </c>
      <c r="I160" s="3349">
        <v>1000000</v>
      </c>
    </row>
    <row r="161" spans="1:5" ht="21.95" customHeight="1">
      <c r="A161" s="3326"/>
      <c r="B161" s="3323" t="s">
        <v>7033</v>
      </c>
      <c r="C161" s="3324" t="s">
        <v>7037</v>
      </c>
      <c r="D161" s="3325" t="s">
        <v>6919</v>
      </c>
      <c r="E161" s="3321"/>
    </row>
    <row r="162" spans="1:5" ht="21.95" customHeight="1">
      <c r="A162" s="3326"/>
      <c r="B162" s="3323" t="s">
        <v>7038</v>
      </c>
      <c r="C162" s="3324" t="s">
        <v>7048</v>
      </c>
      <c r="D162" s="3325" t="s">
        <v>7159</v>
      </c>
      <c r="E162" s="3321"/>
    </row>
    <row r="163" spans="1:5" ht="21.95" customHeight="1">
      <c r="A163" s="3326"/>
      <c r="B163" s="3323" t="s">
        <v>7038</v>
      </c>
      <c r="C163" s="3324" t="s">
        <v>7048</v>
      </c>
      <c r="D163" s="3325" t="s">
        <v>7160</v>
      </c>
      <c r="E163" s="3321">
        <f>preCF!E74</f>
        <v>2332438.67</v>
      </c>
    </row>
    <row r="164" spans="1:5" ht="21.95" customHeight="1">
      <c r="A164" s="3326"/>
      <c r="B164" s="3323" t="s">
        <v>7038</v>
      </c>
      <c r="C164" s="3324" t="s">
        <v>7050</v>
      </c>
      <c r="D164" s="3325" t="s">
        <v>7161</v>
      </c>
      <c r="E164" s="3321"/>
    </row>
    <row r="165" spans="1:5" ht="21.95" customHeight="1">
      <c r="A165" s="3326"/>
      <c r="B165" s="3323" t="s">
        <v>7038</v>
      </c>
      <c r="C165" s="3324" t="s">
        <v>7050</v>
      </c>
      <c r="D165" s="3325" t="s">
        <v>7162</v>
      </c>
      <c r="E165" s="3321"/>
    </row>
    <row r="166" spans="1:5" ht="21.95" customHeight="1">
      <c r="A166" s="3326"/>
      <c r="B166" s="3324" t="s">
        <v>7063</v>
      </c>
      <c r="C166" s="3324" t="s">
        <v>7042</v>
      </c>
      <c r="D166" s="3325" t="s">
        <v>7163</v>
      </c>
      <c r="E166" s="3321"/>
    </row>
    <row r="167" spans="1:5" ht="21.95" customHeight="1">
      <c r="A167" s="3326"/>
      <c r="B167" s="3324" t="s">
        <v>7063</v>
      </c>
      <c r="C167" s="3324" t="s">
        <v>7042</v>
      </c>
      <c r="D167" s="3325" t="s">
        <v>7164</v>
      </c>
      <c r="E167" s="3321"/>
    </row>
    <row r="168" spans="1:5" ht="21.95" customHeight="1">
      <c r="A168" s="3326"/>
      <c r="B168" s="3324" t="s">
        <v>7063</v>
      </c>
      <c r="C168" s="3324" t="s">
        <v>7042</v>
      </c>
      <c r="D168" s="3325" t="s">
        <v>7161</v>
      </c>
      <c r="E168" s="3321"/>
    </row>
    <row r="169" spans="1:5" ht="21.95" customHeight="1">
      <c r="A169" s="3326"/>
      <c r="B169" s="3324" t="s">
        <v>7063</v>
      </c>
      <c r="C169" s="3324" t="s">
        <v>7042</v>
      </c>
      <c r="D169" s="3325" t="s">
        <v>7162</v>
      </c>
      <c r="E169" s="3321"/>
    </row>
    <row r="170" spans="1:5" ht="21.95" customHeight="1">
      <c r="A170" s="3326"/>
      <c r="B170" s="3323" t="s">
        <v>7038</v>
      </c>
      <c r="C170" s="3324" t="s">
        <v>7034</v>
      </c>
      <c r="D170" s="3338" t="s">
        <v>7165</v>
      </c>
      <c r="E170" s="3321"/>
    </row>
    <row r="171" spans="1:5" ht="21.95" customHeight="1">
      <c r="A171" s="3326"/>
      <c r="B171" s="3323" t="s">
        <v>7038</v>
      </c>
      <c r="C171" s="3324" t="s">
        <v>7034</v>
      </c>
      <c r="D171" s="3325" t="s">
        <v>7166</v>
      </c>
      <c r="E171" s="3321"/>
    </row>
    <row r="172" spans="1:5" ht="21.95" customHeight="1">
      <c r="A172" s="3326"/>
      <c r="B172" s="3323" t="s">
        <v>7038</v>
      </c>
      <c r="C172" s="3324" t="s">
        <v>7034</v>
      </c>
      <c r="D172" s="3325" t="s">
        <v>7167</v>
      </c>
      <c r="E172" s="3321"/>
    </row>
    <row r="173" spans="1:5" ht="21.95" customHeight="1">
      <c r="A173" s="3326"/>
      <c r="B173" s="3323" t="s">
        <v>7038</v>
      </c>
      <c r="C173" s="3324" t="s">
        <v>7034</v>
      </c>
      <c r="D173" s="3325" t="s">
        <v>7168</v>
      </c>
      <c r="E173" s="3321"/>
    </row>
    <row r="174" spans="1:5" ht="21.95" customHeight="1">
      <c r="A174" s="3326"/>
      <c r="B174" s="3323" t="s">
        <v>7038</v>
      </c>
      <c r="C174" s="3324" t="s">
        <v>7034</v>
      </c>
      <c r="D174" s="3325" t="s">
        <v>7169</v>
      </c>
      <c r="E174" s="3321">
        <f>E102</f>
        <v>1973712.94</v>
      </c>
    </row>
    <row r="175" spans="1:5" ht="21.95" customHeight="1">
      <c r="A175" s="3326"/>
      <c r="B175" s="3323" t="s">
        <v>7038</v>
      </c>
      <c r="C175" s="3324" t="s">
        <v>7035</v>
      </c>
      <c r="D175" s="3325" t="s">
        <v>7170</v>
      </c>
      <c r="E175" s="3321">
        <f>E104</f>
        <v>3579172.31</v>
      </c>
    </row>
    <row r="176" spans="1:5" ht="21.95" customHeight="1">
      <c r="A176" s="3326"/>
      <c r="B176" s="3323" t="s">
        <v>7038</v>
      </c>
      <c r="C176" s="3324" t="s">
        <v>7035</v>
      </c>
      <c r="D176" s="3325" t="s">
        <v>7171</v>
      </c>
      <c r="E176" s="3321">
        <f>preCF!E75</f>
        <v>102441.89</v>
      </c>
    </row>
    <row r="177" spans="1:5" ht="21.95" customHeight="1">
      <c r="A177" s="3326"/>
      <c r="B177" s="3323" t="s">
        <v>7038</v>
      </c>
      <c r="C177" s="3324" t="s">
        <v>7035</v>
      </c>
      <c r="D177" s="3325" t="s">
        <v>7172</v>
      </c>
      <c r="E177" s="3321">
        <f>preCF!E76</f>
        <v>297071.96999999997</v>
      </c>
    </row>
    <row r="178" spans="1:5" ht="21.95" customHeight="1">
      <c r="A178" s="3326"/>
      <c r="B178" s="3323" t="s">
        <v>7038</v>
      </c>
      <c r="C178" s="3324" t="s">
        <v>7035</v>
      </c>
      <c r="D178" s="3325" t="s">
        <v>7173</v>
      </c>
      <c r="E178" s="3321"/>
    </row>
    <row r="179" spans="1:5" ht="21.95" customHeight="1">
      <c r="A179" s="3326"/>
      <c r="B179" s="3323" t="s">
        <v>7038</v>
      </c>
      <c r="C179" s="3324" t="s">
        <v>7035</v>
      </c>
      <c r="D179" s="3325" t="s">
        <v>7174</v>
      </c>
      <c r="E179" s="3321"/>
    </row>
    <row r="180" spans="1:5" ht="21.95" customHeight="1">
      <c r="A180" s="3326"/>
      <c r="B180" s="3323" t="s">
        <v>7038</v>
      </c>
      <c r="C180" s="3324" t="s">
        <v>7035</v>
      </c>
      <c r="D180" s="3325" t="s">
        <v>7175</v>
      </c>
      <c r="E180" s="3321"/>
    </row>
    <row r="181" spans="1:5" ht="21.95" customHeight="1">
      <c r="A181" s="3326"/>
      <c r="B181" s="3323" t="s">
        <v>7038</v>
      </c>
      <c r="C181" s="3324" t="s">
        <v>7035</v>
      </c>
      <c r="D181" s="3325" t="s">
        <v>7176</v>
      </c>
      <c r="E181" s="3321"/>
    </row>
    <row r="182" spans="1:5" ht="21.95" customHeight="1">
      <c r="A182" s="3326"/>
      <c r="B182" s="3323" t="s">
        <v>7038</v>
      </c>
      <c r="C182" s="3324" t="s">
        <v>7035</v>
      </c>
      <c r="D182" s="3325" t="s">
        <v>7177</v>
      </c>
      <c r="E182" s="3321"/>
    </row>
    <row r="183" spans="1:5" ht="21.95" customHeight="1">
      <c r="A183" s="3326"/>
      <c r="B183" s="3323" t="s">
        <v>7038</v>
      </c>
      <c r="C183" s="3324" t="s">
        <v>7035</v>
      </c>
      <c r="D183" s="3325" t="s">
        <v>7178</v>
      </c>
      <c r="E183" s="3321"/>
    </row>
    <row r="184" spans="1:5" ht="21.95" customHeight="1">
      <c r="A184" s="3326"/>
      <c r="B184" s="3339" t="s">
        <v>7045</v>
      </c>
      <c r="C184" s="3339" t="s">
        <v>7048</v>
      </c>
      <c r="D184" s="3325" t="s">
        <v>7179</v>
      </c>
      <c r="E184" s="3321"/>
    </row>
    <row r="185" spans="1:5" ht="21.95" customHeight="1">
      <c r="A185" s="3326"/>
      <c r="B185" s="3339" t="s">
        <v>7080</v>
      </c>
      <c r="C185" s="3339" t="s">
        <v>7037</v>
      </c>
      <c r="D185" s="3325" t="s">
        <v>7179</v>
      </c>
      <c r="E185" s="3321"/>
    </row>
    <row r="186" spans="1:5" ht="21.95" customHeight="1">
      <c r="A186" s="3326"/>
      <c r="B186" s="3323" t="s">
        <v>7038</v>
      </c>
      <c r="C186" s="3324" t="s">
        <v>7035</v>
      </c>
      <c r="D186" s="3325" t="s">
        <v>7307</v>
      </c>
      <c r="E186" s="3321">
        <v>35573.339999999997</v>
      </c>
    </row>
    <row r="187" spans="1:5" ht="21.95" customHeight="1">
      <c r="A187" s="3326"/>
      <c r="B187" s="3324" t="s">
        <v>7080</v>
      </c>
      <c r="C187" s="3324" t="s">
        <v>7035</v>
      </c>
      <c r="D187" s="3325" t="s">
        <v>7180</v>
      </c>
      <c r="E187" s="3321"/>
    </row>
    <row r="188" spans="1:5" ht="21.95" customHeight="1">
      <c r="A188" s="3326"/>
      <c r="B188" s="3323" t="s">
        <v>7038</v>
      </c>
      <c r="C188" s="3324" t="s">
        <v>7035</v>
      </c>
      <c r="D188" s="3325" t="s">
        <v>7181</v>
      </c>
      <c r="E188" s="3321"/>
    </row>
    <row r="189" spans="1:5" ht="21.95" customHeight="1">
      <c r="A189" s="3326"/>
      <c r="B189" s="3324" t="s">
        <v>7080</v>
      </c>
      <c r="C189" s="3324" t="s">
        <v>7035</v>
      </c>
      <c r="D189" s="3325" t="s">
        <v>7182</v>
      </c>
      <c r="E189" s="3321"/>
    </row>
    <row r="190" spans="1:5" ht="21.95" customHeight="1">
      <c r="A190" s="3326"/>
      <c r="B190" s="3323" t="s">
        <v>7038</v>
      </c>
      <c r="C190" s="3324" t="s">
        <v>7035</v>
      </c>
      <c r="D190" s="3338" t="s">
        <v>7183</v>
      </c>
      <c r="E190" s="3321"/>
    </row>
    <row r="191" spans="1:5" ht="21.95" customHeight="1">
      <c r="A191" s="3334" t="s">
        <v>133</v>
      </c>
      <c r="B191" s="3335" t="s">
        <v>6713</v>
      </c>
      <c r="C191" s="3335"/>
      <c r="D191" s="3336"/>
      <c r="E191" s="3337">
        <f>SUMIF(B126:B190,"加",E126:E190)-SUMIF(B126:B190,"减",E126:E190)</f>
        <v>5664273.5599999996</v>
      </c>
    </row>
    <row r="192" spans="1:5" ht="21.95" customHeight="1">
      <c r="A192" s="3322" t="s">
        <v>7184</v>
      </c>
      <c r="B192" s="3323" t="s">
        <v>7033</v>
      </c>
      <c r="C192" s="3324" t="s">
        <v>7035</v>
      </c>
      <c r="D192" s="3325" t="s">
        <v>7185</v>
      </c>
      <c r="E192" s="3321"/>
    </row>
    <row r="193" spans="1:6" ht="21.95" customHeight="1">
      <c r="A193" s="3326"/>
      <c r="B193" s="3323" t="s">
        <v>7033</v>
      </c>
      <c r="C193" s="3324" t="s">
        <v>7035</v>
      </c>
      <c r="D193" s="3325" t="s">
        <v>7186</v>
      </c>
      <c r="E193" s="3321"/>
    </row>
    <row r="194" spans="1:6" ht="21.95" customHeight="1">
      <c r="A194" s="3326"/>
      <c r="B194" s="3323" t="s">
        <v>7033</v>
      </c>
      <c r="C194" s="3324" t="s">
        <v>7035</v>
      </c>
      <c r="D194" s="3325" t="s">
        <v>7187</v>
      </c>
      <c r="E194" s="3321"/>
    </row>
    <row r="195" spans="1:6" ht="21.95" customHeight="1">
      <c r="A195" s="3326"/>
      <c r="B195" s="3323" t="s">
        <v>7033</v>
      </c>
      <c r="C195" s="3324" t="s">
        <v>7035</v>
      </c>
      <c r="D195" s="3325" t="s">
        <v>7188</v>
      </c>
      <c r="E195" s="3321">
        <f>E121-E120</f>
        <v>650000</v>
      </c>
    </row>
    <row r="196" spans="1:6" ht="21.95" customHeight="1">
      <c r="A196" s="3326"/>
      <c r="B196" s="3323" t="s">
        <v>7033</v>
      </c>
      <c r="C196" s="3324" t="s">
        <v>7035</v>
      </c>
      <c r="D196" s="3325" t="s">
        <v>7189</v>
      </c>
      <c r="E196" s="3321"/>
    </row>
    <row r="197" spans="1:6" ht="21.95" customHeight="1">
      <c r="A197" s="3334" t="s">
        <v>146</v>
      </c>
      <c r="B197" s="3335" t="s">
        <v>6713</v>
      </c>
      <c r="C197" s="3335"/>
      <c r="D197" s="3336"/>
      <c r="E197" s="3337">
        <f>SUMIF(B192:B196,"加",E192:E196)-SUMIF(B192:B196,"减",E192:E196)</f>
        <v>650000</v>
      </c>
    </row>
    <row r="198" spans="1:6" ht="21.95" customHeight="1">
      <c r="A198" s="3322" t="s">
        <v>7190</v>
      </c>
      <c r="B198" s="3323" t="s">
        <v>7033</v>
      </c>
      <c r="C198" s="3324" t="s">
        <v>7035</v>
      </c>
      <c r="D198" s="3325" t="s">
        <v>7191</v>
      </c>
      <c r="E198" s="3321">
        <f>IS!E17</f>
        <v>41851.06</v>
      </c>
    </row>
    <row r="199" spans="1:6" ht="21.95" customHeight="1">
      <c r="A199" s="3326"/>
      <c r="B199" s="3339" t="s">
        <v>7045</v>
      </c>
      <c r="C199" s="3324" t="s">
        <v>7046</v>
      </c>
      <c r="D199" s="3325" t="s">
        <v>7192</v>
      </c>
      <c r="E199" s="3321"/>
    </row>
    <row r="200" spans="1:6" ht="21.95" customHeight="1">
      <c r="A200" s="3326"/>
      <c r="B200" s="3339" t="s">
        <v>7045</v>
      </c>
      <c r="C200" s="3324" t="s">
        <v>7046</v>
      </c>
      <c r="D200" s="3325" t="s">
        <v>7193</v>
      </c>
      <c r="E200" s="3321"/>
    </row>
    <row r="201" spans="1:6" ht="21.95" customHeight="1">
      <c r="A201" s="3326"/>
      <c r="B201" s="3323" t="s">
        <v>7033</v>
      </c>
      <c r="C201" s="3324" t="s">
        <v>7035</v>
      </c>
      <c r="D201" s="3325" t="s">
        <v>7194</v>
      </c>
      <c r="E201" s="3321"/>
    </row>
    <row r="202" spans="1:6" ht="21.95" customHeight="1">
      <c r="A202" s="3326"/>
      <c r="B202" s="3323" t="s">
        <v>7033</v>
      </c>
      <c r="C202" s="3324" t="s">
        <v>7035</v>
      </c>
      <c r="D202" s="3344" t="s">
        <v>7195</v>
      </c>
      <c r="E202" s="3321"/>
    </row>
    <row r="203" spans="1:6" ht="21.95" customHeight="1">
      <c r="A203" s="3326"/>
      <c r="B203" s="3323" t="s">
        <v>7033</v>
      </c>
      <c r="C203" s="3324" t="s">
        <v>7035</v>
      </c>
      <c r="D203" s="3344" t="s">
        <v>7196</v>
      </c>
      <c r="E203" s="3321"/>
    </row>
    <row r="204" spans="1:6" ht="21.95" customHeight="1">
      <c r="A204" s="3326"/>
      <c r="B204" s="3343" t="s">
        <v>7080</v>
      </c>
      <c r="C204" s="3343" t="s">
        <v>7037</v>
      </c>
      <c r="D204" s="3344" t="s">
        <v>7197</v>
      </c>
      <c r="E204" s="3321"/>
    </row>
    <row r="205" spans="1:6" ht="21.95" customHeight="1">
      <c r="A205" s="3326"/>
      <c r="B205" s="3343" t="s">
        <v>7080</v>
      </c>
      <c r="C205" s="3343" t="s">
        <v>7046</v>
      </c>
      <c r="D205" s="3344" t="s">
        <v>7198</v>
      </c>
      <c r="E205" s="3321"/>
      <c r="F205" s="3340"/>
    </row>
    <row r="206" spans="1:6" ht="21.95" customHeight="1">
      <c r="A206" s="3326"/>
      <c r="B206" s="3343" t="s">
        <v>7045</v>
      </c>
      <c r="C206" s="3343" t="s">
        <v>7048</v>
      </c>
      <c r="D206" s="3344" t="s">
        <v>7197</v>
      </c>
      <c r="E206" s="3321"/>
    </row>
    <row r="207" spans="1:6" ht="21.95" customHeight="1">
      <c r="A207" s="3326"/>
      <c r="B207" s="3343" t="s">
        <v>7080</v>
      </c>
      <c r="C207" s="3343" t="s">
        <v>7037</v>
      </c>
      <c r="D207" s="3344" t="s">
        <v>7199</v>
      </c>
      <c r="E207" s="3321"/>
    </row>
    <row r="208" spans="1:6" ht="21.95" customHeight="1">
      <c r="A208" s="3326"/>
      <c r="B208" s="3343" t="s">
        <v>7045</v>
      </c>
      <c r="C208" s="3343" t="s">
        <v>7048</v>
      </c>
      <c r="D208" s="3344" t="s">
        <v>7199</v>
      </c>
      <c r="E208" s="3321"/>
    </row>
    <row r="209" spans="1:6" ht="21.95" customHeight="1">
      <c r="A209" s="3334" t="s">
        <v>157</v>
      </c>
      <c r="B209" s="3335" t="s">
        <v>6713</v>
      </c>
      <c r="C209" s="3335"/>
      <c r="D209" s="3336"/>
      <c r="E209" s="3337">
        <f>SUMIF(B198:B208,"加",E198:E208)-SUMIF(B198:B208,"减",E198:E208)</f>
        <v>41851.06</v>
      </c>
    </row>
    <row r="210" spans="1:6" ht="21.95" customHeight="1">
      <c r="A210" s="3322" t="s">
        <v>7200</v>
      </c>
      <c r="B210" s="3323" t="s">
        <v>7033</v>
      </c>
      <c r="C210" s="3324" t="s">
        <v>7035</v>
      </c>
      <c r="D210" s="3325" t="s">
        <v>7201</v>
      </c>
      <c r="E210" s="3321"/>
    </row>
    <row r="211" spans="1:6" ht="21.95" customHeight="1">
      <c r="A211" s="3326"/>
      <c r="B211" s="3323" t="s">
        <v>7033</v>
      </c>
      <c r="C211" s="3324" t="s">
        <v>7035</v>
      </c>
      <c r="D211" s="3325" t="s">
        <v>7202</v>
      </c>
      <c r="E211" s="3321"/>
      <c r="F211" s="3328" t="s">
        <v>7203</v>
      </c>
    </row>
    <row r="212" spans="1:6" ht="21.95" customHeight="1">
      <c r="A212" s="3326"/>
      <c r="B212" s="3323" t="s">
        <v>7033</v>
      </c>
      <c r="C212" s="3324" t="s">
        <v>7035</v>
      </c>
      <c r="D212" s="3325" t="s">
        <v>7204</v>
      </c>
      <c r="E212" s="3321"/>
    </row>
    <row r="213" spans="1:6" ht="21.95" customHeight="1">
      <c r="A213" s="3326"/>
      <c r="B213" s="3323" t="s">
        <v>7033</v>
      </c>
      <c r="C213" s="3324" t="s">
        <v>7035</v>
      </c>
      <c r="D213" s="3325" t="s">
        <v>7205</v>
      </c>
      <c r="E213" s="3321"/>
    </row>
    <row r="214" spans="1:6" ht="21.95" customHeight="1">
      <c r="A214" s="3326"/>
      <c r="B214" s="3323" t="s">
        <v>7033</v>
      </c>
      <c r="C214" s="3324" t="s">
        <v>7035</v>
      </c>
      <c r="D214" s="3325" t="s">
        <v>7206</v>
      </c>
      <c r="E214" s="3321"/>
    </row>
    <row r="215" spans="1:6" ht="21.95" customHeight="1">
      <c r="A215" s="3326"/>
      <c r="B215" s="3323" t="s">
        <v>7033</v>
      </c>
      <c r="C215" s="3324" t="s">
        <v>7035</v>
      </c>
      <c r="D215" s="3325" t="s">
        <v>7207</v>
      </c>
      <c r="E215" s="3321"/>
    </row>
    <row r="216" spans="1:6" ht="21.95" customHeight="1">
      <c r="A216" s="3326"/>
      <c r="B216" s="3323" t="s">
        <v>7033</v>
      </c>
      <c r="C216" s="3324" t="s">
        <v>7035</v>
      </c>
      <c r="D216" s="3325" t="s">
        <v>7208</v>
      </c>
      <c r="E216" s="3321"/>
    </row>
    <row r="217" spans="1:6" ht="21.95" customHeight="1">
      <c r="A217" s="3326"/>
      <c r="B217" s="3323" t="s">
        <v>7038</v>
      </c>
      <c r="C217" s="3324" t="s">
        <v>7035</v>
      </c>
      <c r="D217" s="3325" t="s">
        <v>7209</v>
      </c>
      <c r="E217" s="3321"/>
    </row>
    <row r="218" spans="1:6" ht="21.95" customHeight="1">
      <c r="A218" s="3334" t="s">
        <v>2250</v>
      </c>
      <c r="B218" s="3335" t="s">
        <v>6713</v>
      </c>
      <c r="C218" s="3335"/>
      <c r="D218" s="3336"/>
      <c r="E218" s="3337">
        <f>SUMIF(B210:B217,"加",E210:E217)-SUMIF(B210:B217,"减",E210:E217)</f>
        <v>0</v>
      </c>
    </row>
    <row r="219" spans="1:6" ht="21.95" customHeight="1">
      <c r="A219" s="3322" t="s">
        <v>7210</v>
      </c>
      <c r="B219" s="3323" t="s">
        <v>7033</v>
      </c>
      <c r="C219" s="3324" t="s">
        <v>7035</v>
      </c>
      <c r="D219" s="3325" t="s">
        <v>7211</v>
      </c>
      <c r="E219" s="3321"/>
    </row>
    <row r="220" spans="1:6" ht="21.95" customHeight="1">
      <c r="A220" s="3326"/>
      <c r="B220" s="3324" t="s">
        <v>7080</v>
      </c>
      <c r="C220" s="3324" t="s">
        <v>7035</v>
      </c>
      <c r="D220" s="3325" t="s">
        <v>7212</v>
      </c>
      <c r="E220" s="3321"/>
    </row>
    <row r="221" spans="1:6" ht="21.95" customHeight="1">
      <c r="A221" s="3326"/>
      <c r="B221" s="3324" t="s">
        <v>7080</v>
      </c>
      <c r="C221" s="3324" t="s">
        <v>7035</v>
      </c>
      <c r="D221" s="3325" t="s">
        <v>7213</v>
      </c>
      <c r="E221" s="3321"/>
      <c r="F221" s="3340"/>
    </row>
    <row r="222" spans="1:6" ht="21.95" customHeight="1">
      <c r="A222" s="3334" t="s">
        <v>176</v>
      </c>
      <c r="B222" s="3335" t="s">
        <v>6713</v>
      </c>
      <c r="C222" s="3335"/>
      <c r="D222" s="3336"/>
      <c r="E222" s="3337">
        <f>SUMIF(B219:B221,"加",E219:E221)-SUMIF(B219:B221,"减",E219:E221)</f>
        <v>0</v>
      </c>
    </row>
    <row r="223" spans="1:6" ht="21.95" customHeight="1">
      <c r="A223" s="3322" t="s">
        <v>7214</v>
      </c>
      <c r="B223" s="3323" t="s">
        <v>7033</v>
      </c>
      <c r="C223" s="3324" t="s">
        <v>7035</v>
      </c>
      <c r="D223" s="3325" t="s">
        <v>7215</v>
      </c>
      <c r="E223" s="3321"/>
    </row>
    <row r="224" spans="1:6" ht="21.95" customHeight="1">
      <c r="A224" s="3322"/>
      <c r="B224" s="3331" t="s">
        <v>7301</v>
      </c>
      <c r="C224" s="3332" t="s">
        <v>7035</v>
      </c>
      <c r="D224" s="3333" t="s">
        <v>7216</v>
      </c>
      <c r="E224" s="3318"/>
    </row>
    <row r="225" spans="1:8" ht="21.95" customHeight="1">
      <c r="A225" s="3322"/>
      <c r="B225" s="3323" t="s">
        <v>7033</v>
      </c>
      <c r="C225" s="3324" t="s">
        <v>7035</v>
      </c>
      <c r="D225" s="3348" t="s">
        <v>7217</v>
      </c>
      <c r="E225" s="3318"/>
    </row>
    <row r="226" spans="1:8" ht="21.95" customHeight="1">
      <c r="A226" s="3334" t="s">
        <v>187</v>
      </c>
      <c r="B226" s="3335" t="s">
        <v>6713</v>
      </c>
      <c r="C226" s="3335"/>
      <c r="D226" s="3336"/>
      <c r="E226" s="3337">
        <f>E223+E225+E224</f>
        <v>0</v>
      </c>
    </row>
    <row r="227" spans="1:8" ht="21.95" customHeight="1">
      <c r="A227" s="3322" t="s">
        <v>7218</v>
      </c>
      <c r="B227" s="3323" t="s">
        <v>7033</v>
      </c>
      <c r="C227" s="3324" t="s">
        <v>7048</v>
      </c>
      <c r="D227" s="3325" t="s">
        <v>7219</v>
      </c>
      <c r="E227" s="3321"/>
      <c r="G227" s="3328"/>
    </row>
    <row r="228" spans="1:8" ht="21.95" customHeight="1">
      <c r="A228" s="3326"/>
      <c r="B228" s="3323" t="s">
        <v>7033</v>
      </c>
      <c r="C228" s="3324" t="s">
        <v>7048</v>
      </c>
      <c r="D228" s="3325" t="s">
        <v>7220</v>
      </c>
      <c r="E228" s="3321">
        <f>BS!G34</f>
        <v>18818300.170000002</v>
      </c>
    </row>
    <row r="229" spans="1:8" ht="21.95" customHeight="1">
      <c r="A229" s="3326"/>
      <c r="B229" s="3323" t="s">
        <v>7033</v>
      </c>
      <c r="C229" s="3324" t="s">
        <v>7048</v>
      </c>
      <c r="D229" s="3325" t="s">
        <v>7221</v>
      </c>
      <c r="E229" s="3321">
        <f>BS!G35</f>
        <v>0</v>
      </c>
      <c r="G229" s="3349"/>
      <c r="H229" s="3349"/>
    </row>
    <row r="230" spans="1:8" ht="21.95" customHeight="1">
      <c r="A230" s="3326"/>
      <c r="B230" s="3323" t="s">
        <v>7033</v>
      </c>
      <c r="C230" s="3324" t="s">
        <v>7222</v>
      </c>
      <c r="D230" s="3325" t="s">
        <v>7223</v>
      </c>
      <c r="E230" s="3321"/>
      <c r="G230" s="3349"/>
      <c r="H230" s="3349"/>
    </row>
    <row r="231" spans="1:8" ht="21.95" customHeight="1">
      <c r="A231" s="3326"/>
      <c r="B231" s="3323" t="s">
        <v>7033</v>
      </c>
      <c r="C231" s="3324" t="s">
        <v>7222</v>
      </c>
      <c r="D231" s="3325" t="s">
        <v>7224</v>
      </c>
      <c r="E231" s="3321"/>
    </row>
    <row r="232" spans="1:8" ht="21.95" customHeight="1">
      <c r="A232" s="3326"/>
      <c r="B232" s="3323" t="s">
        <v>7033</v>
      </c>
      <c r="C232" s="3324" t="s">
        <v>7222</v>
      </c>
      <c r="D232" s="3325" t="s">
        <v>7225</v>
      </c>
      <c r="E232" s="3321"/>
    </row>
    <row r="233" spans="1:8" ht="21.95" customHeight="1">
      <c r="A233" s="3326"/>
      <c r="B233" s="3323" t="s">
        <v>7033</v>
      </c>
      <c r="C233" s="3324" t="s">
        <v>7222</v>
      </c>
      <c r="D233" s="3325" t="s">
        <v>7226</v>
      </c>
      <c r="E233" s="3321"/>
      <c r="G233" s="3328"/>
    </row>
    <row r="234" spans="1:8" ht="21.95" customHeight="1">
      <c r="A234" s="3326"/>
      <c r="B234" s="3323" t="s">
        <v>7033</v>
      </c>
      <c r="C234" s="3324" t="s">
        <v>7222</v>
      </c>
      <c r="D234" s="3325" t="s">
        <v>7227</v>
      </c>
      <c r="E234" s="3321">
        <f>BS!G38</f>
        <v>1951607.86</v>
      </c>
    </row>
    <row r="235" spans="1:8" ht="21.95" customHeight="1">
      <c r="A235" s="3326"/>
      <c r="B235" s="3323" t="s">
        <v>7033</v>
      </c>
      <c r="C235" s="3324" t="s">
        <v>7222</v>
      </c>
      <c r="D235" s="3325" t="s">
        <v>7228</v>
      </c>
      <c r="E235" s="3321">
        <f>BS!G39</f>
        <v>1467375.43</v>
      </c>
    </row>
    <row r="236" spans="1:8" ht="21.95" customHeight="1">
      <c r="A236" s="3326"/>
      <c r="B236" s="3323" t="s">
        <v>7033</v>
      </c>
      <c r="C236" s="3324" t="s">
        <v>7048</v>
      </c>
      <c r="D236" s="3325" t="s">
        <v>7229</v>
      </c>
      <c r="E236" s="3321"/>
    </row>
    <row r="237" spans="1:8" ht="21.95" customHeight="1">
      <c r="A237" s="3326"/>
      <c r="B237" s="3323" t="s">
        <v>7033</v>
      </c>
      <c r="C237" s="3324" t="s">
        <v>7048</v>
      </c>
      <c r="D237" s="3325" t="s">
        <v>7230</v>
      </c>
      <c r="E237" s="3321">
        <f>BS!G41</f>
        <v>233942.48</v>
      </c>
    </row>
    <row r="238" spans="1:8" ht="21.95" customHeight="1">
      <c r="A238" s="3326"/>
      <c r="B238" s="3323" t="s">
        <v>7033</v>
      </c>
      <c r="C238" s="3324" t="s">
        <v>7048</v>
      </c>
      <c r="D238" s="3325" t="s">
        <v>7231</v>
      </c>
      <c r="E238" s="3321">
        <f>BS!G43</f>
        <v>94970</v>
      </c>
    </row>
    <row r="239" spans="1:8" ht="21.95" customHeight="1">
      <c r="A239" s="3326"/>
      <c r="B239" s="3324" t="s">
        <v>7045</v>
      </c>
      <c r="C239" s="3324" t="s">
        <v>7037</v>
      </c>
      <c r="D239" s="3325" t="s">
        <v>7219</v>
      </c>
      <c r="E239" s="3321"/>
    </row>
    <row r="240" spans="1:8" ht="21.95" customHeight="1">
      <c r="A240" s="3326"/>
      <c r="B240" s="3324" t="s">
        <v>7045</v>
      </c>
      <c r="C240" s="3324" t="s">
        <v>7037</v>
      </c>
      <c r="D240" s="3325" t="s">
        <v>7220</v>
      </c>
      <c r="E240" s="3321">
        <f>BS!H34</f>
        <v>20288571.73</v>
      </c>
    </row>
    <row r="241" spans="1:5" ht="21.95" customHeight="1">
      <c r="A241" s="3326"/>
      <c r="B241" s="3324" t="s">
        <v>7232</v>
      </c>
      <c r="C241" s="3324" t="s">
        <v>7233</v>
      </c>
      <c r="D241" s="3325" t="s">
        <v>7234</v>
      </c>
      <c r="E241" s="3321">
        <f>BS!H35</f>
        <v>41650</v>
      </c>
    </row>
    <row r="242" spans="1:5" ht="21.95" customHeight="1">
      <c r="A242" s="3326"/>
      <c r="B242" s="3324" t="s">
        <v>7045</v>
      </c>
      <c r="C242" s="3324" t="s">
        <v>7037</v>
      </c>
      <c r="D242" s="3325" t="s">
        <v>351</v>
      </c>
      <c r="E242" s="3321"/>
    </row>
    <row r="243" spans="1:5" ht="21.95" customHeight="1">
      <c r="A243" s="3326"/>
      <c r="B243" s="3324" t="s">
        <v>7045</v>
      </c>
      <c r="C243" s="3324" t="s">
        <v>7037</v>
      </c>
      <c r="D243" s="3325" t="s">
        <v>359</v>
      </c>
      <c r="E243" s="3321"/>
    </row>
    <row r="244" spans="1:5" ht="21.95" customHeight="1">
      <c r="A244" s="3326"/>
      <c r="B244" s="3324" t="s">
        <v>7045</v>
      </c>
      <c r="C244" s="3324" t="s">
        <v>7037</v>
      </c>
      <c r="D244" s="3325" t="s">
        <v>381</v>
      </c>
      <c r="E244" s="3321"/>
    </row>
    <row r="245" spans="1:5" ht="21.95" customHeight="1">
      <c r="A245" s="3326"/>
      <c r="B245" s="3324" t="s">
        <v>7045</v>
      </c>
      <c r="C245" s="3324" t="s">
        <v>7037</v>
      </c>
      <c r="D245" s="3325" t="s">
        <v>388</v>
      </c>
      <c r="E245" s="3321"/>
    </row>
    <row r="246" spans="1:5" ht="21.95" customHeight="1">
      <c r="A246" s="3326"/>
      <c r="B246" s="3324" t="s">
        <v>7045</v>
      </c>
      <c r="C246" s="3324" t="s">
        <v>7037</v>
      </c>
      <c r="D246" s="3325" t="s">
        <v>396</v>
      </c>
      <c r="E246" s="3321">
        <f>BS!H38</f>
        <v>1820271.51</v>
      </c>
    </row>
    <row r="247" spans="1:5" ht="21.95" customHeight="1">
      <c r="A247" s="3326"/>
      <c r="B247" s="3324" t="s">
        <v>7235</v>
      </c>
      <c r="C247" s="3324" t="s">
        <v>7236</v>
      </c>
      <c r="D247" s="3325" t="s">
        <v>394</v>
      </c>
      <c r="E247" s="3321">
        <f>BS!H39</f>
        <v>2369218.02</v>
      </c>
    </row>
    <row r="248" spans="1:5" ht="21.95" customHeight="1">
      <c r="A248" s="3326"/>
      <c r="B248" s="3324" t="s">
        <v>7232</v>
      </c>
      <c r="C248" s="3324" t="s">
        <v>7233</v>
      </c>
      <c r="D248" s="3325" t="s">
        <v>409</v>
      </c>
      <c r="E248" s="3321"/>
    </row>
    <row r="249" spans="1:5" ht="21.95" customHeight="1">
      <c r="A249" s="3326"/>
      <c r="B249" s="3324" t="s">
        <v>7232</v>
      </c>
      <c r="C249" s="3324" t="s">
        <v>7233</v>
      </c>
      <c r="D249" s="3325" t="s">
        <v>415</v>
      </c>
      <c r="E249" s="3321">
        <f>BS!H41</f>
        <v>395514.45</v>
      </c>
    </row>
    <row r="250" spans="1:5" ht="21.95" customHeight="1">
      <c r="A250" s="3326"/>
      <c r="B250" s="3324" t="s">
        <v>7232</v>
      </c>
      <c r="C250" s="3324" t="s">
        <v>7233</v>
      </c>
      <c r="D250" s="3325" t="s">
        <v>429</v>
      </c>
      <c r="E250" s="3321">
        <f>BS!H43</f>
        <v>523136</v>
      </c>
    </row>
    <row r="251" spans="1:5" ht="21.95" customHeight="1">
      <c r="A251" s="3326"/>
      <c r="B251" s="3324" t="s">
        <v>7080</v>
      </c>
      <c r="C251" s="3324" t="s">
        <v>7048</v>
      </c>
      <c r="D251" s="3325" t="s">
        <v>7159</v>
      </c>
      <c r="E251" s="3321"/>
    </row>
    <row r="252" spans="1:5" ht="21.95" customHeight="1">
      <c r="A252" s="3326"/>
      <c r="B252" s="3324" t="s">
        <v>7080</v>
      </c>
      <c r="C252" s="3324" t="s">
        <v>7048</v>
      </c>
      <c r="D252" s="3325" t="s">
        <v>7160</v>
      </c>
      <c r="E252" s="3321">
        <f>preCF!E74</f>
        <v>2332438.67</v>
      </c>
    </row>
    <row r="253" spans="1:5" ht="21.95" customHeight="1">
      <c r="A253" s="3326"/>
      <c r="B253" s="3324" t="s">
        <v>7080</v>
      </c>
      <c r="C253" s="3324" t="s">
        <v>7048</v>
      </c>
      <c r="D253" s="3325" t="s">
        <v>7237</v>
      </c>
      <c r="E253" s="3321"/>
    </row>
    <row r="254" spans="1:5" ht="21.95" customHeight="1">
      <c r="A254" s="3326"/>
      <c r="B254" s="3324" t="s">
        <v>7080</v>
      </c>
      <c r="C254" s="3324" t="s">
        <v>7048</v>
      </c>
      <c r="D254" s="3325" t="s">
        <v>7238</v>
      </c>
      <c r="E254" s="3321"/>
    </row>
    <row r="255" spans="1:5" ht="21.95" customHeight="1">
      <c r="A255" s="3326"/>
      <c r="B255" s="3324" t="s">
        <v>7045</v>
      </c>
      <c r="C255" s="3324" t="s">
        <v>7037</v>
      </c>
      <c r="D255" s="3325" t="s">
        <v>7159</v>
      </c>
      <c r="E255" s="3321"/>
    </row>
    <row r="256" spans="1:5" ht="21.95" customHeight="1">
      <c r="A256" s="3326"/>
      <c r="B256" s="3324" t="s">
        <v>7045</v>
      </c>
      <c r="C256" s="3324" t="s">
        <v>7037</v>
      </c>
      <c r="D256" s="3325" t="s">
        <v>7160</v>
      </c>
      <c r="E256" s="3321"/>
    </row>
    <row r="257" spans="1:5" ht="21.95" customHeight="1">
      <c r="A257" s="3326"/>
      <c r="B257" s="3324" t="s">
        <v>7045</v>
      </c>
      <c r="C257" s="3324" t="s">
        <v>7037</v>
      </c>
      <c r="D257" s="3325" t="s">
        <v>7237</v>
      </c>
      <c r="E257" s="3321"/>
    </row>
    <row r="258" spans="1:5" ht="21.95" customHeight="1">
      <c r="A258" s="3326"/>
      <c r="B258" s="3324" t="s">
        <v>7045</v>
      </c>
      <c r="C258" s="3324" t="s">
        <v>7037</v>
      </c>
      <c r="D258" s="3325" t="s">
        <v>7238</v>
      </c>
      <c r="E258" s="3321"/>
    </row>
    <row r="259" spans="1:5" ht="21.95" customHeight="1">
      <c r="A259" s="3326"/>
      <c r="B259" s="3324" t="s">
        <v>7080</v>
      </c>
      <c r="C259" s="3324" t="s">
        <v>7035</v>
      </c>
      <c r="D259" s="3325" t="s">
        <v>7239</v>
      </c>
      <c r="E259" s="3321"/>
    </row>
    <row r="260" spans="1:5" ht="21.95" customHeight="1">
      <c r="A260" s="3326"/>
      <c r="B260" s="3324" t="s">
        <v>7080</v>
      </c>
      <c r="C260" s="3324" t="s">
        <v>7035</v>
      </c>
      <c r="D260" s="3325" t="s">
        <v>7240</v>
      </c>
      <c r="E260" s="3321"/>
    </row>
    <row r="261" spans="1:5" ht="21.95" customHeight="1">
      <c r="A261" s="3326"/>
      <c r="B261" s="3324" t="s">
        <v>7080</v>
      </c>
      <c r="C261" s="3324" t="s">
        <v>7035</v>
      </c>
      <c r="D261" s="3325" t="s">
        <v>7241</v>
      </c>
      <c r="E261" s="3321"/>
    </row>
    <row r="262" spans="1:5" ht="21.95" customHeight="1">
      <c r="A262" s="3326"/>
      <c r="B262" s="3324" t="s">
        <v>7080</v>
      </c>
      <c r="C262" s="3324" t="s">
        <v>7035</v>
      </c>
      <c r="D262" s="3325" t="s">
        <v>7242</v>
      </c>
      <c r="E262" s="3321"/>
    </row>
    <row r="263" spans="1:5" ht="21.95" customHeight="1">
      <c r="A263" s="3326"/>
      <c r="B263" s="3324" t="s">
        <v>7080</v>
      </c>
      <c r="C263" s="3324" t="s">
        <v>7035</v>
      </c>
      <c r="D263" s="3325" t="s">
        <v>7171</v>
      </c>
      <c r="E263" s="3321">
        <f>preCF!E75</f>
        <v>102441.89</v>
      </c>
    </row>
    <row r="264" spans="1:5" ht="21.95" customHeight="1">
      <c r="A264" s="3326"/>
      <c r="B264" s="3324" t="s">
        <v>7243</v>
      </c>
      <c r="C264" s="3324" t="s">
        <v>7244</v>
      </c>
      <c r="D264" s="3325" t="s">
        <v>7245</v>
      </c>
      <c r="E264" s="3321"/>
    </row>
    <row r="265" spans="1:5" ht="21.95" customHeight="1">
      <c r="A265" s="3326"/>
      <c r="B265" s="3324" t="s">
        <v>7243</v>
      </c>
      <c r="C265" s="3324" t="s">
        <v>7246</v>
      </c>
      <c r="D265" s="3325" t="s">
        <v>7247</v>
      </c>
      <c r="E265" s="3321"/>
    </row>
    <row r="266" spans="1:5" ht="21.95" customHeight="1">
      <c r="A266" s="3326"/>
      <c r="B266" s="3324" t="s">
        <v>7243</v>
      </c>
      <c r="C266" s="3324" t="s">
        <v>7246</v>
      </c>
      <c r="D266" s="3325" t="s">
        <v>7248</v>
      </c>
      <c r="E266" s="3321"/>
    </row>
    <row r="267" spans="1:5" ht="21.95" customHeight="1">
      <c r="A267" s="3326"/>
      <c r="B267" s="3324" t="s">
        <v>7243</v>
      </c>
      <c r="C267" s="3324" t="s">
        <v>7246</v>
      </c>
      <c r="D267" s="3325" t="s">
        <v>7249</v>
      </c>
      <c r="E267" s="3321">
        <f>preCF!E76</f>
        <v>297071.96999999997</v>
      </c>
    </row>
    <row r="268" spans="1:5" ht="21.95" customHeight="1">
      <c r="A268" s="3326"/>
      <c r="B268" s="3324" t="s">
        <v>7080</v>
      </c>
      <c r="C268" s="3324" t="s">
        <v>7035</v>
      </c>
      <c r="D268" s="3325" t="s">
        <v>7250</v>
      </c>
      <c r="E268" s="3321"/>
    </row>
    <row r="269" spans="1:5" ht="21.95" customHeight="1">
      <c r="A269" s="3326"/>
      <c r="B269" s="3323" t="s">
        <v>7033</v>
      </c>
      <c r="C269" s="3324" t="s">
        <v>7048</v>
      </c>
      <c r="D269" s="3325" t="s">
        <v>7251</v>
      </c>
      <c r="E269" s="3329"/>
    </row>
    <row r="270" spans="1:5" ht="21.95" customHeight="1">
      <c r="A270" s="3326"/>
      <c r="B270" s="3323" t="s">
        <v>7033</v>
      </c>
      <c r="C270" s="3324" t="s">
        <v>7037</v>
      </c>
      <c r="D270" s="3325" t="s">
        <v>7179</v>
      </c>
      <c r="E270" s="3321"/>
    </row>
    <row r="271" spans="1:5" ht="21.95" customHeight="1">
      <c r="A271" s="3326"/>
      <c r="B271" s="3323" t="s">
        <v>7038</v>
      </c>
      <c r="C271" s="3324" t="s">
        <v>7048</v>
      </c>
      <c r="D271" s="3325" t="s">
        <v>7179</v>
      </c>
      <c r="E271" s="3321"/>
    </row>
    <row r="272" spans="1:5" ht="21.95" customHeight="1">
      <c r="A272" s="3326"/>
      <c r="B272" s="3339" t="s">
        <v>7045</v>
      </c>
      <c r="C272" s="3324" t="s">
        <v>7085</v>
      </c>
      <c r="D272" s="3325" t="s">
        <v>7252</v>
      </c>
      <c r="E272" s="3321"/>
    </row>
    <row r="273" spans="1:6" ht="21.95" customHeight="1">
      <c r="A273" s="3326"/>
      <c r="B273" s="3323" t="s">
        <v>7033</v>
      </c>
      <c r="C273" s="3324" t="s">
        <v>7037</v>
      </c>
      <c r="D273" s="3325" t="s">
        <v>6949</v>
      </c>
      <c r="E273" s="3329">
        <f>AJE!P55</f>
        <v>633357.77</v>
      </c>
    </row>
    <row r="274" spans="1:6" ht="21.95" customHeight="1">
      <c r="A274" s="3326"/>
      <c r="B274" s="3323" t="s">
        <v>7038</v>
      </c>
      <c r="C274" s="3343" t="s">
        <v>7035</v>
      </c>
      <c r="D274" s="3344"/>
      <c r="E274" s="3318"/>
    </row>
    <row r="275" spans="1:6" ht="21.95" customHeight="1">
      <c r="A275" s="3334" t="s">
        <v>7253</v>
      </c>
      <c r="B275" s="3335" t="s">
        <v>6713</v>
      </c>
      <c r="C275" s="3335"/>
      <c r="D275" s="3336"/>
      <c r="E275" s="3337">
        <f>SUMIF(B227:B274,"加",E227:E274)-SUMIF(B227:B274,"减",E227:E274)</f>
        <v>493144.53</v>
      </c>
    </row>
    <row r="276" spans="1:6" ht="21.95" customHeight="1">
      <c r="A276" s="3322" t="s">
        <v>7254</v>
      </c>
      <c r="B276" s="3323" t="s">
        <v>7033</v>
      </c>
      <c r="C276" s="3324" t="s">
        <v>7035</v>
      </c>
      <c r="D276" s="3325" t="s">
        <v>7255</v>
      </c>
      <c r="E276" s="3321"/>
      <c r="F276" s="3328" t="s">
        <v>7256</v>
      </c>
    </row>
    <row r="277" spans="1:6" ht="21.95" customHeight="1">
      <c r="A277" s="3326"/>
      <c r="B277" s="3323" t="s">
        <v>7033</v>
      </c>
      <c r="C277" s="3324" t="s">
        <v>7246</v>
      </c>
      <c r="D277" s="3325" t="s">
        <v>7257</v>
      </c>
      <c r="E277" s="3321"/>
    </row>
    <row r="278" spans="1:6" ht="21.95" customHeight="1">
      <c r="A278" s="3350"/>
      <c r="B278" s="3323" t="s">
        <v>7033</v>
      </c>
      <c r="C278" s="3324" t="s">
        <v>7246</v>
      </c>
      <c r="D278" s="3325" t="s">
        <v>7258</v>
      </c>
      <c r="E278" s="3321"/>
    </row>
    <row r="279" spans="1:6" ht="21.95" customHeight="1">
      <c r="A279" s="3326"/>
      <c r="B279" s="3323" t="s">
        <v>7033</v>
      </c>
      <c r="C279" s="3324" t="s">
        <v>7246</v>
      </c>
      <c r="D279" s="3325" t="s">
        <v>7259</v>
      </c>
      <c r="E279" s="3321"/>
    </row>
    <row r="280" spans="1:6" ht="21.95" customHeight="1">
      <c r="A280" s="3334" t="s">
        <v>207</v>
      </c>
      <c r="B280" s="3335" t="s">
        <v>7260</v>
      </c>
      <c r="C280" s="3335"/>
      <c r="D280" s="3336"/>
      <c r="E280" s="3337">
        <f>SUMIF(B276:B279,"加",E276:E279)-SUMIF(B276:B279,"减",E276:E279)</f>
        <v>0</v>
      </c>
    </row>
    <row r="281" spans="1:6" ht="21.95" customHeight="1">
      <c r="A281" s="3351" t="s">
        <v>7261</v>
      </c>
      <c r="B281" s="3323" t="s">
        <v>7033</v>
      </c>
      <c r="C281" s="3324" t="s">
        <v>7246</v>
      </c>
      <c r="D281" s="3325" t="s">
        <v>7262</v>
      </c>
      <c r="E281" s="3321"/>
    </row>
    <row r="282" spans="1:6" ht="21.95" customHeight="1">
      <c r="A282" s="3350"/>
      <c r="B282" s="3323" t="s">
        <v>7033</v>
      </c>
      <c r="C282" s="3324" t="s">
        <v>7246</v>
      </c>
      <c r="D282" s="3325" t="s">
        <v>7258</v>
      </c>
      <c r="E282" s="3321"/>
    </row>
    <row r="283" spans="1:6" ht="21.95" customHeight="1">
      <c r="A283" s="3334" t="s">
        <v>217</v>
      </c>
      <c r="B283" s="3335" t="s">
        <v>7260</v>
      </c>
      <c r="C283" s="3335"/>
      <c r="D283" s="3336"/>
      <c r="E283" s="3337">
        <f>SUMIF(B281:B282,"加",E281:E282)-SUMIF(B281:B282,"减",E281:E282)</f>
        <v>0</v>
      </c>
    </row>
    <row r="284" spans="1:6" ht="21.95" customHeight="1">
      <c r="A284" s="3322" t="s">
        <v>7263</v>
      </c>
      <c r="B284" s="3323" t="s">
        <v>7033</v>
      </c>
      <c r="C284" s="3324" t="s">
        <v>7246</v>
      </c>
      <c r="D284" s="3325" t="s">
        <v>7264</v>
      </c>
      <c r="E284" s="3321">
        <f>E53+1000000</f>
        <v>3000000</v>
      </c>
      <c r="F284" s="3340">
        <f>E284-[81]CF底稿!$E$282</f>
        <v>3000000</v>
      </c>
    </row>
    <row r="285" spans="1:6" ht="21.95" customHeight="1">
      <c r="A285" s="3334" t="s">
        <v>225</v>
      </c>
      <c r="B285" s="3335" t="s">
        <v>6713</v>
      </c>
      <c r="C285" s="3335"/>
      <c r="D285" s="3336"/>
      <c r="E285" s="3337">
        <f>E284</f>
        <v>3000000</v>
      </c>
    </row>
    <row r="286" spans="1:6" ht="21.95" customHeight="1">
      <c r="A286" s="3322" t="s">
        <v>7265</v>
      </c>
      <c r="B286" s="3323" t="s">
        <v>7033</v>
      </c>
      <c r="C286" s="3324" t="s">
        <v>7266</v>
      </c>
      <c r="D286" s="3325" t="s">
        <v>652</v>
      </c>
      <c r="E286" s="3321"/>
    </row>
    <row r="287" spans="1:6" ht="21.95" customHeight="1">
      <c r="A287" s="3326"/>
      <c r="B287" s="3323" t="s">
        <v>7033</v>
      </c>
      <c r="C287" s="3324" t="s">
        <v>7048</v>
      </c>
      <c r="D287" s="3325" t="s">
        <v>7267</v>
      </c>
      <c r="E287" s="3321">
        <f>BS!K42</f>
        <v>10464100</v>
      </c>
    </row>
    <row r="288" spans="1:6" ht="21.95" customHeight="1">
      <c r="A288" s="3326"/>
      <c r="B288" s="3323" t="s">
        <v>7038</v>
      </c>
      <c r="C288" s="3324" t="s">
        <v>7268</v>
      </c>
      <c r="D288" s="3325" t="s">
        <v>652</v>
      </c>
      <c r="E288" s="3321"/>
    </row>
    <row r="289" spans="1:5" ht="21.95" customHeight="1">
      <c r="A289" s="3326"/>
      <c r="B289" s="3323" t="s">
        <v>7038</v>
      </c>
      <c r="C289" s="3324" t="s">
        <v>7037</v>
      </c>
      <c r="D289" s="3325" t="s">
        <v>7267</v>
      </c>
      <c r="E289" s="3321"/>
    </row>
    <row r="290" spans="1:5" ht="21.95" customHeight="1">
      <c r="A290" s="3334" t="s">
        <v>233</v>
      </c>
      <c r="B290" s="3335" t="s">
        <v>6713</v>
      </c>
      <c r="C290" s="3335"/>
      <c r="D290" s="3336"/>
      <c r="E290" s="3337">
        <f>SUMIF(B286:B289,"加",E286:E289)-SUMIF(B286:B289,"减",E286:E289)</f>
        <v>10464100</v>
      </c>
    </row>
    <row r="291" spans="1:5" ht="21.95" customHeight="1">
      <c r="A291" s="3322" t="s">
        <v>7269</v>
      </c>
      <c r="B291" s="3323" t="s">
        <v>7033</v>
      </c>
      <c r="C291" s="3324" t="s">
        <v>7270</v>
      </c>
      <c r="D291" s="3325" t="s">
        <v>7271</v>
      </c>
      <c r="E291" s="3321">
        <f>BS!K8-AJE!O59</f>
        <v>2000000</v>
      </c>
    </row>
    <row r="292" spans="1:5" ht="21.95" customHeight="1">
      <c r="A292" s="3326"/>
      <c r="B292" s="3323" t="s">
        <v>7033</v>
      </c>
      <c r="C292" s="3324" t="s">
        <v>7270</v>
      </c>
      <c r="D292" s="3325" t="s">
        <v>7272</v>
      </c>
      <c r="E292" s="3321"/>
    </row>
    <row r="293" spans="1:5" ht="21.95" customHeight="1">
      <c r="A293" s="3326"/>
      <c r="B293" s="3323" t="s">
        <v>7033</v>
      </c>
      <c r="C293" s="3324" t="s">
        <v>7270</v>
      </c>
      <c r="D293" s="3344" t="s">
        <v>550</v>
      </c>
      <c r="E293" s="3318"/>
    </row>
    <row r="294" spans="1:5" ht="21.95" customHeight="1">
      <c r="A294" s="3326"/>
      <c r="B294" s="3323" t="s">
        <v>7033</v>
      </c>
      <c r="C294" s="3324" t="s">
        <v>7270</v>
      </c>
      <c r="D294" s="3344" t="s">
        <v>554</v>
      </c>
      <c r="E294" s="3318"/>
    </row>
    <row r="295" spans="1:5" ht="21.95" customHeight="1">
      <c r="A295" s="3334" t="s">
        <v>253</v>
      </c>
      <c r="B295" s="3335" t="s">
        <v>6713</v>
      </c>
      <c r="C295" s="3335"/>
      <c r="D295" s="3336"/>
      <c r="E295" s="3337">
        <f>SUMIF(B291:B294,"加",E291:E294)-SUMIF(B291:B294,"减",E291:E294)</f>
        <v>2000000</v>
      </c>
    </row>
    <row r="296" spans="1:5" ht="21.95" customHeight="1">
      <c r="A296" s="3322" t="s">
        <v>7273</v>
      </c>
      <c r="B296" s="3323" t="s">
        <v>7033</v>
      </c>
      <c r="C296" s="3324" t="s">
        <v>7270</v>
      </c>
      <c r="D296" s="3325" t="s">
        <v>7274</v>
      </c>
      <c r="E296" s="3321"/>
    </row>
    <row r="297" spans="1:5" ht="21.95" customHeight="1">
      <c r="A297" s="3326"/>
      <c r="B297" s="3323" t="s">
        <v>7033</v>
      </c>
      <c r="C297" s="3324" t="s">
        <v>7270</v>
      </c>
      <c r="D297" s="3325" t="s">
        <v>6873</v>
      </c>
      <c r="E297" s="3321"/>
    </row>
    <row r="298" spans="1:5" ht="21.95" customHeight="1">
      <c r="A298" s="3334" t="s">
        <v>261</v>
      </c>
      <c r="B298" s="3335" t="s">
        <v>6713</v>
      </c>
      <c r="C298" s="3335"/>
      <c r="D298" s="3336"/>
      <c r="E298" s="3337">
        <f>SUMIF(B296:B297,"加",E296:E297)-SUMIF(B296:B297,"减",E296:E297)</f>
        <v>0</v>
      </c>
    </row>
    <row r="299" spans="1:5" ht="21.95" customHeight="1">
      <c r="A299" s="3322" t="s">
        <v>7275</v>
      </c>
      <c r="B299" s="3323" t="s">
        <v>7033</v>
      </c>
      <c r="C299" s="3324" t="s">
        <v>7276</v>
      </c>
      <c r="D299" s="3325" t="s">
        <v>5258</v>
      </c>
      <c r="E299" s="3321"/>
    </row>
    <row r="300" spans="1:5" ht="21.95" customHeight="1">
      <c r="A300" s="3326"/>
      <c r="B300" s="3323" t="s">
        <v>7033</v>
      </c>
      <c r="C300" s="3324" t="s">
        <v>7276</v>
      </c>
      <c r="D300" s="3325" t="s">
        <v>7277</v>
      </c>
      <c r="E300" s="3321"/>
    </row>
    <row r="301" spans="1:5" ht="21.95" customHeight="1">
      <c r="A301" s="3326"/>
      <c r="B301" s="3323" t="s">
        <v>7033</v>
      </c>
      <c r="C301" s="3324" t="s">
        <v>7276</v>
      </c>
      <c r="D301" s="3325" t="s">
        <v>7278</v>
      </c>
      <c r="E301" s="3321"/>
    </row>
    <row r="302" spans="1:5" ht="23.25" customHeight="1">
      <c r="A302" s="3326"/>
      <c r="B302" s="3323" t="s">
        <v>7038</v>
      </c>
      <c r="C302" s="3324" t="s">
        <v>7270</v>
      </c>
      <c r="D302" s="3325" t="s">
        <v>7278</v>
      </c>
      <c r="E302" s="3321"/>
    </row>
    <row r="303" spans="1:5" ht="23.25" customHeight="1">
      <c r="A303" s="3326"/>
      <c r="B303" s="3323" t="s">
        <v>7033</v>
      </c>
      <c r="C303" s="3324" t="s">
        <v>7276</v>
      </c>
      <c r="D303" s="3344" t="s">
        <v>550</v>
      </c>
      <c r="E303" s="3318"/>
    </row>
    <row r="304" spans="1:5" ht="23.25" customHeight="1">
      <c r="A304" s="3326"/>
      <c r="B304" s="3323" t="s">
        <v>7033</v>
      </c>
      <c r="C304" s="3324" t="s">
        <v>7276</v>
      </c>
      <c r="D304" s="3344" t="s">
        <v>554</v>
      </c>
      <c r="E304" s="3318"/>
    </row>
    <row r="305" spans="1:5" ht="21.95" customHeight="1">
      <c r="A305" s="3334" t="s">
        <v>269</v>
      </c>
      <c r="B305" s="3335" t="s">
        <v>6713</v>
      </c>
      <c r="C305" s="3335"/>
      <c r="D305" s="3336"/>
      <c r="E305" s="3337">
        <f>SUMIF(B299:B304,"加",E299:E304)-SUMIF(B299:B304,"减",E299:E304)</f>
        <v>0</v>
      </c>
    </row>
    <row r="306" spans="1:5" ht="21.95" customHeight="1">
      <c r="A306" s="3322" t="s">
        <v>7279</v>
      </c>
      <c r="B306" s="3323" t="s">
        <v>7033</v>
      </c>
      <c r="C306" s="3324" t="s">
        <v>7276</v>
      </c>
      <c r="D306" s="3325" t="s">
        <v>7280</v>
      </c>
      <c r="E306" s="3321">
        <f>E287</f>
        <v>10464100</v>
      </c>
    </row>
    <row r="307" spans="1:5" ht="21.95" customHeight="1">
      <c r="A307" s="3326"/>
      <c r="B307" s="3323" t="s">
        <v>7033</v>
      </c>
      <c r="C307" s="3324" t="s">
        <v>7035</v>
      </c>
      <c r="D307" s="3325" t="s">
        <v>7281</v>
      </c>
      <c r="E307" s="3321">
        <f>E186</f>
        <v>35573.339999999997</v>
      </c>
    </row>
    <row r="308" spans="1:5" ht="21.95" customHeight="1">
      <c r="A308" s="3326"/>
      <c r="B308" s="3323" t="s">
        <v>7033</v>
      </c>
      <c r="C308" s="3324" t="s">
        <v>7037</v>
      </c>
      <c r="D308" s="3325" t="s">
        <v>7282</v>
      </c>
      <c r="E308" s="3321"/>
    </row>
    <row r="309" spans="1:5" ht="21.95" customHeight="1">
      <c r="A309" s="3326"/>
      <c r="B309" s="3323" t="s">
        <v>7038</v>
      </c>
      <c r="C309" s="3324" t="s">
        <v>7048</v>
      </c>
      <c r="D309" s="3325" t="s">
        <v>7282</v>
      </c>
      <c r="E309" s="3321"/>
    </row>
    <row r="310" spans="1:5" ht="21.95" customHeight="1">
      <c r="A310" s="3334" t="s">
        <v>2262</v>
      </c>
      <c r="B310" s="3335" t="s">
        <v>6713</v>
      </c>
      <c r="C310" s="3335"/>
      <c r="D310" s="3336"/>
      <c r="E310" s="3337">
        <f>SUMIF(B306:B309,"加",E306:E309)-SUMIF(B306:B309,"减",E306:E309)</f>
        <v>10499673.34</v>
      </c>
    </row>
    <row r="311" spans="1:5" ht="21.95" customHeight="1">
      <c r="A311" s="3322" t="s">
        <v>7283</v>
      </c>
      <c r="B311" s="3323" t="s">
        <v>7033</v>
      </c>
      <c r="C311" s="3324" t="s">
        <v>7035</v>
      </c>
      <c r="D311" s="3325" t="s">
        <v>7284</v>
      </c>
      <c r="E311" s="3321"/>
    </row>
    <row r="312" spans="1:5" ht="21.95" customHeight="1">
      <c r="A312" s="3326"/>
      <c r="B312" s="3323" t="s">
        <v>7033</v>
      </c>
      <c r="C312" s="3324" t="s">
        <v>7276</v>
      </c>
      <c r="D312" s="3325" t="s">
        <v>7285</v>
      </c>
      <c r="E312" s="3321"/>
    </row>
    <row r="313" spans="1:5" ht="21.95" customHeight="1">
      <c r="A313" s="3326"/>
      <c r="B313" s="3323" t="s">
        <v>7033</v>
      </c>
      <c r="C313" s="3324" t="s">
        <v>7276</v>
      </c>
      <c r="D313" s="3325" t="s">
        <v>6873</v>
      </c>
      <c r="E313" s="3321"/>
    </row>
    <row r="314" spans="1:5" ht="21.95" customHeight="1">
      <c r="A314" s="3334" t="s">
        <v>300</v>
      </c>
      <c r="B314" s="3335" t="s">
        <v>6713</v>
      </c>
      <c r="C314" s="3335"/>
      <c r="D314" s="3336"/>
      <c r="E314" s="3337">
        <f>SUMIF(B311:B313,"加",E311:E313)-SUMIF(B311:B313,"减",E311:E313)</f>
        <v>0</v>
      </c>
    </row>
    <row r="315" spans="1:5" ht="18" customHeight="1">
      <c r="A315" s="3328"/>
    </row>
    <row r="316" spans="1:5" ht="18" customHeight="1">
      <c r="E316" s="3355"/>
    </row>
  </sheetData>
  <autoFilter ref="A5:E314"/>
  <mergeCells count="2">
    <mergeCell ref="A1:E1"/>
    <mergeCell ref="A2:E2"/>
  </mergeCells>
  <phoneticPr fontId="163" type="noConversion"/>
  <pageMargins left="0.7" right="0.7" top="0.75" bottom="0.75" header="0.3" footer="0.3"/>
  <pageSetup orientation="portrait" horizontalDpi="200" verticalDpi="200" copies="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U877"/>
  <sheetViews>
    <sheetView showZeros="0" topLeftCell="D752" workbookViewId="0">
      <selection activeCell="H6245" sqref="H6245"/>
    </sheetView>
  </sheetViews>
  <sheetFormatPr defaultColWidth="9.140625" defaultRowHeight="12"/>
  <cols>
    <col min="1" max="3" width="9.140625" style="1651" hidden="1" customWidth="1"/>
    <col min="4" max="4" width="5.28515625" style="855" customWidth="1"/>
    <col min="5" max="5" width="30.7109375" style="1" customWidth="1"/>
    <col min="6" max="13" width="14.7109375" style="1" customWidth="1"/>
    <col min="14" max="20" width="9.140625" style="1"/>
    <col min="21" max="21" width="14.7109375" style="1" customWidth="1"/>
    <col min="22" max="16384" width="9.140625" style="1"/>
  </cols>
  <sheetData>
    <row r="1" spans="1:21" s="854" customFormat="1" ht="0.75" customHeight="1">
      <c r="A1" s="1647"/>
      <c r="B1" s="1647"/>
      <c r="C1" s="1647"/>
      <c r="D1" s="856"/>
      <c r="E1" s="856"/>
      <c r="F1" s="856"/>
      <c r="G1" s="856" t="str">
        <f ca="1">MID(CELL("filename",A1), FIND("]",CELL("filename",A1))+1,255)</f>
        <v>TB</v>
      </c>
      <c r="H1" s="856"/>
      <c r="I1" s="856"/>
      <c r="J1" s="856"/>
      <c r="K1" s="856"/>
      <c r="L1" s="856"/>
      <c r="M1" s="856"/>
      <c r="N1" s="892"/>
      <c r="O1" s="892"/>
      <c r="P1" s="892"/>
      <c r="Q1" s="892"/>
    </row>
    <row r="2" spans="1:21" ht="15" customHeight="1">
      <c r="A2" s="1647"/>
      <c r="B2" s="1647"/>
      <c r="C2" s="1647"/>
      <c r="D2" s="857"/>
      <c r="E2" s="858" t="s">
        <v>2646</v>
      </c>
      <c r="F2" s="859" t="str">
        <f>Lead!$C$5</f>
        <v>福建省力菲克药业有限公司</v>
      </c>
      <c r="G2" s="860"/>
      <c r="H2" s="861"/>
      <c r="I2" s="833"/>
      <c r="J2" s="893" t="s">
        <v>2521</v>
      </c>
      <c r="K2" s="894" t="s">
        <v>2501</v>
      </c>
      <c r="L2" s="833"/>
      <c r="M2" s="833"/>
      <c r="N2" s="641"/>
      <c r="O2" s="641"/>
      <c r="P2" s="641"/>
      <c r="Q2" s="641"/>
    </row>
    <row r="3" spans="1:21" ht="15" customHeight="1">
      <c r="A3" s="1647"/>
      <c r="B3" s="1647"/>
      <c r="C3" s="1647"/>
      <c r="D3" s="857"/>
      <c r="E3" s="862" t="s">
        <v>2647</v>
      </c>
      <c r="F3" s="863" t="s">
        <v>2648</v>
      </c>
      <c r="G3" s="864"/>
      <c r="H3" s="865"/>
      <c r="I3" s="895" t="s">
        <v>2649</v>
      </c>
      <c r="J3" s="896" t="str">
        <f>Lead!$E$9</f>
        <v>孙健</v>
      </c>
      <c r="K3" s="897">
        <f>Lead!$F$9</f>
        <v>43864</v>
      </c>
      <c r="L3" s="858" t="s">
        <v>2650</v>
      </c>
      <c r="M3" s="2744"/>
      <c r="N3" s="641"/>
      <c r="O3" s="641"/>
      <c r="P3" s="641"/>
      <c r="Q3" s="641"/>
    </row>
    <row r="4" spans="1:21" ht="15" customHeight="1">
      <c r="A4" s="1647"/>
      <c r="B4" s="1647"/>
      <c r="C4" s="1647"/>
      <c r="D4" s="857"/>
      <c r="E4" s="862" t="s">
        <v>2651</v>
      </c>
      <c r="F4" s="866">
        <f>Lead!$F$5</f>
        <v>43830</v>
      </c>
      <c r="G4" s="864"/>
      <c r="H4" s="865"/>
      <c r="I4" s="895" t="s">
        <v>2652</v>
      </c>
      <c r="J4" s="896">
        <f>Lead!$E$10</f>
        <v>0</v>
      </c>
      <c r="K4" s="898">
        <f>Lead!$F$10</f>
        <v>0</v>
      </c>
      <c r="L4" s="858" t="s">
        <v>2653</v>
      </c>
      <c r="M4" s="899"/>
      <c r="N4" s="641"/>
      <c r="O4" s="641"/>
      <c r="P4" s="641"/>
      <c r="Q4" s="641"/>
    </row>
    <row r="5" spans="1:21" s="854" customFormat="1" ht="0.75" customHeight="1">
      <c r="A5" s="1647"/>
      <c r="B5" s="1647"/>
      <c r="C5" s="1647"/>
      <c r="D5" s="856"/>
      <c r="E5" s="867"/>
      <c r="F5" s="868"/>
      <c r="G5" s="869"/>
      <c r="H5" s="870"/>
      <c r="I5" s="900"/>
      <c r="J5" s="901"/>
      <c r="K5" s="902"/>
      <c r="L5" s="903"/>
      <c r="M5" s="869"/>
      <c r="N5" s="892"/>
      <c r="O5" s="892"/>
      <c r="P5" s="892"/>
      <c r="Q5" s="892"/>
    </row>
    <row r="6" spans="1:21" ht="17.25" customHeight="1" thickBot="1">
      <c r="A6" s="1647"/>
      <c r="B6" s="1647"/>
      <c r="C6" s="1647"/>
      <c r="D6" s="871"/>
      <c r="E6" s="872"/>
      <c r="F6" s="873" t="s">
        <v>2437</v>
      </c>
      <c r="G6" s="874" t="s">
        <v>2437</v>
      </c>
      <c r="H6" s="875" t="s">
        <v>2437</v>
      </c>
      <c r="I6" s="642" t="s">
        <v>2437</v>
      </c>
      <c r="J6" s="904" t="s">
        <v>2444</v>
      </c>
      <c r="K6" s="905" t="s">
        <v>2444</v>
      </c>
      <c r="L6" s="642" t="s">
        <v>2444</v>
      </c>
      <c r="M6" s="642" t="s">
        <v>2444</v>
      </c>
      <c r="N6" s="641"/>
      <c r="O6" s="641"/>
      <c r="P6" s="641"/>
      <c r="Q6" s="641"/>
      <c r="T6" s="3054"/>
      <c r="U6" s="1647" t="s">
        <v>6796</v>
      </c>
    </row>
    <row r="7" spans="1:21" ht="12.75" thickTop="1">
      <c r="A7" s="1647"/>
      <c r="B7" s="1647"/>
      <c r="C7" s="1647"/>
      <c r="D7" s="876"/>
      <c r="E7" s="877"/>
      <c r="F7" s="878" t="s">
        <v>2437</v>
      </c>
      <c r="G7" s="879"/>
      <c r="H7" s="879"/>
      <c r="I7" s="906"/>
      <c r="J7" s="907" t="s">
        <v>2444</v>
      </c>
      <c r="K7" s="908"/>
      <c r="L7" s="908"/>
      <c r="M7" s="909"/>
      <c r="N7" s="641"/>
      <c r="O7" s="641"/>
      <c r="P7" s="641"/>
      <c r="Q7" s="641"/>
      <c r="T7" s="3055"/>
      <c r="U7" s="906"/>
    </row>
    <row r="8" spans="1:21">
      <c r="A8" s="1647" t="s">
        <v>4</v>
      </c>
      <c r="B8" s="1647" t="s">
        <v>3</v>
      </c>
      <c r="C8" s="1647" t="s">
        <v>9</v>
      </c>
      <c r="D8" s="880" t="s">
        <v>1</v>
      </c>
      <c r="E8" s="881" t="s">
        <v>1476</v>
      </c>
      <c r="F8" s="882" t="s">
        <v>2654</v>
      </c>
      <c r="G8" s="882" t="s">
        <v>2655</v>
      </c>
      <c r="H8" s="882" t="s">
        <v>2656</v>
      </c>
      <c r="I8" s="910" t="s">
        <v>2657</v>
      </c>
      <c r="J8" s="911" t="s">
        <v>2654</v>
      </c>
      <c r="K8" s="912" t="s">
        <v>2655</v>
      </c>
      <c r="L8" s="912" t="s">
        <v>2656</v>
      </c>
      <c r="M8" s="912" t="s">
        <v>2657</v>
      </c>
      <c r="N8" s="641"/>
      <c r="O8" s="641"/>
      <c r="P8" s="641"/>
      <c r="Q8" s="641"/>
      <c r="T8" s="880" t="s">
        <v>1</v>
      </c>
      <c r="U8" s="3062" t="s">
        <v>2657</v>
      </c>
    </row>
    <row r="9" spans="1:21" ht="18">
      <c r="A9" s="1648" t="str">
        <f t="shared" ref="A9:A92" si="0">VLOOKUP($D9,Sheet_Items,4,0)</f>
        <v>：</v>
      </c>
      <c r="B9" s="1647">
        <f t="shared" ref="B9:B92" si="1">VLOOKUP($D9,Sheet_Items,3,0)</f>
        <v>0</v>
      </c>
      <c r="C9" s="1647">
        <f t="shared" ref="C9:C92" si="2">VLOOKUP($D9,Sheet_Items,9,0)</f>
        <v>0</v>
      </c>
      <c r="D9" s="1659">
        <v>1</v>
      </c>
      <c r="E9" s="883" t="str">
        <f t="shared" ref="E9:E92" si="3">VLOOKUP($D9,Sheet_Items,2,0)</f>
        <v>资产负债表</v>
      </c>
      <c r="F9" s="884"/>
      <c r="G9" s="885"/>
      <c r="H9" s="885"/>
      <c r="I9" s="913"/>
      <c r="J9" s="914"/>
      <c r="K9" s="885"/>
      <c r="L9" s="885"/>
      <c r="M9" s="891"/>
      <c r="N9" s="641"/>
      <c r="O9" s="641"/>
      <c r="P9" s="641"/>
      <c r="Q9" s="641"/>
      <c r="T9" s="3056">
        <v>1</v>
      </c>
      <c r="U9" s="3063"/>
    </row>
    <row r="10" spans="1:21" ht="18">
      <c r="A10" s="1648" t="str">
        <f t="shared" si="0"/>
        <v>：</v>
      </c>
      <c r="B10" s="1647">
        <f t="shared" si="1"/>
        <v>0</v>
      </c>
      <c r="C10" s="1647">
        <f t="shared" si="2"/>
        <v>0</v>
      </c>
      <c r="D10" s="1659">
        <v>1000</v>
      </c>
      <c r="E10" s="886" t="str">
        <f t="shared" si="3"/>
        <v>流动资产项目</v>
      </c>
      <c r="F10" s="884"/>
      <c r="G10" s="885"/>
      <c r="H10" s="885"/>
      <c r="I10" s="913"/>
      <c r="J10" s="914"/>
      <c r="K10" s="885"/>
      <c r="L10" s="885"/>
      <c r="M10" s="891"/>
      <c r="N10" s="641"/>
      <c r="O10" s="641"/>
      <c r="P10" s="641"/>
      <c r="Q10" s="641"/>
      <c r="T10" s="3056">
        <v>1000</v>
      </c>
      <c r="U10" s="3063"/>
    </row>
    <row r="11" spans="1:21" ht="18">
      <c r="A11" s="1648">
        <f t="shared" si="0"/>
        <v>0</v>
      </c>
      <c r="B11" s="1647">
        <f t="shared" si="1"/>
        <v>1</v>
      </c>
      <c r="C11" s="1647" t="str">
        <f t="shared" si="2"/>
        <v>J</v>
      </c>
      <c r="D11" s="1659">
        <v>1015</v>
      </c>
      <c r="E11" s="886" t="str">
        <f t="shared" si="3"/>
        <v>货币资金</v>
      </c>
      <c r="F11" s="884">
        <f t="shared" ref="F11:F62" si="4">VLOOKUP($D11,Sheet_Prebs1,4,0)</f>
        <v>479304.95</v>
      </c>
      <c r="G11" s="885">
        <f>SUMIF(AJE!$B:$B,$C11&amp;$D11&amp;"*",AJE!$O:$O)</f>
        <v>0</v>
      </c>
      <c r="H11" s="885">
        <f>SUMIF(AJE!$B:$B,$C11&amp;$D11&amp;"*",AJE!$P:$P)</f>
        <v>0</v>
      </c>
      <c r="I11" s="913">
        <f>($B11*F11+G11-H11)*$B11</f>
        <v>479304.95</v>
      </c>
      <c r="J11" s="914">
        <f t="shared" ref="J11:J62" si="5">VLOOKUP($D11,Sheet_Prebs1,5,0)</f>
        <v>252723.84</v>
      </c>
      <c r="K11" s="885">
        <f>SUMIF('AJE1'!$B:$B,$C11&amp;$D11&amp;"*",'AJE1'!$O:$O)</f>
        <v>0</v>
      </c>
      <c r="L11" s="885">
        <f>SUMIF('AJE1'!$B:$B,$C11&amp;$D11&amp;"*",'AJE1'!$P:$P)</f>
        <v>0</v>
      </c>
      <c r="M11" s="891">
        <f t="shared" ref="M11:M62" si="6">($B11*J11+K11-L11)*$B11</f>
        <v>252723.84</v>
      </c>
      <c r="N11" s="641"/>
      <c r="O11" s="641"/>
      <c r="P11" s="641"/>
      <c r="Q11" s="641"/>
      <c r="T11" s="3056">
        <v>1015</v>
      </c>
      <c r="U11" s="3063">
        <v>252723.84</v>
      </c>
    </row>
    <row r="12" spans="1:21" ht="18">
      <c r="A12" s="1648" t="str">
        <f t="shared" si="0"/>
        <v>△</v>
      </c>
      <c r="B12" s="1647">
        <f t="shared" si="1"/>
        <v>1</v>
      </c>
      <c r="C12" s="1647" t="str">
        <f t="shared" si="2"/>
        <v>J</v>
      </c>
      <c r="D12" s="1659">
        <v>1021</v>
      </c>
      <c r="E12" s="886" t="str">
        <f t="shared" si="3"/>
        <v>结算备付金</v>
      </c>
      <c r="F12" s="884">
        <f t="shared" si="4"/>
        <v>0</v>
      </c>
      <c r="G12" s="885">
        <f>SUMIF(AJE!$B:$B,$C12&amp;$D12&amp;"*",AJE!$O:$O)</f>
        <v>0</v>
      </c>
      <c r="H12" s="885">
        <f>SUMIF(AJE!$B:$B,$C12&amp;$D12&amp;"*",AJE!$P:$P)</f>
        <v>0</v>
      </c>
      <c r="I12" s="913">
        <f t="shared" ref="I12:I34" si="7">(B12*F12+G12-H12)*B12</f>
        <v>0</v>
      </c>
      <c r="J12" s="914">
        <f t="shared" si="5"/>
        <v>0</v>
      </c>
      <c r="K12" s="885">
        <f>SUMIF('AJE1'!$B:$B,$C12&amp;$D12&amp;"*",'AJE1'!$O:$O)</f>
        <v>0</v>
      </c>
      <c r="L12" s="885">
        <f>SUMIF('AJE1'!$B:$B,$C12&amp;$D12&amp;"*",'AJE1'!$P:$P)</f>
        <v>0</v>
      </c>
      <c r="M12" s="891">
        <f t="shared" si="6"/>
        <v>0</v>
      </c>
      <c r="N12" s="641"/>
      <c r="O12" s="641"/>
      <c r="P12" s="641"/>
      <c r="Q12" s="641"/>
      <c r="T12" s="3056">
        <v>1021</v>
      </c>
      <c r="U12" s="3063">
        <v>0</v>
      </c>
    </row>
    <row r="13" spans="1:21" ht="18">
      <c r="A13" s="1648" t="str">
        <f t="shared" si="0"/>
        <v>△</v>
      </c>
      <c r="B13" s="1647">
        <f t="shared" si="1"/>
        <v>1</v>
      </c>
      <c r="C13" s="1647" t="str">
        <f t="shared" si="2"/>
        <v>J</v>
      </c>
      <c r="D13" s="1659">
        <v>1302</v>
      </c>
      <c r="E13" s="886" t="str">
        <f t="shared" si="3"/>
        <v>拆出资金</v>
      </c>
      <c r="F13" s="884">
        <f t="shared" si="4"/>
        <v>0</v>
      </c>
      <c r="G13" s="885">
        <f>SUMIF(AJE!$B:$B,$C13&amp;$D13&amp;"*",AJE!$O:$O)</f>
        <v>0</v>
      </c>
      <c r="H13" s="885">
        <f>SUMIF(AJE!$B:$B,$C13&amp;$D13&amp;"*",AJE!$P:$P)</f>
        <v>0</v>
      </c>
      <c r="I13" s="913">
        <f t="shared" si="7"/>
        <v>0</v>
      </c>
      <c r="J13" s="914">
        <f t="shared" si="5"/>
        <v>0</v>
      </c>
      <c r="K13" s="885">
        <f>SUMIF('AJE1'!$B:$B,$C13&amp;$D13&amp;"*",'AJE1'!$O:$O)</f>
        <v>0</v>
      </c>
      <c r="L13" s="885">
        <f>SUMIF('AJE1'!$B:$B,$C13&amp;$D13&amp;"*",'AJE1'!$P:$P)</f>
        <v>0</v>
      </c>
      <c r="M13" s="891">
        <f t="shared" si="6"/>
        <v>0</v>
      </c>
      <c r="N13" s="641"/>
      <c r="O13" s="641"/>
      <c r="P13" s="641"/>
      <c r="Q13" s="641"/>
      <c r="T13" s="3056">
        <v>1302</v>
      </c>
      <c r="U13" s="3063">
        <v>0</v>
      </c>
    </row>
    <row r="14" spans="1:21" ht="18">
      <c r="A14" s="1648" t="str">
        <f>VLOOKUP($D14,Sheet_Items,4,0)</f>
        <v>_JR</v>
      </c>
      <c r="B14" s="1647">
        <f>VLOOKUP($D14,Sheet_Items,3,0)</f>
        <v>1</v>
      </c>
      <c r="C14" s="1647" t="str">
        <f>VLOOKUP($D14,Sheet_Items,9,0)</f>
        <v>J</v>
      </c>
      <c r="D14" s="1659">
        <v>1102</v>
      </c>
      <c r="E14" s="887" t="str">
        <f>VLOOKUP($D14,Sheet_Items,2,0)</f>
        <v>交易性金融资产</v>
      </c>
      <c r="F14" s="884">
        <f t="shared" si="4"/>
        <v>0</v>
      </c>
      <c r="G14" s="885">
        <f>SUMIF(AJE!$B:$B,$C14&amp;$D14&amp;"*",AJE!$O:$O)</f>
        <v>0</v>
      </c>
      <c r="H14" s="885">
        <f>SUMIF(AJE!$B:$B,$C14&amp;$D14&amp;"*",AJE!$P:$P)</f>
        <v>0</v>
      </c>
      <c r="I14" s="913">
        <f>($B14*F14+G14-H14)*$B14</f>
        <v>0</v>
      </c>
      <c r="J14" s="914">
        <f t="shared" si="5"/>
        <v>0</v>
      </c>
      <c r="K14" s="885">
        <f>SUMIF('AJE1'!$B:$B,$C14&amp;$D14&amp;"*",'AJE1'!$O:$O)</f>
        <v>0</v>
      </c>
      <c r="L14" s="885">
        <f>SUMIF('AJE1'!$B:$B,$C14&amp;$D14&amp;"*",'AJE1'!$P:$P)</f>
        <v>0</v>
      </c>
      <c r="M14" s="891">
        <f t="shared" ref="M14" si="8">($B14*J14+K14-L14)*$B14</f>
        <v>0</v>
      </c>
      <c r="N14" s="641"/>
      <c r="O14" s="641"/>
      <c r="P14" s="641"/>
      <c r="Q14" s="641"/>
      <c r="T14" s="3056">
        <v>1101</v>
      </c>
      <c r="U14" s="3063">
        <v>0</v>
      </c>
    </row>
    <row r="15" spans="1:21" ht="25.5">
      <c r="A15" s="1648" t="str">
        <f t="shared" si="0"/>
        <v>JRH</v>
      </c>
      <c r="B15" s="1647">
        <f t="shared" si="1"/>
        <v>1</v>
      </c>
      <c r="C15" s="1647" t="str">
        <f t="shared" si="2"/>
        <v>J</v>
      </c>
      <c r="D15" s="1659">
        <v>1101</v>
      </c>
      <c r="E15" s="886" t="str">
        <f t="shared" si="3"/>
        <v>以公允价值计量且其变动计入当期损益的金融资产</v>
      </c>
      <c r="F15" s="884">
        <f t="shared" si="4"/>
        <v>0</v>
      </c>
      <c r="G15" s="885">
        <f>SUMIF(AJE!$B:$B,$C15&amp;$D15&amp;"*",AJE!$O:$O)</f>
        <v>0</v>
      </c>
      <c r="H15" s="885">
        <f>SUMIF(AJE!$B:$B,$C15&amp;$D15&amp;"*",AJE!$P:$P)</f>
        <v>0</v>
      </c>
      <c r="I15" s="913">
        <f t="shared" si="7"/>
        <v>0</v>
      </c>
      <c r="J15" s="914">
        <f t="shared" si="5"/>
        <v>0</v>
      </c>
      <c r="K15" s="885">
        <f>SUMIF('AJE1'!$B:$B,$C15&amp;$D15&amp;"*",'AJE1'!$O:$O)</f>
        <v>0</v>
      </c>
      <c r="L15" s="885">
        <f>SUMIF('AJE1'!$B:$B,$C15&amp;$D15&amp;"*",'AJE1'!$P:$P)</f>
        <v>0</v>
      </c>
      <c r="M15" s="891">
        <f t="shared" si="6"/>
        <v>0</v>
      </c>
      <c r="N15" s="641"/>
      <c r="O15" s="641"/>
      <c r="P15" s="641"/>
      <c r="Q15" s="641"/>
      <c r="T15" s="3056">
        <v>1115</v>
      </c>
      <c r="U15" s="3063">
        <v>0</v>
      </c>
    </row>
    <row r="16" spans="1:21" ht="18">
      <c r="A16" s="1648" t="str">
        <f t="shared" si="0"/>
        <v>Ｘ</v>
      </c>
      <c r="B16" s="1647">
        <f t="shared" si="1"/>
        <v>1</v>
      </c>
      <c r="C16" s="1647" t="str">
        <f t="shared" si="2"/>
        <v>J</v>
      </c>
      <c r="D16" s="1659">
        <v>1115</v>
      </c>
      <c r="E16" s="886" t="str">
        <f t="shared" si="3"/>
        <v>衍生金融资产</v>
      </c>
      <c r="F16" s="884">
        <f>IF(ISERROR(VLOOKUP($D16,Sheet_Prebs1,4,0)),0,VLOOKUP($D16,Sheet_Prebs1,4,0))</f>
        <v>0</v>
      </c>
      <c r="G16" s="885">
        <f>SUMIF(AJE!$B:$B,$C16&amp;$D16&amp;"*",AJE!$O:$O)</f>
        <v>0</v>
      </c>
      <c r="H16" s="885">
        <f>SUMIF(AJE!$B:$B,$C16&amp;$D16&amp;"*",AJE!$P:$P)</f>
        <v>0</v>
      </c>
      <c r="I16" s="913">
        <f t="shared" si="7"/>
        <v>0</v>
      </c>
      <c r="J16" s="914">
        <f>IF(ISERROR(VLOOKUP($D16,Sheet_Prebs1,5,0)),0,VLOOKUP($D16,Sheet_Prebs1,5,0))</f>
        <v>0</v>
      </c>
      <c r="K16" s="885">
        <f>SUMIF('AJE1'!$B:$B,$C16&amp;$D16&amp;"*",'AJE1'!$O:$O)</f>
        <v>0</v>
      </c>
      <c r="L16" s="885">
        <f>SUMIF('AJE1'!$B:$B,$C16&amp;$D16&amp;"*",'AJE1'!$P:$P)</f>
        <v>0</v>
      </c>
      <c r="M16" s="891">
        <f t="shared" si="6"/>
        <v>0</v>
      </c>
      <c r="N16" s="641"/>
      <c r="O16" s="641"/>
      <c r="P16" s="641"/>
      <c r="Q16" s="641"/>
      <c r="T16" s="3056">
        <v>1123</v>
      </c>
      <c r="U16" s="3063">
        <v>15914214.57</v>
      </c>
    </row>
    <row r="17" spans="1:21" ht="18">
      <c r="A17" s="1648" t="str">
        <f>VLOOKUP($D17,Sheet_Items,4,0)</f>
        <v>DEL</v>
      </c>
      <c r="B17" s="1647">
        <f>VLOOKUP($D17,Sheet_Items,3,0)</f>
        <v>1</v>
      </c>
      <c r="C17" s="1647">
        <f>VLOOKUP($D17,Sheet_Items,9,0)</f>
        <v>0</v>
      </c>
      <c r="D17" s="1659">
        <v>1123</v>
      </c>
      <c r="E17" s="886" t="str">
        <f>VLOOKUP($D17,Sheet_Items,2,0)</f>
        <v>应收票据及应收账款</v>
      </c>
      <c r="F17" s="884">
        <f>SUM(F18:F19)</f>
        <v>17534070.530000001</v>
      </c>
      <c r="G17" s="885">
        <f>SUMIF(AJE!$B:$B,$C17&amp;$D17&amp;"*",AJE!$O:$O)+SUMIF(AJE!$B:$B,"J1121*",AJE!$O:$O)+SUMIF(AJE!$B:$B,"J1122*",AJE!$O:$O)</f>
        <v>0</v>
      </c>
      <c r="H17" s="885">
        <f>SUMIF(AJE!$B:$B,$C17&amp;$D17&amp;"*",AJE!$P:$P)+SUMIF(AJE!$B:$B,"J1121*",AJE!$P:$P)+SUMIF(AJE!$B:$B,"J1122*",AJE!$P:$P)</f>
        <v>2051950.25</v>
      </c>
      <c r="I17" s="913">
        <f>($B17*F17+G17-H17)*$B17</f>
        <v>15482120.279999999</v>
      </c>
      <c r="J17" s="914">
        <f>SUM(J18:J19)</f>
        <v>15914214.57</v>
      </c>
      <c r="K17" s="885">
        <f>SUMIF('AJE1'!$B:$B,$C17&amp;$D17&amp;"*",'AJE1'!$O:$O)+SUMIF('AJE1'!$B:$B,"J1121*",'AJE1'!$O:$O)+SUMIF('AJE1'!$B:$B,"J1122*",'AJE1'!$O:$O)</f>
        <v>0</v>
      </c>
      <c r="L17" s="885">
        <f>SUMIF('AJE1'!$B:$B,$C17&amp;$D17&amp;"*",'AJE1'!$P:$P)+SUMIF('AJE1'!$B:$B,"J1121*",'AJE1'!$P:$P)+SUMIF('AJE1'!$B:$B,"J1122*",'AJE1'!$P:$P)</f>
        <v>0</v>
      </c>
      <c r="M17" s="891">
        <f t="shared" si="6"/>
        <v>15914214.57</v>
      </c>
      <c r="N17" s="641"/>
      <c r="O17" s="641"/>
      <c r="P17" s="641"/>
      <c r="Q17" s="641"/>
      <c r="T17" s="3056">
        <v>1121</v>
      </c>
      <c r="U17" s="3063">
        <v>0</v>
      </c>
    </row>
    <row r="18" spans="1:21" ht="18">
      <c r="A18" s="1648">
        <f t="shared" si="0"/>
        <v>0</v>
      </c>
      <c r="B18" s="1647">
        <f t="shared" si="1"/>
        <v>1</v>
      </c>
      <c r="C18" s="1647" t="str">
        <f t="shared" si="2"/>
        <v>J</v>
      </c>
      <c r="D18" s="1659">
        <v>1121</v>
      </c>
      <c r="E18" s="886" t="str">
        <f t="shared" si="3"/>
        <v>应收票据</v>
      </c>
      <c r="F18" s="884">
        <f t="shared" si="4"/>
        <v>0</v>
      </c>
      <c r="G18" s="885">
        <f>SUMIF(AJE!$B:$B,$C18&amp;$D18&amp;"*",AJE!$O:$O)</f>
        <v>0</v>
      </c>
      <c r="H18" s="885">
        <f>SUMIF(AJE!$B:$B,$C18&amp;$D18&amp;"*",AJE!$P:$P)</f>
        <v>0</v>
      </c>
      <c r="I18" s="913">
        <f t="shared" si="7"/>
        <v>0</v>
      </c>
      <c r="J18" s="914">
        <f t="shared" si="5"/>
        <v>0</v>
      </c>
      <c r="K18" s="885">
        <f>SUMIF('AJE1'!$B:$B,$C18&amp;$D18&amp;"*",'AJE1'!$O:$O)</f>
        <v>0</v>
      </c>
      <c r="L18" s="885">
        <f>SUMIF('AJE1'!$B:$B,$C18&amp;$D18&amp;"*",'AJE1'!$P:$P)</f>
        <v>0</v>
      </c>
      <c r="M18" s="891">
        <f t="shared" si="6"/>
        <v>0</v>
      </c>
      <c r="N18" s="641"/>
      <c r="O18" s="641"/>
      <c r="P18" s="641"/>
      <c r="Q18" s="641"/>
      <c r="T18" s="3056">
        <v>1122</v>
      </c>
      <c r="U18" s="3063">
        <v>15914214.57</v>
      </c>
    </row>
    <row r="19" spans="1:21" ht="18">
      <c r="A19" s="1648">
        <f t="shared" si="0"/>
        <v>0</v>
      </c>
      <c r="B19" s="1647">
        <f t="shared" si="1"/>
        <v>1</v>
      </c>
      <c r="C19" s="1647" t="str">
        <f t="shared" si="2"/>
        <v>J</v>
      </c>
      <c r="D19" s="1659">
        <v>1122</v>
      </c>
      <c r="E19" s="886" t="str">
        <f t="shared" si="3"/>
        <v>应收账款</v>
      </c>
      <c r="F19" s="884">
        <f t="shared" si="4"/>
        <v>17534070.530000001</v>
      </c>
      <c r="G19" s="885">
        <f>SUMIF(AJE!$B:$B,$C19&amp;$D19&amp;"*",AJE!$O:$O)</f>
        <v>0</v>
      </c>
      <c r="H19" s="885">
        <f>SUMIF(AJE!$B:$B,$C19&amp;$D19&amp;"*",AJE!$P:$P)</f>
        <v>2051950.25</v>
      </c>
      <c r="I19" s="913">
        <f t="shared" si="7"/>
        <v>15482120.279999999</v>
      </c>
      <c r="J19" s="914">
        <f t="shared" si="5"/>
        <v>15914214.57</v>
      </c>
      <c r="K19" s="885">
        <f>SUMIF('AJE1'!$B:$B,$C19&amp;$D19&amp;"*",'AJE1'!$O:$O)</f>
        <v>0</v>
      </c>
      <c r="L19" s="885">
        <f>SUMIF('AJE1'!$B:$B,$C19&amp;$D19&amp;"*",'AJE1'!$P:$P)</f>
        <v>0</v>
      </c>
      <c r="M19" s="891">
        <f t="shared" si="6"/>
        <v>15914214.57</v>
      </c>
      <c r="N19" s="641"/>
      <c r="O19" s="641"/>
      <c r="P19" s="641"/>
      <c r="Q19" s="641"/>
      <c r="T19" s="3056">
        <v>1125</v>
      </c>
      <c r="U19" s="3063">
        <v>916036.19</v>
      </c>
    </row>
    <row r="20" spans="1:21" ht="18">
      <c r="A20" s="1648" t="str">
        <f>VLOOKUP($D20,Sheet_Items,4,0)</f>
        <v>_JR</v>
      </c>
      <c r="B20" s="1647">
        <f>VLOOKUP($D20,Sheet_Items,3,0)</f>
        <v>1</v>
      </c>
      <c r="C20" s="1647" t="str">
        <f>VLOOKUP($D20,Sheet_Items,9,0)</f>
        <v>J</v>
      </c>
      <c r="D20" s="1659">
        <v>1124</v>
      </c>
      <c r="E20" s="887" t="str">
        <f>VLOOKUP($D20,Sheet_Items,2,0)</f>
        <v>应收款项融资</v>
      </c>
      <c r="F20" s="884">
        <f t="shared" si="4"/>
        <v>0</v>
      </c>
      <c r="G20" s="885">
        <f>SUMIF(AJE!$B:$B,$C20&amp;$D20&amp;"*",AJE!$O:$O)</f>
        <v>279569.36</v>
      </c>
      <c r="H20" s="885">
        <f>SUMIF(AJE!$B:$B,$C20&amp;$D20&amp;"*",AJE!$P:$P)</f>
        <v>0</v>
      </c>
      <c r="I20" s="913">
        <f>($B20*F20+G20-H20)*$B20</f>
        <v>279569.36</v>
      </c>
      <c r="J20" s="914">
        <f t="shared" si="5"/>
        <v>0</v>
      </c>
      <c r="K20" s="885">
        <f>SUMIF('AJE1'!$B:$B,$C20&amp;$D20&amp;"*",'AJE1'!$O:$O)</f>
        <v>0</v>
      </c>
      <c r="L20" s="885">
        <f>SUMIF('AJE1'!$B:$B,$C20&amp;$D20&amp;"*",'AJE1'!$P:$P)</f>
        <v>0</v>
      </c>
      <c r="M20" s="891">
        <f t="shared" ref="M20" si="9">($B20*J20+K20-L20)*$B20</f>
        <v>0</v>
      </c>
      <c r="N20" s="641"/>
      <c r="O20" s="641"/>
      <c r="P20" s="641"/>
      <c r="Q20" s="641"/>
      <c r="T20" s="3056">
        <v>1127</v>
      </c>
      <c r="U20" s="3063">
        <v>0</v>
      </c>
    </row>
    <row r="21" spans="1:21" ht="18">
      <c r="A21" s="1648">
        <f t="shared" si="0"/>
        <v>0</v>
      </c>
      <c r="B21" s="1647">
        <f t="shared" si="1"/>
        <v>1</v>
      </c>
      <c r="C21" s="1647" t="str">
        <f t="shared" si="2"/>
        <v>J</v>
      </c>
      <c r="D21" s="1659">
        <v>1125</v>
      </c>
      <c r="E21" s="886" t="str">
        <f t="shared" si="3"/>
        <v>预付款项</v>
      </c>
      <c r="F21" s="884">
        <f t="shared" si="4"/>
        <v>815153.11</v>
      </c>
      <c r="G21" s="885">
        <f>SUMIF(AJE!$B:$B,$C21&amp;$D21&amp;"*",AJE!$O:$O)</f>
        <v>0</v>
      </c>
      <c r="H21" s="885">
        <f>SUMIF(AJE!$B:$B,$C21&amp;$D21&amp;"*",AJE!$P:$P)</f>
        <v>0</v>
      </c>
      <c r="I21" s="913">
        <f t="shared" si="7"/>
        <v>815153.11</v>
      </c>
      <c r="J21" s="914">
        <f t="shared" si="5"/>
        <v>916036.19</v>
      </c>
      <c r="K21" s="885">
        <f>SUMIF('AJE1'!$B:$B,$C21&amp;$D21&amp;"*",'AJE1'!$O:$O)</f>
        <v>0</v>
      </c>
      <c r="L21" s="885">
        <f>SUMIF('AJE1'!$B:$B,$C21&amp;$D21&amp;"*",'AJE1'!$P:$P)</f>
        <v>0</v>
      </c>
      <c r="M21" s="891">
        <f t="shared" si="6"/>
        <v>916036.19</v>
      </c>
      <c r="N21" s="641"/>
      <c r="O21" s="641"/>
      <c r="P21" s="641"/>
      <c r="Q21" s="641"/>
      <c r="T21" s="3056">
        <v>1211</v>
      </c>
      <c r="U21" s="3063">
        <v>0</v>
      </c>
    </row>
    <row r="22" spans="1:21" ht="18">
      <c r="A22" s="1648" t="str">
        <f t="shared" si="0"/>
        <v>△</v>
      </c>
      <c r="B22" s="1647">
        <f t="shared" si="1"/>
        <v>1</v>
      </c>
      <c r="C22" s="1647" t="str">
        <f t="shared" si="2"/>
        <v>J</v>
      </c>
      <c r="D22" s="1659">
        <v>1127</v>
      </c>
      <c r="E22" s="886" t="str">
        <f t="shared" si="3"/>
        <v>应收保费</v>
      </c>
      <c r="F22" s="884">
        <f t="shared" si="4"/>
        <v>0</v>
      </c>
      <c r="G22" s="885">
        <f>SUMIF(AJE!$B:$B,$C22&amp;$D22&amp;"*",AJE!$O:$O)</f>
        <v>0</v>
      </c>
      <c r="H22" s="885">
        <f>SUMIF(AJE!$B:$B,$C22&amp;$D22&amp;"*",AJE!$P:$P)</f>
        <v>0</v>
      </c>
      <c r="I22" s="913">
        <f t="shared" si="7"/>
        <v>0</v>
      </c>
      <c r="J22" s="914">
        <f t="shared" si="5"/>
        <v>0</v>
      </c>
      <c r="K22" s="885">
        <f>SUMIF('AJE1'!$B:$B,$C22&amp;$D22&amp;"*",'AJE1'!$O:$O)</f>
        <v>0</v>
      </c>
      <c r="L22" s="885">
        <f>SUMIF('AJE1'!$B:$B,$C22&amp;$D22&amp;"*",'AJE1'!$P:$P)</f>
        <v>0</v>
      </c>
      <c r="M22" s="891">
        <f t="shared" si="6"/>
        <v>0</v>
      </c>
      <c r="N22" s="641"/>
      <c r="O22" s="641"/>
      <c r="P22" s="641"/>
      <c r="Q22" s="641"/>
      <c r="T22" s="3056">
        <v>1212</v>
      </c>
      <c r="U22" s="3063">
        <v>0</v>
      </c>
    </row>
    <row r="23" spans="1:21" ht="18">
      <c r="A23" s="1648" t="str">
        <f t="shared" si="0"/>
        <v>△</v>
      </c>
      <c r="B23" s="1647">
        <f t="shared" si="1"/>
        <v>1</v>
      </c>
      <c r="C23" s="1647" t="str">
        <f t="shared" si="2"/>
        <v>J</v>
      </c>
      <c r="D23" s="1659">
        <v>1211</v>
      </c>
      <c r="E23" s="886" t="str">
        <f t="shared" si="3"/>
        <v>应收分保账款</v>
      </c>
      <c r="F23" s="884">
        <f t="shared" si="4"/>
        <v>0</v>
      </c>
      <c r="G23" s="885">
        <f>SUMIF(AJE!$B:$B,$C23&amp;$D23&amp;"*",AJE!$O:$O)</f>
        <v>0</v>
      </c>
      <c r="H23" s="885">
        <f>SUMIF(AJE!$B:$B,$C23&amp;$D23&amp;"*",AJE!$P:$P)</f>
        <v>0</v>
      </c>
      <c r="I23" s="913">
        <f t="shared" si="7"/>
        <v>0</v>
      </c>
      <c r="J23" s="914">
        <f t="shared" si="5"/>
        <v>0</v>
      </c>
      <c r="K23" s="885">
        <f>SUMIF('AJE1'!$B:$B,$C23&amp;$D23&amp;"*",'AJE1'!$O:$O)</f>
        <v>0</v>
      </c>
      <c r="L23" s="885">
        <f>SUMIF('AJE1'!$B:$B,$C23&amp;$D23&amp;"*",'AJE1'!$P:$P)</f>
        <v>0</v>
      </c>
      <c r="M23" s="891">
        <f t="shared" si="6"/>
        <v>0</v>
      </c>
      <c r="N23" s="641"/>
      <c r="O23" s="641"/>
      <c r="P23" s="641"/>
      <c r="Q23" s="641"/>
      <c r="T23" s="3056">
        <v>1220</v>
      </c>
      <c r="U23" s="3063">
        <v>328019.46999999997</v>
      </c>
    </row>
    <row r="24" spans="1:21" ht="18">
      <c r="A24" s="1648" t="str">
        <f t="shared" si="0"/>
        <v>△</v>
      </c>
      <c r="B24" s="1647">
        <f t="shared" si="1"/>
        <v>1</v>
      </c>
      <c r="C24" s="1647" t="str">
        <f t="shared" si="2"/>
        <v>J</v>
      </c>
      <c r="D24" s="1659">
        <v>1212</v>
      </c>
      <c r="E24" s="886" t="str">
        <f t="shared" si="3"/>
        <v>应收分保合同准备金</v>
      </c>
      <c r="F24" s="884">
        <f t="shared" si="4"/>
        <v>0</v>
      </c>
      <c r="G24" s="885">
        <f>SUMIF(AJE!$B:$B,$C24&amp;$D24&amp;"*",AJE!$O:$O)</f>
        <v>0</v>
      </c>
      <c r="H24" s="885">
        <f>SUMIF(AJE!$B:$B,$C24&amp;$D24&amp;"*",AJE!$P:$P)</f>
        <v>0</v>
      </c>
      <c r="I24" s="913">
        <f t="shared" si="7"/>
        <v>0</v>
      </c>
      <c r="J24" s="914">
        <f t="shared" si="5"/>
        <v>0</v>
      </c>
      <c r="K24" s="885">
        <f>SUMIF('AJE1'!$B:$B,$C24&amp;$D24&amp;"*",'AJE1'!$O:$O)</f>
        <v>0</v>
      </c>
      <c r="L24" s="885">
        <f>SUMIF('AJE1'!$B:$B,$C24&amp;$D24&amp;"*",'AJE1'!$P:$P)</f>
        <v>0</v>
      </c>
      <c r="M24" s="891">
        <f t="shared" si="6"/>
        <v>0</v>
      </c>
      <c r="N24" s="641"/>
      <c r="O24" s="641"/>
      <c r="P24" s="641"/>
      <c r="Q24" s="641"/>
      <c r="T24" s="3056">
        <v>1132</v>
      </c>
      <c r="U24" s="3063">
        <v>0</v>
      </c>
    </row>
    <row r="25" spans="1:21" ht="18">
      <c r="A25" s="1648">
        <f>VLOOKUP($D25,Sheet_Items,4,0)</f>
        <v>0</v>
      </c>
      <c r="B25" s="1647">
        <f>VLOOKUP($D25,Sheet_Items,3,0)</f>
        <v>1</v>
      </c>
      <c r="C25" s="1647">
        <f>VLOOKUP($D25,Sheet_Items,9,0)</f>
        <v>0</v>
      </c>
      <c r="D25" s="1659">
        <v>1220</v>
      </c>
      <c r="E25" s="886" t="str">
        <f>VLOOKUP($D25,Sheet_Items,2,0)</f>
        <v>其他应收款（报表项目）</v>
      </c>
      <c r="F25" s="884">
        <f t="shared" si="4"/>
        <v>2179355.77</v>
      </c>
      <c r="G25" s="885">
        <f>SUMIF(AJE!$B:$B,"J1221*",AJE!$O:$O)+SUMIF(AJE!$B:$B,"J1132*",AJE!$O:$O)+SUMIF(AJE!$B:$B,"J1131*",AJE!$O:$O)</f>
        <v>0</v>
      </c>
      <c r="H25" s="885">
        <f>SUMIF(AJE!$B:$B,"J1221*",AJE!$P:$P)+SUMIF(AJE!$B:$B,"J1132*",AJE!$P:$P)+SUMIF(AJE!$B:$B,"J1131*",AJE!$P:$P)</f>
        <v>-28791.439999999999</v>
      </c>
      <c r="I25" s="913">
        <f>($B25*F25+G25-H25)*$B25</f>
        <v>2208147.21</v>
      </c>
      <c r="J25" s="914">
        <f t="shared" si="5"/>
        <v>328019.46999999997</v>
      </c>
      <c r="K25" s="885">
        <f>SUMIF('AJE1'!$B:$B,"J1221*",'AJE1'!$O:$O)+SUMIF('AJE1'!$B:$B,"J1132*",'AJE1'!$O:$O)+SUMIF('AJE1'!$B:$B,"J1131*",'AJE1'!$O:$O)</f>
        <v>0</v>
      </c>
      <c r="L25" s="885">
        <f>SUMIF('AJE1'!$B:$B,"J1221*",'AJE1'!$P:$P)+SUMIF('AJE1'!$B:$B,"J1132*",'AJE1'!$P:$P)+SUMIF('AJE1'!$B:$B,"J1131*",'AJE1'!$P:$P)</f>
        <v>0</v>
      </c>
      <c r="M25" s="891">
        <f t="shared" si="6"/>
        <v>328019.46999999997</v>
      </c>
      <c r="N25" s="641"/>
      <c r="O25" s="641"/>
      <c r="P25" s="641"/>
      <c r="Q25" s="641"/>
      <c r="T25" s="3056">
        <v>1131</v>
      </c>
      <c r="U25" s="3063">
        <v>0</v>
      </c>
    </row>
    <row r="26" spans="1:21" ht="18">
      <c r="A26" s="1648">
        <f t="shared" si="0"/>
        <v>0</v>
      </c>
      <c r="B26" s="1647">
        <f t="shared" si="1"/>
        <v>1</v>
      </c>
      <c r="C26" s="1647" t="str">
        <f t="shared" si="2"/>
        <v>J</v>
      </c>
      <c r="D26" s="1659">
        <v>1132</v>
      </c>
      <c r="E26" s="2185" t="str">
        <f t="shared" si="3"/>
        <v>应收利息</v>
      </c>
      <c r="F26" s="884">
        <f t="shared" si="4"/>
        <v>0</v>
      </c>
      <c r="G26" s="885">
        <f>SUMIF(AJE!$B:$B,$C26&amp;$D26&amp;"*",AJE!$O:$O)</f>
        <v>0</v>
      </c>
      <c r="H26" s="885">
        <f>SUMIF(AJE!$B:$B,$C26&amp;$D26&amp;"*",AJE!$P:$P)</f>
        <v>0</v>
      </c>
      <c r="I26" s="913">
        <f t="shared" si="7"/>
        <v>0</v>
      </c>
      <c r="J26" s="914">
        <f t="shared" si="5"/>
        <v>0</v>
      </c>
      <c r="K26" s="885">
        <f>SUMIF('AJE1'!$B:$B,$C26&amp;$D26&amp;"*",'AJE1'!$O:$O)</f>
        <v>0</v>
      </c>
      <c r="L26" s="885">
        <f>SUMIF('AJE1'!$B:$B,$C26&amp;$D26&amp;"*",'AJE1'!$P:$P)</f>
        <v>0</v>
      </c>
      <c r="M26" s="891">
        <f t="shared" si="6"/>
        <v>0</v>
      </c>
      <c r="N26" s="641"/>
      <c r="O26" s="641"/>
      <c r="P26" s="641"/>
      <c r="Q26" s="641"/>
      <c r="T26" s="3056">
        <v>1221</v>
      </c>
      <c r="U26" s="3063">
        <v>328019.46999999997</v>
      </c>
    </row>
    <row r="27" spans="1:21" ht="18">
      <c r="A27" s="1648">
        <f t="shared" si="0"/>
        <v>0</v>
      </c>
      <c r="B27" s="1647">
        <f t="shared" si="1"/>
        <v>1</v>
      </c>
      <c r="C27" s="1647" t="str">
        <f t="shared" si="2"/>
        <v>J</v>
      </c>
      <c r="D27" s="1659">
        <v>1131</v>
      </c>
      <c r="E27" s="2185" t="str">
        <f t="shared" si="3"/>
        <v>应收股利</v>
      </c>
      <c r="F27" s="884">
        <f t="shared" si="4"/>
        <v>0</v>
      </c>
      <c r="G27" s="885">
        <f>SUMIF(AJE!$B:$B,$C27&amp;$D27&amp;"*",AJE!$O:$O)</f>
        <v>0</v>
      </c>
      <c r="H27" s="885">
        <f>SUMIF(AJE!$B:$B,$C27&amp;$D27&amp;"*",AJE!$P:$P)</f>
        <v>0</v>
      </c>
      <c r="I27" s="913">
        <f t="shared" si="7"/>
        <v>0</v>
      </c>
      <c r="J27" s="914">
        <f t="shared" si="5"/>
        <v>0</v>
      </c>
      <c r="K27" s="885">
        <f>SUMIF('AJE1'!$B:$B,$C27&amp;$D27&amp;"*",'AJE1'!$O:$O)</f>
        <v>0</v>
      </c>
      <c r="L27" s="885">
        <f>SUMIF('AJE1'!$B:$B,$C27&amp;$D27&amp;"*",'AJE1'!$P:$P)</f>
        <v>0</v>
      </c>
      <c r="M27" s="891">
        <f t="shared" si="6"/>
        <v>0</v>
      </c>
      <c r="N27" s="641"/>
      <c r="O27" s="641"/>
      <c r="P27" s="641"/>
      <c r="Q27" s="641"/>
      <c r="T27" s="3056">
        <v>1111</v>
      </c>
      <c r="U27" s="3063">
        <v>0</v>
      </c>
    </row>
    <row r="28" spans="1:21" ht="18">
      <c r="A28" s="1648">
        <f t="shared" si="0"/>
        <v>0</v>
      </c>
      <c r="B28" s="1647">
        <f t="shared" si="1"/>
        <v>1</v>
      </c>
      <c r="C28" s="1647" t="str">
        <f t="shared" si="2"/>
        <v>J</v>
      </c>
      <c r="D28" s="1659">
        <v>1221</v>
      </c>
      <c r="E28" s="2185" t="str">
        <f t="shared" si="3"/>
        <v>其他应收款</v>
      </c>
      <c r="F28" s="884">
        <f t="shared" si="4"/>
        <v>2179355.77</v>
      </c>
      <c r="G28" s="885">
        <f>SUMIF(AJE!$B:$B,$C28&amp;$D28&amp;"*",AJE!$O:$O)</f>
        <v>0</v>
      </c>
      <c r="H28" s="885">
        <f>SUMIF(AJE!$B:$B,$C28&amp;$D28&amp;"*",AJE!$P:$P)</f>
        <v>-28791.439999999999</v>
      </c>
      <c r="I28" s="913">
        <f t="shared" si="7"/>
        <v>2208147.21</v>
      </c>
      <c r="J28" s="914">
        <f t="shared" si="5"/>
        <v>328019.46999999997</v>
      </c>
      <c r="K28" s="885">
        <f>SUMIF('AJE1'!$B:$B,$C28&amp;$D28&amp;"*",'AJE1'!$O:$O)</f>
        <v>0</v>
      </c>
      <c r="L28" s="885">
        <f>SUMIF('AJE1'!$B:$B,$C28&amp;$D28&amp;"*",'AJE1'!$P:$P)</f>
        <v>0</v>
      </c>
      <c r="M28" s="891">
        <f t="shared" si="6"/>
        <v>328019.46999999997</v>
      </c>
      <c r="N28" s="641"/>
      <c r="O28" s="641"/>
      <c r="P28" s="641"/>
      <c r="Q28" s="641"/>
      <c r="T28" s="3056">
        <v>1400</v>
      </c>
      <c r="U28" s="3063">
        <v>12739599.279999999</v>
      </c>
    </row>
    <row r="29" spans="1:21" ht="18">
      <c r="A29" s="1648" t="str">
        <f t="shared" si="0"/>
        <v>△</v>
      </c>
      <c r="B29" s="1647">
        <f t="shared" si="1"/>
        <v>1</v>
      </c>
      <c r="C29" s="1647" t="str">
        <f t="shared" si="2"/>
        <v>J</v>
      </c>
      <c r="D29" s="1659">
        <v>1111</v>
      </c>
      <c r="E29" s="886" t="str">
        <f t="shared" si="3"/>
        <v>买入返售金融资产</v>
      </c>
      <c r="F29" s="884">
        <f t="shared" si="4"/>
        <v>0</v>
      </c>
      <c r="G29" s="885">
        <f>SUMIF(AJE!$B:$B,$C29&amp;$D29&amp;"*",AJE!$O:$O)</f>
        <v>0</v>
      </c>
      <c r="H29" s="885">
        <f>SUMIF(AJE!$B:$B,$C29&amp;$D29&amp;"*",AJE!$P:$P)</f>
        <v>0</v>
      </c>
      <c r="I29" s="913">
        <f t="shared" si="7"/>
        <v>0</v>
      </c>
      <c r="J29" s="914">
        <f t="shared" si="5"/>
        <v>0</v>
      </c>
      <c r="K29" s="885">
        <f>SUMIF('AJE1'!$B:$B,$C29&amp;$D29&amp;"*",'AJE1'!$O:$O)</f>
        <v>0</v>
      </c>
      <c r="L29" s="885">
        <f>SUMIF('AJE1'!$B:$B,$C29&amp;$D29&amp;"*",'AJE1'!$P:$P)</f>
        <v>0</v>
      </c>
      <c r="M29" s="891">
        <f t="shared" si="6"/>
        <v>0</v>
      </c>
      <c r="N29" s="641"/>
      <c r="O29" s="641"/>
      <c r="P29" s="641"/>
      <c r="Q29" s="641"/>
      <c r="T29" s="3056">
        <v>1315</v>
      </c>
      <c r="U29" s="3063">
        <v>0</v>
      </c>
    </row>
    <row r="30" spans="1:21" ht="18">
      <c r="A30" s="1648">
        <f t="shared" si="0"/>
        <v>0</v>
      </c>
      <c r="B30" s="1647">
        <f t="shared" si="1"/>
        <v>1</v>
      </c>
      <c r="C30" s="1647" t="str">
        <f t="shared" si="2"/>
        <v>J</v>
      </c>
      <c r="D30" s="1659">
        <v>1400</v>
      </c>
      <c r="E30" s="888" t="str">
        <f t="shared" si="3"/>
        <v>存货</v>
      </c>
      <c r="F30" s="884">
        <f t="shared" si="4"/>
        <v>14225246.289999999</v>
      </c>
      <c r="G30" s="885">
        <f>SUMIF(AJE!$B:$B,$C30&amp;$D30&amp;"*",AJE!$O:$O)</f>
        <v>0</v>
      </c>
      <c r="H30" s="885">
        <f>SUMIF(AJE!$B:$B,$C30&amp;$D30&amp;"*",AJE!$P:$P)</f>
        <v>245676.38</v>
      </c>
      <c r="I30" s="913">
        <f t="shared" si="7"/>
        <v>13979569.91</v>
      </c>
      <c r="J30" s="914">
        <f t="shared" si="5"/>
        <v>12739599.279999999</v>
      </c>
      <c r="K30" s="885">
        <f>SUMIF('AJE1'!$B:$B,$C30&amp;$D30&amp;"*",'AJE1'!$O:$O)</f>
        <v>0</v>
      </c>
      <c r="L30" s="885">
        <f>SUMIF('AJE1'!$B:$B,$C30&amp;$D30&amp;"*",'AJE1'!$P:$P)</f>
        <v>0</v>
      </c>
      <c r="M30" s="891">
        <f t="shared" si="6"/>
        <v>12739599.279999999</v>
      </c>
      <c r="N30" s="641"/>
      <c r="O30" s="641"/>
      <c r="P30" s="641"/>
      <c r="Q30" s="641"/>
      <c r="T30" s="3056">
        <v>1495</v>
      </c>
      <c r="U30" s="3063">
        <v>0</v>
      </c>
    </row>
    <row r="31" spans="1:21" ht="18">
      <c r="A31" s="1648" t="str">
        <f>VLOOKUP($D31,Sheet_Items,4,0)</f>
        <v>_SR</v>
      </c>
      <c r="B31" s="1647">
        <f>VLOOKUP($D31,Sheet_Items,3,0)</f>
        <v>1</v>
      </c>
      <c r="C31" s="1647" t="str">
        <f>VLOOKUP($D31,Sheet_Items,9,0)</f>
        <v>J</v>
      </c>
      <c r="D31" s="1659">
        <v>1313</v>
      </c>
      <c r="E31" s="889" t="str">
        <f>VLOOKUP($D31,Sheet_Items,2,0)</f>
        <v>合同资产</v>
      </c>
      <c r="F31" s="884">
        <f t="shared" si="4"/>
        <v>0</v>
      </c>
      <c r="G31" s="885">
        <f>SUMIF(AJE!$B:$B,$C31&amp;$D31&amp;"*",AJE!$O:$O)</f>
        <v>0</v>
      </c>
      <c r="H31" s="885">
        <f>SUMIF(AJE!$B:$B,$C31&amp;$D31&amp;"*",AJE!$P:$P)</f>
        <v>0</v>
      </c>
      <c r="I31" s="913">
        <f>($B31*F31+G31-H31)*$B31</f>
        <v>0</v>
      </c>
      <c r="J31" s="914">
        <f t="shared" si="5"/>
        <v>0</v>
      </c>
      <c r="K31" s="885">
        <f>SUMIF('AJE1'!$B:$B,$C31&amp;$D31&amp;"*",'AJE1'!$O:$O)</f>
        <v>0</v>
      </c>
      <c r="L31" s="885">
        <f>SUMIF('AJE1'!$B:$B,$C31&amp;$D31&amp;"*",'AJE1'!$P:$P)</f>
        <v>0</v>
      </c>
      <c r="M31" s="891">
        <f t="shared" ref="M31:M32" si="10">($B31*J31+K31-L31)*$B31</f>
        <v>0</v>
      </c>
      <c r="N31" s="641"/>
      <c r="O31" s="641"/>
      <c r="P31" s="641"/>
      <c r="Q31" s="641"/>
      <c r="T31" s="3056">
        <v>1496</v>
      </c>
      <c r="U31" s="3063">
        <v>2233000.7799999998</v>
      </c>
    </row>
    <row r="32" spans="1:21" ht="18">
      <c r="A32" s="1648" t="str">
        <f t="shared" si="0"/>
        <v>Ｘ</v>
      </c>
      <c r="B32" s="1647">
        <f t="shared" si="1"/>
        <v>1</v>
      </c>
      <c r="C32" s="1647" t="str">
        <f t="shared" si="2"/>
        <v>J</v>
      </c>
      <c r="D32" s="1659">
        <v>1315</v>
      </c>
      <c r="E32" s="888" t="str">
        <f t="shared" si="3"/>
        <v>持有待售资产</v>
      </c>
      <c r="F32" s="884">
        <f>IF(ISERROR(VLOOKUP($D32,Sheet_Prebs1,4,0)),0,VLOOKUP($D32,Sheet_Prebs1,4,0))</f>
        <v>0</v>
      </c>
      <c r="G32" s="885">
        <f>SUMIF(AJE!$B:$B,$C32&amp;$D32&amp;"*",AJE!$O:$O)</f>
        <v>0</v>
      </c>
      <c r="H32" s="885">
        <f>SUMIF(AJE!$B:$B,$C32&amp;$D32&amp;"*",AJE!$P:$P)</f>
        <v>0</v>
      </c>
      <c r="I32" s="913">
        <f>(B32*F32+G32-H32)*B32</f>
        <v>0</v>
      </c>
      <c r="J32" s="914">
        <f>IF(ISERROR(VLOOKUP($D32,Sheet_Prebs1,5,0)),0,VLOOKUP($D32,Sheet_Prebs1,5,0))</f>
        <v>0</v>
      </c>
      <c r="K32" s="885">
        <f>SUMIF('AJE1'!$B:$B,$C32&amp;$D32&amp;"*",'AJE1'!$O:$O)</f>
        <v>0</v>
      </c>
      <c r="L32" s="885">
        <f>SUMIF('AJE1'!$B:$B,$C32&amp;$D32&amp;"*",'AJE1'!$P:$P)</f>
        <v>0</v>
      </c>
      <c r="M32" s="891">
        <f t="shared" si="10"/>
        <v>0</v>
      </c>
      <c r="N32" s="641"/>
      <c r="O32" s="641"/>
      <c r="P32" s="641"/>
      <c r="Q32" s="641"/>
      <c r="T32" s="3056">
        <v>1498</v>
      </c>
      <c r="U32" s="3063">
        <v>32383594.129999999</v>
      </c>
    </row>
    <row r="33" spans="1:21" ht="18">
      <c r="A33" s="1648">
        <f t="shared" si="0"/>
        <v>0</v>
      </c>
      <c r="B33" s="1647">
        <f t="shared" si="1"/>
        <v>1</v>
      </c>
      <c r="C33" s="1647" t="str">
        <f t="shared" si="2"/>
        <v>J</v>
      </c>
      <c r="D33" s="1659">
        <v>1495</v>
      </c>
      <c r="E33" s="888" t="str">
        <f t="shared" si="3"/>
        <v>一年内到期的非流动资产</v>
      </c>
      <c r="F33" s="884">
        <f t="shared" si="4"/>
        <v>0</v>
      </c>
      <c r="G33" s="885">
        <f>SUMIF(AJE!$B:$B,$C33&amp;$D33&amp;"*",AJE!$O:$O)</f>
        <v>0</v>
      </c>
      <c r="H33" s="885">
        <f>SUMIF(AJE!$B:$B,$C33&amp;$D33&amp;"*",AJE!$P:$P)</f>
        <v>0</v>
      </c>
      <c r="I33" s="913">
        <f t="shared" si="7"/>
        <v>0</v>
      </c>
      <c r="J33" s="914">
        <f t="shared" si="5"/>
        <v>0</v>
      </c>
      <c r="K33" s="885">
        <f>SUMIF('AJE1'!$B:$B,$C33&amp;$D33&amp;"*",'AJE1'!$O:$O)</f>
        <v>0</v>
      </c>
      <c r="L33" s="885">
        <f>SUMIF('AJE1'!$B:$B,$C33&amp;$D33&amp;"*",'AJE1'!$P:$P)</f>
        <v>0</v>
      </c>
      <c r="M33" s="891">
        <f t="shared" si="6"/>
        <v>0</v>
      </c>
      <c r="N33" s="641"/>
      <c r="O33" s="641"/>
      <c r="P33" s="641"/>
      <c r="Q33" s="641"/>
      <c r="T33" s="3056">
        <v>1500</v>
      </c>
      <c r="U33" s="3063"/>
    </row>
    <row r="34" spans="1:21" ht="18">
      <c r="A34" s="1648">
        <f t="shared" si="0"/>
        <v>0</v>
      </c>
      <c r="B34" s="1647">
        <f t="shared" si="1"/>
        <v>1</v>
      </c>
      <c r="C34" s="1647" t="str">
        <f t="shared" si="2"/>
        <v>J</v>
      </c>
      <c r="D34" s="1659">
        <v>1496</v>
      </c>
      <c r="E34" s="888" t="str">
        <f t="shared" si="3"/>
        <v>其他流动资产</v>
      </c>
      <c r="F34" s="884">
        <f t="shared" si="4"/>
        <v>2835344.41</v>
      </c>
      <c r="G34" s="885">
        <f>SUMIF(AJE!$B:$B,$C34&amp;$D34&amp;"*",AJE!$O:$O)</f>
        <v>0</v>
      </c>
      <c r="H34" s="885">
        <f>SUMIF(AJE!$B:$B,$C34&amp;$D34&amp;"*",AJE!$P:$P)</f>
        <v>1144921.04</v>
      </c>
      <c r="I34" s="913">
        <f t="shared" si="7"/>
        <v>1690423.37</v>
      </c>
      <c r="J34" s="914">
        <f t="shared" si="5"/>
        <v>2233000.7799999998</v>
      </c>
      <c r="K34" s="885">
        <f>SUMIF('AJE1'!$B:$B,$C34&amp;$D34&amp;"*",'AJE1'!$O:$O)</f>
        <v>0</v>
      </c>
      <c r="L34" s="885">
        <f>SUMIF('AJE1'!$B:$B,$C34&amp;$D34&amp;"*",'AJE1'!$P:$P)</f>
        <v>0</v>
      </c>
      <c r="M34" s="891">
        <f t="shared" si="6"/>
        <v>2233000.7799999998</v>
      </c>
      <c r="N34" s="641"/>
      <c r="O34" s="641"/>
      <c r="P34" s="641"/>
      <c r="Q34" s="641"/>
      <c r="T34" s="3056">
        <v>1600</v>
      </c>
      <c r="U34" s="3063">
        <v>0</v>
      </c>
    </row>
    <row r="35" spans="1:21" ht="18">
      <c r="A35" s="1648" t="str">
        <f t="shared" si="0"/>
        <v>＝</v>
      </c>
      <c r="B35" s="1647">
        <f t="shared" si="1"/>
        <v>0</v>
      </c>
      <c r="C35" s="1647">
        <f t="shared" si="2"/>
        <v>0</v>
      </c>
      <c r="D35" s="1659">
        <v>1498</v>
      </c>
      <c r="E35" s="888" t="str">
        <f t="shared" si="3"/>
        <v>流动资产</v>
      </c>
      <c r="F35" s="884">
        <f>SUM(F11:F34)-SUM(F17,F26,F27,F28)</f>
        <v>38068475.060000002</v>
      </c>
      <c r="G35" s="885">
        <f t="shared" ref="G35:M35" si="11">SUM(G11:G34)-SUM(G17,G26,G27,G28)</f>
        <v>279569.36</v>
      </c>
      <c r="H35" s="885">
        <f t="shared" si="11"/>
        <v>3413756.23</v>
      </c>
      <c r="I35" s="913">
        <f t="shared" si="11"/>
        <v>34934288.189999998</v>
      </c>
      <c r="J35" s="914">
        <f t="shared" si="11"/>
        <v>32383594.129999999</v>
      </c>
      <c r="K35" s="885">
        <f t="shared" si="11"/>
        <v>0</v>
      </c>
      <c r="L35" s="885">
        <f t="shared" si="11"/>
        <v>0</v>
      </c>
      <c r="M35" s="891">
        <f t="shared" si="11"/>
        <v>32383594.129999999</v>
      </c>
      <c r="N35" s="641"/>
      <c r="O35" s="641"/>
      <c r="P35" s="641"/>
      <c r="Q35" s="641"/>
      <c r="T35" s="3056">
        <v>1503</v>
      </c>
      <c r="U35" s="3063">
        <v>0</v>
      </c>
    </row>
    <row r="36" spans="1:21" ht="18">
      <c r="A36" s="1648" t="str">
        <f t="shared" si="0"/>
        <v>：</v>
      </c>
      <c r="B36" s="1647">
        <f t="shared" si="1"/>
        <v>0</v>
      </c>
      <c r="C36" s="1647">
        <f t="shared" si="2"/>
        <v>0</v>
      </c>
      <c r="D36" s="2186">
        <v>1500</v>
      </c>
      <c r="E36" s="2187" t="str">
        <f t="shared" si="3"/>
        <v>非流动资产项目</v>
      </c>
      <c r="F36" s="885"/>
      <c r="G36" s="885"/>
      <c r="H36" s="885"/>
      <c r="I36" s="913"/>
      <c r="J36" s="914"/>
      <c r="K36" s="885"/>
      <c r="L36" s="885"/>
      <c r="M36" s="891"/>
      <c r="N36" s="641"/>
      <c r="O36" s="641"/>
      <c r="P36" s="641"/>
      <c r="Q36" s="641"/>
      <c r="T36" s="3056">
        <v>1501</v>
      </c>
      <c r="U36" s="3063">
        <v>0</v>
      </c>
    </row>
    <row r="37" spans="1:21" ht="18">
      <c r="A37" s="1648" t="str">
        <f t="shared" si="0"/>
        <v>△</v>
      </c>
      <c r="B37" s="1647">
        <f t="shared" si="1"/>
        <v>1</v>
      </c>
      <c r="C37" s="1647" t="str">
        <f t="shared" si="2"/>
        <v>J</v>
      </c>
      <c r="D37" s="1659">
        <v>1600</v>
      </c>
      <c r="E37" s="888" t="str">
        <f t="shared" si="3"/>
        <v>发放贷款和垫款</v>
      </c>
      <c r="F37" s="884">
        <f t="shared" si="4"/>
        <v>0</v>
      </c>
      <c r="G37" s="885">
        <f>SUMIF(AJE!$B:$B,$C37&amp;$D37&amp;"*",AJE!$O:$O)</f>
        <v>0</v>
      </c>
      <c r="H37" s="885">
        <f>SUMIF(AJE!$B:$B,$C37&amp;$D37&amp;"*",AJE!$P:$P)</f>
        <v>0</v>
      </c>
      <c r="I37" s="913">
        <f t="shared" ref="I37:I62" si="12">(B37*F37+G37-H37)*B37</f>
        <v>0</v>
      </c>
      <c r="J37" s="914">
        <f t="shared" si="5"/>
        <v>0</v>
      </c>
      <c r="K37" s="885">
        <f>SUMIF('AJE1'!$B:$B,$C37&amp;$D37&amp;"*",'AJE1'!$O:$O)</f>
        <v>0</v>
      </c>
      <c r="L37" s="885">
        <f>SUMIF('AJE1'!$B:$B,$C37&amp;$D37&amp;"*",'AJE1'!$P:$P)</f>
        <v>0</v>
      </c>
      <c r="M37" s="891">
        <f t="shared" si="6"/>
        <v>0</v>
      </c>
      <c r="N37" s="641"/>
      <c r="O37" s="641"/>
      <c r="P37" s="641"/>
      <c r="Q37" s="641"/>
      <c r="T37" s="3056">
        <v>1531</v>
      </c>
      <c r="U37" s="3063">
        <v>0</v>
      </c>
    </row>
    <row r="38" spans="1:21" ht="18">
      <c r="A38" s="1648" t="str">
        <f>VLOOKUP($D38,Sheet_Items,4,0)</f>
        <v>_JR</v>
      </c>
      <c r="B38" s="1647">
        <f>VLOOKUP($D38,Sheet_Items,3,0)</f>
        <v>1</v>
      </c>
      <c r="C38" s="1647" t="str">
        <f>VLOOKUP($D38,Sheet_Items,9,0)</f>
        <v>J</v>
      </c>
      <c r="D38" s="1659">
        <v>1505</v>
      </c>
      <c r="E38" s="889" t="str">
        <f>VLOOKUP($D38,Sheet_Items,2,0)</f>
        <v>债权投资</v>
      </c>
      <c r="F38" s="884">
        <f t="shared" si="4"/>
        <v>0</v>
      </c>
      <c r="G38" s="885">
        <f>SUMIF(AJE!$B:$B,$C38&amp;$D38&amp;"*",AJE!$O:$O)</f>
        <v>0</v>
      </c>
      <c r="H38" s="885">
        <f>SUMIF(AJE!$B:$B,$C38&amp;$D38&amp;"*",AJE!$P:$P)</f>
        <v>0</v>
      </c>
      <c r="I38" s="913">
        <f>($B38*F38+G38-H38)*$B38</f>
        <v>0</v>
      </c>
      <c r="J38" s="914">
        <f t="shared" si="5"/>
        <v>0</v>
      </c>
      <c r="K38" s="885">
        <f>SUMIF('AJE1'!$B:$B,$C38&amp;$D38&amp;"*",'AJE1'!$O:$O)</f>
        <v>0</v>
      </c>
      <c r="L38" s="885">
        <f>SUMIF('AJE1'!$B:$B,$C38&amp;$D38&amp;"*",'AJE1'!$P:$P)</f>
        <v>0</v>
      </c>
      <c r="M38" s="891">
        <f t="shared" ref="M38" si="13">($B38*J38+K38-L38)*$B38</f>
        <v>0</v>
      </c>
      <c r="N38" s="641"/>
      <c r="O38" s="641"/>
      <c r="P38" s="641"/>
      <c r="Q38" s="641"/>
      <c r="T38" s="3056">
        <v>1515</v>
      </c>
      <c r="U38" s="3063">
        <v>0</v>
      </c>
    </row>
    <row r="39" spans="1:21" ht="18">
      <c r="A39" s="1648" t="str">
        <f t="shared" si="0"/>
        <v>JRH</v>
      </c>
      <c r="B39" s="1647">
        <f t="shared" si="1"/>
        <v>1</v>
      </c>
      <c r="C39" s="1647" t="str">
        <f t="shared" si="2"/>
        <v>J</v>
      </c>
      <c r="D39" s="1659">
        <v>1503</v>
      </c>
      <c r="E39" s="888" t="str">
        <f t="shared" si="3"/>
        <v>可供出售金融资产</v>
      </c>
      <c r="F39" s="884">
        <f t="shared" si="4"/>
        <v>0</v>
      </c>
      <c r="G39" s="885">
        <f>SUMIF(AJE!$B:$B,$C39&amp;$D39&amp;"*",AJE!$O:$O)</f>
        <v>0</v>
      </c>
      <c r="H39" s="885">
        <f>SUMIF(AJE!$B:$B,$C39&amp;$D39&amp;"*",AJE!$P:$P)</f>
        <v>0</v>
      </c>
      <c r="I39" s="913">
        <f t="shared" si="12"/>
        <v>0</v>
      </c>
      <c r="J39" s="914">
        <f t="shared" si="5"/>
        <v>0</v>
      </c>
      <c r="K39" s="885">
        <f>SUMIF('AJE1'!$B:$B,$C39&amp;$D39&amp;"*",'AJE1'!$O:$O)</f>
        <v>0</v>
      </c>
      <c r="L39" s="885">
        <f>SUMIF('AJE1'!$B:$B,$C39&amp;$D39&amp;"*",'AJE1'!$P:$P)</f>
        <v>0</v>
      </c>
      <c r="M39" s="891">
        <f t="shared" si="6"/>
        <v>0</v>
      </c>
      <c r="N39" s="641"/>
      <c r="O39" s="641"/>
      <c r="P39" s="641"/>
      <c r="Q39" s="641"/>
      <c r="T39" s="3056">
        <v>1511</v>
      </c>
      <c r="U39" s="3063">
        <v>0</v>
      </c>
    </row>
    <row r="40" spans="1:21" ht="18">
      <c r="A40" s="1648" t="str">
        <f>VLOOKUP($D40,Sheet_Items,4,0)</f>
        <v>_JR</v>
      </c>
      <c r="B40" s="1647">
        <f>VLOOKUP($D40,Sheet_Items,3,0)</f>
        <v>1</v>
      </c>
      <c r="C40" s="1647" t="str">
        <f>VLOOKUP($D40,Sheet_Items,9,0)</f>
        <v>J</v>
      </c>
      <c r="D40" s="1659">
        <v>1508</v>
      </c>
      <c r="E40" s="889" t="str">
        <f>VLOOKUP($D40,Sheet_Items,2,0)</f>
        <v>其他债权投资</v>
      </c>
      <c r="F40" s="884">
        <f t="shared" si="4"/>
        <v>0</v>
      </c>
      <c r="G40" s="885">
        <f>SUMIF(AJE!$B:$B,$C40&amp;$D40&amp;"*",AJE!$O:$O)</f>
        <v>0</v>
      </c>
      <c r="H40" s="885">
        <f>SUMIF(AJE!$B:$B,$C40&amp;$D40&amp;"*",AJE!$P:$P)</f>
        <v>0</v>
      </c>
      <c r="I40" s="913">
        <f>($B40*F40+G40-H40)*$B40</f>
        <v>0</v>
      </c>
      <c r="J40" s="914">
        <f t="shared" si="5"/>
        <v>0</v>
      </c>
      <c r="K40" s="885">
        <f>SUMIF('AJE1'!$B:$B,$C40&amp;$D40&amp;"*",'AJE1'!$O:$O)</f>
        <v>0</v>
      </c>
      <c r="L40" s="885">
        <f>SUMIF('AJE1'!$B:$B,$C40&amp;$D40&amp;"*",'AJE1'!$P:$P)</f>
        <v>0</v>
      </c>
      <c r="M40" s="891">
        <f t="shared" ref="M40" si="14">($B40*J40+K40-L40)*$B40</f>
        <v>0</v>
      </c>
      <c r="N40" s="641"/>
      <c r="O40" s="641"/>
      <c r="P40" s="641"/>
      <c r="Q40" s="641"/>
      <c r="T40" s="3056">
        <v>1521</v>
      </c>
      <c r="U40" s="3063">
        <v>0</v>
      </c>
    </row>
    <row r="41" spans="1:21" ht="18">
      <c r="A41" s="1648" t="str">
        <f t="shared" si="0"/>
        <v>JRH</v>
      </c>
      <c r="B41" s="1647">
        <f t="shared" si="1"/>
        <v>1</v>
      </c>
      <c r="C41" s="1647" t="str">
        <f t="shared" si="2"/>
        <v>J</v>
      </c>
      <c r="D41" s="1659">
        <v>1501</v>
      </c>
      <c r="E41" s="888" t="str">
        <f t="shared" si="3"/>
        <v>持有至到期投资</v>
      </c>
      <c r="F41" s="884">
        <f t="shared" si="4"/>
        <v>0</v>
      </c>
      <c r="G41" s="885">
        <f>SUMIF(AJE!$B:$B,$C41&amp;$D41&amp;"*",AJE!$O:$O)</f>
        <v>0</v>
      </c>
      <c r="H41" s="885">
        <f>SUMIF(AJE!$B:$B,$C41&amp;$D41&amp;"*",AJE!$P:$P)</f>
        <v>0</v>
      </c>
      <c r="I41" s="913">
        <f t="shared" si="12"/>
        <v>0</v>
      </c>
      <c r="J41" s="914">
        <f t="shared" si="5"/>
        <v>0</v>
      </c>
      <c r="K41" s="885">
        <f>SUMIF('AJE1'!$B:$B,$C41&amp;$D41&amp;"*",'AJE1'!$O:$O)</f>
        <v>0</v>
      </c>
      <c r="L41" s="885">
        <f>SUMIF('AJE1'!$B:$B,$C41&amp;$D41&amp;"*",'AJE1'!$P:$P)</f>
        <v>0</v>
      </c>
      <c r="M41" s="891">
        <f t="shared" si="6"/>
        <v>0</v>
      </c>
      <c r="N41" s="641"/>
      <c r="O41" s="641"/>
      <c r="P41" s="641"/>
      <c r="Q41" s="641"/>
      <c r="T41" s="3056">
        <v>1611</v>
      </c>
      <c r="U41" s="3063">
        <v>20288571.73</v>
      </c>
    </row>
    <row r="42" spans="1:21" ht="18">
      <c r="A42" s="1648">
        <f t="shared" si="0"/>
        <v>0</v>
      </c>
      <c r="B42" s="1647">
        <f t="shared" si="1"/>
        <v>1</v>
      </c>
      <c r="C42" s="1647" t="str">
        <f t="shared" si="2"/>
        <v>J</v>
      </c>
      <c r="D42" s="1659">
        <v>1531</v>
      </c>
      <c r="E42" s="888" t="str">
        <f t="shared" si="3"/>
        <v>长期应收款</v>
      </c>
      <c r="F42" s="884">
        <f t="shared" si="4"/>
        <v>0</v>
      </c>
      <c r="G42" s="885">
        <f>SUMIF(AJE!$B:$B,$C42&amp;$D42&amp;"*",AJE!$O:$O)</f>
        <v>0</v>
      </c>
      <c r="H42" s="885">
        <f>SUMIF(AJE!$B:$B,$C42&amp;$D42&amp;"*",AJE!$P:$P)</f>
        <v>0</v>
      </c>
      <c r="I42" s="913">
        <f t="shared" si="12"/>
        <v>0</v>
      </c>
      <c r="J42" s="914">
        <f t="shared" si="5"/>
        <v>0</v>
      </c>
      <c r="K42" s="885">
        <f>SUMIF('AJE1'!$B:$B,$C42&amp;$D42&amp;"*",'AJE1'!$O:$O)</f>
        <v>0</v>
      </c>
      <c r="L42" s="885">
        <f>SUMIF('AJE1'!$B:$B,$C42&amp;$D42&amp;"*",'AJE1'!$P:$P)</f>
        <v>0</v>
      </c>
      <c r="M42" s="891">
        <f t="shared" si="6"/>
        <v>0</v>
      </c>
      <c r="N42" s="641"/>
      <c r="O42" s="641"/>
      <c r="P42" s="641"/>
      <c r="Q42" s="641"/>
      <c r="T42" s="3056">
        <v>1601</v>
      </c>
      <c r="U42" s="3063">
        <v>20288571.73</v>
      </c>
    </row>
    <row r="43" spans="1:21" ht="18">
      <c r="A43" s="1648" t="str">
        <f t="shared" si="0"/>
        <v>OEI</v>
      </c>
      <c r="B43" s="1647">
        <f t="shared" si="1"/>
        <v>1</v>
      </c>
      <c r="C43" s="1647" t="str">
        <f t="shared" si="2"/>
        <v>J</v>
      </c>
      <c r="D43" s="1659">
        <v>1515</v>
      </c>
      <c r="E43" s="888" t="str">
        <f t="shared" si="3"/>
        <v>设定受益计划净资产</v>
      </c>
      <c r="F43" s="884">
        <f>IF(ISERROR(VLOOKUP($D43,Sheet_Prebs1,4,0)),0,VLOOKUP($D43,Sheet_Prebs1,4,0))</f>
        <v>0</v>
      </c>
      <c r="G43" s="885">
        <f>SUMIF(AJE!$B:$B,$C43&amp;$D43&amp;"*",AJE!$O:$O)</f>
        <v>0</v>
      </c>
      <c r="H43" s="885">
        <f>SUMIF(AJE!$B:$B,$C43&amp;$D43&amp;"*",AJE!$P:$P)</f>
        <v>0</v>
      </c>
      <c r="I43" s="913">
        <f t="shared" si="12"/>
        <v>0</v>
      </c>
      <c r="J43" s="914">
        <f>IF(ISERROR(VLOOKUP($D43,Sheet_Prebs1,5,0)),0,VLOOKUP($D43,Sheet_Prebs1,5,0))</f>
        <v>0</v>
      </c>
      <c r="K43" s="885">
        <f>SUMIF('AJE1'!$B:$B,$C43&amp;$D43&amp;"*",'AJE1'!$O:$O)</f>
        <v>0</v>
      </c>
      <c r="L43" s="885">
        <f>SUMIF('AJE1'!$B:$B,$C43&amp;$D43&amp;"*",'AJE1'!$P:$P)</f>
        <v>0</v>
      </c>
      <c r="M43" s="891">
        <f t="shared" si="6"/>
        <v>0</v>
      </c>
      <c r="N43" s="641"/>
      <c r="O43" s="641"/>
      <c r="P43" s="641"/>
      <c r="Q43" s="641"/>
      <c r="T43" s="3056">
        <v>1606</v>
      </c>
      <c r="U43" s="3063">
        <v>0</v>
      </c>
    </row>
    <row r="44" spans="1:21" ht="18">
      <c r="A44" s="1648">
        <f t="shared" si="0"/>
        <v>0</v>
      </c>
      <c r="B44" s="1647">
        <f t="shared" si="1"/>
        <v>1</v>
      </c>
      <c r="C44" s="1647" t="str">
        <f t="shared" si="2"/>
        <v>J</v>
      </c>
      <c r="D44" s="1659">
        <v>1511</v>
      </c>
      <c r="E44" s="888" t="str">
        <f t="shared" si="3"/>
        <v>长期股权投资</v>
      </c>
      <c r="F44" s="884">
        <f t="shared" si="4"/>
        <v>0</v>
      </c>
      <c r="G44" s="885">
        <f>SUMIF(AJE!$B:$B,$C44&amp;$D44&amp;"*",AJE!$O:$O)</f>
        <v>0</v>
      </c>
      <c r="H44" s="885">
        <f>SUMIF(AJE!$B:$B,$C44&amp;$D44&amp;"*",AJE!$P:$P)</f>
        <v>0</v>
      </c>
      <c r="I44" s="913">
        <f t="shared" si="12"/>
        <v>0</v>
      </c>
      <c r="J44" s="914">
        <f t="shared" si="5"/>
        <v>0</v>
      </c>
      <c r="K44" s="885">
        <f>SUMIF('AJE1'!$B:$B,$C44&amp;$D44&amp;"*",'AJE1'!$O:$O)</f>
        <v>0</v>
      </c>
      <c r="L44" s="885">
        <f>SUMIF('AJE1'!$B:$B,$C44&amp;$D44&amp;"*",'AJE1'!$P:$P)</f>
        <v>0</v>
      </c>
      <c r="M44" s="891">
        <f t="shared" si="6"/>
        <v>0</v>
      </c>
      <c r="N44" s="641"/>
      <c r="O44" s="641"/>
      <c r="P44" s="641"/>
      <c r="Q44" s="641"/>
      <c r="T44" s="3056">
        <v>1616</v>
      </c>
      <c r="U44" s="3063">
        <v>41650</v>
      </c>
    </row>
    <row r="45" spans="1:21" ht="18">
      <c r="A45" s="1648" t="str">
        <f>VLOOKUP($D45,Sheet_Items,4,0)</f>
        <v>_JR</v>
      </c>
      <c r="B45" s="1647">
        <f>VLOOKUP($D45,Sheet_Items,3,0)</f>
        <v>1</v>
      </c>
      <c r="C45" s="1647" t="str">
        <f>VLOOKUP($D45,Sheet_Items,9,0)</f>
        <v>J</v>
      </c>
      <c r="D45" s="1659">
        <v>1538</v>
      </c>
      <c r="E45" s="889" t="str">
        <f>VLOOKUP($D45,Sheet_Items,2,0)</f>
        <v>其他权益工具投资</v>
      </c>
      <c r="F45" s="884">
        <f t="shared" si="4"/>
        <v>0</v>
      </c>
      <c r="G45" s="885">
        <f>SUMIF(AJE!$B:$B,$C45&amp;$D45&amp;"*",AJE!$O:$O)</f>
        <v>0</v>
      </c>
      <c r="H45" s="885">
        <f>SUMIF(AJE!$B:$B,$C45&amp;$D45&amp;"*",AJE!$P:$P)</f>
        <v>0</v>
      </c>
      <c r="I45" s="913">
        <f>($B45*F45+G45-H45)*$B45</f>
        <v>0</v>
      </c>
      <c r="J45" s="914">
        <f t="shared" si="5"/>
        <v>0</v>
      </c>
      <c r="K45" s="885">
        <f>SUMIF('AJE1'!$B:$B,$C45&amp;$D45&amp;"*",'AJE1'!$O:$O)</f>
        <v>0</v>
      </c>
      <c r="L45" s="885">
        <f>SUMIF('AJE1'!$B:$B,$C45&amp;$D45&amp;"*",'AJE1'!$P:$P)</f>
        <v>0</v>
      </c>
      <c r="M45" s="891">
        <f t="shared" ref="M45:M46" si="15">($B45*J45+K45-L45)*$B45</f>
        <v>0</v>
      </c>
      <c r="N45" s="641"/>
      <c r="O45" s="641"/>
      <c r="P45" s="641"/>
      <c r="Q45" s="641"/>
      <c r="T45" s="3056">
        <v>1604</v>
      </c>
      <c r="U45" s="3063">
        <v>41650</v>
      </c>
    </row>
    <row r="46" spans="1:21" ht="18">
      <c r="A46" s="1648" t="str">
        <f>VLOOKUP($D46,Sheet_Items,4,0)</f>
        <v>_JR</v>
      </c>
      <c r="B46" s="1647">
        <f>VLOOKUP($D46,Sheet_Items,3,0)</f>
        <v>1</v>
      </c>
      <c r="C46" s="1647" t="str">
        <f>VLOOKUP($D46,Sheet_Items,9,0)</f>
        <v>J</v>
      </c>
      <c r="D46" s="1659">
        <v>1539</v>
      </c>
      <c r="E46" s="889" t="str">
        <f>VLOOKUP($D46,Sheet_Items,2,0)</f>
        <v>其他非流动金融资产</v>
      </c>
      <c r="F46" s="884">
        <f t="shared" si="4"/>
        <v>0</v>
      </c>
      <c r="G46" s="885">
        <f>SUMIF(AJE!$B:$B,$C46&amp;$D46&amp;"*",AJE!$O:$O)</f>
        <v>0</v>
      </c>
      <c r="H46" s="885">
        <f>SUMIF(AJE!$B:$B,$C46&amp;$D46&amp;"*",AJE!$P:$P)</f>
        <v>0</v>
      </c>
      <c r="I46" s="913">
        <f>($B46*F46+G46-H46)*$B46</f>
        <v>0</v>
      </c>
      <c r="J46" s="914">
        <f t="shared" si="5"/>
        <v>0</v>
      </c>
      <c r="K46" s="885">
        <f>SUMIF('AJE1'!$B:$B,$C46&amp;$D46&amp;"*",'AJE1'!$O:$O)</f>
        <v>0</v>
      </c>
      <c r="L46" s="885">
        <f>SUMIF('AJE1'!$B:$B,$C46&amp;$D46&amp;"*",'AJE1'!$P:$P)</f>
        <v>0</v>
      </c>
      <c r="M46" s="891">
        <f t="shared" si="15"/>
        <v>0</v>
      </c>
      <c r="N46" s="641"/>
      <c r="O46" s="641"/>
      <c r="P46" s="641"/>
      <c r="Q46" s="641"/>
      <c r="T46" s="3056">
        <v>1605</v>
      </c>
      <c r="U46" s="3063">
        <v>0</v>
      </c>
    </row>
    <row r="47" spans="1:21" ht="18">
      <c r="A47" s="1648">
        <f t="shared" si="0"/>
        <v>0</v>
      </c>
      <c r="B47" s="1647">
        <f t="shared" si="1"/>
        <v>1</v>
      </c>
      <c r="C47" s="1647" t="str">
        <f t="shared" si="2"/>
        <v>J</v>
      </c>
      <c r="D47" s="1659">
        <v>1521</v>
      </c>
      <c r="E47" s="888" t="str">
        <f t="shared" si="3"/>
        <v>投资性房地产</v>
      </c>
      <c r="F47" s="884">
        <f t="shared" si="4"/>
        <v>0</v>
      </c>
      <c r="G47" s="885">
        <f>SUMIF(AJE!$B:$B,$C47&amp;$D47&amp;"*",AJE!$O:$O)</f>
        <v>0</v>
      </c>
      <c r="H47" s="885">
        <f>SUMIF(AJE!$B:$B,$C47&amp;$D47&amp;"*",AJE!$P:$P)</f>
        <v>0</v>
      </c>
      <c r="I47" s="913">
        <f t="shared" si="12"/>
        <v>0</v>
      </c>
      <c r="J47" s="914">
        <f t="shared" si="5"/>
        <v>0</v>
      </c>
      <c r="K47" s="885">
        <f>SUMIF('AJE1'!$B:$B,$C47&amp;$D47&amp;"*",'AJE1'!$O:$O)</f>
        <v>0</v>
      </c>
      <c r="L47" s="885">
        <f>SUMIF('AJE1'!$B:$B,$C47&amp;$D47&amp;"*",'AJE1'!$P:$P)</f>
        <v>0</v>
      </c>
      <c r="M47" s="891">
        <f t="shared" si="6"/>
        <v>0</v>
      </c>
      <c r="N47" s="641"/>
      <c r="O47" s="641"/>
      <c r="P47" s="641"/>
      <c r="Q47" s="641"/>
      <c r="T47" s="3056">
        <v>1621</v>
      </c>
      <c r="U47" s="3063">
        <v>0</v>
      </c>
    </row>
    <row r="48" spans="1:21" ht="18">
      <c r="A48" s="1648">
        <f>VLOOKUP($D48,Sheet_Items,4,0)</f>
        <v>0</v>
      </c>
      <c r="B48" s="1647">
        <f>VLOOKUP($D48,Sheet_Items,3,0)</f>
        <v>1</v>
      </c>
      <c r="C48" s="1647">
        <f>VLOOKUP($D48,Sheet_Items,9,0)</f>
        <v>0</v>
      </c>
      <c r="D48" s="1659">
        <v>1611</v>
      </c>
      <c r="E48" s="888" t="str">
        <f>VLOOKUP($D48,Sheet_Items,2,0)</f>
        <v>固定资产（报表项目）</v>
      </c>
      <c r="F48" s="884">
        <f t="shared" si="4"/>
        <v>19451657.940000001</v>
      </c>
      <c r="G48" s="885">
        <f>SUMIF(AJE!$B:$B,"J1601*",AJE!$O:$O)+SUMIF(AJE!$B:$B,"J1606*",AJE!$O:$O)</f>
        <v>0</v>
      </c>
      <c r="H48" s="885">
        <f>SUMIF(AJE!$B:$B,"J1601*",AJE!$P:$P)+SUMIF(AJE!$B:$B,"J1606*",AJE!$P:$P)</f>
        <v>633357.77</v>
      </c>
      <c r="I48" s="913">
        <f>($B48*F48+G48-H48)*$B48</f>
        <v>18818300.170000002</v>
      </c>
      <c r="J48" s="914">
        <f t="shared" si="5"/>
        <v>20288571.73</v>
      </c>
      <c r="K48" s="885">
        <f>SUMIF('AJE1'!$B:$B,"J1601*",'AJE1'!$O:$O)+SUMIF('AJE1'!$B:$B,"J1606*",'AJE1'!$O:$O)</f>
        <v>0</v>
      </c>
      <c r="L48" s="885">
        <f>SUMIF('AJE1'!$B:$B,"J1601*",'AJE1'!$P:$P)+SUMIF('AJE1'!$B:$B,"J1606*",'AJE1'!$P:$P)</f>
        <v>0</v>
      </c>
      <c r="M48" s="891">
        <f t="shared" si="6"/>
        <v>20288571.73</v>
      </c>
      <c r="N48" s="641"/>
      <c r="O48" s="641"/>
      <c r="P48" s="641"/>
      <c r="Q48" s="641"/>
      <c r="T48" s="3056">
        <v>1631</v>
      </c>
      <c r="U48" s="3063">
        <v>0</v>
      </c>
    </row>
    <row r="49" spans="1:21" ht="18">
      <c r="A49" s="1648">
        <f t="shared" si="0"/>
        <v>0</v>
      </c>
      <c r="B49" s="1647">
        <f t="shared" si="1"/>
        <v>1</v>
      </c>
      <c r="C49" s="1647" t="str">
        <f t="shared" si="2"/>
        <v>J</v>
      </c>
      <c r="D49" s="1659">
        <v>1601</v>
      </c>
      <c r="E49" s="2188" t="str">
        <f t="shared" si="3"/>
        <v>固定资产</v>
      </c>
      <c r="F49" s="884">
        <f t="shared" si="4"/>
        <v>19451657.940000001</v>
      </c>
      <c r="G49" s="885">
        <f>SUMIF(AJE!$B:$B,$C49&amp;$D49&amp;"*",AJE!$O:$O)</f>
        <v>0</v>
      </c>
      <c r="H49" s="885">
        <f>SUMIF(AJE!$B:$B,$C49&amp;$D49&amp;"*",AJE!$P:$P)</f>
        <v>633357.77</v>
      </c>
      <c r="I49" s="913">
        <f t="shared" si="12"/>
        <v>18818300.170000002</v>
      </c>
      <c r="J49" s="914">
        <f t="shared" si="5"/>
        <v>20288571.73</v>
      </c>
      <c r="K49" s="885">
        <f>SUMIF('AJE1'!$B:$B,$C49&amp;$D49&amp;"*",'AJE1'!$O:$O)</f>
        <v>0</v>
      </c>
      <c r="L49" s="885">
        <f>SUMIF('AJE1'!$B:$B,$C49&amp;$D49&amp;"*",'AJE1'!$P:$P)</f>
        <v>0</v>
      </c>
      <c r="M49" s="891">
        <f t="shared" si="6"/>
        <v>20288571.73</v>
      </c>
      <c r="N49" s="641"/>
      <c r="O49" s="641"/>
      <c r="P49" s="641"/>
      <c r="Q49" s="641"/>
      <c r="T49" s="3056">
        <v>1701</v>
      </c>
      <c r="U49" s="3063">
        <v>1820271.51</v>
      </c>
    </row>
    <row r="50" spans="1:21" ht="18">
      <c r="A50" s="1648">
        <f>VLOOKUP($D50,Sheet_Items,4,0)</f>
        <v>0</v>
      </c>
      <c r="B50" s="1647">
        <f>VLOOKUP($D50,Sheet_Items,3,0)</f>
        <v>1</v>
      </c>
      <c r="C50" s="1647" t="str">
        <f>VLOOKUP($D50,Sheet_Items,9,0)</f>
        <v>J</v>
      </c>
      <c r="D50" s="1659">
        <v>1606</v>
      </c>
      <c r="E50" s="2188" t="str">
        <f>VLOOKUP($D50,Sheet_Items,2,0)</f>
        <v>固定资产清理</v>
      </c>
      <c r="F50" s="884">
        <f>VLOOKUP($D50,Sheet_Prebs1,4,0)</f>
        <v>0</v>
      </c>
      <c r="G50" s="885">
        <f>SUMIF(AJE!$B:$B,$C50&amp;$D50&amp;"*",AJE!$O:$O)</f>
        <v>0</v>
      </c>
      <c r="H50" s="885">
        <f>SUMIF(AJE!$B:$B,$C50&amp;$D50&amp;"*",AJE!$P:$P)</f>
        <v>0</v>
      </c>
      <c r="I50" s="913">
        <f t="shared" si="12"/>
        <v>0</v>
      </c>
      <c r="J50" s="914">
        <f>VLOOKUP($D50,Sheet_Prebs1,5,0)</f>
        <v>0</v>
      </c>
      <c r="K50" s="885">
        <f>SUMIF('AJE1'!$B:$B,$C50&amp;$D50&amp;"*",'AJE1'!$O:$O)</f>
        <v>0</v>
      </c>
      <c r="L50" s="885">
        <f>SUMIF('AJE1'!$B:$B,$C50&amp;$D50&amp;"*",'AJE1'!$P:$P)</f>
        <v>0</v>
      </c>
      <c r="M50" s="891">
        <f t="shared" si="6"/>
        <v>0</v>
      </c>
      <c r="N50" s="641"/>
      <c r="O50" s="641"/>
      <c r="P50" s="641"/>
      <c r="Q50" s="641"/>
      <c r="T50" s="3056">
        <v>1700</v>
      </c>
      <c r="U50" s="3063">
        <v>2369218.02</v>
      </c>
    </row>
    <row r="51" spans="1:21" ht="18">
      <c r="A51" s="1648">
        <f>VLOOKUP($D51,Sheet_Items,4,0)</f>
        <v>0</v>
      </c>
      <c r="B51" s="1647">
        <f>VLOOKUP($D51,Sheet_Items,3,0)</f>
        <v>1</v>
      </c>
      <c r="C51" s="1647">
        <f>VLOOKUP($D51,Sheet_Items,9,0)</f>
        <v>0</v>
      </c>
      <c r="D51" s="1659">
        <v>1616</v>
      </c>
      <c r="E51" s="888" t="str">
        <f>VLOOKUP($D51,Sheet_Items,2,0)</f>
        <v>在建工程（报表项目）</v>
      </c>
      <c r="F51" s="884">
        <f t="shared" si="4"/>
        <v>0</v>
      </c>
      <c r="G51" s="885">
        <f>SUMIF(AJE!$B:$B,"J1604*",AJE!$O:$O)+SUMIF(AJE!$B:$B,"J1605*",AJE!$O:$O)</f>
        <v>0</v>
      </c>
      <c r="H51" s="885">
        <f>SUMIF(AJE!$B:$B,"J1604*",AJE!$P:$P)+SUMIF(AJE!$B:$B,"J1605*",AJE!$P:$P)</f>
        <v>0</v>
      </c>
      <c r="I51" s="913">
        <f>($B51*F51+G51-H51)*$B51</f>
        <v>0</v>
      </c>
      <c r="J51" s="914">
        <f t="shared" si="5"/>
        <v>41650</v>
      </c>
      <c r="K51" s="885">
        <f>SUMIF('AJE1'!$B:$B,"J1604*",'AJE1'!$O:$O)+SUMIF('AJE1'!$B:$B,"J1605*",'AJE1'!$O:$O)</f>
        <v>0</v>
      </c>
      <c r="L51" s="885">
        <f>SUMIF('AJE1'!$B:$B,"J1604*",'AJE1'!$P:$P)+SUMIF('AJE1'!$B:$B,"J1605*",'AJE1'!$P:$P)</f>
        <v>0</v>
      </c>
      <c r="M51" s="891">
        <f t="shared" si="6"/>
        <v>41650</v>
      </c>
      <c r="N51" s="641"/>
      <c r="O51" s="641"/>
      <c r="P51" s="641"/>
      <c r="Q51" s="641"/>
      <c r="T51" s="3056">
        <v>1711</v>
      </c>
      <c r="U51" s="3063">
        <v>0</v>
      </c>
    </row>
    <row r="52" spans="1:21" ht="18">
      <c r="A52" s="1648">
        <f t="shared" si="0"/>
        <v>0</v>
      </c>
      <c r="B52" s="1647">
        <f t="shared" si="1"/>
        <v>1</v>
      </c>
      <c r="C52" s="1647" t="str">
        <f t="shared" si="2"/>
        <v>J</v>
      </c>
      <c r="D52" s="1659">
        <v>1604</v>
      </c>
      <c r="E52" s="2188" t="str">
        <f t="shared" si="3"/>
        <v>在建工程</v>
      </c>
      <c r="F52" s="884">
        <f t="shared" si="4"/>
        <v>0</v>
      </c>
      <c r="G52" s="885">
        <f>SUMIF(AJE!$B:$B,$C52&amp;$D52&amp;"*",AJE!$O:$O)</f>
        <v>0</v>
      </c>
      <c r="H52" s="885">
        <f>SUMIF(AJE!$B:$B,$C52&amp;$D52&amp;"*",AJE!$P:$P)</f>
        <v>0</v>
      </c>
      <c r="I52" s="913">
        <f t="shared" si="12"/>
        <v>0</v>
      </c>
      <c r="J52" s="914">
        <f t="shared" si="5"/>
        <v>41650</v>
      </c>
      <c r="K52" s="885">
        <f>SUMIF('AJE1'!$B:$B,$C52&amp;$D52&amp;"*",'AJE1'!$O:$O)</f>
        <v>0</v>
      </c>
      <c r="L52" s="885">
        <f>SUMIF('AJE1'!$B:$B,$C52&amp;$D52&amp;"*",'AJE1'!$P:$P)</f>
        <v>0</v>
      </c>
      <c r="M52" s="891">
        <f t="shared" si="6"/>
        <v>41650</v>
      </c>
      <c r="N52" s="641"/>
      <c r="O52" s="641"/>
      <c r="P52" s="641"/>
      <c r="Q52" s="641"/>
      <c r="T52" s="3056">
        <v>1801</v>
      </c>
      <c r="U52" s="3063">
        <v>395514.45</v>
      </c>
    </row>
    <row r="53" spans="1:21" ht="18">
      <c r="A53" s="1648">
        <f t="shared" si="0"/>
        <v>0</v>
      </c>
      <c r="B53" s="1647">
        <f t="shared" si="1"/>
        <v>1</v>
      </c>
      <c r="C53" s="1647" t="str">
        <f t="shared" si="2"/>
        <v>J</v>
      </c>
      <c r="D53" s="1659">
        <v>1605</v>
      </c>
      <c r="E53" s="2188" t="str">
        <f t="shared" si="3"/>
        <v>工程物资</v>
      </c>
      <c r="F53" s="884">
        <f t="shared" si="4"/>
        <v>0</v>
      </c>
      <c r="G53" s="885">
        <f>SUMIF(AJE!$B:$B,$C53&amp;$D53&amp;"*",AJE!$O:$O)</f>
        <v>0</v>
      </c>
      <c r="H53" s="885">
        <f>SUMIF(AJE!$B:$B,$C53&amp;$D53&amp;"*",AJE!$P:$P)</f>
        <v>0</v>
      </c>
      <c r="I53" s="913">
        <f t="shared" si="12"/>
        <v>0</v>
      </c>
      <c r="J53" s="914">
        <f t="shared" si="5"/>
        <v>0</v>
      </c>
      <c r="K53" s="885">
        <f>SUMIF('AJE1'!$B:$B,$C53&amp;$D53&amp;"*",'AJE1'!$O:$O)</f>
        <v>0</v>
      </c>
      <c r="L53" s="885">
        <f>SUMIF('AJE1'!$B:$B,$C53&amp;$D53&amp;"*",'AJE1'!$P:$P)</f>
        <v>0</v>
      </c>
      <c r="M53" s="891">
        <f t="shared" si="6"/>
        <v>0</v>
      </c>
      <c r="N53" s="641"/>
      <c r="O53" s="641"/>
      <c r="P53" s="641"/>
      <c r="Q53" s="641"/>
      <c r="T53" s="3056">
        <v>1811</v>
      </c>
      <c r="U53" s="3063">
        <v>1185152.1499999999</v>
      </c>
    </row>
    <row r="54" spans="1:21" ht="18">
      <c r="A54" s="1648">
        <f t="shared" si="0"/>
        <v>0</v>
      </c>
      <c r="B54" s="1647">
        <f t="shared" si="1"/>
        <v>1</v>
      </c>
      <c r="C54" s="1647" t="str">
        <f t="shared" si="2"/>
        <v>J</v>
      </c>
      <c r="D54" s="1659">
        <v>1621</v>
      </c>
      <c r="E54" s="888" t="str">
        <f t="shared" si="3"/>
        <v>生产性生物资产</v>
      </c>
      <c r="F54" s="884">
        <f t="shared" si="4"/>
        <v>0</v>
      </c>
      <c r="G54" s="885">
        <f>SUMIF(AJE!$B:$B,$C54&amp;$D54&amp;"*",AJE!$O:$O)</f>
        <v>0</v>
      </c>
      <c r="H54" s="885">
        <f>SUMIF(AJE!$B:$B,$C54&amp;$D54&amp;"*",AJE!$P:$P)</f>
        <v>0</v>
      </c>
      <c r="I54" s="913">
        <f t="shared" si="12"/>
        <v>0</v>
      </c>
      <c r="J54" s="914">
        <f t="shared" si="5"/>
        <v>0</v>
      </c>
      <c r="K54" s="885">
        <f>SUMIF('AJE1'!$B:$B,$C54&amp;$D54&amp;"*",'AJE1'!$O:$O)</f>
        <v>0</v>
      </c>
      <c r="L54" s="885">
        <f>SUMIF('AJE1'!$B:$B,$C54&amp;$D54&amp;"*",'AJE1'!$P:$P)</f>
        <v>0</v>
      </c>
      <c r="M54" s="891">
        <f t="shared" si="6"/>
        <v>0</v>
      </c>
      <c r="N54" s="641"/>
      <c r="O54" s="641"/>
      <c r="P54" s="641"/>
      <c r="Q54" s="641"/>
      <c r="T54" s="3056">
        <v>1996</v>
      </c>
      <c r="U54" s="3063">
        <v>523136</v>
      </c>
    </row>
    <row r="55" spans="1:21" ht="18">
      <c r="A55" s="1648">
        <f t="shared" si="0"/>
        <v>0</v>
      </c>
      <c r="B55" s="1647">
        <f t="shared" si="1"/>
        <v>1</v>
      </c>
      <c r="C55" s="1647" t="str">
        <f t="shared" si="2"/>
        <v>J</v>
      </c>
      <c r="D55" s="1659">
        <v>1631</v>
      </c>
      <c r="E55" s="888" t="str">
        <f t="shared" si="3"/>
        <v>油气资产</v>
      </c>
      <c r="F55" s="884">
        <f t="shared" si="4"/>
        <v>0</v>
      </c>
      <c r="G55" s="885">
        <f>SUMIF(AJE!$B:$B,$C55&amp;$D55&amp;"*",AJE!$O:$O)</f>
        <v>0</v>
      </c>
      <c r="H55" s="885">
        <f>SUMIF(AJE!$B:$B,$C55&amp;$D55&amp;"*",AJE!$P:$P)</f>
        <v>0</v>
      </c>
      <c r="I55" s="913">
        <f t="shared" si="12"/>
        <v>0</v>
      </c>
      <c r="J55" s="914">
        <f t="shared" si="5"/>
        <v>0</v>
      </c>
      <c r="K55" s="885">
        <f>SUMIF('AJE1'!$B:$B,$C55&amp;$D55&amp;"*",'AJE1'!$O:$O)</f>
        <v>0</v>
      </c>
      <c r="L55" s="885">
        <f>SUMIF('AJE1'!$B:$B,$C55&amp;$D55&amp;"*",'AJE1'!$P:$P)</f>
        <v>0</v>
      </c>
      <c r="M55" s="891">
        <f t="shared" si="6"/>
        <v>0</v>
      </c>
      <c r="N55" s="641"/>
      <c r="O55" s="641"/>
      <c r="P55" s="641"/>
      <c r="Q55" s="641"/>
      <c r="T55" s="3056">
        <v>1998</v>
      </c>
      <c r="U55" s="3063">
        <v>26623513.859999999</v>
      </c>
    </row>
    <row r="56" spans="1:21" ht="18">
      <c r="A56" s="1648" t="str">
        <f>VLOOKUP($D56,Sheet_Items,4,0)</f>
        <v>_ZL</v>
      </c>
      <c r="B56" s="1647">
        <f>VLOOKUP($D56,Sheet_Items,3,0)</f>
        <v>1</v>
      </c>
      <c r="C56" s="1647" t="str">
        <f>VLOOKUP($D56,Sheet_Items,9,0)</f>
        <v>J</v>
      </c>
      <c r="D56" s="1659">
        <v>1636</v>
      </c>
      <c r="E56" s="889" t="str">
        <f>VLOOKUP($D56,Sheet_Items,2,0)</f>
        <v>使用权资产</v>
      </c>
      <c r="F56" s="884">
        <f t="shared" si="4"/>
        <v>0</v>
      </c>
      <c r="G56" s="885">
        <f>SUMIF(AJE!$B:$B,$C56&amp;$D56&amp;"*",AJE!$O:$O)</f>
        <v>0</v>
      </c>
      <c r="H56" s="885">
        <f>SUMIF(AJE!$B:$B,$C56&amp;$D56&amp;"*",AJE!$P:$P)</f>
        <v>0</v>
      </c>
      <c r="I56" s="913">
        <f>($B56*F56+G56-H56)*$B56</f>
        <v>0</v>
      </c>
      <c r="J56" s="914">
        <f t="shared" si="5"/>
        <v>0</v>
      </c>
      <c r="K56" s="885">
        <f>SUMIF('AJE1'!$B:$B,$C56&amp;$D56&amp;"*",'AJE1'!$O:$O)</f>
        <v>0</v>
      </c>
      <c r="L56" s="885">
        <f>SUMIF('AJE1'!$B:$B,$C56&amp;$D56&amp;"*",'AJE1'!$P:$P)</f>
        <v>0</v>
      </c>
      <c r="M56" s="891">
        <f t="shared" ref="M56" si="16">($B56*J56+K56-L56)*$B56</f>
        <v>0</v>
      </c>
      <c r="N56" s="641"/>
      <c r="O56" s="641"/>
      <c r="P56" s="641"/>
      <c r="Q56" s="641"/>
      <c r="T56" s="3056">
        <v>1999</v>
      </c>
      <c r="U56" s="3063">
        <v>59007107.990000002</v>
      </c>
    </row>
    <row r="57" spans="1:21" ht="18">
      <c r="A57" s="1648">
        <f t="shared" si="0"/>
        <v>0</v>
      </c>
      <c r="B57" s="1647">
        <f t="shared" si="1"/>
        <v>1</v>
      </c>
      <c r="C57" s="1647" t="str">
        <f t="shared" si="2"/>
        <v>J</v>
      </c>
      <c r="D57" s="1659">
        <v>1701</v>
      </c>
      <c r="E57" s="888" t="str">
        <f t="shared" si="3"/>
        <v>无形资产</v>
      </c>
      <c r="F57" s="884">
        <f t="shared" si="4"/>
        <v>1951607.86</v>
      </c>
      <c r="G57" s="885">
        <f>SUMIF(AJE!$B:$B,$C57&amp;$D57&amp;"*",AJE!$O:$O)</f>
        <v>0</v>
      </c>
      <c r="H57" s="885">
        <f>SUMIF(AJE!$B:$B,$C57&amp;$D57&amp;"*",AJE!$P:$P)</f>
        <v>0</v>
      </c>
      <c r="I57" s="913">
        <f t="shared" si="12"/>
        <v>1951607.86</v>
      </c>
      <c r="J57" s="914">
        <f t="shared" si="5"/>
        <v>1820271.51</v>
      </c>
      <c r="K57" s="885">
        <f>SUMIF('AJE1'!$B:$B,$C57&amp;$D57&amp;"*",'AJE1'!$O:$O)</f>
        <v>0</v>
      </c>
      <c r="L57" s="885">
        <f>SUMIF('AJE1'!$B:$B,$C57&amp;$D57&amp;"*",'AJE1'!$P:$P)</f>
        <v>0</v>
      </c>
      <c r="M57" s="891">
        <f t="shared" si="6"/>
        <v>1820271.51</v>
      </c>
      <c r="N57" s="641"/>
      <c r="O57" s="641"/>
      <c r="P57" s="641"/>
      <c r="Q57" s="641"/>
      <c r="T57" s="3056">
        <v>2000</v>
      </c>
      <c r="U57" s="3063">
        <v>0</v>
      </c>
    </row>
    <row r="58" spans="1:21" ht="18">
      <c r="A58" s="1648">
        <f t="shared" si="0"/>
        <v>0</v>
      </c>
      <c r="B58" s="1647">
        <f t="shared" si="1"/>
        <v>1</v>
      </c>
      <c r="C58" s="1647" t="str">
        <f t="shared" si="2"/>
        <v>J</v>
      </c>
      <c r="D58" s="1659">
        <v>1700</v>
      </c>
      <c r="E58" s="888" t="str">
        <f t="shared" si="3"/>
        <v>开发支出</v>
      </c>
      <c r="F58" s="884">
        <f t="shared" si="4"/>
        <v>1467375.43</v>
      </c>
      <c r="G58" s="885">
        <f>SUMIF(AJE!$B:$B,$C58&amp;$D58&amp;"*",AJE!$O:$O)</f>
        <v>0</v>
      </c>
      <c r="H58" s="885">
        <f>SUMIF(AJE!$B:$B,$C58&amp;$D58&amp;"*",AJE!$P:$P)</f>
        <v>0</v>
      </c>
      <c r="I58" s="913">
        <f t="shared" si="12"/>
        <v>1467375.43</v>
      </c>
      <c r="J58" s="914">
        <f t="shared" si="5"/>
        <v>2369218.02</v>
      </c>
      <c r="K58" s="885">
        <f>SUMIF('AJE1'!$B:$B,$C58&amp;$D58&amp;"*",'AJE1'!$O:$O)</f>
        <v>0</v>
      </c>
      <c r="L58" s="885">
        <f>SUMIF('AJE1'!$B:$B,$C58&amp;$D58&amp;"*",'AJE1'!$P:$P)</f>
        <v>0</v>
      </c>
      <c r="M58" s="891">
        <f t="shared" si="6"/>
        <v>2369218.02</v>
      </c>
      <c r="N58" s="641"/>
      <c r="O58" s="641"/>
      <c r="P58" s="641"/>
      <c r="Q58" s="641"/>
      <c r="T58" s="3056">
        <v>2001</v>
      </c>
      <c r="U58" s="3063">
        <v>0</v>
      </c>
    </row>
    <row r="59" spans="1:21" ht="18">
      <c r="A59" s="1648">
        <f t="shared" si="0"/>
        <v>0</v>
      </c>
      <c r="B59" s="1647">
        <f t="shared" si="1"/>
        <v>1</v>
      </c>
      <c r="C59" s="1647" t="str">
        <f t="shared" si="2"/>
        <v>J</v>
      </c>
      <c r="D59" s="1659">
        <v>1711</v>
      </c>
      <c r="E59" s="888" t="str">
        <f t="shared" si="3"/>
        <v>商誉</v>
      </c>
      <c r="F59" s="884">
        <f t="shared" si="4"/>
        <v>0</v>
      </c>
      <c r="G59" s="885">
        <f>SUMIF(AJE!$B:$B,$C59&amp;$D59&amp;"*",AJE!$O:$O)</f>
        <v>0</v>
      </c>
      <c r="H59" s="885">
        <f>SUMIF(AJE!$B:$B,$C59&amp;$D59&amp;"*",AJE!$P:$P)</f>
        <v>0</v>
      </c>
      <c r="I59" s="913">
        <f t="shared" si="12"/>
        <v>0</v>
      </c>
      <c r="J59" s="914">
        <f t="shared" si="5"/>
        <v>0</v>
      </c>
      <c r="K59" s="885">
        <f>SUMIF('AJE1'!$B:$B,$C59&amp;$D59&amp;"*",'AJE1'!$O:$O)</f>
        <v>0</v>
      </c>
      <c r="L59" s="885">
        <f>SUMIF('AJE1'!$B:$B,$C59&amp;$D59&amp;"*",'AJE1'!$P:$P)</f>
        <v>0</v>
      </c>
      <c r="M59" s="891">
        <f t="shared" si="6"/>
        <v>0</v>
      </c>
      <c r="N59" s="641"/>
      <c r="O59" s="641"/>
      <c r="P59" s="641"/>
      <c r="Q59" s="641"/>
      <c r="T59" s="3056">
        <v>2004</v>
      </c>
      <c r="U59" s="3063">
        <v>0</v>
      </c>
    </row>
    <row r="60" spans="1:21" ht="18">
      <c r="A60" s="1648">
        <f t="shared" si="0"/>
        <v>0</v>
      </c>
      <c r="B60" s="1647">
        <f t="shared" si="1"/>
        <v>1</v>
      </c>
      <c r="C60" s="1647" t="str">
        <f t="shared" si="2"/>
        <v>J</v>
      </c>
      <c r="D60" s="1659">
        <v>1801</v>
      </c>
      <c r="E60" s="888" t="str">
        <f t="shared" si="3"/>
        <v>长期待摊费用</v>
      </c>
      <c r="F60" s="884">
        <f t="shared" si="4"/>
        <v>233942.48</v>
      </c>
      <c r="G60" s="885">
        <f>SUMIF(AJE!$B:$B,$C60&amp;$D60&amp;"*",AJE!$O:$O)</f>
        <v>0</v>
      </c>
      <c r="H60" s="885">
        <f>SUMIF(AJE!$B:$B,$C60&amp;$D60&amp;"*",AJE!$P:$P)</f>
        <v>0</v>
      </c>
      <c r="I60" s="913">
        <f t="shared" si="12"/>
        <v>233942.48</v>
      </c>
      <c r="J60" s="914">
        <f t="shared" si="5"/>
        <v>395514.45</v>
      </c>
      <c r="K60" s="885">
        <f>SUMIF('AJE1'!$B:$B,$C60&amp;$D60&amp;"*",'AJE1'!$O:$O)</f>
        <v>0</v>
      </c>
      <c r="L60" s="885">
        <f>SUMIF('AJE1'!$B:$B,$C60&amp;$D60&amp;"*",'AJE1'!$P:$P)</f>
        <v>0</v>
      </c>
      <c r="M60" s="891">
        <f t="shared" si="6"/>
        <v>395514.45</v>
      </c>
      <c r="N60" s="641"/>
      <c r="O60" s="641"/>
      <c r="P60" s="641"/>
      <c r="Q60" s="641"/>
      <c r="T60" s="3056">
        <v>2010</v>
      </c>
      <c r="U60" s="3063">
        <v>0</v>
      </c>
    </row>
    <row r="61" spans="1:21" ht="18">
      <c r="A61" s="1648">
        <f t="shared" si="0"/>
        <v>0</v>
      </c>
      <c r="B61" s="1647">
        <f t="shared" si="1"/>
        <v>1</v>
      </c>
      <c r="C61" s="1647" t="str">
        <f t="shared" si="2"/>
        <v>J</v>
      </c>
      <c r="D61" s="1659">
        <v>1811</v>
      </c>
      <c r="E61" s="888" t="str">
        <f t="shared" si="3"/>
        <v>递延所得税资产</v>
      </c>
      <c r="F61" s="884">
        <f t="shared" si="4"/>
        <v>1870191.14</v>
      </c>
      <c r="G61" s="885">
        <f>SUMIF(AJE!$B:$B,$C61&amp;$D61&amp;"*",AJE!$O:$O)</f>
        <v>85854.05</v>
      </c>
      <c r="H61" s="885">
        <f>SUMIF(AJE!$B:$B,$C61&amp;$D61&amp;"*",AJE!$P:$P)</f>
        <v>146243.85</v>
      </c>
      <c r="I61" s="913">
        <f t="shared" si="12"/>
        <v>1809801.34</v>
      </c>
      <c r="J61" s="914">
        <f t="shared" si="5"/>
        <v>1185152.1499999999</v>
      </c>
      <c r="K61" s="885">
        <f>SUMIF('AJE1'!$B:$B,$C61&amp;$D61&amp;"*",'AJE1'!$O:$O)</f>
        <v>0</v>
      </c>
      <c r="L61" s="885">
        <f>SUMIF('AJE1'!$B:$B,$C61&amp;$D61&amp;"*",'AJE1'!$P:$P)</f>
        <v>0</v>
      </c>
      <c r="M61" s="891">
        <f t="shared" si="6"/>
        <v>1185152.1499999999</v>
      </c>
      <c r="N61" s="641"/>
      <c r="O61" s="641"/>
      <c r="P61" s="641"/>
      <c r="Q61" s="641"/>
      <c r="T61" s="3056">
        <v>2003</v>
      </c>
      <c r="U61" s="3063">
        <v>0</v>
      </c>
    </row>
    <row r="62" spans="1:21" ht="18">
      <c r="A62" s="1648">
        <f t="shared" si="0"/>
        <v>0</v>
      </c>
      <c r="B62" s="1647">
        <f t="shared" si="1"/>
        <v>1</v>
      </c>
      <c r="C62" s="1647" t="str">
        <f t="shared" si="2"/>
        <v>J</v>
      </c>
      <c r="D62" s="1659">
        <v>1996</v>
      </c>
      <c r="E62" s="888" t="str">
        <f t="shared" si="3"/>
        <v>其他非流动资产</v>
      </c>
      <c r="F62" s="884">
        <f t="shared" si="4"/>
        <v>94970</v>
      </c>
      <c r="G62" s="885">
        <f>SUMIF(AJE!$B:$B,$C62&amp;$D62&amp;"*",AJE!$O:$O)</f>
        <v>0</v>
      </c>
      <c r="H62" s="885">
        <f>SUMIF(AJE!$B:$B,$C62&amp;$D62&amp;"*",AJE!$P:$P)</f>
        <v>0</v>
      </c>
      <c r="I62" s="913">
        <f t="shared" si="12"/>
        <v>94970</v>
      </c>
      <c r="J62" s="914">
        <f t="shared" si="5"/>
        <v>523136</v>
      </c>
      <c r="K62" s="885">
        <f>SUMIF('AJE1'!$B:$B,$C62&amp;$D62&amp;"*",'AJE1'!$O:$O)</f>
        <v>0</v>
      </c>
      <c r="L62" s="885">
        <f>SUMIF('AJE1'!$B:$B,$C62&amp;$D62&amp;"*",'AJE1'!$P:$P)</f>
        <v>0</v>
      </c>
      <c r="M62" s="891">
        <f t="shared" si="6"/>
        <v>523136</v>
      </c>
      <c r="N62" s="641"/>
      <c r="O62" s="641"/>
      <c r="P62" s="641"/>
      <c r="Q62" s="641"/>
      <c r="T62" s="3056">
        <v>2101</v>
      </c>
      <c r="U62" s="3063">
        <v>0</v>
      </c>
    </row>
    <row r="63" spans="1:21" ht="18">
      <c r="A63" s="1648" t="str">
        <f t="shared" si="0"/>
        <v>＝</v>
      </c>
      <c r="B63" s="1647">
        <f t="shared" si="1"/>
        <v>0</v>
      </c>
      <c r="C63" s="1647">
        <f t="shared" si="2"/>
        <v>0</v>
      </c>
      <c r="D63" s="1659">
        <v>1998</v>
      </c>
      <c r="E63" s="890" t="str">
        <f t="shared" si="3"/>
        <v>非流动资产</v>
      </c>
      <c r="F63" s="891">
        <f t="shared" ref="F63:M63" si="17">SUM(F37:F62)-SUM(F49,F50,F52,F53)</f>
        <v>25069744.850000001</v>
      </c>
      <c r="G63" s="891">
        <f t="shared" si="17"/>
        <v>85854.05</v>
      </c>
      <c r="H63" s="891">
        <f t="shared" si="17"/>
        <v>779601.62</v>
      </c>
      <c r="I63" s="913">
        <f t="shared" si="17"/>
        <v>24375997.280000001</v>
      </c>
      <c r="J63" s="915">
        <f t="shared" si="17"/>
        <v>26623513.859999999</v>
      </c>
      <c r="K63" s="891">
        <f t="shared" si="17"/>
        <v>0</v>
      </c>
      <c r="L63" s="891">
        <f t="shared" si="17"/>
        <v>0</v>
      </c>
      <c r="M63" s="891">
        <f t="shared" si="17"/>
        <v>26623513.859999999</v>
      </c>
      <c r="N63" s="641"/>
      <c r="O63" s="641"/>
      <c r="P63" s="641"/>
      <c r="Q63" s="641"/>
      <c r="T63" s="3056">
        <v>2115</v>
      </c>
      <c r="U63" s="3063">
        <v>0</v>
      </c>
    </row>
    <row r="64" spans="1:21" ht="18">
      <c r="A64" s="1648" t="str">
        <f t="shared" si="0"/>
        <v>＝</v>
      </c>
      <c r="B64" s="1647">
        <f t="shared" si="1"/>
        <v>0</v>
      </c>
      <c r="C64" s="1647">
        <f t="shared" si="2"/>
        <v>0</v>
      </c>
      <c r="D64" s="1659">
        <v>1999</v>
      </c>
      <c r="E64" s="890" t="str">
        <f t="shared" si="3"/>
        <v>资产</v>
      </c>
      <c r="F64" s="891">
        <f t="shared" ref="F64:M64" si="18">SUM(F35,F63)</f>
        <v>63138219.909999996</v>
      </c>
      <c r="G64" s="891">
        <f t="shared" si="18"/>
        <v>365423.41</v>
      </c>
      <c r="H64" s="891">
        <f t="shared" si="18"/>
        <v>4193357.85</v>
      </c>
      <c r="I64" s="913">
        <f t="shared" si="18"/>
        <v>59310285.469999999</v>
      </c>
      <c r="J64" s="915">
        <f t="shared" si="18"/>
        <v>59007107.990000002</v>
      </c>
      <c r="K64" s="891">
        <f t="shared" si="18"/>
        <v>0</v>
      </c>
      <c r="L64" s="891">
        <f t="shared" si="18"/>
        <v>0</v>
      </c>
      <c r="M64" s="891">
        <f t="shared" si="18"/>
        <v>59007107.990000002</v>
      </c>
      <c r="N64" s="641"/>
      <c r="O64" s="641"/>
      <c r="P64" s="641"/>
      <c r="Q64" s="641"/>
      <c r="T64" s="3056">
        <v>2203</v>
      </c>
      <c r="U64" s="3063">
        <v>8476287.8300000001</v>
      </c>
    </row>
    <row r="65" spans="1:21" ht="18">
      <c r="A65" s="1648" t="str">
        <f t="shared" si="0"/>
        <v>：</v>
      </c>
      <c r="B65" s="1647">
        <f t="shared" si="1"/>
        <v>0</v>
      </c>
      <c r="C65" s="1647">
        <f t="shared" si="2"/>
        <v>0</v>
      </c>
      <c r="D65" s="2186">
        <v>2000</v>
      </c>
      <c r="E65" s="2187" t="str">
        <f t="shared" si="3"/>
        <v>流动负债项目</v>
      </c>
      <c r="F65" s="884"/>
      <c r="G65" s="885"/>
      <c r="H65" s="885"/>
      <c r="I65" s="913"/>
      <c r="J65" s="914"/>
      <c r="K65" s="885"/>
      <c r="L65" s="885"/>
      <c r="M65" s="891"/>
      <c r="N65" s="641"/>
      <c r="O65" s="641"/>
      <c r="P65" s="641"/>
      <c r="Q65" s="641"/>
      <c r="T65" s="3056">
        <v>2201</v>
      </c>
      <c r="U65" s="3063">
        <v>0</v>
      </c>
    </row>
    <row r="66" spans="1:21" ht="18">
      <c r="A66" s="1648">
        <f t="shared" si="0"/>
        <v>0</v>
      </c>
      <c r="B66" s="1647">
        <f t="shared" si="1"/>
        <v>-1</v>
      </c>
      <c r="C66" s="1647" t="str">
        <f t="shared" si="2"/>
        <v>J</v>
      </c>
      <c r="D66" s="1659">
        <v>2001</v>
      </c>
      <c r="E66" s="888" t="str">
        <f t="shared" si="3"/>
        <v>短期借款</v>
      </c>
      <c r="F66" s="884">
        <f t="shared" ref="F66:F123" si="19">VLOOKUP($D66,Sheet_Prebs2,4,0)</f>
        <v>2000000</v>
      </c>
      <c r="G66" s="885">
        <f>SUMIF(AJE!$B:$B,$C66&amp;$D66&amp;"*",AJE!$O:$O)</f>
        <v>0</v>
      </c>
      <c r="H66" s="885">
        <f>SUMIF(AJE!$B:$B,$C66&amp;$D66&amp;"*",AJE!$P:$P)</f>
        <v>2968.82</v>
      </c>
      <c r="I66" s="913">
        <f>(B66*F66+G66-H66)*B66</f>
        <v>2002968.82</v>
      </c>
      <c r="J66" s="914">
        <f t="shared" ref="J66:J123" si="20">VLOOKUP($D66,Sheet_Prebs2,5,0)</f>
        <v>0</v>
      </c>
      <c r="K66" s="885">
        <f>SUMIF('AJE1'!$B:$B,$C66&amp;$D66&amp;"*",'AJE1'!$O:$O)</f>
        <v>0</v>
      </c>
      <c r="L66" s="885">
        <f>SUMIF('AJE1'!$B:$B,$C66&amp;$D66&amp;"*",'AJE1'!$P:$P)</f>
        <v>0</v>
      </c>
      <c r="M66" s="891">
        <f t="shared" ref="M66:M123" si="21">($B66*J66+K66-L66)*$B66</f>
        <v>0</v>
      </c>
      <c r="N66" s="641"/>
      <c r="O66" s="641"/>
      <c r="P66" s="641"/>
      <c r="Q66" s="641"/>
      <c r="T66" s="3056">
        <v>2202</v>
      </c>
      <c r="U66" s="3063">
        <v>8476287.8300000001</v>
      </c>
    </row>
    <row r="67" spans="1:21" ht="18">
      <c r="A67" s="1648" t="str">
        <f t="shared" si="0"/>
        <v>△</v>
      </c>
      <c r="B67" s="1647">
        <f t="shared" si="1"/>
        <v>-1</v>
      </c>
      <c r="C67" s="1647" t="str">
        <f t="shared" si="2"/>
        <v>J</v>
      </c>
      <c r="D67" s="1659">
        <v>2004</v>
      </c>
      <c r="E67" s="888" t="str">
        <f t="shared" si="3"/>
        <v>向中央银行借款</v>
      </c>
      <c r="F67" s="884">
        <f t="shared" si="19"/>
        <v>0</v>
      </c>
      <c r="G67" s="885">
        <f>SUMIF(AJE!$B:$B,$C67&amp;$D67&amp;"*",AJE!$O:$O)</f>
        <v>0</v>
      </c>
      <c r="H67" s="885">
        <f>SUMIF(AJE!$B:$B,$C67&amp;$D67&amp;"*",AJE!$P:$P)</f>
        <v>0</v>
      </c>
      <c r="I67" s="913">
        <f t="shared" ref="I67:I91" si="22">(B67*F67+G67-H67)*B67</f>
        <v>0</v>
      </c>
      <c r="J67" s="914">
        <f t="shared" si="20"/>
        <v>0</v>
      </c>
      <c r="K67" s="885">
        <f>SUMIF('AJE1'!$B:$B,$C67&amp;$D67&amp;"*",'AJE1'!$O:$O)</f>
        <v>0</v>
      </c>
      <c r="L67" s="885">
        <f>SUMIF('AJE1'!$B:$B,$C67&amp;$D67&amp;"*",'AJE1'!$P:$P)</f>
        <v>0</v>
      </c>
      <c r="M67" s="891">
        <f t="shared" si="21"/>
        <v>0</v>
      </c>
      <c r="N67" s="641"/>
      <c r="O67" s="641"/>
      <c r="P67" s="641"/>
      <c r="Q67" s="641"/>
      <c r="T67" s="3056">
        <v>2205</v>
      </c>
      <c r="U67" s="3063">
        <v>2229809.83</v>
      </c>
    </row>
    <row r="68" spans="1:21" ht="18">
      <c r="A68" s="1648" t="str">
        <f t="shared" si="0"/>
        <v>△</v>
      </c>
      <c r="B68" s="1647">
        <f t="shared" si="1"/>
        <v>-1</v>
      </c>
      <c r="C68" s="1647" t="str">
        <f t="shared" si="2"/>
        <v>J</v>
      </c>
      <c r="D68" s="1659">
        <v>2003</v>
      </c>
      <c r="E68" s="888" t="str">
        <f t="shared" si="3"/>
        <v>拆入资金</v>
      </c>
      <c r="F68" s="884">
        <f t="shared" si="19"/>
        <v>0</v>
      </c>
      <c r="G68" s="885">
        <f>SUMIF(AJE!$B:$B,$C68&amp;$D68&amp;"*",AJE!$O:$O)</f>
        <v>0</v>
      </c>
      <c r="H68" s="885">
        <f>SUMIF(AJE!$B:$B,$C68&amp;$D68&amp;"*",AJE!$P:$P)</f>
        <v>0</v>
      </c>
      <c r="I68" s="913">
        <f t="shared" si="22"/>
        <v>0</v>
      </c>
      <c r="J68" s="914">
        <f t="shared" si="20"/>
        <v>0</v>
      </c>
      <c r="K68" s="885">
        <f>SUMIF('AJE1'!$B:$B,$C68&amp;$D68&amp;"*",'AJE1'!$O:$O)</f>
        <v>0</v>
      </c>
      <c r="L68" s="885">
        <f>SUMIF('AJE1'!$B:$B,$C68&amp;$D68&amp;"*",'AJE1'!$P:$P)</f>
        <v>0</v>
      </c>
      <c r="M68" s="891">
        <f t="shared" si="21"/>
        <v>0</v>
      </c>
      <c r="N68" s="641"/>
      <c r="O68" s="641"/>
      <c r="P68" s="641"/>
      <c r="Q68" s="641"/>
      <c r="T68" s="3056">
        <v>2111</v>
      </c>
      <c r="U68" s="3063">
        <v>0</v>
      </c>
    </row>
    <row r="69" spans="1:21" ht="18">
      <c r="A69" s="1648" t="str">
        <f>VLOOKUP($D69,Sheet_Items,4,0)</f>
        <v>_JR</v>
      </c>
      <c r="B69" s="1647">
        <f>VLOOKUP($D69,Sheet_Items,3,0)</f>
        <v>-1</v>
      </c>
      <c r="C69" s="1647" t="str">
        <f>VLOOKUP($D69,Sheet_Items,9,0)</f>
        <v>J</v>
      </c>
      <c r="D69" s="1659">
        <v>2102</v>
      </c>
      <c r="E69" s="889" t="str">
        <f>VLOOKUP($D69,Sheet_Items,2,0)</f>
        <v>交易性金融负债</v>
      </c>
      <c r="F69" s="884">
        <f t="shared" si="19"/>
        <v>0</v>
      </c>
      <c r="G69" s="885">
        <f>SUMIF(AJE!$B:$B,$C69&amp;$D69&amp;"*",AJE!$O:$O)</f>
        <v>0</v>
      </c>
      <c r="H69" s="885">
        <f>SUMIF(AJE!$B:$B,$C69&amp;$D69&amp;"*",AJE!$P:$P)</f>
        <v>0</v>
      </c>
      <c r="I69" s="913">
        <f t="shared" si="22"/>
        <v>0</v>
      </c>
      <c r="J69" s="914">
        <f t="shared" si="20"/>
        <v>0</v>
      </c>
      <c r="K69" s="885">
        <f>SUMIF('AJE1'!$B:$B,$C69&amp;$D69&amp;"*",'AJE1'!$O:$O)</f>
        <v>0</v>
      </c>
      <c r="L69" s="885">
        <f>SUMIF('AJE1'!$B:$B,$C69&amp;$D69&amp;"*",'AJE1'!$P:$P)</f>
        <v>0</v>
      </c>
      <c r="M69" s="891">
        <f t="shared" ref="M69" si="23">($B69*J69+K69-L69)*$B69</f>
        <v>0</v>
      </c>
      <c r="N69" s="641"/>
      <c r="O69" s="641"/>
      <c r="P69" s="641"/>
      <c r="Q69" s="641"/>
      <c r="T69" s="3056">
        <v>2240</v>
      </c>
      <c r="U69" s="3063">
        <v>0</v>
      </c>
    </row>
    <row r="70" spans="1:21" ht="24">
      <c r="A70" s="1648" t="str">
        <f t="shared" si="0"/>
        <v>JRH</v>
      </c>
      <c r="B70" s="1647">
        <f t="shared" si="1"/>
        <v>-1</v>
      </c>
      <c r="C70" s="1647" t="str">
        <f t="shared" si="2"/>
        <v>J</v>
      </c>
      <c r="D70" s="1659">
        <v>2101</v>
      </c>
      <c r="E70" s="888" t="str">
        <f t="shared" si="3"/>
        <v>以公允价值计量且其变动计入当期损益的金融负债</v>
      </c>
      <c r="F70" s="884">
        <f t="shared" si="19"/>
        <v>0</v>
      </c>
      <c r="G70" s="885">
        <f>SUMIF(AJE!$B:$B,$C70&amp;$D70&amp;"*",AJE!$O:$O)</f>
        <v>0</v>
      </c>
      <c r="H70" s="885">
        <f>SUMIF(AJE!$B:$B,$C70&amp;$D70&amp;"*",AJE!$P:$P)</f>
        <v>0</v>
      </c>
      <c r="I70" s="913">
        <f t="shared" si="22"/>
        <v>0</v>
      </c>
      <c r="J70" s="914">
        <f t="shared" si="20"/>
        <v>0</v>
      </c>
      <c r="K70" s="885">
        <f>SUMIF('AJE1'!$B:$B,$C70&amp;$D70&amp;"*",'AJE1'!$O:$O)</f>
        <v>0</v>
      </c>
      <c r="L70" s="885">
        <f>SUMIF('AJE1'!$B:$B,$C70&amp;$D70&amp;"*",'AJE1'!$P:$P)</f>
        <v>0</v>
      </c>
      <c r="M70" s="891">
        <f t="shared" si="21"/>
        <v>0</v>
      </c>
      <c r="N70" s="641"/>
      <c r="O70" s="641"/>
      <c r="P70" s="641"/>
      <c r="Q70" s="641"/>
      <c r="T70" s="3056">
        <v>2211</v>
      </c>
      <c r="U70" s="3063">
        <v>974467.27</v>
      </c>
    </row>
    <row r="71" spans="1:21" ht="18">
      <c r="A71" s="1648" t="str">
        <f t="shared" si="0"/>
        <v>Ｘ</v>
      </c>
      <c r="B71" s="1647">
        <f t="shared" si="1"/>
        <v>-1</v>
      </c>
      <c r="C71" s="1647" t="str">
        <f t="shared" si="2"/>
        <v>J</v>
      </c>
      <c r="D71" s="1659">
        <v>2115</v>
      </c>
      <c r="E71" s="888" t="str">
        <f t="shared" si="3"/>
        <v>衍生金融负债</v>
      </c>
      <c r="F71" s="884">
        <f>IF(ISERROR(VLOOKUP($D71,Sheet_Prebs2,4,0)),0,VLOOKUP($D71,Sheet_Prebs2,4,0))</f>
        <v>0</v>
      </c>
      <c r="G71" s="885">
        <f>SUMIF(AJE!$B:$B,$C71&amp;$D71&amp;"*",AJE!$O:$O)</f>
        <v>0</v>
      </c>
      <c r="H71" s="885">
        <f>SUMIF(AJE!$B:$B,$C71&amp;$D71&amp;"*",AJE!$P:$P)</f>
        <v>0</v>
      </c>
      <c r="I71" s="913">
        <f t="shared" si="22"/>
        <v>0</v>
      </c>
      <c r="J71" s="914">
        <f>IF(ISERROR(VLOOKUP($D71,Sheet_Prebs2,5,0)),0,VLOOKUP($D71,Sheet_Prebs2,5,0))</f>
        <v>0</v>
      </c>
      <c r="K71" s="885">
        <f>SUMIF('AJE1'!$B:$B,$C71&amp;$D71&amp;"*",'AJE1'!$O:$O)</f>
        <v>0</v>
      </c>
      <c r="L71" s="885">
        <f>SUMIF('AJE1'!$B:$B,$C71&amp;$D71&amp;"*",'AJE1'!$P:$P)</f>
        <v>0</v>
      </c>
      <c r="M71" s="891">
        <f t="shared" si="21"/>
        <v>0</v>
      </c>
      <c r="N71" s="641"/>
      <c r="O71" s="641"/>
      <c r="P71" s="641"/>
      <c r="Q71" s="641"/>
      <c r="T71" s="3056">
        <v>2221</v>
      </c>
      <c r="U71" s="3063">
        <v>487153.95</v>
      </c>
    </row>
    <row r="72" spans="1:21" ht="18">
      <c r="A72" s="1648" t="str">
        <f>VLOOKUP($D72,Sheet_Items,4,0)</f>
        <v>DEL</v>
      </c>
      <c r="B72" s="1647">
        <f>VLOOKUP($D72,Sheet_Items,3,0)</f>
        <v>-1</v>
      </c>
      <c r="C72" s="1647">
        <f>VLOOKUP($D72,Sheet_Items,9,0)</f>
        <v>0</v>
      </c>
      <c r="D72" s="1659">
        <v>2203</v>
      </c>
      <c r="E72" s="888" t="str">
        <f>VLOOKUP($D72,Sheet_Items,2,0)</f>
        <v>应付票据及应付账款</v>
      </c>
      <c r="F72" s="884">
        <f>SUM(F73:F74)</f>
        <v>11123454.48</v>
      </c>
      <c r="G72" s="885">
        <f>SUMIF(AJE!$B:$B,$C72&amp;$D72&amp;"*",AJE!$O:$O)+SUMIF(AJE!$B:$B,"J2201*",AJE!$O:$O)+SUMIF(AJE!$B:$B,"J2202*",AJE!$O:$O)</f>
        <v>0</v>
      </c>
      <c r="H72" s="885">
        <f>SUMIF(AJE!$B:$B,$C72&amp;$D72&amp;"*",AJE!$P:$P)+SUMIF(AJE!$B:$B,"J2201*",AJE!$P:$P)+SUMIF(AJE!$B:$B,"J2202*",AJE!$P:$P)</f>
        <v>0</v>
      </c>
      <c r="I72" s="913">
        <f t="shared" si="22"/>
        <v>11123454.48</v>
      </c>
      <c r="J72" s="914">
        <f>SUM(J73:J74)</f>
        <v>8476287.8300000001</v>
      </c>
      <c r="K72" s="885">
        <f>SUMIF('AJE1'!$B:$B,$C72&amp;$D72&amp;"*",'AJE1'!$O:$O)+SUMIF('AJE1'!$B:$B,"J2201*",'AJE1'!$O:$O)+SUMIF('AJE1'!$B:$B,"J2202*",'AJE1'!$O:$O)</f>
        <v>0</v>
      </c>
      <c r="L72" s="885">
        <f>SUMIF('AJE1'!$B:$B,$C72&amp;$D72&amp;"*",'AJE1'!$P:$P)+SUMIF('AJE1'!$B:$B,"J2201*",'AJE1'!$P:$P)+SUMIF('AJE1'!$B:$B,"J2202*",'AJE1'!$P:$P)</f>
        <v>0</v>
      </c>
      <c r="M72" s="891">
        <f t="shared" si="21"/>
        <v>8476287.8300000001</v>
      </c>
      <c r="N72" s="641"/>
      <c r="O72" s="641"/>
      <c r="P72" s="641"/>
      <c r="Q72" s="641"/>
      <c r="T72" s="3056">
        <v>2246</v>
      </c>
      <c r="U72" s="3063">
        <v>2070907</v>
      </c>
    </row>
    <row r="73" spans="1:21" ht="18">
      <c r="A73" s="1648">
        <f t="shared" si="0"/>
        <v>0</v>
      </c>
      <c r="B73" s="1647">
        <f t="shared" si="1"/>
        <v>-1</v>
      </c>
      <c r="C73" s="1647" t="str">
        <f t="shared" si="2"/>
        <v>J</v>
      </c>
      <c r="D73" s="1659">
        <v>2201</v>
      </c>
      <c r="E73" s="916" t="str">
        <f t="shared" si="3"/>
        <v>应付票据</v>
      </c>
      <c r="F73" s="884">
        <f t="shared" si="19"/>
        <v>0</v>
      </c>
      <c r="G73" s="885">
        <f>SUMIF(AJE!$B:$B,$C73&amp;$D73&amp;"*",AJE!$O:$O)</f>
        <v>0</v>
      </c>
      <c r="H73" s="885">
        <f>SUMIF(AJE!$B:$B,$C73&amp;$D73&amp;"*",AJE!$P:$P)</f>
        <v>0</v>
      </c>
      <c r="I73" s="913">
        <f t="shared" si="22"/>
        <v>0</v>
      </c>
      <c r="J73" s="914">
        <f t="shared" si="20"/>
        <v>0</v>
      </c>
      <c r="K73" s="885">
        <f>SUMIF('AJE1'!$B:$B,$C73&amp;$D73&amp;"*",'AJE1'!$O:$O)</f>
        <v>0</v>
      </c>
      <c r="L73" s="885">
        <f>SUMIF('AJE1'!$B:$B,$C73&amp;$D73&amp;"*",'AJE1'!$P:$P)</f>
        <v>0</v>
      </c>
      <c r="M73" s="891">
        <f t="shared" si="21"/>
        <v>0</v>
      </c>
      <c r="N73" s="641"/>
      <c r="O73" s="641"/>
      <c r="P73" s="641"/>
      <c r="Q73" s="641"/>
      <c r="T73" s="3056">
        <v>2231</v>
      </c>
      <c r="U73" s="3063">
        <v>0</v>
      </c>
    </row>
    <row r="74" spans="1:21" ht="18">
      <c r="A74" s="1648">
        <f t="shared" si="0"/>
        <v>0</v>
      </c>
      <c r="B74" s="1647">
        <f t="shared" si="1"/>
        <v>-1</v>
      </c>
      <c r="C74" s="1647" t="str">
        <f t="shared" si="2"/>
        <v>J</v>
      </c>
      <c r="D74" s="1659">
        <v>2202</v>
      </c>
      <c r="E74" s="916" t="str">
        <f t="shared" si="3"/>
        <v>应付账款</v>
      </c>
      <c r="F74" s="884">
        <f t="shared" si="19"/>
        <v>11123454.48</v>
      </c>
      <c r="G74" s="885">
        <f>SUMIF(AJE!$B:$B,$C74&amp;$D74&amp;"*",AJE!$O:$O)</f>
        <v>0</v>
      </c>
      <c r="H74" s="885">
        <f>SUMIF(AJE!$B:$B,$C74&amp;$D74&amp;"*",AJE!$P:$P)</f>
        <v>0</v>
      </c>
      <c r="I74" s="913">
        <f t="shared" si="22"/>
        <v>11123454.48</v>
      </c>
      <c r="J74" s="914">
        <f t="shared" si="20"/>
        <v>8476287.8300000001</v>
      </c>
      <c r="K74" s="885">
        <f>SUMIF('AJE1'!$B:$B,$C74&amp;$D74&amp;"*",'AJE1'!$O:$O)</f>
        <v>0</v>
      </c>
      <c r="L74" s="885">
        <f>SUMIF('AJE1'!$B:$B,$C74&amp;$D74&amp;"*",'AJE1'!$P:$P)</f>
        <v>0</v>
      </c>
      <c r="M74" s="891">
        <f t="shared" si="21"/>
        <v>8476287.8300000001</v>
      </c>
      <c r="N74" s="641"/>
      <c r="O74" s="641"/>
      <c r="P74" s="641"/>
      <c r="Q74" s="641"/>
      <c r="T74" s="3056">
        <v>2232</v>
      </c>
      <c r="U74" s="3063">
        <v>0</v>
      </c>
    </row>
    <row r="75" spans="1:21" ht="18">
      <c r="A75" s="1648">
        <f t="shared" si="0"/>
        <v>0</v>
      </c>
      <c r="B75" s="1647">
        <f t="shared" si="1"/>
        <v>-1</v>
      </c>
      <c r="C75" s="1647" t="str">
        <f t="shared" si="2"/>
        <v>J</v>
      </c>
      <c r="D75" s="1659">
        <v>2205</v>
      </c>
      <c r="E75" s="888" t="str">
        <f t="shared" si="3"/>
        <v>预收款项</v>
      </c>
      <c r="F75" s="884">
        <f t="shared" si="19"/>
        <v>2360727.0299999998</v>
      </c>
      <c r="G75" s="885">
        <f>SUMIF(AJE!$B:$B,$C75&amp;$D75&amp;"*",AJE!$O:$O)</f>
        <v>0</v>
      </c>
      <c r="H75" s="885">
        <f>SUMIF(AJE!$B:$B,$C75&amp;$D75&amp;"*",AJE!$P:$P)</f>
        <v>0</v>
      </c>
      <c r="I75" s="913">
        <f t="shared" si="22"/>
        <v>2360727.0299999998</v>
      </c>
      <c r="J75" s="914">
        <f t="shared" si="20"/>
        <v>2229809.83</v>
      </c>
      <c r="K75" s="885">
        <f>SUMIF('AJE1'!$B:$B,$C75&amp;$D75&amp;"*",'AJE1'!$O:$O)</f>
        <v>0</v>
      </c>
      <c r="L75" s="885">
        <f>SUMIF('AJE1'!$B:$B,$C75&amp;$D75&amp;"*",'AJE1'!$P:$P)</f>
        <v>0</v>
      </c>
      <c r="M75" s="891">
        <f t="shared" si="21"/>
        <v>2229809.83</v>
      </c>
      <c r="N75" s="641"/>
      <c r="O75" s="641"/>
      <c r="P75" s="641"/>
      <c r="Q75" s="641"/>
      <c r="T75" s="3056">
        <v>2241</v>
      </c>
      <c r="U75" s="3063">
        <v>2070907</v>
      </c>
    </row>
    <row r="76" spans="1:21" ht="18">
      <c r="A76" s="1648" t="str">
        <f>VLOOKUP($D76,Sheet_Items,4,0)</f>
        <v>_SR</v>
      </c>
      <c r="B76" s="1647">
        <f>VLOOKUP($D76,Sheet_Items,3,0)</f>
        <v>-1</v>
      </c>
      <c r="C76" s="1647" t="str">
        <f>VLOOKUP($D76,Sheet_Items,9,0)</f>
        <v>J</v>
      </c>
      <c r="D76" s="1659">
        <v>2206</v>
      </c>
      <c r="E76" s="889" t="str">
        <f>VLOOKUP($D76,Sheet_Items,2,0)</f>
        <v>合同负债</v>
      </c>
      <c r="F76" s="884">
        <f t="shared" si="19"/>
        <v>0</v>
      </c>
      <c r="G76" s="885">
        <f>SUMIF(AJE!$B:$B,$C76&amp;$D76&amp;"*",AJE!$O:$O)</f>
        <v>0</v>
      </c>
      <c r="H76" s="885">
        <f>SUMIF(AJE!$B:$B,$C76&amp;$D76&amp;"*",AJE!$P:$P)</f>
        <v>0</v>
      </c>
      <c r="I76" s="913">
        <f t="shared" si="22"/>
        <v>0</v>
      </c>
      <c r="J76" s="914">
        <f t="shared" si="20"/>
        <v>0</v>
      </c>
      <c r="K76" s="885">
        <f>SUMIF('AJE1'!$B:$B,$C76&amp;$D76&amp;"*",'AJE1'!$O:$O)</f>
        <v>0</v>
      </c>
      <c r="L76" s="885">
        <f>SUMIF('AJE1'!$B:$B,$C76&amp;$D76&amp;"*",'AJE1'!$P:$P)</f>
        <v>0</v>
      </c>
      <c r="M76" s="891">
        <f t="shared" ref="M76" si="24">($B76*J76+K76-L76)*$B76</f>
        <v>0</v>
      </c>
      <c r="N76" s="641"/>
      <c r="O76" s="641"/>
      <c r="P76" s="641"/>
      <c r="Q76" s="641"/>
      <c r="T76" s="3056">
        <v>2261</v>
      </c>
      <c r="U76" s="3063">
        <v>0</v>
      </c>
    </row>
    <row r="77" spans="1:21" ht="18">
      <c r="A77" s="1648" t="str">
        <f>VLOOKUP($D77,Sheet_Items,4,0)</f>
        <v>△</v>
      </c>
      <c r="B77" s="1647">
        <f>VLOOKUP($D77,Sheet_Items,3,0)</f>
        <v>-1</v>
      </c>
      <c r="C77" s="1647" t="str">
        <f>VLOOKUP($D77,Sheet_Items,9,0)</f>
        <v>J</v>
      </c>
      <c r="D77" s="1659">
        <v>2111</v>
      </c>
      <c r="E77" s="888" t="str">
        <f>VLOOKUP($D77,Sheet_Items,2,0)</f>
        <v>卖出回购金融资产款</v>
      </c>
      <c r="F77" s="884">
        <f>VLOOKUP($D77,Sheet_Prebs2,4,0)</f>
        <v>0</v>
      </c>
      <c r="G77" s="885">
        <f>SUMIF(AJE!$B:$B,$C77&amp;$D77&amp;"*",AJE!$O:$O)</f>
        <v>0</v>
      </c>
      <c r="H77" s="885">
        <f>SUMIF(AJE!$B:$B,$C77&amp;$D77&amp;"*",AJE!$P:$P)</f>
        <v>0</v>
      </c>
      <c r="I77" s="913">
        <f>(B77*F77+G77-H77)*B77</f>
        <v>0</v>
      </c>
      <c r="J77" s="914">
        <f>VLOOKUP($D77,Sheet_Prebs2,5,0)</f>
        <v>0</v>
      </c>
      <c r="K77" s="885">
        <f>SUMIF('AJE1'!$B:$B,$C77&amp;$D77&amp;"*",'AJE1'!$O:$O)</f>
        <v>0</v>
      </c>
      <c r="L77" s="885">
        <f>SUMIF('AJE1'!$B:$B,$C77&amp;$D77&amp;"*",'AJE1'!$P:$P)</f>
        <v>0</v>
      </c>
      <c r="M77" s="891">
        <f>($B77*J77+K77-L77)*$B77</f>
        <v>0</v>
      </c>
      <c r="N77" s="641"/>
      <c r="O77" s="641"/>
      <c r="P77" s="641"/>
      <c r="Q77" s="641"/>
      <c r="T77" s="3056">
        <v>2310</v>
      </c>
      <c r="U77" s="3063">
        <v>0</v>
      </c>
    </row>
    <row r="78" spans="1:21" ht="18">
      <c r="A78" s="1648" t="str">
        <f>VLOOKUP($D78,Sheet_Items,4,0)</f>
        <v>△</v>
      </c>
      <c r="B78" s="1647">
        <f>VLOOKUP($D78,Sheet_Items,3,0)</f>
        <v>-1</v>
      </c>
      <c r="C78" s="1647" t="str">
        <f>VLOOKUP($D78,Sheet_Items,9,0)</f>
        <v>J</v>
      </c>
      <c r="D78" s="1659">
        <v>2010</v>
      </c>
      <c r="E78" s="888" t="str">
        <f>VLOOKUP($D78,Sheet_Items,2,0)</f>
        <v>吸收存款及同业存放</v>
      </c>
      <c r="F78" s="884">
        <f>VLOOKUP($D78,Sheet_Prebs2,4,0)</f>
        <v>0</v>
      </c>
      <c r="G78" s="885">
        <f>SUMIF(AJE!$B:$B,$C78&amp;$D78&amp;"*",AJE!$O:$O)</f>
        <v>0</v>
      </c>
      <c r="H78" s="885">
        <f>SUMIF(AJE!$B:$B,$C78&amp;$D78&amp;"*",AJE!$P:$P)</f>
        <v>0</v>
      </c>
      <c r="I78" s="913">
        <f>(B78*F78+G78-H78)*B78</f>
        <v>0</v>
      </c>
      <c r="J78" s="914">
        <f>VLOOKUP($D78,Sheet_Prebs2,5,0)</f>
        <v>0</v>
      </c>
      <c r="K78" s="885">
        <f>SUMIF('AJE1'!$B:$B,$C78&amp;$D78&amp;"*",'AJE1'!$O:$O)</f>
        <v>0</v>
      </c>
      <c r="L78" s="885">
        <f>SUMIF('AJE1'!$B:$B,$C78&amp;$D78&amp;"*",'AJE1'!$P:$P)</f>
        <v>0</v>
      </c>
      <c r="M78" s="891">
        <f>($B78*J78+K78-L78)*$B78</f>
        <v>0</v>
      </c>
      <c r="N78" s="641"/>
      <c r="O78" s="641"/>
      <c r="P78" s="641"/>
      <c r="Q78" s="641"/>
      <c r="T78" s="3056">
        <v>2311</v>
      </c>
      <c r="U78" s="3063">
        <v>0</v>
      </c>
    </row>
    <row r="79" spans="1:21" ht="18">
      <c r="A79" s="1648" t="str">
        <f>VLOOKUP($D79,Sheet_Items,4,0)</f>
        <v>△</v>
      </c>
      <c r="B79" s="1647">
        <f>VLOOKUP($D79,Sheet_Items,3,0)</f>
        <v>-1</v>
      </c>
      <c r="C79" s="1647" t="str">
        <f>VLOOKUP($D79,Sheet_Items,9,0)</f>
        <v>J</v>
      </c>
      <c r="D79" s="1659">
        <v>2311</v>
      </c>
      <c r="E79" s="888" t="str">
        <f>VLOOKUP($D79,Sheet_Items,2,0)</f>
        <v>代理买卖证券款</v>
      </c>
      <c r="F79" s="884">
        <f>VLOOKUP($D79,Sheet_Prebs2,4,0)</f>
        <v>0</v>
      </c>
      <c r="G79" s="885">
        <f>SUMIF(AJE!$B:$B,$C79&amp;$D79&amp;"*",AJE!$O:$O)</f>
        <v>0</v>
      </c>
      <c r="H79" s="885">
        <f>SUMIF(AJE!$B:$B,$C79&amp;$D79&amp;"*",AJE!$P:$P)</f>
        <v>0</v>
      </c>
      <c r="I79" s="913">
        <f>(B79*F79+G79-H79)*B79</f>
        <v>0</v>
      </c>
      <c r="J79" s="914">
        <f>VLOOKUP($D79,Sheet_Prebs2,5,0)</f>
        <v>0</v>
      </c>
      <c r="K79" s="885">
        <f>SUMIF('AJE1'!$B:$B,$C79&amp;$D79&amp;"*",'AJE1'!$O:$O)</f>
        <v>0</v>
      </c>
      <c r="L79" s="885">
        <f>SUMIF('AJE1'!$B:$B,$C79&amp;$D79&amp;"*",'AJE1'!$P:$P)</f>
        <v>0</v>
      </c>
      <c r="M79" s="891">
        <f>($B79*J79+K79-L79)*$B79</f>
        <v>0</v>
      </c>
      <c r="N79" s="641"/>
      <c r="O79" s="641"/>
      <c r="P79" s="641"/>
      <c r="Q79" s="641"/>
      <c r="T79" s="3056">
        <v>2312</v>
      </c>
      <c r="U79" s="3063">
        <v>0</v>
      </c>
    </row>
    <row r="80" spans="1:21" ht="18">
      <c r="A80" s="1648" t="str">
        <f>VLOOKUP($D80,Sheet_Items,4,0)</f>
        <v>△</v>
      </c>
      <c r="B80" s="1647">
        <f>VLOOKUP($D80,Sheet_Items,3,0)</f>
        <v>-1</v>
      </c>
      <c r="C80" s="1647" t="str">
        <f>VLOOKUP($D80,Sheet_Items,9,0)</f>
        <v>J</v>
      </c>
      <c r="D80" s="1659">
        <v>2312</v>
      </c>
      <c r="E80" s="888" t="str">
        <f>VLOOKUP($D80,Sheet_Items,2,0)</f>
        <v>代理承销证券款</v>
      </c>
      <c r="F80" s="884">
        <f>VLOOKUP($D80,Sheet_Prebs2,4,0)</f>
        <v>0</v>
      </c>
      <c r="G80" s="885">
        <f>SUMIF(AJE!$B:$B,$C80&amp;$D80&amp;"*",AJE!$O:$O)</f>
        <v>0</v>
      </c>
      <c r="H80" s="885">
        <f>SUMIF(AJE!$B:$B,$C80&amp;$D80&amp;"*",AJE!$P:$P)</f>
        <v>0</v>
      </c>
      <c r="I80" s="913">
        <f>(B80*F80+G80-H80)*B80</f>
        <v>0</v>
      </c>
      <c r="J80" s="914">
        <f>VLOOKUP($D80,Sheet_Prebs2,5,0)</f>
        <v>0</v>
      </c>
      <c r="K80" s="885">
        <f>SUMIF('AJE1'!$B:$B,$C80&amp;$D80&amp;"*",'AJE1'!$O:$O)</f>
        <v>0</v>
      </c>
      <c r="L80" s="885">
        <f>SUMIF('AJE1'!$B:$B,$C80&amp;$D80&amp;"*",'AJE1'!$P:$P)</f>
        <v>0</v>
      </c>
      <c r="M80" s="891">
        <f>($B80*J80+K80-L80)*$B80</f>
        <v>0</v>
      </c>
      <c r="N80" s="641"/>
      <c r="O80" s="641"/>
      <c r="P80" s="641"/>
      <c r="Q80" s="641"/>
      <c r="T80" s="3056">
        <v>2315</v>
      </c>
      <c r="U80" s="3063">
        <v>0</v>
      </c>
    </row>
    <row r="81" spans="1:21" ht="18">
      <c r="A81" s="1648">
        <f t="shared" si="0"/>
        <v>0</v>
      </c>
      <c r="B81" s="1647">
        <f t="shared" si="1"/>
        <v>-1</v>
      </c>
      <c r="C81" s="1647" t="str">
        <f t="shared" si="2"/>
        <v>J</v>
      </c>
      <c r="D81" s="1659">
        <v>2211</v>
      </c>
      <c r="E81" s="888" t="str">
        <f t="shared" si="3"/>
        <v>应付职工薪酬</v>
      </c>
      <c r="F81" s="884">
        <f t="shared" si="19"/>
        <v>1058561.81</v>
      </c>
      <c r="G81" s="885">
        <f>SUMIF(AJE!$B:$B,$C81&amp;$D81&amp;"*",AJE!$O:$O)</f>
        <v>0</v>
      </c>
      <c r="H81" s="885">
        <f>SUMIF(AJE!$B:$B,$C81&amp;$D81&amp;"*",AJE!$P:$P)</f>
        <v>0</v>
      </c>
      <c r="I81" s="913">
        <f t="shared" si="22"/>
        <v>1058561.81</v>
      </c>
      <c r="J81" s="914">
        <f t="shared" si="20"/>
        <v>974467.27</v>
      </c>
      <c r="K81" s="885">
        <f>SUMIF('AJE1'!$B:$B,$C81&amp;$D81&amp;"*",'AJE1'!$O:$O)</f>
        <v>0</v>
      </c>
      <c r="L81" s="885">
        <f>SUMIF('AJE1'!$B:$B,$C81&amp;$D81&amp;"*",'AJE1'!$P:$P)</f>
        <v>0</v>
      </c>
      <c r="M81" s="891">
        <f t="shared" si="21"/>
        <v>974467.27</v>
      </c>
      <c r="N81" s="641"/>
      <c r="O81" s="641"/>
      <c r="P81" s="641"/>
      <c r="Q81" s="641"/>
      <c r="T81" s="3056">
        <v>2395</v>
      </c>
      <c r="U81" s="3063">
        <v>0</v>
      </c>
    </row>
    <row r="82" spans="1:21" ht="18">
      <c r="A82" s="1648">
        <f t="shared" si="0"/>
        <v>0</v>
      </c>
      <c r="B82" s="1647">
        <f t="shared" si="1"/>
        <v>-1</v>
      </c>
      <c r="C82" s="1647" t="str">
        <f t="shared" si="2"/>
        <v>J</v>
      </c>
      <c r="D82" s="1659">
        <v>2221</v>
      </c>
      <c r="E82" s="888" t="str">
        <f t="shared" si="3"/>
        <v>应交税费</v>
      </c>
      <c r="F82" s="884">
        <f t="shared" si="19"/>
        <v>507471.64</v>
      </c>
      <c r="G82" s="885">
        <f>SUMIF(AJE!$B:$B,$C82&amp;$D82&amp;"*",AJE!$O:$O)</f>
        <v>0</v>
      </c>
      <c r="H82" s="885">
        <f>SUMIF(AJE!$B:$B,$C82&amp;$D82&amp;"*",AJE!$P:$P)</f>
        <v>0</v>
      </c>
      <c r="I82" s="913">
        <f t="shared" si="22"/>
        <v>507471.64</v>
      </c>
      <c r="J82" s="914">
        <f t="shared" si="20"/>
        <v>487153.95</v>
      </c>
      <c r="K82" s="885">
        <f>SUMIF('AJE1'!$B:$B,$C82&amp;$D82&amp;"*",'AJE1'!$O:$O)</f>
        <v>0</v>
      </c>
      <c r="L82" s="885">
        <f>SUMIF('AJE1'!$B:$B,$C82&amp;$D82&amp;"*",'AJE1'!$P:$P)</f>
        <v>0</v>
      </c>
      <c r="M82" s="891">
        <f t="shared" si="21"/>
        <v>487153.95</v>
      </c>
      <c r="N82" s="641"/>
      <c r="O82" s="641"/>
      <c r="P82" s="641"/>
      <c r="Q82" s="641"/>
      <c r="T82" s="3056">
        <v>2396</v>
      </c>
      <c r="U82" s="3063">
        <v>0</v>
      </c>
    </row>
    <row r="83" spans="1:21" ht="18">
      <c r="A83" s="1648">
        <f>VLOOKUP($D83,Sheet_Items,4,0)</f>
        <v>0</v>
      </c>
      <c r="B83" s="1647">
        <f>VLOOKUP($D83,Sheet_Items,3,0)</f>
        <v>-1</v>
      </c>
      <c r="C83" s="1647">
        <f>VLOOKUP($D83,Sheet_Items,9,0)</f>
        <v>0</v>
      </c>
      <c r="D83" s="1659">
        <v>2246</v>
      </c>
      <c r="E83" s="888" t="str">
        <f>VLOOKUP($D83,Sheet_Items,2,0)</f>
        <v>其他应付款（报表项目）</v>
      </c>
      <c r="F83" s="884">
        <f t="shared" si="19"/>
        <v>1099058.8700000001</v>
      </c>
      <c r="G83" s="885">
        <f>SUMIF(AJE!$B:$B,"J2241*",AJE!$O:$O)+SUMIF(AJE!$B:$B,"J2231*",AJE!$O:$O)+SUMIF(AJE!$B:$B,"J2232*",AJE!$O:$O)</f>
        <v>2968.82</v>
      </c>
      <c r="H83" s="885">
        <f>SUMIF(AJE!$B:$B,"J2241*",AJE!$P:$P)+SUMIF(AJE!$B:$B,"J2231*",AJE!$P:$P)+SUMIF(AJE!$B:$B,"J2232*",AJE!$P:$P)</f>
        <v>0</v>
      </c>
      <c r="I83" s="913">
        <f t="shared" si="22"/>
        <v>1096090.05</v>
      </c>
      <c r="J83" s="914">
        <f t="shared" si="20"/>
        <v>2070907</v>
      </c>
      <c r="K83" s="885">
        <f>SUMIF('AJE1'!$B:$B,"J2241*",'AJE1'!$O:$O)+SUMIF('AJE1'!$B:$B,"J2231*",'AJE1'!$O:$O)+SUMIF('AJE1'!$B:$B,"J2232*",'AJE1'!$O:$O)</f>
        <v>0</v>
      </c>
      <c r="L83" s="885">
        <f>SUMIF('AJE1'!$B:$B,"J2241*",'AJE1'!$P:$P)+SUMIF('AJE1'!$B:$B,"J2231*",'AJE1'!$P:$P)+SUMIF('AJE1'!$B:$B,"J2232*",'AJE1'!$P:$P)</f>
        <v>0</v>
      </c>
      <c r="M83" s="891">
        <f t="shared" si="21"/>
        <v>2070907</v>
      </c>
      <c r="N83" s="641"/>
      <c r="O83" s="641"/>
      <c r="P83" s="641"/>
      <c r="Q83" s="641"/>
      <c r="T83" s="3056">
        <v>2498</v>
      </c>
      <c r="U83" s="3063">
        <v>14238625.880000001</v>
      </c>
    </row>
    <row r="84" spans="1:21" ht="18">
      <c r="A84" s="1648">
        <f t="shared" si="0"/>
        <v>0</v>
      </c>
      <c r="B84" s="1647">
        <f t="shared" si="1"/>
        <v>-1</v>
      </c>
      <c r="C84" s="1647" t="str">
        <f t="shared" si="2"/>
        <v>J</v>
      </c>
      <c r="D84" s="1659">
        <v>2231</v>
      </c>
      <c r="E84" s="2188" t="str">
        <f t="shared" si="3"/>
        <v>应付利息</v>
      </c>
      <c r="F84" s="884">
        <f t="shared" si="19"/>
        <v>0</v>
      </c>
      <c r="G84" s="885">
        <f>SUMIF(AJE!$B:$B,$C84&amp;$D84&amp;"*",AJE!$O:$O)</f>
        <v>0</v>
      </c>
      <c r="H84" s="885">
        <f>SUMIF(AJE!$B:$B,$C84&amp;$D84&amp;"*",AJE!$P:$P)</f>
        <v>0</v>
      </c>
      <c r="I84" s="913">
        <f t="shared" si="22"/>
        <v>0</v>
      </c>
      <c r="J84" s="914">
        <f t="shared" si="20"/>
        <v>0</v>
      </c>
      <c r="K84" s="885">
        <f>SUMIF('AJE1'!$B:$B,$C84&amp;$D84&amp;"*",'AJE1'!$O:$O)</f>
        <v>0</v>
      </c>
      <c r="L84" s="885">
        <f>SUMIF('AJE1'!$B:$B,$C84&amp;$D84&amp;"*",'AJE1'!$P:$P)</f>
        <v>0</v>
      </c>
      <c r="M84" s="891">
        <f t="shared" si="21"/>
        <v>0</v>
      </c>
      <c r="N84" s="641"/>
      <c r="O84" s="641"/>
      <c r="P84" s="641"/>
      <c r="Q84" s="641"/>
      <c r="T84" s="3056">
        <v>2500</v>
      </c>
      <c r="U84" s="3063"/>
    </row>
    <row r="85" spans="1:21" ht="18">
      <c r="A85" s="1648">
        <f t="shared" si="0"/>
        <v>0</v>
      </c>
      <c r="B85" s="1647">
        <f t="shared" si="1"/>
        <v>-1</v>
      </c>
      <c r="C85" s="1647" t="str">
        <f t="shared" si="2"/>
        <v>J</v>
      </c>
      <c r="D85" s="1659">
        <v>2232</v>
      </c>
      <c r="E85" s="2188" t="str">
        <f t="shared" si="3"/>
        <v>应付股利</v>
      </c>
      <c r="F85" s="884">
        <f t="shared" si="19"/>
        <v>0</v>
      </c>
      <c r="G85" s="885">
        <f>SUMIF(AJE!$B:$B,$C85&amp;$D85&amp;"*",AJE!$O:$O)</f>
        <v>0</v>
      </c>
      <c r="H85" s="885">
        <f>SUMIF(AJE!$B:$B,$C85&amp;$D85&amp;"*",AJE!$P:$P)</f>
        <v>0</v>
      </c>
      <c r="I85" s="913">
        <f t="shared" si="22"/>
        <v>0</v>
      </c>
      <c r="J85" s="914">
        <f t="shared" si="20"/>
        <v>0</v>
      </c>
      <c r="K85" s="885">
        <f>SUMIF('AJE1'!$B:$B,$C85&amp;$D85&amp;"*",'AJE1'!$O:$O)</f>
        <v>0</v>
      </c>
      <c r="L85" s="885">
        <f>SUMIF('AJE1'!$B:$B,$C85&amp;$D85&amp;"*",'AJE1'!$P:$P)</f>
        <v>0</v>
      </c>
      <c r="M85" s="891">
        <f t="shared" si="21"/>
        <v>0</v>
      </c>
      <c r="N85" s="641"/>
      <c r="O85" s="641"/>
      <c r="P85" s="641"/>
      <c r="Q85" s="641"/>
      <c r="T85" s="3056">
        <v>2501</v>
      </c>
      <c r="U85" s="3063">
        <v>0</v>
      </c>
    </row>
    <row r="86" spans="1:21" ht="18">
      <c r="A86" s="1648">
        <f t="shared" si="0"/>
        <v>0</v>
      </c>
      <c r="B86" s="1647">
        <f t="shared" si="1"/>
        <v>-1</v>
      </c>
      <c r="C86" s="1647" t="str">
        <f t="shared" si="2"/>
        <v>J</v>
      </c>
      <c r="D86" s="1659">
        <v>2241</v>
      </c>
      <c r="E86" s="2188" t="str">
        <f t="shared" si="3"/>
        <v>其他应付款</v>
      </c>
      <c r="F86" s="884">
        <f t="shared" si="19"/>
        <v>1099058.8700000001</v>
      </c>
      <c r="G86" s="885">
        <f>SUMIF(AJE!$B:$B,$C86&amp;$D86&amp;"*",AJE!$O:$O)</f>
        <v>2968.82</v>
      </c>
      <c r="H86" s="885">
        <f>SUMIF(AJE!$B:$B,$C86&amp;$D86&amp;"*",AJE!$P:$P)</f>
        <v>0</v>
      </c>
      <c r="I86" s="913">
        <f t="shared" si="22"/>
        <v>1096090.05</v>
      </c>
      <c r="J86" s="914">
        <f t="shared" si="20"/>
        <v>2070907</v>
      </c>
      <c r="K86" s="885">
        <f>SUMIF('AJE1'!$B:$B,$C86&amp;$D86&amp;"*",'AJE1'!$O:$O)</f>
        <v>0</v>
      </c>
      <c r="L86" s="885">
        <f>SUMIF('AJE1'!$B:$B,$C86&amp;$D86&amp;"*",'AJE1'!$P:$P)</f>
        <v>0</v>
      </c>
      <c r="M86" s="891">
        <f t="shared" si="21"/>
        <v>2070907</v>
      </c>
      <c r="N86" s="641"/>
      <c r="O86" s="641"/>
      <c r="P86" s="641"/>
      <c r="Q86" s="641"/>
      <c r="T86" s="3056">
        <v>2502</v>
      </c>
      <c r="U86" s="3063">
        <v>0</v>
      </c>
    </row>
    <row r="87" spans="1:21" ht="18">
      <c r="A87" s="1648" t="str">
        <f>VLOOKUP($D87,Sheet_Items,4,0)</f>
        <v>△</v>
      </c>
      <c r="B87" s="1647">
        <f>VLOOKUP($D87,Sheet_Items,3,0)</f>
        <v>-1</v>
      </c>
      <c r="C87" s="1647" t="str">
        <f>VLOOKUP($D87,Sheet_Items,9,0)</f>
        <v>J</v>
      </c>
      <c r="D87" s="1659">
        <v>2240</v>
      </c>
      <c r="E87" s="888" t="str">
        <f>VLOOKUP($D87,Sheet_Items,2,0)</f>
        <v>应付手续费及佣金</v>
      </c>
      <c r="F87" s="884">
        <f>VLOOKUP($D87,Sheet_Prebs2,4,0)</f>
        <v>0</v>
      </c>
      <c r="G87" s="885">
        <f>SUMIF(AJE!$B:$B,$C87&amp;$D87&amp;"*",AJE!$O:$O)</f>
        <v>0</v>
      </c>
      <c r="H87" s="885">
        <f>SUMIF(AJE!$B:$B,$C87&amp;$D87&amp;"*",AJE!$P:$P)</f>
        <v>0</v>
      </c>
      <c r="I87" s="913">
        <f>(B87*F87+G87-H87)*B87</f>
        <v>0</v>
      </c>
      <c r="J87" s="914">
        <f>VLOOKUP($D87,Sheet_Prebs2,5,0)</f>
        <v>0</v>
      </c>
      <c r="K87" s="885">
        <f>SUMIF('AJE1'!$B:$B,$C87&amp;$D87&amp;"*",'AJE1'!$O:$O)</f>
        <v>0</v>
      </c>
      <c r="L87" s="885">
        <f>SUMIF('AJE1'!$B:$B,$C87&amp;$D87&amp;"*",'AJE1'!$P:$P)</f>
        <v>0</v>
      </c>
      <c r="M87" s="891">
        <f>($B87*J87+K87-L87)*$B87</f>
        <v>0</v>
      </c>
      <c r="N87" s="641"/>
      <c r="O87" s="641"/>
      <c r="P87" s="641"/>
      <c r="Q87" s="641"/>
      <c r="T87" s="3057">
        <v>2502.11</v>
      </c>
      <c r="U87" s="3063">
        <v>0</v>
      </c>
    </row>
    <row r="88" spans="1:21" ht="18">
      <c r="A88" s="1648" t="str">
        <f t="shared" si="0"/>
        <v>△</v>
      </c>
      <c r="B88" s="1647">
        <f t="shared" si="1"/>
        <v>-1</v>
      </c>
      <c r="C88" s="1647" t="str">
        <f t="shared" si="2"/>
        <v>J</v>
      </c>
      <c r="D88" s="1659">
        <v>2261</v>
      </c>
      <c r="E88" s="888" t="str">
        <f t="shared" si="3"/>
        <v>应付分保账款</v>
      </c>
      <c r="F88" s="884">
        <f t="shared" si="19"/>
        <v>0</v>
      </c>
      <c r="G88" s="885">
        <f>SUMIF(AJE!$B:$B,$C88&amp;$D88&amp;"*",AJE!$O:$O)</f>
        <v>0</v>
      </c>
      <c r="H88" s="885">
        <f>SUMIF(AJE!$B:$B,$C88&amp;$D88&amp;"*",AJE!$P:$P)</f>
        <v>0</v>
      </c>
      <c r="I88" s="913">
        <f t="shared" si="22"/>
        <v>0</v>
      </c>
      <c r="J88" s="914">
        <f t="shared" si="20"/>
        <v>0</v>
      </c>
      <c r="K88" s="885">
        <f>SUMIF('AJE1'!$B:$B,$C88&amp;$D88&amp;"*",'AJE1'!$O:$O)</f>
        <v>0</v>
      </c>
      <c r="L88" s="885">
        <f>SUMIF('AJE1'!$B:$B,$C88&amp;$D88&amp;"*",'AJE1'!$P:$P)</f>
        <v>0</v>
      </c>
      <c r="M88" s="891">
        <f t="shared" si="21"/>
        <v>0</v>
      </c>
      <c r="N88" s="641"/>
      <c r="O88" s="641"/>
      <c r="P88" s="641"/>
      <c r="Q88" s="641"/>
      <c r="T88" s="3057">
        <v>2502.31</v>
      </c>
      <c r="U88" s="3063">
        <v>0</v>
      </c>
    </row>
    <row r="89" spans="1:21" ht="18">
      <c r="A89" s="1648" t="str">
        <f t="shared" si="0"/>
        <v>Ｘ</v>
      </c>
      <c r="B89" s="1647">
        <f t="shared" si="1"/>
        <v>-1</v>
      </c>
      <c r="C89" s="1647" t="str">
        <f t="shared" si="2"/>
        <v>J</v>
      </c>
      <c r="D89" s="1659">
        <v>2315</v>
      </c>
      <c r="E89" s="888" t="str">
        <f t="shared" si="3"/>
        <v>持有待售负债</v>
      </c>
      <c r="F89" s="884">
        <f>IF(ISERROR(VLOOKUP($D89,Sheet_Prebs2,4,0)),0,VLOOKUP($D89,Sheet_Prebs2,4,0))</f>
        <v>0</v>
      </c>
      <c r="G89" s="885">
        <f>SUMIF(AJE!$B:$B,$C89&amp;$D89&amp;"*",AJE!$O:$O)</f>
        <v>0</v>
      </c>
      <c r="H89" s="885">
        <f>SUMIF(AJE!$B:$B,$C89&amp;$D89&amp;"*",AJE!$P:$P)</f>
        <v>0</v>
      </c>
      <c r="I89" s="913">
        <f t="shared" si="22"/>
        <v>0</v>
      </c>
      <c r="J89" s="914">
        <f>IF(ISERROR(VLOOKUP($D89,Sheet_Prebs2,5,0)),0,VLOOKUP($D89,Sheet_Prebs2,5,0))</f>
        <v>0</v>
      </c>
      <c r="K89" s="885">
        <f>SUMIF('AJE1'!$B:$B,$C89&amp;$D89&amp;"*",'AJE1'!$O:$O)</f>
        <v>0</v>
      </c>
      <c r="L89" s="885">
        <f>SUMIF('AJE1'!$B:$B,$C89&amp;$D89&amp;"*",'AJE1'!$P:$P)</f>
        <v>0</v>
      </c>
      <c r="M89" s="891">
        <f t="shared" si="21"/>
        <v>0</v>
      </c>
      <c r="N89" s="641"/>
      <c r="O89" s="641"/>
      <c r="P89" s="641"/>
      <c r="Q89" s="641"/>
      <c r="T89" s="3058">
        <v>2706</v>
      </c>
      <c r="U89" s="3063">
        <v>0</v>
      </c>
    </row>
    <row r="90" spans="1:21" ht="18">
      <c r="A90" s="1648">
        <f t="shared" si="0"/>
        <v>0</v>
      </c>
      <c r="B90" s="1647">
        <f t="shared" si="1"/>
        <v>-1</v>
      </c>
      <c r="C90" s="1647" t="str">
        <f t="shared" si="2"/>
        <v>J</v>
      </c>
      <c r="D90" s="1659">
        <v>2395</v>
      </c>
      <c r="E90" s="888" t="str">
        <f t="shared" si="3"/>
        <v>一年内到期的非流动负债</v>
      </c>
      <c r="F90" s="884">
        <f t="shared" si="19"/>
        <v>0</v>
      </c>
      <c r="G90" s="885">
        <f>SUMIF(AJE!$B:$B,$C90&amp;$D90&amp;"*",AJE!$O:$O)</f>
        <v>0</v>
      </c>
      <c r="H90" s="885">
        <f>SUMIF(AJE!$B:$B,$C90&amp;$D90&amp;"*",AJE!$P:$P)</f>
        <v>0</v>
      </c>
      <c r="I90" s="913">
        <f t="shared" si="22"/>
        <v>0</v>
      </c>
      <c r="J90" s="914">
        <f t="shared" si="20"/>
        <v>0</v>
      </c>
      <c r="K90" s="885">
        <f>SUMIF('AJE1'!$B:$B,$C90&amp;$D90&amp;"*",'AJE1'!$O:$O)</f>
        <v>0</v>
      </c>
      <c r="L90" s="885">
        <f>SUMIF('AJE1'!$B:$B,$C90&amp;$D90&amp;"*",'AJE1'!$P:$P)</f>
        <v>0</v>
      </c>
      <c r="M90" s="891">
        <f t="shared" si="21"/>
        <v>0</v>
      </c>
      <c r="N90" s="641"/>
      <c r="O90" s="641"/>
      <c r="P90" s="641"/>
      <c r="Q90" s="641"/>
      <c r="T90" s="3056">
        <v>2701</v>
      </c>
      <c r="U90" s="3063">
        <v>0</v>
      </c>
    </row>
    <row r="91" spans="1:21" ht="18">
      <c r="A91" s="1648">
        <f t="shared" si="0"/>
        <v>0</v>
      </c>
      <c r="B91" s="1647">
        <f t="shared" si="1"/>
        <v>-1</v>
      </c>
      <c r="C91" s="1647" t="str">
        <f t="shared" si="2"/>
        <v>J</v>
      </c>
      <c r="D91" s="1659">
        <v>2396</v>
      </c>
      <c r="E91" s="888" t="str">
        <f t="shared" si="3"/>
        <v>其他流动负债</v>
      </c>
      <c r="F91" s="884">
        <f t="shared" si="19"/>
        <v>0</v>
      </c>
      <c r="G91" s="885">
        <f>SUMIF(AJE!$B:$B,$C91&amp;$D91&amp;"*",AJE!$O:$O)</f>
        <v>0</v>
      </c>
      <c r="H91" s="885">
        <f>SUMIF(AJE!$B:$B,$C91&amp;$D91&amp;"*",AJE!$P:$P)</f>
        <v>0</v>
      </c>
      <c r="I91" s="913">
        <f t="shared" si="22"/>
        <v>0</v>
      </c>
      <c r="J91" s="914">
        <f t="shared" si="20"/>
        <v>0</v>
      </c>
      <c r="K91" s="885">
        <f>SUMIF('AJE1'!$B:$B,$C91&amp;$D91&amp;"*",'AJE1'!$O:$O)</f>
        <v>0</v>
      </c>
      <c r="L91" s="885">
        <f>SUMIF('AJE1'!$B:$B,$C91&amp;$D91&amp;"*",'AJE1'!$P:$P)</f>
        <v>0</v>
      </c>
      <c r="M91" s="891">
        <f t="shared" si="21"/>
        <v>0</v>
      </c>
      <c r="N91" s="641"/>
      <c r="O91" s="641"/>
      <c r="P91" s="641"/>
      <c r="Q91" s="641"/>
      <c r="T91" s="3056">
        <v>2711</v>
      </c>
      <c r="U91" s="3063">
        <v>0</v>
      </c>
    </row>
    <row r="92" spans="1:21" ht="18">
      <c r="A92" s="1648" t="str">
        <f t="shared" si="0"/>
        <v>＝</v>
      </c>
      <c r="B92" s="1647">
        <f t="shared" si="1"/>
        <v>0</v>
      </c>
      <c r="C92" s="1647">
        <f t="shared" si="2"/>
        <v>0</v>
      </c>
      <c r="D92" s="2186">
        <v>2498</v>
      </c>
      <c r="E92" s="2187" t="str">
        <f t="shared" si="3"/>
        <v>流动负债</v>
      </c>
      <c r="F92" s="884">
        <f>SUM(F66:F91)-SUM(F72,F84,F85,F86)</f>
        <v>18149273.829999998</v>
      </c>
      <c r="G92" s="885">
        <f t="shared" ref="G92:M92" si="25">SUM(G66:G91)-SUM(G72,G84,G85,G86)</f>
        <v>2968.82</v>
      </c>
      <c r="H92" s="885">
        <f t="shared" si="25"/>
        <v>2968.82</v>
      </c>
      <c r="I92" s="913">
        <f t="shared" si="25"/>
        <v>18149273.829999998</v>
      </c>
      <c r="J92" s="914">
        <f t="shared" si="25"/>
        <v>14238625.880000001</v>
      </c>
      <c r="K92" s="885">
        <f t="shared" si="25"/>
        <v>0</v>
      </c>
      <c r="L92" s="885">
        <f t="shared" si="25"/>
        <v>0</v>
      </c>
      <c r="M92" s="891">
        <f t="shared" si="25"/>
        <v>14238625.880000001</v>
      </c>
      <c r="N92" s="641"/>
      <c r="O92" s="641"/>
      <c r="P92" s="641"/>
      <c r="Q92" s="641"/>
      <c r="T92" s="3056">
        <v>2715</v>
      </c>
      <c r="U92" s="3063">
        <v>0</v>
      </c>
    </row>
    <row r="93" spans="1:21" ht="18">
      <c r="A93" s="1648" t="str">
        <f t="shared" ref="A93:A202" si="26">VLOOKUP($D93,Sheet_Items,4,0)</f>
        <v>：</v>
      </c>
      <c r="B93" s="1647">
        <f t="shared" ref="B93:B202" si="27">VLOOKUP($D93,Sheet_Items,3,0)</f>
        <v>0</v>
      </c>
      <c r="C93" s="1647">
        <f t="shared" ref="C93:C197" si="28">VLOOKUP($D93,Sheet_Items,9,0)</f>
        <v>0</v>
      </c>
      <c r="D93" s="2186">
        <v>2500</v>
      </c>
      <c r="E93" s="2187" t="str">
        <f t="shared" ref="E93:E201" si="29">VLOOKUP($D93,Sheet_Items,2,0)</f>
        <v>非流动负债项目</v>
      </c>
      <c r="F93" s="884"/>
      <c r="G93" s="885"/>
      <c r="H93" s="885"/>
      <c r="I93" s="913"/>
      <c r="J93" s="914"/>
      <c r="K93" s="885"/>
      <c r="L93" s="885"/>
      <c r="M93" s="891"/>
      <c r="N93" s="641"/>
      <c r="O93" s="641"/>
      <c r="P93" s="641"/>
      <c r="Q93" s="641"/>
      <c r="T93" s="3056">
        <v>2801</v>
      </c>
      <c r="U93" s="3063">
        <v>0</v>
      </c>
    </row>
    <row r="94" spans="1:21" ht="18">
      <c r="A94" s="1648" t="str">
        <f>VLOOKUP($D94,Sheet_Items,4,0)</f>
        <v>△</v>
      </c>
      <c r="B94" s="1647">
        <f>VLOOKUP($D94,Sheet_Items,3,0)</f>
        <v>-1</v>
      </c>
      <c r="C94" s="1647" t="str">
        <f>VLOOKUP($D94,Sheet_Items,9,0)</f>
        <v>J</v>
      </c>
      <c r="D94" s="1659">
        <v>2310</v>
      </c>
      <c r="E94" s="888" t="str">
        <f>VLOOKUP($D94,Sheet_Items,2,0)</f>
        <v>保险合同准备金</v>
      </c>
      <c r="F94" s="884">
        <f>VLOOKUP($D94,Sheet_Prebs2,4,0)</f>
        <v>0</v>
      </c>
      <c r="G94" s="885">
        <f>SUMIF(AJE!$B:$B,$C94&amp;$D94&amp;"*",AJE!$O:$O)</f>
        <v>0</v>
      </c>
      <c r="H94" s="885">
        <f>SUMIF(AJE!$B:$B,$C94&amp;$D94&amp;"*",AJE!$P:$P)</f>
        <v>0</v>
      </c>
      <c r="I94" s="913">
        <f>(B94*F94+G94-H94)*B94</f>
        <v>0</v>
      </c>
      <c r="J94" s="914">
        <f>VLOOKUP($D94,Sheet_Prebs2,5,0)</f>
        <v>0</v>
      </c>
      <c r="K94" s="885">
        <f>SUMIF('AJE1'!$B:$B,$C94&amp;$D94&amp;"*",'AJE1'!$O:$O)</f>
        <v>0</v>
      </c>
      <c r="L94" s="885">
        <f>SUMIF('AJE1'!$B:$B,$C94&amp;$D94&amp;"*",'AJE1'!$P:$P)</f>
        <v>0</v>
      </c>
      <c r="M94" s="891">
        <f>($B94*J94+K94-L94)*$B94</f>
        <v>0</v>
      </c>
      <c r="N94" s="641"/>
      <c r="O94" s="641"/>
      <c r="P94" s="641"/>
      <c r="Q94" s="641"/>
      <c r="T94" s="3056">
        <v>2401</v>
      </c>
      <c r="U94" s="3063">
        <v>0</v>
      </c>
    </row>
    <row r="95" spans="1:21" ht="18">
      <c r="A95" s="1648">
        <f t="shared" si="26"/>
        <v>0</v>
      </c>
      <c r="B95" s="1647">
        <f t="shared" si="27"/>
        <v>-1</v>
      </c>
      <c r="C95" s="1647" t="str">
        <f t="shared" si="28"/>
        <v>J</v>
      </c>
      <c r="D95" s="1659">
        <v>2501</v>
      </c>
      <c r="E95" s="888" t="str">
        <f t="shared" si="29"/>
        <v>长期借款</v>
      </c>
      <c r="F95" s="884">
        <f t="shared" si="19"/>
        <v>0</v>
      </c>
      <c r="G95" s="885">
        <f>SUMIF(AJE!$B:$B,$C95&amp;$D95&amp;"*",AJE!$O:$O)</f>
        <v>0</v>
      </c>
      <c r="H95" s="885">
        <f>SUMIF(AJE!$B:$B,$C95&amp;$D95&amp;"*",AJE!$P:$P)</f>
        <v>0</v>
      </c>
      <c r="I95" s="913">
        <f t="shared" ref="I95:I107" si="30">(B95*F95+G95-H95)*B95</f>
        <v>0</v>
      </c>
      <c r="J95" s="914">
        <f t="shared" si="20"/>
        <v>0</v>
      </c>
      <c r="K95" s="885">
        <f>SUMIF('AJE1'!$B:$B,$C95&amp;$D95&amp;"*",'AJE1'!$O:$O)</f>
        <v>0</v>
      </c>
      <c r="L95" s="885">
        <f>SUMIF('AJE1'!$B:$B,$C95&amp;$D95&amp;"*",'AJE1'!$P:$P)</f>
        <v>0</v>
      </c>
      <c r="M95" s="891">
        <f t="shared" si="21"/>
        <v>0</v>
      </c>
      <c r="N95" s="641"/>
      <c r="O95" s="641"/>
      <c r="P95" s="641"/>
      <c r="Q95" s="641"/>
      <c r="T95" s="3056">
        <v>2901</v>
      </c>
      <c r="U95" s="3063">
        <v>0</v>
      </c>
    </row>
    <row r="96" spans="1:21" ht="18">
      <c r="A96" s="1648">
        <f t="shared" si="26"/>
        <v>0</v>
      </c>
      <c r="B96" s="1647">
        <f t="shared" si="27"/>
        <v>-1</v>
      </c>
      <c r="C96" s="1647" t="str">
        <f t="shared" si="28"/>
        <v>J</v>
      </c>
      <c r="D96" s="1659">
        <v>2502</v>
      </c>
      <c r="E96" s="888" t="str">
        <f t="shared" si="29"/>
        <v>应付债券</v>
      </c>
      <c r="F96" s="884">
        <f t="shared" si="19"/>
        <v>0</v>
      </c>
      <c r="G96" s="885">
        <f>SUMIF(AJE!$B:$B,$C96&amp;$D96&amp;"*",AJE!$O:$O)</f>
        <v>0</v>
      </c>
      <c r="H96" s="885">
        <f>SUMIF(AJE!$B:$B,$C96&amp;$D96&amp;"*",AJE!$P:$P)</f>
        <v>0</v>
      </c>
      <c r="I96" s="913">
        <f t="shared" si="30"/>
        <v>0</v>
      </c>
      <c r="J96" s="914">
        <f t="shared" si="20"/>
        <v>0</v>
      </c>
      <c r="K96" s="885">
        <f>SUMIF('AJE1'!$B:$B,$C96&amp;$D96&amp;"*",'AJE1'!$O:$O)</f>
        <v>0</v>
      </c>
      <c r="L96" s="885">
        <f>SUMIF('AJE1'!$B:$B,$C96&amp;$D96&amp;"*",'AJE1'!$P:$P)</f>
        <v>0</v>
      </c>
      <c r="M96" s="891">
        <f t="shared" si="21"/>
        <v>0</v>
      </c>
      <c r="N96" s="641"/>
      <c r="O96" s="641"/>
      <c r="P96" s="641"/>
      <c r="Q96" s="641"/>
      <c r="T96" s="3056">
        <v>2996</v>
      </c>
      <c r="U96" s="3063">
        <v>0</v>
      </c>
    </row>
    <row r="97" spans="1:21" ht="18">
      <c r="A97" s="1648" t="str">
        <f t="shared" si="26"/>
        <v>OEI</v>
      </c>
      <c r="B97" s="1647">
        <f t="shared" si="27"/>
        <v>-1</v>
      </c>
      <c r="C97" s="1647" t="str">
        <f t="shared" si="28"/>
        <v>J</v>
      </c>
      <c r="D97" s="1659">
        <v>2502.11</v>
      </c>
      <c r="E97" s="2196" t="str">
        <f t="shared" si="29"/>
        <v>应付债券_优先股</v>
      </c>
      <c r="F97" s="884">
        <f>IF(ISERROR(VLOOKUP($D97,Sheet_Prebs2,4,0)),0,VLOOKUP($D97,Sheet_Prebs2,4,0))</f>
        <v>0</v>
      </c>
      <c r="G97" s="885">
        <f>SUMIF(AJE!$B:$B,$C97&amp;$D97&amp;"*",AJE!$O:$O)</f>
        <v>0</v>
      </c>
      <c r="H97" s="885">
        <f>SUMIF(AJE!$B:$B,$C97&amp;$D97&amp;"*",AJE!$P:$P)</f>
        <v>0</v>
      </c>
      <c r="I97" s="913">
        <f t="shared" si="30"/>
        <v>0</v>
      </c>
      <c r="J97" s="914">
        <f>IF(ISERROR(VLOOKUP($D97,Sheet_Prebs2,5,0)),0,VLOOKUP($D97,Sheet_Prebs2,5,0))</f>
        <v>0</v>
      </c>
      <c r="K97" s="885">
        <f>SUMIF('AJE1'!$B:$B,$C97&amp;$D97&amp;"*",'AJE1'!$O:$O)</f>
        <v>0</v>
      </c>
      <c r="L97" s="885">
        <f>SUMIF('AJE1'!$B:$B,$C97&amp;$D97&amp;"*",'AJE1'!$P:$P)</f>
        <v>0</v>
      </c>
      <c r="M97" s="891">
        <f t="shared" si="21"/>
        <v>0</v>
      </c>
      <c r="N97" s="641"/>
      <c r="O97" s="641"/>
      <c r="P97" s="641"/>
      <c r="Q97" s="641"/>
      <c r="T97" s="3056">
        <v>2998</v>
      </c>
      <c r="U97" s="3063">
        <v>0</v>
      </c>
    </row>
    <row r="98" spans="1:21" ht="18">
      <c r="A98" s="1648" t="str">
        <f t="shared" si="26"/>
        <v>OEI</v>
      </c>
      <c r="B98" s="1647">
        <f t="shared" si="27"/>
        <v>-1</v>
      </c>
      <c r="C98" s="1647" t="str">
        <f t="shared" si="28"/>
        <v>J</v>
      </c>
      <c r="D98" s="1659">
        <v>2502.31</v>
      </c>
      <c r="E98" s="2196" t="str">
        <f t="shared" si="29"/>
        <v>应付债券_永续债</v>
      </c>
      <c r="F98" s="884">
        <f>IF(ISERROR(VLOOKUP($D98,Sheet_Prebs2,4,0)),0,VLOOKUP($D98,Sheet_Prebs2,4,0))</f>
        <v>0</v>
      </c>
      <c r="G98" s="885">
        <f>SUMIF(AJE!$B:$B,$C98&amp;$D98&amp;"*",AJE!$O:$O)</f>
        <v>0</v>
      </c>
      <c r="H98" s="885">
        <f>SUMIF(AJE!$B:$B,$C98&amp;$D98&amp;"*",AJE!$P:$P)</f>
        <v>0</v>
      </c>
      <c r="I98" s="913">
        <f t="shared" si="30"/>
        <v>0</v>
      </c>
      <c r="J98" s="914">
        <f>IF(ISERROR(VLOOKUP($D98,Sheet_Prebs2,5,0)),0,VLOOKUP($D98,Sheet_Prebs2,5,0))</f>
        <v>0</v>
      </c>
      <c r="K98" s="885">
        <f>SUMIF('AJE1'!$B:$B,$C98&amp;$D98&amp;"*",'AJE1'!$O:$O)</f>
        <v>0</v>
      </c>
      <c r="L98" s="885">
        <f>SUMIF('AJE1'!$B:$B,$C98&amp;$D98&amp;"*",'AJE1'!$P:$P)</f>
        <v>0</v>
      </c>
      <c r="M98" s="891">
        <f t="shared" si="21"/>
        <v>0</v>
      </c>
      <c r="N98" s="641"/>
      <c r="O98" s="641"/>
      <c r="P98" s="641"/>
      <c r="Q98" s="641"/>
      <c r="T98" s="3056">
        <v>2999</v>
      </c>
      <c r="U98" s="3063">
        <v>14238625.880000001</v>
      </c>
    </row>
    <row r="99" spans="1:21" ht="18">
      <c r="A99" s="1648" t="str">
        <f>VLOOKUP($D99,Sheet_Items,4,0)</f>
        <v>_ZL</v>
      </c>
      <c r="B99" s="1647">
        <f>VLOOKUP($D99,Sheet_Items,3,0)</f>
        <v>-1</v>
      </c>
      <c r="C99" s="1647" t="str">
        <f>VLOOKUP($D99,Sheet_Items,9,0)</f>
        <v>J</v>
      </c>
      <c r="D99" s="1659">
        <v>2506</v>
      </c>
      <c r="E99" s="889" t="str">
        <f>VLOOKUP($D99,Sheet_Items,2,0)</f>
        <v>租赁负债</v>
      </c>
      <c r="F99" s="884">
        <f t="shared" si="19"/>
        <v>0</v>
      </c>
      <c r="G99" s="885">
        <f>SUMIF(AJE!$B:$B,$C99&amp;$D99&amp;"*",AJE!$O:$O)</f>
        <v>0</v>
      </c>
      <c r="H99" s="885">
        <f>SUMIF(AJE!$B:$B,$C99&amp;$D99&amp;"*",AJE!$P:$P)</f>
        <v>0</v>
      </c>
      <c r="I99" s="913">
        <f t="shared" si="30"/>
        <v>0</v>
      </c>
      <c r="J99" s="914">
        <f t="shared" si="20"/>
        <v>0</v>
      </c>
      <c r="K99" s="885">
        <f>SUMIF('AJE1'!$B:$B,$C99&amp;$D99&amp;"*",'AJE1'!$O:$O)</f>
        <v>0</v>
      </c>
      <c r="L99" s="885">
        <f>SUMIF('AJE1'!$B:$B,$C99&amp;$D99&amp;"*",'AJE1'!$P:$P)</f>
        <v>0</v>
      </c>
      <c r="M99" s="891">
        <f t="shared" ref="M99:M100" si="31">($B99*J99+K99-L99)*$B99</f>
        <v>0</v>
      </c>
      <c r="N99" s="641"/>
      <c r="O99" s="641"/>
      <c r="P99" s="641"/>
      <c r="Q99" s="641"/>
      <c r="T99" s="3056">
        <v>4000</v>
      </c>
      <c r="U99" s="3063"/>
    </row>
    <row r="100" spans="1:21" ht="18">
      <c r="A100" s="1648">
        <f>VLOOKUP($D100,Sheet_Items,4,0)</f>
        <v>0</v>
      </c>
      <c r="B100" s="1647">
        <f>VLOOKUP($D100,Sheet_Items,3,0)</f>
        <v>-1</v>
      </c>
      <c r="C100" s="1647">
        <f>VLOOKUP($D100,Sheet_Items,9,0)</f>
        <v>0</v>
      </c>
      <c r="D100" s="1660">
        <v>2706</v>
      </c>
      <c r="E100" s="888" t="str">
        <f>VLOOKUP($D100,Sheet_Items,2,0)</f>
        <v>长期应付款（报表项目）</v>
      </c>
      <c r="F100" s="884">
        <f t="shared" si="19"/>
        <v>140000</v>
      </c>
      <c r="G100" s="885">
        <f>SUMIF(AJE!$B:$B,"J2701*",AJE!$O:$O)+SUMIF(AJE!$B:$B,"J2711*",AJE!$O:$O)</f>
        <v>140000</v>
      </c>
      <c r="H100" s="885">
        <f>SUMIF(AJE!$B:$B,"J2701*",AJE!$P:$P)+SUMIF(AJE!$B:$B,"J2711*",AJE!$P:$P)</f>
        <v>0</v>
      </c>
      <c r="I100" s="913">
        <f t="shared" si="30"/>
        <v>0</v>
      </c>
      <c r="J100" s="914">
        <f t="shared" si="20"/>
        <v>0</v>
      </c>
      <c r="K100" s="885">
        <f>SUMIF('AJE1'!$B:$B,"J2701*",'AJE1'!$O:$O)+SUMIF('AJE1'!$B:$B,"J2711*",'AJE1'!$O:$O)</f>
        <v>0</v>
      </c>
      <c r="L100" s="885">
        <f>SUMIF('AJE1'!$B:$B,"J2701*",'AJE1'!$P:$P)+SUMIF('AJE1'!$B:$B,"J2711*",'AJE1'!$P:$P)</f>
        <v>0</v>
      </c>
      <c r="M100" s="891">
        <f t="shared" si="31"/>
        <v>0</v>
      </c>
      <c r="N100" s="641"/>
      <c r="O100" s="641"/>
      <c r="P100" s="641"/>
      <c r="Q100" s="641"/>
      <c r="T100" s="3056">
        <v>4001</v>
      </c>
      <c r="U100" s="3063">
        <v>30000000</v>
      </c>
    </row>
    <row r="101" spans="1:21" ht="18">
      <c r="A101" s="1648">
        <f t="shared" si="26"/>
        <v>0</v>
      </c>
      <c r="B101" s="1647">
        <f t="shared" si="27"/>
        <v>-1</v>
      </c>
      <c r="C101" s="1647" t="str">
        <f t="shared" si="28"/>
        <v>J</v>
      </c>
      <c r="D101" s="1659">
        <v>2701</v>
      </c>
      <c r="E101" s="2188" t="str">
        <f t="shared" si="29"/>
        <v>长期应付款</v>
      </c>
      <c r="F101" s="884">
        <f t="shared" si="19"/>
        <v>0</v>
      </c>
      <c r="G101" s="885">
        <f>SUMIF(AJE!$B:$B,$C101&amp;$D101&amp;"*",AJE!$O:$O)</f>
        <v>0</v>
      </c>
      <c r="H101" s="885">
        <f>SUMIF(AJE!$B:$B,$C101&amp;$D101&amp;"*",AJE!$P:$P)</f>
        <v>0</v>
      </c>
      <c r="I101" s="913">
        <f t="shared" si="30"/>
        <v>0</v>
      </c>
      <c r="J101" s="914">
        <f t="shared" si="20"/>
        <v>0</v>
      </c>
      <c r="K101" s="885">
        <f>SUMIF('AJE1'!$B:$B,$C101&amp;$D101&amp;"*",'AJE1'!$O:$O)</f>
        <v>0</v>
      </c>
      <c r="L101" s="885">
        <f>SUMIF('AJE1'!$B:$B,$C101&amp;$D101&amp;"*",'AJE1'!$P:$P)</f>
        <v>0</v>
      </c>
      <c r="M101" s="891">
        <f t="shared" si="21"/>
        <v>0</v>
      </c>
      <c r="N101" s="641"/>
      <c r="O101" s="641"/>
      <c r="P101" s="641"/>
      <c r="Q101" s="641"/>
      <c r="T101" s="3056">
        <v>4015</v>
      </c>
      <c r="U101" s="3063">
        <v>0</v>
      </c>
    </row>
    <row r="102" spans="1:21" ht="18">
      <c r="A102" s="1648">
        <f>VLOOKUP($D102,Sheet_Items,4,0)</f>
        <v>0</v>
      </c>
      <c r="B102" s="1647">
        <f>VLOOKUP($D102,Sheet_Items,3,0)</f>
        <v>-1</v>
      </c>
      <c r="C102" s="1647" t="str">
        <f>VLOOKUP($D102,Sheet_Items,9,0)</f>
        <v>J</v>
      </c>
      <c r="D102" s="1659">
        <v>2711</v>
      </c>
      <c r="E102" s="2188" t="str">
        <f>VLOOKUP($D102,Sheet_Items,2,0)</f>
        <v>专项应付款</v>
      </c>
      <c r="F102" s="884">
        <f>VLOOKUP($D102,Sheet_Prebs2,4,0)</f>
        <v>140000</v>
      </c>
      <c r="G102" s="885">
        <f>SUMIF(AJE!$B:$B,$C102&amp;$D102&amp;"*",AJE!$O:$O)</f>
        <v>140000</v>
      </c>
      <c r="H102" s="885">
        <f>SUMIF(AJE!$B:$B,$C102&amp;$D102&amp;"*",AJE!$P:$P)</f>
        <v>0</v>
      </c>
      <c r="I102" s="913">
        <f t="shared" si="30"/>
        <v>0</v>
      </c>
      <c r="J102" s="914">
        <f>VLOOKUP($D102,Sheet_Prebs2,5,0)</f>
        <v>0</v>
      </c>
      <c r="K102" s="885">
        <f>SUMIF('AJE1'!$B:$B,$C102&amp;$D102&amp;"*",'AJE1'!$O:$O)</f>
        <v>0</v>
      </c>
      <c r="L102" s="885">
        <f>SUMIF('AJE1'!$B:$B,$C102&amp;$D102&amp;"*",'AJE1'!$P:$P)</f>
        <v>0</v>
      </c>
      <c r="M102" s="891">
        <f t="shared" si="21"/>
        <v>0</v>
      </c>
      <c r="N102" s="641"/>
      <c r="O102" s="641"/>
      <c r="P102" s="641"/>
      <c r="Q102" s="641"/>
      <c r="T102" s="3057">
        <v>4015.11</v>
      </c>
      <c r="U102" s="3063">
        <v>0</v>
      </c>
    </row>
    <row r="103" spans="1:21" ht="18">
      <c r="A103" s="1648">
        <f t="shared" si="26"/>
        <v>0</v>
      </c>
      <c r="B103" s="1647">
        <f t="shared" si="27"/>
        <v>-1</v>
      </c>
      <c r="C103" s="1647" t="str">
        <f t="shared" si="28"/>
        <v>J</v>
      </c>
      <c r="D103" s="1659">
        <v>2715</v>
      </c>
      <c r="E103" s="888" t="str">
        <f t="shared" si="29"/>
        <v>长期应付职工薪酬</v>
      </c>
      <c r="F103" s="884">
        <f>IF(ISERROR(VLOOKUP($D103,Sheet_Prebs2,4,0)),0,VLOOKUP($D103,Sheet_Prebs2,4,0))</f>
        <v>0</v>
      </c>
      <c r="G103" s="885">
        <f>SUMIF(AJE!$B:$B,$C103&amp;$D103&amp;"*",AJE!$O:$O)</f>
        <v>0</v>
      </c>
      <c r="H103" s="885">
        <f>SUMIF(AJE!$B:$B,$C103&amp;$D103&amp;"*",AJE!$P:$P)</f>
        <v>0</v>
      </c>
      <c r="I103" s="913">
        <f t="shared" si="30"/>
        <v>0</v>
      </c>
      <c r="J103" s="914">
        <f>IF(ISERROR(VLOOKUP($D103,Sheet_Prebs2,5,0)),0,VLOOKUP($D103,Sheet_Prebs2,5,0))</f>
        <v>0</v>
      </c>
      <c r="K103" s="885">
        <f>SUMIF('AJE1'!$B:$B,$C103&amp;$D103&amp;"*",'AJE1'!$O:$O)</f>
        <v>0</v>
      </c>
      <c r="L103" s="885">
        <f>SUMIF('AJE1'!$B:$B,$C103&amp;$D103&amp;"*",'AJE1'!$P:$P)</f>
        <v>0</v>
      </c>
      <c r="M103" s="891">
        <f t="shared" si="21"/>
        <v>0</v>
      </c>
      <c r="N103" s="641"/>
      <c r="O103" s="641"/>
      <c r="P103" s="641"/>
      <c r="Q103" s="641"/>
      <c r="T103" s="3057">
        <v>4015.31</v>
      </c>
      <c r="U103" s="3063">
        <v>0</v>
      </c>
    </row>
    <row r="104" spans="1:21" ht="18">
      <c r="A104" s="1648">
        <f t="shared" si="26"/>
        <v>0</v>
      </c>
      <c r="B104" s="1647">
        <f t="shared" si="27"/>
        <v>-1</v>
      </c>
      <c r="C104" s="1647" t="str">
        <f t="shared" si="28"/>
        <v>J</v>
      </c>
      <c r="D104" s="1659">
        <v>2801</v>
      </c>
      <c r="E104" s="888" t="str">
        <f t="shared" si="29"/>
        <v>预计负债</v>
      </c>
      <c r="F104" s="884">
        <f t="shared" si="19"/>
        <v>0</v>
      </c>
      <c r="G104" s="885">
        <f>SUMIF(AJE!$B:$B,$C104&amp;$D104&amp;"*",AJE!$O:$O)</f>
        <v>0</v>
      </c>
      <c r="H104" s="885">
        <f>SUMIF(AJE!$B:$B,$C104&amp;$D104&amp;"*",AJE!$P:$P)</f>
        <v>0</v>
      </c>
      <c r="I104" s="913">
        <f t="shared" si="30"/>
        <v>0</v>
      </c>
      <c r="J104" s="914">
        <f t="shared" si="20"/>
        <v>0</v>
      </c>
      <c r="K104" s="885">
        <f>SUMIF('AJE1'!$B:$B,$C104&amp;$D104&amp;"*",'AJE1'!$O:$O)</f>
        <v>0</v>
      </c>
      <c r="L104" s="885">
        <f>SUMIF('AJE1'!$B:$B,$C104&amp;$D104&amp;"*",'AJE1'!$P:$P)</f>
        <v>0</v>
      </c>
      <c r="M104" s="891">
        <f t="shared" si="21"/>
        <v>0</v>
      </c>
      <c r="N104" s="641"/>
      <c r="O104" s="641"/>
      <c r="P104" s="641"/>
      <c r="Q104" s="641"/>
      <c r="T104" s="3056">
        <v>4002</v>
      </c>
      <c r="U104" s="3063">
        <v>0</v>
      </c>
    </row>
    <row r="105" spans="1:21" ht="18">
      <c r="A105" s="1648">
        <f t="shared" si="26"/>
        <v>0</v>
      </c>
      <c r="B105" s="1647">
        <f t="shared" si="27"/>
        <v>-1</v>
      </c>
      <c r="C105" s="1647" t="str">
        <f t="shared" si="28"/>
        <v>J</v>
      </c>
      <c r="D105" s="1659">
        <v>2401</v>
      </c>
      <c r="E105" s="888" t="str">
        <f t="shared" si="29"/>
        <v>递延收益</v>
      </c>
      <c r="F105" s="884">
        <f>IF(ISERROR(VLOOKUP($D105,Sheet_Prebs2,4,0)),0,VLOOKUP($D105,Sheet_Prebs2,4,0))</f>
        <v>0</v>
      </c>
      <c r="G105" s="885">
        <f>SUMIF(AJE!$B:$B,$C105&amp;$D105&amp;"*",AJE!$O:$O)</f>
        <v>0</v>
      </c>
      <c r="H105" s="885">
        <f>SUMIF(AJE!$B:$B,$C105&amp;$D105&amp;"*",AJE!$P:$P)</f>
        <v>0</v>
      </c>
      <c r="I105" s="913">
        <f t="shared" si="30"/>
        <v>0</v>
      </c>
      <c r="J105" s="914">
        <f>IF(ISERROR(VLOOKUP($D105,Sheet_Prebs2,5,0)),0,VLOOKUP($D105,Sheet_Prebs2,5,0))</f>
        <v>0</v>
      </c>
      <c r="K105" s="885">
        <f>SUMIF('AJE1'!$B:$B,$C105&amp;$D105&amp;"*",'AJE1'!$O:$O)</f>
        <v>0</v>
      </c>
      <c r="L105" s="885">
        <f>SUMIF('AJE1'!$B:$B,$C105&amp;$D105&amp;"*",'AJE1'!$P:$P)</f>
        <v>0</v>
      </c>
      <c r="M105" s="891">
        <f t="shared" si="21"/>
        <v>0</v>
      </c>
      <c r="N105" s="641"/>
      <c r="O105" s="641"/>
      <c r="P105" s="641"/>
      <c r="Q105" s="641"/>
      <c r="T105" s="3056">
        <v>4201</v>
      </c>
      <c r="U105" s="3063">
        <v>0</v>
      </c>
    </row>
    <row r="106" spans="1:21" ht="18">
      <c r="A106" s="1648">
        <f t="shared" si="26"/>
        <v>0</v>
      </c>
      <c r="B106" s="1647">
        <f t="shared" si="27"/>
        <v>-1</v>
      </c>
      <c r="C106" s="1647" t="str">
        <f t="shared" si="28"/>
        <v>J</v>
      </c>
      <c r="D106" s="1659">
        <v>2901</v>
      </c>
      <c r="E106" s="888" t="str">
        <f t="shared" si="29"/>
        <v>递延所得税负债</v>
      </c>
      <c r="F106" s="884">
        <f t="shared" si="19"/>
        <v>0</v>
      </c>
      <c r="G106" s="885">
        <f>SUMIF(AJE!$B:$B,$C106&amp;$D106&amp;"*",AJE!$O:$O)</f>
        <v>0</v>
      </c>
      <c r="H106" s="885">
        <f>SUMIF(AJE!$B:$B,$C106&amp;$D106&amp;"*",AJE!$P:$P)</f>
        <v>0</v>
      </c>
      <c r="I106" s="913">
        <f t="shared" si="30"/>
        <v>0</v>
      </c>
      <c r="J106" s="914">
        <f t="shared" si="20"/>
        <v>0</v>
      </c>
      <c r="K106" s="885">
        <f>SUMIF('AJE1'!$B:$B,$C106&amp;$D106&amp;"*",'AJE1'!$O:$O)</f>
        <v>0</v>
      </c>
      <c r="L106" s="885">
        <f>SUMIF('AJE1'!$B:$B,$C106&amp;$D106&amp;"*",'AJE1'!$P:$P)</f>
        <v>0</v>
      </c>
      <c r="M106" s="891">
        <f t="shared" si="21"/>
        <v>0</v>
      </c>
      <c r="N106" s="641"/>
      <c r="O106" s="641"/>
      <c r="P106" s="641"/>
      <c r="Q106" s="641"/>
      <c r="T106" s="3056">
        <v>4215</v>
      </c>
      <c r="U106" s="3063">
        <v>0</v>
      </c>
    </row>
    <row r="107" spans="1:21" ht="18">
      <c r="A107" s="1648">
        <f t="shared" si="26"/>
        <v>0</v>
      </c>
      <c r="B107" s="1647">
        <f t="shared" si="27"/>
        <v>-1</v>
      </c>
      <c r="C107" s="1647" t="str">
        <f t="shared" si="28"/>
        <v>J</v>
      </c>
      <c r="D107" s="1659">
        <v>2996</v>
      </c>
      <c r="E107" s="888" t="str">
        <f t="shared" si="29"/>
        <v>其他非流动负债</v>
      </c>
      <c r="F107" s="884">
        <f t="shared" si="19"/>
        <v>0</v>
      </c>
      <c r="G107" s="885">
        <f>SUMIF(AJE!$B:$B,$C107&amp;$D107&amp;"*",AJE!$O:$O)</f>
        <v>0</v>
      </c>
      <c r="H107" s="885">
        <f>SUMIF(AJE!$B:$B,$C107&amp;$D107&amp;"*",AJE!$P:$P)</f>
        <v>0</v>
      </c>
      <c r="I107" s="913">
        <f t="shared" si="30"/>
        <v>0</v>
      </c>
      <c r="J107" s="914">
        <f t="shared" si="20"/>
        <v>0</v>
      </c>
      <c r="K107" s="885">
        <f>SUMIF('AJE1'!$B:$B,$C107&amp;$D107&amp;"*",'AJE1'!$O:$O)</f>
        <v>0</v>
      </c>
      <c r="L107" s="885">
        <f>SUMIF('AJE1'!$B:$B,$C107&amp;$D107&amp;"*",'AJE1'!$P:$P)</f>
        <v>0</v>
      </c>
      <c r="M107" s="891">
        <f t="shared" si="21"/>
        <v>0</v>
      </c>
      <c r="N107" s="641"/>
      <c r="O107" s="641"/>
      <c r="P107" s="641"/>
      <c r="Q107" s="641"/>
      <c r="T107" s="3056">
        <v>4301</v>
      </c>
      <c r="U107" s="3063">
        <v>0</v>
      </c>
    </row>
    <row r="108" spans="1:21" ht="18">
      <c r="A108" s="1648" t="str">
        <f t="shared" si="26"/>
        <v>＝</v>
      </c>
      <c r="B108" s="1647">
        <f t="shared" si="27"/>
        <v>0</v>
      </c>
      <c r="C108" s="1647">
        <f t="shared" si="28"/>
        <v>0</v>
      </c>
      <c r="D108" s="2186">
        <v>2998</v>
      </c>
      <c r="E108" s="2187" t="str">
        <f t="shared" si="29"/>
        <v>非流动负债</v>
      </c>
      <c r="F108" s="884">
        <f t="shared" ref="F108:M108" si="32">SUM(F94:F107)-SUM(F97,F98,F101,F102)</f>
        <v>140000</v>
      </c>
      <c r="G108" s="885">
        <f t="shared" si="32"/>
        <v>140000</v>
      </c>
      <c r="H108" s="885">
        <f t="shared" si="32"/>
        <v>0</v>
      </c>
      <c r="I108" s="913">
        <f t="shared" si="32"/>
        <v>0</v>
      </c>
      <c r="J108" s="914">
        <f t="shared" si="32"/>
        <v>0</v>
      </c>
      <c r="K108" s="885">
        <f t="shared" si="32"/>
        <v>0</v>
      </c>
      <c r="L108" s="885">
        <f t="shared" si="32"/>
        <v>0</v>
      </c>
      <c r="M108" s="891">
        <f t="shared" si="32"/>
        <v>0</v>
      </c>
      <c r="N108" s="641"/>
      <c r="O108" s="641"/>
      <c r="P108" s="641"/>
      <c r="Q108" s="641"/>
      <c r="T108" s="3056">
        <v>4101</v>
      </c>
      <c r="U108" s="3063">
        <v>1476848.22</v>
      </c>
    </row>
    <row r="109" spans="1:21" ht="18">
      <c r="A109" s="1648" t="str">
        <f t="shared" si="26"/>
        <v>＝</v>
      </c>
      <c r="B109" s="1647">
        <f t="shared" si="27"/>
        <v>0</v>
      </c>
      <c r="C109" s="1647">
        <f t="shared" si="28"/>
        <v>0</v>
      </c>
      <c r="D109" s="2186">
        <v>2999</v>
      </c>
      <c r="E109" s="2187" t="str">
        <f t="shared" si="29"/>
        <v>负债</v>
      </c>
      <c r="F109" s="884">
        <f t="shared" ref="F109:M109" si="33">SUM(F92,F108)</f>
        <v>18289273.829999998</v>
      </c>
      <c r="G109" s="885">
        <f t="shared" si="33"/>
        <v>142968.82</v>
      </c>
      <c r="H109" s="885">
        <f t="shared" si="33"/>
        <v>2968.82</v>
      </c>
      <c r="I109" s="913">
        <f t="shared" si="33"/>
        <v>18149273.829999998</v>
      </c>
      <c r="J109" s="914">
        <f t="shared" si="33"/>
        <v>14238625.880000001</v>
      </c>
      <c r="K109" s="885">
        <f t="shared" si="33"/>
        <v>0</v>
      </c>
      <c r="L109" s="885">
        <f t="shared" si="33"/>
        <v>0</v>
      </c>
      <c r="M109" s="891">
        <f t="shared" si="33"/>
        <v>14238625.880000001</v>
      </c>
      <c r="N109" s="641"/>
      <c r="O109" s="641"/>
      <c r="P109" s="641"/>
      <c r="Q109" s="641"/>
      <c r="T109" s="3056">
        <v>4102</v>
      </c>
      <c r="U109" s="3063">
        <v>0</v>
      </c>
    </row>
    <row r="110" spans="1:21" ht="18">
      <c r="A110" s="1648" t="str">
        <f t="shared" si="26"/>
        <v>：</v>
      </c>
      <c r="B110" s="1647">
        <f t="shared" si="27"/>
        <v>0</v>
      </c>
      <c r="C110" s="1647">
        <f t="shared" si="28"/>
        <v>0</v>
      </c>
      <c r="D110" s="2186">
        <v>4000</v>
      </c>
      <c r="E110" s="2187" t="str">
        <f t="shared" si="29"/>
        <v>所有者权益项目</v>
      </c>
      <c r="F110" s="884"/>
      <c r="G110" s="885"/>
      <c r="H110" s="885"/>
      <c r="I110" s="913"/>
      <c r="J110" s="914"/>
      <c r="K110" s="885"/>
      <c r="L110" s="885"/>
      <c r="M110" s="891"/>
      <c r="N110" s="641"/>
      <c r="O110" s="641"/>
      <c r="P110" s="641"/>
      <c r="Q110" s="641"/>
      <c r="T110" s="3056">
        <v>4200</v>
      </c>
      <c r="U110" s="3063">
        <v>13291633.890000001</v>
      </c>
    </row>
    <row r="111" spans="1:21" ht="18">
      <c r="A111" s="1648">
        <f t="shared" si="26"/>
        <v>0</v>
      </c>
      <c r="B111" s="1647">
        <f t="shared" si="27"/>
        <v>-1</v>
      </c>
      <c r="C111" s="1647" t="str">
        <f t="shared" si="28"/>
        <v>J</v>
      </c>
      <c r="D111" s="1659">
        <v>4001</v>
      </c>
      <c r="E111" s="888" t="str">
        <f t="shared" si="29"/>
        <v>实收资本</v>
      </c>
      <c r="F111" s="884">
        <f t="shared" si="19"/>
        <v>30000000</v>
      </c>
      <c r="G111" s="885">
        <f>SUMIF(AJE!$B:$B,$C111&amp;"81*",AJE!$O:$O)</f>
        <v>0</v>
      </c>
      <c r="H111" s="885">
        <f>SUMIF(AJE!$B:$B,$C111&amp;"81*",AJE!$P:$P)</f>
        <v>0</v>
      </c>
      <c r="I111" s="913">
        <f t="shared" ref="I111:I123" si="34">(B111*F111+G111-H111)*B111</f>
        <v>30000000</v>
      </c>
      <c r="J111" s="914">
        <f t="shared" si="20"/>
        <v>30000000</v>
      </c>
      <c r="K111" s="885">
        <f>SUMIF('AJE1'!$B:$B,$C111&amp;"81*",'AJE1'!$O:$O)</f>
        <v>0</v>
      </c>
      <c r="L111" s="885">
        <f>SUMIF('AJE1'!$B:$B,$C111&amp;"81*",'AJE1'!$P:$P)</f>
        <v>0</v>
      </c>
      <c r="M111" s="891">
        <f t="shared" si="21"/>
        <v>30000000</v>
      </c>
      <c r="N111" s="641"/>
      <c r="O111" s="641"/>
      <c r="P111" s="641"/>
      <c r="Q111" s="641"/>
      <c r="T111" s="3056">
        <v>4210</v>
      </c>
      <c r="U111" s="3064">
        <v>0</v>
      </c>
    </row>
    <row r="112" spans="1:21" ht="18">
      <c r="A112" s="1648" t="str">
        <f t="shared" si="26"/>
        <v>OEI</v>
      </c>
      <c r="B112" s="1647">
        <f t="shared" si="27"/>
        <v>-1</v>
      </c>
      <c r="C112" s="1647" t="str">
        <f t="shared" si="28"/>
        <v>J</v>
      </c>
      <c r="D112" s="1659">
        <v>4015</v>
      </c>
      <c r="E112" s="888" t="str">
        <f t="shared" si="29"/>
        <v>其他权益工具</v>
      </c>
      <c r="F112" s="884">
        <f>IF(ISERROR(VLOOKUP($D112,Sheet_Prebs2,4,0)),0,VLOOKUP($D112,Sheet_Prebs2,4,0))</f>
        <v>0</v>
      </c>
      <c r="G112" s="885">
        <f>SUMIF(AJE!$B:$B,$C112&amp;"8a*",AJE!$O:$O)+SUMIF(AJE!$B:$B,$C112&amp;"8b*",AJE!$O:$O)+SUMIF(AJE!$B:$B,$C112&amp;"8c*",AJE!$O:$O)+SUMIF(AJE!$B:$B,$C112&amp;"8d*",AJE!$O:$O)</f>
        <v>0</v>
      </c>
      <c r="H112" s="885">
        <f>SUMIF(AJE!$B:$B,$C112&amp;"8a*",AJE!$P:$P)+SUMIF(AJE!$B:$B,$C112&amp;"8b*",AJE!$P:$P)+SUMIF(AJE!$B:$B,$C112&amp;"8c*",AJE!$P:$P)+SUMIF(AJE!$B:$B,$C112&amp;"8d*",AJE!$P:$P)</f>
        <v>0</v>
      </c>
      <c r="I112" s="913">
        <f t="shared" si="34"/>
        <v>0</v>
      </c>
      <c r="J112" s="914">
        <f>IF(ISERROR(VLOOKUP($D112,Sheet_Prebs2,5,0)),0,VLOOKUP($D112,Sheet_Prebs2,5,0))</f>
        <v>0</v>
      </c>
      <c r="K112" s="885">
        <f>SUMIF('AJE1'!$B:$B,$C112&amp;"8a*",'AJE1'!$O:$O)+SUMIF('AJE1'!$B:$B,$C112&amp;"8b*",'AJE1'!$O:$O)+SUMIF('AJE1'!$B:$B,$C112&amp;"8c*",'AJE1'!$O:$O)+SUMIF('AJE1'!$B:$B,$C112&amp;"8d*",'AJE1'!$O:$O)</f>
        <v>0</v>
      </c>
      <c r="L112" s="885">
        <f>SUMIF('AJE1'!$B:$B,$C112&amp;"8a*",'AJE1'!$P:$P)+SUMIF('AJE1'!$B:$B,$C112&amp;"8b*",'AJE1'!$P:$P)+SUMIF('AJE1'!$B:$B,$C112&amp;"8c*",'AJE1'!$P:$P)+SUMIF('AJE1'!$B:$B,$C112&amp;"8d*",'AJE1'!$P:$P)</f>
        <v>0</v>
      </c>
      <c r="M112" s="891">
        <f t="shared" si="21"/>
        <v>0</v>
      </c>
      <c r="N112" s="641"/>
      <c r="O112" s="641"/>
      <c r="P112" s="641"/>
      <c r="Q112" s="641"/>
      <c r="T112" s="3056">
        <v>4298</v>
      </c>
      <c r="U112" s="3063">
        <v>44768482.109999999</v>
      </c>
    </row>
    <row r="113" spans="1:21" ht="18">
      <c r="A113" s="1648" t="str">
        <f t="shared" si="26"/>
        <v>OEI</v>
      </c>
      <c r="B113" s="1647">
        <f t="shared" si="27"/>
        <v>-1</v>
      </c>
      <c r="C113" s="1647" t="str">
        <f t="shared" si="28"/>
        <v>J</v>
      </c>
      <c r="D113" s="1659">
        <v>4015.11</v>
      </c>
      <c r="E113" s="2196" t="str">
        <f t="shared" si="29"/>
        <v>其他权益工具_优先股</v>
      </c>
      <c r="F113" s="884">
        <f>IF(ISERROR(VLOOKUP($D113,Sheet_Prebs2,4,0)),0,VLOOKUP($D113,Sheet_Prebs2,4,0))</f>
        <v>0</v>
      </c>
      <c r="G113" s="885">
        <f>SUMIF(AJE!$B:$B,$C113&amp;"8b*",AJE!$O:$O)</f>
        <v>0</v>
      </c>
      <c r="H113" s="885">
        <f>SUMIF(AJE!$B:$B,$C113&amp;"8b*",AJE!$P:$P)</f>
        <v>0</v>
      </c>
      <c r="I113" s="913">
        <f t="shared" si="34"/>
        <v>0</v>
      </c>
      <c r="J113" s="914">
        <f>IF(ISERROR(VLOOKUP($D113,Sheet_Prebs2,5,0)),0,VLOOKUP($D113,Sheet_Prebs2,5,0))</f>
        <v>0</v>
      </c>
      <c r="K113" s="885">
        <f>SUMIF('AJE1'!$B:$B,$C113&amp;"8b*",'AJE1'!$O:$O)</f>
        <v>0</v>
      </c>
      <c r="L113" s="885">
        <f>SUMIF('AJE1'!$B:$B,$C113&amp;"8b*",'AJE1'!$P:$P)</f>
        <v>0</v>
      </c>
      <c r="M113" s="891">
        <f t="shared" si="21"/>
        <v>0</v>
      </c>
      <c r="N113" s="641"/>
      <c r="O113" s="641"/>
      <c r="P113" s="641"/>
      <c r="Q113" s="641"/>
      <c r="T113" s="3056">
        <v>4398</v>
      </c>
      <c r="U113" s="3063">
        <v>0</v>
      </c>
    </row>
    <row r="114" spans="1:21" ht="18">
      <c r="A114" s="1648" t="str">
        <f t="shared" si="26"/>
        <v>OEI</v>
      </c>
      <c r="B114" s="1647">
        <f t="shared" si="27"/>
        <v>-1</v>
      </c>
      <c r="C114" s="1647" t="str">
        <f t="shared" si="28"/>
        <v>J</v>
      </c>
      <c r="D114" s="1659">
        <v>4015.31</v>
      </c>
      <c r="E114" s="2196" t="str">
        <f t="shared" si="29"/>
        <v>其他权益工具_永续债</v>
      </c>
      <c r="F114" s="884">
        <f>IF(ISERROR(VLOOKUP($D114,Sheet_Prebs2,4,0)),0,VLOOKUP($D114,Sheet_Prebs2,4,0))</f>
        <v>0</v>
      </c>
      <c r="G114" s="885">
        <f>SUMIF(AJE!$B:$B,$C114&amp;"8c*",AJE!$O:$O)</f>
        <v>0</v>
      </c>
      <c r="H114" s="885">
        <f>SUMIF(AJE!$B:$B,$C114&amp;"8c*",AJE!$P:$P)</f>
        <v>0</v>
      </c>
      <c r="I114" s="913">
        <f t="shared" si="34"/>
        <v>0</v>
      </c>
      <c r="J114" s="914">
        <f>IF(ISERROR(VLOOKUP($D114,Sheet_Prebs2,5,0)),0,VLOOKUP($D114,Sheet_Prebs2,5,0))</f>
        <v>0</v>
      </c>
      <c r="K114" s="885">
        <f>SUMIF('AJE1'!$B:$B,$C114&amp;"8c*",'AJE1'!$O:$O)</f>
        <v>0</v>
      </c>
      <c r="L114" s="885">
        <f>SUMIF('AJE1'!$B:$B,$C114&amp;"8c*",'AJE1'!$P:$P)</f>
        <v>0</v>
      </c>
      <c r="M114" s="891">
        <f t="shared" si="21"/>
        <v>0</v>
      </c>
      <c r="N114" s="641"/>
      <c r="O114" s="641"/>
      <c r="P114" s="641"/>
      <c r="Q114" s="641"/>
      <c r="T114" s="3056">
        <v>4999</v>
      </c>
      <c r="U114" s="3063">
        <v>44768482.109999999</v>
      </c>
    </row>
    <row r="115" spans="1:21" ht="18">
      <c r="A115" s="1648">
        <f t="shared" si="26"/>
        <v>0</v>
      </c>
      <c r="B115" s="1647">
        <f t="shared" si="27"/>
        <v>-1</v>
      </c>
      <c r="C115" s="1647" t="str">
        <f t="shared" si="28"/>
        <v>J</v>
      </c>
      <c r="D115" s="1659">
        <v>4002</v>
      </c>
      <c r="E115" s="888" t="str">
        <f t="shared" si="29"/>
        <v>资本公积</v>
      </c>
      <c r="F115" s="884">
        <f t="shared" si="19"/>
        <v>10464100</v>
      </c>
      <c r="G115" s="885">
        <f>SUMIF(AJE!$B:$B,$C115&amp;"82*",AJE!$O:$O)</f>
        <v>0</v>
      </c>
      <c r="H115" s="885">
        <f>SUMIF(AJE!$B:$B,$C115&amp;"82*",AJE!$P:$P)</f>
        <v>0</v>
      </c>
      <c r="I115" s="913">
        <f t="shared" si="34"/>
        <v>10464100</v>
      </c>
      <c r="J115" s="914">
        <f t="shared" si="20"/>
        <v>0</v>
      </c>
      <c r="K115" s="885">
        <f>SUMIF('AJE1'!$B:$B,$C115&amp;"82*",'AJE1'!$O:$O)</f>
        <v>0</v>
      </c>
      <c r="L115" s="885">
        <f>SUMIF('AJE1'!$B:$B,$C115&amp;"82*",'AJE1'!$P:$P)</f>
        <v>0</v>
      </c>
      <c r="M115" s="891">
        <f t="shared" si="21"/>
        <v>0</v>
      </c>
      <c r="N115" s="641"/>
      <c r="O115" s="641"/>
      <c r="P115" s="641"/>
      <c r="Q115" s="641"/>
      <c r="T115" s="3056">
        <v>5000</v>
      </c>
      <c r="U115" s="3063">
        <v>59007107.990000002</v>
      </c>
    </row>
    <row r="116" spans="1:21" ht="18">
      <c r="A116" s="1648">
        <f t="shared" si="26"/>
        <v>0</v>
      </c>
      <c r="B116" s="1647">
        <f t="shared" si="27"/>
        <v>1</v>
      </c>
      <c r="C116" s="1647" t="str">
        <f t="shared" si="28"/>
        <v>J</v>
      </c>
      <c r="D116" s="1659">
        <v>4201</v>
      </c>
      <c r="E116" s="888" t="str">
        <f t="shared" si="29"/>
        <v>库存股</v>
      </c>
      <c r="F116" s="884">
        <f t="shared" si="19"/>
        <v>0</v>
      </c>
      <c r="G116" s="885">
        <f>SUMIF(AJE!$B:$B,$C116&amp;"83*",AJE!$O:$O)</f>
        <v>0</v>
      </c>
      <c r="H116" s="885">
        <f>SUMIF(AJE!$B:$B,$C116&amp;"83*",AJE!$P:$P)</f>
        <v>0</v>
      </c>
      <c r="I116" s="913">
        <f t="shared" si="34"/>
        <v>0</v>
      </c>
      <c r="J116" s="914">
        <f t="shared" si="20"/>
        <v>0</v>
      </c>
      <c r="K116" s="885">
        <f>SUMIF('AJE1'!$B:$B,$C116&amp;"83*",'AJE1'!$O:$O)</f>
        <v>0</v>
      </c>
      <c r="L116" s="885">
        <f>SUMIF('AJE1'!$B:$B,$C116&amp;"83*",'AJE1'!$P:$P)</f>
        <v>0</v>
      </c>
      <c r="M116" s="891">
        <f t="shared" si="21"/>
        <v>0</v>
      </c>
      <c r="N116" s="641"/>
      <c r="O116" s="641"/>
      <c r="P116" s="641"/>
      <c r="Q116" s="641"/>
      <c r="T116" s="3056">
        <v>6</v>
      </c>
      <c r="U116" s="3063"/>
    </row>
    <row r="117" spans="1:21" ht="18">
      <c r="A117" s="1648">
        <f t="shared" si="26"/>
        <v>0</v>
      </c>
      <c r="B117" s="1647">
        <f t="shared" si="27"/>
        <v>-1</v>
      </c>
      <c r="C117" s="1647" t="str">
        <f t="shared" si="28"/>
        <v>J</v>
      </c>
      <c r="D117" s="1659">
        <v>4215</v>
      </c>
      <c r="E117" s="888" t="str">
        <f t="shared" si="29"/>
        <v>其他综合收益</v>
      </c>
      <c r="F117" s="884">
        <f>IF(ISERROR(VLOOKUP($D117,Sheet_Prebs2,4,0)),0,VLOOKUP($D117,Sheet_Prebs2,4,0))</f>
        <v>0</v>
      </c>
      <c r="G117" s="885">
        <f>SUMIF(AJE!$B:$B,$C117&amp;"8g*",AJE!$O:$O)+VLOOKUP(6829,Sheet_Trialbal,4,0)</f>
        <v>0</v>
      </c>
      <c r="H117" s="885">
        <f>SUMIF(AJE!$B:$B,$C117&amp;"8g*",AJE!$P:$P)+VLOOKUP(6829,Sheet_Trialbal,5,0)</f>
        <v>0</v>
      </c>
      <c r="I117" s="913">
        <f t="shared" si="34"/>
        <v>0</v>
      </c>
      <c r="J117" s="914">
        <f>IF(ISERROR(VLOOKUP($D117,Sheet_Prebs2,5,0)),0,VLOOKUP($D117,Sheet_Prebs2,5,0))</f>
        <v>0</v>
      </c>
      <c r="K117" s="885">
        <f>SUMIF('AJE1'!$B:$B,$C117&amp;"8g*",'AJE1'!$O:$O)+VLOOKUP(6829,Sheet_Trialbal,8,0)</f>
        <v>0</v>
      </c>
      <c r="L117" s="885">
        <f>SUMIF('AJE1'!$B:$B,$C117&amp;"8g*",'AJE1'!$P:$P)+VLOOKUP(6829,Sheet_Trialbal,9,0)</f>
        <v>0</v>
      </c>
      <c r="M117" s="891">
        <f t="shared" si="21"/>
        <v>0</v>
      </c>
      <c r="N117" s="641"/>
      <c r="O117" s="641"/>
      <c r="P117" s="641"/>
      <c r="Q117" s="641"/>
      <c r="T117" s="3056">
        <v>6098</v>
      </c>
      <c r="U117" s="3063">
        <v>37369847.649999999</v>
      </c>
    </row>
    <row r="118" spans="1:21" ht="18">
      <c r="A118" s="1648">
        <f t="shared" si="26"/>
        <v>0</v>
      </c>
      <c r="B118" s="1647">
        <f t="shared" si="27"/>
        <v>-1</v>
      </c>
      <c r="C118" s="1647" t="str">
        <f t="shared" si="28"/>
        <v>J</v>
      </c>
      <c r="D118" s="1659">
        <v>4301</v>
      </c>
      <c r="E118" s="888" t="str">
        <f t="shared" si="29"/>
        <v>专项储备</v>
      </c>
      <c r="F118" s="884">
        <f t="shared" si="19"/>
        <v>0</v>
      </c>
      <c r="G118" s="885">
        <f>SUMIF(AJE!$B:$B,$C118&amp;"84*",AJE!$O:$O)</f>
        <v>0</v>
      </c>
      <c r="H118" s="885">
        <f>SUMIF(AJE!$B:$B,$C118&amp;"84*",AJE!$P:$P)</f>
        <v>0</v>
      </c>
      <c r="I118" s="913">
        <f t="shared" si="34"/>
        <v>0</v>
      </c>
      <c r="J118" s="914">
        <f t="shared" si="20"/>
        <v>0</v>
      </c>
      <c r="K118" s="885">
        <f>SUMIF('AJE1'!$B:$B,$C118&amp;"84*",'AJE1'!$O:$O)</f>
        <v>0</v>
      </c>
      <c r="L118" s="885">
        <f>SUMIF('AJE1'!$B:$B,$C118&amp;"84*",'AJE1'!$P:$P)</f>
        <v>0</v>
      </c>
      <c r="M118" s="891">
        <f t="shared" si="21"/>
        <v>0</v>
      </c>
      <c r="N118" s="641"/>
      <c r="O118" s="641"/>
      <c r="P118" s="641"/>
      <c r="Q118" s="641"/>
      <c r="T118" s="3056">
        <v>6001</v>
      </c>
      <c r="U118" s="3063">
        <v>37369847.649999999</v>
      </c>
    </row>
    <row r="119" spans="1:21" ht="18">
      <c r="A119" s="1648">
        <f t="shared" si="26"/>
        <v>0</v>
      </c>
      <c r="B119" s="1647">
        <f t="shared" si="27"/>
        <v>-1</v>
      </c>
      <c r="C119" s="1647" t="str">
        <f t="shared" si="28"/>
        <v>J</v>
      </c>
      <c r="D119" s="1659">
        <v>4101</v>
      </c>
      <c r="E119" s="888" t="str">
        <f t="shared" si="29"/>
        <v>盈余公积</v>
      </c>
      <c r="F119" s="884">
        <f t="shared" si="19"/>
        <v>1484894.62</v>
      </c>
      <c r="G119" s="885">
        <f>SUMIF(AJE!$B:$B,$C119&amp;"85*",AJE!$O:$O)</f>
        <v>0</v>
      </c>
      <c r="H119" s="885">
        <f>SUMIF(AJE!$B:$B,$C119&amp;"85*",AJE!$P:$P)</f>
        <v>0</v>
      </c>
      <c r="I119" s="913">
        <f t="shared" si="34"/>
        <v>1484894.62</v>
      </c>
      <c r="J119" s="914">
        <f t="shared" si="20"/>
        <v>1476848.22</v>
      </c>
      <c r="K119" s="885">
        <f>SUMIF('AJE1'!$B:$B,$C119&amp;"85*",'AJE1'!$O:$O)</f>
        <v>0</v>
      </c>
      <c r="L119" s="885">
        <f>SUMIF('AJE1'!$B:$B,$C119&amp;"85*",'AJE1'!$P:$P)</f>
        <v>0</v>
      </c>
      <c r="M119" s="891">
        <f t="shared" si="21"/>
        <v>1476848.22</v>
      </c>
      <c r="N119" s="641"/>
      <c r="O119" s="641"/>
      <c r="P119" s="641"/>
      <c r="Q119" s="641"/>
      <c r="T119" s="3056">
        <v>6011</v>
      </c>
      <c r="U119" s="3063">
        <v>0</v>
      </c>
    </row>
    <row r="120" spans="1:21" ht="18">
      <c r="A120" s="1648">
        <f t="shared" si="26"/>
        <v>0</v>
      </c>
      <c r="B120" s="1647">
        <f t="shared" si="27"/>
        <v>-1</v>
      </c>
      <c r="C120" s="1647" t="str">
        <f t="shared" si="28"/>
        <v>J</v>
      </c>
      <c r="D120" s="1659">
        <v>4102</v>
      </c>
      <c r="E120" s="888" t="str">
        <f t="shared" si="29"/>
        <v>一般风险准备</v>
      </c>
      <c r="F120" s="884">
        <f t="shared" si="19"/>
        <v>0</v>
      </c>
      <c r="G120" s="885">
        <f>SUMIF(AJE!$B:$B,$C120&amp;"86*",AJE!$O:$O)</f>
        <v>0</v>
      </c>
      <c r="H120" s="885">
        <f>SUMIF(AJE!$B:$B,$C120&amp;"86*",AJE!$P:$P)</f>
        <v>0</v>
      </c>
      <c r="I120" s="913">
        <f t="shared" si="34"/>
        <v>0</v>
      </c>
      <c r="J120" s="914">
        <f t="shared" si="20"/>
        <v>0</v>
      </c>
      <c r="K120" s="885">
        <f>SUMIF('AJE1'!$B:$B,$C120&amp;"86*",'AJE1'!$O:$O)</f>
        <v>0</v>
      </c>
      <c r="L120" s="885">
        <f>SUMIF('AJE1'!$B:$B,$C120&amp;"86*",'AJE1'!$P:$P)</f>
        <v>0</v>
      </c>
      <c r="M120" s="891">
        <f t="shared" si="21"/>
        <v>0</v>
      </c>
      <c r="N120" s="641"/>
      <c r="O120" s="641"/>
      <c r="P120" s="641"/>
      <c r="Q120" s="641"/>
      <c r="T120" s="3056">
        <v>6030</v>
      </c>
      <c r="U120" s="3063">
        <v>0</v>
      </c>
    </row>
    <row r="121" spans="1:21" ht="18">
      <c r="A121" s="1648">
        <f t="shared" si="26"/>
        <v>0</v>
      </c>
      <c r="B121" s="1647">
        <f t="shared" si="27"/>
        <v>-1</v>
      </c>
      <c r="C121" s="1647" t="str">
        <f t="shared" si="28"/>
        <v>J</v>
      </c>
      <c r="D121" s="2186">
        <v>4200</v>
      </c>
      <c r="E121" s="2187" t="str">
        <f t="shared" si="29"/>
        <v>未分配利润</v>
      </c>
      <c r="F121" s="884">
        <f t="shared" si="19"/>
        <v>2899951.46</v>
      </c>
      <c r="G121" s="885">
        <f>SUMIF(AJE!$B:$B,$C121&amp;"87*",AJE!$O:$O)+VLOOKUP(6799,Sheet_Trialbal,4,0)</f>
        <v>4927559.42</v>
      </c>
      <c r="H121" s="885">
        <f>SUMIF(AJE!$B:$B,$C121&amp;"87*",AJE!$P:$P)+VLOOKUP(6799,Sheet_Trialbal,5,0)</f>
        <v>1239624.98</v>
      </c>
      <c r="I121" s="913">
        <f t="shared" si="34"/>
        <v>-787982.98</v>
      </c>
      <c r="J121" s="914">
        <f t="shared" si="20"/>
        <v>13291633.890000001</v>
      </c>
      <c r="K121" s="885">
        <f>SUMIF('AJE1'!$B:$B,$C121&amp;"87*",'AJE1'!$O:$O)+VLOOKUP(6799,Sheet_Trialbal,8,0)</f>
        <v>0</v>
      </c>
      <c r="L121" s="885">
        <f>SUMIF('AJE1'!$B:$B,$C121&amp;"87*",'AJE1'!$P:$P)+VLOOKUP(6799,Sheet_Trialbal,9,0)</f>
        <v>0</v>
      </c>
      <c r="M121" s="891">
        <f t="shared" si="21"/>
        <v>13291633.890000001</v>
      </c>
      <c r="N121" s="641"/>
      <c r="O121" s="641"/>
      <c r="P121" s="641"/>
      <c r="Q121" s="641"/>
      <c r="T121" s="3056">
        <v>6021</v>
      </c>
      <c r="U121" s="3063">
        <v>0</v>
      </c>
    </row>
    <row r="122" spans="1:21" ht="18">
      <c r="A122" s="1648" t="str">
        <f t="shared" si="26"/>
        <v>※</v>
      </c>
      <c r="B122" s="1647">
        <f t="shared" si="27"/>
        <v>0</v>
      </c>
      <c r="C122" s="1647">
        <f t="shared" si="28"/>
        <v>0</v>
      </c>
      <c r="D122" s="1659">
        <v>4298</v>
      </c>
      <c r="E122" s="888" t="str">
        <f t="shared" si="29"/>
        <v>归属于母公司所有者权益</v>
      </c>
      <c r="F122" s="884">
        <f>SUM(F111:F112,F115,-F116,F117:F121)</f>
        <v>44848946.079999998</v>
      </c>
      <c r="G122" s="919">
        <f>SUM(G111:G112,G115:G121)</f>
        <v>4927559.42</v>
      </c>
      <c r="H122" s="919">
        <f>SUM(H111:H112,H115:H121)</f>
        <v>1239624.98</v>
      </c>
      <c r="I122" s="913">
        <f>SUM(I111:I112,I115,-I116,I117:I121)</f>
        <v>41161011.640000001</v>
      </c>
      <c r="J122" s="914">
        <f>SUM(J111:J112,J115,-J116,J117:J121)</f>
        <v>44768482.109999999</v>
      </c>
      <c r="K122" s="919">
        <f>SUM(K111:K112,K115:K121)</f>
        <v>0</v>
      </c>
      <c r="L122" s="919">
        <f>SUM(L111:L112,L115:L121)</f>
        <v>0</v>
      </c>
      <c r="M122" s="891">
        <f>SUM(M111:M112,M115,-M116,M117:M121)</f>
        <v>44768482.109999999</v>
      </c>
      <c r="N122" s="641"/>
      <c r="O122" s="641"/>
      <c r="P122" s="641"/>
      <c r="Q122" s="641"/>
      <c r="T122" s="3056">
        <v>6598</v>
      </c>
      <c r="U122" s="3063">
        <v>37365627.659999996</v>
      </c>
    </row>
    <row r="123" spans="1:21" ht="18">
      <c r="A123" s="1648" t="str">
        <f t="shared" si="26"/>
        <v>※</v>
      </c>
      <c r="B123" s="1647">
        <f t="shared" si="27"/>
        <v>-1</v>
      </c>
      <c r="C123" s="1647" t="str">
        <f t="shared" si="28"/>
        <v>J</v>
      </c>
      <c r="D123" s="1659">
        <v>4398</v>
      </c>
      <c r="E123" s="888" t="str">
        <f t="shared" si="29"/>
        <v>少数股东权益</v>
      </c>
      <c r="F123" s="884">
        <f t="shared" si="19"/>
        <v>0</v>
      </c>
      <c r="G123" s="885">
        <f>SUMIF(AJE!$B:$B,$C123&amp;"89*",AJE!$O:$O)</f>
        <v>0</v>
      </c>
      <c r="H123" s="885">
        <f>SUMIF(AJE!$B:$B,$C123&amp;"89*",AJE!$P:$P)</f>
        <v>0</v>
      </c>
      <c r="I123" s="913">
        <f t="shared" si="34"/>
        <v>0</v>
      </c>
      <c r="J123" s="914">
        <f t="shared" si="20"/>
        <v>0</v>
      </c>
      <c r="K123" s="885">
        <f>SUMIF('AJE1'!$B:$B,$C123&amp;"89*",'AJE1'!$O:$O)</f>
        <v>0</v>
      </c>
      <c r="L123" s="885">
        <f>SUMIF('AJE1'!$B:$B,$C123&amp;"89*",'AJE1'!$P:$P)</f>
        <v>0</v>
      </c>
      <c r="M123" s="891">
        <f t="shared" si="21"/>
        <v>0</v>
      </c>
      <c r="N123" s="641"/>
      <c r="O123" s="641"/>
      <c r="P123" s="641"/>
      <c r="Q123" s="641"/>
      <c r="T123" s="3056">
        <v>6401</v>
      </c>
      <c r="U123" s="3063">
        <v>23934591.690000001</v>
      </c>
    </row>
    <row r="124" spans="1:21" ht="18">
      <c r="A124" s="1648" t="str">
        <f t="shared" si="26"/>
        <v>＝</v>
      </c>
      <c r="B124" s="1647">
        <f t="shared" si="27"/>
        <v>0</v>
      </c>
      <c r="C124" s="1647">
        <f t="shared" si="28"/>
        <v>0</v>
      </c>
      <c r="D124" s="2186">
        <v>4999</v>
      </c>
      <c r="E124" s="2187" t="str">
        <f t="shared" si="29"/>
        <v>所有者权益</v>
      </c>
      <c r="F124" s="884">
        <f t="shared" ref="F124:M124" si="35">SUM(F122:F123)</f>
        <v>44848946.079999998</v>
      </c>
      <c r="G124" s="885">
        <f t="shared" si="35"/>
        <v>4927559.42</v>
      </c>
      <c r="H124" s="885">
        <f t="shared" si="35"/>
        <v>1239624.98</v>
      </c>
      <c r="I124" s="913">
        <f t="shared" si="35"/>
        <v>41161011.640000001</v>
      </c>
      <c r="J124" s="914">
        <f t="shared" si="35"/>
        <v>44768482.109999999</v>
      </c>
      <c r="K124" s="885">
        <f t="shared" si="35"/>
        <v>0</v>
      </c>
      <c r="L124" s="885">
        <f t="shared" si="35"/>
        <v>0</v>
      </c>
      <c r="M124" s="891">
        <f t="shared" si="35"/>
        <v>44768482.109999999</v>
      </c>
      <c r="N124" s="641"/>
      <c r="O124" s="641"/>
      <c r="P124" s="641"/>
      <c r="Q124" s="641"/>
      <c r="T124" s="3056">
        <v>6411</v>
      </c>
      <c r="U124" s="3063">
        <v>0</v>
      </c>
    </row>
    <row r="125" spans="1:21" ht="18">
      <c r="A125" s="1648" t="str">
        <f t="shared" si="26"/>
        <v>＝</v>
      </c>
      <c r="B125" s="1647">
        <f t="shared" si="27"/>
        <v>0</v>
      </c>
      <c r="C125" s="1647">
        <f t="shared" si="28"/>
        <v>0</v>
      </c>
      <c r="D125" s="2186">
        <v>5000</v>
      </c>
      <c r="E125" s="2187" t="str">
        <f t="shared" si="29"/>
        <v>负债和所有者权益</v>
      </c>
      <c r="F125" s="884">
        <f t="shared" ref="F125:M125" si="36">SUM(F109,F124)</f>
        <v>63138219.909999996</v>
      </c>
      <c r="G125" s="885">
        <f t="shared" si="36"/>
        <v>5070528.24</v>
      </c>
      <c r="H125" s="885">
        <f t="shared" si="36"/>
        <v>1242593.8</v>
      </c>
      <c r="I125" s="913">
        <f t="shared" si="36"/>
        <v>59310285.469999999</v>
      </c>
      <c r="J125" s="914">
        <f t="shared" si="36"/>
        <v>59007107.990000002</v>
      </c>
      <c r="K125" s="885">
        <f t="shared" si="36"/>
        <v>0</v>
      </c>
      <c r="L125" s="885">
        <f t="shared" si="36"/>
        <v>0</v>
      </c>
      <c r="M125" s="891">
        <f t="shared" si="36"/>
        <v>59007107.990000002</v>
      </c>
      <c r="N125" s="641"/>
      <c r="O125" s="641"/>
      <c r="P125" s="641"/>
      <c r="Q125" s="641"/>
      <c r="T125" s="3056">
        <v>6421</v>
      </c>
      <c r="U125" s="3063">
        <v>0</v>
      </c>
    </row>
    <row r="126" spans="1:21" ht="18">
      <c r="A126" s="1648" t="str">
        <f t="shared" si="26"/>
        <v>：</v>
      </c>
      <c r="B126" s="1647">
        <f t="shared" si="27"/>
        <v>0</v>
      </c>
      <c r="C126" s="1647">
        <f t="shared" si="28"/>
        <v>0</v>
      </c>
      <c r="D126" s="1659">
        <v>6</v>
      </c>
      <c r="E126" s="920" t="str">
        <f t="shared" si="29"/>
        <v>利润表</v>
      </c>
      <c r="F126" s="884"/>
      <c r="G126" s="885"/>
      <c r="H126" s="885"/>
      <c r="I126" s="913"/>
      <c r="J126" s="914"/>
      <c r="K126" s="885"/>
      <c r="L126" s="885"/>
      <c r="M126" s="891"/>
      <c r="N126" s="641"/>
      <c r="O126" s="641"/>
      <c r="P126" s="641"/>
      <c r="Q126" s="641"/>
      <c r="T126" s="3056">
        <v>6531</v>
      </c>
      <c r="U126" s="3063">
        <v>0</v>
      </c>
    </row>
    <row r="127" spans="1:21" ht="18">
      <c r="A127" s="1648" t="str">
        <f t="shared" si="26"/>
        <v>※</v>
      </c>
      <c r="B127" s="1647">
        <f t="shared" si="27"/>
        <v>0</v>
      </c>
      <c r="C127" s="1647">
        <f t="shared" si="28"/>
        <v>0</v>
      </c>
      <c r="D127" s="2186">
        <v>6098</v>
      </c>
      <c r="E127" s="2187" t="str">
        <f t="shared" si="29"/>
        <v>营业总收入</v>
      </c>
      <c r="F127" s="884">
        <f t="shared" ref="F127:M127" si="37">SUM(F128:F131)</f>
        <v>34251580.890000001</v>
      </c>
      <c r="G127" s="885">
        <f t="shared" si="37"/>
        <v>0</v>
      </c>
      <c r="H127" s="885">
        <f t="shared" si="37"/>
        <v>0</v>
      </c>
      <c r="I127" s="913">
        <f t="shared" si="37"/>
        <v>34251580.890000001</v>
      </c>
      <c r="J127" s="914">
        <f t="shared" si="37"/>
        <v>37369847.649999999</v>
      </c>
      <c r="K127" s="885">
        <f t="shared" si="37"/>
        <v>0</v>
      </c>
      <c r="L127" s="885">
        <f t="shared" si="37"/>
        <v>0</v>
      </c>
      <c r="M127" s="891">
        <f t="shared" si="37"/>
        <v>37369847.649999999</v>
      </c>
      <c r="N127" s="641"/>
      <c r="O127" s="641"/>
      <c r="P127" s="641"/>
      <c r="Q127" s="641"/>
      <c r="T127" s="3056">
        <v>6510</v>
      </c>
      <c r="U127" s="3063">
        <v>0</v>
      </c>
    </row>
    <row r="128" spans="1:21" ht="18">
      <c r="A128" s="1648">
        <f t="shared" si="26"/>
        <v>0</v>
      </c>
      <c r="B128" s="1647">
        <f t="shared" si="27"/>
        <v>-1</v>
      </c>
      <c r="C128" s="1647" t="str">
        <f t="shared" si="28"/>
        <v>J</v>
      </c>
      <c r="D128" s="1659">
        <v>6001</v>
      </c>
      <c r="E128" s="888" t="str">
        <f t="shared" si="29"/>
        <v>营业收入</v>
      </c>
      <c r="F128" s="884">
        <f>VLOOKUP($D128,Sheet_Preis,4,0)</f>
        <v>34251580.890000001</v>
      </c>
      <c r="G128" s="885">
        <f>SUMIF(AJE!$B:$B,$C128&amp;$D128&amp;"*",AJE!$O:$O)</f>
        <v>0</v>
      </c>
      <c r="H128" s="885">
        <f>SUMIF(AJE!$B:$B,$C128&amp;$D128&amp;"*",AJE!$P:$P)</f>
        <v>0</v>
      </c>
      <c r="I128" s="913">
        <f t="shared" ref="I128:I169" si="38">(B128*F128+G128-H128)*B128</f>
        <v>34251580.890000001</v>
      </c>
      <c r="J128" s="914">
        <f>VLOOKUP($D128,Sheet_Preis,5,0)</f>
        <v>37369847.649999999</v>
      </c>
      <c r="K128" s="885">
        <f>SUMIF('AJE1'!$B:$B,$C128&amp;$D128&amp;"*",'AJE1'!$O:$O)</f>
        <v>0</v>
      </c>
      <c r="L128" s="885">
        <f>SUMIF('AJE1'!$B:$B,$C128&amp;$D128&amp;"*",'AJE1'!$P:$P)</f>
        <v>0</v>
      </c>
      <c r="M128" s="891">
        <f t="shared" ref="M128:M169" si="39">($B128*J128+K128-L128)*$B128</f>
        <v>37369847.649999999</v>
      </c>
      <c r="N128" s="641"/>
      <c r="O128" s="641"/>
      <c r="P128" s="641"/>
      <c r="Q128" s="641"/>
      <c r="T128" s="3056">
        <v>6505</v>
      </c>
      <c r="U128" s="3063">
        <v>0</v>
      </c>
    </row>
    <row r="129" spans="1:21" ht="18">
      <c r="A129" s="1648" t="str">
        <f t="shared" si="26"/>
        <v>△</v>
      </c>
      <c r="B129" s="1647">
        <f t="shared" si="27"/>
        <v>-1</v>
      </c>
      <c r="C129" s="1647" t="str">
        <f t="shared" si="28"/>
        <v>J</v>
      </c>
      <c r="D129" s="1659">
        <v>6011</v>
      </c>
      <c r="E129" s="888" t="str">
        <f t="shared" si="29"/>
        <v>利息收入</v>
      </c>
      <c r="F129" s="884">
        <f>VLOOKUP($D129,Sheet_Preis,4,0)</f>
        <v>0</v>
      </c>
      <c r="G129" s="885">
        <f>SUMIF(AJE!$B:$B,$C129&amp;$D129&amp;"*",AJE!$O:$O)</f>
        <v>0</v>
      </c>
      <c r="H129" s="885">
        <f>SUMIF(AJE!$B:$B,$C129&amp;$D129&amp;"*",AJE!$P:$P)</f>
        <v>0</v>
      </c>
      <c r="I129" s="913">
        <f t="shared" si="38"/>
        <v>0</v>
      </c>
      <c r="J129" s="914">
        <f>VLOOKUP($D129,Sheet_Preis,5,0)</f>
        <v>0</v>
      </c>
      <c r="K129" s="885">
        <f>SUMIF('AJE1'!$B:$B,$C129&amp;$D129&amp;"*",'AJE1'!$O:$O)</f>
        <v>0</v>
      </c>
      <c r="L129" s="885">
        <f>SUMIF('AJE1'!$B:$B,$C129&amp;$D129&amp;"*",'AJE1'!$P:$P)</f>
        <v>0</v>
      </c>
      <c r="M129" s="891">
        <f t="shared" si="39"/>
        <v>0</v>
      </c>
      <c r="N129" s="641"/>
      <c r="O129" s="641"/>
      <c r="P129" s="641"/>
      <c r="Q129" s="641"/>
      <c r="T129" s="3056">
        <v>6521</v>
      </c>
      <c r="U129" s="3063">
        <v>0</v>
      </c>
    </row>
    <row r="130" spans="1:21" ht="18">
      <c r="A130" s="1648" t="str">
        <f t="shared" si="26"/>
        <v>△</v>
      </c>
      <c r="B130" s="1647">
        <f t="shared" si="27"/>
        <v>-1</v>
      </c>
      <c r="C130" s="1647" t="str">
        <f t="shared" si="28"/>
        <v>J</v>
      </c>
      <c r="D130" s="1659">
        <v>6030</v>
      </c>
      <c r="E130" s="888" t="str">
        <f t="shared" si="29"/>
        <v>已赚保费</v>
      </c>
      <c r="F130" s="884">
        <f>VLOOKUP($D130,Sheet_Preis,4,0)</f>
        <v>0</v>
      </c>
      <c r="G130" s="885">
        <f>SUMIF(AJE!$B:$B,$C130&amp;$D130&amp;"*",AJE!$O:$O)</f>
        <v>0</v>
      </c>
      <c r="H130" s="885">
        <f>SUMIF(AJE!$B:$B,$C130&amp;$D130&amp;"*",AJE!$P:$P)</f>
        <v>0</v>
      </c>
      <c r="I130" s="913">
        <f t="shared" si="38"/>
        <v>0</v>
      </c>
      <c r="J130" s="914">
        <f>VLOOKUP($D130,Sheet_Preis,5,0)</f>
        <v>0</v>
      </c>
      <c r="K130" s="885">
        <f>SUMIF('AJE1'!$B:$B,$C130&amp;$D130&amp;"*",'AJE1'!$O:$O)</f>
        <v>0</v>
      </c>
      <c r="L130" s="885">
        <f>SUMIF('AJE1'!$B:$B,$C130&amp;$D130&amp;"*",'AJE1'!$P:$P)</f>
        <v>0</v>
      </c>
      <c r="M130" s="891">
        <f t="shared" si="39"/>
        <v>0</v>
      </c>
      <c r="N130" s="641"/>
      <c r="O130" s="641"/>
      <c r="P130" s="641"/>
      <c r="Q130" s="641"/>
      <c r="T130" s="3056">
        <v>6542</v>
      </c>
      <c r="U130" s="3063">
        <v>0</v>
      </c>
    </row>
    <row r="131" spans="1:21" ht="18">
      <c r="A131" s="1648" t="str">
        <f t="shared" si="26"/>
        <v>△</v>
      </c>
      <c r="B131" s="1647">
        <f t="shared" si="27"/>
        <v>-1</v>
      </c>
      <c r="C131" s="1647" t="str">
        <f t="shared" si="28"/>
        <v>J</v>
      </c>
      <c r="D131" s="1659">
        <v>6021</v>
      </c>
      <c r="E131" s="888" t="str">
        <f t="shared" si="29"/>
        <v>手续费及佣金收入</v>
      </c>
      <c r="F131" s="884">
        <f>VLOOKUP($D131,Sheet_Preis,4,0)</f>
        <v>0</v>
      </c>
      <c r="G131" s="885">
        <f>SUMIF(AJE!$B:$B,$C131&amp;$D131&amp;"*",AJE!$O:$O)</f>
        <v>0</v>
      </c>
      <c r="H131" s="885">
        <f>SUMIF(AJE!$B:$B,$C131&amp;$D131&amp;"*",AJE!$P:$P)</f>
        <v>0</v>
      </c>
      <c r="I131" s="913">
        <f t="shared" si="38"/>
        <v>0</v>
      </c>
      <c r="J131" s="914">
        <f>VLOOKUP($D131,Sheet_Preis,5,0)</f>
        <v>0</v>
      </c>
      <c r="K131" s="885">
        <f>SUMIF('AJE1'!$B:$B,$C131&amp;$D131&amp;"*",'AJE1'!$O:$O)</f>
        <v>0</v>
      </c>
      <c r="L131" s="885">
        <f>SUMIF('AJE1'!$B:$B,$C131&amp;$D131&amp;"*",'AJE1'!$P:$P)</f>
        <v>0</v>
      </c>
      <c r="M131" s="891">
        <f t="shared" si="39"/>
        <v>0</v>
      </c>
      <c r="N131" s="641"/>
      <c r="O131" s="641"/>
      <c r="P131" s="641"/>
      <c r="Q131" s="641"/>
      <c r="T131" s="3056">
        <v>6600</v>
      </c>
      <c r="U131" s="3063">
        <v>816515.77</v>
      </c>
    </row>
    <row r="132" spans="1:21" ht="18">
      <c r="A132" s="1648" t="str">
        <f t="shared" si="26"/>
        <v>※</v>
      </c>
      <c r="B132" s="1647">
        <f t="shared" si="27"/>
        <v>0</v>
      </c>
      <c r="C132" s="1647">
        <f t="shared" si="28"/>
        <v>0</v>
      </c>
      <c r="D132" s="2186">
        <v>6598</v>
      </c>
      <c r="E132" s="2187" t="str">
        <f t="shared" si="29"/>
        <v>营业总成本</v>
      </c>
      <c r="F132" s="884">
        <f>SUM(F133:F145)</f>
        <v>36087527.850000001</v>
      </c>
      <c r="G132" s="885">
        <f>SUM(G133:G145)</f>
        <v>0</v>
      </c>
      <c r="H132" s="885">
        <f t="shared" ref="H132:M132" si="40">SUM(H133:H145)</f>
        <v>0</v>
      </c>
      <c r="I132" s="913">
        <f t="shared" si="40"/>
        <v>36087527.850000001</v>
      </c>
      <c r="J132" s="914">
        <f t="shared" si="40"/>
        <v>37564442.520000003</v>
      </c>
      <c r="K132" s="885">
        <f t="shared" si="40"/>
        <v>0</v>
      </c>
      <c r="L132" s="885">
        <f t="shared" si="40"/>
        <v>0</v>
      </c>
      <c r="M132" s="891">
        <f t="shared" si="40"/>
        <v>37564442.520000003</v>
      </c>
      <c r="N132" s="641"/>
      <c r="O132" s="641"/>
      <c r="P132" s="641"/>
      <c r="Q132" s="641"/>
      <c r="T132" s="3056">
        <v>6601</v>
      </c>
      <c r="U132" s="3063">
        <v>5670698.4400000004</v>
      </c>
    </row>
    <row r="133" spans="1:21" ht="18">
      <c r="A133" s="1648">
        <f t="shared" si="26"/>
        <v>0</v>
      </c>
      <c r="B133" s="1647">
        <f t="shared" si="27"/>
        <v>1</v>
      </c>
      <c r="C133" s="1647" t="str">
        <f t="shared" si="28"/>
        <v>J</v>
      </c>
      <c r="D133" s="1659">
        <v>6401</v>
      </c>
      <c r="E133" s="888" t="str">
        <f t="shared" si="29"/>
        <v>营业成本</v>
      </c>
      <c r="F133" s="884">
        <f t="shared" ref="F133:F157" si="41">VLOOKUP($D133,Sheet_Preis,4,0)</f>
        <v>21902138.960000001</v>
      </c>
      <c r="G133" s="885">
        <f>SUMIF(AJE!$B:$B,$C133&amp;$D133&amp;"*",AJE!$O:$O)</f>
        <v>-517606.01</v>
      </c>
      <c r="H133" s="885">
        <f>SUMIF(AJE!$B:$B,$C133&amp;$D133&amp;"*",AJE!$P:$P)</f>
        <v>0</v>
      </c>
      <c r="I133" s="913">
        <f t="shared" si="38"/>
        <v>21384532.949999999</v>
      </c>
      <c r="J133" s="914">
        <f t="shared" ref="J133:J157" si="42">VLOOKUP($D133,Sheet_Preis,5,0)</f>
        <v>23934591.690000001</v>
      </c>
      <c r="K133" s="885">
        <f>SUMIF('AJE1'!$B:$B,$C133&amp;$D133&amp;"*",'AJE1'!$O:$O)</f>
        <v>0</v>
      </c>
      <c r="L133" s="885">
        <f>SUMIF('AJE1'!$B:$B,$C133&amp;$D133&amp;"*",'AJE1'!$P:$P)</f>
        <v>0</v>
      </c>
      <c r="M133" s="891">
        <f t="shared" si="39"/>
        <v>23934591.690000001</v>
      </c>
      <c r="N133" s="641"/>
      <c r="O133" s="641"/>
      <c r="P133" s="641"/>
      <c r="Q133" s="641"/>
      <c r="T133" s="3056">
        <v>6602</v>
      </c>
      <c r="U133" s="3063">
        <v>2881011.76</v>
      </c>
    </row>
    <row r="134" spans="1:21" ht="18">
      <c r="A134" s="1648" t="str">
        <f t="shared" si="26"/>
        <v>△</v>
      </c>
      <c r="B134" s="1647">
        <f t="shared" si="27"/>
        <v>1</v>
      </c>
      <c r="C134" s="1647" t="str">
        <f t="shared" si="28"/>
        <v>J</v>
      </c>
      <c r="D134" s="1659">
        <v>6411</v>
      </c>
      <c r="E134" s="888" t="str">
        <f t="shared" si="29"/>
        <v>利息支出</v>
      </c>
      <c r="F134" s="884">
        <f t="shared" si="41"/>
        <v>0</v>
      </c>
      <c r="G134" s="885">
        <f>SUMIF(AJE!$B:$B,$C134&amp;$D134&amp;"*",AJE!$O:$O)</f>
        <v>0</v>
      </c>
      <c r="H134" s="885">
        <f>SUMIF(AJE!$B:$B,$C134&amp;$D134&amp;"*",AJE!$P:$P)</f>
        <v>0</v>
      </c>
      <c r="I134" s="913">
        <f t="shared" si="38"/>
        <v>0</v>
      </c>
      <c r="J134" s="914">
        <f t="shared" si="42"/>
        <v>0</v>
      </c>
      <c r="K134" s="885">
        <f>SUMIF('AJE1'!$B:$B,$C134&amp;$D134&amp;"*",'AJE1'!$O:$O)</f>
        <v>0</v>
      </c>
      <c r="L134" s="885">
        <f>SUMIF('AJE1'!$B:$B,$C134&amp;$D134&amp;"*",'AJE1'!$P:$P)</f>
        <v>0</v>
      </c>
      <c r="M134" s="891">
        <f t="shared" si="39"/>
        <v>0</v>
      </c>
      <c r="N134" s="641"/>
      <c r="O134" s="641"/>
      <c r="P134" s="641"/>
      <c r="Q134" s="641"/>
      <c r="T134" s="3056">
        <v>6606</v>
      </c>
      <c r="U134" s="3063">
        <v>3908463.7</v>
      </c>
    </row>
    <row r="135" spans="1:21" ht="18">
      <c r="A135" s="1648" t="str">
        <f t="shared" si="26"/>
        <v>△</v>
      </c>
      <c r="B135" s="1647">
        <f t="shared" si="27"/>
        <v>1</v>
      </c>
      <c r="C135" s="1647" t="str">
        <f t="shared" si="28"/>
        <v>J</v>
      </c>
      <c r="D135" s="1659">
        <v>6421</v>
      </c>
      <c r="E135" s="888" t="str">
        <f t="shared" si="29"/>
        <v>手续费及佣金支出</v>
      </c>
      <c r="F135" s="884">
        <f t="shared" si="41"/>
        <v>0</v>
      </c>
      <c r="G135" s="885">
        <f>SUMIF(AJE!$B:$B,$C135&amp;$D135&amp;"*",AJE!$O:$O)</f>
        <v>0</v>
      </c>
      <c r="H135" s="885">
        <f>SUMIF(AJE!$B:$B,$C135&amp;$D135&amp;"*",AJE!$P:$P)</f>
        <v>0</v>
      </c>
      <c r="I135" s="913">
        <f t="shared" si="38"/>
        <v>0</v>
      </c>
      <c r="J135" s="914">
        <f t="shared" si="42"/>
        <v>0</v>
      </c>
      <c r="K135" s="885">
        <f>SUMIF('AJE1'!$B:$B,$C135&amp;$D135&amp;"*",'AJE1'!$O:$O)</f>
        <v>0</v>
      </c>
      <c r="L135" s="885">
        <f>SUMIF('AJE1'!$B:$B,$C135&amp;$D135&amp;"*",'AJE1'!$P:$P)</f>
        <v>0</v>
      </c>
      <c r="M135" s="891">
        <f t="shared" si="39"/>
        <v>0</v>
      </c>
      <c r="N135" s="641"/>
      <c r="O135" s="641"/>
      <c r="P135" s="641"/>
      <c r="Q135" s="641"/>
      <c r="T135" s="3056">
        <v>6603</v>
      </c>
      <c r="U135" s="3063">
        <v>353161.16</v>
      </c>
    </row>
    <row r="136" spans="1:21" ht="18">
      <c r="A136" s="1648" t="str">
        <f t="shared" si="26"/>
        <v>△</v>
      </c>
      <c r="B136" s="1647">
        <f t="shared" si="27"/>
        <v>1</v>
      </c>
      <c r="C136" s="1647" t="str">
        <f t="shared" si="28"/>
        <v>J</v>
      </c>
      <c r="D136" s="1659">
        <v>6531</v>
      </c>
      <c r="E136" s="888" t="str">
        <f t="shared" si="29"/>
        <v>退保金</v>
      </c>
      <c r="F136" s="884">
        <f t="shared" si="41"/>
        <v>0</v>
      </c>
      <c r="G136" s="885">
        <f>SUMIF(AJE!$B:$B,$C136&amp;$D136&amp;"*",AJE!$O:$O)</f>
        <v>0</v>
      </c>
      <c r="H136" s="885">
        <f>SUMIF(AJE!$B:$B,$C136&amp;$D136&amp;"*",AJE!$P:$P)</f>
        <v>0</v>
      </c>
      <c r="I136" s="913">
        <f t="shared" si="38"/>
        <v>0</v>
      </c>
      <c r="J136" s="914">
        <f t="shared" si="42"/>
        <v>0</v>
      </c>
      <c r="K136" s="885">
        <f>SUMIF('AJE1'!$B:$B,$C136&amp;$D136&amp;"*",'AJE1'!$O:$O)</f>
        <v>0</v>
      </c>
      <c r="L136" s="885">
        <f>SUMIF('AJE1'!$B:$B,$C136&amp;$D136&amp;"*",'AJE1'!$P:$P)</f>
        <v>0</v>
      </c>
      <c r="M136" s="891">
        <f t="shared" si="39"/>
        <v>0</v>
      </c>
      <c r="N136" s="641"/>
      <c r="O136" s="641"/>
      <c r="P136" s="641"/>
      <c r="Q136" s="641"/>
      <c r="T136" s="3056" t="s">
        <v>803</v>
      </c>
      <c r="U136" s="3063">
        <v>342900.23</v>
      </c>
    </row>
    <row r="137" spans="1:21" ht="18">
      <c r="A137" s="1648" t="str">
        <f t="shared" si="26"/>
        <v>△</v>
      </c>
      <c r="B137" s="1647">
        <f t="shared" si="27"/>
        <v>1</v>
      </c>
      <c r="C137" s="1647" t="str">
        <f t="shared" si="28"/>
        <v>J</v>
      </c>
      <c r="D137" s="1659">
        <v>6510</v>
      </c>
      <c r="E137" s="888" t="str">
        <f t="shared" si="29"/>
        <v>赔付支出净额</v>
      </c>
      <c r="F137" s="884">
        <f t="shared" si="41"/>
        <v>0</v>
      </c>
      <c r="G137" s="885">
        <f>SUMIF(AJE!$B:$B,$C137&amp;$D137&amp;"*",AJE!$O:$O)</f>
        <v>0</v>
      </c>
      <c r="H137" s="885">
        <f>SUMIF(AJE!$B:$B,$C137&amp;$D137&amp;"*",AJE!$P:$P)</f>
        <v>0</v>
      </c>
      <c r="I137" s="913">
        <f t="shared" si="38"/>
        <v>0</v>
      </c>
      <c r="J137" s="914">
        <f t="shared" si="42"/>
        <v>0</v>
      </c>
      <c r="K137" s="885">
        <f>SUMIF('AJE1'!$B:$B,$C137&amp;$D137&amp;"*",'AJE1'!$O:$O)</f>
        <v>0</v>
      </c>
      <c r="L137" s="885">
        <f>SUMIF('AJE1'!$B:$B,$C137&amp;$D137&amp;"*",'AJE1'!$P:$P)</f>
        <v>0</v>
      </c>
      <c r="M137" s="891">
        <f t="shared" si="39"/>
        <v>0</v>
      </c>
      <c r="N137" s="641"/>
      <c r="O137" s="641"/>
      <c r="P137" s="641"/>
      <c r="Q137" s="641"/>
      <c r="T137" s="3056" t="s">
        <v>810</v>
      </c>
      <c r="U137" s="3063">
        <v>881.95</v>
      </c>
    </row>
    <row r="138" spans="1:21" ht="18">
      <c r="A138" s="1648" t="str">
        <f t="shared" si="26"/>
        <v>△</v>
      </c>
      <c r="B138" s="1647">
        <f t="shared" si="27"/>
        <v>1</v>
      </c>
      <c r="C138" s="1647" t="str">
        <f t="shared" si="28"/>
        <v>J</v>
      </c>
      <c r="D138" s="1659">
        <v>6505</v>
      </c>
      <c r="E138" s="888" t="str">
        <f t="shared" si="29"/>
        <v>提取保险责任准备金净额</v>
      </c>
      <c r="F138" s="884">
        <f t="shared" si="41"/>
        <v>0</v>
      </c>
      <c r="G138" s="885">
        <f>SUMIF(AJE!$B:$B,$C138&amp;$D138&amp;"*",AJE!$O:$O)</f>
        <v>0</v>
      </c>
      <c r="H138" s="885">
        <f>SUMIF(AJE!$B:$B,$C138&amp;$D138&amp;"*",AJE!$P:$P)</f>
        <v>0</v>
      </c>
      <c r="I138" s="913">
        <f t="shared" si="38"/>
        <v>0</v>
      </c>
      <c r="J138" s="914">
        <f t="shared" si="42"/>
        <v>0</v>
      </c>
      <c r="K138" s="885">
        <f>SUMIF('AJE1'!$B:$B,$C138&amp;$D138&amp;"*",'AJE1'!$O:$O)</f>
        <v>0</v>
      </c>
      <c r="L138" s="885">
        <f>SUMIF('AJE1'!$B:$B,$C138&amp;$D138&amp;"*",'AJE1'!$P:$P)</f>
        <v>0</v>
      </c>
      <c r="M138" s="891">
        <f t="shared" si="39"/>
        <v>0</v>
      </c>
      <c r="N138" s="641"/>
      <c r="O138" s="641"/>
      <c r="P138" s="641"/>
      <c r="Q138" s="641"/>
      <c r="T138" s="3056">
        <v>6671</v>
      </c>
      <c r="U138" s="3063">
        <v>-198814.86</v>
      </c>
    </row>
    <row r="139" spans="1:21" ht="18">
      <c r="A139" s="1648" t="str">
        <f t="shared" si="26"/>
        <v>△</v>
      </c>
      <c r="B139" s="1647">
        <f t="shared" si="27"/>
        <v>1</v>
      </c>
      <c r="C139" s="1647" t="str">
        <f t="shared" si="28"/>
        <v>J</v>
      </c>
      <c r="D139" s="1659">
        <v>6521</v>
      </c>
      <c r="E139" s="888" t="str">
        <f t="shared" si="29"/>
        <v>保单红利支出</v>
      </c>
      <c r="F139" s="884">
        <f t="shared" si="41"/>
        <v>0</v>
      </c>
      <c r="G139" s="885">
        <f>SUMIF(AJE!$B:$B,$C139&amp;$D139&amp;"*",AJE!$O:$O)</f>
        <v>0</v>
      </c>
      <c r="H139" s="885">
        <f>SUMIF(AJE!$B:$B,$C139&amp;$D139&amp;"*",AJE!$P:$P)</f>
        <v>0</v>
      </c>
      <c r="I139" s="913">
        <f t="shared" si="38"/>
        <v>0</v>
      </c>
      <c r="J139" s="914">
        <f t="shared" si="42"/>
        <v>0</v>
      </c>
      <c r="K139" s="885">
        <f>SUMIF('AJE1'!$B:$B,$C139&amp;$D139&amp;"*",'AJE1'!$O:$O)</f>
        <v>0</v>
      </c>
      <c r="L139" s="885">
        <f>SUMIF('AJE1'!$B:$B,$C139&amp;$D139&amp;"*",'AJE1'!$P:$P)</f>
        <v>0</v>
      </c>
      <c r="M139" s="891">
        <f t="shared" si="39"/>
        <v>0</v>
      </c>
      <c r="N139" s="641"/>
      <c r="O139" s="641"/>
      <c r="P139" s="641"/>
      <c r="Q139" s="641"/>
      <c r="T139" s="3056">
        <v>6181</v>
      </c>
      <c r="U139" s="3063">
        <v>80500</v>
      </c>
    </row>
    <row r="140" spans="1:21" ht="18">
      <c r="A140" s="1648" t="str">
        <f t="shared" si="26"/>
        <v>△</v>
      </c>
      <c r="B140" s="1647">
        <f t="shared" si="27"/>
        <v>1</v>
      </c>
      <c r="C140" s="1647" t="str">
        <f t="shared" si="28"/>
        <v>J</v>
      </c>
      <c r="D140" s="1659">
        <v>6542</v>
      </c>
      <c r="E140" s="888" t="str">
        <f t="shared" si="29"/>
        <v>分保费用</v>
      </c>
      <c r="F140" s="884">
        <f t="shared" si="41"/>
        <v>0</v>
      </c>
      <c r="G140" s="885">
        <f>SUMIF(AJE!$B:$B,$C140&amp;$D140&amp;"*",AJE!$O:$O)</f>
        <v>0</v>
      </c>
      <c r="H140" s="885">
        <f>SUMIF(AJE!$B:$B,$C140&amp;$D140&amp;"*",AJE!$P:$P)</f>
        <v>0</v>
      </c>
      <c r="I140" s="913">
        <f t="shared" si="38"/>
        <v>0</v>
      </c>
      <c r="J140" s="914">
        <f t="shared" si="42"/>
        <v>0</v>
      </c>
      <c r="K140" s="885">
        <f>SUMIF('AJE1'!$B:$B,$C140&amp;$D140&amp;"*",'AJE1'!$O:$O)</f>
        <v>0</v>
      </c>
      <c r="L140" s="885">
        <f>SUMIF('AJE1'!$B:$B,$C140&amp;$D140&amp;"*",'AJE1'!$P:$P)</f>
        <v>0</v>
      </c>
      <c r="M140" s="891">
        <f t="shared" si="39"/>
        <v>0</v>
      </c>
      <c r="N140" s="641"/>
      <c r="O140" s="641"/>
      <c r="P140" s="641"/>
      <c r="Q140" s="641"/>
      <c r="T140" s="3056">
        <v>6111</v>
      </c>
      <c r="U140" s="3063">
        <v>38200.720000000001</v>
      </c>
    </row>
    <row r="141" spans="1:21" ht="18">
      <c r="A141" s="1648">
        <f t="shared" si="26"/>
        <v>0</v>
      </c>
      <c r="B141" s="1647">
        <f t="shared" si="27"/>
        <v>1</v>
      </c>
      <c r="C141" s="1647" t="str">
        <f t="shared" si="28"/>
        <v>J</v>
      </c>
      <c r="D141" s="1659">
        <v>6600</v>
      </c>
      <c r="E141" s="888" t="str">
        <f t="shared" si="29"/>
        <v>税金及附加</v>
      </c>
      <c r="F141" s="884">
        <f t="shared" si="41"/>
        <v>698053.95</v>
      </c>
      <c r="G141" s="885">
        <f>SUMIF(AJE!$B:$B,$C141&amp;$D141&amp;"*",AJE!$O:$O)</f>
        <v>42226.57</v>
      </c>
      <c r="H141" s="885">
        <f>SUMIF(AJE!$B:$B,$C141&amp;$D141&amp;"*",AJE!$P:$P)</f>
        <v>0</v>
      </c>
      <c r="I141" s="913">
        <f t="shared" si="38"/>
        <v>740280.52</v>
      </c>
      <c r="J141" s="914">
        <f t="shared" si="42"/>
        <v>816515.77</v>
      </c>
      <c r="K141" s="885">
        <f>SUMIF('AJE1'!$B:$B,$C141&amp;$D141&amp;"*",'AJE1'!$O:$O)</f>
        <v>0</v>
      </c>
      <c r="L141" s="885">
        <f>SUMIF('AJE1'!$B:$B,$C141&amp;$D141&amp;"*",'AJE1'!$P:$P)</f>
        <v>0</v>
      </c>
      <c r="M141" s="891">
        <f t="shared" si="39"/>
        <v>816515.77</v>
      </c>
      <c r="N141" s="641"/>
      <c r="O141" s="641"/>
      <c r="P141" s="641"/>
      <c r="Q141" s="641"/>
      <c r="T141" s="3057">
        <v>6111.01</v>
      </c>
      <c r="U141" s="3063">
        <v>0</v>
      </c>
    </row>
    <row r="142" spans="1:21" ht="18">
      <c r="A142" s="1648">
        <f t="shared" si="26"/>
        <v>0</v>
      </c>
      <c r="B142" s="1647">
        <f t="shared" si="27"/>
        <v>1</v>
      </c>
      <c r="C142" s="1647" t="str">
        <f t="shared" si="28"/>
        <v>J</v>
      </c>
      <c r="D142" s="1659">
        <v>6601</v>
      </c>
      <c r="E142" s="888" t="str">
        <f t="shared" si="29"/>
        <v>销售费用</v>
      </c>
      <c r="F142" s="884">
        <f t="shared" si="41"/>
        <v>5573302.79</v>
      </c>
      <c r="G142" s="885">
        <f>SUMIF(AJE!$B:$B,$C142&amp;$D142&amp;"*",AJE!$O:$O)</f>
        <v>0</v>
      </c>
      <c r="H142" s="885">
        <f>SUMIF(AJE!$B:$B,$C142&amp;$D142&amp;"*",AJE!$P:$P)</f>
        <v>0</v>
      </c>
      <c r="I142" s="913">
        <f t="shared" si="38"/>
        <v>5573302.79</v>
      </c>
      <c r="J142" s="914">
        <f t="shared" si="42"/>
        <v>5670698.4400000004</v>
      </c>
      <c r="K142" s="885">
        <f>SUMIF('AJE1'!$B:$B,$C142&amp;$D142&amp;"*",'AJE1'!$O:$O)</f>
        <v>0</v>
      </c>
      <c r="L142" s="885">
        <f>SUMIF('AJE1'!$B:$B,$C142&amp;$D142&amp;"*",'AJE1'!$P:$P)</f>
        <v>0</v>
      </c>
      <c r="M142" s="891">
        <f t="shared" si="39"/>
        <v>5670698.4400000004</v>
      </c>
      <c r="N142" s="641"/>
      <c r="O142" s="641"/>
      <c r="P142" s="641"/>
      <c r="Q142" s="641"/>
      <c r="T142" s="3056">
        <v>6161</v>
      </c>
      <c r="U142" s="3063">
        <v>0</v>
      </c>
    </row>
    <row r="143" spans="1:21" ht="18">
      <c r="A143" s="1648">
        <f t="shared" si="26"/>
        <v>0</v>
      </c>
      <c r="B143" s="1647">
        <f t="shared" si="27"/>
        <v>1</v>
      </c>
      <c r="C143" s="1647" t="str">
        <f t="shared" si="28"/>
        <v>J</v>
      </c>
      <c r="D143" s="1659">
        <v>6602</v>
      </c>
      <c r="E143" s="888" t="str">
        <f t="shared" si="29"/>
        <v>管理费用</v>
      </c>
      <c r="F143" s="884">
        <f t="shared" si="41"/>
        <v>3468057.07</v>
      </c>
      <c r="G143" s="885">
        <f>SUMIF(AJE!$B:$B,$C143&amp;$D143&amp;"*",AJE!$O:$O)</f>
        <v>475379.44</v>
      </c>
      <c r="H143" s="885">
        <f>SUMIF(AJE!$B:$B,$C143&amp;$D143&amp;"*",AJE!$P:$P)</f>
        <v>0</v>
      </c>
      <c r="I143" s="913">
        <f t="shared" si="38"/>
        <v>3943436.51</v>
      </c>
      <c r="J143" s="914">
        <f t="shared" si="42"/>
        <v>2881011.76</v>
      </c>
      <c r="K143" s="885">
        <f>SUMIF('AJE1'!$B:$B,$C143&amp;$D143&amp;"*",'AJE1'!$O:$O)</f>
        <v>0</v>
      </c>
      <c r="L143" s="885">
        <f>SUMIF('AJE1'!$B:$B,$C143&amp;$D143&amp;"*",'AJE1'!$P:$P)</f>
        <v>0</v>
      </c>
      <c r="M143" s="891">
        <f t="shared" si="39"/>
        <v>2881011.76</v>
      </c>
      <c r="N143" s="641"/>
      <c r="O143" s="641"/>
      <c r="P143" s="641"/>
      <c r="Q143" s="641"/>
      <c r="T143" s="3056">
        <v>6101</v>
      </c>
      <c r="U143" s="3063">
        <v>0</v>
      </c>
    </row>
    <row r="144" spans="1:21" ht="18">
      <c r="A144" s="1648">
        <f>VLOOKUP($D144,Sheet_Items,4,0)</f>
        <v>0</v>
      </c>
      <c r="B144" s="1647">
        <f>VLOOKUP($D144,Sheet_Items,3,0)</f>
        <v>1</v>
      </c>
      <c r="C144" s="1647" t="str">
        <f>VLOOKUP($D144,Sheet_Items,9,0)</f>
        <v>J</v>
      </c>
      <c r="D144" s="1659">
        <v>6606</v>
      </c>
      <c r="E144" s="888" t="str">
        <f>VLOOKUP($D144,Sheet_Items,2,0)</f>
        <v>研发费用</v>
      </c>
      <c r="F144" s="884">
        <f>VLOOKUP($D144,Sheet_Preis,4,0)</f>
        <v>4398818.97</v>
      </c>
      <c r="G144" s="885">
        <f>SUMIF(AJE!$B:$B,$C144&amp;$D144&amp;"*",AJE!$O:$O)</f>
        <v>0</v>
      </c>
      <c r="H144" s="885">
        <f>SUMIF(AJE!$B:$B,$C144&amp;$D144&amp;"*",AJE!$P:$P)</f>
        <v>0</v>
      </c>
      <c r="I144" s="913">
        <f t="shared" si="38"/>
        <v>4398818.97</v>
      </c>
      <c r="J144" s="914">
        <f>VLOOKUP($D144,Sheet_Preis,5,0)</f>
        <v>3908463.7</v>
      </c>
      <c r="K144" s="885">
        <f>SUMIF('AJE1'!$B:$B,$C144&amp;$D144&amp;"*",'AJE1'!$O:$O)</f>
        <v>0</v>
      </c>
      <c r="L144" s="885">
        <f>SUMIF('AJE1'!$B:$B,$C144&amp;$D144&amp;"*",'AJE1'!$P:$P)</f>
        <v>0</v>
      </c>
      <c r="M144" s="891">
        <f t="shared" si="39"/>
        <v>3908463.7</v>
      </c>
      <c r="N144" s="641"/>
      <c r="O144" s="641"/>
      <c r="P144" s="641"/>
      <c r="Q144" s="641"/>
      <c r="T144" s="3056">
        <v>6171</v>
      </c>
      <c r="U144" s="3063">
        <v>456.04</v>
      </c>
    </row>
    <row r="145" spans="1:21" ht="18">
      <c r="A145" s="1648">
        <f t="shared" si="26"/>
        <v>0</v>
      </c>
      <c r="B145" s="1647">
        <f t="shared" si="27"/>
        <v>1</v>
      </c>
      <c r="C145" s="1647" t="str">
        <f t="shared" si="28"/>
        <v>J</v>
      </c>
      <c r="D145" s="1659">
        <v>6603</v>
      </c>
      <c r="E145" s="888" t="str">
        <f t="shared" si="29"/>
        <v>财务费用</v>
      </c>
      <c r="F145" s="884">
        <f t="shared" si="41"/>
        <v>47156.11</v>
      </c>
      <c r="G145" s="885">
        <f>SUMIF(AJE!$B:$B,$C145&amp;$D145&amp;"*",AJE!$O:$O)</f>
        <v>0</v>
      </c>
      <c r="H145" s="885">
        <f>SUMIF(AJE!$B:$B,$C145&amp;$D145&amp;"*",AJE!$P:$P)</f>
        <v>0</v>
      </c>
      <c r="I145" s="913">
        <f t="shared" si="38"/>
        <v>47156.11</v>
      </c>
      <c r="J145" s="914">
        <f t="shared" si="42"/>
        <v>353161.16</v>
      </c>
      <c r="K145" s="885">
        <f>SUMIF('AJE1'!$B:$B,$C145&amp;$D145&amp;"*",'AJE1'!$O:$O)</f>
        <v>0</v>
      </c>
      <c r="L145" s="885">
        <f>SUMIF('AJE1'!$B:$B,$C145&amp;$D145&amp;"*",'AJE1'!$P:$P)</f>
        <v>0</v>
      </c>
      <c r="M145" s="891">
        <f t="shared" si="39"/>
        <v>353161.16</v>
      </c>
      <c r="N145" s="641"/>
      <c r="O145" s="641"/>
      <c r="P145" s="641"/>
      <c r="Q145" s="641"/>
      <c r="T145" s="3056">
        <v>6689</v>
      </c>
      <c r="U145" s="3063">
        <v>123376.75</v>
      </c>
    </row>
    <row r="146" spans="1:21" ht="18">
      <c r="A146" s="1648">
        <f>VLOOKUP($D146,Sheet_Items,4,0)</f>
        <v>0</v>
      </c>
      <c r="B146" s="1647">
        <f>VLOOKUP($D146,Sheet_Items,3,0)</f>
        <v>1</v>
      </c>
      <c r="C146" s="1647" t="str">
        <f>VLOOKUP($D146,Sheet_Items,9,0)</f>
        <v>J</v>
      </c>
      <c r="D146" s="1659" t="s">
        <v>803</v>
      </c>
      <c r="E146" s="2196" t="str">
        <f>VLOOKUP($D146,Sheet_Items,2,0)</f>
        <v>财务费用_利息费用</v>
      </c>
      <c r="F146" s="884">
        <f>VLOOKUP($D146,Sheet_Preis,4,0)</f>
        <v>-745.38</v>
      </c>
      <c r="G146" s="885">
        <f>SUMIF(AJE!$B:$B,$C146&amp;$D146&amp;"*",AJE!$O:$O)</f>
        <v>0</v>
      </c>
      <c r="H146" s="885">
        <f>SUMIF(AJE!$B:$B,$C146&amp;$D146&amp;"*",AJE!$P:$P)</f>
        <v>0</v>
      </c>
      <c r="I146" s="913">
        <f t="shared" si="38"/>
        <v>-745.38</v>
      </c>
      <c r="J146" s="914">
        <f>VLOOKUP($D146,Sheet_Preis,5,0)</f>
        <v>342900.23</v>
      </c>
      <c r="K146" s="885">
        <f>SUMIF('AJE1'!$B:$B,$C146&amp;$D146&amp;"*",'AJE1'!$O:$O)</f>
        <v>0</v>
      </c>
      <c r="L146" s="885">
        <f>SUMIF('AJE1'!$B:$B,$C146&amp;$D146&amp;"*",'AJE1'!$P:$P)</f>
        <v>0</v>
      </c>
      <c r="M146" s="891">
        <f t="shared" si="39"/>
        <v>342900.23</v>
      </c>
      <c r="N146" s="641"/>
      <c r="O146" s="641"/>
      <c r="P146" s="641"/>
      <c r="Q146" s="641"/>
      <c r="T146" s="3056">
        <v>6710</v>
      </c>
      <c r="U146" s="3063">
        <v>0</v>
      </c>
    </row>
    <row r="147" spans="1:21" ht="18">
      <c r="A147" s="1648">
        <f>VLOOKUP($D147,Sheet_Items,4,0)</f>
        <v>0</v>
      </c>
      <c r="B147" s="1647">
        <f>VLOOKUP($D147,Sheet_Items,3,0)</f>
        <v>-1</v>
      </c>
      <c r="C147" s="1647" t="str">
        <f>VLOOKUP($D147,Sheet_Items,9,0)</f>
        <v>J</v>
      </c>
      <c r="D147" s="1659" t="s">
        <v>810</v>
      </c>
      <c r="E147" s="2196" t="str">
        <f>VLOOKUP($D147,Sheet_Items,2,0)</f>
        <v>财务费用_利息收入</v>
      </c>
      <c r="F147" s="884">
        <f>VLOOKUP($D147,Sheet_Preis,4,0)</f>
        <v>41179.21</v>
      </c>
      <c r="G147" s="885">
        <f>SUMIF(AJE!$B:$B,$C147&amp;$D147&amp;"*",AJE!$O:$O)</f>
        <v>0</v>
      </c>
      <c r="H147" s="885">
        <f>SUMIF(AJE!$B:$B,$C147&amp;$D147&amp;"*",AJE!$P:$P)</f>
        <v>0</v>
      </c>
      <c r="I147" s="913">
        <f t="shared" si="38"/>
        <v>41179.21</v>
      </c>
      <c r="J147" s="914">
        <f>VLOOKUP($D147,Sheet_Preis,5,0)</f>
        <v>881.95</v>
      </c>
      <c r="K147" s="885">
        <f>SUMIF('AJE1'!$B:$B,$C147&amp;$D147&amp;"*",'AJE1'!$O:$O)</f>
        <v>0</v>
      </c>
      <c r="L147" s="885">
        <f>SUMIF('AJE1'!$B:$B,$C147&amp;$D147&amp;"*",'AJE1'!$P:$P)</f>
        <v>0</v>
      </c>
      <c r="M147" s="891">
        <f t="shared" si="39"/>
        <v>881.95</v>
      </c>
      <c r="N147" s="641"/>
      <c r="O147" s="641"/>
      <c r="P147" s="641"/>
      <c r="Q147" s="641"/>
      <c r="T147" s="3056">
        <v>6711</v>
      </c>
      <c r="U147" s="3063">
        <v>88651.11</v>
      </c>
    </row>
    <row r="148" spans="1:21" ht="18">
      <c r="A148" s="1648">
        <f>VLOOKUP($D148,Sheet_Items,4,0)</f>
        <v>0</v>
      </c>
      <c r="B148" s="1647">
        <f>VLOOKUP($D148,Sheet_Items,3,0)</f>
        <v>-1</v>
      </c>
      <c r="C148" s="1647" t="str">
        <f>VLOOKUP($D148,Sheet_Items,9,0)</f>
        <v>J</v>
      </c>
      <c r="D148" s="1659">
        <v>6181</v>
      </c>
      <c r="E148" s="888" t="str">
        <f>VLOOKUP($D148,Sheet_Items,2,0)</f>
        <v>其他收益</v>
      </c>
      <c r="F148" s="884">
        <f>VLOOKUP($D148,Sheet_Preis,4,0)</f>
        <v>0</v>
      </c>
      <c r="G148" s="885">
        <f>SUMIF(AJE!$B:$B,$C148&amp;$D148&amp;"*",AJE!$O:$O)</f>
        <v>0</v>
      </c>
      <c r="H148" s="885">
        <f>SUMIF(AJE!$B:$B,$C148&amp;$D148&amp;"*",AJE!$P:$P)</f>
        <v>715900</v>
      </c>
      <c r="I148" s="913">
        <f t="shared" si="38"/>
        <v>715900</v>
      </c>
      <c r="J148" s="914">
        <f>VLOOKUP($D148,Sheet_Preis,5,0)</f>
        <v>80500</v>
      </c>
      <c r="K148" s="885">
        <f>SUMIF('AJE1'!$B:$B,$C148&amp;$D148&amp;"*",'AJE1'!$O:$O)</f>
        <v>0</v>
      </c>
      <c r="L148" s="885">
        <f>SUMIF('AJE1'!$B:$B,$C148&amp;$D148&amp;"*",'AJE1'!$P:$P)</f>
        <v>0</v>
      </c>
      <c r="M148" s="891">
        <f t="shared" si="39"/>
        <v>80500</v>
      </c>
      <c r="N148" s="641"/>
      <c r="O148" s="641"/>
      <c r="P148" s="641"/>
      <c r="Q148" s="641"/>
      <c r="T148" s="3056">
        <v>6788</v>
      </c>
      <c r="U148" s="3063">
        <v>34725.64</v>
      </c>
    </row>
    <row r="149" spans="1:21" ht="18">
      <c r="A149" s="1648">
        <f t="shared" si="26"/>
        <v>0</v>
      </c>
      <c r="B149" s="1647">
        <f t="shared" si="27"/>
        <v>-1</v>
      </c>
      <c r="C149" s="1647" t="str">
        <f t="shared" si="28"/>
        <v>J</v>
      </c>
      <c r="D149" s="1659">
        <v>6111</v>
      </c>
      <c r="E149" s="888" t="str">
        <f t="shared" si="29"/>
        <v>投资收益</v>
      </c>
      <c r="F149" s="884">
        <f t="shared" si="41"/>
        <v>41851.06</v>
      </c>
      <c r="G149" s="885">
        <f>SUMIF(AJE!$B:$B,$C149&amp;$D149&amp;"*",AJE!$O:$O)</f>
        <v>0</v>
      </c>
      <c r="H149" s="885">
        <f>SUMIF(AJE!$B:$B,$C149&amp;$D149&amp;"*",AJE!$P:$P)</f>
        <v>0</v>
      </c>
      <c r="I149" s="913">
        <f t="shared" si="38"/>
        <v>41851.06</v>
      </c>
      <c r="J149" s="914">
        <f t="shared" si="42"/>
        <v>38200.720000000001</v>
      </c>
      <c r="K149" s="885">
        <f>SUMIF('AJE1'!$B:$B,$C149&amp;$D149&amp;"*",'AJE1'!$O:$O)</f>
        <v>0</v>
      </c>
      <c r="L149" s="885">
        <f>SUMIF('AJE1'!$B:$B,$C149&amp;$D149&amp;"*",'AJE1'!$P:$P)</f>
        <v>0</v>
      </c>
      <c r="M149" s="891">
        <f t="shared" si="39"/>
        <v>38200.720000000001</v>
      </c>
      <c r="N149" s="641"/>
      <c r="O149" s="641"/>
      <c r="P149" s="641"/>
      <c r="Q149" s="641"/>
      <c r="T149" s="3056">
        <v>6791</v>
      </c>
      <c r="U149" s="3063">
        <v>-485503.27</v>
      </c>
    </row>
    <row r="150" spans="1:21" ht="24">
      <c r="A150" s="1648">
        <f t="shared" si="26"/>
        <v>0</v>
      </c>
      <c r="B150" s="1647">
        <f t="shared" si="27"/>
        <v>-1</v>
      </c>
      <c r="C150" s="1647" t="str">
        <f t="shared" si="28"/>
        <v>J</v>
      </c>
      <c r="D150" s="1659">
        <v>6111.01</v>
      </c>
      <c r="E150" s="2196" t="str">
        <f t="shared" si="29"/>
        <v>对联营企业和合营企业的投资收益</v>
      </c>
      <c r="F150" s="884">
        <f t="shared" si="41"/>
        <v>0</v>
      </c>
      <c r="G150" s="885">
        <f>SUMIF(AJE!$B:$B,$C150&amp;$D150&amp;"*",AJE!$O:$O)</f>
        <v>0</v>
      </c>
      <c r="H150" s="885">
        <f>SUMIF(AJE!$B:$B,$C150&amp;$D150&amp;"*",AJE!$P:$P)</f>
        <v>0</v>
      </c>
      <c r="I150" s="913">
        <f t="shared" si="38"/>
        <v>0</v>
      </c>
      <c r="J150" s="914">
        <f t="shared" si="42"/>
        <v>0</v>
      </c>
      <c r="K150" s="885">
        <f>SUMIF('AJE1'!$B:$B,$C150&amp;$D150&amp;"*",'AJE1'!$O:$O)</f>
        <v>0</v>
      </c>
      <c r="L150" s="885">
        <f>SUMIF('AJE1'!$B:$B,$C150&amp;$D150&amp;"*",'AJE1'!$P:$P)</f>
        <v>0</v>
      </c>
      <c r="M150" s="891">
        <f t="shared" si="39"/>
        <v>0</v>
      </c>
      <c r="N150" s="641"/>
      <c r="O150" s="641"/>
      <c r="P150" s="641"/>
      <c r="Q150" s="641"/>
      <c r="T150" s="3056">
        <v>6799</v>
      </c>
      <c r="U150" s="3063">
        <v>520228.91</v>
      </c>
    </row>
    <row r="151" spans="1:21" ht="24">
      <c r="A151" s="1648" t="str">
        <f>VLOOKUP($D151,Sheet_Items,4,0)</f>
        <v>_JR</v>
      </c>
      <c r="B151" s="1647">
        <f>VLOOKUP($D151,Sheet_Items,3,0)</f>
        <v>-1</v>
      </c>
      <c r="C151" s="1647" t="str">
        <f>VLOOKUP($D151,Sheet_Items,9,0)</f>
        <v>J</v>
      </c>
      <c r="D151" s="1659" t="s">
        <v>777</v>
      </c>
      <c r="E151" s="2197" t="str">
        <f>VLOOKUP($D151,Sheet_Items,2,0)</f>
        <v>投资收益_以摊余成本计量的金融资产终止确认收益</v>
      </c>
      <c r="F151" s="884">
        <f>VLOOKUP($D151,Sheet_Preis,4,0)</f>
        <v>0</v>
      </c>
      <c r="G151" s="885">
        <f>SUMIF(AJE!$B:$B,$C151&amp;$D151&amp;"*",AJE!$O:$O)</f>
        <v>0</v>
      </c>
      <c r="H151" s="885">
        <f>SUMIF(AJE!$B:$B,$C151&amp;$D151&amp;"*",AJE!$P:$P)</f>
        <v>0</v>
      </c>
      <c r="I151" s="913">
        <f t="shared" ref="I151" si="43">(B151*F151+G151-H151)*B151</f>
        <v>0</v>
      </c>
      <c r="J151" s="914">
        <f>VLOOKUP($D151,Sheet_Preis,5,0)</f>
        <v>0</v>
      </c>
      <c r="K151" s="885">
        <f>SUMIF('AJE1'!$B:$B,$C151&amp;$D151&amp;"*",'AJE1'!$O:$O)</f>
        <v>0</v>
      </c>
      <c r="L151" s="885">
        <f>SUMIF('AJE1'!$B:$B,$C151&amp;$D151&amp;"*",'AJE1'!$P:$P)</f>
        <v>0</v>
      </c>
      <c r="M151" s="891">
        <f t="shared" ref="M151" si="44">($B151*J151+K151-L151)*$B151</f>
        <v>0</v>
      </c>
      <c r="N151" s="641"/>
      <c r="O151" s="641"/>
      <c r="P151" s="641"/>
      <c r="Q151" s="641"/>
      <c r="T151" s="3056">
        <v>6835</v>
      </c>
      <c r="U151" s="3064"/>
    </row>
    <row r="152" spans="1:21" ht="18">
      <c r="A152" s="1648" t="str">
        <f t="shared" si="26"/>
        <v>△</v>
      </c>
      <c r="B152" s="1647">
        <f t="shared" si="27"/>
        <v>-1</v>
      </c>
      <c r="C152" s="1647" t="str">
        <f t="shared" si="28"/>
        <v>J</v>
      </c>
      <c r="D152" s="1659">
        <v>6161</v>
      </c>
      <c r="E152" s="888" t="str">
        <f t="shared" si="29"/>
        <v>汇兑收益</v>
      </c>
      <c r="F152" s="884">
        <f t="shared" si="41"/>
        <v>0</v>
      </c>
      <c r="G152" s="885">
        <f>SUMIF(AJE!$B:$B,$C152&amp;$D152&amp;"*",AJE!$O:$O)</f>
        <v>0</v>
      </c>
      <c r="H152" s="885">
        <f>SUMIF(AJE!$B:$B,$C152&amp;$D152&amp;"*",AJE!$P:$P)</f>
        <v>0</v>
      </c>
      <c r="I152" s="913">
        <f t="shared" si="38"/>
        <v>0</v>
      </c>
      <c r="J152" s="914">
        <f t="shared" si="42"/>
        <v>0</v>
      </c>
      <c r="K152" s="885">
        <f>SUMIF('AJE1'!$B:$B,$C152&amp;$D152&amp;"*",'AJE1'!$O:$O)</f>
        <v>0</v>
      </c>
      <c r="L152" s="885">
        <f>SUMIF('AJE1'!$B:$B,$C152&amp;$D152&amp;"*",'AJE1'!$P:$P)</f>
        <v>0</v>
      </c>
      <c r="M152" s="891">
        <f t="shared" si="39"/>
        <v>0</v>
      </c>
      <c r="N152" s="641"/>
      <c r="O152" s="641"/>
      <c r="P152" s="641"/>
      <c r="Q152" s="641"/>
      <c r="T152" s="3056">
        <v>6816</v>
      </c>
      <c r="U152" s="3064"/>
    </row>
    <row r="153" spans="1:21" ht="18">
      <c r="A153" s="1648" t="str">
        <f>VLOOKUP($D153,Sheet_Items,4,0)</f>
        <v>_JR</v>
      </c>
      <c r="B153" s="1647">
        <f>VLOOKUP($D153,Sheet_Items,3,0)</f>
        <v>-1</v>
      </c>
      <c r="C153" s="1647" t="str">
        <f>VLOOKUP($D153,Sheet_Items,9,0)</f>
        <v>J</v>
      </c>
      <c r="D153" s="1659">
        <v>6102</v>
      </c>
      <c r="E153" s="889" t="str">
        <f>VLOOKUP($D153,Sheet_Items,2,0)</f>
        <v>净敞口套期收益</v>
      </c>
      <c r="F153" s="884">
        <f>VLOOKUP($D153,Sheet_Preis,4,0)</f>
        <v>0</v>
      </c>
      <c r="G153" s="885">
        <f>SUMIF(AJE!$B:$B,$C153&amp;$D153&amp;"*",AJE!$O:$O)</f>
        <v>0</v>
      </c>
      <c r="H153" s="885">
        <f>SUMIF(AJE!$B:$B,$C153&amp;$D153&amp;"*",AJE!$P:$P)</f>
        <v>0</v>
      </c>
      <c r="I153" s="913">
        <f t="shared" ref="I153:I154" si="45">(B153*F153+G153-H153)*B153</f>
        <v>0</v>
      </c>
      <c r="J153" s="914">
        <f>VLOOKUP($D153,Sheet_Preis,5,0)</f>
        <v>0</v>
      </c>
      <c r="K153" s="885">
        <f>SUMIF('AJE1'!$B:$B,$C153&amp;$D153&amp;"*",'AJE1'!$O:$O)</f>
        <v>0</v>
      </c>
      <c r="L153" s="885">
        <f>SUMIF('AJE1'!$B:$B,$C153&amp;$D153&amp;"*",'AJE1'!$P:$P)</f>
        <v>0</v>
      </c>
      <c r="M153" s="891">
        <f t="shared" ref="M153:M154" si="46">($B153*J153+K153-L153)*$B153</f>
        <v>0</v>
      </c>
      <c r="N153" s="641"/>
      <c r="O153" s="641"/>
      <c r="P153" s="641"/>
      <c r="Q153" s="641"/>
      <c r="T153" s="3056">
        <v>6817</v>
      </c>
      <c r="U153" s="3064"/>
    </row>
    <row r="154" spans="1:21" ht="18">
      <c r="A154" s="1648">
        <f>VLOOKUP($D154,Sheet_Items,4,0)</f>
        <v>0</v>
      </c>
      <c r="B154" s="1647">
        <f>VLOOKUP($D154,Sheet_Items,3,0)</f>
        <v>-1</v>
      </c>
      <c r="C154" s="1647" t="str">
        <f>VLOOKUP($D154,Sheet_Items,9,0)</f>
        <v>J</v>
      </c>
      <c r="D154" s="1659">
        <v>6101</v>
      </c>
      <c r="E154" s="888" t="str">
        <f>VLOOKUP($D154,Sheet_Items,2,0)</f>
        <v>公允价值变动收益</v>
      </c>
      <c r="F154" s="884">
        <f>VLOOKUP($D154,Sheet_Preis,4,0)</f>
        <v>0</v>
      </c>
      <c r="G154" s="885">
        <f>SUMIF(AJE!$B:$B,$C154&amp;$D154&amp;"*",AJE!$O:$O)</f>
        <v>0</v>
      </c>
      <c r="H154" s="885">
        <f>SUMIF(AJE!$B:$B,$C154&amp;$D154&amp;"*",AJE!$P:$P)</f>
        <v>0</v>
      </c>
      <c r="I154" s="913">
        <f t="shared" si="45"/>
        <v>0</v>
      </c>
      <c r="J154" s="914">
        <f>VLOOKUP($D154,Sheet_Preis,5,0)</f>
        <v>0</v>
      </c>
      <c r="K154" s="885">
        <f>SUMIF('AJE1'!$B:$B,$C154&amp;$D154&amp;"*",'AJE1'!$O:$O)</f>
        <v>0</v>
      </c>
      <c r="L154" s="885">
        <f>SUMIF('AJE1'!$B:$B,$C154&amp;$D154&amp;"*",'AJE1'!$P:$P)</f>
        <v>0</v>
      </c>
      <c r="M154" s="891">
        <f t="shared" si="46"/>
        <v>0</v>
      </c>
      <c r="N154" s="641"/>
      <c r="O154" s="641"/>
      <c r="P154" s="641"/>
      <c r="Q154" s="641"/>
      <c r="T154" s="3056">
        <v>6830</v>
      </c>
      <c r="U154" s="3063"/>
    </row>
    <row r="155" spans="1:21" ht="18">
      <c r="A155" s="1648" t="str">
        <f>VLOOKUP($D155,Sheet_Items,4,0)</f>
        <v>_JR</v>
      </c>
      <c r="B155" s="1647">
        <f>VLOOKUP($D155,Sheet_Items,3,0)</f>
        <v>-1</v>
      </c>
      <c r="C155" s="1647" t="str">
        <f>VLOOKUP($D155,Sheet_Items,9,0)</f>
        <v>J</v>
      </c>
      <c r="D155" s="1659">
        <v>6672</v>
      </c>
      <c r="E155" s="889" t="str">
        <f>VLOOKUP($D155,Sheet_Items,2,0)</f>
        <v>信用减值损失</v>
      </c>
      <c r="F155" s="884">
        <f>VLOOKUP($D155,Sheet_Preis,4,0)</f>
        <v>0</v>
      </c>
      <c r="G155" s="885">
        <f>SUMIF(AJE!$B:$B,$C155&amp;$D155&amp;"*",AJE!$O:$O)</f>
        <v>1923898.24</v>
      </c>
      <c r="H155" s="885">
        <f>SUMIF(AJE!$B:$B,$C155&amp;$D155&amp;"*",AJE!$P:$P)</f>
        <v>0</v>
      </c>
      <c r="I155" s="913">
        <f t="shared" ref="I155:I157" si="47">(B155*F155+G155-H155)*B155</f>
        <v>-1923898.24</v>
      </c>
      <c r="J155" s="914">
        <f>VLOOKUP($D155,Sheet_Preis,5,0)</f>
        <v>0</v>
      </c>
      <c r="K155" s="885">
        <f>SUMIF('AJE1'!$B:$B,$C155&amp;$D155&amp;"*",'AJE1'!$O:$O)</f>
        <v>0</v>
      </c>
      <c r="L155" s="885">
        <f>SUMIF('AJE1'!$B:$B,$C155&amp;$D155&amp;"*",'AJE1'!$P:$P)</f>
        <v>0</v>
      </c>
      <c r="M155" s="891">
        <f t="shared" ref="M155:M157" si="48">($B155*J155+K155-L155)*$B155</f>
        <v>0</v>
      </c>
      <c r="N155" s="641"/>
      <c r="O155" s="641"/>
      <c r="P155" s="641"/>
      <c r="Q155" s="641"/>
      <c r="T155" s="3056">
        <v>6812</v>
      </c>
      <c r="U155" s="3063">
        <v>0</v>
      </c>
    </row>
    <row r="156" spans="1:21" ht="18">
      <c r="A156" s="1648">
        <f>VLOOKUP($D156,Sheet_Items,4,0)</f>
        <v>0</v>
      </c>
      <c r="B156" s="1647">
        <f>VLOOKUP($D156,Sheet_Items,3,0)</f>
        <v>-1</v>
      </c>
      <c r="C156" s="1647" t="str">
        <f>VLOOKUP($D156,Sheet_Items,9,0)</f>
        <v>J</v>
      </c>
      <c r="D156" s="1659">
        <v>6671</v>
      </c>
      <c r="E156" s="888" t="str">
        <f>VLOOKUP($D156,Sheet_Items,2,0)</f>
        <v>资产减值损失</v>
      </c>
      <c r="F156" s="884">
        <f>VLOOKUP($D156,Sheet_Preis,4,0)</f>
        <v>-509330.92</v>
      </c>
      <c r="G156" s="885">
        <f>SUMIF(AJE!$B:$B,$C156&amp;$D156&amp;"*",AJE!$O:$O)</f>
        <v>879034.15</v>
      </c>
      <c r="H156" s="885">
        <f>SUMIF(AJE!$B:$B,$C156&amp;$D156&amp;"*",AJE!$P:$P)</f>
        <v>523724.98</v>
      </c>
      <c r="I156" s="913">
        <f t="shared" si="47"/>
        <v>-864640.09</v>
      </c>
      <c r="J156" s="914">
        <f>VLOOKUP($D156,Sheet_Preis,5,0)</f>
        <v>198814.86</v>
      </c>
      <c r="K156" s="885">
        <f>SUMIF('AJE1'!$B:$B,$C156&amp;$D156&amp;"*",'AJE1'!$O:$O)</f>
        <v>0</v>
      </c>
      <c r="L156" s="885">
        <f>SUMIF('AJE1'!$B:$B,$C156&amp;$D156&amp;"*",'AJE1'!$P:$P)</f>
        <v>0</v>
      </c>
      <c r="M156" s="891">
        <f t="shared" si="48"/>
        <v>198814.86</v>
      </c>
      <c r="N156" s="641"/>
      <c r="O156" s="641"/>
      <c r="P156" s="641"/>
      <c r="Q156" s="641"/>
      <c r="T156" s="3056">
        <v>6811</v>
      </c>
      <c r="U156" s="3063">
        <v>520228.91</v>
      </c>
    </row>
    <row r="157" spans="1:21" ht="18">
      <c r="A157" s="1648">
        <f>VLOOKUP($D157,Sheet_Items,4,0)</f>
        <v>0</v>
      </c>
      <c r="B157" s="1647">
        <f>VLOOKUP($D157,Sheet_Items,3,0)</f>
        <v>-1</v>
      </c>
      <c r="C157" s="1647" t="str">
        <f>VLOOKUP($D157,Sheet_Items,9,0)</f>
        <v>J</v>
      </c>
      <c r="D157" s="1659">
        <v>6171</v>
      </c>
      <c r="E157" s="888" t="str">
        <f>VLOOKUP($D157,Sheet_Items,2,0)</f>
        <v>资产处置收益</v>
      </c>
      <c r="F157" s="884">
        <f t="shared" si="41"/>
        <v>0</v>
      </c>
      <c r="G157" s="885">
        <f>SUMIF(AJE!$B:$B,$C157&amp;$D157&amp;"*",AJE!$O:$O)</f>
        <v>0</v>
      </c>
      <c r="H157" s="885">
        <f>SUMIF(AJE!$B:$B,$C157&amp;$D157&amp;"*",AJE!$P:$P)</f>
        <v>0</v>
      </c>
      <c r="I157" s="913">
        <f t="shared" si="47"/>
        <v>0</v>
      </c>
      <c r="J157" s="914">
        <f t="shared" si="42"/>
        <v>456.04</v>
      </c>
      <c r="K157" s="885">
        <f>SUMIF('AJE1'!$B:$B,$C157&amp;$D157&amp;"*",'AJE1'!$O:$O)</f>
        <v>0</v>
      </c>
      <c r="L157" s="885">
        <f>SUMIF('AJE1'!$B:$B,$C157&amp;$D157&amp;"*",'AJE1'!$P:$P)</f>
        <v>0</v>
      </c>
      <c r="M157" s="891">
        <f t="shared" si="48"/>
        <v>456.04</v>
      </c>
      <c r="N157" s="641"/>
      <c r="O157" s="641"/>
      <c r="P157" s="641"/>
      <c r="Q157" s="641"/>
      <c r="T157" s="3056">
        <v>6829</v>
      </c>
      <c r="U157" s="3063">
        <v>0</v>
      </c>
    </row>
    <row r="158" spans="1:21" ht="18">
      <c r="A158" s="1648" t="str">
        <f t="shared" si="26"/>
        <v>＝</v>
      </c>
      <c r="B158" s="1647">
        <f t="shared" si="27"/>
        <v>0</v>
      </c>
      <c r="C158" s="1647">
        <f t="shared" si="28"/>
        <v>0</v>
      </c>
      <c r="D158" s="2186">
        <v>6689</v>
      </c>
      <c r="E158" s="2187" t="str">
        <f t="shared" si="29"/>
        <v>营业利润</v>
      </c>
      <c r="F158" s="884">
        <f>SUM(F128:F131)-SUM(F133:F145)+SUM(F148:F157)-SUM(F150,F151)</f>
        <v>-2303426.8199999998</v>
      </c>
      <c r="G158" s="919">
        <f>SUM(G128:G131)+SUM(G133:G145)+SUM(G148:G157)-SUM(G150,G151)</f>
        <v>2802932.39</v>
      </c>
      <c r="H158" s="919">
        <f>SUM(H128:H131)+SUM(H133:H145)+SUM(H148:H157)-SUM(H150,H151)</f>
        <v>1239624.98</v>
      </c>
      <c r="I158" s="913">
        <f>SUM(I128:I131)-SUM(I133:I145)+SUM(I148:I157)-SUM(I150,I151)</f>
        <v>-3866734.23</v>
      </c>
      <c r="J158" s="914">
        <f>SUM(J128:J131)-SUM(J133:J145)+SUM(J148:J157)-SUM(J150,J151)</f>
        <v>123376.75</v>
      </c>
      <c r="K158" s="919">
        <f>SUM(K128:K131)+SUM(K133:K145)+SUM(K148:K157)-SUM(K150,K151)</f>
        <v>0</v>
      </c>
      <c r="L158" s="919">
        <f>SUM(L128:L131)+SUM(L133:L145)+SUM(L148:L157)-SUM(L150,L151)</f>
        <v>0</v>
      </c>
      <c r="M158" s="891">
        <f>SUM(M128:M131)-SUM(M133:M145)+SUM(M148:M157)-SUM(M150,M151)</f>
        <v>123376.75</v>
      </c>
      <c r="N158" s="641"/>
      <c r="O158" s="641"/>
      <c r="P158" s="641"/>
      <c r="Q158" s="641"/>
      <c r="T158" s="3059">
        <v>6829.2</v>
      </c>
      <c r="U158" s="3063">
        <v>0</v>
      </c>
    </row>
    <row r="159" spans="1:21" ht="18">
      <c r="A159" s="1648">
        <f t="shared" si="26"/>
        <v>0</v>
      </c>
      <c r="B159" s="1647">
        <f t="shared" si="27"/>
        <v>-1</v>
      </c>
      <c r="C159" s="1647" t="str">
        <f t="shared" si="28"/>
        <v>J</v>
      </c>
      <c r="D159" s="1659">
        <v>6710</v>
      </c>
      <c r="E159" s="888" t="str">
        <f t="shared" si="29"/>
        <v>营业外收入</v>
      </c>
      <c r="F159" s="884">
        <f>VLOOKUP($D159,Sheet_Preis,4,0)</f>
        <v>575901.06000000006</v>
      </c>
      <c r="G159" s="885">
        <f>SUMIF(AJE!$B:$B,$C159&amp;$D159&amp;"*",AJE!$O:$O)</f>
        <v>575900</v>
      </c>
      <c r="H159" s="885">
        <f>SUMIF(AJE!$B:$B,$C159&amp;$D159&amp;"*",AJE!$P:$P)</f>
        <v>0</v>
      </c>
      <c r="I159" s="913">
        <f t="shared" si="38"/>
        <v>1.06</v>
      </c>
      <c r="J159" s="914">
        <f>VLOOKUP($D159,Sheet_Preis,5,0)</f>
        <v>0</v>
      </c>
      <c r="K159" s="885">
        <f>SUMIF('AJE1'!$B:$B,$C159&amp;$D159&amp;"*",'AJE1'!$O:$O)</f>
        <v>0</v>
      </c>
      <c r="L159" s="885">
        <f>SUMIF('AJE1'!$B:$B,$C159&amp;$D159&amp;"*",'AJE1'!$P:$P)</f>
        <v>0</v>
      </c>
      <c r="M159" s="891">
        <f t="shared" si="39"/>
        <v>0</v>
      </c>
      <c r="N159" s="641"/>
      <c r="O159" s="641"/>
      <c r="P159" s="641"/>
      <c r="Q159" s="641"/>
      <c r="T159" s="3057">
        <v>6829.21</v>
      </c>
      <c r="U159" s="3063">
        <v>0</v>
      </c>
    </row>
    <row r="160" spans="1:21" ht="18">
      <c r="A160" s="1648">
        <f t="shared" si="26"/>
        <v>0</v>
      </c>
      <c r="B160" s="1647">
        <f t="shared" si="27"/>
        <v>1</v>
      </c>
      <c r="C160" s="1647" t="str">
        <f t="shared" si="28"/>
        <v>J</v>
      </c>
      <c r="D160" s="1659">
        <v>6711</v>
      </c>
      <c r="E160" s="888" t="str">
        <f t="shared" si="29"/>
        <v>营业外支出</v>
      </c>
      <c r="F160" s="884">
        <f>VLOOKUP($D160,Sheet_Preis,4,0)</f>
        <v>21970.3</v>
      </c>
      <c r="G160" s="885">
        <f>SUMIF(AJE!$B:$B,$C160&amp;$D160&amp;"*",AJE!$O:$O)</f>
        <v>0</v>
      </c>
      <c r="H160" s="885">
        <f>SUMIF(AJE!$B:$B,$C160&amp;$D160&amp;"*",AJE!$P:$P)</f>
        <v>0</v>
      </c>
      <c r="I160" s="913">
        <f t="shared" si="38"/>
        <v>21970.3</v>
      </c>
      <c r="J160" s="914">
        <f>VLOOKUP($D160,Sheet_Preis,5,0)</f>
        <v>88651.11</v>
      </c>
      <c r="K160" s="885">
        <f>SUMIF('AJE1'!$B:$B,$C160&amp;$D160&amp;"*",'AJE1'!$O:$O)</f>
        <v>0</v>
      </c>
      <c r="L160" s="885">
        <f>SUMIF('AJE1'!$B:$B,$C160&amp;$D160&amp;"*",'AJE1'!$P:$P)</f>
        <v>0</v>
      </c>
      <c r="M160" s="891">
        <f t="shared" si="39"/>
        <v>88651.11</v>
      </c>
      <c r="N160" s="641"/>
      <c r="O160" s="641"/>
      <c r="P160" s="641"/>
      <c r="Q160" s="641"/>
      <c r="T160" s="3060">
        <v>6829.2110000000002</v>
      </c>
      <c r="U160" s="3063">
        <v>0</v>
      </c>
    </row>
    <row r="161" spans="1:21" ht="18">
      <c r="A161" s="1648" t="str">
        <f t="shared" si="26"/>
        <v>＝</v>
      </c>
      <c r="B161" s="1647">
        <f t="shared" si="27"/>
        <v>0</v>
      </c>
      <c r="C161" s="1647">
        <f t="shared" si="28"/>
        <v>0</v>
      </c>
      <c r="D161" s="1659">
        <v>6788</v>
      </c>
      <c r="E161" s="888" t="str">
        <f t="shared" si="29"/>
        <v>利润总额</v>
      </c>
      <c r="F161" s="884">
        <f>SUM(F158,F159,-F160)</f>
        <v>-1749496.06</v>
      </c>
      <c r="G161" s="919">
        <f>SUM(G158,G159,G160)</f>
        <v>3378832.39</v>
      </c>
      <c r="H161" s="919">
        <f>SUM(H158,H159,H160)</f>
        <v>1239624.98</v>
      </c>
      <c r="I161" s="913">
        <f>SUM(I158,I159,-I160)</f>
        <v>-3888703.47</v>
      </c>
      <c r="J161" s="914">
        <f>SUM(J158,J159,-J160)</f>
        <v>34725.64</v>
      </c>
      <c r="K161" s="919">
        <f>SUM(K158,K159,K160)</f>
        <v>0</v>
      </c>
      <c r="L161" s="919">
        <f>SUM(L158,L159,L160)</f>
        <v>0</v>
      </c>
      <c r="M161" s="891">
        <f>SUM(M158,M159,-M160)</f>
        <v>34725.64</v>
      </c>
      <c r="N161" s="641"/>
      <c r="O161" s="641"/>
      <c r="P161" s="641"/>
      <c r="Q161" s="641"/>
      <c r="T161" s="3060">
        <v>6829.2120000000004</v>
      </c>
      <c r="U161" s="3063">
        <v>0</v>
      </c>
    </row>
    <row r="162" spans="1:21" ht="18">
      <c r="A162" s="1648">
        <f t="shared" si="26"/>
        <v>0</v>
      </c>
      <c r="B162" s="1647">
        <f t="shared" si="27"/>
        <v>1</v>
      </c>
      <c r="C162" s="1647" t="str">
        <f t="shared" si="28"/>
        <v>J</v>
      </c>
      <c r="D162" s="1659">
        <v>6791</v>
      </c>
      <c r="E162" s="888" t="str">
        <f t="shared" si="29"/>
        <v>所得税费用</v>
      </c>
      <c r="F162" s="884">
        <f>VLOOKUP($D162,Sheet_Preis,4,0)</f>
        <v>-1829960.03</v>
      </c>
      <c r="G162" s="885">
        <f>SUMIF(AJE!$B:$B,$C162&amp;$D162&amp;"*",AJE!$O:$O)</f>
        <v>1291164.8899999999</v>
      </c>
      <c r="H162" s="885">
        <f>SUMIF(AJE!$B:$B,$C162&amp;$D162&amp;"*",AJE!$P:$P)</f>
        <v>0</v>
      </c>
      <c r="I162" s="913">
        <f t="shared" si="38"/>
        <v>-538795.14</v>
      </c>
      <c r="J162" s="914">
        <f>VLOOKUP($D162,Sheet_Preis,5,0)</f>
        <v>-485503.27</v>
      </c>
      <c r="K162" s="885">
        <f>SUMIF('AJE1'!$B:$B,$C162&amp;$D162&amp;"*",'AJE1'!$O:$O)</f>
        <v>0</v>
      </c>
      <c r="L162" s="885">
        <f>SUMIF('AJE1'!$B:$B,$C162&amp;$D162&amp;"*",'AJE1'!$P:$P)</f>
        <v>0</v>
      </c>
      <c r="M162" s="891">
        <f t="shared" si="39"/>
        <v>-485503.27</v>
      </c>
      <c r="N162" s="641"/>
      <c r="O162" s="641"/>
      <c r="P162" s="641"/>
      <c r="Q162" s="641"/>
      <c r="T162" s="3060">
        <v>6829.2190000000001</v>
      </c>
      <c r="U162" s="3063">
        <v>0</v>
      </c>
    </row>
    <row r="163" spans="1:21" ht="18">
      <c r="A163" s="1648" t="str">
        <f t="shared" si="26"/>
        <v>＝</v>
      </c>
      <c r="B163" s="1647">
        <f t="shared" si="27"/>
        <v>0</v>
      </c>
      <c r="C163" s="1647">
        <f t="shared" si="28"/>
        <v>0</v>
      </c>
      <c r="D163" s="2186">
        <v>6799</v>
      </c>
      <c r="E163" s="2187" t="str">
        <f t="shared" si="29"/>
        <v>净利润</v>
      </c>
      <c r="F163" s="884">
        <f t="shared" ref="F163:M163" si="49">SUM(F161,-F162)</f>
        <v>80463.97</v>
      </c>
      <c r="G163" s="919">
        <f>SUM(G161,G162)</f>
        <v>4669997.28</v>
      </c>
      <c r="H163" s="919">
        <f>SUM(H161,H162)</f>
        <v>1239624.98</v>
      </c>
      <c r="I163" s="913">
        <f t="shared" si="49"/>
        <v>-3349908.33</v>
      </c>
      <c r="J163" s="914">
        <f t="shared" si="49"/>
        <v>520228.91</v>
      </c>
      <c r="K163" s="919">
        <f>SUM(K161,K162)</f>
        <v>0</v>
      </c>
      <c r="L163" s="919">
        <f>SUM(L161,L162)</f>
        <v>0</v>
      </c>
      <c r="M163" s="891">
        <f t="shared" si="49"/>
        <v>520228.91</v>
      </c>
      <c r="N163" s="641"/>
      <c r="O163" s="641"/>
      <c r="P163" s="641"/>
      <c r="Q163" s="641"/>
      <c r="T163" s="3057">
        <v>6829.23</v>
      </c>
      <c r="U163" s="3063">
        <v>0</v>
      </c>
    </row>
    <row r="164" spans="1:21" s="641" customFormat="1" ht="18">
      <c r="A164" s="1648" t="str">
        <f>VLOOKUP($D164,Sheet_Items,4,0)</f>
        <v>※</v>
      </c>
      <c r="B164" s="1647">
        <f>VLOOKUP($D164,Sheet_Items,3,0)</f>
        <v>0</v>
      </c>
      <c r="C164" s="1647">
        <f>VLOOKUP($D164,Sheet_Items,9,0)</f>
        <v>0</v>
      </c>
      <c r="D164" s="1659">
        <v>6835</v>
      </c>
      <c r="E164" s="888" t="str">
        <f>VLOOKUP($D164,Sheet_Items,2,0)</f>
        <v>净利润按经营持续性分类</v>
      </c>
      <c r="F164" s="917"/>
      <c r="G164" s="918"/>
      <c r="H164" s="918"/>
      <c r="I164" s="921"/>
      <c r="J164" s="922"/>
      <c r="K164" s="918"/>
      <c r="L164" s="918"/>
      <c r="M164" s="923"/>
      <c r="T164" s="3060">
        <v>6829.2309999999998</v>
      </c>
      <c r="U164" s="3063">
        <v>0</v>
      </c>
    </row>
    <row r="165" spans="1:21" s="641" customFormat="1" ht="18">
      <c r="A165" s="1648">
        <f>VLOOKUP($D165,Sheet_Items,4,0)</f>
        <v>0</v>
      </c>
      <c r="B165" s="1647">
        <f>VLOOKUP($D165,Sheet_Items,3,0)</f>
        <v>1</v>
      </c>
      <c r="C165" s="1647">
        <f>VLOOKUP($D165,Sheet_Items,9,0)</f>
        <v>0</v>
      </c>
      <c r="D165" s="1659">
        <v>6816</v>
      </c>
      <c r="E165" s="888" t="str">
        <f>VLOOKUP($D165,Sheet_Items,2,0)</f>
        <v>持续经营净利润</v>
      </c>
      <c r="F165" s="917">
        <f>VLOOKUP($D165,Sheet_Preis,4,0)</f>
        <v>80463.97</v>
      </c>
      <c r="G165" s="918"/>
      <c r="H165" s="918"/>
      <c r="I165" s="921"/>
      <c r="J165" s="922">
        <f>VLOOKUP($D165,Sheet_Preis,5,0)</f>
        <v>520228.91</v>
      </c>
      <c r="K165" s="918"/>
      <c r="L165" s="918"/>
      <c r="M165" s="923"/>
      <c r="T165" s="3060">
        <v>6829.232</v>
      </c>
      <c r="U165" s="3063">
        <v>0</v>
      </c>
    </row>
    <row r="166" spans="1:21" s="641" customFormat="1" ht="18">
      <c r="A166" s="1648">
        <f>VLOOKUP($D166,Sheet_Items,4,0)</f>
        <v>0</v>
      </c>
      <c r="B166" s="1647">
        <f>VLOOKUP($D166,Sheet_Items,3,0)</f>
        <v>1</v>
      </c>
      <c r="C166" s="1647">
        <f>VLOOKUP($D166,Sheet_Items,9,0)</f>
        <v>0</v>
      </c>
      <c r="D166" s="1659">
        <v>6817</v>
      </c>
      <c r="E166" s="888" t="str">
        <f>VLOOKUP($D166,Sheet_Items,2,0)</f>
        <v>终止经营净利润</v>
      </c>
      <c r="F166" s="917">
        <f>VLOOKUP($D166,Sheet_Preis,4,0)</f>
        <v>0</v>
      </c>
      <c r="G166" s="918"/>
      <c r="H166" s="918"/>
      <c r="I166" s="921"/>
      <c r="J166" s="922">
        <f>VLOOKUP($D166,Sheet_Preis,5,0)</f>
        <v>0</v>
      </c>
      <c r="K166" s="918"/>
      <c r="L166" s="918"/>
      <c r="M166" s="923"/>
      <c r="T166" s="3060">
        <v>6829.2330000000002</v>
      </c>
      <c r="U166" s="3063">
        <v>0</v>
      </c>
    </row>
    <row r="167" spans="1:21" ht="18">
      <c r="A167" s="1648" t="str">
        <f>VLOOKUP($D167,Sheet_Items,4,0)</f>
        <v>※</v>
      </c>
      <c r="B167" s="1647">
        <f>VLOOKUP($D167,Sheet_Items,3,0)</f>
        <v>0</v>
      </c>
      <c r="C167" s="1647">
        <f>VLOOKUP($D167,Sheet_Items,9,0)</f>
        <v>0</v>
      </c>
      <c r="D167" s="1659">
        <v>6830</v>
      </c>
      <c r="E167" s="888" t="str">
        <f>VLOOKUP($D167,Sheet_Items,2,0)</f>
        <v>净利润按所有权归属分类</v>
      </c>
      <c r="F167" s="884"/>
      <c r="G167" s="919"/>
      <c r="H167" s="919"/>
      <c r="I167" s="913"/>
      <c r="J167" s="914"/>
      <c r="K167" s="919"/>
      <c r="L167" s="919"/>
      <c r="M167" s="891"/>
      <c r="N167" s="641"/>
      <c r="O167" s="641"/>
      <c r="P167" s="641"/>
      <c r="Q167" s="641"/>
      <c r="T167" s="3060">
        <v>6829.2340000000004</v>
      </c>
      <c r="U167" s="3063">
        <v>0</v>
      </c>
    </row>
    <row r="168" spans="1:21" ht="18">
      <c r="A168" s="1648" t="str">
        <f>VLOOKUP($D168,Sheet_Items,4,0)</f>
        <v>※</v>
      </c>
      <c r="B168" s="1647">
        <f>VLOOKUP($D168,Sheet_Items,3,0)</f>
        <v>1</v>
      </c>
      <c r="C168" s="1647" t="str">
        <f>VLOOKUP($D168,Sheet_Items,9,0)</f>
        <v>J</v>
      </c>
      <c r="D168" s="2186">
        <v>6812</v>
      </c>
      <c r="E168" s="2187" t="str">
        <f>VLOOKUP($D168,Sheet_Items,2,0)</f>
        <v>少数股东损益</v>
      </c>
      <c r="F168" s="884">
        <f>VLOOKUP($D168,Sheet_Preis,4,0)</f>
        <v>0</v>
      </c>
      <c r="G168" s="885">
        <f>SUMIF(AJE!$B:$B,$C168&amp;$D168&amp;"*",AJE!$O:$O)</f>
        <v>0</v>
      </c>
      <c r="H168" s="885">
        <f>SUMIF(AJE!$B:$B,$C168&amp;$D168&amp;"*",AJE!$P:$P)</f>
        <v>0</v>
      </c>
      <c r="I168" s="913">
        <f>(B168*F168+G168-H168)*B168</f>
        <v>0</v>
      </c>
      <c r="J168" s="914">
        <f>VLOOKUP($D168,Sheet_Preis,5,0)</f>
        <v>0</v>
      </c>
      <c r="K168" s="885">
        <f>SUMIF('AJE1'!$B:$B,$C168&amp;$D168&amp;"*",'AJE1'!$O:$O)</f>
        <v>0</v>
      </c>
      <c r="L168" s="885">
        <f>SUMIF('AJE1'!$B:$B,$C168&amp;$D168&amp;"*",'AJE1'!$P:$P)</f>
        <v>0</v>
      </c>
      <c r="M168" s="891">
        <f>($B168*J168+K168-L168)*$B168</f>
        <v>0</v>
      </c>
      <c r="N168" s="641"/>
      <c r="O168" s="641"/>
      <c r="P168" s="641"/>
      <c r="Q168" s="641"/>
      <c r="T168" s="3060">
        <v>6829.2349999999997</v>
      </c>
      <c r="U168" s="3063">
        <v>0</v>
      </c>
    </row>
    <row r="169" spans="1:21" ht="18">
      <c r="A169" s="1648" t="str">
        <f t="shared" si="26"/>
        <v>※</v>
      </c>
      <c r="B169" s="1647">
        <f t="shared" si="27"/>
        <v>-1</v>
      </c>
      <c r="C169" s="1647">
        <f t="shared" si="28"/>
        <v>0</v>
      </c>
      <c r="D169" s="2186">
        <v>6811</v>
      </c>
      <c r="E169" s="2187" t="str">
        <f t="shared" si="29"/>
        <v>归属于母公司所有者的净利润</v>
      </c>
      <c r="F169" s="884">
        <f>VLOOKUP($D169,Sheet_Preis,4,0)</f>
        <v>80463.97</v>
      </c>
      <c r="G169" s="885">
        <f>SUM(VLOOKUP(6799,Sheet_Trialbal,4,0),VLOOKUP(6812,Sheet_Trialbal,4,0))</f>
        <v>4669997.28</v>
      </c>
      <c r="H169" s="885">
        <f>SUM(VLOOKUP(6799,Sheet_Trialbal,5,0),VLOOKUP(6812,Sheet_Trialbal,5,0))</f>
        <v>1239624.98</v>
      </c>
      <c r="I169" s="913">
        <f t="shared" si="38"/>
        <v>-3349908.33</v>
      </c>
      <c r="J169" s="914">
        <f>VLOOKUP($D169,Sheet_Preis,5,0)</f>
        <v>520228.91</v>
      </c>
      <c r="K169" s="885">
        <f>SUM(VLOOKUP(6799,Sheet_Trialbal,8,0),VLOOKUP(6812,Sheet_Trialbal,8,0))</f>
        <v>0</v>
      </c>
      <c r="L169" s="885">
        <f>SUM(VLOOKUP(6799,Sheet_Trialbal,9,0),VLOOKUP(6812,Sheet_Trialbal,9,0))</f>
        <v>0</v>
      </c>
      <c r="M169" s="891">
        <f t="shared" si="39"/>
        <v>520228.91</v>
      </c>
      <c r="N169" s="641"/>
      <c r="O169" s="641"/>
      <c r="P169" s="641"/>
      <c r="Q169" s="641"/>
      <c r="T169" s="3060">
        <v>6829.2359999999999</v>
      </c>
      <c r="U169" s="3063">
        <v>0</v>
      </c>
    </row>
    <row r="170" spans="1:21" ht="18">
      <c r="A170" s="1648" t="str">
        <f t="shared" si="26"/>
        <v>＝</v>
      </c>
      <c r="B170" s="1647">
        <f t="shared" si="27"/>
        <v>0</v>
      </c>
      <c r="C170" s="1647">
        <f t="shared" si="28"/>
        <v>0</v>
      </c>
      <c r="D170" s="2186">
        <v>6829</v>
      </c>
      <c r="E170" s="2187" t="str">
        <f t="shared" si="29"/>
        <v>其他综合收益的税后净额</v>
      </c>
      <c r="F170" s="884">
        <f>SUM(F171,F191)</f>
        <v>0</v>
      </c>
      <c r="G170" s="885">
        <f t="shared" ref="G170:M170" si="50">SUM(G171,G191)</f>
        <v>0</v>
      </c>
      <c r="H170" s="885">
        <f t="shared" si="50"/>
        <v>0</v>
      </c>
      <c r="I170" s="913">
        <f t="shared" si="50"/>
        <v>0</v>
      </c>
      <c r="J170" s="914">
        <f t="shared" si="50"/>
        <v>0</v>
      </c>
      <c r="K170" s="885">
        <f t="shared" si="50"/>
        <v>0</v>
      </c>
      <c r="L170" s="885">
        <f t="shared" si="50"/>
        <v>0</v>
      </c>
      <c r="M170" s="891">
        <f t="shared" si="50"/>
        <v>0</v>
      </c>
      <c r="N170" s="641"/>
      <c r="O170" s="641"/>
      <c r="P170" s="641"/>
      <c r="Q170" s="641"/>
      <c r="T170" s="3060">
        <v>6829.2370000000001</v>
      </c>
      <c r="U170" s="3063">
        <v>0</v>
      </c>
    </row>
    <row r="171" spans="1:21" ht="24">
      <c r="A171" s="1648" t="str">
        <f t="shared" si="26"/>
        <v>※</v>
      </c>
      <c r="B171" s="1647">
        <f t="shared" si="27"/>
        <v>0</v>
      </c>
      <c r="C171" s="1647">
        <f t="shared" si="28"/>
        <v>0</v>
      </c>
      <c r="D171" s="1659">
        <v>6829.2</v>
      </c>
      <c r="E171" s="888" t="str">
        <f t="shared" si="29"/>
        <v>归属于母公司所有者的其他综合收益的税后净额</v>
      </c>
      <c r="F171" s="884">
        <f t="shared" ref="F171:M171" si="51">SUM(F172,F178)</f>
        <v>0</v>
      </c>
      <c r="G171" s="885">
        <f t="shared" si="51"/>
        <v>0</v>
      </c>
      <c r="H171" s="885">
        <f t="shared" si="51"/>
        <v>0</v>
      </c>
      <c r="I171" s="913">
        <f t="shared" si="51"/>
        <v>0</v>
      </c>
      <c r="J171" s="914">
        <f t="shared" si="51"/>
        <v>0</v>
      </c>
      <c r="K171" s="885">
        <f t="shared" si="51"/>
        <v>0</v>
      </c>
      <c r="L171" s="885">
        <f t="shared" si="51"/>
        <v>0</v>
      </c>
      <c r="M171" s="891">
        <f t="shared" si="51"/>
        <v>0</v>
      </c>
      <c r="N171" s="641"/>
      <c r="O171" s="641"/>
      <c r="P171" s="641"/>
      <c r="Q171" s="641"/>
      <c r="T171" s="3060">
        <v>6829.2389999999996</v>
      </c>
      <c r="U171" s="3063">
        <v>0</v>
      </c>
    </row>
    <row r="172" spans="1:21" ht="24">
      <c r="A172" s="1648" t="str">
        <f t="shared" si="26"/>
        <v>＝</v>
      </c>
      <c r="B172" s="1647">
        <f t="shared" si="27"/>
        <v>0</v>
      </c>
      <c r="C172" s="1647">
        <f t="shared" si="28"/>
        <v>0</v>
      </c>
      <c r="D172" s="1659">
        <v>6829.21</v>
      </c>
      <c r="E172" s="888" t="str">
        <f t="shared" si="29"/>
        <v>以后不能重分类进损益的其他综合收益</v>
      </c>
      <c r="F172" s="884">
        <f t="shared" ref="F172:M172" si="52">SUM(F173:F177)</f>
        <v>0</v>
      </c>
      <c r="G172" s="885">
        <f t="shared" si="52"/>
        <v>0</v>
      </c>
      <c r="H172" s="885">
        <f t="shared" si="52"/>
        <v>0</v>
      </c>
      <c r="I172" s="913">
        <f t="shared" si="52"/>
        <v>0</v>
      </c>
      <c r="J172" s="914">
        <f t="shared" si="52"/>
        <v>0</v>
      </c>
      <c r="K172" s="885">
        <f t="shared" si="52"/>
        <v>0</v>
      </c>
      <c r="L172" s="885">
        <f t="shared" si="52"/>
        <v>0</v>
      </c>
      <c r="M172" s="891">
        <f t="shared" si="52"/>
        <v>0</v>
      </c>
      <c r="N172" s="641"/>
      <c r="O172" s="641"/>
      <c r="P172" s="641"/>
      <c r="Q172" s="641"/>
      <c r="T172" s="3059">
        <v>6829.5</v>
      </c>
      <c r="U172" s="3063">
        <v>0</v>
      </c>
    </row>
    <row r="173" spans="1:21" ht="18">
      <c r="A173" s="1648" t="str">
        <f t="shared" si="26"/>
        <v>Ｘ</v>
      </c>
      <c r="B173" s="1647">
        <f t="shared" si="27"/>
        <v>-1</v>
      </c>
      <c r="C173" s="1647" t="str">
        <f t="shared" si="28"/>
        <v>J</v>
      </c>
      <c r="D173" s="1659">
        <v>6829.2110000000002</v>
      </c>
      <c r="E173" s="888" t="str">
        <f t="shared" si="29"/>
        <v>重新计量设定受益计划变动额</v>
      </c>
      <c r="F173" s="884">
        <f>VLOOKUP($D173,Sheet_Preis,4,0)</f>
        <v>0</v>
      </c>
      <c r="G173" s="885">
        <f>SUMIF(AJE!$B:$B,$C173&amp;$D173&amp;"*",AJE!$O:$O)+SUMIF(AJE!$B:$B,"J6829.511*",AJE!$O:$O)</f>
        <v>0</v>
      </c>
      <c r="H173" s="885">
        <f>SUMIF(AJE!$B:$B,$C173&amp;$D173&amp;"*",AJE!$P:$P)+SUMIF(AJE!$B:$B,"J6829.511*",AJE!$P:$P)</f>
        <v>0</v>
      </c>
      <c r="I173" s="913">
        <f>(B173*F173+G173-H173)*B173</f>
        <v>0</v>
      </c>
      <c r="J173" s="914">
        <f>VLOOKUP($D173,Sheet_Preis,5,0)</f>
        <v>0</v>
      </c>
      <c r="K173" s="885">
        <f>SUMIF('AJE1'!$B:$B,$C173&amp;$D173&amp;"*",'AJE1'!$O:$O)+SUMIF('AJE1'!$B:$B,"J6829.511*",'AJE1'!$O:$O)</f>
        <v>0</v>
      </c>
      <c r="L173" s="885">
        <f>SUMIF('AJE1'!$B:$B,$C173&amp;$D173&amp;"*",'AJE1'!$P:$P)+SUMIF('AJE1'!$B:$B,"J6829.511*",'AJE1'!$P:$P)</f>
        <v>0</v>
      </c>
      <c r="M173" s="891">
        <f>($B173*J173+K173-L173)*$B173</f>
        <v>0</v>
      </c>
      <c r="N173" s="641"/>
      <c r="O173" s="641"/>
      <c r="P173" s="641"/>
      <c r="Q173" s="641"/>
      <c r="T173" s="3056">
        <v>6839</v>
      </c>
      <c r="U173" s="3063">
        <v>520228.91</v>
      </c>
    </row>
    <row r="174" spans="1:21" ht="18">
      <c r="A174" s="1648" t="str">
        <f t="shared" si="26"/>
        <v>Ｘ</v>
      </c>
      <c r="B174" s="1647">
        <f t="shared" si="27"/>
        <v>-1</v>
      </c>
      <c r="C174" s="1647" t="str">
        <f t="shared" si="28"/>
        <v>J</v>
      </c>
      <c r="D174" s="1659">
        <v>6829.2120000000004</v>
      </c>
      <c r="E174" s="888" t="str">
        <f t="shared" si="29"/>
        <v>权益法下不能转损益的其他综合收益</v>
      </c>
      <c r="F174" s="884">
        <f>VLOOKUP($D174,Sheet_Preis,4,0)</f>
        <v>0</v>
      </c>
      <c r="G174" s="885">
        <f>SUMIF(AJE!$B:$B,$C174&amp;$D174&amp;"*",AJE!$O:$O)+SUMIF(AJE!$B:$B,"J6829.512*",AJE!$O:$O)</f>
        <v>0</v>
      </c>
      <c r="H174" s="885">
        <f>SUMIF(AJE!$B:$B,$C174&amp;$D174&amp;"*",AJE!$P:$P)+SUMIF(AJE!$B:$B,"J6829.512*",AJE!$P:$P)</f>
        <v>0</v>
      </c>
      <c r="I174" s="913">
        <f>(B174*F174+G174-H174)*B174</f>
        <v>0</v>
      </c>
      <c r="J174" s="914">
        <f>VLOOKUP($D174,Sheet_Preis,5,0)</f>
        <v>0</v>
      </c>
      <c r="K174" s="885">
        <f>SUMIF('AJE1'!$B:$B,$C174&amp;$D174&amp;"*",'AJE1'!$O:$O)+SUMIF('AJE1'!$B:$B,"J6829.512*",'AJE1'!$O:$O)</f>
        <v>0</v>
      </c>
      <c r="L174" s="885">
        <f>SUMIF('AJE1'!$B:$B,$C174&amp;$D174&amp;"*",'AJE1'!$P:$P)+SUMIF('AJE1'!$B:$B,"J6829.512*",'AJE1'!$P:$P)</f>
        <v>0</v>
      </c>
      <c r="M174" s="891">
        <f>($B174*J174+K174-L174)*$B174</f>
        <v>0</v>
      </c>
      <c r="N174" s="641"/>
      <c r="O174" s="641"/>
      <c r="P174" s="641"/>
      <c r="Q174" s="641"/>
      <c r="T174" s="3056">
        <v>6841</v>
      </c>
      <c r="U174" s="3063">
        <v>520228.91</v>
      </c>
    </row>
    <row r="175" spans="1:21" ht="18">
      <c r="A175" s="1648" t="str">
        <f>VLOOKUP($D175,Sheet_Items,4,0)</f>
        <v>_JR</v>
      </c>
      <c r="B175" s="1647">
        <f>VLOOKUP($D175,Sheet_Items,3,0)</f>
        <v>-1</v>
      </c>
      <c r="C175" s="1647" t="str">
        <f>VLOOKUP($D175,Sheet_Items,9,0)</f>
        <v>J</v>
      </c>
      <c r="D175" s="1659" t="s">
        <v>865</v>
      </c>
      <c r="E175" s="889" t="str">
        <f>VLOOKUP($D175,Sheet_Items,2,0)</f>
        <v>其他权益工具投资公允价值变动</v>
      </c>
      <c r="F175" s="884">
        <f>VLOOKUP($D175,Sheet_Preis,4,0)</f>
        <v>0</v>
      </c>
      <c r="G175" s="885">
        <f>SUMIF(AJE!$B:$B,$C175&amp;$D175&amp;"*",AJE!$O:$O)+SUMIF(AJE!$B:$B,"J6829.51a*",AJE!$O:$O)</f>
        <v>0</v>
      </c>
      <c r="H175" s="885">
        <f>SUMIF(AJE!$B:$B,$C175&amp;$D175&amp;"*",AJE!$P:$P)+SUMIF(AJE!$B:$B,"J6829.51a*",AJE!$P:$P)</f>
        <v>0</v>
      </c>
      <c r="I175" s="913">
        <f>(B175*F175+G175-H175)*B175</f>
        <v>0</v>
      </c>
      <c r="J175" s="914">
        <f>VLOOKUP($D175,Sheet_Preis,5,0)</f>
        <v>0</v>
      </c>
      <c r="K175" s="885">
        <f>SUMIF('AJE1'!$B:$B,$C175&amp;$D175&amp;"*",'AJE1'!$O:$O)+SUMIF('AJE1'!$B:$B,"J6829.51a*",'AJE1'!$O:$O)</f>
        <v>0</v>
      </c>
      <c r="L175" s="885">
        <f>SUMIF('AJE1'!$B:$B,$C175&amp;$D175&amp;"*",'AJE1'!$P:$P)+SUMIF('AJE1'!$B:$B,"J6829.51a*",'AJE1'!$P:$P)</f>
        <v>0</v>
      </c>
      <c r="M175" s="891">
        <f>($B175*J175+K175-L175)*$B175</f>
        <v>0</v>
      </c>
      <c r="N175" s="641"/>
      <c r="O175" s="641"/>
      <c r="P175" s="641"/>
      <c r="Q175" s="641"/>
      <c r="T175" s="3056">
        <v>6842</v>
      </c>
      <c r="U175" s="3063">
        <v>0</v>
      </c>
    </row>
    <row r="176" spans="1:21" ht="18">
      <c r="A176" s="1648" t="str">
        <f>VLOOKUP($D176,Sheet_Items,4,0)</f>
        <v>_JR</v>
      </c>
      <c r="B176" s="1647">
        <f>VLOOKUP($D176,Sheet_Items,3,0)</f>
        <v>-1</v>
      </c>
      <c r="C176" s="1647" t="str">
        <f>VLOOKUP($D176,Sheet_Items,9,0)</f>
        <v>J</v>
      </c>
      <c r="D176" s="1659" t="s">
        <v>869</v>
      </c>
      <c r="E176" s="889" t="str">
        <f>VLOOKUP($D176,Sheet_Items,2,0)</f>
        <v>企业自身信用风险公允价值变动</v>
      </c>
      <c r="F176" s="884">
        <f>VLOOKUP($D176,Sheet_Preis,4,0)</f>
        <v>0</v>
      </c>
      <c r="G176" s="885">
        <f>SUMIF(AJE!$B:$B,$C176&amp;$D176&amp;"*",AJE!$O:$O)+SUMIF(AJE!$B:$B,"J6829.51b*",AJE!$O:$O)</f>
        <v>0</v>
      </c>
      <c r="H176" s="885">
        <f>SUMIF(AJE!$B:$B,$C176&amp;$D176&amp;"*",AJE!$P:$P)+SUMIF(AJE!$B:$B,"J6829.51b*",AJE!$P:$P)</f>
        <v>0</v>
      </c>
      <c r="I176" s="913">
        <f>(B176*F176+G176-H176)*B176</f>
        <v>0</v>
      </c>
      <c r="J176" s="914">
        <f>VLOOKUP($D176,Sheet_Preis,5,0)</f>
        <v>0</v>
      </c>
      <c r="K176" s="885">
        <f>SUMIF('AJE1'!$B:$B,$C176&amp;$D176&amp;"*",'AJE1'!$O:$O)+SUMIF('AJE1'!$B:$B,"J6829.51b*",'AJE1'!$O:$O)</f>
        <v>0</v>
      </c>
      <c r="L176" s="885">
        <f>SUMIF('AJE1'!$B:$B,$C176&amp;$D176&amp;"*",'AJE1'!$P:$P)+SUMIF('AJE1'!$B:$B,"J6829.51b*",'AJE1'!$P:$P)</f>
        <v>0</v>
      </c>
      <c r="M176" s="891">
        <f>($B176*J176+K176-L176)*$B176</f>
        <v>0</v>
      </c>
      <c r="N176" s="641"/>
      <c r="O176" s="641"/>
      <c r="P176" s="641"/>
      <c r="Q176" s="641"/>
      <c r="T176" s="3056">
        <v>6820</v>
      </c>
      <c r="U176" s="3064"/>
    </row>
    <row r="177" spans="1:21" ht="24">
      <c r="A177" s="1648">
        <f t="shared" si="26"/>
        <v>0</v>
      </c>
      <c r="B177" s="1647">
        <f t="shared" si="27"/>
        <v>-1</v>
      </c>
      <c r="C177" s="1647" t="str">
        <f t="shared" si="28"/>
        <v>J</v>
      </c>
      <c r="D177" s="1659">
        <v>6829.2190000000001</v>
      </c>
      <c r="E177" s="888" t="str">
        <f t="shared" si="29"/>
        <v>其他以后不能重分类进损益的其他综合收益</v>
      </c>
      <c r="F177" s="884">
        <f>VLOOKUP($D177,Sheet_Preis,4,0)</f>
        <v>0</v>
      </c>
      <c r="G177" s="885">
        <f>SUMIF(AJE!$B:$B,$C177&amp;$D177&amp;"*",AJE!$O:$O)+SUMIF(AJE!$B:$B,"J6829.519*",AJE!$O:$O)</f>
        <v>0</v>
      </c>
      <c r="H177" s="885">
        <f>SUMIF(AJE!$B:$B,$C177&amp;$D177&amp;"*",AJE!$P:$P)+SUMIF(AJE!$B:$B,"J6829.519*",AJE!$P:$P)</f>
        <v>0</v>
      </c>
      <c r="I177" s="913">
        <f>(B177*F177+G177-H177)*B177</f>
        <v>0</v>
      </c>
      <c r="J177" s="914">
        <f>VLOOKUP($D177,Sheet_Preis,5,0)</f>
        <v>0</v>
      </c>
      <c r="K177" s="885">
        <f>SUMIF('AJE1'!$B:$B,$C177&amp;$D177&amp;"*",'AJE1'!$O:$O)+SUMIF('AJE1'!$B:$B,"J6829.519*",'AJE1'!$O:$O)</f>
        <v>0</v>
      </c>
      <c r="L177" s="885">
        <f>SUMIF('AJE1'!$B:$B,$C177&amp;$D177&amp;"*",'AJE1'!$P:$P)+SUMIF('AJE1'!$B:$B,"J6829.519*",'AJE1'!$P:$P)</f>
        <v>0</v>
      </c>
      <c r="M177" s="891">
        <f>($B177*J177+K177-L177)*$B177</f>
        <v>0</v>
      </c>
      <c r="N177" s="641"/>
      <c r="O177" s="641"/>
      <c r="P177" s="641"/>
      <c r="Q177" s="641"/>
      <c r="T177" s="3056">
        <v>6821</v>
      </c>
      <c r="U177" s="3064"/>
    </row>
    <row r="178" spans="1:21" ht="18">
      <c r="A178" s="1648" t="str">
        <f t="shared" si="26"/>
        <v>＝</v>
      </c>
      <c r="B178" s="1647">
        <f t="shared" si="27"/>
        <v>0</v>
      </c>
      <c r="C178" s="1647">
        <f t="shared" si="28"/>
        <v>0</v>
      </c>
      <c r="D178" s="1659">
        <v>6829.23</v>
      </c>
      <c r="E178" s="888" t="str">
        <f t="shared" si="29"/>
        <v>以后将重分类进损益的其他综合收益</v>
      </c>
      <c r="F178" s="884">
        <f t="shared" ref="F178:M178" si="53">SUM(F179:F190)</f>
        <v>0</v>
      </c>
      <c r="G178" s="885">
        <f t="shared" si="53"/>
        <v>0</v>
      </c>
      <c r="H178" s="885">
        <f t="shared" si="53"/>
        <v>0</v>
      </c>
      <c r="I178" s="913">
        <f t="shared" si="53"/>
        <v>0</v>
      </c>
      <c r="J178" s="914">
        <f t="shared" si="53"/>
        <v>0</v>
      </c>
      <c r="K178" s="885">
        <f t="shared" si="53"/>
        <v>0</v>
      </c>
      <c r="L178" s="885">
        <f t="shared" si="53"/>
        <v>0</v>
      </c>
      <c r="M178" s="891">
        <f t="shared" si="53"/>
        <v>0</v>
      </c>
      <c r="N178" s="641"/>
      <c r="O178" s="641"/>
      <c r="P178" s="641"/>
      <c r="Q178" s="641"/>
      <c r="T178" s="3056">
        <v>6822</v>
      </c>
      <c r="U178" s="3064"/>
    </row>
    <row r="179" spans="1:21" ht="18">
      <c r="A179" s="1648" t="str">
        <f t="shared" si="26"/>
        <v>Ｘ</v>
      </c>
      <c r="B179" s="1647">
        <f t="shared" si="27"/>
        <v>-1</v>
      </c>
      <c r="C179" s="1647" t="str">
        <f t="shared" si="28"/>
        <v>J</v>
      </c>
      <c r="D179" s="1659">
        <v>6829.2309999999998</v>
      </c>
      <c r="E179" s="888" t="str">
        <f t="shared" si="29"/>
        <v>权益法下可转损益的其他综合收益</v>
      </c>
      <c r="F179" s="884">
        <f t="shared" ref="F179:F191" si="54">VLOOKUP($D179,Sheet_Preis,4,0)</f>
        <v>0</v>
      </c>
      <c r="G179" s="885">
        <f>SUMIF(AJE!$B:$B,$C179&amp;$D179&amp;"*",AJE!$O:$O)+SUMIF(AJE!$B:$B,"J6829.531*",AJE!$O:$O)</f>
        <v>0</v>
      </c>
      <c r="H179" s="885">
        <f>SUMIF(AJE!$B:$B,$C179&amp;$D179&amp;"*",AJE!$P:$P)+SUMIF(AJE!$B:$B,"J6829.531*",AJE!$P:$P)</f>
        <v>0</v>
      </c>
      <c r="I179" s="913">
        <f t="shared" ref="I179:I191" si="55">(B179*F179+G179-H179)*B179</f>
        <v>0</v>
      </c>
      <c r="J179" s="914">
        <f t="shared" ref="J179:J191" si="56">VLOOKUP($D179,Sheet_Preis,5,0)</f>
        <v>0</v>
      </c>
      <c r="K179" s="885">
        <f>SUMIF('AJE1'!$B:$B,$C179&amp;$D179&amp;"*",'AJE1'!$O:$O)+SUMIF('AJE1'!$B:$B,"J6829.531*",'AJE1'!$O:$O)</f>
        <v>0</v>
      </c>
      <c r="L179" s="885">
        <f>SUMIF('AJE1'!$B:$B,$C179&amp;$D179&amp;"*",'AJE1'!$P:$P)+SUMIF('AJE1'!$B:$B,"J6829.531*",'AJE1'!$P:$P)</f>
        <v>0</v>
      </c>
      <c r="M179" s="891">
        <f t="shared" ref="M179:M191" si="57">($B179*J179+K179-L179)*$B179</f>
        <v>0</v>
      </c>
      <c r="N179" s="641"/>
      <c r="O179" s="641"/>
      <c r="P179" s="641"/>
      <c r="Q179" s="641"/>
      <c r="T179" s="3057">
        <v>6710.11</v>
      </c>
      <c r="U179" s="3064"/>
    </row>
    <row r="180" spans="1:21" ht="18">
      <c r="A180" s="1648" t="str">
        <f t="shared" si="26"/>
        <v>ＸJRH</v>
      </c>
      <c r="B180" s="1647">
        <f t="shared" si="27"/>
        <v>-1</v>
      </c>
      <c r="C180" s="1647" t="str">
        <f t="shared" si="28"/>
        <v>J</v>
      </c>
      <c r="D180" s="1659">
        <v>6829.232</v>
      </c>
      <c r="E180" s="888" t="str">
        <f t="shared" si="29"/>
        <v>可供出售金融资产公允价值变动损益</v>
      </c>
      <c r="F180" s="884">
        <f t="shared" si="54"/>
        <v>0</v>
      </c>
      <c r="G180" s="885">
        <f>SUMIF(AJE!$B:$B,$C180&amp;$D180&amp;"*",AJE!$O:$O)+SUMIF(AJE!$B:$B,"J6829.532*",AJE!$O:$O)</f>
        <v>0</v>
      </c>
      <c r="H180" s="885">
        <f>SUMIF(AJE!$B:$B,$C180&amp;$D180&amp;"*",AJE!$P:$P)+SUMIF(AJE!$B:$B,"J6829.532*",AJE!$P:$P)</f>
        <v>0</v>
      </c>
      <c r="I180" s="913">
        <f t="shared" si="55"/>
        <v>0</v>
      </c>
      <c r="J180" s="914">
        <f t="shared" si="56"/>
        <v>0</v>
      </c>
      <c r="K180" s="885">
        <f>SUMIF('AJE1'!$B:$B,$C180&amp;$D180&amp;"*",'AJE1'!$O:$O)+SUMIF('AJE1'!$B:$B,"J6829.532*",'AJE1'!$O:$O)</f>
        <v>0</v>
      </c>
      <c r="L180" s="885">
        <f>SUMIF('AJE1'!$B:$B,$C180&amp;$D180&amp;"*",'AJE1'!$P:$P)+SUMIF('AJE1'!$B:$B,"J6829.532*",'AJE1'!$P:$P)</f>
        <v>0</v>
      </c>
      <c r="M180" s="891">
        <f t="shared" si="57"/>
        <v>0</v>
      </c>
      <c r="N180" s="641"/>
      <c r="O180" s="641"/>
      <c r="P180" s="641"/>
      <c r="Q180" s="641"/>
      <c r="T180" s="3057">
        <v>6711.01</v>
      </c>
      <c r="U180" s="3064"/>
    </row>
    <row r="181" spans="1:21" ht="24">
      <c r="A181" s="1648" t="str">
        <f t="shared" si="26"/>
        <v>ＸJRH</v>
      </c>
      <c r="B181" s="1647">
        <f t="shared" si="27"/>
        <v>-1</v>
      </c>
      <c r="C181" s="1647" t="str">
        <f t="shared" si="28"/>
        <v>J</v>
      </c>
      <c r="D181" s="1659">
        <v>6829.2330000000002</v>
      </c>
      <c r="E181" s="888" t="str">
        <f t="shared" si="29"/>
        <v>持有至到期投资重分类为可供出售金融资产损益</v>
      </c>
      <c r="F181" s="884">
        <f t="shared" si="54"/>
        <v>0</v>
      </c>
      <c r="G181" s="885">
        <f>SUMIF(AJE!$B:$B,$C181&amp;$D181&amp;"*",AJE!$O:$O)+SUMIF(AJE!$B:$B,"J6829.533*",AJE!$O:$O)</f>
        <v>0</v>
      </c>
      <c r="H181" s="885">
        <f>SUMIF(AJE!$B:$B,$C181&amp;$D181&amp;"*",AJE!$P:$P)+SUMIF(AJE!$B:$B,"J6829.533*",AJE!$P:$P)</f>
        <v>0</v>
      </c>
      <c r="I181" s="913">
        <f t="shared" si="55"/>
        <v>0</v>
      </c>
      <c r="J181" s="914">
        <f t="shared" si="56"/>
        <v>0</v>
      </c>
      <c r="K181" s="885">
        <f>SUMIF('AJE1'!$B:$B,$C181&amp;$D181&amp;"*",'AJE1'!$O:$O)+SUMIF('AJE1'!$B:$B,"J6829.533*",'AJE1'!$O:$O)</f>
        <v>0</v>
      </c>
      <c r="L181" s="885">
        <f>SUMIF('AJE1'!$B:$B,$C181&amp;$D181&amp;"*",'AJE1'!$P:$P)+SUMIF('AJE1'!$B:$B,"J6829.533*",'AJE1'!$P:$P)</f>
        <v>0</v>
      </c>
      <c r="M181" s="891">
        <f t="shared" si="57"/>
        <v>0</v>
      </c>
      <c r="N181" s="641"/>
      <c r="O181" s="641"/>
      <c r="P181" s="641"/>
      <c r="Q181" s="641"/>
      <c r="T181" s="3056">
        <v>6805</v>
      </c>
      <c r="U181" s="3064"/>
    </row>
    <row r="182" spans="1:21" ht="18">
      <c r="A182" s="1648" t="str">
        <f t="shared" si="26"/>
        <v>ＸJRH</v>
      </c>
      <c r="B182" s="1647">
        <f t="shared" si="27"/>
        <v>-1</v>
      </c>
      <c r="C182" s="1647" t="str">
        <f t="shared" si="28"/>
        <v>J</v>
      </c>
      <c r="D182" s="1659">
        <v>6829.2340000000004</v>
      </c>
      <c r="E182" s="888" t="str">
        <f t="shared" si="29"/>
        <v>现金流量套期损益的有效部分</v>
      </c>
      <c r="F182" s="884">
        <f t="shared" si="54"/>
        <v>0</v>
      </c>
      <c r="G182" s="885">
        <f>SUMIF(AJE!$B:$B,$C182&amp;$D182&amp;"*",AJE!$O:$O)+SUMIF(AJE!$B:$B,"J6829.534*",AJE!$O:$O)</f>
        <v>0</v>
      </c>
      <c r="H182" s="885">
        <f>SUMIF(AJE!$B:$B,$C182&amp;$D182&amp;"*",AJE!$P:$P)+SUMIF(AJE!$B:$B,"J6829.534*",AJE!$P:$P)</f>
        <v>0</v>
      </c>
      <c r="I182" s="913">
        <f t="shared" si="55"/>
        <v>0</v>
      </c>
      <c r="J182" s="914">
        <f t="shared" si="56"/>
        <v>0</v>
      </c>
      <c r="K182" s="885">
        <f>SUMIF('AJE1'!$B:$B,$C182&amp;$D182&amp;"*",'AJE1'!$O:$O)+SUMIF('AJE1'!$B:$B,"J6829.534*",'AJE1'!$O:$O)</f>
        <v>0</v>
      </c>
      <c r="L182" s="885">
        <f>SUMIF('AJE1'!$B:$B,$C182&amp;$D182&amp;"*",'AJE1'!$P:$P)+SUMIF('AJE1'!$B:$B,"J6829.534*",'AJE1'!$P:$P)</f>
        <v>0</v>
      </c>
      <c r="M182" s="891">
        <f t="shared" si="57"/>
        <v>0</v>
      </c>
      <c r="N182" s="641"/>
      <c r="O182" s="641"/>
      <c r="P182" s="641"/>
      <c r="Q182" s="641"/>
      <c r="T182" s="3056">
        <v>8</v>
      </c>
      <c r="U182" s="3063"/>
    </row>
    <row r="183" spans="1:21" ht="18">
      <c r="A183" s="1648" t="str">
        <f>VLOOKUP($D183,Sheet_Items,4,0)</f>
        <v>_JR</v>
      </c>
      <c r="B183" s="1647">
        <f>VLOOKUP($D183,Sheet_Items,3,0)</f>
        <v>-1</v>
      </c>
      <c r="C183" s="1647" t="str">
        <f>VLOOKUP($D183,Sheet_Items,9,0)</f>
        <v>J</v>
      </c>
      <c r="D183" s="1659" t="s">
        <v>916</v>
      </c>
      <c r="E183" s="889" t="str">
        <f>VLOOKUP($D183,Sheet_Items,2,0)</f>
        <v>其他债权投资公允价值变动</v>
      </c>
      <c r="F183" s="884">
        <f>VLOOKUP($D183,Sheet_Preis,4,0)</f>
        <v>0</v>
      </c>
      <c r="G183" s="885">
        <f>SUMIF(AJE!$B:$B,$C183&amp;$D183&amp;"*",AJE!$O:$O)+SUMIF(AJE!$B:$B,"J6829.53a*",AJE!$O:$O)</f>
        <v>0</v>
      </c>
      <c r="H183" s="885">
        <f>SUMIF(AJE!$B:$B,$C183&amp;$D183&amp;"*",AJE!$P:$P)+SUMIF(AJE!$B:$B,"J6829.53a*",AJE!$P:$P)</f>
        <v>0</v>
      </c>
      <c r="I183" s="913">
        <f t="shared" si="55"/>
        <v>0</v>
      </c>
      <c r="J183" s="914">
        <f>VLOOKUP($D183,Sheet_Preis,5,0)</f>
        <v>0</v>
      </c>
      <c r="K183" s="885">
        <f>SUMIF('AJE1'!$B:$B,$C183&amp;$D183&amp;"*",'AJE1'!$O:$O)+SUMIF('AJE1'!$B:$B,"J6829.53a*",'AJE1'!$O:$O)</f>
        <v>0</v>
      </c>
      <c r="L183" s="885">
        <f>SUMIF('AJE1'!$B:$B,$C183&amp;$D183&amp;"*",'AJE1'!$P:$P)+SUMIF('AJE1'!$B:$B,"J6829.53a*",'AJE1'!$P:$P)</f>
        <v>0</v>
      </c>
      <c r="M183" s="891">
        <f t="shared" si="57"/>
        <v>0</v>
      </c>
      <c r="N183" s="641"/>
      <c r="O183" s="641"/>
      <c r="P183" s="641"/>
      <c r="Q183" s="641"/>
      <c r="T183" s="3056">
        <v>8000</v>
      </c>
      <c r="U183" s="3063"/>
    </row>
    <row r="184" spans="1:21" ht="24">
      <c r="A184" s="1648" t="str">
        <f>VLOOKUP($D184,Sheet_Items,4,0)</f>
        <v>_JR</v>
      </c>
      <c r="B184" s="1647">
        <f>VLOOKUP($D184,Sheet_Items,3,0)</f>
        <v>-1</v>
      </c>
      <c r="C184" s="1647" t="str">
        <f>VLOOKUP($D184,Sheet_Items,9,0)</f>
        <v>J</v>
      </c>
      <c r="D184" s="1659" t="s">
        <v>922</v>
      </c>
      <c r="E184" s="889" t="str">
        <f>VLOOKUP($D184,Sheet_Items,2,0)</f>
        <v>金融资产重分类计入其他综合收益的金额</v>
      </c>
      <c r="F184" s="884">
        <f>VLOOKUP($D184,Sheet_Preis,4,0)</f>
        <v>0</v>
      </c>
      <c r="G184" s="885">
        <f>SUMIF(AJE!$B:$B,$C184&amp;$D184&amp;"*",AJE!$O:$O)+SUMIF(AJE!$B:$B,"J6829.53b*",AJE!$O:$O)</f>
        <v>0</v>
      </c>
      <c r="H184" s="885">
        <f>SUMIF(AJE!$B:$B,$C184&amp;$D184&amp;"*",AJE!$P:$P)+SUMIF(AJE!$B:$B,"J6829.53b*",AJE!$P:$P)</f>
        <v>0</v>
      </c>
      <c r="I184" s="913">
        <f t="shared" si="55"/>
        <v>0</v>
      </c>
      <c r="J184" s="914">
        <f>VLOOKUP($D184,Sheet_Preis,5,0)</f>
        <v>0</v>
      </c>
      <c r="K184" s="885">
        <f>SUMIF('AJE1'!$B:$B,$C184&amp;$D184&amp;"*",'AJE1'!$O:$O)+SUMIF('AJE1'!$B:$B,"J6829.53b*",'AJE1'!$O:$O)</f>
        <v>0</v>
      </c>
      <c r="L184" s="885">
        <f>SUMIF('AJE1'!$B:$B,$C184&amp;$D184&amp;"*",'AJE1'!$P:$P)+SUMIF('AJE1'!$B:$B,"J6829.53b*",'AJE1'!$P:$P)</f>
        <v>0</v>
      </c>
      <c r="M184" s="891">
        <f t="shared" si="57"/>
        <v>0</v>
      </c>
      <c r="N184" s="641"/>
      <c r="O184" s="641"/>
      <c r="P184" s="641"/>
      <c r="Q184" s="641"/>
      <c r="T184" s="3056">
        <v>8001</v>
      </c>
      <c r="U184" s="3063">
        <v>44248253.200000003</v>
      </c>
    </row>
    <row r="185" spans="1:21" ht="18">
      <c r="A185" s="1648" t="str">
        <f>VLOOKUP($D185,Sheet_Items,4,0)</f>
        <v>_JR</v>
      </c>
      <c r="B185" s="1647">
        <f>VLOOKUP($D185,Sheet_Items,3,0)</f>
        <v>-1</v>
      </c>
      <c r="C185" s="1647" t="str">
        <f>VLOOKUP($D185,Sheet_Items,9,0)</f>
        <v>J</v>
      </c>
      <c r="D185" s="1659" t="s">
        <v>927</v>
      </c>
      <c r="E185" s="889" t="str">
        <f>VLOOKUP($D185,Sheet_Items,2,0)</f>
        <v>其他债权投资信用减值准备</v>
      </c>
      <c r="F185" s="884">
        <f>VLOOKUP($D185,Sheet_Preis,4,0)</f>
        <v>0</v>
      </c>
      <c r="G185" s="885">
        <f>SUMIF(AJE!$B:$B,$C185&amp;$D185&amp;"*",AJE!$O:$O)+SUMIF(AJE!$B:$B,"J6829.53c*",AJE!$O:$O)</f>
        <v>0</v>
      </c>
      <c r="H185" s="885">
        <f>SUMIF(AJE!$B:$B,$C185&amp;$D185&amp;"*",AJE!$P:$P)+SUMIF(AJE!$B:$B,"J6829.53c*",AJE!$P:$P)</f>
        <v>0</v>
      </c>
      <c r="I185" s="913">
        <f t="shared" si="55"/>
        <v>0</v>
      </c>
      <c r="J185" s="914">
        <f>VLOOKUP($D185,Sheet_Preis,5,0)</f>
        <v>0</v>
      </c>
      <c r="K185" s="885">
        <f>SUMIF('AJE1'!$B:$B,$C185&amp;$D185&amp;"*",'AJE1'!$O:$O)+SUMIF('AJE1'!$B:$B,"J6829.53c*",'AJE1'!$O:$O)</f>
        <v>0</v>
      </c>
      <c r="L185" s="885">
        <f>SUMIF('AJE1'!$B:$B,$C185&amp;$D185&amp;"*",'AJE1'!$P:$P)+SUMIF('AJE1'!$B:$B,"J6829.53c*",'AJE1'!$P:$P)</f>
        <v>0</v>
      </c>
      <c r="M185" s="891">
        <f t="shared" si="57"/>
        <v>0</v>
      </c>
      <c r="N185" s="641"/>
      <c r="O185" s="641"/>
      <c r="P185" s="641"/>
      <c r="Q185" s="641"/>
      <c r="T185" s="3056">
        <v>8002</v>
      </c>
      <c r="U185" s="3063">
        <v>0</v>
      </c>
    </row>
    <row r="186" spans="1:21" ht="18">
      <c r="A186" s="1648" t="str">
        <f>VLOOKUP($D186,Sheet_Items,4,0)</f>
        <v>_JR</v>
      </c>
      <c r="B186" s="1647">
        <f>VLOOKUP($D186,Sheet_Items,3,0)</f>
        <v>-1</v>
      </c>
      <c r="C186" s="1647" t="str">
        <f>VLOOKUP($D186,Sheet_Items,9,0)</f>
        <v>J</v>
      </c>
      <c r="D186" s="1659" t="s">
        <v>930</v>
      </c>
      <c r="E186" s="889" t="str">
        <f>VLOOKUP($D186,Sheet_Items,2,0)</f>
        <v>现金流量套期储备</v>
      </c>
      <c r="F186" s="884">
        <f>VLOOKUP($D186,Sheet_Preis,4,0)</f>
        <v>0</v>
      </c>
      <c r="G186" s="885">
        <f>SUMIF(AJE!$B:$B,$C186&amp;$D186&amp;"*",AJE!$O:$O)+SUMIF(AJE!$B:$B,"J6829.53d*",AJE!$O:$O)</f>
        <v>0</v>
      </c>
      <c r="H186" s="885">
        <f>SUMIF(AJE!$B:$B,$C186&amp;$D186&amp;"*",AJE!$P:$P)+SUMIF(AJE!$B:$B,"J6829.53d*",AJE!$P:$P)</f>
        <v>0</v>
      </c>
      <c r="I186" s="913">
        <f t="shared" si="55"/>
        <v>0</v>
      </c>
      <c r="J186" s="914">
        <f>VLOOKUP($D186,Sheet_Preis,5,0)</f>
        <v>0</v>
      </c>
      <c r="K186" s="885">
        <f>SUMIF('AJE1'!$B:$B,$C186&amp;$D186&amp;"*",'AJE1'!$O:$O)+SUMIF('AJE1'!$B:$B,"J6829.53d*",'AJE1'!$O:$O)</f>
        <v>0</v>
      </c>
      <c r="L186" s="885">
        <f>SUMIF('AJE1'!$B:$B,$C186&amp;$D186&amp;"*",'AJE1'!$P:$P)+SUMIF('AJE1'!$B:$B,"J6829.53d*",'AJE1'!$P:$P)</f>
        <v>0</v>
      </c>
      <c r="M186" s="891">
        <f t="shared" si="57"/>
        <v>0</v>
      </c>
      <c r="N186" s="641"/>
      <c r="O186" s="641"/>
      <c r="P186" s="641"/>
      <c r="Q186" s="641"/>
      <c r="T186" s="3056">
        <v>8003</v>
      </c>
      <c r="U186" s="3063">
        <v>0</v>
      </c>
    </row>
    <row r="187" spans="1:21" ht="18">
      <c r="A187" s="1648" t="str">
        <f t="shared" si="26"/>
        <v>Ｘ</v>
      </c>
      <c r="B187" s="1647">
        <f t="shared" si="27"/>
        <v>-1</v>
      </c>
      <c r="C187" s="1647" t="str">
        <f t="shared" si="28"/>
        <v>J</v>
      </c>
      <c r="D187" s="1659">
        <v>6829.2349999999997</v>
      </c>
      <c r="E187" s="888" t="str">
        <f t="shared" si="29"/>
        <v>外币财务报表折算差额</v>
      </c>
      <c r="F187" s="884">
        <f t="shared" si="54"/>
        <v>0</v>
      </c>
      <c r="G187" s="885">
        <f>SUMIF(AJE!$B:$B,$C187&amp;$D187&amp;"*",AJE!$O:$O)+SUMIF(AJE!$B:$B,"J6829.535*",AJE!$O:$O)</f>
        <v>0</v>
      </c>
      <c r="H187" s="885">
        <f>SUMIF(AJE!$B:$B,$C187&amp;$D187&amp;"*",AJE!$P:$P)+SUMIF(AJE!$B:$B,"J6829.535*",AJE!$P:$P)</f>
        <v>0</v>
      </c>
      <c r="I187" s="913">
        <f t="shared" si="55"/>
        <v>0</v>
      </c>
      <c r="J187" s="914">
        <f t="shared" si="56"/>
        <v>0</v>
      </c>
      <c r="K187" s="885">
        <f>SUMIF('AJE1'!$B:$B,$C187&amp;$D187&amp;"*",'AJE1'!$O:$O)+SUMIF('AJE1'!$B:$B,"J6829.535*",'AJE1'!$O:$O)</f>
        <v>0</v>
      </c>
      <c r="L187" s="885">
        <f>SUMIF('AJE1'!$B:$B,$C187&amp;$D187&amp;"*",'AJE1'!$P:$P)+SUMIF('AJE1'!$B:$B,"J6829.535*",'AJE1'!$P:$P)</f>
        <v>0</v>
      </c>
      <c r="M187" s="891">
        <f t="shared" si="57"/>
        <v>0</v>
      </c>
      <c r="N187" s="641"/>
      <c r="O187" s="641"/>
      <c r="P187" s="641"/>
      <c r="Q187" s="641"/>
      <c r="T187" s="3056">
        <v>8004</v>
      </c>
      <c r="U187" s="3063">
        <v>0</v>
      </c>
    </row>
    <row r="188" spans="1:21" ht="36">
      <c r="A188" s="1648" t="str">
        <f t="shared" si="26"/>
        <v>Ｘ</v>
      </c>
      <c r="B188" s="1647">
        <f t="shared" si="27"/>
        <v>-1</v>
      </c>
      <c r="C188" s="1647" t="str">
        <f t="shared" si="28"/>
        <v>J</v>
      </c>
      <c r="D188" s="1659">
        <v>6829.2359999999999</v>
      </c>
      <c r="E188" s="888" t="str">
        <f t="shared" si="29"/>
        <v>自用房地产或作为存货的房地产转换为以公允价值计量的投资性房地产在转换日公允价值大于账面价值部分</v>
      </c>
      <c r="F188" s="884">
        <f t="shared" si="54"/>
        <v>0</v>
      </c>
      <c r="G188" s="885">
        <f>SUMIF(AJE!$B:$B,$C188&amp;$D188&amp;"*",AJE!$O:$O)+SUMIF(AJE!$B:$B,"J6829.536*",AJE!$O:$O)</f>
        <v>0</v>
      </c>
      <c r="H188" s="885">
        <f>SUMIF(AJE!$B:$B,$C188&amp;$D188&amp;"*",AJE!$P:$P)+SUMIF(AJE!$B:$B,"J6829.536*",AJE!$P:$P)</f>
        <v>0</v>
      </c>
      <c r="I188" s="913">
        <f t="shared" si="55"/>
        <v>0</v>
      </c>
      <c r="J188" s="914">
        <f t="shared" si="56"/>
        <v>0</v>
      </c>
      <c r="K188" s="885">
        <f>SUMIF('AJE1'!$B:$B,$C188&amp;$D188&amp;"*",'AJE1'!$O:$O)+SUMIF('AJE1'!$B:$B,"J6829.536*",'AJE1'!$O:$O)</f>
        <v>0</v>
      </c>
      <c r="L188" s="885">
        <f>SUMIF('AJE1'!$B:$B,$C188&amp;$D188&amp;"*",'AJE1'!$P:$P)+SUMIF('AJE1'!$B:$B,"J6829.536*",'AJE1'!$P:$P)</f>
        <v>0</v>
      </c>
      <c r="M188" s="891">
        <f t="shared" si="57"/>
        <v>0</v>
      </c>
      <c r="N188" s="641"/>
      <c r="O188" s="641"/>
      <c r="P188" s="641"/>
      <c r="Q188" s="641"/>
      <c r="T188" s="3056">
        <v>8009</v>
      </c>
      <c r="U188" s="3063">
        <v>0</v>
      </c>
    </row>
    <row r="189" spans="1:21" ht="48">
      <c r="A189" s="1648" t="str">
        <f t="shared" si="26"/>
        <v>Ｘ</v>
      </c>
      <c r="B189" s="1647">
        <f t="shared" si="27"/>
        <v>-1</v>
      </c>
      <c r="C189" s="1647" t="str">
        <f t="shared" si="28"/>
        <v>J</v>
      </c>
      <c r="D189" s="1659">
        <v>6829.2370000000001</v>
      </c>
      <c r="E189" s="888" t="str">
        <f t="shared" si="29"/>
        <v>多次交易分步处置子公司股权构成一揽子交易的丧失控制权之前各次交易处置价款与对应净资产账面价值份额的差额</v>
      </c>
      <c r="F189" s="884">
        <f t="shared" si="54"/>
        <v>0</v>
      </c>
      <c r="G189" s="885">
        <f>SUMIF(AJE!$B:$B,$C189&amp;$D189&amp;"*",AJE!$O:$O)+SUMIF(AJE!$B:$B,"J6829.537*",AJE!$O:$O)</f>
        <v>0</v>
      </c>
      <c r="H189" s="885">
        <f>SUMIF(AJE!$B:$B,$C189&amp;$D189&amp;"*",AJE!$P:$P)+SUMIF(AJE!$B:$B,"J6829.537*",AJE!$P:$P)</f>
        <v>0</v>
      </c>
      <c r="I189" s="913">
        <f t="shared" si="55"/>
        <v>0</v>
      </c>
      <c r="J189" s="914">
        <f t="shared" si="56"/>
        <v>0</v>
      </c>
      <c r="K189" s="885">
        <f>SUMIF('AJE1'!$B:$B,$C189&amp;$D189&amp;"*",'AJE1'!$O:$O)+SUMIF('AJE1'!$B:$B,"J6829.537*",'AJE1'!$O:$O)</f>
        <v>0</v>
      </c>
      <c r="L189" s="885">
        <f>SUMIF('AJE1'!$B:$B,$C189&amp;$D189&amp;"*",'AJE1'!$P:$P)+SUMIF('AJE1'!$B:$B,"J6829.537*",'AJE1'!$P:$P)</f>
        <v>0</v>
      </c>
      <c r="M189" s="891">
        <f t="shared" si="57"/>
        <v>0</v>
      </c>
      <c r="N189" s="641"/>
      <c r="O189" s="641"/>
      <c r="P189" s="641"/>
      <c r="Q189" s="641"/>
      <c r="T189" s="3056">
        <v>8010</v>
      </c>
      <c r="U189" s="3063">
        <v>44248253.200000003</v>
      </c>
    </row>
    <row r="190" spans="1:21" ht="24">
      <c r="A190" s="1648">
        <f t="shared" si="26"/>
        <v>0</v>
      </c>
      <c r="B190" s="1647">
        <f t="shared" si="27"/>
        <v>-1</v>
      </c>
      <c r="C190" s="1647" t="str">
        <f t="shared" si="28"/>
        <v>J</v>
      </c>
      <c r="D190" s="1659">
        <v>6829.2389999999996</v>
      </c>
      <c r="E190" s="888" t="str">
        <f t="shared" si="29"/>
        <v>其他以后将重分类进损益的其他综合收益</v>
      </c>
      <c r="F190" s="884">
        <f t="shared" si="54"/>
        <v>0</v>
      </c>
      <c r="G190" s="885">
        <f>SUMIF(AJE!$B:$B,$C190&amp;$D190&amp;"*",AJE!$O:$O)+SUMIF(AJE!$B:$B,"J6829.539*",AJE!$O:$O)</f>
        <v>0</v>
      </c>
      <c r="H190" s="885">
        <f>SUMIF(AJE!$B:$B,$C190&amp;$D190&amp;"*",AJE!$P:$P)+SUMIF(AJE!$B:$B,"J6829.539*",AJE!$P:$P)</f>
        <v>0</v>
      </c>
      <c r="I190" s="913">
        <f t="shared" si="55"/>
        <v>0</v>
      </c>
      <c r="J190" s="914">
        <f t="shared" si="56"/>
        <v>0</v>
      </c>
      <c r="K190" s="885">
        <f>SUMIF('AJE1'!$B:$B,$C190&amp;$D190&amp;"*",'AJE1'!$O:$O)+SUMIF('AJE1'!$B:$B,"J6829.539*",'AJE1'!$O:$O)</f>
        <v>0</v>
      </c>
      <c r="L190" s="885">
        <f>SUMIF('AJE1'!$B:$B,$C190&amp;$D190&amp;"*",'AJE1'!$P:$P)+SUMIF('AJE1'!$B:$B,"J6829.539*",'AJE1'!$P:$P)</f>
        <v>0</v>
      </c>
      <c r="M190" s="891">
        <f t="shared" si="57"/>
        <v>0</v>
      </c>
      <c r="N190" s="641"/>
      <c r="O190" s="641"/>
      <c r="P190" s="641"/>
      <c r="Q190" s="641"/>
      <c r="T190" s="3056">
        <v>8090</v>
      </c>
      <c r="U190" s="3063">
        <v>520228.91</v>
      </c>
    </row>
    <row r="191" spans="1:21" ht="24">
      <c r="A191" s="1648" t="str">
        <f t="shared" si="26"/>
        <v>※</v>
      </c>
      <c r="B191" s="1647">
        <f t="shared" si="27"/>
        <v>1</v>
      </c>
      <c r="C191" s="1647">
        <f t="shared" si="28"/>
        <v>0</v>
      </c>
      <c r="D191" s="1659">
        <v>6829.5</v>
      </c>
      <c r="E191" s="888" t="str">
        <f t="shared" si="29"/>
        <v>归属于少数股东的其他综合收益的税后净额</v>
      </c>
      <c r="F191" s="884">
        <f t="shared" si="54"/>
        <v>0</v>
      </c>
      <c r="G191" s="885">
        <f>SUMIF(AJE!$B:$B,"J"&amp;$D191&amp;"*",AJE!$O:$O)</f>
        <v>0</v>
      </c>
      <c r="H191" s="885">
        <f>SUMIF(AJE!$B:$B,"J"&amp;$D191&amp;"*",AJE!$P:$P)</f>
        <v>0</v>
      </c>
      <c r="I191" s="913">
        <f t="shared" si="55"/>
        <v>0</v>
      </c>
      <c r="J191" s="914">
        <f t="shared" si="56"/>
        <v>0</v>
      </c>
      <c r="K191" s="885">
        <f>SUMIF('AJE1'!$B:$B,"J"&amp;$D191&amp;"*",'AJE1'!$O:$O)</f>
        <v>0</v>
      </c>
      <c r="L191" s="885">
        <f>SUMIF('AJE1'!$B:$B,"J"&amp;$D191&amp;"*",'AJE1'!$P:$P)</f>
        <v>0</v>
      </c>
      <c r="M191" s="891">
        <f t="shared" si="57"/>
        <v>0</v>
      </c>
      <c r="N191" s="641"/>
      <c r="O191" s="641"/>
      <c r="P191" s="641"/>
      <c r="Q191" s="641"/>
      <c r="T191" s="3056">
        <v>8021</v>
      </c>
      <c r="U191" s="3063">
        <v>520228.91</v>
      </c>
    </row>
    <row r="192" spans="1:21" ht="18">
      <c r="A192" s="1648" t="str">
        <f t="shared" si="26"/>
        <v>＝</v>
      </c>
      <c r="B192" s="1647">
        <f t="shared" si="27"/>
        <v>0</v>
      </c>
      <c r="C192" s="1647">
        <f t="shared" si="28"/>
        <v>0</v>
      </c>
      <c r="D192" s="2186">
        <v>6839</v>
      </c>
      <c r="E192" s="2187" t="str">
        <f t="shared" si="29"/>
        <v>综合收益总额</v>
      </c>
      <c r="F192" s="884">
        <f t="shared" ref="F192:M192" si="58">SUM(F163,F170)</f>
        <v>80463.97</v>
      </c>
      <c r="G192" s="885">
        <f t="shared" si="58"/>
        <v>4669997.28</v>
      </c>
      <c r="H192" s="885">
        <f t="shared" si="58"/>
        <v>1239624.98</v>
      </c>
      <c r="I192" s="913">
        <f t="shared" si="58"/>
        <v>-3349908.33</v>
      </c>
      <c r="J192" s="914">
        <f t="shared" si="58"/>
        <v>520228.91</v>
      </c>
      <c r="K192" s="885">
        <f t="shared" si="58"/>
        <v>0</v>
      </c>
      <c r="L192" s="885">
        <f t="shared" si="58"/>
        <v>0</v>
      </c>
      <c r="M192" s="891">
        <f t="shared" si="58"/>
        <v>520228.91</v>
      </c>
      <c r="N192" s="641"/>
      <c r="O192" s="641"/>
      <c r="P192" s="641"/>
      <c r="Q192" s="641"/>
      <c r="T192" s="3056">
        <v>8030</v>
      </c>
      <c r="U192" s="3063">
        <v>0</v>
      </c>
    </row>
    <row r="193" spans="1:21" ht="18">
      <c r="A193" s="1648" t="str">
        <f t="shared" si="26"/>
        <v>※</v>
      </c>
      <c r="B193" s="1647">
        <f t="shared" si="27"/>
        <v>-1</v>
      </c>
      <c r="C193" s="1647">
        <f t="shared" si="28"/>
        <v>0</v>
      </c>
      <c r="D193" s="1659">
        <v>6841</v>
      </c>
      <c r="E193" s="888" t="str">
        <f t="shared" si="29"/>
        <v>归属于母公司所有者的综合收益总额</v>
      </c>
      <c r="F193" s="884">
        <f t="shared" ref="F193:M193" si="59">SUM(F169,F171)</f>
        <v>80463.97</v>
      </c>
      <c r="G193" s="885">
        <f t="shared" si="59"/>
        <v>4669997.28</v>
      </c>
      <c r="H193" s="885">
        <f t="shared" si="59"/>
        <v>1239624.98</v>
      </c>
      <c r="I193" s="913">
        <f t="shared" si="59"/>
        <v>-3349908.33</v>
      </c>
      <c r="J193" s="914">
        <f t="shared" si="59"/>
        <v>520228.91</v>
      </c>
      <c r="K193" s="885">
        <f t="shared" si="59"/>
        <v>0</v>
      </c>
      <c r="L193" s="885">
        <f t="shared" si="59"/>
        <v>0</v>
      </c>
      <c r="M193" s="891">
        <f t="shared" si="59"/>
        <v>520228.91</v>
      </c>
      <c r="N193" s="641"/>
      <c r="O193" s="641"/>
      <c r="P193" s="641"/>
      <c r="Q193" s="641"/>
      <c r="T193" s="3056">
        <v>8040</v>
      </c>
      <c r="U193" s="3063">
        <v>520228.91</v>
      </c>
    </row>
    <row r="194" spans="1:21" ht="18">
      <c r="A194" s="1648" t="str">
        <f t="shared" si="26"/>
        <v>※</v>
      </c>
      <c r="B194" s="1647">
        <f t="shared" si="27"/>
        <v>1</v>
      </c>
      <c r="C194" s="1647">
        <f t="shared" si="28"/>
        <v>0</v>
      </c>
      <c r="D194" s="1659">
        <v>6842</v>
      </c>
      <c r="E194" s="888" t="str">
        <f t="shared" si="29"/>
        <v>归属于少数股东的综合收益总额</v>
      </c>
      <c r="F194" s="884">
        <f t="shared" ref="F194:M194" si="60">SUM(F168,F191)</f>
        <v>0</v>
      </c>
      <c r="G194" s="885">
        <f t="shared" si="60"/>
        <v>0</v>
      </c>
      <c r="H194" s="885">
        <f t="shared" si="60"/>
        <v>0</v>
      </c>
      <c r="I194" s="913">
        <f t="shared" si="60"/>
        <v>0</v>
      </c>
      <c r="J194" s="914">
        <f t="shared" si="60"/>
        <v>0</v>
      </c>
      <c r="K194" s="885">
        <f t="shared" si="60"/>
        <v>0</v>
      </c>
      <c r="L194" s="885">
        <f t="shared" si="60"/>
        <v>0</v>
      </c>
      <c r="M194" s="891">
        <f t="shared" si="60"/>
        <v>0</v>
      </c>
      <c r="N194" s="641"/>
      <c r="O194" s="641"/>
      <c r="P194" s="641"/>
      <c r="Q194" s="641"/>
      <c r="T194" s="3056">
        <v>8050</v>
      </c>
      <c r="U194" s="3063">
        <v>0</v>
      </c>
    </row>
    <row r="195" spans="1:21" ht="18">
      <c r="A195" s="1648" t="str">
        <f t="shared" si="26"/>
        <v>：</v>
      </c>
      <c r="B195" s="1647">
        <f t="shared" si="27"/>
        <v>0</v>
      </c>
      <c r="C195" s="1647">
        <f t="shared" si="28"/>
        <v>0</v>
      </c>
      <c r="D195" s="1659">
        <v>6820</v>
      </c>
      <c r="E195" s="888" t="str">
        <f t="shared" si="29"/>
        <v>每股收益</v>
      </c>
      <c r="F195" s="917"/>
      <c r="G195" s="918"/>
      <c r="H195" s="918"/>
      <c r="I195" s="921"/>
      <c r="J195" s="922"/>
      <c r="K195" s="918"/>
      <c r="L195" s="918"/>
      <c r="M195" s="923"/>
      <c r="N195" s="641"/>
      <c r="O195" s="641"/>
      <c r="P195" s="641"/>
      <c r="Q195" s="641"/>
      <c r="T195" s="3056">
        <v>8051</v>
      </c>
      <c r="U195" s="3063">
        <v>0</v>
      </c>
    </row>
    <row r="196" spans="1:21" ht="18">
      <c r="A196" s="1648">
        <f t="shared" si="26"/>
        <v>0</v>
      </c>
      <c r="B196" s="1647">
        <f t="shared" si="27"/>
        <v>0</v>
      </c>
      <c r="C196" s="1647">
        <f t="shared" si="28"/>
        <v>0</v>
      </c>
      <c r="D196" s="1659">
        <v>6821</v>
      </c>
      <c r="E196" s="888" t="str">
        <f t="shared" si="29"/>
        <v>基本每股收益</v>
      </c>
      <c r="F196" s="917"/>
      <c r="G196" s="918"/>
      <c r="H196" s="918"/>
      <c r="I196" s="921"/>
      <c r="J196" s="922"/>
      <c r="K196" s="918"/>
      <c r="L196" s="918"/>
      <c r="M196" s="923"/>
      <c r="N196" s="641"/>
      <c r="O196" s="641"/>
      <c r="P196" s="641"/>
      <c r="Q196" s="641"/>
      <c r="T196" s="3056">
        <v>8053</v>
      </c>
      <c r="U196" s="3063">
        <v>0</v>
      </c>
    </row>
    <row r="197" spans="1:21" ht="18">
      <c r="A197" s="1648">
        <f t="shared" si="26"/>
        <v>0</v>
      </c>
      <c r="B197" s="1647">
        <f t="shared" si="27"/>
        <v>0</v>
      </c>
      <c r="C197" s="1647">
        <f t="shared" si="28"/>
        <v>0</v>
      </c>
      <c r="D197" s="1659">
        <v>6822</v>
      </c>
      <c r="E197" s="888" t="str">
        <f t="shared" si="29"/>
        <v>稀释每股收益</v>
      </c>
      <c r="F197" s="917"/>
      <c r="G197" s="918"/>
      <c r="H197" s="918"/>
      <c r="I197" s="921"/>
      <c r="J197" s="922"/>
      <c r="K197" s="918"/>
      <c r="L197" s="918"/>
      <c r="M197" s="923"/>
      <c r="N197" s="641"/>
      <c r="O197" s="641"/>
      <c r="P197" s="641"/>
      <c r="Q197" s="641"/>
      <c r="T197" s="3056">
        <v>8052</v>
      </c>
      <c r="U197" s="3063">
        <v>0</v>
      </c>
    </row>
    <row r="198" spans="1:21" ht="18">
      <c r="A198" s="1648" t="str">
        <f>VLOOKUP($D198,Sheet_Items,4,0)</f>
        <v>DEL</v>
      </c>
      <c r="B198" s="1647">
        <f>VLOOKUP($D198,Sheet_Items,3,0)</f>
        <v>-1</v>
      </c>
      <c r="C198" s="1647">
        <f>VLOOKUP($D198,Sheet_Items,9,0)</f>
        <v>0</v>
      </c>
      <c r="D198" s="1659">
        <v>6710.11</v>
      </c>
      <c r="E198" s="888" t="str">
        <f>VLOOKUP($D198,Sheet_Items,2,0)</f>
        <v>营业外收入_非流动资产处置利得</v>
      </c>
      <c r="F198" s="917"/>
      <c r="G198" s="918"/>
      <c r="H198" s="918"/>
      <c r="I198" s="921"/>
      <c r="J198" s="922"/>
      <c r="K198" s="918"/>
      <c r="L198" s="918"/>
      <c r="M198" s="923"/>
      <c r="N198" s="641"/>
      <c r="O198" s="641"/>
      <c r="P198" s="641"/>
      <c r="Q198" s="641"/>
      <c r="T198" s="3056">
        <v>8056</v>
      </c>
      <c r="U198" s="3063">
        <v>0</v>
      </c>
    </row>
    <row r="199" spans="1:21" ht="18">
      <c r="A199" s="1648" t="str">
        <f>VLOOKUP($D199,Sheet_Items,4,0)</f>
        <v>DEL</v>
      </c>
      <c r="B199" s="1647">
        <f>VLOOKUP($D199,Sheet_Items,3,0)</f>
        <v>1</v>
      </c>
      <c r="C199" s="1647">
        <f>VLOOKUP($D199,Sheet_Items,9,0)</f>
        <v>0</v>
      </c>
      <c r="D199" s="1659">
        <v>6711.01</v>
      </c>
      <c r="E199" s="888" t="str">
        <f>VLOOKUP($D199,Sheet_Items,2,0)</f>
        <v>非流动资产处置损失</v>
      </c>
      <c r="F199" s="917"/>
      <c r="G199" s="918"/>
      <c r="H199" s="918"/>
      <c r="I199" s="921"/>
      <c r="J199" s="922"/>
      <c r="K199" s="918"/>
      <c r="L199" s="918"/>
      <c r="M199" s="923"/>
      <c r="N199" s="641"/>
      <c r="O199" s="641"/>
      <c r="P199" s="641"/>
      <c r="Q199" s="641"/>
      <c r="T199" s="3056">
        <v>8060</v>
      </c>
      <c r="U199" s="3063">
        <v>0</v>
      </c>
    </row>
    <row r="200" spans="1:21" ht="24">
      <c r="A200" s="1648" t="str">
        <f>VLOOKUP($D200,Sheet_Items,4,0)</f>
        <v>※DEL</v>
      </c>
      <c r="B200" s="1647">
        <f>VLOOKUP($D200,Sheet_Items,3,0)</f>
        <v>1</v>
      </c>
      <c r="C200" s="1647">
        <f>VLOOKUP($D200,Sheet_Items,9,0)</f>
        <v>0</v>
      </c>
      <c r="D200" s="1659">
        <v>6805</v>
      </c>
      <c r="E200" s="888" t="str">
        <f>VLOOKUP($D200,Sheet_Items,2,0)</f>
        <v>同一控制下企业合并的被合并方在合并前实现的净利润</v>
      </c>
      <c r="F200" s="917"/>
      <c r="G200" s="918"/>
      <c r="H200" s="918"/>
      <c r="I200" s="921"/>
      <c r="J200" s="922"/>
      <c r="K200" s="918"/>
      <c r="L200" s="918"/>
      <c r="M200" s="923"/>
      <c r="N200" s="641"/>
      <c r="O200" s="641"/>
      <c r="P200" s="641"/>
      <c r="Q200" s="641"/>
      <c r="T200" s="3056">
        <v>8061</v>
      </c>
      <c r="U200" s="3063">
        <v>0</v>
      </c>
    </row>
    <row r="201" spans="1:21" ht="18">
      <c r="A201" s="1648" t="str">
        <f t="shared" si="26"/>
        <v>：</v>
      </c>
      <c r="B201" s="1647">
        <f t="shared" si="27"/>
        <v>0</v>
      </c>
      <c r="C201" s="1647">
        <f t="shared" ref="C201:C233" si="61">VLOOKUP($D201,Sheet_Items,9,0)</f>
        <v>0</v>
      </c>
      <c r="D201" s="1659">
        <v>8</v>
      </c>
      <c r="E201" s="920" t="str">
        <f t="shared" si="29"/>
        <v>所有者权益变动表</v>
      </c>
      <c r="F201" s="884"/>
      <c r="G201" s="885"/>
      <c r="H201" s="885"/>
      <c r="I201" s="913"/>
      <c r="J201" s="914"/>
      <c r="K201" s="885"/>
      <c r="L201" s="885"/>
      <c r="M201" s="891"/>
      <c r="N201" s="641"/>
      <c r="O201" s="641"/>
      <c r="P201" s="641"/>
      <c r="Q201" s="641"/>
      <c r="T201" s="3056">
        <v>8062</v>
      </c>
      <c r="U201" s="3063">
        <v>0</v>
      </c>
    </row>
    <row r="202" spans="1:21" ht="18">
      <c r="A202" s="1648" t="str">
        <f t="shared" si="26"/>
        <v>：</v>
      </c>
      <c r="B202" s="1647">
        <f t="shared" si="27"/>
        <v>0</v>
      </c>
      <c r="C202" s="1647">
        <f t="shared" si="61"/>
        <v>0</v>
      </c>
      <c r="D202" s="2186">
        <v>8000</v>
      </c>
      <c r="E202" s="2187" t="str">
        <f t="shared" ref="E202:E392" si="62">VLOOKUP($D202,Sheet_Items,2,0)</f>
        <v>所有者权益增减变动</v>
      </c>
      <c r="F202" s="884"/>
      <c r="G202" s="885"/>
      <c r="H202" s="885"/>
      <c r="I202" s="913"/>
      <c r="J202" s="914"/>
      <c r="K202" s="885"/>
      <c r="L202" s="885"/>
      <c r="M202" s="891"/>
      <c r="N202" s="641"/>
      <c r="O202" s="641"/>
      <c r="P202" s="641"/>
      <c r="Q202" s="641"/>
      <c r="T202" s="3056">
        <v>8063</v>
      </c>
      <c r="U202" s="3063">
        <v>0</v>
      </c>
    </row>
    <row r="203" spans="1:21" ht="18">
      <c r="A203" s="1648" t="str">
        <f t="shared" ref="A203:A268" si="63">VLOOKUP($D203,Sheet_Items,4,0)</f>
        <v>＝</v>
      </c>
      <c r="B203" s="1647">
        <f t="shared" ref="B203:B268" si="64">VLOOKUP($D203,Sheet_Items,3,0)</f>
        <v>-1</v>
      </c>
      <c r="C203" s="1647">
        <f t="shared" si="61"/>
        <v>0</v>
      </c>
      <c r="D203" s="1659">
        <v>8001</v>
      </c>
      <c r="E203" s="888" t="str">
        <f t="shared" si="62"/>
        <v>所有者权益_上年年末余额</v>
      </c>
      <c r="F203" s="884">
        <f t="shared" ref="F203:F209" si="65">SUM(F236,F362,-F395,F459,F492,F525,F558,F591,F624,F269,F300,F331,F428)</f>
        <v>44768482.109999999</v>
      </c>
      <c r="G203" s="885">
        <f t="shared" ref="G203:H209" si="66">SUM(G236,G362,G395,G459,G492,G525,G558,G591,G624,G269,G300,G331,G428)</f>
        <v>0</v>
      </c>
      <c r="H203" s="885">
        <f t="shared" si="66"/>
        <v>0</v>
      </c>
      <c r="I203" s="913">
        <f t="shared" ref="I203:J209" si="67">SUM(I236,I362,-I395,I459,I492,I525,I558,I591,I624,I269,I300,I331,I428)</f>
        <v>44768482.109999999</v>
      </c>
      <c r="J203" s="914">
        <f t="shared" ca="1" si="67"/>
        <v>44248253.200000003</v>
      </c>
      <c r="K203" s="885">
        <f t="shared" ref="K203:L209" si="68">SUM(K236,K362,K395,K459,K492,K525,K558,K591,K624,K269,K300,K331,K428)</f>
        <v>0</v>
      </c>
      <c r="L203" s="885">
        <f t="shared" si="68"/>
        <v>0</v>
      </c>
      <c r="M203" s="891">
        <f t="shared" ref="M203:M209" ca="1" si="69">SUM(M236,M362,-M395,M459,M492,M525,M558,M591,M624,M269,M300,M331,M428)</f>
        <v>44248253.200000003</v>
      </c>
      <c r="N203" s="641"/>
      <c r="O203" s="641"/>
      <c r="P203" s="641"/>
      <c r="Q203" s="641"/>
      <c r="T203" s="3056">
        <v>8066</v>
      </c>
      <c r="U203" s="3063">
        <v>0</v>
      </c>
    </row>
    <row r="204" spans="1:21" ht="24">
      <c r="A204" s="1648" t="str">
        <f t="shared" si="63"/>
        <v>＝</v>
      </c>
      <c r="B204" s="1647">
        <f t="shared" si="64"/>
        <v>-1</v>
      </c>
      <c r="C204" s="1647">
        <f t="shared" si="61"/>
        <v>0</v>
      </c>
      <c r="D204" s="1659">
        <v>8002</v>
      </c>
      <c r="E204" s="888" t="str">
        <f t="shared" si="62"/>
        <v>所有者权益_会计政策变更调整上年年末余额</v>
      </c>
      <c r="F204" s="884">
        <f t="shared" si="65"/>
        <v>0</v>
      </c>
      <c r="G204" s="885">
        <f t="shared" si="66"/>
        <v>257562.14</v>
      </c>
      <c r="H204" s="885">
        <f t="shared" si="66"/>
        <v>0</v>
      </c>
      <c r="I204" s="913">
        <f t="shared" si="67"/>
        <v>-257562.14</v>
      </c>
      <c r="J204" s="914">
        <f t="shared" ca="1" si="67"/>
        <v>0</v>
      </c>
      <c r="K204" s="885">
        <f t="shared" si="68"/>
        <v>0</v>
      </c>
      <c r="L204" s="885">
        <f t="shared" si="68"/>
        <v>0</v>
      </c>
      <c r="M204" s="891">
        <f t="shared" ca="1" si="69"/>
        <v>0</v>
      </c>
      <c r="N204" s="641"/>
      <c r="O204" s="641"/>
      <c r="P204" s="641"/>
      <c r="Q204" s="641"/>
      <c r="T204" s="3056">
        <v>8070</v>
      </c>
      <c r="U204" s="3063">
        <v>0</v>
      </c>
    </row>
    <row r="205" spans="1:21" ht="24">
      <c r="A205" s="1648" t="str">
        <f t="shared" si="63"/>
        <v>＝</v>
      </c>
      <c r="B205" s="1647">
        <f t="shared" si="64"/>
        <v>-1</v>
      </c>
      <c r="C205" s="1647">
        <f t="shared" si="61"/>
        <v>0</v>
      </c>
      <c r="D205" s="1659">
        <v>8003</v>
      </c>
      <c r="E205" s="888" t="str">
        <f t="shared" si="62"/>
        <v>所有者权益_前期差错更正调整上年年末余额</v>
      </c>
      <c r="F205" s="884">
        <f t="shared" si="65"/>
        <v>0</v>
      </c>
      <c r="G205" s="885">
        <f t="shared" si="66"/>
        <v>0</v>
      </c>
      <c r="H205" s="885">
        <f t="shared" si="66"/>
        <v>0</v>
      </c>
      <c r="I205" s="913">
        <f t="shared" si="67"/>
        <v>0</v>
      </c>
      <c r="J205" s="914">
        <f t="shared" ca="1" si="67"/>
        <v>0</v>
      </c>
      <c r="K205" s="885">
        <f t="shared" si="68"/>
        <v>0</v>
      </c>
      <c r="L205" s="885">
        <f t="shared" si="68"/>
        <v>0</v>
      </c>
      <c r="M205" s="891">
        <f t="shared" ca="1" si="69"/>
        <v>0</v>
      </c>
      <c r="N205" s="641"/>
      <c r="O205" s="641"/>
      <c r="P205" s="641"/>
      <c r="Q205" s="641"/>
      <c r="T205" s="3056">
        <v>8071</v>
      </c>
      <c r="U205" s="3063">
        <v>0</v>
      </c>
    </row>
    <row r="206" spans="1:21" ht="24">
      <c r="A206" s="1648" t="str">
        <f t="shared" si="63"/>
        <v>※＝</v>
      </c>
      <c r="B206" s="1647">
        <f t="shared" si="64"/>
        <v>-1</v>
      </c>
      <c r="C206" s="1647">
        <f t="shared" si="61"/>
        <v>0</v>
      </c>
      <c r="D206" s="1659">
        <v>8004</v>
      </c>
      <c r="E206" s="888" t="str">
        <f t="shared" si="62"/>
        <v>所有者权益_同一控制下企业合并调整上年年末余额</v>
      </c>
      <c r="F206" s="884">
        <f t="shared" si="65"/>
        <v>0</v>
      </c>
      <c r="G206" s="885">
        <f t="shared" si="66"/>
        <v>0</v>
      </c>
      <c r="H206" s="885">
        <f t="shared" si="66"/>
        <v>0</v>
      </c>
      <c r="I206" s="913">
        <f t="shared" si="67"/>
        <v>0</v>
      </c>
      <c r="J206" s="914">
        <f t="shared" ca="1" si="67"/>
        <v>0</v>
      </c>
      <c r="K206" s="885">
        <f t="shared" si="68"/>
        <v>0</v>
      </c>
      <c r="L206" s="885">
        <f t="shared" si="68"/>
        <v>0</v>
      </c>
      <c r="M206" s="891">
        <f t="shared" ca="1" si="69"/>
        <v>0</v>
      </c>
      <c r="N206" s="641"/>
      <c r="O206" s="641"/>
      <c r="P206" s="641"/>
      <c r="Q206" s="641"/>
      <c r="T206" s="3056">
        <v>8072</v>
      </c>
      <c r="U206" s="3063">
        <v>0</v>
      </c>
    </row>
    <row r="207" spans="1:21" ht="24">
      <c r="A207" s="1648" t="str">
        <f t="shared" si="63"/>
        <v>＝</v>
      </c>
      <c r="B207" s="1647">
        <f t="shared" si="64"/>
        <v>-1</v>
      </c>
      <c r="C207" s="1647">
        <f t="shared" si="61"/>
        <v>0</v>
      </c>
      <c r="D207" s="1659">
        <v>8009</v>
      </c>
      <c r="E207" s="888" t="str">
        <f t="shared" si="62"/>
        <v>所有者权益_其他原因调整上年年末余额</v>
      </c>
      <c r="F207" s="884">
        <f t="shared" si="65"/>
        <v>0</v>
      </c>
      <c r="G207" s="885">
        <f t="shared" si="66"/>
        <v>0</v>
      </c>
      <c r="H207" s="885">
        <f t="shared" si="66"/>
        <v>0</v>
      </c>
      <c r="I207" s="913">
        <f t="shared" si="67"/>
        <v>0</v>
      </c>
      <c r="J207" s="914">
        <f t="shared" ca="1" si="67"/>
        <v>0</v>
      </c>
      <c r="K207" s="885">
        <f t="shared" si="68"/>
        <v>0</v>
      </c>
      <c r="L207" s="885">
        <f t="shared" si="68"/>
        <v>0</v>
      </c>
      <c r="M207" s="891">
        <f t="shared" ca="1" si="69"/>
        <v>0</v>
      </c>
      <c r="N207" s="641"/>
      <c r="O207" s="641"/>
      <c r="P207" s="641"/>
      <c r="Q207" s="641"/>
      <c r="T207" s="3056">
        <v>8073</v>
      </c>
      <c r="U207" s="3063">
        <v>0</v>
      </c>
    </row>
    <row r="208" spans="1:21" ht="18">
      <c r="A208" s="1648" t="str">
        <f t="shared" si="63"/>
        <v>＝</v>
      </c>
      <c r="B208" s="1647">
        <f t="shared" si="64"/>
        <v>0</v>
      </c>
      <c r="C208" s="1647">
        <f t="shared" si="61"/>
        <v>0</v>
      </c>
      <c r="D208" s="1659">
        <v>8010</v>
      </c>
      <c r="E208" s="888" t="str">
        <f t="shared" si="62"/>
        <v>所有者权益_本年年初余额</v>
      </c>
      <c r="F208" s="884">
        <f t="shared" si="65"/>
        <v>44768482.109999999</v>
      </c>
      <c r="G208" s="885">
        <f t="shared" si="66"/>
        <v>257562.14</v>
      </c>
      <c r="H208" s="885">
        <f t="shared" si="66"/>
        <v>0</v>
      </c>
      <c r="I208" s="913">
        <f t="shared" si="67"/>
        <v>44510919.969999999</v>
      </c>
      <c r="J208" s="914">
        <f t="shared" ca="1" si="67"/>
        <v>44248253.200000003</v>
      </c>
      <c r="K208" s="885">
        <f t="shared" si="68"/>
        <v>0</v>
      </c>
      <c r="L208" s="885">
        <f t="shared" si="68"/>
        <v>0</v>
      </c>
      <c r="M208" s="891">
        <f t="shared" ca="1" si="69"/>
        <v>44248253.200000003</v>
      </c>
      <c r="N208" s="641"/>
      <c r="O208" s="641"/>
      <c r="P208" s="641"/>
      <c r="Q208" s="641"/>
      <c r="T208" s="3056">
        <v>8075</v>
      </c>
      <c r="U208" s="3063">
        <v>0</v>
      </c>
    </row>
    <row r="209" spans="1:21" ht="18">
      <c r="A209" s="1648" t="str">
        <f t="shared" si="63"/>
        <v>＝</v>
      </c>
      <c r="B209" s="1647">
        <f t="shared" si="64"/>
        <v>0</v>
      </c>
      <c r="C209" s="1647">
        <f t="shared" si="61"/>
        <v>0</v>
      </c>
      <c r="D209" s="1659">
        <v>8090</v>
      </c>
      <c r="E209" s="888" t="str">
        <f t="shared" si="62"/>
        <v>所有者权益_本期增减变动金额</v>
      </c>
      <c r="F209" s="884">
        <f t="shared" si="65"/>
        <v>80463.97</v>
      </c>
      <c r="G209" s="885">
        <f t="shared" si="66"/>
        <v>4669997.28</v>
      </c>
      <c r="H209" s="885">
        <f t="shared" si="66"/>
        <v>1239624.98</v>
      </c>
      <c r="I209" s="913">
        <f t="shared" si="67"/>
        <v>-3349908.33</v>
      </c>
      <c r="J209" s="914">
        <f t="shared" ca="1" si="67"/>
        <v>520228.91</v>
      </c>
      <c r="K209" s="885">
        <f t="shared" si="68"/>
        <v>0</v>
      </c>
      <c r="L209" s="885">
        <f t="shared" si="68"/>
        <v>0</v>
      </c>
      <c r="M209" s="891">
        <f t="shared" ca="1" si="69"/>
        <v>520228.91</v>
      </c>
      <c r="N209" s="641"/>
      <c r="O209" s="641"/>
      <c r="P209" s="641"/>
      <c r="Q209" s="641"/>
      <c r="T209" s="3056">
        <v>8076</v>
      </c>
      <c r="U209" s="3063">
        <v>0</v>
      </c>
    </row>
    <row r="210" spans="1:21" ht="18">
      <c r="A210" s="1648" t="str">
        <f t="shared" si="63"/>
        <v>DEL</v>
      </c>
      <c r="B210" s="1647">
        <f t="shared" si="64"/>
        <v>-1</v>
      </c>
      <c r="C210" s="1647">
        <f t="shared" si="61"/>
        <v>0</v>
      </c>
      <c r="D210" s="1659">
        <v>8021</v>
      </c>
      <c r="E210" s="888" t="str">
        <f t="shared" si="62"/>
        <v>所有者权益_净利润增加权益</v>
      </c>
      <c r="F210" s="884">
        <f>SUM(F243,F369,-F402,F466,F499,F532,F565,F598,F631)</f>
        <v>80463.97</v>
      </c>
      <c r="G210" s="885">
        <f>SUM(G243,G369,G402,G466,G499,G532,G565,G598,G631)</f>
        <v>4669997.28</v>
      </c>
      <c r="H210" s="885">
        <f>SUM(H243,H369,H402,H466,H499,H532,H565,H598,H631)</f>
        <v>1239624.98</v>
      </c>
      <c r="I210" s="913">
        <f>SUM(I243,I369,-I402,I466,I499,I532,I565,I598,I631)</f>
        <v>-3349908.33</v>
      </c>
      <c r="J210" s="914">
        <f>SUM(J243,J369,-J402,J466,J499,J532,J565,J598,J631)</f>
        <v>520228.91</v>
      </c>
      <c r="K210" s="885">
        <f>SUM(K243,K369,K402,K466,K499,K532,K565,K598,K631)</f>
        <v>0</v>
      </c>
      <c r="L210" s="885">
        <f>SUM(L243,L369,L402,L466,L499,L532,L565,L598,L631)</f>
        <v>0</v>
      </c>
      <c r="M210" s="891">
        <f>SUM(M243,M369,-M402,M466,M499,M532,M565,M598,M631)</f>
        <v>520228.91</v>
      </c>
      <c r="N210" s="641"/>
      <c r="O210" s="641"/>
      <c r="P210" s="641"/>
      <c r="Q210" s="641"/>
      <c r="T210" s="3056">
        <v>8080</v>
      </c>
      <c r="U210" s="3063">
        <v>0</v>
      </c>
    </row>
    <row r="211" spans="1:21" ht="18">
      <c r="A211" s="1648" t="str">
        <f t="shared" si="63"/>
        <v>DEL</v>
      </c>
      <c r="B211" s="1647">
        <f t="shared" si="64"/>
        <v>-1</v>
      </c>
      <c r="C211" s="1647">
        <f t="shared" si="61"/>
        <v>0</v>
      </c>
      <c r="D211" s="1659">
        <v>8030</v>
      </c>
      <c r="E211" s="888" t="str">
        <f t="shared" si="62"/>
        <v>所有者权益_其他综合收益增加权益</v>
      </c>
      <c r="F211" s="884">
        <f>SUM(F244,F370,-F403,F467,F500,F533,F566,F599,F632)</f>
        <v>0</v>
      </c>
      <c r="G211" s="885">
        <f>SUM(G244,G370,G403,G467,G500,G533,G566,G599,G632)</f>
        <v>0</v>
      </c>
      <c r="H211" s="885">
        <f>SUM(H244,H370,H403,H467,H500,H533,H566,H599,H632)</f>
        <v>0</v>
      </c>
      <c r="I211" s="913">
        <f>SUM(I244,I370,-I403,I467,I500,I533,I566,I599,I632)</f>
        <v>0</v>
      </c>
      <c r="J211" s="914">
        <f>SUM(J244,J370,-J403,J467,J500,J533,J566,J599,J632)</f>
        <v>0</v>
      </c>
      <c r="K211" s="885">
        <f>SUM(K244,K370,K403,K467,K500,K533,K566,K599,K632)</f>
        <v>0</v>
      </c>
      <c r="L211" s="885">
        <f>SUM(L244,L370,L403,L467,L500,L533,L566,L599,L632)</f>
        <v>0</v>
      </c>
      <c r="M211" s="891">
        <f>SUM(M244,M370,-M403,M467,M500,M533,M566,M599,M632)</f>
        <v>0</v>
      </c>
      <c r="N211" s="641"/>
      <c r="O211" s="641"/>
      <c r="P211" s="641"/>
      <c r="Q211" s="641"/>
      <c r="T211" s="3056">
        <v>8081</v>
      </c>
      <c r="U211" s="3063">
        <v>0</v>
      </c>
    </row>
    <row r="212" spans="1:21" ht="18">
      <c r="A212" s="1648" t="str">
        <f t="shared" si="63"/>
        <v>＝</v>
      </c>
      <c r="B212" s="1647">
        <f t="shared" si="64"/>
        <v>0</v>
      </c>
      <c r="C212" s="1647">
        <f t="shared" si="61"/>
        <v>0</v>
      </c>
      <c r="D212" s="1659">
        <v>8040</v>
      </c>
      <c r="E212" s="888" t="str">
        <f t="shared" si="62"/>
        <v>所有者权益_综合收益总额增加权益</v>
      </c>
      <c r="F212" s="884">
        <f t="shared" ref="F212:F234" si="70">SUM(F245,F371,-F404,F468,F501,F534,F567,F600,F633,F276,F307,F338,F435)</f>
        <v>80463.97</v>
      </c>
      <c r="G212" s="885">
        <f t="shared" ref="G212:H234" si="71">SUM(G245,G371,G404,G468,G501,G534,G567,G600,G633,G276,G307,G338,G435)</f>
        <v>4669997.28</v>
      </c>
      <c r="H212" s="885">
        <f t="shared" si="71"/>
        <v>1239624.98</v>
      </c>
      <c r="I212" s="913">
        <f t="shared" ref="I212:J234" si="72">SUM(I245,I371,-I404,I468,I501,I534,I567,I600,I633,I276,I307,I338,I435)</f>
        <v>-3349908.33</v>
      </c>
      <c r="J212" s="914">
        <f t="shared" ca="1" si="72"/>
        <v>520228.91</v>
      </c>
      <c r="K212" s="885">
        <f t="shared" ref="K212:L234" si="73">SUM(K245,K371,K404,K468,K501,K534,K567,K600,K633,K276,K307,K338,K435)</f>
        <v>0</v>
      </c>
      <c r="L212" s="885">
        <f t="shared" si="73"/>
        <v>0</v>
      </c>
      <c r="M212" s="891">
        <f t="shared" ref="M212:M234" ca="1" si="74">SUM(M245,M371,-M404,M468,M501,M534,M567,M600,M633,M276,M307,M338,M435)</f>
        <v>520228.91</v>
      </c>
      <c r="N212" s="641"/>
      <c r="O212" s="641"/>
      <c r="P212" s="641"/>
      <c r="Q212" s="641"/>
      <c r="T212" s="3056">
        <v>8082</v>
      </c>
      <c r="U212" s="3063">
        <v>0</v>
      </c>
    </row>
    <row r="213" spans="1:21" ht="24">
      <c r="A213" s="1648" t="str">
        <f t="shared" si="63"/>
        <v>＝</v>
      </c>
      <c r="B213" s="1647">
        <f t="shared" si="64"/>
        <v>0</v>
      </c>
      <c r="C213" s="1647">
        <f t="shared" si="61"/>
        <v>0</v>
      </c>
      <c r="D213" s="1659">
        <v>8050</v>
      </c>
      <c r="E213" s="888" t="str">
        <f t="shared" si="62"/>
        <v>所有者权益_所有者投入和减少资本影响权益</v>
      </c>
      <c r="F213" s="884">
        <f t="shared" si="70"/>
        <v>10464100</v>
      </c>
      <c r="G213" s="885">
        <f t="shared" si="71"/>
        <v>0</v>
      </c>
      <c r="H213" s="885">
        <f t="shared" si="71"/>
        <v>0</v>
      </c>
      <c r="I213" s="913">
        <f t="shared" si="72"/>
        <v>10464100</v>
      </c>
      <c r="J213" s="914">
        <f t="shared" ca="1" si="72"/>
        <v>0</v>
      </c>
      <c r="K213" s="885">
        <f t="shared" si="73"/>
        <v>0</v>
      </c>
      <c r="L213" s="885">
        <f t="shared" si="73"/>
        <v>0</v>
      </c>
      <c r="M213" s="891">
        <f t="shared" ca="1" si="74"/>
        <v>0</v>
      </c>
      <c r="N213" s="641"/>
      <c r="O213" s="641"/>
      <c r="P213" s="641"/>
      <c r="Q213" s="641"/>
      <c r="T213" s="3056">
        <v>8096</v>
      </c>
      <c r="U213" s="3063">
        <v>0</v>
      </c>
    </row>
    <row r="214" spans="1:21" ht="24">
      <c r="A214" s="1648" t="str">
        <f t="shared" si="63"/>
        <v>＝</v>
      </c>
      <c r="B214" s="1647">
        <f t="shared" si="64"/>
        <v>-1</v>
      </c>
      <c r="C214" s="1647">
        <f t="shared" si="61"/>
        <v>0</v>
      </c>
      <c r="D214" s="1659">
        <v>8051</v>
      </c>
      <c r="E214" s="888" t="str">
        <f t="shared" si="62"/>
        <v>所有者权益_所有者投入资本增加权益</v>
      </c>
      <c r="F214" s="884">
        <f t="shared" si="70"/>
        <v>10464100</v>
      </c>
      <c r="G214" s="885">
        <f t="shared" si="71"/>
        <v>0</v>
      </c>
      <c r="H214" s="885">
        <f t="shared" si="71"/>
        <v>0</v>
      </c>
      <c r="I214" s="913">
        <f t="shared" si="72"/>
        <v>10464100</v>
      </c>
      <c r="J214" s="914">
        <f t="shared" ca="1" si="72"/>
        <v>0</v>
      </c>
      <c r="K214" s="885">
        <f t="shared" si="73"/>
        <v>0</v>
      </c>
      <c r="L214" s="885">
        <f t="shared" si="73"/>
        <v>0</v>
      </c>
      <c r="M214" s="891">
        <f t="shared" ca="1" si="74"/>
        <v>0</v>
      </c>
      <c r="N214" s="641"/>
      <c r="O214" s="641"/>
      <c r="P214" s="641"/>
      <c r="Q214" s="641"/>
      <c r="T214" s="3056">
        <v>8099</v>
      </c>
      <c r="U214" s="3063">
        <v>44768482.109999999</v>
      </c>
    </row>
    <row r="215" spans="1:21" ht="24">
      <c r="A215" s="1648" t="str">
        <f t="shared" si="63"/>
        <v>OEI＝</v>
      </c>
      <c r="B215" s="1647">
        <f t="shared" si="64"/>
        <v>-1</v>
      </c>
      <c r="C215" s="1647">
        <f t="shared" si="61"/>
        <v>0</v>
      </c>
      <c r="D215" s="1659">
        <v>8053</v>
      </c>
      <c r="E215" s="888" t="str">
        <f t="shared" si="62"/>
        <v>所有者权益_其他权益工具持有者投入资本</v>
      </c>
      <c r="F215" s="884">
        <f t="shared" si="70"/>
        <v>0</v>
      </c>
      <c r="G215" s="885">
        <f t="shared" si="71"/>
        <v>0</v>
      </c>
      <c r="H215" s="885">
        <f t="shared" si="71"/>
        <v>0</v>
      </c>
      <c r="I215" s="913">
        <f t="shared" si="72"/>
        <v>0</v>
      </c>
      <c r="J215" s="914">
        <f t="shared" ca="1" si="72"/>
        <v>0</v>
      </c>
      <c r="K215" s="885">
        <f t="shared" si="73"/>
        <v>0</v>
      </c>
      <c r="L215" s="885">
        <f t="shared" si="73"/>
        <v>0</v>
      </c>
      <c r="M215" s="891">
        <f t="shared" ca="1" si="74"/>
        <v>0</v>
      </c>
      <c r="N215" s="641"/>
      <c r="O215" s="641"/>
      <c r="P215" s="641"/>
      <c r="Q215" s="641"/>
      <c r="T215" s="3056">
        <v>8100</v>
      </c>
      <c r="U215" s="3063"/>
    </row>
    <row r="216" spans="1:21" ht="24">
      <c r="A216" s="1648" t="str">
        <f t="shared" si="63"/>
        <v>＝</v>
      </c>
      <c r="B216" s="1647">
        <f t="shared" si="64"/>
        <v>-1</v>
      </c>
      <c r="C216" s="1647">
        <f t="shared" si="61"/>
        <v>0</v>
      </c>
      <c r="D216" s="1659">
        <v>8052</v>
      </c>
      <c r="E216" s="888" t="str">
        <f t="shared" si="62"/>
        <v>所有者权益_股份支付计入所有者权益的金额</v>
      </c>
      <c r="F216" s="884">
        <f t="shared" si="70"/>
        <v>0</v>
      </c>
      <c r="G216" s="885">
        <f t="shared" si="71"/>
        <v>0</v>
      </c>
      <c r="H216" s="885">
        <f t="shared" si="71"/>
        <v>0</v>
      </c>
      <c r="I216" s="913">
        <f t="shared" si="72"/>
        <v>0</v>
      </c>
      <c r="J216" s="914">
        <f t="shared" ca="1" si="72"/>
        <v>0</v>
      </c>
      <c r="K216" s="885">
        <f t="shared" si="73"/>
        <v>0</v>
      </c>
      <c r="L216" s="885">
        <f t="shared" si="73"/>
        <v>0</v>
      </c>
      <c r="M216" s="891">
        <f t="shared" ca="1" si="74"/>
        <v>0</v>
      </c>
      <c r="N216" s="641"/>
      <c r="O216" s="641"/>
      <c r="P216" s="641"/>
      <c r="Q216" s="641"/>
      <c r="T216" s="3056">
        <v>8101</v>
      </c>
      <c r="U216" s="3063">
        <v>30000000</v>
      </c>
    </row>
    <row r="217" spans="1:21" ht="24">
      <c r="A217" s="1648" t="str">
        <f t="shared" si="63"/>
        <v>＝</v>
      </c>
      <c r="B217" s="1647">
        <f t="shared" si="64"/>
        <v>-1</v>
      </c>
      <c r="C217" s="1647">
        <f t="shared" si="61"/>
        <v>0</v>
      </c>
      <c r="D217" s="1659">
        <v>8056</v>
      </c>
      <c r="E217" s="888" t="str">
        <f t="shared" si="62"/>
        <v>所有者权益_所有者其他投入和减少资本</v>
      </c>
      <c r="F217" s="884">
        <f t="shared" si="70"/>
        <v>0</v>
      </c>
      <c r="G217" s="885">
        <f t="shared" si="71"/>
        <v>0</v>
      </c>
      <c r="H217" s="885">
        <f t="shared" si="71"/>
        <v>0</v>
      </c>
      <c r="I217" s="913">
        <f t="shared" si="72"/>
        <v>0</v>
      </c>
      <c r="J217" s="914">
        <f t="shared" ca="1" si="72"/>
        <v>0</v>
      </c>
      <c r="K217" s="885">
        <f t="shared" si="73"/>
        <v>0</v>
      </c>
      <c r="L217" s="885">
        <f t="shared" si="73"/>
        <v>0</v>
      </c>
      <c r="M217" s="891">
        <f t="shared" ca="1" si="74"/>
        <v>0</v>
      </c>
      <c r="N217" s="641"/>
      <c r="O217" s="641"/>
      <c r="P217" s="641"/>
      <c r="Q217" s="641"/>
      <c r="T217" s="3056">
        <v>8102</v>
      </c>
      <c r="U217" s="3063">
        <v>0</v>
      </c>
    </row>
    <row r="218" spans="1:21" ht="18">
      <c r="A218" s="1648" t="str">
        <f t="shared" si="63"/>
        <v>＝</v>
      </c>
      <c r="B218" s="1647">
        <f t="shared" si="64"/>
        <v>0</v>
      </c>
      <c r="C218" s="1647">
        <f t="shared" si="61"/>
        <v>0</v>
      </c>
      <c r="D218" s="1659">
        <v>8060</v>
      </c>
      <c r="E218" s="888" t="str">
        <f t="shared" si="62"/>
        <v>所有者权益_利润分配影响权益</v>
      </c>
      <c r="F218" s="884">
        <f t="shared" si="70"/>
        <v>-10464100</v>
      </c>
      <c r="G218" s="885">
        <f t="shared" si="71"/>
        <v>0</v>
      </c>
      <c r="H218" s="885">
        <f t="shared" si="71"/>
        <v>0</v>
      </c>
      <c r="I218" s="913">
        <f t="shared" si="72"/>
        <v>-10464100</v>
      </c>
      <c r="J218" s="914">
        <f t="shared" ca="1" si="72"/>
        <v>0</v>
      </c>
      <c r="K218" s="885">
        <f t="shared" si="73"/>
        <v>0</v>
      </c>
      <c r="L218" s="885">
        <f t="shared" si="73"/>
        <v>0</v>
      </c>
      <c r="M218" s="891">
        <f t="shared" ca="1" si="74"/>
        <v>0</v>
      </c>
      <c r="N218" s="641"/>
      <c r="O218" s="641"/>
      <c r="P218" s="641"/>
      <c r="Q218" s="641"/>
      <c r="T218" s="3056">
        <v>8103</v>
      </c>
      <c r="U218" s="3063">
        <v>0</v>
      </c>
    </row>
    <row r="219" spans="1:21" ht="18">
      <c r="A219" s="1648" t="str">
        <f t="shared" si="63"/>
        <v>＝</v>
      </c>
      <c r="B219" s="1647">
        <f t="shared" si="64"/>
        <v>-1</v>
      </c>
      <c r="C219" s="1647">
        <f t="shared" si="61"/>
        <v>0</v>
      </c>
      <c r="D219" s="1659">
        <v>8061</v>
      </c>
      <c r="E219" s="888" t="str">
        <f t="shared" si="62"/>
        <v>所有者权益_提取盈余公积影响权益</v>
      </c>
      <c r="F219" s="884">
        <f t="shared" si="70"/>
        <v>0</v>
      </c>
      <c r="G219" s="885">
        <f t="shared" si="71"/>
        <v>0</v>
      </c>
      <c r="H219" s="885">
        <f t="shared" si="71"/>
        <v>0</v>
      </c>
      <c r="I219" s="913">
        <f t="shared" si="72"/>
        <v>0</v>
      </c>
      <c r="J219" s="914">
        <f t="shared" ca="1" si="72"/>
        <v>0</v>
      </c>
      <c r="K219" s="885">
        <f t="shared" si="73"/>
        <v>0</v>
      </c>
      <c r="L219" s="885">
        <f t="shared" si="73"/>
        <v>0</v>
      </c>
      <c r="M219" s="891">
        <f t="shared" ca="1" si="74"/>
        <v>0</v>
      </c>
      <c r="N219" s="641"/>
      <c r="O219" s="641"/>
      <c r="P219" s="641"/>
      <c r="Q219" s="641"/>
      <c r="T219" s="3056">
        <v>8104</v>
      </c>
      <c r="U219" s="3063">
        <v>0</v>
      </c>
    </row>
    <row r="220" spans="1:21" ht="24">
      <c r="A220" s="1648" t="str">
        <f t="shared" si="63"/>
        <v>＝</v>
      </c>
      <c r="B220" s="1647">
        <f t="shared" si="64"/>
        <v>-1</v>
      </c>
      <c r="C220" s="1647">
        <f t="shared" si="61"/>
        <v>0</v>
      </c>
      <c r="D220" s="1659">
        <v>8062</v>
      </c>
      <c r="E220" s="888" t="str">
        <f t="shared" si="62"/>
        <v>所有者权益_提取一般风险准备影响权益</v>
      </c>
      <c r="F220" s="884">
        <f t="shared" si="70"/>
        <v>0</v>
      </c>
      <c r="G220" s="885">
        <f t="shared" si="71"/>
        <v>0</v>
      </c>
      <c r="H220" s="885">
        <f t="shared" si="71"/>
        <v>0</v>
      </c>
      <c r="I220" s="913">
        <f t="shared" si="72"/>
        <v>0</v>
      </c>
      <c r="J220" s="914">
        <f t="shared" ca="1" si="72"/>
        <v>0</v>
      </c>
      <c r="K220" s="885">
        <f t="shared" si="73"/>
        <v>0</v>
      </c>
      <c r="L220" s="885">
        <f t="shared" si="73"/>
        <v>0</v>
      </c>
      <c r="M220" s="891">
        <f t="shared" ca="1" si="74"/>
        <v>0</v>
      </c>
      <c r="N220" s="641"/>
      <c r="O220" s="641"/>
      <c r="P220" s="641"/>
      <c r="Q220" s="641"/>
      <c r="T220" s="3056">
        <v>8109</v>
      </c>
      <c r="U220" s="3063">
        <v>0</v>
      </c>
    </row>
    <row r="221" spans="1:21" ht="24">
      <c r="A221" s="1648" t="str">
        <f t="shared" si="63"/>
        <v>＝</v>
      </c>
      <c r="B221" s="1647">
        <f t="shared" si="64"/>
        <v>-1</v>
      </c>
      <c r="C221" s="1647">
        <f t="shared" si="61"/>
        <v>0</v>
      </c>
      <c r="D221" s="1659">
        <v>8063</v>
      </c>
      <c r="E221" s="888" t="str">
        <f t="shared" si="62"/>
        <v>所有者权益_对所有者的分配影响权益</v>
      </c>
      <c r="F221" s="884">
        <f t="shared" si="70"/>
        <v>-10464100</v>
      </c>
      <c r="G221" s="885">
        <f t="shared" si="71"/>
        <v>0</v>
      </c>
      <c r="H221" s="885">
        <f t="shared" si="71"/>
        <v>0</v>
      </c>
      <c r="I221" s="913">
        <f t="shared" si="72"/>
        <v>-10464100</v>
      </c>
      <c r="J221" s="914">
        <f t="shared" ca="1" si="72"/>
        <v>0</v>
      </c>
      <c r="K221" s="885">
        <f t="shared" si="73"/>
        <v>0</v>
      </c>
      <c r="L221" s="885">
        <f t="shared" si="73"/>
        <v>0</v>
      </c>
      <c r="M221" s="891">
        <f t="shared" ca="1" si="74"/>
        <v>0</v>
      </c>
      <c r="N221" s="641"/>
      <c r="O221" s="641"/>
      <c r="P221" s="641"/>
      <c r="Q221" s="641"/>
      <c r="T221" s="3056">
        <v>8110</v>
      </c>
      <c r="U221" s="3063">
        <v>30000000</v>
      </c>
    </row>
    <row r="222" spans="1:21" ht="18">
      <c r="A222" s="1648" t="str">
        <f t="shared" si="63"/>
        <v>＝</v>
      </c>
      <c r="B222" s="1647">
        <f t="shared" si="64"/>
        <v>-1</v>
      </c>
      <c r="C222" s="1647">
        <f t="shared" si="61"/>
        <v>0</v>
      </c>
      <c r="D222" s="1659">
        <v>8066</v>
      </c>
      <c r="E222" s="888" t="str">
        <f t="shared" si="62"/>
        <v>所有者权益_其他利润分配影响权益</v>
      </c>
      <c r="F222" s="884">
        <f t="shared" si="70"/>
        <v>0</v>
      </c>
      <c r="G222" s="885">
        <f t="shared" si="71"/>
        <v>0</v>
      </c>
      <c r="H222" s="885">
        <f t="shared" si="71"/>
        <v>0</v>
      </c>
      <c r="I222" s="913">
        <f t="shared" si="72"/>
        <v>0</v>
      </c>
      <c r="J222" s="914">
        <f t="shared" ca="1" si="72"/>
        <v>0</v>
      </c>
      <c r="K222" s="885">
        <f t="shared" si="73"/>
        <v>0</v>
      </c>
      <c r="L222" s="885">
        <f t="shared" si="73"/>
        <v>0</v>
      </c>
      <c r="M222" s="891">
        <f t="shared" ca="1" si="74"/>
        <v>0</v>
      </c>
      <c r="N222" s="641"/>
      <c r="O222" s="641"/>
      <c r="P222" s="641"/>
      <c r="Q222" s="641"/>
      <c r="T222" s="3056">
        <v>8190</v>
      </c>
      <c r="U222" s="3063">
        <v>0</v>
      </c>
    </row>
    <row r="223" spans="1:21" ht="18">
      <c r="A223" s="1648" t="str">
        <f t="shared" si="63"/>
        <v>＝</v>
      </c>
      <c r="B223" s="1647">
        <f t="shared" si="64"/>
        <v>0</v>
      </c>
      <c r="C223" s="1647">
        <f t="shared" si="61"/>
        <v>0</v>
      </c>
      <c r="D223" s="1659">
        <v>8070</v>
      </c>
      <c r="E223" s="888" t="str">
        <f t="shared" si="62"/>
        <v>所有者权益_所有者权益内部结转</v>
      </c>
      <c r="F223" s="884">
        <f t="shared" si="70"/>
        <v>0</v>
      </c>
      <c r="G223" s="885">
        <f t="shared" si="71"/>
        <v>0</v>
      </c>
      <c r="H223" s="885">
        <f t="shared" si="71"/>
        <v>0</v>
      </c>
      <c r="I223" s="913">
        <f t="shared" si="72"/>
        <v>0</v>
      </c>
      <c r="J223" s="914">
        <f t="shared" ca="1" si="72"/>
        <v>0</v>
      </c>
      <c r="K223" s="885">
        <f t="shared" si="73"/>
        <v>0</v>
      </c>
      <c r="L223" s="885">
        <f t="shared" si="73"/>
        <v>0</v>
      </c>
      <c r="M223" s="891">
        <f t="shared" ca="1" si="74"/>
        <v>0</v>
      </c>
      <c r="N223" s="641"/>
      <c r="O223" s="641"/>
      <c r="P223" s="641"/>
      <c r="Q223" s="641"/>
      <c r="T223" s="3056">
        <v>8121</v>
      </c>
      <c r="U223" s="3063">
        <v>0</v>
      </c>
    </row>
    <row r="224" spans="1:21" ht="24">
      <c r="A224" s="1648" t="str">
        <f t="shared" si="63"/>
        <v>＝</v>
      </c>
      <c r="B224" s="1647">
        <f t="shared" si="64"/>
        <v>-1</v>
      </c>
      <c r="C224" s="1647">
        <f t="shared" si="61"/>
        <v>0</v>
      </c>
      <c r="D224" s="1659">
        <v>8071</v>
      </c>
      <c r="E224" s="888" t="str">
        <f t="shared" si="62"/>
        <v>所有者权益_资本公积转增资本影响权益</v>
      </c>
      <c r="F224" s="884">
        <f t="shared" si="70"/>
        <v>0</v>
      </c>
      <c r="G224" s="885">
        <f t="shared" si="71"/>
        <v>0</v>
      </c>
      <c r="H224" s="885">
        <f t="shared" si="71"/>
        <v>0</v>
      </c>
      <c r="I224" s="913">
        <f t="shared" si="72"/>
        <v>0</v>
      </c>
      <c r="J224" s="914">
        <f t="shared" ca="1" si="72"/>
        <v>0</v>
      </c>
      <c r="K224" s="885">
        <f t="shared" si="73"/>
        <v>0</v>
      </c>
      <c r="L224" s="885">
        <f t="shared" si="73"/>
        <v>0</v>
      </c>
      <c r="M224" s="891">
        <f t="shared" ca="1" si="74"/>
        <v>0</v>
      </c>
      <c r="N224" s="641"/>
      <c r="O224" s="641"/>
      <c r="P224" s="641"/>
      <c r="Q224" s="641"/>
      <c r="T224" s="3056">
        <v>8130</v>
      </c>
      <c r="U224" s="3063">
        <v>0</v>
      </c>
    </row>
    <row r="225" spans="1:21" ht="24">
      <c r="A225" s="1648" t="str">
        <f t="shared" si="63"/>
        <v>＝</v>
      </c>
      <c r="B225" s="1647">
        <f t="shared" si="64"/>
        <v>-1</v>
      </c>
      <c r="C225" s="1647">
        <f t="shared" si="61"/>
        <v>0</v>
      </c>
      <c r="D225" s="1659">
        <v>8072</v>
      </c>
      <c r="E225" s="888" t="str">
        <f t="shared" si="62"/>
        <v>所有者权益_盈余公积转增资本影响权益</v>
      </c>
      <c r="F225" s="884">
        <f t="shared" si="70"/>
        <v>0</v>
      </c>
      <c r="G225" s="885">
        <f t="shared" si="71"/>
        <v>0</v>
      </c>
      <c r="H225" s="885">
        <f t="shared" si="71"/>
        <v>0</v>
      </c>
      <c r="I225" s="913">
        <f t="shared" si="72"/>
        <v>0</v>
      </c>
      <c r="J225" s="914">
        <f t="shared" ca="1" si="72"/>
        <v>0</v>
      </c>
      <c r="K225" s="885">
        <f t="shared" si="73"/>
        <v>0</v>
      </c>
      <c r="L225" s="885">
        <f t="shared" si="73"/>
        <v>0</v>
      </c>
      <c r="M225" s="891">
        <f t="shared" ca="1" si="74"/>
        <v>0</v>
      </c>
      <c r="N225" s="641"/>
      <c r="O225" s="641"/>
      <c r="P225" s="641"/>
      <c r="Q225" s="641"/>
      <c r="T225" s="3056">
        <v>8140</v>
      </c>
      <c r="U225" s="3063">
        <v>0</v>
      </c>
    </row>
    <row r="226" spans="1:21" ht="24">
      <c r="A226" s="1648" t="str">
        <f t="shared" si="63"/>
        <v>＝</v>
      </c>
      <c r="B226" s="1647">
        <f t="shared" si="64"/>
        <v>-1</v>
      </c>
      <c r="C226" s="1647">
        <f t="shared" si="61"/>
        <v>0</v>
      </c>
      <c r="D226" s="1659">
        <v>8073</v>
      </c>
      <c r="E226" s="888" t="str">
        <f t="shared" si="62"/>
        <v>所有者权益_盈余公积弥补亏损影响权益</v>
      </c>
      <c r="F226" s="884">
        <f t="shared" si="70"/>
        <v>0</v>
      </c>
      <c r="G226" s="885">
        <f t="shared" si="71"/>
        <v>0</v>
      </c>
      <c r="H226" s="885">
        <f t="shared" si="71"/>
        <v>0</v>
      </c>
      <c r="I226" s="913">
        <f t="shared" si="72"/>
        <v>0</v>
      </c>
      <c r="J226" s="914">
        <f t="shared" ca="1" si="72"/>
        <v>0</v>
      </c>
      <c r="K226" s="885">
        <f t="shared" si="73"/>
        <v>0</v>
      </c>
      <c r="L226" s="885">
        <f t="shared" si="73"/>
        <v>0</v>
      </c>
      <c r="M226" s="891">
        <f t="shared" ca="1" si="74"/>
        <v>0</v>
      </c>
      <c r="N226" s="641"/>
      <c r="O226" s="641"/>
      <c r="P226" s="641"/>
      <c r="Q226" s="641"/>
      <c r="T226" s="3056">
        <v>8150</v>
      </c>
      <c r="U226" s="3063">
        <v>0</v>
      </c>
    </row>
    <row r="227" spans="1:21" ht="24">
      <c r="A227" s="1648" t="str">
        <f t="shared" si="63"/>
        <v>OEI＝</v>
      </c>
      <c r="B227" s="1647">
        <f t="shared" si="64"/>
        <v>-1</v>
      </c>
      <c r="C227" s="1647">
        <f t="shared" si="61"/>
        <v>0</v>
      </c>
      <c r="D227" s="1659">
        <v>8075</v>
      </c>
      <c r="E227" s="888" t="str">
        <f t="shared" si="62"/>
        <v>所有者权益_设定受益计划变动额结转留存收益</v>
      </c>
      <c r="F227" s="884">
        <f t="shared" si="70"/>
        <v>0</v>
      </c>
      <c r="G227" s="885">
        <f t="shared" si="71"/>
        <v>0</v>
      </c>
      <c r="H227" s="885">
        <f t="shared" si="71"/>
        <v>0</v>
      </c>
      <c r="I227" s="913">
        <f t="shared" si="72"/>
        <v>0</v>
      </c>
      <c r="J227" s="914">
        <f t="shared" ca="1" si="72"/>
        <v>0</v>
      </c>
      <c r="K227" s="885">
        <f t="shared" si="73"/>
        <v>0</v>
      </c>
      <c r="L227" s="885">
        <f t="shared" si="73"/>
        <v>0</v>
      </c>
      <c r="M227" s="891">
        <f t="shared" ca="1" si="74"/>
        <v>0</v>
      </c>
      <c r="N227" s="641"/>
      <c r="O227" s="641"/>
      <c r="P227" s="641"/>
      <c r="Q227" s="641"/>
      <c r="T227" s="3056">
        <v>8151</v>
      </c>
      <c r="U227" s="3063">
        <v>0</v>
      </c>
    </row>
    <row r="228" spans="1:21" ht="24">
      <c r="A228" s="1648" t="str">
        <f>VLOOKUP($D228,Sheet_Items,4,0)</f>
        <v>_JR＝</v>
      </c>
      <c r="B228" s="1647">
        <f>VLOOKUP($D228,Sheet_Items,3,0)</f>
        <v>-1</v>
      </c>
      <c r="C228" s="1647">
        <f>VLOOKUP($D228,Sheet_Items,9,0)</f>
        <v>0</v>
      </c>
      <c r="D228" s="1659">
        <v>8077</v>
      </c>
      <c r="E228" s="889" t="str">
        <f>VLOOKUP($D228,Sheet_Items,2,0)</f>
        <v>所有者权益_其他综合收益结转留存收益</v>
      </c>
      <c r="F228" s="884">
        <f t="shared" si="70"/>
        <v>0</v>
      </c>
      <c r="G228" s="885">
        <f t="shared" si="71"/>
        <v>0</v>
      </c>
      <c r="H228" s="885">
        <f t="shared" si="71"/>
        <v>0</v>
      </c>
      <c r="I228" s="913">
        <f t="shared" si="72"/>
        <v>0</v>
      </c>
      <c r="J228" s="914">
        <f t="shared" ca="1" si="72"/>
        <v>0</v>
      </c>
      <c r="K228" s="885">
        <f t="shared" si="73"/>
        <v>0</v>
      </c>
      <c r="L228" s="885">
        <f t="shared" si="73"/>
        <v>0</v>
      </c>
      <c r="M228" s="891">
        <f t="shared" ca="1" si="74"/>
        <v>0</v>
      </c>
      <c r="N228" s="641"/>
      <c r="O228" s="641"/>
      <c r="P228" s="641"/>
      <c r="Q228" s="641"/>
      <c r="T228" s="3056">
        <v>8153</v>
      </c>
      <c r="U228" s="3063">
        <v>0</v>
      </c>
    </row>
    <row r="229" spans="1:21" ht="24">
      <c r="A229" s="1648" t="str">
        <f t="shared" si="63"/>
        <v>＝</v>
      </c>
      <c r="B229" s="1647">
        <f t="shared" si="64"/>
        <v>-1</v>
      </c>
      <c r="C229" s="1647">
        <f t="shared" si="61"/>
        <v>0</v>
      </c>
      <c r="D229" s="1659">
        <v>8076</v>
      </c>
      <c r="E229" s="888" t="str">
        <f t="shared" si="62"/>
        <v>所有者权益_所有者权益其他内部结转</v>
      </c>
      <c r="F229" s="884">
        <f t="shared" si="70"/>
        <v>0</v>
      </c>
      <c r="G229" s="885">
        <f t="shared" si="71"/>
        <v>0</v>
      </c>
      <c r="H229" s="885">
        <f t="shared" si="71"/>
        <v>0</v>
      </c>
      <c r="I229" s="913">
        <f t="shared" si="72"/>
        <v>0</v>
      </c>
      <c r="J229" s="914">
        <f t="shared" ca="1" si="72"/>
        <v>0</v>
      </c>
      <c r="K229" s="885">
        <f t="shared" si="73"/>
        <v>0</v>
      </c>
      <c r="L229" s="885">
        <f t="shared" si="73"/>
        <v>0</v>
      </c>
      <c r="M229" s="891">
        <f t="shared" ca="1" si="74"/>
        <v>0</v>
      </c>
      <c r="N229" s="641"/>
      <c r="O229" s="641"/>
      <c r="P229" s="641"/>
      <c r="Q229" s="641"/>
      <c r="T229" s="3056">
        <v>8152</v>
      </c>
      <c r="U229" s="3063">
        <v>0</v>
      </c>
    </row>
    <row r="230" spans="1:21" ht="18">
      <c r="A230" s="1648" t="str">
        <f t="shared" si="63"/>
        <v>＝</v>
      </c>
      <c r="B230" s="1647">
        <f t="shared" si="64"/>
        <v>0</v>
      </c>
      <c r="C230" s="1647">
        <f t="shared" si="61"/>
        <v>0</v>
      </c>
      <c r="D230" s="1659">
        <v>8080</v>
      </c>
      <c r="E230" s="888" t="str">
        <f t="shared" si="62"/>
        <v>所有者权益_专项储备影响权益</v>
      </c>
      <c r="F230" s="884">
        <f t="shared" si="70"/>
        <v>0</v>
      </c>
      <c r="G230" s="885">
        <f t="shared" si="71"/>
        <v>0</v>
      </c>
      <c r="H230" s="885">
        <f t="shared" si="71"/>
        <v>0</v>
      </c>
      <c r="I230" s="913">
        <f t="shared" si="72"/>
        <v>0</v>
      </c>
      <c r="J230" s="914">
        <f t="shared" ca="1" si="72"/>
        <v>0</v>
      </c>
      <c r="K230" s="885">
        <f t="shared" si="73"/>
        <v>0</v>
      </c>
      <c r="L230" s="885">
        <f t="shared" si="73"/>
        <v>0</v>
      </c>
      <c r="M230" s="891">
        <f t="shared" ca="1" si="74"/>
        <v>0</v>
      </c>
      <c r="N230" s="641"/>
      <c r="O230" s="641"/>
      <c r="P230" s="641"/>
      <c r="Q230" s="641"/>
      <c r="T230" s="3056">
        <v>8156</v>
      </c>
      <c r="U230" s="3063">
        <v>0</v>
      </c>
    </row>
    <row r="231" spans="1:21" ht="18">
      <c r="A231" s="1648" t="str">
        <f t="shared" si="63"/>
        <v>＝</v>
      </c>
      <c r="B231" s="1647">
        <f t="shared" si="64"/>
        <v>-1</v>
      </c>
      <c r="C231" s="1647">
        <f t="shared" si="61"/>
        <v>0</v>
      </c>
      <c r="D231" s="1659">
        <v>8081</v>
      </c>
      <c r="E231" s="888" t="str">
        <f t="shared" si="62"/>
        <v>所有者权益_专项储备本期提取</v>
      </c>
      <c r="F231" s="884">
        <f t="shared" si="70"/>
        <v>0</v>
      </c>
      <c r="G231" s="885">
        <f t="shared" si="71"/>
        <v>0</v>
      </c>
      <c r="H231" s="885">
        <f t="shared" si="71"/>
        <v>0</v>
      </c>
      <c r="I231" s="913">
        <f t="shared" si="72"/>
        <v>0</v>
      </c>
      <c r="J231" s="914">
        <f t="shared" ca="1" si="72"/>
        <v>0</v>
      </c>
      <c r="K231" s="885">
        <f t="shared" si="73"/>
        <v>0</v>
      </c>
      <c r="L231" s="885">
        <f t="shared" si="73"/>
        <v>0</v>
      </c>
      <c r="M231" s="891">
        <f t="shared" ca="1" si="74"/>
        <v>0</v>
      </c>
      <c r="N231" s="641"/>
      <c r="O231" s="641"/>
      <c r="P231" s="641"/>
      <c r="Q231" s="641"/>
      <c r="T231" s="3056">
        <v>8160</v>
      </c>
      <c r="U231" s="3063">
        <v>0</v>
      </c>
    </row>
    <row r="232" spans="1:21" ht="18">
      <c r="A232" s="1648" t="str">
        <f t="shared" si="63"/>
        <v>＝</v>
      </c>
      <c r="B232" s="1647">
        <f t="shared" si="64"/>
        <v>-1</v>
      </c>
      <c r="C232" s="1647">
        <f t="shared" si="61"/>
        <v>0</v>
      </c>
      <c r="D232" s="1659">
        <v>8082</v>
      </c>
      <c r="E232" s="888" t="str">
        <f t="shared" si="62"/>
        <v>所有者权益_专项储备本期使用</v>
      </c>
      <c r="F232" s="884">
        <f t="shared" si="70"/>
        <v>0</v>
      </c>
      <c r="G232" s="885">
        <f t="shared" si="71"/>
        <v>0</v>
      </c>
      <c r="H232" s="885">
        <f t="shared" si="71"/>
        <v>0</v>
      </c>
      <c r="I232" s="913">
        <f t="shared" si="72"/>
        <v>0</v>
      </c>
      <c r="J232" s="914">
        <f t="shared" ca="1" si="72"/>
        <v>0</v>
      </c>
      <c r="K232" s="885">
        <f t="shared" si="73"/>
        <v>0</v>
      </c>
      <c r="L232" s="885">
        <f t="shared" si="73"/>
        <v>0</v>
      </c>
      <c r="M232" s="891">
        <f t="shared" ca="1" si="74"/>
        <v>0</v>
      </c>
      <c r="N232" s="641"/>
      <c r="O232" s="641"/>
      <c r="P232" s="641"/>
      <c r="Q232" s="641"/>
      <c r="T232" s="3056">
        <v>8161</v>
      </c>
      <c r="U232" s="3063">
        <v>0</v>
      </c>
    </row>
    <row r="233" spans="1:21" ht="18">
      <c r="A233" s="1648" t="str">
        <f t="shared" si="63"/>
        <v>＝</v>
      </c>
      <c r="B233" s="1647">
        <f t="shared" si="64"/>
        <v>-1</v>
      </c>
      <c r="C233" s="1647">
        <f t="shared" si="61"/>
        <v>0</v>
      </c>
      <c r="D233" s="1659">
        <v>8096</v>
      </c>
      <c r="E233" s="888" t="str">
        <f t="shared" si="62"/>
        <v>所有者权益_本期其他增减变动</v>
      </c>
      <c r="F233" s="884">
        <f t="shared" si="70"/>
        <v>0</v>
      </c>
      <c r="G233" s="885">
        <f t="shared" si="71"/>
        <v>0</v>
      </c>
      <c r="H233" s="885">
        <f t="shared" si="71"/>
        <v>0</v>
      </c>
      <c r="I233" s="913">
        <f t="shared" si="72"/>
        <v>0</v>
      </c>
      <c r="J233" s="914">
        <f t="shared" ca="1" si="72"/>
        <v>0</v>
      </c>
      <c r="K233" s="885">
        <f t="shared" si="73"/>
        <v>0</v>
      </c>
      <c r="L233" s="885">
        <f t="shared" si="73"/>
        <v>0</v>
      </c>
      <c r="M233" s="891">
        <f t="shared" ca="1" si="74"/>
        <v>0</v>
      </c>
      <c r="N233" s="641"/>
      <c r="O233" s="641"/>
      <c r="P233" s="641"/>
      <c r="Q233" s="641"/>
      <c r="T233" s="3056">
        <v>8162</v>
      </c>
      <c r="U233" s="3063">
        <v>0</v>
      </c>
    </row>
    <row r="234" spans="1:21" ht="18">
      <c r="A234" s="1648" t="str">
        <f t="shared" si="63"/>
        <v>＝</v>
      </c>
      <c r="B234" s="1647">
        <f t="shared" si="64"/>
        <v>0</v>
      </c>
      <c r="C234" s="1647">
        <f t="shared" ref="C234:C266" si="75">VLOOKUP($D234,Sheet_Items,9,0)</f>
        <v>0</v>
      </c>
      <c r="D234" s="1659">
        <v>8099</v>
      </c>
      <c r="E234" s="888" t="str">
        <f t="shared" si="62"/>
        <v>所有者权益_本期期末余额</v>
      </c>
      <c r="F234" s="884">
        <f t="shared" si="70"/>
        <v>44848946.079999998</v>
      </c>
      <c r="G234" s="885">
        <f t="shared" si="71"/>
        <v>4927559.42</v>
      </c>
      <c r="H234" s="885">
        <f t="shared" si="71"/>
        <v>1239624.98</v>
      </c>
      <c r="I234" s="913">
        <f t="shared" si="72"/>
        <v>41161011.640000001</v>
      </c>
      <c r="J234" s="914">
        <f t="shared" ca="1" si="72"/>
        <v>44768482.109999999</v>
      </c>
      <c r="K234" s="885">
        <f t="shared" si="73"/>
        <v>0</v>
      </c>
      <c r="L234" s="885">
        <f t="shared" si="73"/>
        <v>0</v>
      </c>
      <c r="M234" s="891">
        <f t="shared" ca="1" si="74"/>
        <v>44768482.109999999</v>
      </c>
      <c r="N234" s="641"/>
      <c r="O234" s="641"/>
      <c r="P234" s="641"/>
      <c r="Q234" s="641"/>
      <c r="T234" s="3056">
        <v>8163</v>
      </c>
      <c r="U234" s="3063">
        <v>0</v>
      </c>
    </row>
    <row r="235" spans="1:21" ht="18">
      <c r="A235" s="1648" t="str">
        <f t="shared" si="63"/>
        <v>：</v>
      </c>
      <c r="B235" s="1647">
        <f t="shared" si="64"/>
        <v>0</v>
      </c>
      <c r="C235" s="1647">
        <f t="shared" si="75"/>
        <v>0</v>
      </c>
      <c r="D235" s="2186">
        <v>8100</v>
      </c>
      <c r="E235" s="2187" t="str">
        <f t="shared" si="62"/>
        <v>实收资本增减变动</v>
      </c>
      <c r="F235" s="884"/>
      <c r="G235" s="885"/>
      <c r="H235" s="885"/>
      <c r="I235" s="913"/>
      <c r="J235" s="914"/>
      <c r="K235" s="885"/>
      <c r="L235" s="885"/>
      <c r="M235" s="891"/>
      <c r="N235" s="641"/>
      <c r="O235" s="641"/>
      <c r="P235" s="641"/>
      <c r="Q235" s="641"/>
      <c r="T235" s="3056">
        <v>8166</v>
      </c>
      <c r="U235" s="3063">
        <v>0</v>
      </c>
    </row>
    <row r="236" spans="1:21" ht="18">
      <c r="A236" s="1648">
        <f t="shared" si="63"/>
        <v>0</v>
      </c>
      <c r="B236" s="1647">
        <f t="shared" si="64"/>
        <v>-1</v>
      </c>
      <c r="C236" s="1647" t="str">
        <f t="shared" si="75"/>
        <v>J</v>
      </c>
      <c r="D236" s="1659">
        <v>8101</v>
      </c>
      <c r="E236" s="888" t="str">
        <f t="shared" si="62"/>
        <v>实收资本_上年年末余额</v>
      </c>
      <c r="F236" s="884">
        <f>INDEX(Sheet_Presc,MATCH((RIGHT($D236,2)),Sheet_Prescrow,0),MATCH((LEFT($D236,2)),Sheet_Presccol,0))</f>
        <v>30000000</v>
      </c>
      <c r="G236" s="885">
        <f>SUMIF(AJE!$B:$B,$C236&amp;$D236&amp;"*",AJE!$O:$O)</f>
        <v>0</v>
      </c>
      <c r="H236" s="885">
        <f>SUMIF(AJE!$B:$B,$C236&amp;$D236&amp;"*",AJE!$P:$P)</f>
        <v>0</v>
      </c>
      <c r="I236" s="913">
        <f>(B236*F236+G236-H236)*B236</f>
        <v>30000000</v>
      </c>
      <c r="J236" s="914">
        <f>INDEX(Sheet_Presc,MATCH((RIGHT($D236,2)),Sheet_Prescrow,0),MATCH((VALUE(LEFT($D236,2))),Sheet_Presccol,0))</f>
        <v>30000000</v>
      </c>
      <c r="K236" s="885">
        <f>SUMIF('AJE1'!$B:$B,$C236&amp;$D236&amp;"*",'AJE1'!$O:$O)</f>
        <v>0</v>
      </c>
      <c r="L236" s="885">
        <f>SUMIF('AJE1'!$B:$B,$C236&amp;$D236&amp;"*",'AJE1'!$P:$P)</f>
        <v>0</v>
      </c>
      <c r="M236" s="891">
        <f>($B236*J236+K236-L236)*$B236</f>
        <v>30000000</v>
      </c>
      <c r="N236" s="641"/>
      <c r="O236" s="641"/>
      <c r="P236" s="641"/>
      <c r="Q236" s="641"/>
      <c r="T236" s="3056">
        <v>8170</v>
      </c>
      <c r="U236" s="3063">
        <v>0</v>
      </c>
    </row>
    <row r="237" spans="1:21" ht="24">
      <c r="A237" s="1648" t="str">
        <f t="shared" si="63"/>
        <v>LOW</v>
      </c>
      <c r="B237" s="1647">
        <f t="shared" si="64"/>
        <v>-1</v>
      </c>
      <c r="C237" s="1647" t="str">
        <f t="shared" si="75"/>
        <v>J</v>
      </c>
      <c r="D237" s="1659">
        <v>8102</v>
      </c>
      <c r="E237" s="888" t="str">
        <f t="shared" si="62"/>
        <v>实收资本_会计政策变更调整上年年末余额</v>
      </c>
      <c r="F237" s="884">
        <f>INDEX(Sheet_Presc,MATCH((RIGHT($D237,2)),Sheet_Prescrow,0),MATCH((LEFT($D237,2)),Sheet_Presccol,0))</f>
        <v>0</v>
      </c>
      <c r="G237" s="885">
        <f>SUMIF(AJE!$B:$B,$C237&amp;$D237&amp;"*",AJE!$O:$O)</f>
        <v>0</v>
      </c>
      <c r="H237" s="885">
        <f>SUMIF(AJE!$B:$B,$C237&amp;$D237&amp;"*",AJE!$P:$P)</f>
        <v>0</v>
      </c>
      <c r="I237" s="913">
        <f>(B237*F237+G237-H237)*B237</f>
        <v>0</v>
      </c>
      <c r="J237" s="914">
        <f>INDEX(Sheet_Presc,MATCH((RIGHT($D237,2)),Sheet_Prescrow,0),MATCH((VALUE(LEFT($D237,2))),Sheet_Presccol,0))</f>
        <v>0</v>
      </c>
      <c r="K237" s="885">
        <f>SUMIF('AJE1'!$B:$B,$C237&amp;$D237&amp;"*",'AJE1'!$O:$O)</f>
        <v>0</v>
      </c>
      <c r="L237" s="885">
        <f>SUMIF('AJE1'!$B:$B,$C237&amp;$D237&amp;"*",'AJE1'!$P:$P)</f>
        <v>0</v>
      </c>
      <c r="M237" s="891">
        <f>($B237*J237+K237-L237)*$B237</f>
        <v>0</v>
      </c>
      <c r="N237" s="641"/>
      <c r="O237" s="641"/>
      <c r="P237" s="641"/>
      <c r="Q237" s="641"/>
      <c r="T237" s="3056">
        <v>8171</v>
      </c>
      <c r="U237" s="3063">
        <v>0</v>
      </c>
    </row>
    <row r="238" spans="1:21" ht="24">
      <c r="A238" s="1648">
        <f t="shared" si="63"/>
        <v>0</v>
      </c>
      <c r="B238" s="1647">
        <f t="shared" si="64"/>
        <v>-1</v>
      </c>
      <c r="C238" s="1647" t="str">
        <f t="shared" si="75"/>
        <v>J</v>
      </c>
      <c r="D238" s="1659">
        <v>8103</v>
      </c>
      <c r="E238" s="888" t="str">
        <f t="shared" si="62"/>
        <v>实收资本_前期差错更正调整上年年末余额</v>
      </c>
      <c r="F238" s="884">
        <f>INDEX(Sheet_Presc,MATCH((RIGHT($D238,2)),Sheet_Prescrow,0),MATCH((LEFT($D238,2)),Sheet_Presccol,0))</f>
        <v>0</v>
      </c>
      <c r="G238" s="885">
        <f>SUMIF(AJE!$B:$B,$C238&amp;$D238&amp;"*",AJE!$O:$O)</f>
        <v>0</v>
      </c>
      <c r="H238" s="885">
        <f>SUMIF(AJE!$B:$B,$C238&amp;$D238&amp;"*",AJE!$P:$P)</f>
        <v>0</v>
      </c>
      <c r="I238" s="913">
        <f>(B238*F238+G238-H238)*B238</f>
        <v>0</v>
      </c>
      <c r="J238" s="914">
        <f>INDEX(Sheet_Presc,MATCH((RIGHT($D238,2)),Sheet_Prescrow,0),MATCH((VALUE(LEFT($D238,2))),Sheet_Presccol,0))</f>
        <v>0</v>
      </c>
      <c r="K238" s="885">
        <f>SUMIF('AJE1'!$B:$B,$C238&amp;$D238&amp;"*",'AJE1'!$O:$O)</f>
        <v>0</v>
      </c>
      <c r="L238" s="885">
        <f>SUMIF('AJE1'!$B:$B,$C238&amp;$D238&amp;"*",'AJE1'!$P:$P)</f>
        <v>0</v>
      </c>
      <c r="M238" s="891">
        <f>($B238*J238+K238-L238)*$B238</f>
        <v>0</v>
      </c>
      <c r="N238" s="641"/>
      <c r="O238" s="641"/>
      <c r="P238" s="641"/>
      <c r="Q238" s="641"/>
      <c r="T238" s="3056">
        <v>8172</v>
      </c>
      <c r="U238" s="3063">
        <v>0</v>
      </c>
    </row>
    <row r="239" spans="1:21" ht="24">
      <c r="A239" s="1648" t="str">
        <f t="shared" si="63"/>
        <v>※</v>
      </c>
      <c r="B239" s="1647">
        <f t="shared" si="64"/>
        <v>-1</v>
      </c>
      <c r="C239" s="1647" t="str">
        <f t="shared" si="75"/>
        <v>J</v>
      </c>
      <c r="D239" s="1659">
        <v>8104</v>
      </c>
      <c r="E239" s="888" t="str">
        <f t="shared" si="62"/>
        <v>实收资本_同一控制下企业合并调整上年年末余额</v>
      </c>
      <c r="F239" s="884">
        <f>INDEX(Sheet_Presc,MATCH((RIGHT($D239,2)),Sheet_Prescrow,0),MATCH((LEFT($D239,2)),Sheet_Presccol,0))</f>
        <v>0</v>
      </c>
      <c r="G239" s="885">
        <f>SUMIF(AJE!$B:$B,$C239&amp;$D239&amp;"*",AJE!$O:$O)</f>
        <v>0</v>
      </c>
      <c r="H239" s="885">
        <f>SUMIF(AJE!$B:$B,$C239&amp;$D239&amp;"*",AJE!$P:$P)</f>
        <v>0</v>
      </c>
      <c r="I239" s="913">
        <f>(B239*F239+G239-H239)*B239</f>
        <v>0</v>
      </c>
      <c r="J239" s="914">
        <f>INDEX(Sheet_Presc,MATCH((RIGHT($D239,2)),Sheet_Prescrow,0),MATCH((VALUE(LEFT($D239,2))),Sheet_Presccol,0))</f>
        <v>0</v>
      </c>
      <c r="K239" s="885">
        <f>SUMIF('AJE1'!$B:$B,$C239&amp;$D239&amp;"*",'AJE1'!$O:$O)</f>
        <v>0</v>
      </c>
      <c r="L239" s="885">
        <f>SUMIF('AJE1'!$B:$B,$C239&amp;$D239&amp;"*",'AJE1'!$P:$P)</f>
        <v>0</v>
      </c>
      <c r="M239" s="891">
        <f>($B239*J239+K239-L239)*$B239</f>
        <v>0</v>
      </c>
      <c r="N239" s="641"/>
      <c r="O239" s="641"/>
      <c r="P239" s="641"/>
      <c r="Q239" s="641"/>
      <c r="T239" s="3056">
        <v>8173</v>
      </c>
      <c r="U239" s="3063">
        <v>0</v>
      </c>
    </row>
    <row r="240" spans="1:21" ht="24">
      <c r="A240" s="1648" t="str">
        <f t="shared" si="63"/>
        <v>LOW</v>
      </c>
      <c r="B240" s="1647">
        <f t="shared" si="64"/>
        <v>-1</v>
      </c>
      <c r="C240" s="1647" t="str">
        <f t="shared" si="75"/>
        <v>J</v>
      </c>
      <c r="D240" s="1659">
        <v>8109</v>
      </c>
      <c r="E240" s="888" t="str">
        <f t="shared" si="62"/>
        <v>实收资本_其他原因调整上年年末余额</v>
      </c>
      <c r="F240" s="884">
        <f>INDEX(Sheet_Presc,MATCH((RIGHT($D240,2)),Sheet_Prescrow,0),MATCH((LEFT($D240,2)),Sheet_Presccol,0))</f>
        <v>0</v>
      </c>
      <c r="G240" s="885">
        <f>SUMIF(AJE!$B:$B,$C240&amp;$D240&amp;"*",AJE!$O:$O)</f>
        <v>0</v>
      </c>
      <c r="H240" s="885">
        <f>SUMIF(AJE!$B:$B,$C240&amp;$D240&amp;"*",AJE!$P:$P)</f>
        <v>0</v>
      </c>
      <c r="I240" s="913">
        <f>(B240*F240+G240-H240)*B240</f>
        <v>0</v>
      </c>
      <c r="J240" s="914">
        <f>INDEX(Sheet_Presc,MATCH((RIGHT($D240,2)),Sheet_Prescrow,0),MATCH((VALUE(LEFT($D240,2))),Sheet_Presccol,0))</f>
        <v>0</v>
      </c>
      <c r="K240" s="885">
        <f>SUMIF('AJE1'!$B:$B,$C240&amp;$D240&amp;"*",'AJE1'!$O:$O)</f>
        <v>0</v>
      </c>
      <c r="L240" s="885">
        <f>SUMIF('AJE1'!$B:$B,$C240&amp;$D240&amp;"*",'AJE1'!$P:$P)</f>
        <v>0</v>
      </c>
      <c r="M240" s="891">
        <f>($B240*J240+K240-L240)*$B240</f>
        <v>0</v>
      </c>
      <c r="N240" s="641"/>
      <c r="O240" s="641"/>
      <c r="P240" s="641"/>
      <c r="Q240" s="641"/>
      <c r="T240" s="3056">
        <v>8175</v>
      </c>
      <c r="U240" s="3063">
        <v>0</v>
      </c>
    </row>
    <row r="241" spans="1:21" ht="18">
      <c r="A241" s="1648" t="str">
        <f t="shared" si="63"/>
        <v>＝</v>
      </c>
      <c r="B241" s="1647">
        <f t="shared" si="64"/>
        <v>0</v>
      </c>
      <c r="C241" s="1647">
        <f t="shared" si="75"/>
        <v>0</v>
      </c>
      <c r="D241" s="1659">
        <v>8110</v>
      </c>
      <c r="E241" s="888" t="str">
        <f t="shared" si="62"/>
        <v>实收资本_本年年初余额</v>
      </c>
      <c r="F241" s="884">
        <f t="shared" ref="F241:M241" si="76">SUM(F236:F240)</f>
        <v>30000000</v>
      </c>
      <c r="G241" s="885">
        <f t="shared" si="76"/>
        <v>0</v>
      </c>
      <c r="H241" s="885">
        <f t="shared" si="76"/>
        <v>0</v>
      </c>
      <c r="I241" s="913">
        <f t="shared" si="76"/>
        <v>30000000</v>
      </c>
      <c r="J241" s="914">
        <f t="shared" si="76"/>
        <v>30000000</v>
      </c>
      <c r="K241" s="885">
        <f t="shared" si="76"/>
        <v>0</v>
      </c>
      <c r="L241" s="885">
        <f t="shared" si="76"/>
        <v>0</v>
      </c>
      <c r="M241" s="891">
        <f t="shared" si="76"/>
        <v>30000000</v>
      </c>
      <c r="N241" s="641"/>
      <c r="O241" s="641"/>
      <c r="P241" s="641"/>
      <c r="Q241" s="641"/>
      <c r="T241" s="3056">
        <v>8176</v>
      </c>
      <c r="U241" s="3063">
        <v>0</v>
      </c>
    </row>
    <row r="242" spans="1:21" ht="18">
      <c r="A242" s="1648" t="str">
        <f t="shared" si="63"/>
        <v>＝</v>
      </c>
      <c r="B242" s="1647">
        <f t="shared" si="64"/>
        <v>0</v>
      </c>
      <c r="C242" s="1647">
        <f t="shared" si="75"/>
        <v>0</v>
      </c>
      <c r="D242" s="1659">
        <v>8190</v>
      </c>
      <c r="E242" s="888" t="str">
        <f t="shared" si="62"/>
        <v>实收资本_本期增减变动金额</v>
      </c>
      <c r="F242" s="884">
        <f t="shared" ref="F242:M242" si="77">SUM(F245,F246,F251,F256,F263,F266)</f>
        <v>0</v>
      </c>
      <c r="G242" s="885">
        <f t="shared" si="77"/>
        <v>0</v>
      </c>
      <c r="H242" s="885">
        <f t="shared" si="77"/>
        <v>0</v>
      </c>
      <c r="I242" s="913">
        <f t="shared" si="77"/>
        <v>0</v>
      </c>
      <c r="J242" s="914">
        <f t="shared" si="77"/>
        <v>0</v>
      </c>
      <c r="K242" s="885">
        <f t="shared" si="77"/>
        <v>0</v>
      </c>
      <c r="L242" s="885">
        <f t="shared" si="77"/>
        <v>0</v>
      </c>
      <c r="M242" s="891">
        <f t="shared" si="77"/>
        <v>0</v>
      </c>
      <c r="N242" s="641"/>
      <c r="O242" s="641"/>
      <c r="P242" s="641"/>
      <c r="Q242" s="641"/>
      <c r="T242" s="3056">
        <v>8180</v>
      </c>
      <c r="U242" s="3063">
        <v>0</v>
      </c>
    </row>
    <row r="243" spans="1:21" ht="18">
      <c r="A243" s="1648" t="str">
        <f t="shared" si="63"/>
        <v>N</v>
      </c>
      <c r="B243" s="1647">
        <f t="shared" si="64"/>
        <v>-1</v>
      </c>
      <c r="C243" s="1647" t="str">
        <f t="shared" si="75"/>
        <v>J</v>
      </c>
      <c r="D243" s="1659">
        <v>8121</v>
      </c>
      <c r="E243" s="888" t="str">
        <f t="shared" si="62"/>
        <v>实收资本_净利润增加权益</v>
      </c>
      <c r="F243" s="884">
        <f>INDEX(Sheet_Presc,MATCH((RIGHT($D243,2)),Sheet_Prescrow,0),MATCH((LEFT($D243,2)),Sheet_Presccol,0))</f>
        <v>0</v>
      </c>
      <c r="G243" s="885">
        <f>SUMIF(AJE!$B:$B,$C243&amp;$D243&amp;"*",AJE!$O:$O)</f>
        <v>0</v>
      </c>
      <c r="H243" s="885">
        <f>SUMIF(AJE!$B:$B,$C243&amp;$D243&amp;"*",AJE!$P:$P)</f>
        <v>0</v>
      </c>
      <c r="I243" s="913">
        <f>(B243*F243+G243-H243)*B243</f>
        <v>0</v>
      </c>
      <c r="J243" s="914">
        <f>INDEX(Sheet_Presc,MATCH((RIGHT($D243,2)),Sheet_Prescrow,0),MATCH((VALUE(LEFT($D243,2))),Sheet_Presccol,0))</f>
        <v>0</v>
      </c>
      <c r="K243" s="885">
        <f>SUMIF('AJE1'!$B:$B,$C243&amp;$D243&amp;"*",'AJE1'!$O:$O)</f>
        <v>0</v>
      </c>
      <c r="L243" s="885">
        <f>SUMIF('AJE1'!$B:$B,$C243&amp;$D243&amp;"*",'AJE1'!$P:$P)</f>
        <v>0</v>
      </c>
      <c r="M243" s="891">
        <f>($B243*J243+K243-L243)*$B243</f>
        <v>0</v>
      </c>
      <c r="N243" s="641"/>
      <c r="O243" s="641"/>
      <c r="P243" s="641"/>
      <c r="Q243" s="641"/>
      <c r="T243" s="3056">
        <v>8181</v>
      </c>
      <c r="U243" s="3063">
        <v>0</v>
      </c>
    </row>
    <row r="244" spans="1:21" ht="18">
      <c r="A244" s="1648" t="str">
        <f t="shared" si="63"/>
        <v>N</v>
      </c>
      <c r="B244" s="1647">
        <f t="shared" si="64"/>
        <v>-1</v>
      </c>
      <c r="C244" s="1647" t="str">
        <f t="shared" si="75"/>
        <v>J</v>
      </c>
      <c r="D244" s="1659">
        <v>8130</v>
      </c>
      <c r="E244" s="888" t="str">
        <f t="shared" si="62"/>
        <v>实收资本_其他综合收益增加权益</v>
      </c>
      <c r="F244" s="884">
        <f>INDEX(Sheet_Presc,MATCH((RIGHT($D244,2)),Sheet_Prescrow,0),MATCH((LEFT($D244,2)),Sheet_Presccol,0))</f>
        <v>0</v>
      </c>
      <c r="G244" s="885">
        <f>SUMIF(AJE!$B:$B,$C244&amp;$D244&amp;"*",AJE!$O:$O)</f>
        <v>0</v>
      </c>
      <c r="H244" s="885">
        <f>SUMIF(AJE!$B:$B,$C244&amp;$D244&amp;"*",AJE!$P:$P)</f>
        <v>0</v>
      </c>
      <c r="I244" s="913">
        <f>(B244*F244+G244-H244)*B244</f>
        <v>0</v>
      </c>
      <c r="J244" s="914">
        <f>INDEX(Sheet_Presc,MATCH((RIGHT($D244,2)),Sheet_Prescrow,0),MATCH((VALUE(LEFT($D244,2))),Sheet_Presccol,0))</f>
        <v>0</v>
      </c>
      <c r="K244" s="885">
        <f>SUMIF('AJE1'!$B:$B,$C244&amp;$D244&amp;"*",'AJE1'!$O:$O)</f>
        <v>0</v>
      </c>
      <c r="L244" s="885">
        <f>SUMIF('AJE1'!$B:$B,$C244&amp;$D244&amp;"*",'AJE1'!$P:$P)</f>
        <v>0</v>
      </c>
      <c r="M244" s="891">
        <f>($B244*J244+K244-L244)*$B244</f>
        <v>0</v>
      </c>
      <c r="N244" s="641"/>
      <c r="O244" s="641"/>
      <c r="P244" s="641"/>
      <c r="Q244" s="641"/>
      <c r="T244" s="3056">
        <v>8182</v>
      </c>
      <c r="U244" s="3063">
        <v>0</v>
      </c>
    </row>
    <row r="245" spans="1:21" ht="18">
      <c r="A245" s="1648">
        <f t="shared" si="63"/>
        <v>0</v>
      </c>
      <c r="B245" s="1647">
        <f t="shared" si="64"/>
        <v>-1</v>
      </c>
      <c r="C245" s="1647" t="str">
        <f t="shared" si="75"/>
        <v>J</v>
      </c>
      <c r="D245" s="1659">
        <v>8140</v>
      </c>
      <c r="E245" s="888" t="str">
        <f t="shared" si="62"/>
        <v>实收资本_综合收益总额增加权益</v>
      </c>
      <c r="F245" s="884">
        <f>INDEX(Sheet_Presc,MATCH((RIGHT($D245,2)),Sheet_Prescrow,0),MATCH((LEFT($D245,2)),Sheet_Presccol,0))</f>
        <v>0</v>
      </c>
      <c r="G245" s="885">
        <f>SUMIF(AJE!$B:$B,$C245&amp;$D245&amp;"*",AJE!$O:$O)+VLOOKUP(8121,Sheet_Trialbal,4,0)+VLOOKUP(8130,Sheet_Trialbal,4,0)</f>
        <v>0</v>
      </c>
      <c r="H245" s="885">
        <f>SUMIF(AJE!$B:$B,$C245&amp;$D245&amp;"*",AJE!$P:$P)+VLOOKUP(8121,Sheet_Trialbal,5,0)+VLOOKUP(8130,Sheet_Trialbal,5,0)</f>
        <v>0</v>
      </c>
      <c r="I245" s="913">
        <f>(B245*F245+G245-H245)*B245</f>
        <v>0</v>
      </c>
      <c r="J245" s="914">
        <f>INDEX(Sheet_Presc,MATCH((RIGHT($D245,2)),Sheet_Prescrow,0),MATCH((VALUE(LEFT($D245,2))),Sheet_Presccol,0))</f>
        <v>0</v>
      </c>
      <c r="K245" s="885">
        <f>SUMIF('AJE1'!$B:$B,$C245&amp;$D245&amp;"*",'AJE1'!$O:$O)+VLOOKUP(8121,Sheet_Trialbal,8,0)+VLOOKUP(8130,Sheet_Trialbal,8,0)</f>
        <v>0</v>
      </c>
      <c r="L245" s="885">
        <f>SUMIF('AJE1'!$B:$B,$C245&amp;$D245&amp;"*",'AJE1'!$P:$P)+VLOOKUP(8121,Sheet_Trialbal,9,0)+VLOOKUP(8130,Sheet_Trialbal,9,0)</f>
        <v>0</v>
      </c>
      <c r="M245" s="891">
        <f>($B245*J245+K245-L245)*$B245</f>
        <v>0</v>
      </c>
      <c r="N245" s="641"/>
      <c r="O245" s="641"/>
      <c r="P245" s="641"/>
      <c r="Q245" s="641"/>
      <c r="T245" s="3056">
        <v>8196</v>
      </c>
      <c r="U245" s="3063">
        <v>0</v>
      </c>
    </row>
    <row r="246" spans="1:21" ht="24">
      <c r="A246" s="1648" t="str">
        <f t="shared" si="63"/>
        <v>＝</v>
      </c>
      <c r="B246" s="1647">
        <f t="shared" si="64"/>
        <v>0</v>
      </c>
      <c r="C246" s="1647">
        <f t="shared" si="75"/>
        <v>0</v>
      </c>
      <c r="D246" s="1659">
        <v>8150</v>
      </c>
      <c r="E246" s="888" t="str">
        <f t="shared" si="62"/>
        <v>实收资本_所有者投入和减少资本影响权益</v>
      </c>
      <c r="F246" s="884">
        <f t="shared" ref="F246:M246" si="78">SUM(F247:F250)</f>
        <v>0</v>
      </c>
      <c r="G246" s="885">
        <f t="shared" si="78"/>
        <v>0</v>
      </c>
      <c r="H246" s="885">
        <f t="shared" si="78"/>
        <v>0</v>
      </c>
      <c r="I246" s="913">
        <f t="shared" si="78"/>
        <v>0</v>
      </c>
      <c r="J246" s="914">
        <f t="shared" si="78"/>
        <v>0</v>
      </c>
      <c r="K246" s="885">
        <f t="shared" si="78"/>
        <v>0</v>
      </c>
      <c r="L246" s="885">
        <f t="shared" si="78"/>
        <v>0</v>
      </c>
      <c r="M246" s="891">
        <f t="shared" si="78"/>
        <v>0</v>
      </c>
      <c r="N246" s="641"/>
      <c r="O246" s="641"/>
      <c r="P246" s="641"/>
      <c r="Q246" s="641"/>
      <c r="T246" s="3056">
        <v>8199</v>
      </c>
      <c r="U246" s="3063">
        <v>30000000</v>
      </c>
    </row>
    <row r="247" spans="1:21" ht="18">
      <c r="A247" s="1648">
        <f t="shared" si="63"/>
        <v>0</v>
      </c>
      <c r="B247" s="1647">
        <f t="shared" si="64"/>
        <v>-1</v>
      </c>
      <c r="C247" s="1647" t="str">
        <f t="shared" si="75"/>
        <v>J</v>
      </c>
      <c r="D247" s="1659">
        <v>8151</v>
      </c>
      <c r="E247" s="888" t="str">
        <f t="shared" si="62"/>
        <v>实收资本_所有者投入资本</v>
      </c>
      <c r="F247" s="884">
        <f>INDEX(Sheet_Presc,MATCH((RIGHT($D247,2)),Sheet_Prescrow,0),MATCH((LEFT($D247,2)),Sheet_Presccol,0))</f>
        <v>0</v>
      </c>
      <c r="G247" s="885">
        <f>SUMIF(AJE!$B:$B,$C247&amp;$D247&amp;"*",AJE!$O:$O)</f>
        <v>0</v>
      </c>
      <c r="H247" s="885">
        <f>SUMIF(AJE!$B:$B,$C247&amp;$D247&amp;"*",AJE!$P:$P)</f>
        <v>0</v>
      </c>
      <c r="I247" s="913">
        <f>(B247*F247+G247-H247)*B247</f>
        <v>0</v>
      </c>
      <c r="J247" s="914">
        <f>INDEX(Sheet_Presc,MATCH((RIGHT($D247,2)),Sheet_Prescrow,0),MATCH((VALUE(LEFT($D247,2))),Sheet_Presccol,0))</f>
        <v>0</v>
      </c>
      <c r="K247" s="885">
        <f>SUMIF('AJE1'!$B:$B,$C247&amp;$D247&amp;"*",'AJE1'!$O:$O)</f>
        <v>0</v>
      </c>
      <c r="L247" s="885">
        <f>SUMIF('AJE1'!$B:$B,$C247&amp;$D247&amp;"*",'AJE1'!$P:$P)</f>
        <v>0</v>
      </c>
      <c r="M247" s="891">
        <f>($B247*J247+K247-L247)*$B247</f>
        <v>0</v>
      </c>
      <c r="N247" s="641"/>
      <c r="O247" s="641"/>
      <c r="P247" s="641"/>
      <c r="Q247" s="641"/>
      <c r="T247" s="3056" t="s">
        <v>1216</v>
      </c>
      <c r="U247" s="3063"/>
    </row>
    <row r="248" spans="1:21" ht="24">
      <c r="A248" s="1648" t="str">
        <f t="shared" si="63"/>
        <v>OEI</v>
      </c>
      <c r="B248" s="1647">
        <f t="shared" si="64"/>
        <v>-1</v>
      </c>
      <c r="C248" s="1647" t="str">
        <f t="shared" si="75"/>
        <v>J</v>
      </c>
      <c r="D248" s="1659">
        <v>8153</v>
      </c>
      <c r="E248" s="888" t="str">
        <f t="shared" si="62"/>
        <v>实收资本_其他权益工具持有者投入资本</v>
      </c>
      <c r="F248" s="884">
        <f>INDEX(Sheet_Presc,MATCH((RIGHT($D248,2)),Sheet_Prescrow,0),MATCH((LEFT($D248,2)),Sheet_Presccol,0))</f>
        <v>0</v>
      </c>
      <c r="G248" s="885">
        <f>SUMIF(AJE!$B:$B,$C248&amp;$D248&amp;"*",AJE!$O:$O)</f>
        <v>0</v>
      </c>
      <c r="H248" s="885">
        <f>SUMIF(AJE!$B:$B,$C248&amp;$D248&amp;"*",AJE!$P:$P)</f>
        <v>0</v>
      </c>
      <c r="I248" s="913">
        <f>(B248*F248+G248-H248)*B248</f>
        <v>0</v>
      </c>
      <c r="J248" s="914">
        <f>INDEX(Sheet_Presc,MATCH((RIGHT($D248,2)),Sheet_Prescrow,0),MATCH((VALUE(LEFT($D248,2))),Sheet_Presccol,0))</f>
        <v>0</v>
      </c>
      <c r="K248" s="885">
        <f>SUMIF('AJE1'!$B:$B,$C248&amp;$D248&amp;"*",'AJE1'!$O:$O)</f>
        <v>0</v>
      </c>
      <c r="L248" s="885">
        <f>SUMIF('AJE1'!$B:$B,$C248&amp;$D248&amp;"*",'AJE1'!$P:$P)</f>
        <v>0</v>
      </c>
      <c r="M248" s="891">
        <f>($B248*J248+K248-L248)*$B248</f>
        <v>0</v>
      </c>
      <c r="N248" s="641"/>
      <c r="O248" s="641"/>
      <c r="P248" s="641"/>
      <c r="Q248" s="641"/>
      <c r="T248" s="3056" t="s">
        <v>1220</v>
      </c>
      <c r="U248" s="3063">
        <v>0</v>
      </c>
    </row>
    <row r="249" spans="1:21" ht="24">
      <c r="A249" s="1648" t="str">
        <f t="shared" si="63"/>
        <v>N</v>
      </c>
      <c r="B249" s="1647">
        <f t="shared" si="64"/>
        <v>-1</v>
      </c>
      <c r="C249" s="1647" t="str">
        <f t="shared" si="75"/>
        <v>J</v>
      </c>
      <c r="D249" s="1659">
        <v>8152</v>
      </c>
      <c r="E249" s="888" t="str">
        <f t="shared" si="62"/>
        <v>实收资本_股份支付计入所有者权益的金额</v>
      </c>
      <c r="F249" s="884">
        <f>INDEX(Sheet_Presc,MATCH((RIGHT($D249,2)),Sheet_Prescrow,0),MATCH((LEFT($D249,2)),Sheet_Presccol,0))</f>
        <v>0</v>
      </c>
      <c r="G249" s="885">
        <f>SUMIF(AJE!$B:$B,$C249&amp;$D249&amp;"*",AJE!$O:$O)</f>
        <v>0</v>
      </c>
      <c r="H249" s="885">
        <f>SUMIF(AJE!$B:$B,$C249&amp;$D249&amp;"*",AJE!$P:$P)</f>
        <v>0</v>
      </c>
      <c r="I249" s="913">
        <f>(B249*F249+G249-H249)*B249</f>
        <v>0</v>
      </c>
      <c r="J249" s="914">
        <f>INDEX(Sheet_Presc,MATCH((RIGHT($D249,2)),Sheet_Prescrow,0),MATCH((VALUE(LEFT($D249,2))),Sheet_Presccol,0))</f>
        <v>0</v>
      </c>
      <c r="K249" s="885">
        <f>SUMIF('AJE1'!$B:$B,$C249&amp;$D249&amp;"*",'AJE1'!$O:$O)</f>
        <v>0</v>
      </c>
      <c r="L249" s="885">
        <f>SUMIF('AJE1'!$B:$B,$C249&amp;$D249&amp;"*",'AJE1'!$P:$P)</f>
        <v>0</v>
      </c>
      <c r="M249" s="891">
        <f>($B249*J249+K249-L249)*$B249</f>
        <v>0</v>
      </c>
      <c r="N249" s="641"/>
      <c r="O249" s="641"/>
      <c r="P249" s="641"/>
      <c r="Q249" s="641"/>
      <c r="T249" s="3056" t="s">
        <v>1225</v>
      </c>
      <c r="U249" s="3063">
        <v>0</v>
      </c>
    </row>
    <row r="250" spans="1:21" ht="24">
      <c r="A250" s="1648" t="str">
        <f t="shared" si="63"/>
        <v>LOW</v>
      </c>
      <c r="B250" s="1647">
        <f t="shared" si="64"/>
        <v>-1</v>
      </c>
      <c r="C250" s="1647" t="str">
        <f t="shared" si="75"/>
        <v>J</v>
      </c>
      <c r="D250" s="1659">
        <v>8156</v>
      </c>
      <c r="E250" s="888" t="str">
        <f t="shared" si="62"/>
        <v>实收资本_所有者其他投入和减少资本</v>
      </c>
      <c r="F250" s="884">
        <f>INDEX(Sheet_Presc,MATCH((RIGHT($D250,2)),Sheet_Prescrow,0),MATCH((LEFT($D250,2)),Sheet_Presccol,0))</f>
        <v>0</v>
      </c>
      <c r="G250" s="885">
        <f>SUMIF(AJE!$B:$B,$C250&amp;$D250&amp;"*",AJE!$O:$O)</f>
        <v>0</v>
      </c>
      <c r="H250" s="885">
        <f>SUMIF(AJE!$B:$B,$C250&amp;$D250&amp;"*",AJE!$P:$P)</f>
        <v>0</v>
      </c>
      <c r="I250" s="913">
        <f>(B250*F250+G250-H250)*B250</f>
        <v>0</v>
      </c>
      <c r="J250" s="914">
        <f>INDEX(Sheet_Presc,MATCH((RIGHT($D250,2)),Sheet_Prescrow,0),MATCH((VALUE(LEFT($D250,2))),Sheet_Presccol,0))</f>
        <v>0</v>
      </c>
      <c r="K250" s="885">
        <f>SUMIF('AJE1'!$B:$B,$C250&amp;$D250&amp;"*",'AJE1'!$O:$O)</f>
        <v>0</v>
      </c>
      <c r="L250" s="885">
        <f>SUMIF('AJE1'!$B:$B,$C250&amp;$D250&amp;"*",'AJE1'!$P:$P)</f>
        <v>0</v>
      </c>
      <c r="M250" s="891">
        <f>($B250*J250+K250-L250)*$B250</f>
        <v>0</v>
      </c>
      <c r="N250" s="641"/>
      <c r="O250" s="641"/>
      <c r="P250" s="641"/>
      <c r="Q250" s="641"/>
      <c r="T250" s="3056" t="s">
        <v>1230</v>
      </c>
      <c r="U250" s="3063">
        <v>0</v>
      </c>
    </row>
    <row r="251" spans="1:21" ht="18">
      <c r="A251" s="1648" t="str">
        <f t="shared" si="63"/>
        <v>＝</v>
      </c>
      <c r="B251" s="1647">
        <f t="shared" si="64"/>
        <v>0</v>
      </c>
      <c r="C251" s="1647">
        <f t="shared" si="75"/>
        <v>0</v>
      </c>
      <c r="D251" s="1659">
        <v>8160</v>
      </c>
      <c r="E251" s="888" t="str">
        <f t="shared" si="62"/>
        <v>实收资本_利润分配影响权益</v>
      </c>
      <c r="F251" s="884">
        <f>SUM(F252:F255)</f>
        <v>0</v>
      </c>
      <c r="G251" s="885">
        <f t="shared" ref="G251:M251" si="79">SUM(G252:G255)</f>
        <v>0</v>
      </c>
      <c r="H251" s="885">
        <f t="shared" si="79"/>
        <v>0</v>
      </c>
      <c r="I251" s="913">
        <f t="shared" si="79"/>
        <v>0</v>
      </c>
      <c r="J251" s="914">
        <f t="shared" si="79"/>
        <v>0</v>
      </c>
      <c r="K251" s="885">
        <f t="shared" si="79"/>
        <v>0</v>
      </c>
      <c r="L251" s="885">
        <f t="shared" si="79"/>
        <v>0</v>
      </c>
      <c r="M251" s="891">
        <f t="shared" si="79"/>
        <v>0</v>
      </c>
      <c r="N251" s="641"/>
      <c r="O251" s="641"/>
      <c r="P251" s="641"/>
      <c r="Q251" s="641"/>
      <c r="T251" s="3056" t="s">
        <v>1236</v>
      </c>
      <c r="U251" s="3063">
        <v>0</v>
      </c>
    </row>
    <row r="252" spans="1:21" ht="18">
      <c r="A252" s="1648" t="str">
        <f t="shared" si="63"/>
        <v>N</v>
      </c>
      <c r="B252" s="1647">
        <f t="shared" si="64"/>
        <v>-1</v>
      </c>
      <c r="C252" s="1647" t="str">
        <f t="shared" si="75"/>
        <v>J</v>
      </c>
      <c r="D252" s="1659">
        <v>8161</v>
      </c>
      <c r="E252" s="888" t="str">
        <f t="shared" si="62"/>
        <v>实收资本_提取盈余公积影响权益</v>
      </c>
      <c r="F252" s="884">
        <f>INDEX(Sheet_Presc,MATCH((RIGHT($D252,2)),Sheet_Prescrow,0),MATCH((LEFT($D252,2)),Sheet_Presccol,0))</f>
        <v>0</v>
      </c>
      <c r="G252" s="885">
        <f>SUMIF(AJE!$B:$B,$C252&amp;$D252&amp;"*",AJE!$O:$O)</f>
        <v>0</v>
      </c>
      <c r="H252" s="885">
        <f>SUMIF(AJE!$B:$B,$C252&amp;$D252&amp;"*",AJE!$P:$P)</f>
        <v>0</v>
      </c>
      <c r="I252" s="913">
        <f>(B252*F252+G252-H252)*B252</f>
        <v>0</v>
      </c>
      <c r="J252" s="914">
        <f>INDEX(Sheet_Presc,MATCH((RIGHT($D252,2)),Sheet_Prescrow,0),MATCH((VALUE(LEFT($D252,2))),Sheet_Presccol,0))</f>
        <v>0</v>
      </c>
      <c r="K252" s="885">
        <f>SUMIF('AJE1'!$B:$B,$C252&amp;$D252&amp;"*",'AJE1'!$O:$O)</f>
        <v>0</v>
      </c>
      <c r="L252" s="885">
        <f>SUMIF('AJE1'!$B:$B,$C252&amp;$D252&amp;"*",'AJE1'!$P:$P)</f>
        <v>0</v>
      </c>
      <c r="M252" s="891">
        <f>($B252*J252+K252-L252)*$B252</f>
        <v>0</v>
      </c>
      <c r="N252" s="641"/>
      <c r="O252" s="641"/>
      <c r="P252" s="641"/>
      <c r="Q252" s="641"/>
      <c r="T252" s="3056" t="s">
        <v>1242</v>
      </c>
      <c r="U252" s="3063">
        <v>0</v>
      </c>
    </row>
    <row r="253" spans="1:21" ht="24">
      <c r="A253" s="1648" t="str">
        <f t="shared" si="63"/>
        <v>N</v>
      </c>
      <c r="B253" s="1647">
        <f t="shared" si="64"/>
        <v>-1</v>
      </c>
      <c r="C253" s="1647" t="str">
        <f t="shared" si="75"/>
        <v>J</v>
      </c>
      <c r="D253" s="1659">
        <v>8162</v>
      </c>
      <c r="E253" s="888" t="str">
        <f t="shared" si="62"/>
        <v>实收资本_提取一般风险准备影响权益</v>
      </c>
      <c r="F253" s="884">
        <f>INDEX(Sheet_Presc,MATCH((RIGHT($D253,2)),Sheet_Prescrow,0),MATCH((LEFT($D253,2)),Sheet_Presccol,0))</f>
        <v>0</v>
      </c>
      <c r="G253" s="885">
        <f>SUMIF(AJE!$B:$B,$C253&amp;$D253&amp;"*",AJE!$O:$O)</f>
        <v>0</v>
      </c>
      <c r="H253" s="885">
        <f>SUMIF(AJE!$B:$B,$C253&amp;$D253&amp;"*",AJE!$P:$P)</f>
        <v>0</v>
      </c>
      <c r="I253" s="913">
        <f>(B253*F253+G253-H253)*B253</f>
        <v>0</v>
      </c>
      <c r="J253" s="914">
        <f>INDEX(Sheet_Presc,MATCH((RIGHT($D253,2)),Sheet_Prescrow,0),MATCH((VALUE(LEFT($D253,2))),Sheet_Presccol,0))</f>
        <v>0</v>
      </c>
      <c r="K253" s="885">
        <f>SUMIF('AJE1'!$B:$B,$C253&amp;$D253&amp;"*",'AJE1'!$O:$O)</f>
        <v>0</v>
      </c>
      <c r="L253" s="885">
        <f>SUMIF('AJE1'!$B:$B,$C253&amp;$D253&amp;"*",'AJE1'!$P:$P)</f>
        <v>0</v>
      </c>
      <c r="M253" s="891">
        <f>($B253*J253+K253-L253)*$B253</f>
        <v>0</v>
      </c>
      <c r="N253" s="641"/>
      <c r="O253" s="641"/>
      <c r="P253" s="641"/>
      <c r="Q253" s="641"/>
      <c r="T253" s="3056" t="s">
        <v>1247</v>
      </c>
      <c r="U253" s="3063">
        <v>0</v>
      </c>
    </row>
    <row r="254" spans="1:21" ht="18">
      <c r="A254" s="1648" t="str">
        <f t="shared" si="63"/>
        <v>N</v>
      </c>
      <c r="B254" s="1647">
        <f t="shared" si="64"/>
        <v>-1</v>
      </c>
      <c r="C254" s="1647" t="str">
        <f t="shared" si="75"/>
        <v>J</v>
      </c>
      <c r="D254" s="1659">
        <v>8163</v>
      </c>
      <c r="E254" s="888" t="str">
        <f t="shared" si="62"/>
        <v>实收资本_对所有者的分配影响权益</v>
      </c>
      <c r="F254" s="884">
        <f>INDEX(Sheet_Presc,MATCH((RIGHT($D254,2)),Sheet_Prescrow,0),MATCH((LEFT($D254,2)),Sheet_Presccol,0))</f>
        <v>0</v>
      </c>
      <c r="G254" s="885">
        <f>SUMIF(AJE!$B:$B,$C254&amp;$D254&amp;"*",AJE!$O:$O)</f>
        <v>0</v>
      </c>
      <c r="H254" s="885">
        <f>SUMIF(AJE!$B:$B,$C254&amp;$D254&amp;"*",AJE!$P:$P)</f>
        <v>0</v>
      </c>
      <c r="I254" s="913">
        <f>(B254*F254+G254-H254)*B254</f>
        <v>0</v>
      </c>
      <c r="J254" s="914">
        <f>INDEX(Sheet_Presc,MATCH((RIGHT($D254,2)),Sheet_Prescrow,0),MATCH((VALUE(LEFT($D254,2))),Sheet_Presccol,0))</f>
        <v>0</v>
      </c>
      <c r="K254" s="885">
        <f>SUMIF('AJE1'!$B:$B,$C254&amp;$D254&amp;"*",'AJE1'!$O:$O)</f>
        <v>0</v>
      </c>
      <c r="L254" s="885">
        <f>SUMIF('AJE1'!$B:$B,$C254&amp;$D254&amp;"*",'AJE1'!$P:$P)</f>
        <v>0</v>
      </c>
      <c r="M254" s="891">
        <f>($B254*J254+K254-L254)*$B254</f>
        <v>0</v>
      </c>
      <c r="N254" s="641"/>
      <c r="O254" s="641"/>
      <c r="P254" s="641"/>
      <c r="Q254" s="641"/>
      <c r="T254" s="3056" t="s">
        <v>1252</v>
      </c>
      <c r="U254" s="3063">
        <v>0</v>
      </c>
    </row>
    <row r="255" spans="1:21" ht="18">
      <c r="A255" s="1648" t="str">
        <f t="shared" si="63"/>
        <v>N</v>
      </c>
      <c r="B255" s="1647">
        <f t="shared" si="64"/>
        <v>-1</v>
      </c>
      <c r="C255" s="1647" t="str">
        <f t="shared" si="75"/>
        <v>J</v>
      </c>
      <c r="D255" s="1659">
        <v>8166</v>
      </c>
      <c r="E255" s="888" t="str">
        <f t="shared" si="62"/>
        <v>实收资本_其他利润分配影响权益</v>
      </c>
      <c r="F255" s="884">
        <f>INDEX(Sheet_Presc,MATCH((RIGHT($D255,2)),Sheet_Prescrow,0),MATCH((LEFT($D255,2)),Sheet_Presccol,0))</f>
        <v>0</v>
      </c>
      <c r="G255" s="885">
        <f>SUMIF(AJE!$B:$B,$C255&amp;$D255&amp;"*",AJE!$O:$O)</f>
        <v>0</v>
      </c>
      <c r="H255" s="885">
        <f>SUMIF(AJE!$B:$B,$C255&amp;$D255&amp;"*",AJE!$P:$P)</f>
        <v>0</v>
      </c>
      <c r="I255" s="913">
        <f>(B255*F255+G255-H255)*B255</f>
        <v>0</v>
      </c>
      <c r="J255" s="914">
        <f>INDEX(Sheet_Presc,MATCH((RIGHT($D255,2)),Sheet_Prescrow,0),MATCH((VALUE(LEFT($D255,2))),Sheet_Presccol,0))</f>
        <v>0</v>
      </c>
      <c r="K255" s="885">
        <f>SUMIF('AJE1'!$B:$B,$C255&amp;$D255&amp;"*",'AJE1'!$O:$O)</f>
        <v>0</v>
      </c>
      <c r="L255" s="885">
        <f>SUMIF('AJE1'!$B:$B,$C255&amp;$D255&amp;"*",'AJE1'!$P:$P)</f>
        <v>0</v>
      </c>
      <c r="M255" s="891">
        <f>($B255*J255+K255-L255)*$B255</f>
        <v>0</v>
      </c>
      <c r="N255" s="641"/>
      <c r="O255" s="641"/>
      <c r="P255" s="641"/>
      <c r="Q255" s="641"/>
      <c r="T255" s="3056" t="s">
        <v>1256</v>
      </c>
      <c r="U255" s="3063">
        <v>0</v>
      </c>
    </row>
    <row r="256" spans="1:21" ht="18">
      <c r="A256" s="1648" t="str">
        <f t="shared" si="63"/>
        <v>＝</v>
      </c>
      <c r="B256" s="1647">
        <f t="shared" si="64"/>
        <v>0</v>
      </c>
      <c r="C256" s="1647">
        <f t="shared" si="75"/>
        <v>0</v>
      </c>
      <c r="D256" s="1659">
        <v>8170</v>
      </c>
      <c r="E256" s="888" t="str">
        <f t="shared" si="62"/>
        <v>实收资本_所有者权益内部结转</v>
      </c>
      <c r="F256" s="884">
        <f t="shared" ref="F256:M256" si="80">SUM(F257:F262)</f>
        <v>0</v>
      </c>
      <c r="G256" s="885">
        <f t="shared" si="80"/>
        <v>0</v>
      </c>
      <c r="H256" s="885">
        <f t="shared" si="80"/>
        <v>0</v>
      </c>
      <c r="I256" s="913">
        <f t="shared" si="80"/>
        <v>0</v>
      </c>
      <c r="J256" s="914">
        <f t="shared" si="80"/>
        <v>0</v>
      </c>
      <c r="K256" s="885">
        <f t="shared" si="80"/>
        <v>0</v>
      </c>
      <c r="L256" s="885">
        <f t="shared" si="80"/>
        <v>0</v>
      </c>
      <c r="M256" s="891">
        <f t="shared" si="80"/>
        <v>0</v>
      </c>
      <c r="N256" s="641"/>
      <c r="O256" s="641"/>
      <c r="P256" s="641"/>
      <c r="Q256" s="641"/>
      <c r="T256" s="3056" t="s">
        <v>1261</v>
      </c>
      <c r="U256" s="3063">
        <v>0</v>
      </c>
    </row>
    <row r="257" spans="1:21" ht="18">
      <c r="A257" s="1648">
        <f t="shared" si="63"/>
        <v>0</v>
      </c>
      <c r="B257" s="1647">
        <f t="shared" si="64"/>
        <v>-1</v>
      </c>
      <c r="C257" s="1647" t="str">
        <f t="shared" si="75"/>
        <v>J</v>
      </c>
      <c r="D257" s="1659">
        <v>8171</v>
      </c>
      <c r="E257" s="888" t="str">
        <f t="shared" si="62"/>
        <v>实收资本_资本公积转增</v>
      </c>
      <c r="F257" s="884">
        <f t="shared" ref="F257:F262" si="81">INDEX(Sheet_Presc,MATCH((RIGHT($D257,2)),Sheet_Prescrow,0),MATCH((LEFT($D257,2)),Sheet_Presccol,0))</f>
        <v>0</v>
      </c>
      <c r="G257" s="885">
        <f>SUMIF(AJE!$B:$B,$C257&amp;$D257&amp;"*",AJE!$O:$O)</f>
        <v>0</v>
      </c>
      <c r="H257" s="885">
        <f>SUMIF(AJE!$B:$B,$C257&amp;$D257&amp;"*",AJE!$P:$P)</f>
        <v>0</v>
      </c>
      <c r="I257" s="913">
        <f t="shared" ref="I257:I262" si="82">(B257*F257+G257-H257)*B257</f>
        <v>0</v>
      </c>
      <c r="J257" s="914">
        <f t="shared" ref="J257:J262" si="83">INDEX(Sheet_Presc,MATCH((RIGHT($D257,2)),Sheet_Prescrow,0),MATCH((VALUE(LEFT($D257,2))),Sheet_Presccol,0))</f>
        <v>0</v>
      </c>
      <c r="K257" s="885">
        <f>SUMIF('AJE1'!$B:$B,$C257&amp;$D257&amp;"*",'AJE1'!$O:$O)</f>
        <v>0</v>
      </c>
      <c r="L257" s="885">
        <f>SUMIF('AJE1'!$B:$B,$C257&amp;$D257&amp;"*",'AJE1'!$P:$P)</f>
        <v>0</v>
      </c>
      <c r="M257" s="891">
        <f t="shared" ref="M257:M262" si="84">($B257*J257+K257-L257)*$B257</f>
        <v>0</v>
      </c>
      <c r="N257" s="641"/>
      <c r="O257" s="641"/>
      <c r="P257" s="641"/>
      <c r="Q257" s="641"/>
      <c r="T257" s="3056" t="s">
        <v>1266</v>
      </c>
      <c r="U257" s="3063">
        <v>0</v>
      </c>
    </row>
    <row r="258" spans="1:21" ht="18">
      <c r="A258" s="1648">
        <f t="shared" si="63"/>
        <v>0</v>
      </c>
      <c r="B258" s="1647">
        <f t="shared" si="64"/>
        <v>-1</v>
      </c>
      <c r="C258" s="1647" t="str">
        <f t="shared" si="75"/>
        <v>J</v>
      </c>
      <c r="D258" s="1659">
        <v>8172</v>
      </c>
      <c r="E258" s="888" t="str">
        <f t="shared" si="62"/>
        <v>实收资本_盈余公积转增</v>
      </c>
      <c r="F258" s="884">
        <f t="shared" si="81"/>
        <v>0</v>
      </c>
      <c r="G258" s="885">
        <f>SUMIF(AJE!$B:$B,$C258&amp;$D258&amp;"*",AJE!$O:$O)</f>
        <v>0</v>
      </c>
      <c r="H258" s="885">
        <f>SUMIF(AJE!$B:$B,$C258&amp;$D258&amp;"*",AJE!$P:$P)</f>
        <v>0</v>
      </c>
      <c r="I258" s="913">
        <f t="shared" si="82"/>
        <v>0</v>
      </c>
      <c r="J258" s="914">
        <f t="shared" si="83"/>
        <v>0</v>
      </c>
      <c r="K258" s="885">
        <f>SUMIF('AJE1'!$B:$B,$C258&amp;$D258&amp;"*",'AJE1'!$O:$O)</f>
        <v>0</v>
      </c>
      <c r="L258" s="885">
        <f>SUMIF('AJE1'!$B:$B,$C258&amp;$D258&amp;"*",'AJE1'!$P:$P)</f>
        <v>0</v>
      </c>
      <c r="M258" s="891">
        <f t="shared" si="84"/>
        <v>0</v>
      </c>
      <c r="N258" s="641"/>
      <c r="O258" s="641"/>
      <c r="P258" s="641"/>
      <c r="Q258" s="641"/>
      <c r="T258" s="3056" t="s">
        <v>1276</v>
      </c>
      <c r="U258" s="3063">
        <v>0</v>
      </c>
    </row>
    <row r="259" spans="1:21" ht="24">
      <c r="A259" s="1648" t="str">
        <f t="shared" si="63"/>
        <v>N</v>
      </c>
      <c r="B259" s="1647">
        <f t="shared" si="64"/>
        <v>-1</v>
      </c>
      <c r="C259" s="1647" t="str">
        <f t="shared" si="75"/>
        <v>J</v>
      </c>
      <c r="D259" s="1659">
        <v>8173</v>
      </c>
      <c r="E259" s="888" t="str">
        <f t="shared" si="62"/>
        <v>实收资本_盈余公积弥补亏损影响权益</v>
      </c>
      <c r="F259" s="884">
        <f t="shared" si="81"/>
        <v>0</v>
      </c>
      <c r="G259" s="885">
        <f>SUMIF(AJE!$B:$B,$C259&amp;$D259&amp;"*",AJE!$O:$O)</f>
        <v>0</v>
      </c>
      <c r="H259" s="885">
        <f>SUMIF(AJE!$B:$B,$C259&amp;$D259&amp;"*",AJE!$P:$P)</f>
        <v>0</v>
      </c>
      <c r="I259" s="913">
        <f t="shared" si="82"/>
        <v>0</v>
      </c>
      <c r="J259" s="914">
        <f t="shared" si="83"/>
        <v>0</v>
      </c>
      <c r="K259" s="885">
        <f>SUMIF('AJE1'!$B:$B,$C259&amp;$D259&amp;"*",'AJE1'!$O:$O)</f>
        <v>0</v>
      </c>
      <c r="L259" s="885">
        <f>SUMIF('AJE1'!$B:$B,$C259&amp;$D259&amp;"*",'AJE1'!$P:$P)</f>
        <v>0</v>
      </c>
      <c r="M259" s="891">
        <f t="shared" si="84"/>
        <v>0</v>
      </c>
      <c r="N259" s="641"/>
      <c r="O259" s="641"/>
      <c r="P259" s="641"/>
      <c r="Q259" s="641"/>
      <c r="T259" s="3056" t="s">
        <v>1271</v>
      </c>
      <c r="U259" s="3063">
        <v>0</v>
      </c>
    </row>
    <row r="260" spans="1:21" ht="24">
      <c r="A260" s="1648" t="str">
        <f t="shared" si="63"/>
        <v>OEI</v>
      </c>
      <c r="B260" s="1647">
        <f t="shared" si="64"/>
        <v>-1</v>
      </c>
      <c r="C260" s="1647" t="str">
        <f t="shared" si="75"/>
        <v>J</v>
      </c>
      <c r="D260" s="1659">
        <v>8175</v>
      </c>
      <c r="E260" s="888" t="str">
        <f t="shared" si="62"/>
        <v>实收资本_设定受益计划变动额结转留存收益</v>
      </c>
      <c r="F260" s="884">
        <f t="shared" si="81"/>
        <v>0</v>
      </c>
      <c r="G260" s="885">
        <f>SUMIF(AJE!$B:$B,$C260&amp;$D260&amp;"*",AJE!$O:$O)</f>
        <v>0</v>
      </c>
      <c r="H260" s="885">
        <f>SUMIF(AJE!$B:$B,$C260&amp;$D260&amp;"*",AJE!$P:$P)</f>
        <v>0</v>
      </c>
      <c r="I260" s="913">
        <f t="shared" si="82"/>
        <v>0</v>
      </c>
      <c r="J260" s="914">
        <f t="shared" si="83"/>
        <v>0</v>
      </c>
      <c r="K260" s="885">
        <f>SUMIF('AJE1'!$B:$B,$C260&amp;$D260&amp;"*",'AJE1'!$O:$O)</f>
        <v>0</v>
      </c>
      <c r="L260" s="885">
        <f>SUMIF('AJE1'!$B:$B,$C260&amp;$D260&amp;"*",'AJE1'!$P:$P)</f>
        <v>0</v>
      </c>
      <c r="M260" s="891">
        <f t="shared" si="84"/>
        <v>0</v>
      </c>
      <c r="N260" s="641"/>
      <c r="O260" s="641"/>
      <c r="P260" s="641"/>
      <c r="Q260" s="641"/>
      <c r="T260" s="3056" t="s">
        <v>1281</v>
      </c>
      <c r="U260" s="3063">
        <v>0</v>
      </c>
    </row>
    <row r="261" spans="1:21" ht="24">
      <c r="A261" s="1648" t="str">
        <f>VLOOKUP($D261,Sheet_Items,4,0)</f>
        <v>_JR</v>
      </c>
      <c r="B261" s="1647">
        <f>VLOOKUP($D261,Sheet_Items,3,0)</f>
        <v>-1</v>
      </c>
      <c r="C261" s="1647" t="str">
        <f>VLOOKUP($D261,Sheet_Items,9,0)</f>
        <v>J</v>
      </c>
      <c r="D261" s="1659">
        <v>8177</v>
      </c>
      <c r="E261" s="889" t="str">
        <f>VLOOKUP($D261,Sheet_Items,2,0)</f>
        <v>实收资本_其他综合收益结转留存收益</v>
      </c>
      <c r="F261" s="884">
        <f t="shared" si="81"/>
        <v>0</v>
      </c>
      <c r="G261" s="885">
        <f>SUMIF(AJE!$B:$B,$C261&amp;$D261&amp;"*",AJE!$O:$O)</f>
        <v>0</v>
      </c>
      <c r="H261" s="885">
        <f>SUMIF(AJE!$B:$B,$C261&amp;$D261&amp;"*",AJE!$P:$P)</f>
        <v>0</v>
      </c>
      <c r="I261" s="913">
        <f t="shared" si="82"/>
        <v>0</v>
      </c>
      <c r="J261" s="914">
        <f t="shared" si="83"/>
        <v>0</v>
      </c>
      <c r="K261" s="885">
        <f>SUMIF('AJE1'!$B:$B,$C261&amp;$D261&amp;"*",'AJE1'!$O:$O)</f>
        <v>0</v>
      </c>
      <c r="L261" s="885">
        <f>SUMIF('AJE1'!$B:$B,$C261&amp;$D261&amp;"*",'AJE1'!$P:$P)</f>
        <v>0</v>
      </c>
      <c r="M261" s="891">
        <f t="shared" si="84"/>
        <v>0</v>
      </c>
      <c r="N261" s="641"/>
      <c r="O261" s="641"/>
      <c r="P261" s="641"/>
      <c r="Q261" s="641"/>
      <c r="T261" s="3056" t="s">
        <v>1286</v>
      </c>
      <c r="U261" s="3063">
        <v>0</v>
      </c>
    </row>
    <row r="262" spans="1:21" ht="18">
      <c r="A262" s="1648" t="str">
        <f t="shared" si="63"/>
        <v>LOW</v>
      </c>
      <c r="B262" s="1647">
        <f t="shared" si="64"/>
        <v>-1</v>
      </c>
      <c r="C262" s="1647" t="str">
        <f t="shared" si="75"/>
        <v>J</v>
      </c>
      <c r="D262" s="1659">
        <v>8176</v>
      </c>
      <c r="E262" s="888" t="str">
        <f t="shared" si="62"/>
        <v>实收资本_所有者权益其他内部结转</v>
      </c>
      <c r="F262" s="884">
        <f t="shared" si="81"/>
        <v>0</v>
      </c>
      <c r="G262" s="885">
        <f>SUMIF(AJE!$B:$B,$C262&amp;$D262&amp;"*",AJE!$O:$O)</f>
        <v>0</v>
      </c>
      <c r="H262" s="885">
        <f>SUMIF(AJE!$B:$B,$C262&amp;$D262&amp;"*",AJE!$P:$P)</f>
        <v>0</v>
      </c>
      <c r="I262" s="913">
        <f t="shared" si="82"/>
        <v>0</v>
      </c>
      <c r="J262" s="914">
        <f t="shared" si="83"/>
        <v>0</v>
      </c>
      <c r="K262" s="885">
        <f>SUMIF('AJE1'!$B:$B,$C262&amp;$D262&amp;"*",'AJE1'!$O:$O)</f>
        <v>0</v>
      </c>
      <c r="L262" s="885">
        <f>SUMIF('AJE1'!$B:$B,$C262&amp;$D262&amp;"*",'AJE1'!$P:$P)</f>
        <v>0</v>
      </c>
      <c r="M262" s="891">
        <f t="shared" si="84"/>
        <v>0</v>
      </c>
      <c r="N262" s="641"/>
      <c r="O262" s="641"/>
      <c r="P262" s="641"/>
      <c r="Q262" s="641"/>
      <c r="T262" s="3056" t="s">
        <v>1291</v>
      </c>
      <c r="U262" s="3063">
        <v>0</v>
      </c>
    </row>
    <row r="263" spans="1:21" ht="18">
      <c r="A263" s="1648" t="str">
        <f t="shared" si="63"/>
        <v>＝</v>
      </c>
      <c r="B263" s="1647">
        <f t="shared" si="64"/>
        <v>0</v>
      </c>
      <c r="C263" s="1647">
        <f t="shared" si="75"/>
        <v>0</v>
      </c>
      <c r="D263" s="1659">
        <v>8180</v>
      </c>
      <c r="E263" s="888" t="str">
        <f t="shared" si="62"/>
        <v>实收资本_专项储备影响权益</v>
      </c>
      <c r="F263" s="884">
        <f>SUM(F264:F265)</f>
        <v>0</v>
      </c>
      <c r="G263" s="885">
        <f t="shared" ref="G263:M263" si="85">SUM(G264:G265)</f>
        <v>0</v>
      </c>
      <c r="H263" s="885">
        <f t="shared" si="85"/>
        <v>0</v>
      </c>
      <c r="I263" s="913">
        <f t="shared" si="85"/>
        <v>0</v>
      </c>
      <c r="J263" s="914">
        <f t="shared" si="85"/>
        <v>0</v>
      </c>
      <c r="K263" s="885">
        <f t="shared" si="85"/>
        <v>0</v>
      </c>
      <c r="L263" s="885">
        <f t="shared" si="85"/>
        <v>0</v>
      </c>
      <c r="M263" s="891">
        <f t="shared" si="85"/>
        <v>0</v>
      </c>
      <c r="N263" s="641"/>
      <c r="O263" s="641"/>
      <c r="P263" s="641"/>
      <c r="Q263" s="641"/>
      <c r="T263" s="3056" t="s">
        <v>1297</v>
      </c>
      <c r="U263" s="3063">
        <v>0</v>
      </c>
    </row>
    <row r="264" spans="1:21" ht="18">
      <c r="A264" s="1648" t="str">
        <f t="shared" si="63"/>
        <v>N</v>
      </c>
      <c r="B264" s="1647">
        <f t="shared" si="64"/>
        <v>-1</v>
      </c>
      <c r="C264" s="1647" t="str">
        <f t="shared" si="75"/>
        <v>J</v>
      </c>
      <c r="D264" s="1659">
        <v>8181</v>
      </c>
      <c r="E264" s="888" t="str">
        <f t="shared" si="62"/>
        <v>实收资本_专项储备本期提取</v>
      </c>
      <c r="F264" s="884">
        <f>INDEX(Sheet_Presc,MATCH((RIGHT($D264,2)),Sheet_Prescrow,0),MATCH((LEFT($D264,2)),Sheet_Presccol,0))</f>
        <v>0</v>
      </c>
      <c r="G264" s="885">
        <f>SUMIF(AJE!$B:$B,$C264&amp;$D264&amp;"*",AJE!$O:$O)</f>
        <v>0</v>
      </c>
      <c r="H264" s="885">
        <f>SUMIF(AJE!$B:$B,$C264&amp;$D264&amp;"*",AJE!$P:$P)</f>
        <v>0</v>
      </c>
      <c r="I264" s="913">
        <f>(B264*F264+G264-H264)*B264</f>
        <v>0</v>
      </c>
      <c r="J264" s="914">
        <f>INDEX(Sheet_Presc,MATCH((RIGHT($D264,2)),Sheet_Prescrow,0),MATCH((VALUE(LEFT($D264,2))),Sheet_Presccol,0))</f>
        <v>0</v>
      </c>
      <c r="K264" s="885">
        <f>SUMIF('AJE1'!$B:$B,$C264&amp;$D264&amp;"*",'AJE1'!$O:$O)</f>
        <v>0</v>
      </c>
      <c r="L264" s="885">
        <f>SUMIF('AJE1'!$B:$B,$C264&amp;$D264&amp;"*",'AJE1'!$P:$P)</f>
        <v>0</v>
      </c>
      <c r="M264" s="891">
        <f>($B264*J264+K264-L264)*$B264</f>
        <v>0</v>
      </c>
      <c r="N264" s="641"/>
      <c r="O264" s="641"/>
      <c r="P264" s="641"/>
      <c r="Q264" s="641"/>
      <c r="T264" s="3056" t="s">
        <v>1301</v>
      </c>
      <c r="U264" s="3063">
        <v>0</v>
      </c>
    </row>
    <row r="265" spans="1:21" ht="18">
      <c r="A265" s="1648" t="str">
        <f t="shared" si="63"/>
        <v>N</v>
      </c>
      <c r="B265" s="1647">
        <f t="shared" si="64"/>
        <v>-1</v>
      </c>
      <c r="C265" s="1647" t="str">
        <f t="shared" si="75"/>
        <v>J</v>
      </c>
      <c r="D265" s="1659">
        <v>8182</v>
      </c>
      <c r="E265" s="888" t="str">
        <f t="shared" si="62"/>
        <v>实收资本_专项储备本期使用</v>
      </c>
      <c r="F265" s="884">
        <f>INDEX(Sheet_Presc,MATCH((RIGHT($D265,2)),Sheet_Prescrow,0),MATCH((LEFT($D265,2)),Sheet_Presccol,0))</f>
        <v>0</v>
      </c>
      <c r="G265" s="885">
        <f>SUMIF(AJE!$B:$B,$C265&amp;$D265&amp;"*",AJE!$O:$O)</f>
        <v>0</v>
      </c>
      <c r="H265" s="885">
        <f>SUMIF(AJE!$B:$B,$C265&amp;$D265&amp;"*",AJE!$P:$P)</f>
        <v>0</v>
      </c>
      <c r="I265" s="913">
        <f>(B265*F265+G265-H265)*B265</f>
        <v>0</v>
      </c>
      <c r="J265" s="914">
        <f>INDEX(Sheet_Presc,MATCH((RIGHT($D265,2)),Sheet_Prescrow,0),MATCH((VALUE(LEFT($D265,2))),Sheet_Presccol,0))</f>
        <v>0</v>
      </c>
      <c r="K265" s="885">
        <f>SUMIF('AJE1'!$B:$B,$C265&amp;$D265&amp;"*",'AJE1'!$O:$O)</f>
        <v>0</v>
      </c>
      <c r="L265" s="885">
        <f>SUMIF('AJE1'!$B:$B,$C265&amp;$D265&amp;"*",'AJE1'!$P:$P)</f>
        <v>0</v>
      </c>
      <c r="M265" s="891">
        <f>($B265*J265+K265-L265)*$B265</f>
        <v>0</v>
      </c>
      <c r="N265" s="641"/>
      <c r="O265" s="641"/>
      <c r="P265" s="641"/>
      <c r="Q265" s="641"/>
      <c r="T265" s="3056" t="s">
        <v>1307</v>
      </c>
      <c r="U265" s="3063">
        <v>0</v>
      </c>
    </row>
    <row r="266" spans="1:21" ht="18">
      <c r="A266" s="1648" t="str">
        <f t="shared" si="63"/>
        <v>LOW</v>
      </c>
      <c r="B266" s="1647">
        <f t="shared" si="64"/>
        <v>-1</v>
      </c>
      <c r="C266" s="1647" t="str">
        <f t="shared" si="75"/>
        <v>J</v>
      </c>
      <c r="D266" s="1659">
        <v>8196</v>
      </c>
      <c r="E266" s="888" t="str">
        <f t="shared" si="62"/>
        <v>实收资本_本期其他增减变动</v>
      </c>
      <c r="F266" s="884">
        <f>INDEX(Sheet_Presc,MATCH((RIGHT($D266,2)),Sheet_Prescrow,0),MATCH((LEFT($D266,2)),Sheet_Presccol,0))</f>
        <v>0</v>
      </c>
      <c r="G266" s="885">
        <f>SUMIF(AJE!$B:$B,$C266&amp;$D266&amp;"*",AJE!$O:$O)</f>
        <v>0</v>
      </c>
      <c r="H266" s="885">
        <f>SUMIF(AJE!$B:$B,$C266&amp;$D266&amp;"*",AJE!$P:$P)</f>
        <v>0</v>
      </c>
      <c r="I266" s="913">
        <f>(B266*F266+G266-H266)*B266</f>
        <v>0</v>
      </c>
      <c r="J266" s="914">
        <f>INDEX(Sheet_Presc,MATCH((RIGHT($D266,2)),Sheet_Prescrow,0),MATCH((VALUE(LEFT($D266,2))),Sheet_Presccol,0))</f>
        <v>0</v>
      </c>
      <c r="K266" s="885">
        <f>SUMIF('AJE1'!$B:$B,$C266&amp;$D266&amp;"*",'AJE1'!$O:$O)</f>
        <v>0</v>
      </c>
      <c r="L266" s="885">
        <f>SUMIF('AJE1'!$B:$B,$C266&amp;$D266&amp;"*",'AJE1'!$P:$P)</f>
        <v>0</v>
      </c>
      <c r="M266" s="891">
        <f>($B266*J266+K266-L266)*$B266</f>
        <v>0</v>
      </c>
      <c r="N266" s="641"/>
      <c r="O266" s="641"/>
      <c r="P266" s="641"/>
      <c r="Q266" s="641"/>
      <c r="T266" s="3056" t="s">
        <v>1312</v>
      </c>
      <c r="U266" s="3063">
        <v>0</v>
      </c>
    </row>
    <row r="267" spans="1:21" ht="18">
      <c r="A267" s="1648" t="str">
        <f t="shared" si="63"/>
        <v>＝</v>
      </c>
      <c r="B267" s="1647">
        <f t="shared" si="64"/>
        <v>0</v>
      </c>
      <c r="C267" s="1647">
        <f t="shared" ref="C267:C299" si="86">VLOOKUP($D267,Sheet_Items,9,0)</f>
        <v>0</v>
      </c>
      <c r="D267" s="1659">
        <v>8199</v>
      </c>
      <c r="E267" s="888" t="str">
        <f t="shared" si="62"/>
        <v>实收资本_本期期末余额</v>
      </c>
      <c r="F267" s="884">
        <f t="shared" ref="F267:M267" si="87">SUM(F241,F242)</f>
        <v>30000000</v>
      </c>
      <c r="G267" s="885">
        <f t="shared" si="87"/>
        <v>0</v>
      </c>
      <c r="H267" s="885">
        <f t="shared" si="87"/>
        <v>0</v>
      </c>
      <c r="I267" s="913">
        <f t="shared" si="87"/>
        <v>30000000</v>
      </c>
      <c r="J267" s="914">
        <f t="shared" si="87"/>
        <v>30000000</v>
      </c>
      <c r="K267" s="885">
        <f t="shared" si="87"/>
        <v>0</v>
      </c>
      <c r="L267" s="885">
        <f t="shared" si="87"/>
        <v>0</v>
      </c>
      <c r="M267" s="891">
        <f t="shared" si="87"/>
        <v>30000000</v>
      </c>
      <c r="N267" s="641"/>
      <c r="O267" s="641"/>
      <c r="P267" s="641"/>
      <c r="Q267" s="641"/>
      <c r="T267" s="3056" t="s">
        <v>1318</v>
      </c>
      <c r="U267" s="3063">
        <v>0</v>
      </c>
    </row>
    <row r="268" spans="1:21" ht="18">
      <c r="A268" s="1648" t="str">
        <f t="shared" si="63"/>
        <v>：OEI</v>
      </c>
      <c r="B268" s="1647">
        <f t="shared" si="64"/>
        <v>0</v>
      </c>
      <c r="C268" s="1647">
        <f t="shared" si="86"/>
        <v>0</v>
      </c>
      <c r="D268" s="1659" t="s">
        <v>1216</v>
      </c>
      <c r="E268" s="890" t="str">
        <f t="shared" si="62"/>
        <v>其他权益工具（优先股）增减变动</v>
      </c>
      <c r="F268" s="884"/>
      <c r="G268" s="885"/>
      <c r="H268" s="885"/>
      <c r="I268" s="913"/>
      <c r="J268" s="914"/>
      <c r="K268" s="885"/>
      <c r="L268" s="885"/>
      <c r="M268" s="891"/>
      <c r="N268" s="641"/>
      <c r="O268" s="641"/>
      <c r="P268" s="641"/>
      <c r="Q268" s="641"/>
      <c r="T268" s="3056" t="s">
        <v>1323</v>
      </c>
      <c r="U268" s="3063">
        <v>0</v>
      </c>
    </row>
    <row r="269" spans="1:21" ht="24">
      <c r="A269" s="1648" t="str">
        <f t="shared" ref="A269:A334" si="88">VLOOKUP($D269,Sheet_Items,4,0)</f>
        <v>OEI</v>
      </c>
      <c r="B269" s="1647">
        <f t="shared" ref="B269:B334" si="89">VLOOKUP($D269,Sheet_Items,3,0)</f>
        <v>-1</v>
      </c>
      <c r="C269" s="1647" t="str">
        <f t="shared" si="86"/>
        <v>J</v>
      </c>
      <c r="D269" s="1659" t="s">
        <v>1220</v>
      </c>
      <c r="E269" s="888" t="str">
        <f t="shared" si="62"/>
        <v>其他权益工具（优先股）_上年年末余额</v>
      </c>
      <c r="F269" s="884">
        <f>INDEX(Sheet_Presc,MATCH((RIGHT($D269,2)),Sheet_Prescrow,0),MATCH((LEFT($D269,2)),Sheet_Presccol,0))</f>
        <v>0</v>
      </c>
      <c r="G269" s="885">
        <f>SUMIF(AJE!$B:$B,$C269&amp;$D269&amp;"*",AJE!$O:$O)</f>
        <v>0</v>
      </c>
      <c r="H269" s="885">
        <f>SUMIF(AJE!$B:$B,$C269&amp;$D269&amp;"*",AJE!$P:$P)</f>
        <v>0</v>
      </c>
      <c r="I269" s="913">
        <f>(B269*F269+G269-H269)*B269</f>
        <v>0</v>
      </c>
      <c r="J269" s="914">
        <f ca="1">OFFSET(INDEX(Sheet_Presc,MATCH((RIGHT($D269,2)),Sheet_Prescrow,0),MATCH((LEFT($D269,2)),Sheet_Presccol,0)),0,(COLUMNS(Sheet_Presccol)-2)/2)</f>
        <v>0</v>
      </c>
      <c r="K269" s="885">
        <f>SUMIF('AJE1'!$B:$B,$C269&amp;$D269&amp;"*",'AJE1'!$O:$O)</f>
        <v>0</v>
      </c>
      <c r="L269" s="885">
        <f>SUMIF('AJE1'!$B:$B,$C269&amp;$D269&amp;"*",'AJE1'!$P:$P)</f>
        <v>0</v>
      </c>
      <c r="M269" s="891">
        <f ca="1">($B269*J269+K269-L269)*$B269</f>
        <v>0</v>
      </c>
      <c r="N269" s="641"/>
      <c r="O269" s="641"/>
      <c r="P269" s="641"/>
      <c r="Q269" s="641"/>
      <c r="T269" s="3056" t="s">
        <v>1328</v>
      </c>
      <c r="U269" s="3063">
        <v>0</v>
      </c>
    </row>
    <row r="270" spans="1:21" ht="24">
      <c r="A270" s="1648" t="str">
        <f t="shared" si="88"/>
        <v>OEI</v>
      </c>
      <c r="B270" s="1647">
        <f t="shared" si="89"/>
        <v>-1</v>
      </c>
      <c r="C270" s="1647" t="str">
        <f t="shared" si="86"/>
        <v>J</v>
      </c>
      <c r="D270" s="1659" t="s">
        <v>1225</v>
      </c>
      <c r="E270" s="888" t="str">
        <f t="shared" si="62"/>
        <v>其他权益工具（优先股）_会计政策变更调整上年年末余额</v>
      </c>
      <c r="F270" s="884">
        <f>INDEX(Sheet_Presc,MATCH((RIGHT($D270,2)),Sheet_Prescrow,0),MATCH((LEFT($D270,2)),Sheet_Presccol,0))</f>
        <v>0</v>
      </c>
      <c r="G270" s="885">
        <f>SUMIF(AJE!$B:$B,$C270&amp;$D270&amp;"*",AJE!$O:$O)</f>
        <v>0</v>
      </c>
      <c r="H270" s="885">
        <f>SUMIF(AJE!$B:$B,$C270&amp;$D270&amp;"*",AJE!$P:$P)</f>
        <v>0</v>
      </c>
      <c r="I270" s="913">
        <f>(B270*F270+G270-H270)*B270</f>
        <v>0</v>
      </c>
      <c r="J270" s="914">
        <f ca="1">OFFSET(INDEX(Sheet_Presc,MATCH((RIGHT($D270,2)),Sheet_Prescrow,0),MATCH((LEFT($D270,2)),Sheet_Presccol,0)),0,(COLUMNS(Sheet_Presccol)-2)/2)</f>
        <v>0</v>
      </c>
      <c r="K270" s="885">
        <f>SUMIF('AJE1'!$B:$B,$C270&amp;$D270&amp;"*",'AJE1'!$O:$O)</f>
        <v>0</v>
      </c>
      <c r="L270" s="885">
        <f>SUMIF('AJE1'!$B:$B,$C270&amp;$D270&amp;"*",'AJE1'!$P:$P)</f>
        <v>0</v>
      </c>
      <c r="M270" s="891">
        <f ca="1">($B270*J270+K270-L270)*$B270</f>
        <v>0</v>
      </c>
      <c r="N270" s="641"/>
      <c r="O270" s="641"/>
      <c r="P270" s="641"/>
      <c r="Q270" s="641"/>
      <c r="T270" s="3056" t="s">
        <v>1333</v>
      </c>
      <c r="U270" s="3063">
        <v>0</v>
      </c>
    </row>
    <row r="271" spans="1:21" ht="24">
      <c r="A271" s="1648" t="str">
        <f t="shared" si="88"/>
        <v>OEI</v>
      </c>
      <c r="B271" s="1647">
        <f t="shared" si="89"/>
        <v>-1</v>
      </c>
      <c r="C271" s="1647" t="str">
        <f t="shared" si="86"/>
        <v>J</v>
      </c>
      <c r="D271" s="1659" t="s">
        <v>1230</v>
      </c>
      <c r="E271" s="888" t="str">
        <f t="shared" si="62"/>
        <v>其他权益工具（优先股）_前期差错更正调整上年年末余额</v>
      </c>
      <c r="F271" s="884">
        <f>INDEX(Sheet_Presc,MATCH((RIGHT($D271,2)),Sheet_Prescrow,0),MATCH((LEFT($D271,2)),Sheet_Presccol,0))</f>
        <v>0</v>
      </c>
      <c r="G271" s="885">
        <f>SUMIF(AJE!$B:$B,$C271&amp;$D271&amp;"*",AJE!$O:$O)</f>
        <v>0</v>
      </c>
      <c r="H271" s="885">
        <f>SUMIF(AJE!$B:$B,$C271&amp;$D271&amp;"*",AJE!$P:$P)</f>
        <v>0</v>
      </c>
      <c r="I271" s="913">
        <f>(B271*F271+G271-H271)*B271</f>
        <v>0</v>
      </c>
      <c r="J271" s="914">
        <f ca="1">OFFSET(INDEX(Sheet_Presc,MATCH((RIGHT($D271,2)),Sheet_Prescrow,0),MATCH((LEFT($D271,2)),Sheet_Presccol,0)),0,(COLUMNS(Sheet_Presccol)-2)/2)</f>
        <v>0</v>
      </c>
      <c r="K271" s="885">
        <f>SUMIF('AJE1'!$B:$B,$C271&amp;$D271&amp;"*",'AJE1'!$O:$O)</f>
        <v>0</v>
      </c>
      <c r="L271" s="885">
        <f>SUMIF('AJE1'!$B:$B,$C271&amp;$D271&amp;"*",'AJE1'!$P:$P)</f>
        <v>0</v>
      </c>
      <c r="M271" s="891">
        <f ca="1">($B271*J271+K271-L271)*$B271</f>
        <v>0</v>
      </c>
      <c r="N271" s="641"/>
      <c r="O271" s="641"/>
      <c r="P271" s="641"/>
      <c r="Q271" s="641"/>
      <c r="T271" s="3056" t="s">
        <v>1338</v>
      </c>
      <c r="U271" s="3063">
        <v>0</v>
      </c>
    </row>
    <row r="272" spans="1:21" ht="24">
      <c r="A272" s="1648" t="str">
        <f t="shared" si="88"/>
        <v>※OEI</v>
      </c>
      <c r="B272" s="1647">
        <f t="shared" si="89"/>
        <v>-1</v>
      </c>
      <c r="C272" s="1647" t="str">
        <f t="shared" si="86"/>
        <v>J</v>
      </c>
      <c r="D272" s="1659" t="s">
        <v>1236</v>
      </c>
      <c r="E272" s="888" t="str">
        <f t="shared" si="62"/>
        <v>其他权益工具（优先股）_同一控制下企业合并调整上年年末余额</v>
      </c>
      <c r="F272" s="884">
        <f>INDEX(Sheet_Presc,MATCH((RIGHT($D272,2)),Sheet_Prescrow,0),MATCH((LEFT($D272,2)),Sheet_Presccol,0))</f>
        <v>0</v>
      </c>
      <c r="G272" s="885">
        <f>SUMIF(AJE!$B:$B,$C272&amp;$D272&amp;"*",AJE!$O:$O)</f>
        <v>0</v>
      </c>
      <c r="H272" s="885">
        <f>SUMIF(AJE!$B:$B,$C272&amp;$D272&amp;"*",AJE!$P:$P)</f>
        <v>0</v>
      </c>
      <c r="I272" s="913">
        <f>(B272*F272+G272-H272)*B272</f>
        <v>0</v>
      </c>
      <c r="J272" s="914">
        <f ca="1">OFFSET(INDEX(Sheet_Presc,MATCH((RIGHT($D272,2)),Sheet_Prescrow,0),MATCH((LEFT($D272,2)),Sheet_Presccol,0)),0,(COLUMNS(Sheet_Presccol)-2)/2)</f>
        <v>0</v>
      </c>
      <c r="K272" s="885">
        <f>SUMIF('AJE1'!$B:$B,$C272&amp;$D272&amp;"*",'AJE1'!$O:$O)</f>
        <v>0</v>
      </c>
      <c r="L272" s="885">
        <f>SUMIF('AJE1'!$B:$B,$C272&amp;$D272&amp;"*",'AJE1'!$P:$P)</f>
        <v>0</v>
      </c>
      <c r="M272" s="891">
        <f ca="1">($B272*J272+K272-L272)*$B272</f>
        <v>0</v>
      </c>
      <c r="N272" s="641"/>
      <c r="O272" s="641"/>
      <c r="P272" s="641"/>
      <c r="Q272" s="641"/>
      <c r="T272" s="3056" t="s">
        <v>1344</v>
      </c>
      <c r="U272" s="3063">
        <v>0</v>
      </c>
    </row>
    <row r="273" spans="1:21" ht="24">
      <c r="A273" s="1648" t="str">
        <f t="shared" si="88"/>
        <v>OEI</v>
      </c>
      <c r="B273" s="1647">
        <f t="shared" si="89"/>
        <v>-1</v>
      </c>
      <c r="C273" s="1647" t="str">
        <f t="shared" si="86"/>
        <v>J</v>
      </c>
      <c r="D273" s="1659" t="s">
        <v>1242</v>
      </c>
      <c r="E273" s="888" t="str">
        <f t="shared" si="62"/>
        <v>其他权益工具（优先股）_其他原因调整上年年末余额</v>
      </c>
      <c r="F273" s="884">
        <f>INDEX(Sheet_Presc,MATCH((RIGHT($D273,2)),Sheet_Prescrow,0),MATCH((LEFT($D273,2)),Sheet_Presccol,0))</f>
        <v>0</v>
      </c>
      <c r="G273" s="885">
        <f>SUMIF(AJE!$B:$B,$C273&amp;$D273&amp;"*",AJE!$O:$O)</f>
        <v>0</v>
      </c>
      <c r="H273" s="885">
        <f>SUMIF(AJE!$B:$B,$C273&amp;$D273&amp;"*",AJE!$P:$P)</f>
        <v>0</v>
      </c>
      <c r="I273" s="913">
        <f>(B273*F273+G273-H273)*B273</f>
        <v>0</v>
      </c>
      <c r="J273" s="914">
        <f ca="1">OFFSET(INDEX(Sheet_Presc,MATCH((RIGHT($D273,2)),Sheet_Prescrow,0),MATCH((LEFT($D273,2)),Sheet_Presccol,0)),0,(COLUMNS(Sheet_Presccol)-2)/2)</f>
        <v>0</v>
      </c>
      <c r="K273" s="885">
        <f>SUMIF('AJE1'!$B:$B,$C273&amp;$D273&amp;"*",'AJE1'!$O:$O)</f>
        <v>0</v>
      </c>
      <c r="L273" s="885">
        <f>SUMIF('AJE1'!$B:$B,$C273&amp;$D273&amp;"*",'AJE1'!$P:$P)</f>
        <v>0</v>
      </c>
      <c r="M273" s="891">
        <f ca="1">($B273*J273+K273-L273)*$B273</f>
        <v>0</v>
      </c>
      <c r="N273" s="641"/>
      <c r="O273" s="641"/>
      <c r="P273" s="641"/>
      <c r="Q273" s="641"/>
      <c r="T273" s="3056" t="s">
        <v>1348</v>
      </c>
      <c r="U273" s="3063">
        <v>0</v>
      </c>
    </row>
    <row r="274" spans="1:21" ht="24">
      <c r="A274" s="1648" t="str">
        <f t="shared" si="88"/>
        <v>OEI＝</v>
      </c>
      <c r="B274" s="1647">
        <f t="shared" si="89"/>
        <v>0</v>
      </c>
      <c r="C274" s="1647">
        <f t="shared" si="86"/>
        <v>0</v>
      </c>
      <c r="D274" s="1659" t="s">
        <v>1247</v>
      </c>
      <c r="E274" s="890" t="str">
        <f t="shared" si="62"/>
        <v>其他权益工具（优先股）_本年年初余额</v>
      </c>
      <c r="F274" s="884">
        <f>SUM(F269:F273)</f>
        <v>0</v>
      </c>
      <c r="G274" s="885">
        <f t="shared" ref="G274:M274" si="90">SUM(G269:G273)</f>
        <v>0</v>
      </c>
      <c r="H274" s="885">
        <f t="shared" si="90"/>
        <v>0</v>
      </c>
      <c r="I274" s="913">
        <f t="shared" si="90"/>
        <v>0</v>
      </c>
      <c r="J274" s="914">
        <f t="shared" ca="1" si="90"/>
        <v>0</v>
      </c>
      <c r="K274" s="885">
        <f t="shared" si="90"/>
        <v>0</v>
      </c>
      <c r="L274" s="885">
        <f t="shared" si="90"/>
        <v>0</v>
      </c>
      <c r="M274" s="891">
        <f t="shared" ca="1" si="90"/>
        <v>0</v>
      </c>
      <c r="N274" s="641"/>
      <c r="O274" s="641"/>
      <c r="P274" s="641"/>
      <c r="Q274" s="641"/>
      <c r="T274" s="3056" t="s">
        <v>1353</v>
      </c>
      <c r="U274" s="3063">
        <v>0</v>
      </c>
    </row>
    <row r="275" spans="1:21" ht="24">
      <c r="A275" s="1648" t="str">
        <f t="shared" si="88"/>
        <v>OEI＝</v>
      </c>
      <c r="B275" s="1647">
        <f t="shared" si="89"/>
        <v>0</v>
      </c>
      <c r="C275" s="1647">
        <f t="shared" si="86"/>
        <v>0</v>
      </c>
      <c r="D275" s="1659" t="s">
        <v>1252</v>
      </c>
      <c r="E275" s="890" t="str">
        <f t="shared" si="62"/>
        <v>其他权益工具（优先股）_本期增减变动金额</v>
      </c>
      <c r="F275" s="884">
        <f t="shared" ref="F275:M275" si="91">SUM(F276,F277,F282,F287,F294,F297)</f>
        <v>0</v>
      </c>
      <c r="G275" s="885">
        <f t="shared" si="91"/>
        <v>0</v>
      </c>
      <c r="H275" s="885">
        <f t="shared" si="91"/>
        <v>0</v>
      </c>
      <c r="I275" s="913">
        <f t="shared" si="91"/>
        <v>0</v>
      </c>
      <c r="J275" s="914">
        <f t="shared" ca="1" si="91"/>
        <v>0</v>
      </c>
      <c r="K275" s="885">
        <f t="shared" si="91"/>
        <v>0</v>
      </c>
      <c r="L275" s="885">
        <f t="shared" si="91"/>
        <v>0</v>
      </c>
      <c r="M275" s="891">
        <f t="shared" ca="1" si="91"/>
        <v>0</v>
      </c>
      <c r="N275" s="641"/>
      <c r="O275" s="641"/>
      <c r="P275" s="641"/>
      <c r="Q275" s="641"/>
      <c r="T275" s="3056" t="s">
        <v>1360</v>
      </c>
      <c r="U275" s="3063">
        <v>0</v>
      </c>
    </row>
    <row r="276" spans="1:21" ht="24">
      <c r="A276" s="1648" t="str">
        <f t="shared" si="88"/>
        <v>OEI</v>
      </c>
      <c r="B276" s="1647">
        <f t="shared" si="89"/>
        <v>-1</v>
      </c>
      <c r="C276" s="1647" t="str">
        <f t="shared" si="86"/>
        <v>J</v>
      </c>
      <c r="D276" s="1659" t="s">
        <v>1256</v>
      </c>
      <c r="E276" s="888" t="str">
        <f t="shared" si="62"/>
        <v>其他权益工具（优先股）_综合收益总额增加权益</v>
      </c>
      <c r="F276" s="884">
        <f>INDEX(Sheet_Presc,MATCH((RIGHT($D276,2)),Sheet_Prescrow,0),MATCH((LEFT($D276,2)),Sheet_Presccol,0))</f>
        <v>0</v>
      </c>
      <c r="G276" s="885">
        <f>SUMIF(AJE!$B:$B,$C276&amp;$D276&amp;"*",AJE!$O:$O)</f>
        <v>0</v>
      </c>
      <c r="H276" s="885">
        <f>SUMIF(AJE!$B:$B,$C276&amp;$D276&amp;"*",AJE!$P:$P)</f>
        <v>0</v>
      </c>
      <c r="I276" s="913">
        <f>(B276*F276+G276-H276)*B276</f>
        <v>0</v>
      </c>
      <c r="J276" s="914">
        <f ca="1">OFFSET(INDEX(Sheet_Presc,MATCH((RIGHT($D276,2)),Sheet_Prescrow,0),MATCH((LEFT($D276,2)),Sheet_Presccol,0)),0,(COLUMNS(Sheet_Presccol)-2)/2)</f>
        <v>0</v>
      </c>
      <c r="K276" s="885">
        <f>SUMIF('AJE1'!$B:$B,$C276&amp;$D276&amp;"*",'AJE1'!$O:$O)</f>
        <v>0</v>
      </c>
      <c r="L276" s="885">
        <f>SUMIF('AJE1'!$B:$B,$C276&amp;$D276&amp;"*",'AJE1'!$P:$P)</f>
        <v>0</v>
      </c>
      <c r="M276" s="891">
        <f ca="1">($B276*J276+K276-L276)*$B276</f>
        <v>0</v>
      </c>
      <c r="N276" s="641"/>
      <c r="O276" s="641"/>
      <c r="P276" s="641"/>
      <c r="Q276" s="641"/>
      <c r="T276" s="3056" t="s">
        <v>1366</v>
      </c>
      <c r="U276" s="3063">
        <v>0</v>
      </c>
    </row>
    <row r="277" spans="1:21" ht="24">
      <c r="A277" s="1648" t="str">
        <f t="shared" si="88"/>
        <v>OEI＝</v>
      </c>
      <c r="B277" s="1647">
        <f t="shared" si="89"/>
        <v>0</v>
      </c>
      <c r="C277" s="1647">
        <f t="shared" si="86"/>
        <v>0</v>
      </c>
      <c r="D277" s="1659" t="s">
        <v>1261</v>
      </c>
      <c r="E277" s="890" t="str">
        <f t="shared" si="62"/>
        <v>其他权益工具（优先股）_所有者投入和减少资本影响权益</v>
      </c>
      <c r="F277" s="884">
        <f t="shared" ref="F277:M277" si="92">SUM(F278:F281)</f>
        <v>0</v>
      </c>
      <c r="G277" s="885">
        <f t="shared" si="92"/>
        <v>0</v>
      </c>
      <c r="H277" s="885">
        <f t="shared" si="92"/>
        <v>0</v>
      </c>
      <c r="I277" s="913">
        <f t="shared" si="92"/>
        <v>0</v>
      </c>
      <c r="J277" s="914">
        <f t="shared" ca="1" si="92"/>
        <v>0</v>
      </c>
      <c r="K277" s="885">
        <f t="shared" si="92"/>
        <v>0</v>
      </c>
      <c r="L277" s="885">
        <f t="shared" si="92"/>
        <v>0</v>
      </c>
      <c r="M277" s="891">
        <f t="shared" ca="1" si="92"/>
        <v>0</v>
      </c>
      <c r="N277" s="641"/>
      <c r="O277" s="641"/>
      <c r="P277" s="641"/>
      <c r="Q277" s="641"/>
      <c r="T277" s="3056" t="s">
        <v>1372</v>
      </c>
      <c r="U277" s="3063"/>
    </row>
    <row r="278" spans="1:21" ht="24">
      <c r="A278" s="1648" t="str">
        <f t="shared" si="88"/>
        <v>OEI</v>
      </c>
      <c r="B278" s="1647">
        <f t="shared" si="89"/>
        <v>-1</v>
      </c>
      <c r="C278" s="1647" t="str">
        <f t="shared" si="86"/>
        <v>J</v>
      </c>
      <c r="D278" s="1659" t="s">
        <v>1266</v>
      </c>
      <c r="E278" s="888" t="str">
        <f t="shared" si="62"/>
        <v>其他权益工具（优先股）_所有者投入资本</v>
      </c>
      <c r="F278" s="884">
        <f>INDEX(Sheet_Presc,MATCH((RIGHT($D278,2)),Sheet_Prescrow,0),MATCH((LEFT($D278,2)),Sheet_Presccol,0))</f>
        <v>0</v>
      </c>
      <c r="G278" s="885">
        <f>SUMIF(AJE!$B:$B,$C278&amp;$D278&amp;"*",AJE!$O:$O)</f>
        <v>0</v>
      </c>
      <c r="H278" s="885">
        <f>SUMIF(AJE!$B:$B,$C278&amp;$D278&amp;"*",AJE!$P:$P)</f>
        <v>0</v>
      </c>
      <c r="I278" s="913">
        <f>(B278*F278+G278-H278)*B278</f>
        <v>0</v>
      </c>
      <c r="J278" s="914">
        <f ca="1">OFFSET(INDEX(Sheet_Presc,MATCH((RIGHT($D278,2)),Sheet_Prescrow,0),MATCH((LEFT($D278,2)),Sheet_Presccol,0)),0,(COLUMNS(Sheet_Presccol)-2)/2)</f>
        <v>0</v>
      </c>
      <c r="K278" s="885">
        <f>SUMIF('AJE1'!$B:$B,$C278&amp;$D278&amp;"*",'AJE1'!$O:$O)</f>
        <v>0</v>
      </c>
      <c r="L278" s="885">
        <f>SUMIF('AJE1'!$B:$B,$C278&amp;$D278&amp;"*",'AJE1'!$P:$P)</f>
        <v>0</v>
      </c>
      <c r="M278" s="891">
        <f ca="1">($B278*J278+K278-L278)*$B278</f>
        <v>0</v>
      </c>
      <c r="N278" s="641"/>
      <c r="O278" s="641"/>
      <c r="P278" s="641"/>
      <c r="Q278" s="641"/>
      <c r="T278" s="3056" t="s">
        <v>1377</v>
      </c>
      <c r="U278" s="3063">
        <v>0</v>
      </c>
    </row>
    <row r="279" spans="1:21" ht="24">
      <c r="A279" s="1648" t="str">
        <f t="shared" si="88"/>
        <v>OEI</v>
      </c>
      <c r="B279" s="1647">
        <f t="shared" si="89"/>
        <v>-1</v>
      </c>
      <c r="C279" s="1647" t="str">
        <f t="shared" si="86"/>
        <v>J</v>
      </c>
      <c r="D279" s="1659" t="s">
        <v>1276</v>
      </c>
      <c r="E279" s="888" t="str">
        <f t="shared" si="62"/>
        <v>其他权益工具（优先股）_其他权益工具持有者投入资本</v>
      </c>
      <c r="F279" s="884">
        <f>INDEX(Sheet_Presc,MATCH((RIGHT($D279,2)),Sheet_Prescrow,0),MATCH((LEFT($D279,2)),Sheet_Presccol,0))</f>
        <v>0</v>
      </c>
      <c r="G279" s="885">
        <f>SUMIF(AJE!$B:$B,$C279&amp;$D279&amp;"*",AJE!$O:$O)</f>
        <v>0</v>
      </c>
      <c r="H279" s="885">
        <f>SUMIF(AJE!$B:$B,$C279&amp;$D279&amp;"*",AJE!$P:$P)</f>
        <v>0</v>
      </c>
      <c r="I279" s="913">
        <f>(B279*F279+G279-H279)*B279</f>
        <v>0</v>
      </c>
      <c r="J279" s="914">
        <f ca="1">OFFSET(INDEX(Sheet_Presc,MATCH((RIGHT($D279,2)),Sheet_Prescrow,0),MATCH((LEFT($D279,2)),Sheet_Presccol,0)),0,(COLUMNS(Sheet_Presccol)-2)/2)</f>
        <v>0</v>
      </c>
      <c r="K279" s="885">
        <f>SUMIF('AJE1'!$B:$B,$C279&amp;$D279&amp;"*",'AJE1'!$O:$O)</f>
        <v>0</v>
      </c>
      <c r="L279" s="885">
        <f>SUMIF('AJE1'!$B:$B,$C279&amp;$D279&amp;"*",'AJE1'!$P:$P)</f>
        <v>0</v>
      </c>
      <c r="M279" s="891">
        <f ca="1">($B279*J279+K279-L279)*$B279</f>
        <v>0</v>
      </c>
      <c r="N279" s="641"/>
      <c r="O279" s="641"/>
      <c r="P279" s="641"/>
      <c r="Q279" s="641"/>
      <c r="T279" s="3056" t="s">
        <v>1382</v>
      </c>
      <c r="U279" s="3063">
        <v>0</v>
      </c>
    </row>
    <row r="280" spans="1:21" ht="18">
      <c r="A280" s="1648" t="str">
        <f t="shared" si="88"/>
        <v>OEI</v>
      </c>
      <c r="B280" s="1647">
        <f t="shared" si="89"/>
        <v>-1</v>
      </c>
      <c r="C280" s="1647" t="str">
        <f t="shared" si="86"/>
        <v>J</v>
      </c>
      <c r="D280" s="1659" t="s">
        <v>1271</v>
      </c>
      <c r="E280" s="888" t="str">
        <f t="shared" si="62"/>
        <v>其他权益工具（优先股）_股份支付</v>
      </c>
      <c r="F280" s="884">
        <f>INDEX(Sheet_Presc,MATCH((RIGHT($D280,2)),Sheet_Prescrow,0),MATCH((LEFT($D280,2)),Sheet_Presccol,0))</f>
        <v>0</v>
      </c>
      <c r="G280" s="885">
        <f>SUMIF(AJE!$B:$B,$C280&amp;$D280&amp;"*",AJE!$O:$O)</f>
        <v>0</v>
      </c>
      <c r="H280" s="885">
        <f>SUMIF(AJE!$B:$B,$C280&amp;$D280&amp;"*",AJE!$P:$P)</f>
        <v>0</v>
      </c>
      <c r="I280" s="913">
        <f>(B280*F280+G280-H280)*B280</f>
        <v>0</v>
      </c>
      <c r="J280" s="914">
        <f ca="1">OFFSET(INDEX(Sheet_Presc,MATCH((RIGHT($D280,2)),Sheet_Prescrow,0),MATCH((LEFT($D280,2)),Sheet_Presccol,0)),0,(COLUMNS(Sheet_Presccol)-2)/2)</f>
        <v>0</v>
      </c>
      <c r="K280" s="885">
        <f>SUMIF('AJE1'!$B:$B,$C280&amp;$D280&amp;"*",'AJE1'!$O:$O)</f>
        <v>0</v>
      </c>
      <c r="L280" s="885">
        <f>SUMIF('AJE1'!$B:$B,$C280&amp;$D280&amp;"*",'AJE1'!$P:$P)</f>
        <v>0</v>
      </c>
      <c r="M280" s="891">
        <f ca="1">($B280*J280+K280-L280)*$B280</f>
        <v>0</v>
      </c>
      <c r="N280" s="641"/>
      <c r="O280" s="641"/>
      <c r="P280" s="641"/>
      <c r="Q280" s="641"/>
      <c r="T280" s="3056" t="s">
        <v>1387</v>
      </c>
      <c r="U280" s="3063">
        <v>0</v>
      </c>
    </row>
    <row r="281" spans="1:21" ht="24">
      <c r="A281" s="1648" t="str">
        <f t="shared" si="88"/>
        <v>OEI</v>
      </c>
      <c r="B281" s="1647">
        <f t="shared" si="89"/>
        <v>-1</v>
      </c>
      <c r="C281" s="1647" t="str">
        <f t="shared" si="86"/>
        <v>J</v>
      </c>
      <c r="D281" s="1659" t="s">
        <v>1281</v>
      </c>
      <c r="E281" s="888" t="str">
        <f t="shared" si="62"/>
        <v>其他权益工具（优先股）_所有者其他投入和减少资本</v>
      </c>
      <c r="F281" s="884">
        <f>INDEX(Sheet_Presc,MATCH((RIGHT($D281,2)),Sheet_Prescrow,0),MATCH((LEFT($D281,2)),Sheet_Presccol,0))</f>
        <v>0</v>
      </c>
      <c r="G281" s="885">
        <f>SUMIF(AJE!$B:$B,$C281&amp;$D281&amp;"*",AJE!$O:$O)</f>
        <v>0</v>
      </c>
      <c r="H281" s="885">
        <f>SUMIF(AJE!$B:$B,$C281&amp;$D281&amp;"*",AJE!$P:$P)</f>
        <v>0</v>
      </c>
      <c r="I281" s="913">
        <f>(B281*F281+G281-H281)*B281</f>
        <v>0</v>
      </c>
      <c r="J281" s="914">
        <f ca="1">OFFSET(INDEX(Sheet_Presc,MATCH((RIGHT($D281,2)),Sheet_Prescrow,0),MATCH((LEFT($D281,2)),Sheet_Presccol,0)),0,(COLUMNS(Sheet_Presccol)-2)/2)</f>
        <v>0</v>
      </c>
      <c r="K281" s="885">
        <f>SUMIF('AJE1'!$B:$B,$C281&amp;$D281&amp;"*",'AJE1'!$O:$O)</f>
        <v>0</v>
      </c>
      <c r="L281" s="885">
        <f>SUMIF('AJE1'!$B:$B,$C281&amp;$D281&amp;"*",'AJE1'!$P:$P)</f>
        <v>0</v>
      </c>
      <c r="M281" s="891">
        <f ca="1">($B281*J281+K281-L281)*$B281</f>
        <v>0</v>
      </c>
      <c r="N281" s="641"/>
      <c r="O281" s="641"/>
      <c r="P281" s="641"/>
      <c r="Q281" s="641"/>
      <c r="T281" s="3056" t="s">
        <v>1392</v>
      </c>
      <c r="U281" s="3063">
        <v>0</v>
      </c>
    </row>
    <row r="282" spans="1:21" ht="24">
      <c r="A282" s="1648" t="str">
        <f t="shared" si="88"/>
        <v>OEI＝</v>
      </c>
      <c r="B282" s="1647">
        <f t="shared" si="89"/>
        <v>0</v>
      </c>
      <c r="C282" s="1647">
        <f t="shared" si="86"/>
        <v>0</v>
      </c>
      <c r="D282" s="1659" t="s">
        <v>1286</v>
      </c>
      <c r="E282" s="890" t="str">
        <f t="shared" si="62"/>
        <v>其他权益工具（优先股）_利润分配影响权益</v>
      </c>
      <c r="F282" s="884">
        <f>SUM(F283:F286)</f>
        <v>0</v>
      </c>
      <c r="G282" s="885">
        <f t="shared" ref="G282:M282" si="93">SUM(G283:G286)</f>
        <v>0</v>
      </c>
      <c r="H282" s="885">
        <f t="shared" si="93"/>
        <v>0</v>
      </c>
      <c r="I282" s="913">
        <f t="shared" si="93"/>
        <v>0</v>
      </c>
      <c r="J282" s="914">
        <f t="shared" ca="1" si="93"/>
        <v>0</v>
      </c>
      <c r="K282" s="885">
        <f t="shared" si="93"/>
        <v>0</v>
      </c>
      <c r="L282" s="885">
        <f t="shared" si="93"/>
        <v>0</v>
      </c>
      <c r="M282" s="891">
        <f t="shared" ca="1" si="93"/>
        <v>0</v>
      </c>
      <c r="N282" s="641"/>
      <c r="O282" s="641"/>
      <c r="P282" s="641"/>
      <c r="Q282" s="641"/>
      <c r="T282" s="3056" t="s">
        <v>1397</v>
      </c>
      <c r="U282" s="3063">
        <v>0</v>
      </c>
    </row>
    <row r="283" spans="1:21" ht="24">
      <c r="A283" s="1648" t="str">
        <f t="shared" si="88"/>
        <v>OEI</v>
      </c>
      <c r="B283" s="1647">
        <f t="shared" si="89"/>
        <v>-1</v>
      </c>
      <c r="C283" s="1647" t="str">
        <f t="shared" si="86"/>
        <v>J</v>
      </c>
      <c r="D283" s="1659" t="s">
        <v>1291</v>
      </c>
      <c r="E283" s="888" t="str">
        <f t="shared" si="62"/>
        <v>其他权益工具（优先股）_提取盈余公积</v>
      </c>
      <c r="F283" s="884">
        <f>INDEX(Sheet_Presc,MATCH((RIGHT($D283,2)),Sheet_Prescrow,0),MATCH((LEFT($D283,2)),Sheet_Presccol,0))</f>
        <v>0</v>
      </c>
      <c r="G283" s="885">
        <f>SUMIF(AJE!$B:$B,$C283&amp;$D283&amp;"*",AJE!$O:$O)</f>
        <v>0</v>
      </c>
      <c r="H283" s="885">
        <f>SUMIF(AJE!$B:$B,$C283&amp;$D283&amp;"*",AJE!$P:$P)</f>
        <v>0</v>
      </c>
      <c r="I283" s="913">
        <f>(B283*F283+G283-H283)*B283</f>
        <v>0</v>
      </c>
      <c r="J283" s="914">
        <f ca="1">OFFSET(INDEX(Sheet_Presc,MATCH((RIGHT($D283,2)),Sheet_Prescrow,0),MATCH((LEFT($D283,2)),Sheet_Presccol,0)),0,(COLUMNS(Sheet_Presccol)-2)/2)</f>
        <v>0</v>
      </c>
      <c r="K283" s="885">
        <f>SUMIF('AJE1'!$B:$B,$C283&amp;$D283&amp;"*",'AJE1'!$O:$O)</f>
        <v>0</v>
      </c>
      <c r="L283" s="885">
        <f>SUMIF('AJE1'!$B:$B,$C283&amp;$D283&amp;"*",'AJE1'!$P:$P)</f>
        <v>0</v>
      </c>
      <c r="M283" s="891">
        <f ca="1">($B283*J283+K283-L283)*$B283</f>
        <v>0</v>
      </c>
      <c r="N283" s="641"/>
      <c r="O283" s="641"/>
      <c r="P283" s="641"/>
      <c r="Q283" s="641"/>
      <c r="T283" s="3056" t="s">
        <v>1402</v>
      </c>
      <c r="U283" s="3063">
        <v>0</v>
      </c>
    </row>
    <row r="284" spans="1:21" ht="24">
      <c r="A284" s="1648" t="str">
        <f t="shared" si="88"/>
        <v>OEI</v>
      </c>
      <c r="B284" s="1647">
        <f t="shared" si="89"/>
        <v>-1</v>
      </c>
      <c r="C284" s="1647" t="str">
        <f t="shared" si="86"/>
        <v>J</v>
      </c>
      <c r="D284" s="1659" t="s">
        <v>1297</v>
      </c>
      <c r="E284" s="888" t="str">
        <f t="shared" si="62"/>
        <v>其他权益工具（优先股）_提取一般风险准备</v>
      </c>
      <c r="F284" s="884">
        <f>INDEX(Sheet_Presc,MATCH((RIGHT($D284,2)),Sheet_Prescrow,0),MATCH((LEFT($D284,2)),Sheet_Presccol,0))</f>
        <v>0</v>
      </c>
      <c r="G284" s="885">
        <f>SUMIF(AJE!$B:$B,$C284&amp;$D284&amp;"*",AJE!$O:$O)</f>
        <v>0</v>
      </c>
      <c r="H284" s="885">
        <f>SUMIF(AJE!$B:$B,$C284&amp;$D284&amp;"*",AJE!$P:$P)</f>
        <v>0</v>
      </c>
      <c r="I284" s="913">
        <f>(B284*F284+G284-H284)*B284</f>
        <v>0</v>
      </c>
      <c r="J284" s="914">
        <f ca="1">OFFSET(INDEX(Sheet_Presc,MATCH((RIGHT($D284,2)),Sheet_Prescrow,0),MATCH((LEFT($D284,2)),Sheet_Presccol,0)),0,(COLUMNS(Sheet_Presccol)-2)/2)</f>
        <v>0</v>
      </c>
      <c r="K284" s="885">
        <f>SUMIF('AJE1'!$B:$B,$C284&amp;$D284&amp;"*",'AJE1'!$O:$O)</f>
        <v>0</v>
      </c>
      <c r="L284" s="885">
        <f>SUMIF('AJE1'!$B:$B,$C284&amp;$D284&amp;"*",'AJE1'!$P:$P)</f>
        <v>0</v>
      </c>
      <c r="M284" s="891">
        <f ca="1">($B284*J284+K284-L284)*$B284</f>
        <v>0</v>
      </c>
      <c r="N284" s="641"/>
      <c r="O284" s="641"/>
      <c r="P284" s="641"/>
      <c r="Q284" s="641"/>
      <c r="T284" s="3056" t="s">
        <v>1407</v>
      </c>
      <c r="U284" s="3063">
        <v>0</v>
      </c>
    </row>
    <row r="285" spans="1:21" ht="24">
      <c r="A285" s="1648" t="str">
        <f t="shared" si="88"/>
        <v>OEI</v>
      </c>
      <c r="B285" s="1647">
        <f t="shared" si="89"/>
        <v>-1</v>
      </c>
      <c r="C285" s="1647" t="str">
        <f t="shared" si="86"/>
        <v>J</v>
      </c>
      <c r="D285" s="1659" t="s">
        <v>1301</v>
      </c>
      <c r="E285" s="888" t="str">
        <f t="shared" si="62"/>
        <v>其他权益工具（优先股）_对所有者的分配</v>
      </c>
      <c r="F285" s="884">
        <f>INDEX(Sheet_Presc,MATCH((RIGHT($D285,2)),Sheet_Prescrow,0),MATCH((LEFT($D285,2)),Sheet_Presccol,0))</f>
        <v>0</v>
      </c>
      <c r="G285" s="885">
        <f>SUMIF(AJE!$B:$B,$C285&amp;$D285&amp;"*",AJE!$O:$O)</f>
        <v>0</v>
      </c>
      <c r="H285" s="885">
        <f>SUMIF(AJE!$B:$B,$C285&amp;$D285&amp;"*",AJE!$P:$P)</f>
        <v>0</v>
      </c>
      <c r="I285" s="913">
        <f>(B285*F285+G285-H285)*B285</f>
        <v>0</v>
      </c>
      <c r="J285" s="914">
        <f ca="1">OFFSET(INDEX(Sheet_Presc,MATCH((RIGHT($D285,2)),Sheet_Prescrow,0),MATCH((LEFT($D285,2)),Sheet_Presccol,0)),0,(COLUMNS(Sheet_Presccol)-2)/2)</f>
        <v>0</v>
      </c>
      <c r="K285" s="885">
        <f>SUMIF('AJE1'!$B:$B,$C285&amp;$D285&amp;"*",'AJE1'!$O:$O)</f>
        <v>0</v>
      </c>
      <c r="L285" s="885">
        <f>SUMIF('AJE1'!$B:$B,$C285&amp;$D285&amp;"*",'AJE1'!$P:$P)</f>
        <v>0</v>
      </c>
      <c r="M285" s="891">
        <f ca="1">($B285*J285+K285-L285)*$B285</f>
        <v>0</v>
      </c>
      <c r="N285" s="641"/>
      <c r="O285" s="641"/>
      <c r="P285" s="641"/>
      <c r="Q285" s="641"/>
      <c r="T285" s="3056" t="s">
        <v>1413</v>
      </c>
      <c r="U285" s="3063">
        <v>0</v>
      </c>
    </row>
    <row r="286" spans="1:21" ht="24">
      <c r="A286" s="1648" t="str">
        <f t="shared" si="88"/>
        <v>OEI</v>
      </c>
      <c r="B286" s="1647">
        <f t="shared" si="89"/>
        <v>-1</v>
      </c>
      <c r="C286" s="1647" t="str">
        <f t="shared" si="86"/>
        <v>J</v>
      </c>
      <c r="D286" s="1659" t="s">
        <v>1307</v>
      </c>
      <c r="E286" s="888" t="str">
        <f t="shared" si="62"/>
        <v>其他权益工具（优先股）_其他利润分配</v>
      </c>
      <c r="F286" s="884">
        <f>INDEX(Sheet_Presc,MATCH((RIGHT($D286,2)),Sheet_Prescrow,0),MATCH((LEFT($D286,2)),Sheet_Presccol,0))</f>
        <v>0</v>
      </c>
      <c r="G286" s="885">
        <f>SUMIF(AJE!$B:$B,$C286&amp;$D286&amp;"*",AJE!$O:$O)</f>
        <v>0</v>
      </c>
      <c r="H286" s="885">
        <f>SUMIF(AJE!$B:$B,$C286&amp;$D286&amp;"*",AJE!$P:$P)</f>
        <v>0</v>
      </c>
      <c r="I286" s="913">
        <f>(B286*F286+G286-H286)*B286</f>
        <v>0</v>
      </c>
      <c r="J286" s="914">
        <f ca="1">OFFSET(INDEX(Sheet_Presc,MATCH((RIGHT($D286,2)),Sheet_Prescrow,0),MATCH((LEFT($D286,2)),Sheet_Presccol,0)),0,(COLUMNS(Sheet_Presccol)-2)/2)</f>
        <v>0</v>
      </c>
      <c r="K286" s="885">
        <f>SUMIF('AJE1'!$B:$B,$C286&amp;$D286&amp;"*",'AJE1'!$O:$O)</f>
        <v>0</v>
      </c>
      <c r="L286" s="885">
        <f>SUMIF('AJE1'!$B:$B,$C286&amp;$D286&amp;"*",'AJE1'!$P:$P)</f>
        <v>0</v>
      </c>
      <c r="M286" s="891">
        <f ca="1">($B286*J286+K286-L286)*$B286</f>
        <v>0</v>
      </c>
      <c r="N286" s="641"/>
      <c r="O286" s="641"/>
      <c r="P286" s="641"/>
      <c r="Q286" s="641"/>
      <c r="T286" s="3056" t="s">
        <v>1418</v>
      </c>
      <c r="U286" s="3063">
        <v>0</v>
      </c>
    </row>
    <row r="287" spans="1:21" ht="24">
      <c r="A287" s="1648" t="str">
        <f t="shared" si="88"/>
        <v>OEI＝</v>
      </c>
      <c r="B287" s="1647">
        <f t="shared" si="89"/>
        <v>0</v>
      </c>
      <c r="C287" s="1647">
        <f t="shared" si="86"/>
        <v>0</v>
      </c>
      <c r="D287" s="1659" t="s">
        <v>1312</v>
      </c>
      <c r="E287" s="890" t="str">
        <f t="shared" si="62"/>
        <v>其他权益工具（优先股）_所有者权益内部结转</v>
      </c>
      <c r="F287" s="884">
        <f>SUM(F288:F293)</f>
        <v>0</v>
      </c>
      <c r="G287" s="885">
        <f t="shared" ref="G287:M287" si="94">SUM(G288:G293)</f>
        <v>0</v>
      </c>
      <c r="H287" s="885">
        <f t="shared" si="94"/>
        <v>0</v>
      </c>
      <c r="I287" s="913">
        <f t="shared" si="94"/>
        <v>0</v>
      </c>
      <c r="J287" s="914">
        <f t="shared" ca="1" si="94"/>
        <v>0</v>
      </c>
      <c r="K287" s="885">
        <f t="shared" si="94"/>
        <v>0</v>
      </c>
      <c r="L287" s="885">
        <f t="shared" si="94"/>
        <v>0</v>
      </c>
      <c r="M287" s="891">
        <f t="shared" ca="1" si="94"/>
        <v>0</v>
      </c>
      <c r="N287" s="641"/>
      <c r="O287" s="641"/>
      <c r="P287" s="641"/>
      <c r="Q287" s="641"/>
      <c r="T287" s="3056" t="s">
        <v>1424</v>
      </c>
      <c r="U287" s="3063">
        <v>0</v>
      </c>
    </row>
    <row r="288" spans="1:21" ht="24">
      <c r="A288" s="1648" t="str">
        <f t="shared" si="88"/>
        <v>OEI</v>
      </c>
      <c r="B288" s="1647">
        <f t="shared" si="89"/>
        <v>-1</v>
      </c>
      <c r="C288" s="1647" t="str">
        <f t="shared" si="86"/>
        <v>J</v>
      </c>
      <c r="D288" s="1659" t="s">
        <v>1318</v>
      </c>
      <c r="E288" s="888" t="str">
        <f t="shared" si="62"/>
        <v>其他权益工具（优先股）_资本公积转增资本</v>
      </c>
      <c r="F288" s="884">
        <f t="shared" ref="F288:F293" si="95">INDEX(Sheet_Presc,MATCH((RIGHT($D288,2)),Sheet_Prescrow,0),MATCH((LEFT($D288,2)),Sheet_Presccol,0))</f>
        <v>0</v>
      </c>
      <c r="G288" s="885">
        <f>SUMIF(AJE!$B:$B,$C288&amp;$D288&amp;"*",AJE!$O:$O)</f>
        <v>0</v>
      </c>
      <c r="H288" s="885">
        <f>SUMIF(AJE!$B:$B,$C288&amp;$D288&amp;"*",AJE!$P:$P)</f>
        <v>0</v>
      </c>
      <c r="I288" s="913">
        <f t="shared" ref="I288:I293" si="96">(B288*F288+G288-H288)*B288</f>
        <v>0</v>
      </c>
      <c r="J288" s="914">
        <f t="shared" ref="J288:J293" ca="1" si="97">OFFSET(INDEX(Sheet_Presc,MATCH((RIGHT($D288,2)),Sheet_Prescrow,0),MATCH((LEFT($D288,2)),Sheet_Presccol,0)),0,(COLUMNS(Sheet_Presccol)-2)/2)</f>
        <v>0</v>
      </c>
      <c r="K288" s="885">
        <f>SUMIF('AJE1'!$B:$B,$C288&amp;$D288&amp;"*",'AJE1'!$O:$O)</f>
        <v>0</v>
      </c>
      <c r="L288" s="885">
        <f>SUMIF('AJE1'!$B:$B,$C288&amp;$D288&amp;"*",'AJE1'!$P:$P)</f>
        <v>0</v>
      </c>
      <c r="M288" s="891">
        <f t="shared" ref="M288:M293" ca="1" si="98">($B288*J288+K288-L288)*$B288</f>
        <v>0</v>
      </c>
      <c r="N288" s="641"/>
      <c r="O288" s="641"/>
      <c r="P288" s="641"/>
      <c r="Q288" s="641"/>
      <c r="T288" s="3056" t="s">
        <v>1434</v>
      </c>
      <c r="U288" s="3063">
        <v>0</v>
      </c>
    </row>
    <row r="289" spans="1:21" ht="24">
      <c r="A289" s="1648" t="str">
        <f t="shared" si="88"/>
        <v>OEI</v>
      </c>
      <c r="B289" s="1647">
        <f t="shared" si="89"/>
        <v>-1</v>
      </c>
      <c r="C289" s="1647" t="str">
        <f t="shared" si="86"/>
        <v>J</v>
      </c>
      <c r="D289" s="1659" t="s">
        <v>1323</v>
      </c>
      <c r="E289" s="888" t="str">
        <f t="shared" si="62"/>
        <v>其他权益工具（优先股）_盈余公积转增资本</v>
      </c>
      <c r="F289" s="884">
        <f t="shared" si="95"/>
        <v>0</v>
      </c>
      <c r="G289" s="885">
        <f>SUMIF(AJE!$B:$B,$C289&amp;$D289&amp;"*",AJE!$O:$O)</f>
        <v>0</v>
      </c>
      <c r="H289" s="885">
        <f>SUMIF(AJE!$B:$B,$C289&amp;$D289&amp;"*",AJE!$P:$P)</f>
        <v>0</v>
      </c>
      <c r="I289" s="913">
        <f t="shared" si="96"/>
        <v>0</v>
      </c>
      <c r="J289" s="914">
        <f t="shared" ca="1" si="97"/>
        <v>0</v>
      </c>
      <c r="K289" s="885">
        <f>SUMIF('AJE1'!$B:$B,$C289&amp;$D289&amp;"*",'AJE1'!$O:$O)</f>
        <v>0</v>
      </c>
      <c r="L289" s="885">
        <f>SUMIF('AJE1'!$B:$B,$C289&amp;$D289&amp;"*",'AJE1'!$P:$P)</f>
        <v>0</v>
      </c>
      <c r="M289" s="891">
        <f t="shared" ca="1" si="98"/>
        <v>0</v>
      </c>
      <c r="N289" s="641"/>
      <c r="O289" s="641"/>
      <c r="P289" s="641"/>
      <c r="Q289" s="641"/>
      <c r="T289" s="3056" t="s">
        <v>1429</v>
      </c>
      <c r="U289" s="3063">
        <v>0</v>
      </c>
    </row>
    <row r="290" spans="1:21" ht="24">
      <c r="A290" s="1648" t="str">
        <f t="shared" si="88"/>
        <v>OEI</v>
      </c>
      <c r="B290" s="1647">
        <f t="shared" si="89"/>
        <v>-1</v>
      </c>
      <c r="C290" s="1647" t="str">
        <f t="shared" si="86"/>
        <v>J</v>
      </c>
      <c r="D290" s="1659" t="s">
        <v>1328</v>
      </c>
      <c r="E290" s="888" t="str">
        <f t="shared" si="62"/>
        <v>其他权益工具（优先股）_盈余公积弥补亏损</v>
      </c>
      <c r="F290" s="884">
        <f t="shared" si="95"/>
        <v>0</v>
      </c>
      <c r="G290" s="885">
        <f>SUMIF(AJE!$B:$B,$C290&amp;$D290&amp;"*",AJE!$O:$O)</f>
        <v>0</v>
      </c>
      <c r="H290" s="885">
        <f>SUMIF(AJE!$B:$B,$C290&amp;$D290&amp;"*",AJE!$P:$P)</f>
        <v>0</v>
      </c>
      <c r="I290" s="913">
        <f t="shared" si="96"/>
        <v>0</v>
      </c>
      <c r="J290" s="914">
        <f t="shared" ca="1" si="97"/>
        <v>0</v>
      </c>
      <c r="K290" s="885">
        <f>SUMIF('AJE1'!$B:$B,$C290&amp;$D290&amp;"*",'AJE1'!$O:$O)</f>
        <v>0</v>
      </c>
      <c r="L290" s="885">
        <f>SUMIF('AJE1'!$B:$B,$C290&amp;$D290&amp;"*",'AJE1'!$P:$P)</f>
        <v>0</v>
      </c>
      <c r="M290" s="891">
        <f t="shared" ca="1" si="98"/>
        <v>0</v>
      </c>
      <c r="N290" s="641"/>
      <c r="O290" s="641"/>
      <c r="P290" s="641"/>
      <c r="Q290" s="641"/>
      <c r="T290" s="3056" t="s">
        <v>1440</v>
      </c>
      <c r="U290" s="3063">
        <v>0</v>
      </c>
    </row>
    <row r="291" spans="1:21" ht="24">
      <c r="A291" s="1648" t="str">
        <f t="shared" si="88"/>
        <v>OEI</v>
      </c>
      <c r="B291" s="1647">
        <f t="shared" si="89"/>
        <v>-1</v>
      </c>
      <c r="C291" s="1647" t="str">
        <f t="shared" si="86"/>
        <v>J</v>
      </c>
      <c r="D291" s="1659" t="s">
        <v>1333</v>
      </c>
      <c r="E291" s="888" t="str">
        <f t="shared" si="62"/>
        <v>其他权益工具（优先股）_设定受益计划变动额结转留存收益</v>
      </c>
      <c r="F291" s="884">
        <f t="shared" si="95"/>
        <v>0</v>
      </c>
      <c r="G291" s="885">
        <f>SUMIF(AJE!$B:$B,$C291&amp;$D291&amp;"*",AJE!$O:$O)</f>
        <v>0</v>
      </c>
      <c r="H291" s="885">
        <f>SUMIF(AJE!$B:$B,$C291&amp;$D291&amp;"*",AJE!$P:$P)</f>
        <v>0</v>
      </c>
      <c r="I291" s="913">
        <f t="shared" si="96"/>
        <v>0</v>
      </c>
      <c r="J291" s="914">
        <f t="shared" ca="1" si="97"/>
        <v>0</v>
      </c>
      <c r="K291" s="885">
        <f>SUMIF('AJE1'!$B:$B,$C291&amp;$D291&amp;"*",'AJE1'!$O:$O)</f>
        <v>0</v>
      </c>
      <c r="L291" s="885">
        <f>SUMIF('AJE1'!$B:$B,$C291&amp;$D291&amp;"*",'AJE1'!$P:$P)</f>
        <v>0</v>
      </c>
      <c r="M291" s="891">
        <f t="shared" ca="1" si="98"/>
        <v>0</v>
      </c>
      <c r="N291" s="641"/>
      <c r="O291" s="641"/>
      <c r="P291" s="641"/>
      <c r="Q291" s="641"/>
      <c r="T291" s="3056" t="s">
        <v>1445</v>
      </c>
      <c r="U291" s="3063">
        <v>0</v>
      </c>
    </row>
    <row r="292" spans="1:21" ht="24">
      <c r="A292" s="1648" t="str">
        <f>VLOOKUP($D292,Sheet_Items,4,0)</f>
        <v>_JR</v>
      </c>
      <c r="B292" s="1647">
        <f>VLOOKUP($D292,Sheet_Items,3,0)</f>
        <v>-1</v>
      </c>
      <c r="C292" s="1647" t="str">
        <f>VLOOKUP($D292,Sheet_Items,9,0)</f>
        <v>J</v>
      </c>
      <c r="D292" s="1659" t="s">
        <v>1970</v>
      </c>
      <c r="E292" s="889" t="str">
        <f>VLOOKUP($D292,Sheet_Items,2,0)</f>
        <v>其他权益工具（优先股）_其他综合收益结转留存收益</v>
      </c>
      <c r="F292" s="884">
        <f t="shared" si="95"/>
        <v>0</v>
      </c>
      <c r="G292" s="885">
        <f>SUMIF(AJE!$B:$B,$C292&amp;$D292&amp;"*",AJE!$O:$O)</f>
        <v>0</v>
      </c>
      <c r="H292" s="885">
        <f>SUMIF(AJE!$B:$B,$C292&amp;$D292&amp;"*",AJE!$P:$P)</f>
        <v>0</v>
      </c>
      <c r="I292" s="913">
        <f t="shared" si="96"/>
        <v>0</v>
      </c>
      <c r="J292" s="914">
        <f t="shared" ca="1" si="97"/>
        <v>0</v>
      </c>
      <c r="K292" s="885">
        <f>SUMIF('AJE1'!$B:$B,$C292&amp;$D292&amp;"*",'AJE1'!$O:$O)</f>
        <v>0</v>
      </c>
      <c r="L292" s="885">
        <f>SUMIF('AJE1'!$B:$B,$C292&amp;$D292&amp;"*",'AJE1'!$P:$P)</f>
        <v>0</v>
      </c>
      <c r="M292" s="891">
        <f t="shared" ca="1" si="98"/>
        <v>0</v>
      </c>
      <c r="N292" s="641"/>
      <c r="O292" s="641"/>
      <c r="P292" s="641"/>
      <c r="Q292" s="641"/>
      <c r="T292" s="3056" t="s">
        <v>1450</v>
      </c>
      <c r="U292" s="3063">
        <v>0</v>
      </c>
    </row>
    <row r="293" spans="1:21" ht="24">
      <c r="A293" s="1648" t="str">
        <f t="shared" si="88"/>
        <v>OEI</v>
      </c>
      <c r="B293" s="1647">
        <f t="shared" si="89"/>
        <v>-1</v>
      </c>
      <c r="C293" s="1647" t="str">
        <f t="shared" si="86"/>
        <v>J</v>
      </c>
      <c r="D293" s="1659" t="s">
        <v>1338</v>
      </c>
      <c r="E293" s="888" t="str">
        <f t="shared" si="62"/>
        <v>其他权益工具（优先股）_所有者权益其他内部结转</v>
      </c>
      <c r="F293" s="884">
        <f t="shared" si="95"/>
        <v>0</v>
      </c>
      <c r="G293" s="885">
        <f>SUMIF(AJE!$B:$B,$C293&amp;$D293&amp;"*",AJE!$O:$O)</f>
        <v>0</v>
      </c>
      <c r="H293" s="885">
        <f>SUMIF(AJE!$B:$B,$C293&amp;$D293&amp;"*",AJE!$P:$P)</f>
        <v>0</v>
      </c>
      <c r="I293" s="913">
        <f t="shared" si="96"/>
        <v>0</v>
      </c>
      <c r="J293" s="914">
        <f t="shared" ca="1" si="97"/>
        <v>0</v>
      </c>
      <c r="K293" s="885">
        <f>SUMIF('AJE1'!$B:$B,$C293&amp;$D293&amp;"*",'AJE1'!$O:$O)</f>
        <v>0</v>
      </c>
      <c r="L293" s="885">
        <f>SUMIF('AJE1'!$B:$B,$C293&amp;$D293&amp;"*",'AJE1'!$P:$P)</f>
        <v>0</v>
      </c>
      <c r="M293" s="891">
        <f t="shared" ca="1" si="98"/>
        <v>0</v>
      </c>
      <c r="N293" s="641"/>
      <c r="O293" s="641"/>
      <c r="P293" s="641"/>
      <c r="Q293" s="641"/>
      <c r="T293" s="3056" t="s">
        <v>1455</v>
      </c>
      <c r="U293" s="3063">
        <v>0</v>
      </c>
    </row>
    <row r="294" spans="1:21" ht="24">
      <c r="A294" s="1648" t="str">
        <f t="shared" si="88"/>
        <v>OEI＝</v>
      </c>
      <c r="B294" s="1647">
        <f t="shared" si="89"/>
        <v>0</v>
      </c>
      <c r="C294" s="1647">
        <f t="shared" si="86"/>
        <v>0</v>
      </c>
      <c r="D294" s="1659" t="s">
        <v>1344</v>
      </c>
      <c r="E294" s="890" t="str">
        <f t="shared" si="62"/>
        <v>其他权益工具（优先股）_专项储备影响权益</v>
      </c>
      <c r="F294" s="884">
        <f>SUM(F295:F296)</f>
        <v>0</v>
      </c>
      <c r="G294" s="885">
        <f t="shared" ref="G294:M294" si="99">SUM(G295:G296)</f>
        <v>0</v>
      </c>
      <c r="H294" s="885">
        <f t="shared" si="99"/>
        <v>0</v>
      </c>
      <c r="I294" s="913">
        <f t="shared" si="99"/>
        <v>0</v>
      </c>
      <c r="J294" s="914">
        <f t="shared" ca="1" si="99"/>
        <v>0</v>
      </c>
      <c r="K294" s="885">
        <f t="shared" si="99"/>
        <v>0</v>
      </c>
      <c r="L294" s="885">
        <f t="shared" si="99"/>
        <v>0</v>
      </c>
      <c r="M294" s="891">
        <f t="shared" ca="1" si="99"/>
        <v>0</v>
      </c>
      <c r="N294" s="641"/>
      <c r="O294" s="641"/>
      <c r="P294" s="641"/>
      <c r="Q294" s="641"/>
      <c r="T294" s="3056" t="s">
        <v>1460</v>
      </c>
      <c r="U294" s="3063">
        <v>0</v>
      </c>
    </row>
    <row r="295" spans="1:21" ht="24">
      <c r="A295" s="1648" t="str">
        <f t="shared" si="88"/>
        <v>OEI</v>
      </c>
      <c r="B295" s="1647">
        <f t="shared" si="89"/>
        <v>-1</v>
      </c>
      <c r="C295" s="1647" t="str">
        <f t="shared" si="86"/>
        <v>J</v>
      </c>
      <c r="D295" s="1659" t="s">
        <v>1348</v>
      </c>
      <c r="E295" s="888" t="str">
        <f t="shared" si="62"/>
        <v>其他权益工具（优先股）_专项储备本期提取</v>
      </c>
      <c r="F295" s="884">
        <f>INDEX(Sheet_Presc,MATCH((RIGHT($D295,2)),Sheet_Prescrow,0),MATCH((LEFT($D295,2)),Sheet_Presccol,0))</f>
        <v>0</v>
      </c>
      <c r="G295" s="885">
        <f>SUMIF(AJE!$B:$B,$C295&amp;$D295&amp;"*",AJE!$O:$O)</f>
        <v>0</v>
      </c>
      <c r="H295" s="885">
        <f>SUMIF(AJE!$B:$B,$C295&amp;$D295&amp;"*",AJE!$P:$P)</f>
        <v>0</v>
      </c>
      <c r="I295" s="913">
        <f>(B295*F295+G295-H295)*B295</f>
        <v>0</v>
      </c>
      <c r="J295" s="914">
        <f ca="1">OFFSET(INDEX(Sheet_Presc,MATCH((RIGHT($D295,2)),Sheet_Prescrow,0),MATCH((LEFT($D295,2)),Sheet_Presccol,0)),0,(COLUMNS(Sheet_Presccol)-2)/2)</f>
        <v>0</v>
      </c>
      <c r="K295" s="885">
        <f>SUMIF('AJE1'!$B:$B,$C295&amp;$D295&amp;"*",'AJE1'!$O:$O)</f>
        <v>0</v>
      </c>
      <c r="L295" s="885">
        <f>SUMIF('AJE1'!$B:$B,$C295&amp;$D295&amp;"*",'AJE1'!$P:$P)</f>
        <v>0</v>
      </c>
      <c r="M295" s="891">
        <f ca="1">($B295*J295+K295-L295)*$B295</f>
        <v>0</v>
      </c>
      <c r="N295" s="641"/>
      <c r="O295" s="641"/>
      <c r="P295" s="641"/>
      <c r="Q295" s="641"/>
      <c r="T295" s="3056" t="s">
        <v>1466</v>
      </c>
      <c r="U295" s="3063">
        <v>0</v>
      </c>
    </row>
    <row r="296" spans="1:21" ht="24">
      <c r="A296" s="1648" t="str">
        <f t="shared" si="88"/>
        <v>OEI</v>
      </c>
      <c r="B296" s="1647">
        <f t="shared" si="89"/>
        <v>-1</v>
      </c>
      <c r="C296" s="1647" t="str">
        <f t="shared" si="86"/>
        <v>J</v>
      </c>
      <c r="D296" s="1659" t="s">
        <v>1353</v>
      </c>
      <c r="E296" s="888" t="str">
        <f t="shared" si="62"/>
        <v>其他权益工具（优先股）_专项储备本期使用</v>
      </c>
      <c r="F296" s="884">
        <f>INDEX(Sheet_Presc,MATCH((RIGHT($D296,2)),Sheet_Prescrow,0),MATCH((LEFT($D296,2)),Sheet_Presccol,0))</f>
        <v>0</v>
      </c>
      <c r="G296" s="885">
        <f>SUMIF(AJE!$B:$B,$C296&amp;$D296&amp;"*",AJE!$O:$O)</f>
        <v>0</v>
      </c>
      <c r="H296" s="885">
        <f>SUMIF(AJE!$B:$B,$C296&amp;$D296&amp;"*",AJE!$P:$P)</f>
        <v>0</v>
      </c>
      <c r="I296" s="913">
        <f>(B296*F296+G296-H296)*B296</f>
        <v>0</v>
      </c>
      <c r="J296" s="914">
        <f ca="1">OFFSET(INDEX(Sheet_Presc,MATCH((RIGHT($D296,2)),Sheet_Prescrow,0),MATCH((LEFT($D296,2)),Sheet_Presccol,0)),0,(COLUMNS(Sheet_Presccol)-2)/2)</f>
        <v>0</v>
      </c>
      <c r="K296" s="885">
        <f>SUMIF('AJE1'!$B:$B,$C296&amp;$D296&amp;"*",'AJE1'!$O:$O)</f>
        <v>0</v>
      </c>
      <c r="L296" s="885">
        <f>SUMIF('AJE1'!$B:$B,$C296&amp;$D296&amp;"*",'AJE1'!$P:$P)</f>
        <v>0</v>
      </c>
      <c r="M296" s="891">
        <f ca="1">($B296*J296+K296-L296)*$B296</f>
        <v>0</v>
      </c>
      <c r="N296" s="641"/>
      <c r="O296" s="641"/>
      <c r="P296" s="641"/>
      <c r="Q296" s="641"/>
      <c r="T296" s="3056" t="s">
        <v>1471</v>
      </c>
      <c r="U296" s="3063">
        <v>0</v>
      </c>
    </row>
    <row r="297" spans="1:21" ht="24">
      <c r="A297" s="1648" t="str">
        <f t="shared" si="88"/>
        <v>OEI</v>
      </c>
      <c r="B297" s="1647">
        <f t="shared" si="89"/>
        <v>-1</v>
      </c>
      <c r="C297" s="1647" t="str">
        <f t="shared" si="86"/>
        <v>J</v>
      </c>
      <c r="D297" s="1659" t="s">
        <v>1360</v>
      </c>
      <c r="E297" s="888" t="str">
        <f t="shared" si="62"/>
        <v>其他权益工具（优先股）_本期其他增减变动</v>
      </c>
      <c r="F297" s="884">
        <f>INDEX(Sheet_Presc,MATCH((RIGHT($D297,2)),Sheet_Prescrow,0),MATCH((LEFT($D297,2)),Sheet_Presccol,0))</f>
        <v>0</v>
      </c>
      <c r="G297" s="885">
        <f>SUMIF(AJE!$B:$B,$C297&amp;$D297&amp;"*",AJE!$O:$O)</f>
        <v>0</v>
      </c>
      <c r="H297" s="885">
        <f>SUMIF(AJE!$B:$B,$C297&amp;$D297&amp;"*",AJE!$P:$P)</f>
        <v>0</v>
      </c>
      <c r="I297" s="913">
        <f>(B297*F297+G297-H297)*B297</f>
        <v>0</v>
      </c>
      <c r="J297" s="914">
        <f ca="1">OFFSET(INDEX(Sheet_Presc,MATCH((RIGHT($D297,2)),Sheet_Prescrow,0),MATCH((LEFT($D297,2)),Sheet_Presccol,0)),0,(COLUMNS(Sheet_Presccol)-2)/2)</f>
        <v>0</v>
      </c>
      <c r="K297" s="885">
        <f>SUMIF('AJE1'!$B:$B,$C297&amp;$D297&amp;"*",'AJE1'!$O:$O)</f>
        <v>0</v>
      </c>
      <c r="L297" s="885">
        <f>SUMIF('AJE1'!$B:$B,$C297&amp;$D297&amp;"*",'AJE1'!$P:$P)</f>
        <v>0</v>
      </c>
      <c r="M297" s="891">
        <f ca="1">($B297*J297+K297-L297)*$B297</f>
        <v>0</v>
      </c>
      <c r="N297" s="641"/>
      <c r="O297" s="641"/>
      <c r="P297" s="641"/>
      <c r="Q297" s="641"/>
      <c r="T297" s="3056" t="s">
        <v>1477</v>
      </c>
      <c r="U297" s="3063">
        <v>0</v>
      </c>
    </row>
    <row r="298" spans="1:21" ht="24">
      <c r="A298" s="1648" t="str">
        <f t="shared" si="88"/>
        <v>OEI＝</v>
      </c>
      <c r="B298" s="1647">
        <f t="shared" si="89"/>
        <v>0</v>
      </c>
      <c r="C298" s="1647">
        <f t="shared" si="86"/>
        <v>0</v>
      </c>
      <c r="D298" s="1659" t="s">
        <v>1366</v>
      </c>
      <c r="E298" s="890" t="str">
        <f t="shared" si="62"/>
        <v>其他权益工具（优先股）_本期期末余额</v>
      </c>
      <c r="F298" s="884">
        <f>SUM(F274,F275)</f>
        <v>0</v>
      </c>
      <c r="G298" s="885">
        <f t="shared" ref="G298:M298" si="100">SUM(G274,G275)</f>
        <v>0</v>
      </c>
      <c r="H298" s="885">
        <f t="shared" si="100"/>
        <v>0</v>
      </c>
      <c r="I298" s="913">
        <f t="shared" si="100"/>
        <v>0</v>
      </c>
      <c r="J298" s="914">
        <f t="shared" ca="1" si="100"/>
        <v>0</v>
      </c>
      <c r="K298" s="885">
        <f t="shared" si="100"/>
        <v>0</v>
      </c>
      <c r="L298" s="885">
        <f t="shared" si="100"/>
        <v>0</v>
      </c>
      <c r="M298" s="891">
        <f t="shared" ca="1" si="100"/>
        <v>0</v>
      </c>
      <c r="N298" s="641"/>
      <c r="O298" s="641"/>
      <c r="P298" s="641"/>
      <c r="Q298" s="641"/>
      <c r="T298" s="3056" t="s">
        <v>1482</v>
      </c>
      <c r="U298" s="3063">
        <v>0</v>
      </c>
    </row>
    <row r="299" spans="1:21" ht="18">
      <c r="A299" s="1648" t="str">
        <f t="shared" si="88"/>
        <v>：OEI</v>
      </c>
      <c r="B299" s="1647">
        <f t="shared" si="89"/>
        <v>0</v>
      </c>
      <c r="C299" s="1647">
        <f t="shared" si="86"/>
        <v>0</v>
      </c>
      <c r="D299" s="1659" t="s">
        <v>1372</v>
      </c>
      <c r="E299" s="890" t="str">
        <f t="shared" si="62"/>
        <v>其他权益工具（永续债）增减变动</v>
      </c>
      <c r="F299" s="884"/>
      <c r="G299" s="885"/>
      <c r="H299" s="885"/>
      <c r="I299" s="913"/>
      <c r="J299" s="914"/>
      <c r="K299" s="885"/>
      <c r="L299" s="885"/>
      <c r="M299" s="891"/>
      <c r="N299" s="641"/>
      <c r="O299" s="641"/>
      <c r="P299" s="641"/>
      <c r="Q299" s="641"/>
      <c r="T299" s="3056" t="s">
        <v>1487</v>
      </c>
      <c r="U299" s="3063">
        <v>0</v>
      </c>
    </row>
    <row r="300" spans="1:21" ht="24">
      <c r="A300" s="1648" t="str">
        <f t="shared" si="88"/>
        <v>OEI</v>
      </c>
      <c r="B300" s="1647">
        <f t="shared" si="89"/>
        <v>-1</v>
      </c>
      <c r="C300" s="1647" t="str">
        <f t="shared" ref="C300:C332" si="101">VLOOKUP($D300,Sheet_Items,9,0)</f>
        <v>J</v>
      </c>
      <c r="D300" s="1659" t="s">
        <v>1377</v>
      </c>
      <c r="E300" s="888" t="str">
        <f t="shared" si="62"/>
        <v>其他权益工具（永续债）_上年年末余额</v>
      </c>
      <c r="F300" s="884">
        <f>INDEX(Sheet_Presc,MATCH((RIGHT($D300,2)),Sheet_Prescrow,0),MATCH((LEFT($D300,2)),Sheet_Presccol,0))</f>
        <v>0</v>
      </c>
      <c r="G300" s="885">
        <f>SUMIF(AJE!$B:$B,$C300&amp;$D300&amp;"*",AJE!$O:$O)</f>
        <v>0</v>
      </c>
      <c r="H300" s="885">
        <f>SUMIF(AJE!$B:$B,$C300&amp;$D300&amp;"*",AJE!$P:$P)</f>
        <v>0</v>
      </c>
      <c r="I300" s="913">
        <f>(B300*F300+G300-H300)*B300</f>
        <v>0</v>
      </c>
      <c r="J300" s="914">
        <f ca="1">OFFSET(INDEX(Sheet_Presc,MATCH((RIGHT($D300,2)),Sheet_Prescrow,0),MATCH((LEFT($D300,2)),Sheet_Presccol,0)),0,(COLUMNS(Sheet_Presccol)-2)/2)</f>
        <v>0</v>
      </c>
      <c r="K300" s="885">
        <f>SUMIF('AJE1'!$B:$B,$C300&amp;$D300&amp;"*",'AJE1'!$O:$O)</f>
        <v>0</v>
      </c>
      <c r="L300" s="885">
        <f>SUMIF('AJE1'!$B:$B,$C300&amp;$D300&amp;"*",'AJE1'!$P:$P)</f>
        <v>0</v>
      </c>
      <c r="M300" s="891">
        <f ca="1">($B300*J300+K300-L300)*$B300</f>
        <v>0</v>
      </c>
      <c r="N300" s="641"/>
      <c r="O300" s="641"/>
      <c r="P300" s="641"/>
      <c r="Q300" s="641"/>
      <c r="T300" s="3056" t="s">
        <v>1492</v>
      </c>
      <c r="U300" s="3063">
        <v>0</v>
      </c>
    </row>
    <row r="301" spans="1:21" ht="24">
      <c r="A301" s="1648" t="str">
        <f t="shared" si="88"/>
        <v>OEI</v>
      </c>
      <c r="B301" s="1647">
        <f t="shared" si="89"/>
        <v>-1</v>
      </c>
      <c r="C301" s="1647" t="str">
        <f t="shared" si="101"/>
        <v>J</v>
      </c>
      <c r="D301" s="1659" t="s">
        <v>1382</v>
      </c>
      <c r="E301" s="888" t="str">
        <f t="shared" si="62"/>
        <v>其他权益工具（永续债）_会计政策变更调整上年年末余额</v>
      </c>
      <c r="F301" s="884">
        <f>INDEX(Sheet_Presc,MATCH((RIGHT($D301,2)),Sheet_Prescrow,0),MATCH((LEFT($D301,2)),Sheet_Presccol,0))</f>
        <v>0</v>
      </c>
      <c r="G301" s="885">
        <f>SUMIF(AJE!$B:$B,$C301&amp;$D301&amp;"*",AJE!$O:$O)</f>
        <v>0</v>
      </c>
      <c r="H301" s="885">
        <f>SUMIF(AJE!$B:$B,$C301&amp;$D301&amp;"*",AJE!$P:$P)</f>
        <v>0</v>
      </c>
      <c r="I301" s="913">
        <f>(B301*F301+G301-H301)*B301</f>
        <v>0</v>
      </c>
      <c r="J301" s="914">
        <f ca="1">OFFSET(INDEX(Sheet_Presc,MATCH((RIGHT($D301,2)),Sheet_Prescrow,0),MATCH((LEFT($D301,2)),Sheet_Presccol,0)),0,(COLUMNS(Sheet_Presccol)-2)/2)</f>
        <v>0</v>
      </c>
      <c r="K301" s="885">
        <f>SUMIF('AJE1'!$B:$B,$C301&amp;$D301&amp;"*",'AJE1'!$O:$O)</f>
        <v>0</v>
      </c>
      <c r="L301" s="885">
        <f>SUMIF('AJE1'!$B:$B,$C301&amp;$D301&amp;"*",'AJE1'!$P:$P)</f>
        <v>0</v>
      </c>
      <c r="M301" s="891">
        <f ca="1">($B301*J301+K301-L301)*$B301</f>
        <v>0</v>
      </c>
      <c r="N301" s="641"/>
      <c r="O301" s="641"/>
      <c r="P301" s="641"/>
      <c r="Q301" s="641"/>
      <c r="T301" s="3056" t="s">
        <v>1497</v>
      </c>
      <c r="U301" s="3063">
        <v>0</v>
      </c>
    </row>
    <row r="302" spans="1:21" ht="24">
      <c r="A302" s="1648" t="str">
        <f t="shared" si="88"/>
        <v>OEI</v>
      </c>
      <c r="B302" s="1647">
        <f t="shared" si="89"/>
        <v>-1</v>
      </c>
      <c r="C302" s="1647" t="str">
        <f t="shared" si="101"/>
        <v>J</v>
      </c>
      <c r="D302" s="1659" t="s">
        <v>1387</v>
      </c>
      <c r="E302" s="888" t="str">
        <f t="shared" si="62"/>
        <v>其他权益工具（永续债）_前期差错更正调整上年年末余额</v>
      </c>
      <c r="F302" s="884">
        <f>INDEX(Sheet_Presc,MATCH((RIGHT($D302,2)),Sheet_Prescrow,0),MATCH((LEFT($D302,2)),Sheet_Presccol,0))</f>
        <v>0</v>
      </c>
      <c r="G302" s="885">
        <f>SUMIF(AJE!$B:$B,$C302&amp;$D302&amp;"*",AJE!$O:$O)</f>
        <v>0</v>
      </c>
      <c r="H302" s="885">
        <f>SUMIF(AJE!$B:$B,$C302&amp;$D302&amp;"*",AJE!$P:$P)</f>
        <v>0</v>
      </c>
      <c r="I302" s="913">
        <f>(B302*F302+G302-H302)*B302</f>
        <v>0</v>
      </c>
      <c r="J302" s="914">
        <f ca="1">OFFSET(INDEX(Sheet_Presc,MATCH((RIGHT($D302,2)),Sheet_Prescrow,0),MATCH((LEFT($D302,2)),Sheet_Presccol,0)),0,(COLUMNS(Sheet_Presccol)-2)/2)</f>
        <v>0</v>
      </c>
      <c r="K302" s="885">
        <f>SUMIF('AJE1'!$B:$B,$C302&amp;$D302&amp;"*",'AJE1'!$O:$O)</f>
        <v>0</v>
      </c>
      <c r="L302" s="885">
        <f>SUMIF('AJE1'!$B:$B,$C302&amp;$D302&amp;"*",'AJE1'!$P:$P)</f>
        <v>0</v>
      </c>
      <c r="M302" s="891">
        <f ca="1">($B302*J302+K302-L302)*$B302</f>
        <v>0</v>
      </c>
      <c r="N302" s="641"/>
      <c r="O302" s="641"/>
      <c r="P302" s="641"/>
      <c r="Q302" s="641"/>
      <c r="T302" s="3056" t="s">
        <v>1502</v>
      </c>
      <c r="U302" s="3063">
        <v>0</v>
      </c>
    </row>
    <row r="303" spans="1:21" ht="24">
      <c r="A303" s="1648" t="str">
        <f t="shared" si="88"/>
        <v>※OEI</v>
      </c>
      <c r="B303" s="1647">
        <f t="shared" si="89"/>
        <v>-1</v>
      </c>
      <c r="C303" s="1647" t="str">
        <f t="shared" si="101"/>
        <v>J</v>
      </c>
      <c r="D303" s="1659" t="s">
        <v>1392</v>
      </c>
      <c r="E303" s="888" t="str">
        <f t="shared" si="62"/>
        <v>其他权益工具（永续债）_同一控制下企业合并调整上年年末余额</v>
      </c>
      <c r="F303" s="884">
        <f>INDEX(Sheet_Presc,MATCH((RIGHT($D303,2)),Sheet_Prescrow,0),MATCH((LEFT($D303,2)),Sheet_Presccol,0))</f>
        <v>0</v>
      </c>
      <c r="G303" s="885">
        <f>SUMIF(AJE!$B:$B,$C303&amp;$D303&amp;"*",AJE!$O:$O)</f>
        <v>0</v>
      </c>
      <c r="H303" s="885">
        <f>SUMIF(AJE!$B:$B,$C303&amp;$D303&amp;"*",AJE!$P:$P)</f>
        <v>0</v>
      </c>
      <c r="I303" s="913">
        <f>(B303*F303+G303-H303)*B303</f>
        <v>0</v>
      </c>
      <c r="J303" s="914">
        <f ca="1">OFFSET(INDEX(Sheet_Presc,MATCH((RIGHT($D303,2)),Sheet_Prescrow,0),MATCH((LEFT($D303,2)),Sheet_Presccol,0)),0,(COLUMNS(Sheet_Presccol)-2)/2)</f>
        <v>0</v>
      </c>
      <c r="K303" s="885">
        <f>SUMIF('AJE1'!$B:$B,$C303&amp;$D303&amp;"*",'AJE1'!$O:$O)</f>
        <v>0</v>
      </c>
      <c r="L303" s="885">
        <f>SUMIF('AJE1'!$B:$B,$C303&amp;$D303&amp;"*",'AJE1'!$P:$P)</f>
        <v>0</v>
      </c>
      <c r="M303" s="891">
        <f ca="1">($B303*J303+K303-L303)*$B303</f>
        <v>0</v>
      </c>
      <c r="N303" s="641"/>
      <c r="O303" s="641"/>
      <c r="P303" s="641"/>
      <c r="Q303" s="641"/>
      <c r="T303" s="3056" t="s">
        <v>1507</v>
      </c>
      <c r="U303" s="3063">
        <v>0</v>
      </c>
    </row>
    <row r="304" spans="1:21" ht="24">
      <c r="A304" s="1648" t="str">
        <f t="shared" si="88"/>
        <v>OEI</v>
      </c>
      <c r="B304" s="1647">
        <f t="shared" si="89"/>
        <v>-1</v>
      </c>
      <c r="C304" s="1647" t="str">
        <f t="shared" si="101"/>
        <v>J</v>
      </c>
      <c r="D304" s="1659" t="s">
        <v>1397</v>
      </c>
      <c r="E304" s="888" t="str">
        <f t="shared" si="62"/>
        <v>其他权益工具（永续债）_其他原因调整上年年末余额</v>
      </c>
      <c r="F304" s="884">
        <f>INDEX(Sheet_Presc,MATCH((RIGHT($D304,2)),Sheet_Prescrow,0),MATCH((LEFT($D304,2)),Sheet_Presccol,0))</f>
        <v>0</v>
      </c>
      <c r="G304" s="885">
        <f>SUMIF(AJE!$B:$B,$C304&amp;$D304&amp;"*",AJE!$O:$O)</f>
        <v>0</v>
      </c>
      <c r="H304" s="885">
        <f>SUMIF(AJE!$B:$B,$C304&amp;$D304&amp;"*",AJE!$P:$P)</f>
        <v>0</v>
      </c>
      <c r="I304" s="913">
        <f>(B304*F304+G304-H304)*B304</f>
        <v>0</v>
      </c>
      <c r="J304" s="914">
        <f ca="1">OFFSET(INDEX(Sheet_Presc,MATCH((RIGHT($D304,2)),Sheet_Prescrow,0),MATCH((LEFT($D304,2)),Sheet_Presccol,0)),0,(COLUMNS(Sheet_Presccol)-2)/2)</f>
        <v>0</v>
      </c>
      <c r="K304" s="885">
        <f>SUMIF('AJE1'!$B:$B,$C304&amp;$D304&amp;"*",'AJE1'!$O:$O)</f>
        <v>0</v>
      </c>
      <c r="L304" s="885">
        <f>SUMIF('AJE1'!$B:$B,$C304&amp;$D304&amp;"*",'AJE1'!$P:$P)</f>
        <v>0</v>
      </c>
      <c r="M304" s="891">
        <f ca="1">($B304*J304+K304-L304)*$B304</f>
        <v>0</v>
      </c>
      <c r="N304" s="641"/>
      <c r="O304" s="641"/>
      <c r="P304" s="641"/>
      <c r="Q304" s="641"/>
      <c r="T304" s="3056" t="s">
        <v>1512</v>
      </c>
      <c r="U304" s="3063">
        <v>0</v>
      </c>
    </row>
    <row r="305" spans="1:21" ht="24">
      <c r="A305" s="1648" t="str">
        <f t="shared" si="88"/>
        <v>OEI＝</v>
      </c>
      <c r="B305" s="1647">
        <f t="shared" si="89"/>
        <v>0</v>
      </c>
      <c r="C305" s="1647">
        <f t="shared" si="101"/>
        <v>0</v>
      </c>
      <c r="D305" s="1659" t="s">
        <v>1402</v>
      </c>
      <c r="E305" s="890" t="str">
        <f t="shared" si="62"/>
        <v>其他权益工具（永续债）_本年年初余额</v>
      </c>
      <c r="F305" s="884">
        <f t="shared" ref="F305:M305" si="102">SUM(F300:F304)</f>
        <v>0</v>
      </c>
      <c r="G305" s="885">
        <f t="shared" si="102"/>
        <v>0</v>
      </c>
      <c r="H305" s="885">
        <f t="shared" si="102"/>
        <v>0</v>
      </c>
      <c r="I305" s="913">
        <f t="shared" si="102"/>
        <v>0</v>
      </c>
      <c r="J305" s="914">
        <f t="shared" ca="1" si="102"/>
        <v>0</v>
      </c>
      <c r="K305" s="885">
        <f t="shared" si="102"/>
        <v>0</v>
      </c>
      <c r="L305" s="885">
        <f t="shared" si="102"/>
        <v>0</v>
      </c>
      <c r="M305" s="891">
        <f t="shared" ca="1" si="102"/>
        <v>0</v>
      </c>
      <c r="N305" s="641"/>
      <c r="O305" s="641"/>
      <c r="P305" s="641"/>
      <c r="Q305" s="641"/>
      <c r="T305" s="3056" t="s">
        <v>1517</v>
      </c>
      <c r="U305" s="3063">
        <v>0</v>
      </c>
    </row>
    <row r="306" spans="1:21" ht="24">
      <c r="A306" s="1648" t="str">
        <f t="shared" si="88"/>
        <v>OEI＝</v>
      </c>
      <c r="B306" s="1647">
        <f t="shared" si="89"/>
        <v>0</v>
      </c>
      <c r="C306" s="1647">
        <f t="shared" si="101"/>
        <v>0</v>
      </c>
      <c r="D306" s="1659" t="s">
        <v>1407</v>
      </c>
      <c r="E306" s="890" t="str">
        <f t="shared" si="62"/>
        <v>其他权益工具（永续债）_本期增减变动金额</v>
      </c>
      <c r="F306" s="884">
        <f t="shared" ref="F306:M306" si="103">SUM(F307,F308,F313,F318,F325,F328)</f>
        <v>0</v>
      </c>
      <c r="G306" s="885">
        <f t="shared" si="103"/>
        <v>0</v>
      </c>
      <c r="H306" s="885">
        <f t="shared" si="103"/>
        <v>0</v>
      </c>
      <c r="I306" s="913">
        <f t="shared" si="103"/>
        <v>0</v>
      </c>
      <c r="J306" s="914">
        <f t="shared" ca="1" si="103"/>
        <v>0</v>
      </c>
      <c r="K306" s="885">
        <f t="shared" si="103"/>
        <v>0</v>
      </c>
      <c r="L306" s="885">
        <f t="shared" si="103"/>
        <v>0</v>
      </c>
      <c r="M306" s="891">
        <f t="shared" ca="1" si="103"/>
        <v>0</v>
      </c>
      <c r="N306" s="641"/>
      <c r="O306" s="641"/>
      <c r="P306" s="641"/>
      <c r="Q306" s="641"/>
      <c r="T306" s="3056" t="s">
        <v>1522</v>
      </c>
      <c r="U306" s="3063">
        <v>0</v>
      </c>
    </row>
    <row r="307" spans="1:21" ht="24">
      <c r="A307" s="1648" t="str">
        <f t="shared" si="88"/>
        <v>OEI</v>
      </c>
      <c r="B307" s="1647">
        <f t="shared" si="89"/>
        <v>-1</v>
      </c>
      <c r="C307" s="1647" t="str">
        <f t="shared" si="101"/>
        <v>J</v>
      </c>
      <c r="D307" s="1659" t="s">
        <v>1413</v>
      </c>
      <c r="E307" s="888" t="str">
        <f t="shared" si="62"/>
        <v>其他权益工具（永续债）_综合收益总额增加权益</v>
      </c>
      <c r="F307" s="884">
        <f>INDEX(Sheet_Presc,MATCH((RIGHT($D307,2)),Sheet_Prescrow,0),MATCH((LEFT($D307,2)),Sheet_Presccol,0))</f>
        <v>0</v>
      </c>
      <c r="G307" s="885">
        <f>SUMIF(AJE!$B:$B,$C307&amp;$D307&amp;"*",AJE!$O:$O)</f>
        <v>0</v>
      </c>
      <c r="H307" s="885">
        <f>SUMIF(AJE!$B:$B,$C307&amp;$D307&amp;"*",AJE!$P:$P)</f>
        <v>0</v>
      </c>
      <c r="I307" s="913">
        <f>(B307*F307+G307-H307)*B307</f>
        <v>0</v>
      </c>
      <c r="J307" s="914">
        <f ca="1">OFFSET(INDEX(Sheet_Presc,MATCH((RIGHT($D307,2)),Sheet_Prescrow,0),MATCH((LEFT($D307,2)),Sheet_Presccol,0)),0,(COLUMNS(Sheet_Presccol)-2)/2)</f>
        <v>0</v>
      </c>
      <c r="K307" s="885">
        <f>SUMIF('AJE1'!$B:$B,$C307&amp;$D307&amp;"*",'AJE1'!$O:$O)</f>
        <v>0</v>
      </c>
      <c r="L307" s="885">
        <f>SUMIF('AJE1'!$B:$B,$C307&amp;$D307&amp;"*",'AJE1'!$P:$P)</f>
        <v>0</v>
      </c>
      <c r="M307" s="891">
        <f ca="1">($B307*J307+K307-L307)*$B307</f>
        <v>0</v>
      </c>
      <c r="N307" s="641"/>
      <c r="O307" s="641"/>
      <c r="P307" s="641"/>
      <c r="Q307" s="641"/>
      <c r="T307" s="3056" t="s">
        <v>1525</v>
      </c>
      <c r="U307" s="3063"/>
    </row>
    <row r="308" spans="1:21" ht="24">
      <c r="A308" s="1648" t="str">
        <f t="shared" si="88"/>
        <v>OEI＝</v>
      </c>
      <c r="B308" s="1647">
        <f t="shared" si="89"/>
        <v>0</v>
      </c>
      <c r="C308" s="1647">
        <f t="shared" si="101"/>
        <v>0</v>
      </c>
      <c r="D308" s="1659" t="s">
        <v>1418</v>
      </c>
      <c r="E308" s="890" t="str">
        <f t="shared" si="62"/>
        <v>其他权益工具（永续债）_所有者投入和减少资本影响权益</v>
      </c>
      <c r="F308" s="884">
        <f t="shared" ref="F308:M308" si="104">SUM(F309:F312)</f>
        <v>0</v>
      </c>
      <c r="G308" s="885">
        <f t="shared" si="104"/>
        <v>0</v>
      </c>
      <c r="H308" s="885">
        <f t="shared" si="104"/>
        <v>0</v>
      </c>
      <c r="I308" s="913">
        <f t="shared" si="104"/>
        <v>0</v>
      </c>
      <c r="J308" s="914">
        <f t="shared" ca="1" si="104"/>
        <v>0</v>
      </c>
      <c r="K308" s="885">
        <f t="shared" si="104"/>
        <v>0</v>
      </c>
      <c r="L308" s="885">
        <f t="shared" si="104"/>
        <v>0</v>
      </c>
      <c r="M308" s="891">
        <f t="shared" ca="1" si="104"/>
        <v>0</v>
      </c>
      <c r="N308" s="641"/>
      <c r="O308" s="641"/>
      <c r="P308" s="641"/>
      <c r="Q308" s="641"/>
      <c r="T308" s="3056" t="s">
        <v>1530</v>
      </c>
      <c r="U308" s="3063">
        <v>0</v>
      </c>
    </row>
    <row r="309" spans="1:21" ht="24">
      <c r="A309" s="1648" t="str">
        <f t="shared" si="88"/>
        <v>OEI</v>
      </c>
      <c r="B309" s="1647">
        <f t="shared" si="89"/>
        <v>-1</v>
      </c>
      <c r="C309" s="1647" t="str">
        <f t="shared" si="101"/>
        <v>J</v>
      </c>
      <c r="D309" s="1659" t="s">
        <v>1424</v>
      </c>
      <c r="E309" s="888" t="str">
        <f t="shared" si="62"/>
        <v>其他权益工具（永续债）_所有者投入资本</v>
      </c>
      <c r="F309" s="884">
        <f>INDEX(Sheet_Presc,MATCH((RIGHT($D309,2)),Sheet_Prescrow,0),MATCH((LEFT($D309,2)),Sheet_Presccol,0))</f>
        <v>0</v>
      </c>
      <c r="G309" s="885">
        <f>SUMIF(AJE!$B:$B,$C309&amp;$D309&amp;"*",AJE!$O:$O)</f>
        <v>0</v>
      </c>
      <c r="H309" s="885">
        <f>SUMIF(AJE!$B:$B,$C309&amp;$D309&amp;"*",AJE!$P:$P)</f>
        <v>0</v>
      </c>
      <c r="I309" s="913">
        <f>(B309*F309+G309-H309)*B309</f>
        <v>0</v>
      </c>
      <c r="J309" s="914">
        <f ca="1">OFFSET(INDEX(Sheet_Presc,MATCH((RIGHT($D309,2)),Sheet_Prescrow,0),MATCH((LEFT($D309,2)),Sheet_Presccol,0)),0,(COLUMNS(Sheet_Presccol)-2)/2)</f>
        <v>0</v>
      </c>
      <c r="K309" s="885">
        <f>SUMIF('AJE1'!$B:$B,$C309&amp;$D309&amp;"*",'AJE1'!$O:$O)</f>
        <v>0</v>
      </c>
      <c r="L309" s="885">
        <f>SUMIF('AJE1'!$B:$B,$C309&amp;$D309&amp;"*",'AJE1'!$P:$P)</f>
        <v>0</v>
      </c>
      <c r="M309" s="891">
        <f ca="1">($B309*J309+K309-L309)*$B309</f>
        <v>0</v>
      </c>
      <c r="N309" s="641"/>
      <c r="O309" s="641"/>
      <c r="P309" s="641"/>
      <c r="Q309" s="641"/>
      <c r="T309" s="3056" t="s">
        <v>1535</v>
      </c>
      <c r="U309" s="3063">
        <v>0</v>
      </c>
    </row>
    <row r="310" spans="1:21" ht="24">
      <c r="A310" s="1648" t="str">
        <f t="shared" si="88"/>
        <v>OEI</v>
      </c>
      <c r="B310" s="1647">
        <f t="shared" si="89"/>
        <v>-1</v>
      </c>
      <c r="C310" s="1647" t="str">
        <f t="shared" si="101"/>
        <v>J</v>
      </c>
      <c r="D310" s="1659" t="s">
        <v>1434</v>
      </c>
      <c r="E310" s="888" t="str">
        <f t="shared" si="62"/>
        <v>其他权益工具（永续债）_其他权益工具持有者投入资本</v>
      </c>
      <c r="F310" s="884">
        <f>INDEX(Sheet_Presc,MATCH((RIGHT($D310,2)),Sheet_Prescrow,0),MATCH((LEFT($D310,2)),Sheet_Presccol,0))</f>
        <v>0</v>
      </c>
      <c r="G310" s="885">
        <f>SUMIF(AJE!$B:$B,$C310&amp;$D310&amp;"*",AJE!$O:$O)</f>
        <v>0</v>
      </c>
      <c r="H310" s="885">
        <f>SUMIF(AJE!$B:$B,$C310&amp;$D310&amp;"*",AJE!$P:$P)</f>
        <v>0</v>
      </c>
      <c r="I310" s="913">
        <f>(B310*F310+G310-H310)*B310</f>
        <v>0</v>
      </c>
      <c r="J310" s="914">
        <f ca="1">OFFSET(INDEX(Sheet_Presc,MATCH((RIGHT($D310,2)),Sheet_Prescrow,0),MATCH((LEFT($D310,2)),Sheet_Presccol,0)),0,(COLUMNS(Sheet_Presccol)-2)/2)</f>
        <v>0</v>
      </c>
      <c r="K310" s="885">
        <f>SUMIF('AJE1'!$B:$B,$C310&amp;$D310&amp;"*",'AJE1'!$O:$O)</f>
        <v>0</v>
      </c>
      <c r="L310" s="885">
        <f>SUMIF('AJE1'!$B:$B,$C310&amp;$D310&amp;"*",'AJE1'!$P:$P)</f>
        <v>0</v>
      </c>
      <c r="M310" s="891">
        <f ca="1">($B310*J310+K310-L310)*$B310</f>
        <v>0</v>
      </c>
      <c r="N310" s="641"/>
      <c r="O310" s="641"/>
      <c r="P310" s="641"/>
      <c r="Q310" s="641"/>
      <c r="T310" s="3056" t="s">
        <v>1540</v>
      </c>
      <c r="U310" s="3063">
        <v>0</v>
      </c>
    </row>
    <row r="311" spans="1:21" ht="18">
      <c r="A311" s="1648" t="str">
        <f t="shared" si="88"/>
        <v>OEI</v>
      </c>
      <c r="B311" s="1647">
        <f t="shared" si="89"/>
        <v>-1</v>
      </c>
      <c r="C311" s="1647" t="str">
        <f t="shared" si="101"/>
        <v>J</v>
      </c>
      <c r="D311" s="1659" t="s">
        <v>1429</v>
      </c>
      <c r="E311" s="888" t="str">
        <f t="shared" si="62"/>
        <v>其他权益工具（永续债）_股份支付</v>
      </c>
      <c r="F311" s="884">
        <f>INDEX(Sheet_Presc,MATCH((RIGHT($D311,2)),Sheet_Prescrow,0),MATCH((LEFT($D311,2)),Sheet_Presccol,0))</f>
        <v>0</v>
      </c>
      <c r="G311" s="885">
        <f>SUMIF(AJE!$B:$B,$C311&amp;$D311&amp;"*",AJE!$O:$O)</f>
        <v>0</v>
      </c>
      <c r="H311" s="885">
        <f>SUMIF(AJE!$B:$B,$C311&amp;$D311&amp;"*",AJE!$P:$P)</f>
        <v>0</v>
      </c>
      <c r="I311" s="913">
        <f>(B311*F311+G311-H311)*B311</f>
        <v>0</v>
      </c>
      <c r="J311" s="914">
        <f ca="1">OFFSET(INDEX(Sheet_Presc,MATCH((RIGHT($D311,2)),Sheet_Prescrow,0),MATCH((LEFT($D311,2)),Sheet_Presccol,0)),0,(COLUMNS(Sheet_Presccol)-2)/2)</f>
        <v>0</v>
      </c>
      <c r="K311" s="885">
        <f>SUMIF('AJE1'!$B:$B,$C311&amp;$D311&amp;"*",'AJE1'!$O:$O)</f>
        <v>0</v>
      </c>
      <c r="L311" s="885">
        <f>SUMIF('AJE1'!$B:$B,$C311&amp;$D311&amp;"*",'AJE1'!$P:$P)</f>
        <v>0</v>
      </c>
      <c r="M311" s="891">
        <f ca="1">($B311*J311+K311-L311)*$B311</f>
        <v>0</v>
      </c>
      <c r="N311" s="641"/>
      <c r="O311" s="641"/>
      <c r="P311" s="641"/>
      <c r="Q311" s="641"/>
      <c r="T311" s="3056" t="s">
        <v>1546</v>
      </c>
      <c r="U311" s="3063">
        <v>0</v>
      </c>
    </row>
    <row r="312" spans="1:21" ht="24">
      <c r="A312" s="1648" t="str">
        <f t="shared" si="88"/>
        <v>OEI</v>
      </c>
      <c r="B312" s="1647">
        <f t="shared" si="89"/>
        <v>-1</v>
      </c>
      <c r="C312" s="1647" t="str">
        <f t="shared" si="101"/>
        <v>J</v>
      </c>
      <c r="D312" s="1659" t="s">
        <v>1440</v>
      </c>
      <c r="E312" s="888" t="str">
        <f t="shared" si="62"/>
        <v>其他权益工具（永续债）_所有者其他投入和减少资本</v>
      </c>
      <c r="F312" s="884">
        <f>INDEX(Sheet_Presc,MATCH((RIGHT($D312,2)),Sheet_Prescrow,0),MATCH((LEFT($D312,2)),Sheet_Presccol,0))</f>
        <v>0</v>
      </c>
      <c r="G312" s="885">
        <f>SUMIF(AJE!$B:$B,$C312&amp;$D312&amp;"*",AJE!$O:$O)</f>
        <v>0</v>
      </c>
      <c r="H312" s="885">
        <f>SUMIF(AJE!$B:$B,$C312&amp;$D312&amp;"*",AJE!$P:$P)</f>
        <v>0</v>
      </c>
      <c r="I312" s="913">
        <f>(B312*F312+G312-H312)*B312</f>
        <v>0</v>
      </c>
      <c r="J312" s="914">
        <f ca="1">OFFSET(INDEX(Sheet_Presc,MATCH((RIGHT($D312,2)),Sheet_Prescrow,0),MATCH((LEFT($D312,2)),Sheet_Presccol,0)),0,(COLUMNS(Sheet_Presccol)-2)/2)</f>
        <v>0</v>
      </c>
      <c r="K312" s="885">
        <f>SUMIF('AJE1'!$B:$B,$C312&amp;$D312&amp;"*",'AJE1'!$O:$O)</f>
        <v>0</v>
      </c>
      <c r="L312" s="885">
        <f>SUMIF('AJE1'!$B:$B,$C312&amp;$D312&amp;"*",'AJE1'!$P:$P)</f>
        <v>0</v>
      </c>
      <c r="M312" s="891">
        <f ca="1">($B312*J312+K312-L312)*$B312</f>
        <v>0</v>
      </c>
      <c r="N312" s="641"/>
      <c r="O312" s="641"/>
      <c r="P312" s="641"/>
      <c r="Q312" s="641"/>
      <c r="T312" s="3056" t="s">
        <v>1551</v>
      </c>
      <c r="U312" s="3063">
        <v>0</v>
      </c>
    </row>
    <row r="313" spans="1:21" ht="24">
      <c r="A313" s="1648" t="str">
        <f t="shared" si="88"/>
        <v>OEI＝</v>
      </c>
      <c r="B313" s="1647">
        <f t="shared" si="89"/>
        <v>0</v>
      </c>
      <c r="C313" s="1647">
        <f t="shared" si="101"/>
        <v>0</v>
      </c>
      <c r="D313" s="1659" t="s">
        <v>1445</v>
      </c>
      <c r="E313" s="890" t="str">
        <f t="shared" si="62"/>
        <v>其他权益工具（永续债）_利润分配影响权益</v>
      </c>
      <c r="F313" s="884">
        <f t="shared" ref="F313:M313" si="105">SUM(F314:F317)</f>
        <v>0</v>
      </c>
      <c r="G313" s="885">
        <f t="shared" si="105"/>
        <v>0</v>
      </c>
      <c r="H313" s="885">
        <f t="shared" si="105"/>
        <v>0</v>
      </c>
      <c r="I313" s="913">
        <f t="shared" si="105"/>
        <v>0</v>
      </c>
      <c r="J313" s="914">
        <f t="shared" ca="1" si="105"/>
        <v>0</v>
      </c>
      <c r="K313" s="885">
        <f t="shared" si="105"/>
        <v>0</v>
      </c>
      <c r="L313" s="885">
        <f t="shared" si="105"/>
        <v>0</v>
      </c>
      <c r="M313" s="891">
        <f t="shared" ca="1" si="105"/>
        <v>0</v>
      </c>
      <c r="N313" s="641"/>
      <c r="O313" s="641"/>
      <c r="P313" s="641"/>
      <c r="Q313" s="641"/>
      <c r="T313" s="3056" t="s">
        <v>1556</v>
      </c>
      <c r="U313" s="3063">
        <v>0</v>
      </c>
    </row>
    <row r="314" spans="1:21" ht="24">
      <c r="A314" s="1648" t="str">
        <f t="shared" si="88"/>
        <v>OEI</v>
      </c>
      <c r="B314" s="1647">
        <f t="shared" si="89"/>
        <v>-1</v>
      </c>
      <c r="C314" s="1647" t="str">
        <f t="shared" si="101"/>
        <v>J</v>
      </c>
      <c r="D314" s="1659" t="s">
        <v>1450</v>
      </c>
      <c r="E314" s="888" t="str">
        <f t="shared" si="62"/>
        <v>其他权益工具（永续债）_提取盈余公积</v>
      </c>
      <c r="F314" s="884">
        <f>INDEX(Sheet_Presc,MATCH((RIGHT($D314,2)),Sheet_Prescrow,0),MATCH((LEFT($D314,2)),Sheet_Presccol,0))</f>
        <v>0</v>
      </c>
      <c r="G314" s="885">
        <f>SUMIF(AJE!$B:$B,$C314&amp;$D314&amp;"*",AJE!$O:$O)</f>
        <v>0</v>
      </c>
      <c r="H314" s="885">
        <f>SUMIF(AJE!$B:$B,$C314&amp;$D314&amp;"*",AJE!$P:$P)</f>
        <v>0</v>
      </c>
      <c r="I314" s="913">
        <f>(B314*F314+G314-H314)*B314</f>
        <v>0</v>
      </c>
      <c r="J314" s="914">
        <f ca="1">OFFSET(INDEX(Sheet_Presc,MATCH((RIGHT($D314,2)),Sheet_Prescrow,0),MATCH((LEFT($D314,2)),Sheet_Presccol,0)),0,(COLUMNS(Sheet_Presccol)-2)/2)</f>
        <v>0</v>
      </c>
      <c r="K314" s="885">
        <f>SUMIF('AJE1'!$B:$B,$C314&amp;$D314&amp;"*",'AJE1'!$O:$O)</f>
        <v>0</v>
      </c>
      <c r="L314" s="885">
        <f>SUMIF('AJE1'!$B:$B,$C314&amp;$D314&amp;"*",'AJE1'!$P:$P)</f>
        <v>0</v>
      </c>
      <c r="M314" s="891">
        <f ca="1">($B314*J314+K314-L314)*$B314</f>
        <v>0</v>
      </c>
      <c r="N314" s="641"/>
      <c r="O314" s="641"/>
      <c r="P314" s="641"/>
      <c r="Q314" s="641"/>
      <c r="T314" s="3056" t="s">
        <v>1561</v>
      </c>
      <c r="U314" s="3063">
        <v>0</v>
      </c>
    </row>
    <row r="315" spans="1:21" ht="24">
      <c r="A315" s="1648" t="str">
        <f t="shared" si="88"/>
        <v>OEI</v>
      </c>
      <c r="B315" s="1647">
        <f t="shared" si="89"/>
        <v>-1</v>
      </c>
      <c r="C315" s="1647" t="str">
        <f t="shared" si="101"/>
        <v>J</v>
      </c>
      <c r="D315" s="1659" t="s">
        <v>1455</v>
      </c>
      <c r="E315" s="888" t="str">
        <f t="shared" si="62"/>
        <v>其他权益工具（永续债）_提取一般风险准备</v>
      </c>
      <c r="F315" s="884">
        <f>INDEX(Sheet_Presc,MATCH((RIGHT($D315,2)),Sheet_Prescrow,0),MATCH((LEFT($D315,2)),Sheet_Presccol,0))</f>
        <v>0</v>
      </c>
      <c r="G315" s="885">
        <f>SUMIF(AJE!$B:$B,$C315&amp;$D315&amp;"*",AJE!$O:$O)</f>
        <v>0</v>
      </c>
      <c r="H315" s="885">
        <f>SUMIF(AJE!$B:$B,$C315&amp;$D315&amp;"*",AJE!$P:$P)</f>
        <v>0</v>
      </c>
      <c r="I315" s="913">
        <f>(B315*F315+G315-H315)*B315</f>
        <v>0</v>
      </c>
      <c r="J315" s="914">
        <f ca="1">OFFSET(INDEX(Sheet_Presc,MATCH((RIGHT($D315,2)),Sheet_Prescrow,0),MATCH((LEFT($D315,2)),Sheet_Presccol,0)),0,(COLUMNS(Sheet_Presccol)-2)/2)</f>
        <v>0</v>
      </c>
      <c r="K315" s="885">
        <f>SUMIF('AJE1'!$B:$B,$C315&amp;$D315&amp;"*",'AJE1'!$O:$O)</f>
        <v>0</v>
      </c>
      <c r="L315" s="885">
        <f>SUMIF('AJE1'!$B:$B,$C315&amp;$D315&amp;"*",'AJE1'!$P:$P)</f>
        <v>0</v>
      </c>
      <c r="M315" s="891">
        <f ca="1">($B315*J315+K315-L315)*$B315</f>
        <v>0</v>
      </c>
      <c r="N315" s="641"/>
      <c r="O315" s="641"/>
      <c r="P315" s="641"/>
      <c r="Q315" s="641"/>
      <c r="T315" s="3056" t="s">
        <v>1566</v>
      </c>
      <c r="U315" s="3063">
        <v>0</v>
      </c>
    </row>
    <row r="316" spans="1:21" ht="24">
      <c r="A316" s="1648" t="str">
        <f t="shared" si="88"/>
        <v>OEI</v>
      </c>
      <c r="B316" s="1647">
        <f t="shared" si="89"/>
        <v>-1</v>
      </c>
      <c r="C316" s="1647" t="str">
        <f t="shared" si="101"/>
        <v>J</v>
      </c>
      <c r="D316" s="1659" t="s">
        <v>1460</v>
      </c>
      <c r="E316" s="888" t="str">
        <f t="shared" si="62"/>
        <v>其他权益工具（永续债）_对所有者的分配</v>
      </c>
      <c r="F316" s="884">
        <f>INDEX(Sheet_Presc,MATCH((RIGHT($D316,2)),Sheet_Prescrow,0),MATCH((LEFT($D316,2)),Sheet_Presccol,0))</f>
        <v>0</v>
      </c>
      <c r="G316" s="885">
        <f>SUMIF(AJE!$B:$B,$C316&amp;$D316&amp;"*",AJE!$O:$O)</f>
        <v>0</v>
      </c>
      <c r="H316" s="885">
        <f>SUMIF(AJE!$B:$B,$C316&amp;$D316&amp;"*",AJE!$P:$P)</f>
        <v>0</v>
      </c>
      <c r="I316" s="913">
        <f>(B316*F316+G316-H316)*B316</f>
        <v>0</v>
      </c>
      <c r="J316" s="914">
        <f ca="1">OFFSET(INDEX(Sheet_Presc,MATCH((RIGHT($D316,2)),Sheet_Prescrow,0),MATCH((LEFT($D316,2)),Sheet_Presccol,0)),0,(COLUMNS(Sheet_Presccol)-2)/2)</f>
        <v>0</v>
      </c>
      <c r="K316" s="885">
        <f>SUMIF('AJE1'!$B:$B,$C316&amp;$D316&amp;"*",'AJE1'!$O:$O)</f>
        <v>0</v>
      </c>
      <c r="L316" s="885">
        <f>SUMIF('AJE1'!$B:$B,$C316&amp;$D316&amp;"*",'AJE1'!$P:$P)</f>
        <v>0</v>
      </c>
      <c r="M316" s="891">
        <f ca="1">($B316*J316+K316-L316)*$B316</f>
        <v>0</v>
      </c>
      <c r="N316" s="641"/>
      <c r="O316" s="641"/>
      <c r="P316" s="641"/>
      <c r="Q316" s="641"/>
      <c r="T316" s="3056" t="s">
        <v>1571</v>
      </c>
      <c r="U316" s="3063">
        <v>0</v>
      </c>
    </row>
    <row r="317" spans="1:21" ht="24">
      <c r="A317" s="1648" t="str">
        <f t="shared" si="88"/>
        <v>OEI</v>
      </c>
      <c r="B317" s="1647">
        <f t="shared" si="89"/>
        <v>-1</v>
      </c>
      <c r="C317" s="1647" t="str">
        <f t="shared" si="101"/>
        <v>J</v>
      </c>
      <c r="D317" s="1659" t="s">
        <v>1466</v>
      </c>
      <c r="E317" s="888" t="str">
        <f t="shared" si="62"/>
        <v>其他权益工具（永续债）_其他利润分配</v>
      </c>
      <c r="F317" s="884">
        <f>INDEX(Sheet_Presc,MATCH((RIGHT($D317,2)),Sheet_Prescrow,0),MATCH((LEFT($D317,2)),Sheet_Presccol,0))</f>
        <v>0</v>
      </c>
      <c r="G317" s="885">
        <f>SUMIF(AJE!$B:$B,$C317&amp;$D317&amp;"*",AJE!$O:$O)</f>
        <v>0</v>
      </c>
      <c r="H317" s="885">
        <f>SUMIF(AJE!$B:$B,$C317&amp;$D317&amp;"*",AJE!$P:$P)</f>
        <v>0</v>
      </c>
      <c r="I317" s="913">
        <f>(B317*F317+G317-H317)*B317</f>
        <v>0</v>
      </c>
      <c r="J317" s="914">
        <f ca="1">OFFSET(INDEX(Sheet_Presc,MATCH((RIGHT($D317,2)),Sheet_Prescrow,0),MATCH((LEFT($D317,2)),Sheet_Presccol,0)),0,(COLUMNS(Sheet_Presccol)-2)/2)</f>
        <v>0</v>
      </c>
      <c r="K317" s="885">
        <f>SUMIF('AJE1'!$B:$B,$C317&amp;$D317&amp;"*",'AJE1'!$O:$O)</f>
        <v>0</v>
      </c>
      <c r="L317" s="885">
        <f>SUMIF('AJE1'!$B:$B,$C317&amp;$D317&amp;"*",'AJE1'!$P:$P)</f>
        <v>0</v>
      </c>
      <c r="M317" s="891">
        <f ca="1">($B317*J317+K317-L317)*$B317</f>
        <v>0</v>
      </c>
      <c r="N317" s="641"/>
      <c r="O317" s="641"/>
      <c r="P317" s="641"/>
      <c r="Q317" s="641"/>
      <c r="T317" s="3056" t="s">
        <v>1576</v>
      </c>
      <c r="U317" s="3063">
        <v>0</v>
      </c>
    </row>
    <row r="318" spans="1:21" ht="24">
      <c r="A318" s="1648" t="str">
        <f t="shared" si="88"/>
        <v>OEI＝</v>
      </c>
      <c r="B318" s="1647">
        <f t="shared" si="89"/>
        <v>0</v>
      </c>
      <c r="C318" s="1647">
        <f t="shared" si="101"/>
        <v>0</v>
      </c>
      <c r="D318" s="1659" t="s">
        <v>1471</v>
      </c>
      <c r="E318" s="890" t="str">
        <f t="shared" si="62"/>
        <v>其他权益工具（永续债）_所有者权益内部结转</v>
      </c>
      <c r="F318" s="884">
        <f t="shared" ref="F318:M318" si="106">SUM(F319:F324)</f>
        <v>0</v>
      </c>
      <c r="G318" s="885">
        <f t="shared" si="106"/>
        <v>0</v>
      </c>
      <c r="H318" s="885">
        <f t="shared" si="106"/>
        <v>0</v>
      </c>
      <c r="I318" s="913">
        <f t="shared" si="106"/>
        <v>0</v>
      </c>
      <c r="J318" s="914">
        <f t="shared" ca="1" si="106"/>
        <v>0</v>
      </c>
      <c r="K318" s="885">
        <f t="shared" si="106"/>
        <v>0</v>
      </c>
      <c r="L318" s="885">
        <f t="shared" si="106"/>
        <v>0</v>
      </c>
      <c r="M318" s="891">
        <f t="shared" ca="1" si="106"/>
        <v>0</v>
      </c>
      <c r="N318" s="641"/>
      <c r="O318" s="641"/>
      <c r="P318" s="641"/>
      <c r="Q318" s="641"/>
      <c r="T318" s="3056" t="s">
        <v>1586</v>
      </c>
      <c r="U318" s="3063">
        <v>0</v>
      </c>
    </row>
    <row r="319" spans="1:21" ht="24">
      <c r="A319" s="1648" t="str">
        <f t="shared" si="88"/>
        <v>OEI</v>
      </c>
      <c r="B319" s="1647">
        <f t="shared" si="89"/>
        <v>-1</v>
      </c>
      <c r="C319" s="1647" t="str">
        <f t="shared" si="101"/>
        <v>J</v>
      </c>
      <c r="D319" s="1659" t="s">
        <v>1477</v>
      </c>
      <c r="E319" s="888" t="str">
        <f t="shared" si="62"/>
        <v>其他权益工具（永续债）_资本公积转增资本</v>
      </c>
      <c r="F319" s="884">
        <f t="shared" ref="F319:F324" si="107">INDEX(Sheet_Presc,MATCH((RIGHT($D319,2)),Sheet_Prescrow,0),MATCH((LEFT($D319,2)),Sheet_Presccol,0))</f>
        <v>0</v>
      </c>
      <c r="G319" s="885">
        <f>SUMIF(AJE!$B:$B,$C319&amp;$D319&amp;"*",AJE!$O:$O)</f>
        <v>0</v>
      </c>
      <c r="H319" s="885">
        <f>SUMIF(AJE!$B:$B,$C319&amp;$D319&amp;"*",AJE!$P:$P)</f>
        <v>0</v>
      </c>
      <c r="I319" s="913">
        <f t="shared" ref="I319:I324" si="108">(B319*F319+G319-H319)*B319</f>
        <v>0</v>
      </c>
      <c r="J319" s="914">
        <f t="shared" ref="J319:J324" ca="1" si="109">OFFSET(INDEX(Sheet_Presc,MATCH((RIGHT($D319,2)),Sheet_Prescrow,0),MATCH((LEFT($D319,2)),Sheet_Presccol,0)),0,(COLUMNS(Sheet_Presccol)-2)/2)</f>
        <v>0</v>
      </c>
      <c r="K319" s="885">
        <f>SUMIF('AJE1'!$B:$B,$C319&amp;$D319&amp;"*",'AJE1'!$O:$O)</f>
        <v>0</v>
      </c>
      <c r="L319" s="885">
        <f>SUMIF('AJE1'!$B:$B,$C319&amp;$D319&amp;"*",'AJE1'!$P:$P)</f>
        <v>0</v>
      </c>
      <c r="M319" s="891">
        <f t="shared" ref="M319:M324" ca="1" si="110">($B319*J319+K319-L319)*$B319</f>
        <v>0</v>
      </c>
      <c r="N319" s="641"/>
      <c r="O319" s="641"/>
      <c r="P319" s="641"/>
      <c r="Q319" s="641"/>
      <c r="T319" s="3056" t="s">
        <v>1581</v>
      </c>
      <c r="U319" s="3063">
        <v>0</v>
      </c>
    </row>
    <row r="320" spans="1:21" ht="24">
      <c r="A320" s="1648" t="str">
        <f t="shared" si="88"/>
        <v>OEI</v>
      </c>
      <c r="B320" s="1647">
        <f t="shared" si="89"/>
        <v>-1</v>
      </c>
      <c r="C320" s="1647" t="str">
        <f t="shared" si="101"/>
        <v>J</v>
      </c>
      <c r="D320" s="1659" t="s">
        <v>1482</v>
      </c>
      <c r="E320" s="888" t="str">
        <f t="shared" si="62"/>
        <v>其他权益工具（永续债）_盈余公积转增资本</v>
      </c>
      <c r="F320" s="884">
        <f t="shared" si="107"/>
        <v>0</v>
      </c>
      <c r="G320" s="885">
        <f>SUMIF(AJE!$B:$B,$C320&amp;$D320&amp;"*",AJE!$O:$O)</f>
        <v>0</v>
      </c>
      <c r="H320" s="885">
        <f>SUMIF(AJE!$B:$B,$C320&amp;$D320&amp;"*",AJE!$P:$P)</f>
        <v>0</v>
      </c>
      <c r="I320" s="913">
        <f t="shared" si="108"/>
        <v>0</v>
      </c>
      <c r="J320" s="914">
        <f t="shared" ca="1" si="109"/>
        <v>0</v>
      </c>
      <c r="K320" s="885">
        <f>SUMIF('AJE1'!$B:$B,$C320&amp;$D320&amp;"*",'AJE1'!$O:$O)</f>
        <v>0</v>
      </c>
      <c r="L320" s="885">
        <f>SUMIF('AJE1'!$B:$B,$C320&amp;$D320&amp;"*",'AJE1'!$P:$P)</f>
        <v>0</v>
      </c>
      <c r="M320" s="891">
        <f t="shared" ca="1" si="110"/>
        <v>0</v>
      </c>
      <c r="N320" s="641"/>
      <c r="O320" s="641"/>
      <c r="P320" s="641"/>
      <c r="Q320" s="641"/>
      <c r="T320" s="3056" t="s">
        <v>1591</v>
      </c>
      <c r="U320" s="3063">
        <v>0</v>
      </c>
    </row>
    <row r="321" spans="1:21" ht="24">
      <c r="A321" s="1648" t="str">
        <f t="shared" si="88"/>
        <v>OEI</v>
      </c>
      <c r="B321" s="1647">
        <f t="shared" si="89"/>
        <v>-1</v>
      </c>
      <c r="C321" s="1647" t="str">
        <f t="shared" si="101"/>
        <v>J</v>
      </c>
      <c r="D321" s="1659" t="s">
        <v>1487</v>
      </c>
      <c r="E321" s="888" t="str">
        <f t="shared" si="62"/>
        <v>其他权益工具（永续债）_盈余公积弥补亏损</v>
      </c>
      <c r="F321" s="884">
        <f t="shared" si="107"/>
        <v>0</v>
      </c>
      <c r="G321" s="885">
        <f>SUMIF(AJE!$B:$B,$C321&amp;$D321&amp;"*",AJE!$O:$O)</f>
        <v>0</v>
      </c>
      <c r="H321" s="885">
        <f>SUMIF(AJE!$B:$B,$C321&amp;$D321&amp;"*",AJE!$P:$P)</f>
        <v>0</v>
      </c>
      <c r="I321" s="913">
        <f t="shared" si="108"/>
        <v>0</v>
      </c>
      <c r="J321" s="914">
        <f t="shared" ca="1" si="109"/>
        <v>0</v>
      </c>
      <c r="K321" s="885">
        <f>SUMIF('AJE1'!$B:$B,$C321&amp;$D321&amp;"*",'AJE1'!$O:$O)</f>
        <v>0</v>
      </c>
      <c r="L321" s="885">
        <f>SUMIF('AJE1'!$B:$B,$C321&amp;$D321&amp;"*",'AJE1'!$P:$P)</f>
        <v>0</v>
      </c>
      <c r="M321" s="891">
        <f t="shared" ca="1" si="110"/>
        <v>0</v>
      </c>
      <c r="N321" s="641"/>
      <c r="O321" s="641"/>
      <c r="P321" s="641"/>
      <c r="Q321" s="641"/>
      <c r="T321" s="3056" t="s">
        <v>1596</v>
      </c>
      <c r="U321" s="3063">
        <v>0</v>
      </c>
    </row>
    <row r="322" spans="1:21" ht="24">
      <c r="A322" s="1648" t="str">
        <f t="shared" si="88"/>
        <v>OEI</v>
      </c>
      <c r="B322" s="1647">
        <f t="shared" si="89"/>
        <v>-1</v>
      </c>
      <c r="C322" s="1647" t="str">
        <f t="shared" si="101"/>
        <v>J</v>
      </c>
      <c r="D322" s="1659" t="s">
        <v>1492</v>
      </c>
      <c r="E322" s="888" t="str">
        <f t="shared" si="62"/>
        <v>其他权益工具（永续债）_设定受益计划变动额结转留存收益</v>
      </c>
      <c r="F322" s="884">
        <f t="shared" si="107"/>
        <v>0</v>
      </c>
      <c r="G322" s="885">
        <f>SUMIF(AJE!$B:$B,$C322&amp;$D322&amp;"*",AJE!$O:$O)</f>
        <v>0</v>
      </c>
      <c r="H322" s="885">
        <f>SUMIF(AJE!$B:$B,$C322&amp;$D322&amp;"*",AJE!$P:$P)</f>
        <v>0</v>
      </c>
      <c r="I322" s="913">
        <f t="shared" si="108"/>
        <v>0</v>
      </c>
      <c r="J322" s="914">
        <f t="shared" ca="1" si="109"/>
        <v>0</v>
      </c>
      <c r="K322" s="885">
        <f>SUMIF('AJE1'!$B:$B,$C322&amp;$D322&amp;"*",'AJE1'!$O:$O)</f>
        <v>0</v>
      </c>
      <c r="L322" s="885">
        <f>SUMIF('AJE1'!$B:$B,$C322&amp;$D322&amp;"*",'AJE1'!$P:$P)</f>
        <v>0</v>
      </c>
      <c r="M322" s="891">
        <f t="shared" ca="1" si="110"/>
        <v>0</v>
      </c>
      <c r="N322" s="641"/>
      <c r="O322" s="641"/>
      <c r="P322" s="641"/>
      <c r="Q322" s="641"/>
      <c r="T322" s="3056" t="s">
        <v>1600</v>
      </c>
      <c r="U322" s="3063">
        <v>0</v>
      </c>
    </row>
    <row r="323" spans="1:21" ht="24">
      <c r="A323" s="1648" t="str">
        <f>VLOOKUP($D323,Sheet_Items,4,0)</f>
        <v>_JR</v>
      </c>
      <c r="B323" s="1647">
        <f>VLOOKUP($D323,Sheet_Items,3,0)</f>
        <v>-1</v>
      </c>
      <c r="C323" s="1647" t="str">
        <f>VLOOKUP($D323,Sheet_Items,9,0)</f>
        <v>J</v>
      </c>
      <c r="D323" s="1659" t="s">
        <v>2034</v>
      </c>
      <c r="E323" s="889" t="str">
        <f>VLOOKUP($D323,Sheet_Items,2,0)</f>
        <v>其他权益工具（永续债）_其他综合收益结转留存收益</v>
      </c>
      <c r="F323" s="884">
        <f t="shared" si="107"/>
        <v>0</v>
      </c>
      <c r="G323" s="885">
        <f>SUMIF(AJE!$B:$B,$C323&amp;$D323&amp;"*",AJE!$O:$O)</f>
        <v>0</v>
      </c>
      <c r="H323" s="885">
        <f>SUMIF(AJE!$B:$B,$C323&amp;$D323&amp;"*",AJE!$P:$P)</f>
        <v>0</v>
      </c>
      <c r="I323" s="913">
        <f t="shared" si="108"/>
        <v>0</v>
      </c>
      <c r="J323" s="914">
        <f t="shared" ca="1" si="109"/>
        <v>0</v>
      </c>
      <c r="K323" s="885">
        <f>SUMIF('AJE1'!$B:$B,$C323&amp;$D323&amp;"*",'AJE1'!$O:$O)</f>
        <v>0</v>
      </c>
      <c r="L323" s="885">
        <f>SUMIF('AJE1'!$B:$B,$C323&amp;$D323&amp;"*",'AJE1'!$P:$P)</f>
        <v>0</v>
      </c>
      <c r="M323" s="891">
        <f t="shared" ca="1" si="110"/>
        <v>0</v>
      </c>
      <c r="N323" s="641"/>
      <c r="O323" s="641"/>
      <c r="P323" s="641"/>
      <c r="Q323" s="641"/>
      <c r="T323" s="3056" t="s">
        <v>1605</v>
      </c>
      <c r="U323" s="3063">
        <v>0</v>
      </c>
    </row>
    <row r="324" spans="1:21" ht="24">
      <c r="A324" s="1648" t="str">
        <f t="shared" si="88"/>
        <v>OEI</v>
      </c>
      <c r="B324" s="1647">
        <f t="shared" si="89"/>
        <v>-1</v>
      </c>
      <c r="C324" s="1647" t="str">
        <f t="shared" si="101"/>
        <v>J</v>
      </c>
      <c r="D324" s="1659" t="s">
        <v>1497</v>
      </c>
      <c r="E324" s="888" t="str">
        <f t="shared" si="62"/>
        <v>其他权益工具（永续债）_所有者权益其他内部结转</v>
      </c>
      <c r="F324" s="884">
        <f t="shared" si="107"/>
        <v>0</v>
      </c>
      <c r="G324" s="885">
        <f>SUMIF(AJE!$B:$B,$C324&amp;$D324&amp;"*",AJE!$O:$O)</f>
        <v>0</v>
      </c>
      <c r="H324" s="885">
        <f>SUMIF(AJE!$B:$B,$C324&amp;$D324&amp;"*",AJE!$P:$P)</f>
        <v>0</v>
      </c>
      <c r="I324" s="913">
        <f t="shared" si="108"/>
        <v>0</v>
      </c>
      <c r="J324" s="914">
        <f t="shared" ca="1" si="109"/>
        <v>0</v>
      </c>
      <c r="K324" s="885">
        <f>SUMIF('AJE1'!$B:$B,$C324&amp;$D324&amp;"*",'AJE1'!$O:$O)</f>
        <v>0</v>
      </c>
      <c r="L324" s="885">
        <f>SUMIF('AJE1'!$B:$B,$C324&amp;$D324&amp;"*",'AJE1'!$P:$P)</f>
        <v>0</v>
      </c>
      <c r="M324" s="891">
        <f t="shared" ca="1" si="110"/>
        <v>0</v>
      </c>
      <c r="N324" s="641"/>
      <c r="O324" s="641"/>
      <c r="P324" s="641"/>
      <c r="Q324" s="641"/>
      <c r="T324" s="3056" t="s">
        <v>1609</v>
      </c>
      <c r="U324" s="3063">
        <v>0</v>
      </c>
    </row>
    <row r="325" spans="1:21" ht="24">
      <c r="A325" s="1648" t="str">
        <f t="shared" si="88"/>
        <v>OEI＝</v>
      </c>
      <c r="B325" s="1647">
        <f t="shared" si="89"/>
        <v>0</v>
      </c>
      <c r="C325" s="1647">
        <f t="shared" si="101"/>
        <v>0</v>
      </c>
      <c r="D325" s="1659" t="s">
        <v>1502</v>
      </c>
      <c r="E325" s="890" t="str">
        <f t="shared" si="62"/>
        <v>其他权益工具（永续债）_专项储备影响权益</v>
      </c>
      <c r="F325" s="884">
        <f t="shared" ref="F325:M325" si="111">SUM(F326:F327)</f>
        <v>0</v>
      </c>
      <c r="G325" s="885">
        <f t="shared" si="111"/>
        <v>0</v>
      </c>
      <c r="H325" s="885">
        <f t="shared" si="111"/>
        <v>0</v>
      </c>
      <c r="I325" s="913">
        <f t="shared" si="111"/>
        <v>0</v>
      </c>
      <c r="J325" s="914">
        <f t="shared" ca="1" si="111"/>
        <v>0</v>
      </c>
      <c r="K325" s="885">
        <f t="shared" si="111"/>
        <v>0</v>
      </c>
      <c r="L325" s="885">
        <f t="shared" si="111"/>
        <v>0</v>
      </c>
      <c r="M325" s="891">
        <f t="shared" ca="1" si="111"/>
        <v>0</v>
      </c>
      <c r="N325" s="641"/>
      <c r="O325" s="641"/>
      <c r="P325" s="641"/>
      <c r="Q325" s="641"/>
      <c r="T325" s="3056" t="s">
        <v>1614</v>
      </c>
      <c r="U325" s="3063">
        <v>0</v>
      </c>
    </row>
    <row r="326" spans="1:21" ht="24">
      <c r="A326" s="1648" t="str">
        <f t="shared" si="88"/>
        <v>OEI</v>
      </c>
      <c r="B326" s="1647">
        <f t="shared" si="89"/>
        <v>-1</v>
      </c>
      <c r="C326" s="1647" t="str">
        <f t="shared" si="101"/>
        <v>J</v>
      </c>
      <c r="D326" s="1659" t="s">
        <v>1507</v>
      </c>
      <c r="E326" s="888" t="str">
        <f t="shared" si="62"/>
        <v>其他权益工具（永续债）_专项储备本期提取</v>
      </c>
      <c r="F326" s="884">
        <f>INDEX(Sheet_Presc,MATCH((RIGHT($D326,2)),Sheet_Prescrow,0),MATCH((LEFT($D326,2)),Sheet_Presccol,0))</f>
        <v>0</v>
      </c>
      <c r="G326" s="885">
        <f>SUMIF(AJE!$B:$B,$C326&amp;$D326&amp;"*",AJE!$O:$O)</f>
        <v>0</v>
      </c>
      <c r="H326" s="885">
        <f>SUMIF(AJE!$B:$B,$C326&amp;$D326&amp;"*",AJE!$P:$P)</f>
        <v>0</v>
      </c>
      <c r="I326" s="913">
        <f>(B326*F326+G326-H326)*B326</f>
        <v>0</v>
      </c>
      <c r="J326" s="914">
        <f ca="1">OFFSET(INDEX(Sheet_Presc,MATCH((RIGHT($D326,2)),Sheet_Prescrow,0),MATCH((LEFT($D326,2)),Sheet_Presccol,0)),0,(COLUMNS(Sheet_Presccol)-2)/2)</f>
        <v>0</v>
      </c>
      <c r="K326" s="885">
        <f>SUMIF('AJE1'!$B:$B,$C326&amp;$D326&amp;"*",'AJE1'!$O:$O)</f>
        <v>0</v>
      </c>
      <c r="L326" s="885">
        <f>SUMIF('AJE1'!$B:$B,$C326&amp;$D326&amp;"*",'AJE1'!$P:$P)</f>
        <v>0</v>
      </c>
      <c r="M326" s="891">
        <f ca="1">($B326*J326+K326-L326)*$B326</f>
        <v>0</v>
      </c>
      <c r="N326" s="641"/>
      <c r="O326" s="641"/>
      <c r="P326" s="641"/>
      <c r="Q326" s="641"/>
      <c r="T326" s="3056" t="s">
        <v>1618</v>
      </c>
      <c r="U326" s="3063">
        <v>0</v>
      </c>
    </row>
    <row r="327" spans="1:21" ht="24">
      <c r="A327" s="1648" t="str">
        <f t="shared" si="88"/>
        <v>OEI</v>
      </c>
      <c r="B327" s="1647">
        <f t="shared" si="89"/>
        <v>-1</v>
      </c>
      <c r="C327" s="1647" t="str">
        <f t="shared" si="101"/>
        <v>J</v>
      </c>
      <c r="D327" s="1659" t="s">
        <v>1512</v>
      </c>
      <c r="E327" s="888" t="str">
        <f t="shared" si="62"/>
        <v>其他权益工具（永续债）_专项储备本期使用</v>
      </c>
      <c r="F327" s="884">
        <f>INDEX(Sheet_Presc,MATCH((RIGHT($D327,2)),Sheet_Prescrow,0),MATCH((LEFT($D327,2)),Sheet_Presccol,0))</f>
        <v>0</v>
      </c>
      <c r="G327" s="885">
        <f>SUMIF(AJE!$B:$B,$C327&amp;$D327&amp;"*",AJE!$O:$O)</f>
        <v>0</v>
      </c>
      <c r="H327" s="885">
        <f>SUMIF(AJE!$B:$B,$C327&amp;$D327&amp;"*",AJE!$P:$P)</f>
        <v>0</v>
      </c>
      <c r="I327" s="913">
        <f>(B327*F327+G327-H327)*B327</f>
        <v>0</v>
      </c>
      <c r="J327" s="914">
        <f ca="1">OFFSET(INDEX(Sheet_Presc,MATCH((RIGHT($D327,2)),Sheet_Prescrow,0),MATCH((LEFT($D327,2)),Sheet_Presccol,0)),0,(COLUMNS(Sheet_Presccol)-2)/2)</f>
        <v>0</v>
      </c>
      <c r="K327" s="885">
        <f>SUMIF('AJE1'!$B:$B,$C327&amp;$D327&amp;"*",'AJE1'!$O:$O)</f>
        <v>0</v>
      </c>
      <c r="L327" s="885">
        <f>SUMIF('AJE1'!$B:$B,$C327&amp;$D327&amp;"*",'AJE1'!$P:$P)</f>
        <v>0</v>
      </c>
      <c r="M327" s="891">
        <f ca="1">($B327*J327+K327-L327)*$B327</f>
        <v>0</v>
      </c>
      <c r="N327" s="641"/>
      <c r="O327" s="641"/>
      <c r="P327" s="641"/>
      <c r="Q327" s="641"/>
      <c r="T327" s="3056" t="s">
        <v>1623</v>
      </c>
      <c r="U327" s="3063">
        <v>0</v>
      </c>
    </row>
    <row r="328" spans="1:21" ht="24">
      <c r="A328" s="1648" t="str">
        <f t="shared" si="88"/>
        <v>OEI</v>
      </c>
      <c r="B328" s="1647">
        <f t="shared" si="89"/>
        <v>-1</v>
      </c>
      <c r="C328" s="1647" t="str">
        <f t="shared" si="101"/>
        <v>J</v>
      </c>
      <c r="D328" s="1659" t="s">
        <v>1517</v>
      </c>
      <c r="E328" s="888" t="str">
        <f t="shared" si="62"/>
        <v>其他权益工具（永续债）_本期其他增减变动</v>
      </c>
      <c r="F328" s="884">
        <f>INDEX(Sheet_Presc,MATCH((RIGHT($D328,2)),Sheet_Prescrow,0),MATCH((LEFT($D328,2)),Sheet_Presccol,0))</f>
        <v>0</v>
      </c>
      <c r="G328" s="885">
        <f>SUMIF(AJE!$B:$B,$C328&amp;$D328&amp;"*",AJE!$O:$O)</f>
        <v>0</v>
      </c>
      <c r="H328" s="885">
        <f>SUMIF(AJE!$B:$B,$C328&amp;$D328&amp;"*",AJE!$P:$P)</f>
        <v>0</v>
      </c>
      <c r="I328" s="913">
        <f>(B328*F328+G328-H328)*B328</f>
        <v>0</v>
      </c>
      <c r="J328" s="914">
        <f ca="1">OFFSET(INDEX(Sheet_Presc,MATCH((RIGHT($D328,2)),Sheet_Prescrow,0),MATCH((LEFT($D328,2)),Sheet_Presccol,0)),0,(COLUMNS(Sheet_Presccol)-2)/2)</f>
        <v>0</v>
      </c>
      <c r="K328" s="885">
        <f>SUMIF('AJE1'!$B:$B,$C328&amp;$D328&amp;"*",'AJE1'!$O:$O)</f>
        <v>0</v>
      </c>
      <c r="L328" s="885">
        <f>SUMIF('AJE1'!$B:$B,$C328&amp;$D328&amp;"*",'AJE1'!$P:$P)</f>
        <v>0</v>
      </c>
      <c r="M328" s="891">
        <f ca="1">($B328*J328+K328-L328)*$B328</f>
        <v>0</v>
      </c>
      <c r="N328" s="641"/>
      <c r="O328" s="641"/>
      <c r="P328" s="641"/>
      <c r="Q328" s="641"/>
      <c r="T328" s="3056" t="s">
        <v>1629</v>
      </c>
      <c r="U328" s="3063">
        <v>0</v>
      </c>
    </row>
    <row r="329" spans="1:21" ht="24">
      <c r="A329" s="1648" t="str">
        <f t="shared" si="88"/>
        <v>OEI＝</v>
      </c>
      <c r="B329" s="1647">
        <f t="shared" si="89"/>
        <v>0</v>
      </c>
      <c r="C329" s="1647">
        <f t="shared" si="101"/>
        <v>0</v>
      </c>
      <c r="D329" s="1659" t="s">
        <v>1522</v>
      </c>
      <c r="E329" s="890" t="str">
        <f t="shared" si="62"/>
        <v>其他权益工具（永续债）_本期期末余额</v>
      </c>
      <c r="F329" s="884">
        <f>SUM(F305,F306)</f>
        <v>0</v>
      </c>
      <c r="G329" s="885">
        <f t="shared" ref="G329:M329" si="112">SUM(G305,G306)</f>
        <v>0</v>
      </c>
      <c r="H329" s="885">
        <f t="shared" si="112"/>
        <v>0</v>
      </c>
      <c r="I329" s="913">
        <f t="shared" si="112"/>
        <v>0</v>
      </c>
      <c r="J329" s="914">
        <f t="shared" ca="1" si="112"/>
        <v>0</v>
      </c>
      <c r="K329" s="885">
        <f t="shared" si="112"/>
        <v>0</v>
      </c>
      <c r="L329" s="885">
        <f t="shared" si="112"/>
        <v>0</v>
      </c>
      <c r="M329" s="891">
        <f t="shared" ca="1" si="112"/>
        <v>0</v>
      </c>
      <c r="N329" s="641"/>
      <c r="O329" s="641"/>
      <c r="P329" s="641"/>
      <c r="Q329" s="641"/>
      <c r="T329" s="3056" t="s">
        <v>1634</v>
      </c>
      <c r="U329" s="3063">
        <v>0</v>
      </c>
    </row>
    <row r="330" spans="1:21" ht="18">
      <c r="A330" s="1648" t="str">
        <f t="shared" si="88"/>
        <v>：OEI</v>
      </c>
      <c r="B330" s="1647">
        <f t="shared" si="89"/>
        <v>0</v>
      </c>
      <c r="C330" s="1647">
        <f t="shared" si="101"/>
        <v>0</v>
      </c>
      <c r="D330" s="1659" t="s">
        <v>1525</v>
      </c>
      <c r="E330" s="890" t="str">
        <f t="shared" si="62"/>
        <v>其他权益工具（其他）增减变动</v>
      </c>
      <c r="F330" s="884"/>
      <c r="G330" s="885"/>
      <c r="H330" s="885"/>
      <c r="I330" s="913"/>
      <c r="J330" s="914"/>
      <c r="K330" s="885"/>
      <c r="L330" s="885"/>
      <c r="M330" s="891"/>
      <c r="N330" s="641"/>
      <c r="O330" s="641"/>
      <c r="P330" s="641"/>
      <c r="Q330" s="641"/>
      <c r="T330" s="3056" t="s">
        <v>1639</v>
      </c>
      <c r="U330" s="3063">
        <v>0</v>
      </c>
    </row>
    <row r="331" spans="1:21" ht="24">
      <c r="A331" s="1648" t="str">
        <f t="shared" si="88"/>
        <v>OEI</v>
      </c>
      <c r="B331" s="1647">
        <f t="shared" si="89"/>
        <v>-1</v>
      </c>
      <c r="C331" s="1647" t="str">
        <f t="shared" si="101"/>
        <v>J</v>
      </c>
      <c r="D331" s="1659" t="s">
        <v>1530</v>
      </c>
      <c r="E331" s="888" t="str">
        <f t="shared" si="62"/>
        <v>其他权益工具（其他）_上年年末余额</v>
      </c>
      <c r="F331" s="884">
        <f>INDEX(Sheet_Presc,MATCH((RIGHT($D331,2)),Sheet_Prescrow,0),MATCH((LEFT($D331,2)),Sheet_Presccol,0))</f>
        <v>0</v>
      </c>
      <c r="G331" s="885">
        <f>SUMIF(AJE!$B:$B,$C331&amp;$D331&amp;"*",AJE!$O:$O)</f>
        <v>0</v>
      </c>
      <c r="H331" s="885">
        <f>SUMIF(AJE!$B:$B,$C331&amp;$D331&amp;"*",AJE!$P:$P)</f>
        <v>0</v>
      </c>
      <c r="I331" s="913">
        <f>(B331*F331+G331-H331)*B331</f>
        <v>0</v>
      </c>
      <c r="J331" s="914">
        <f ca="1">OFFSET(INDEX(Sheet_Presc,MATCH((RIGHT($D331,2)),Sheet_Prescrow,0),MATCH((LEFT($D331,2)),Sheet_Presccol,0)),0,(COLUMNS(Sheet_Presccol)-2)/2)</f>
        <v>0</v>
      </c>
      <c r="K331" s="885">
        <f>SUMIF('AJE1'!$B:$B,$C331&amp;$D331&amp;"*",'AJE1'!$O:$O)</f>
        <v>0</v>
      </c>
      <c r="L331" s="885">
        <f>SUMIF('AJE1'!$B:$B,$C331&amp;$D331&amp;"*",'AJE1'!$P:$P)</f>
        <v>0</v>
      </c>
      <c r="M331" s="891">
        <f ca="1">($B331*J331+K331-L331)*$B331</f>
        <v>0</v>
      </c>
      <c r="N331" s="641"/>
      <c r="O331" s="641"/>
      <c r="P331" s="641"/>
      <c r="Q331" s="641"/>
      <c r="T331" s="3056" t="s">
        <v>1644</v>
      </c>
      <c r="U331" s="3063">
        <v>0</v>
      </c>
    </row>
    <row r="332" spans="1:21" ht="24">
      <c r="A332" s="1648" t="str">
        <f t="shared" si="88"/>
        <v>OEI</v>
      </c>
      <c r="B332" s="1647">
        <f t="shared" si="89"/>
        <v>-1</v>
      </c>
      <c r="C332" s="1647" t="str">
        <f t="shared" si="101"/>
        <v>J</v>
      </c>
      <c r="D332" s="1659" t="s">
        <v>1535</v>
      </c>
      <c r="E332" s="888" t="str">
        <f t="shared" si="62"/>
        <v>其他权益工具（其他）_会计政策变更调整上年年末余额</v>
      </c>
      <c r="F332" s="884">
        <f>INDEX(Sheet_Presc,MATCH((RIGHT($D332,2)),Sheet_Prescrow,0),MATCH((LEFT($D332,2)),Sheet_Presccol,0))</f>
        <v>0</v>
      </c>
      <c r="G332" s="885">
        <f>SUMIF(AJE!$B:$B,$C332&amp;$D332&amp;"*",AJE!$O:$O)</f>
        <v>0</v>
      </c>
      <c r="H332" s="885">
        <f>SUMIF(AJE!$B:$B,$C332&amp;$D332&amp;"*",AJE!$P:$P)</f>
        <v>0</v>
      </c>
      <c r="I332" s="913">
        <f>(B332*F332+G332-H332)*B332</f>
        <v>0</v>
      </c>
      <c r="J332" s="914">
        <f ca="1">OFFSET(INDEX(Sheet_Presc,MATCH((RIGHT($D332,2)),Sheet_Prescrow,0),MATCH((LEFT($D332,2)),Sheet_Presccol,0)),0,(COLUMNS(Sheet_Presccol)-2)/2)</f>
        <v>0</v>
      </c>
      <c r="K332" s="885">
        <f>SUMIF('AJE1'!$B:$B,$C332&amp;$D332&amp;"*",'AJE1'!$O:$O)</f>
        <v>0</v>
      </c>
      <c r="L332" s="885">
        <f>SUMIF('AJE1'!$B:$B,$C332&amp;$D332&amp;"*",'AJE1'!$P:$P)</f>
        <v>0</v>
      </c>
      <c r="M332" s="891">
        <f ca="1">($B332*J332+K332-L332)*$B332</f>
        <v>0</v>
      </c>
      <c r="N332" s="641"/>
      <c r="O332" s="641"/>
      <c r="P332" s="641"/>
      <c r="Q332" s="641"/>
      <c r="T332" s="3056" t="s">
        <v>1649</v>
      </c>
      <c r="U332" s="3063">
        <v>0</v>
      </c>
    </row>
    <row r="333" spans="1:21" ht="24">
      <c r="A333" s="1648" t="str">
        <f t="shared" si="88"/>
        <v>OEI</v>
      </c>
      <c r="B333" s="1647">
        <f t="shared" si="89"/>
        <v>-1</v>
      </c>
      <c r="C333" s="1647" t="str">
        <f t="shared" ref="C333:C365" si="113">VLOOKUP($D333,Sheet_Items,9,0)</f>
        <v>J</v>
      </c>
      <c r="D333" s="1659" t="s">
        <v>1540</v>
      </c>
      <c r="E333" s="888" t="str">
        <f t="shared" si="62"/>
        <v>其他权益工具（其他）_前期差错更正调整上年年末余额</v>
      </c>
      <c r="F333" s="884">
        <f>INDEX(Sheet_Presc,MATCH((RIGHT($D333,2)),Sheet_Prescrow,0),MATCH((LEFT($D333,2)),Sheet_Presccol,0))</f>
        <v>0</v>
      </c>
      <c r="G333" s="885">
        <f>SUMIF(AJE!$B:$B,$C333&amp;$D333&amp;"*",AJE!$O:$O)</f>
        <v>0</v>
      </c>
      <c r="H333" s="885">
        <f>SUMIF(AJE!$B:$B,$C333&amp;$D333&amp;"*",AJE!$P:$P)</f>
        <v>0</v>
      </c>
      <c r="I333" s="913">
        <f>(B333*F333+G333-H333)*B333</f>
        <v>0</v>
      </c>
      <c r="J333" s="914">
        <f ca="1">OFFSET(INDEX(Sheet_Presc,MATCH((RIGHT($D333,2)),Sheet_Prescrow,0),MATCH((LEFT($D333,2)),Sheet_Presccol,0)),0,(COLUMNS(Sheet_Presccol)-2)/2)</f>
        <v>0</v>
      </c>
      <c r="K333" s="885">
        <f>SUMIF('AJE1'!$B:$B,$C333&amp;$D333&amp;"*",'AJE1'!$O:$O)</f>
        <v>0</v>
      </c>
      <c r="L333" s="885">
        <f>SUMIF('AJE1'!$B:$B,$C333&amp;$D333&amp;"*",'AJE1'!$P:$P)</f>
        <v>0</v>
      </c>
      <c r="M333" s="891">
        <f ca="1">($B333*J333+K333-L333)*$B333</f>
        <v>0</v>
      </c>
      <c r="N333" s="641"/>
      <c r="O333" s="641"/>
      <c r="P333" s="641"/>
      <c r="Q333" s="641"/>
      <c r="T333" s="3056" t="s">
        <v>1654</v>
      </c>
      <c r="U333" s="3063">
        <v>0</v>
      </c>
    </row>
    <row r="334" spans="1:21" ht="24">
      <c r="A334" s="1648" t="str">
        <f t="shared" si="88"/>
        <v>※OEI</v>
      </c>
      <c r="B334" s="1647">
        <f t="shared" si="89"/>
        <v>-1</v>
      </c>
      <c r="C334" s="1647" t="str">
        <f t="shared" si="113"/>
        <v>J</v>
      </c>
      <c r="D334" s="1659" t="s">
        <v>1546</v>
      </c>
      <c r="E334" s="888" t="str">
        <f t="shared" si="62"/>
        <v>其他权益工具（其他）_同一控制下企业合并调整上年年末余额</v>
      </c>
      <c r="F334" s="884">
        <f>INDEX(Sheet_Presc,MATCH((RIGHT($D334,2)),Sheet_Prescrow,0),MATCH((LEFT($D334,2)),Sheet_Presccol,0))</f>
        <v>0</v>
      </c>
      <c r="G334" s="885">
        <f>SUMIF(AJE!$B:$B,$C334&amp;$D334&amp;"*",AJE!$O:$O)</f>
        <v>0</v>
      </c>
      <c r="H334" s="885">
        <f>SUMIF(AJE!$B:$B,$C334&amp;$D334&amp;"*",AJE!$P:$P)</f>
        <v>0</v>
      </c>
      <c r="I334" s="913">
        <f>(B334*F334+G334-H334)*B334</f>
        <v>0</v>
      </c>
      <c r="J334" s="914">
        <f ca="1">OFFSET(INDEX(Sheet_Presc,MATCH((RIGHT($D334,2)),Sheet_Prescrow,0),MATCH((LEFT($D334,2)),Sheet_Presccol,0)),0,(COLUMNS(Sheet_Presccol)-2)/2)</f>
        <v>0</v>
      </c>
      <c r="K334" s="885">
        <f>SUMIF('AJE1'!$B:$B,$C334&amp;$D334&amp;"*",'AJE1'!$O:$O)</f>
        <v>0</v>
      </c>
      <c r="L334" s="885">
        <f>SUMIF('AJE1'!$B:$B,$C334&amp;$D334&amp;"*",'AJE1'!$P:$P)</f>
        <v>0</v>
      </c>
      <c r="M334" s="891">
        <f ca="1">($B334*J334+K334-L334)*$B334</f>
        <v>0</v>
      </c>
      <c r="N334" s="641"/>
      <c r="O334" s="641"/>
      <c r="P334" s="641"/>
      <c r="Q334" s="641"/>
      <c r="T334" s="3056" t="s">
        <v>1659</v>
      </c>
      <c r="U334" s="3063">
        <v>0</v>
      </c>
    </row>
    <row r="335" spans="1:21" ht="24">
      <c r="A335" s="1648" t="str">
        <f t="shared" ref="A335:A365" si="114">VLOOKUP($D335,Sheet_Items,4,0)</f>
        <v>OEI</v>
      </c>
      <c r="B335" s="1647">
        <f t="shared" ref="B335:B365" si="115">VLOOKUP($D335,Sheet_Items,3,0)</f>
        <v>-1</v>
      </c>
      <c r="C335" s="1647" t="str">
        <f t="shared" si="113"/>
        <v>J</v>
      </c>
      <c r="D335" s="1659" t="s">
        <v>1551</v>
      </c>
      <c r="E335" s="888" t="str">
        <f t="shared" si="62"/>
        <v>其他权益工具（其他）_其他原因调整上年年末余额</v>
      </c>
      <c r="F335" s="884">
        <f>INDEX(Sheet_Presc,MATCH((RIGHT($D335,2)),Sheet_Prescrow,0),MATCH((LEFT($D335,2)),Sheet_Presccol,0))</f>
        <v>0</v>
      </c>
      <c r="G335" s="885">
        <f>SUMIF(AJE!$B:$B,$C335&amp;$D335&amp;"*",AJE!$O:$O)</f>
        <v>0</v>
      </c>
      <c r="H335" s="885">
        <f>SUMIF(AJE!$B:$B,$C335&amp;$D335&amp;"*",AJE!$P:$P)</f>
        <v>0</v>
      </c>
      <c r="I335" s="913">
        <f>(B335*F335+G335-H335)*B335</f>
        <v>0</v>
      </c>
      <c r="J335" s="914">
        <f ca="1">OFFSET(INDEX(Sheet_Presc,MATCH((RIGHT($D335,2)),Sheet_Prescrow,0),MATCH((LEFT($D335,2)),Sheet_Presccol,0)),0,(COLUMNS(Sheet_Presccol)-2)/2)</f>
        <v>0</v>
      </c>
      <c r="K335" s="885">
        <f>SUMIF('AJE1'!$B:$B,$C335&amp;$D335&amp;"*",'AJE1'!$O:$O)</f>
        <v>0</v>
      </c>
      <c r="L335" s="885">
        <f>SUMIF('AJE1'!$B:$B,$C335&amp;$D335&amp;"*",'AJE1'!$P:$P)</f>
        <v>0</v>
      </c>
      <c r="M335" s="891">
        <f ca="1">($B335*J335+K335-L335)*$B335</f>
        <v>0</v>
      </c>
      <c r="N335" s="641"/>
      <c r="O335" s="641"/>
      <c r="P335" s="641"/>
      <c r="Q335" s="641"/>
      <c r="T335" s="3056" t="s">
        <v>1664</v>
      </c>
      <c r="U335" s="3063">
        <v>0</v>
      </c>
    </row>
    <row r="336" spans="1:21" ht="24">
      <c r="A336" s="1648" t="str">
        <f t="shared" si="114"/>
        <v>OEI＝</v>
      </c>
      <c r="B336" s="1647">
        <f t="shared" si="115"/>
        <v>0</v>
      </c>
      <c r="C336" s="1647">
        <f t="shared" si="113"/>
        <v>0</v>
      </c>
      <c r="D336" s="1659" t="s">
        <v>1556</v>
      </c>
      <c r="E336" s="890" t="str">
        <f t="shared" si="62"/>
        <v>其他权益工具（其他）_本年年初余额</v>
      </c>
      <c r="F336" s="884">
        <f t="shared" ref="F336:M336" si="116">SUM(F331:F335)</f>
        <v>0</v>
      </c>
      <c r="G336" s="885">
        <f t="shared" si="116"/>
        <v>0</v>
      </c>
      <c r="H336" s="885">
        <f t="shared" si="116"/>
        <v>0</v>
      </c>
      <c r="I336" s="913">
        <f t="shared" si="116"/>
        <v>0</v>
      </c>
      <c r="J336" s="914">
        <f t="shared" ca="1" si="116"/>
        <v>0</v>
      </c>
      <c r="K336" s="885">
        <f t="shared" si="116"/>
        <v>0</v>
      </c>
      <c r="L336" s="885">
        <f t="shared" si="116"/>
        <v>0</v>
      </c>
      <c r="M336" s="891">
        <f t="shared" ca="1" si="116"/>
        <v>0</v>
      </c>
      <c r="N336" s="641"/>
      <c r="O336" s="641"/>
      <c r="P336" s="641"/>
      <c r="Q336" s="641"/>
      <c r="T336" s="3056" t="s">
        <v>1668</v>
      </c>
      <c r="U336" s="3063">
        <v>0</v>
      </c>
    </row>
    <row r="337" spans="1:21" ht="24">
      <c r="A337" s="1648" t="str">
        <f t="shared" si="114"/>
        <v>OEI＝</v>
      </c>
      <c r="B337" s="1647">
        <f t="shared" si="115"/>
        <v>0</v>
      </c>
      <c r="C337" s="1647">
        <f t="shared" si="113"/>
        <v>0</v>
      </c>
      <c r="D337" s="1659" t="s">
        <v>1561</v>
      </c>
      <c r="E337" s="890" t="str">
        <f t="shared" si="62"/>
        <v>其他权益工具（其他）_本期增减变动金额</v>
      </c>
      <c r="F337" s="884">
        <f t="shared" ref="F337:M337" si="117">SUM(F338,F339,F344,F349,F356,F359)</f>
        <v>0</v>
      </c>
      <c r="G337" s="885">
        <f t="shared" si="117"/>
        <v>0</v>
      </c>
      <c r="H337" s="885">
        <f t="shared" si="117"/>
        <v>0</v>
      </c>
      <c r="I337" s="913">
        <f t="shared" si="117"/>
        <v>0</v>
      </c>
      <c r="J337" s="914">
        <f t="shared" ca="1" si="117"/>
        <v>0</v>
      </c>
      <c r="K337" s="885">
        <f t="shared" si="117"/>
        <v>0</v>
      </c>
      <c r="L337" s="885">
        <f t="shared" si="117"/>
        <v>0</v>
      </c>
      <c r="M337" s="891">
        <f t="shared" ca="1" si="117"/>
        <v>0</v>
      </c>
      <c r="N337" s="641"/>
      <c r="O337" s="641"/>
      <c r="P337" s="641"/>
      <c r="Q337" s="641"/>
      <c r="T337" s="3056">
        <v>8200</v>
      </c>
      <c r="U337" s="3063">
        <v>0</v>
      </c>
    </row>
    <row r="338" spans="1:21" ht="24">
      <c r="A338" s="1648" t="str">
        <f t="shared" si="114"/>
        <v>OEI</v>
      </c>
      <c r="B338" s="1647">
        <f t="shared" si="115"/>
        <v>-1</v>
      </c>
      <c r="C338" s="1647" t="str">
        <f t="shared" si="113"/>
        <v>J</v>
      </c>
      <c r="D338" s="1659" t="s">
        <v>1566</v>
      </c>
      <c r="E338" s="888" t="str">
        <f t="shared" si="62"/>
        <v>其他权益工具（其他）_综合收益总额增加权益</v>
      </c>
      <c r="F338" s="884">
        <f>INDEX(Sheet_Presc,MATCH((RIGHT($D338,2)),Sheet_Prescrow,0),MATCH((LEFT($D338,2)),Sheet_Presccol,0))</f>
        <v>0</v>
      </c>
      <c r="G338" s="885">
        <f>SUMIF(AJE!$B:$B,$C338&amp;$D338&amp;"*",AJE!$O:$O)</f>
        <v>0</v>
      </c>
      <c r="H338" s="885">
        <f>SUMIF(AJE!$B:$B,$C338&amp;$D338&amp;"*",AJE!$P:$P)</f>
        <v>0</v>
      </c>
      <c r="I338" s="913">
        <f>(B338*F338+G338-H338)*B338</f>
        <v>0</v>
      </c>
      <c r="J338" s="914">
        <f ca="1">OFFSET(INDEX(Sheet_Presc,MATCH((RIGHT($D338,2)),Sheet_Prescrow,0),MATCH((LEFT($D338,2)),Sheet_Presccol,0)),0,(COLUMNS(Sheet_Presccol)-2)/2)</f>
        <v>0</v>
      </c>
      <c r="K338" s="885">
        <f>SUMIF('AJE1'!$B:$B,$C338&amp;$D338&amp;"*",'AJE1'!$O:$O)</f>
        <v>0</v>
      </c>
      <c r="L338" s="885">
        <f>SUMIF('AJE1'!$B:$B,$C338&amp;$D338&amp;"*",'AJE1'!$P:$P)</f>
        <v>0</v>
      </c>
      <c r="M338" s="891">
        <f ca="1">($B338*J338+K338-L338)*$B338</f>
        <v>0</v>
      </c>
      <c r="N338" s="641"/>
      <c r="O338" s="641"/>
      <c r="P338" s="641"/>
      <c r="Q338" s="641"/>
      <c r="T338" s="3056">
        <v>8201</v>
      </c>
      <c r="U338" s="3063">
        <v>0</v>
      </c>
    </row>
    <row r="339" spans="1:21" ht="24">
      <c r="A339" s="1648" t="str">
        <f t="shared" si="114"/>
        <v>OEI＝</v>
      </c>
      <c r="B339" s="1647">
        <f t="shared" si="115"/>
        <v>0</v>
      </c>
      <c r="C339" s="1647">
        <f t="shared" si="113"/>
        <v>0</v>
      </c>
      <c r="D339" s="1659" t="s">
        <v>1571</v>
      </c>
      <c r="E339" s="890" t="str">
        <f t="shared" si="62"/>
        <v>其他权益工具（其他）_所有者投入和减少资本影响权益</v>
      </c>
      <c r="F339" s="884">
        <f t="shared" ref="F339:M339" si="118">SUM(F340:F343)</f>
        <v>0</v>
      </c>
      <c r="G339" s="885">
        <f t="shared" si="118"/>
        <v>0</v>
      </c>
      <c r="H339" s="885">
        <f t="shared" si="118"/>
        <v>0</v>
      </c>
      <c r="I339" s="913">
        <f t="shared" si="118"/>
        <v>0</v>
      </c>
      <c r="J339" s="914">
        <f t="shared" ca="1" si="118"/>
        <v>0</v>
      </c>
      <c r="K339" s="885">
        <f t="shared" si="118"/>
        <v>0</v>
      </c>
      <c r="L339" s="885">
        <f t="shared" si="118"/>
        <v>0</v>
      </c>
      <c r="M339" s="891">
        <f t="shared" ca="1" si="118"/>
        <v>0</v>
      </c>
      <c r="N339" s="641"/>
      <c r="O339" s="641"/>
      <c r="P339" s="641"/>
      <c r="Q339" s="641"/>
      <c r="T339" s="3056">
        <v>8202</v>
      </c>
      <c r="U339" s="3063">
        <v>0</v>
      </c>
    </row>
    <row r="340" spans="1:21" ht="24">
      <c r="A340" s="1648" t="str">
        <f t="shared" si="114"/>
        <v>OEI</v>
      </c>
      <c r="B340" s="1647">
        <f t="shared" si="115"/>
        <v>-1</v>
      </c>
      <c r="C340" s="1647" t="str">
        <f t="shared" si="113"/>
        <v>J</v>
      </c>
      <c r="D340" s="1659" t="s">
        <v>1576</v>
      </c>
      <c r="E340" s="888" t="str">
        <f t="shared" si="62"/>
        <v>其他权益工具（其他）_所有者投入资本</v>
      </c>
      <c r="F340" s="884">
        <f>INDEX(Sheet_Presc,MATCH((RIGHT($D340,2)),Sheet_Prescrow,0),MATCH((LEFT($D340,2)),Sheet_Presccol,0))</f>
        <v>0</v>
      </c>
      <c r="G340" s="885">
        <f>SUMIF(AJE!$B:$B,$C340&amp;$D340&amp;"*",AJE!$O:$O)</f>
        <v>0</v>
      </c>
      <c r="H340" s="885">
        <f>SUMIF(AJE!$B:$B,$C340&amp;$D340&amp;"*",AJE!$P:$P)</f>
        <v>0</v>
      </c>
      <c r="I340" s="913">
        <f>(B340*F340+G340-H340)*B340</f>
        <v>0</v>
      </c>
      <c r="J340" s="914">
        <f ca="1">OFFSET(INDEX(Sheet_Presc,MATCH((RIGHT($D340,2)),Sheet_Prescrow,0),MATCH((LEFT($D340,2)),Sheet_Presccol,0)),0,(COLUMNS(Sheet_Presccol)-2)/2)</f>
        <v>0</v>
      </c>
      <c r="K340" s="885">
        <f>SUMIF('AJE1'!$B:$B,$C340&amp;$D340&amp;"*",'AJE1'!$O:$O)</f>
        <v>0</v>
      </c>
      <c r="L340" s="885">
        <f>SUMIF('AJE1'!$B:$B,$C340&amp;$D340&amp;"*",'AJE1'!$P:$P)</f>
        <v>0</v>
      </c>
      <c r="M340" s="891">
        <f ca="1">($B340*J340+K340-L340)*$B340</f>
        <v>0</v>
      </c>
      <c r="N340" s="641"/>
      <c r="O340" s="641"/>
      <c r="P340" s="641"/>
      <c r="Q340" s="641"/>
      <c r="T340" s="3056">
        <v>8203</v>
      </c>
      <c r="U340" s="3063">
        <v>0</v>
      </c>
    </row>
    <row r="341" spans="1:21" ht="24">
      <c r="A341" s="1648" t="str">
        <f t="shared" si="114"/>
        <v>OEI</v>
      </c>
      <c r="B341" s="1647">
        <f t="shared" si="115"/>
        <v>-1</v>
      </c>
      <c r="C341" s="1647" t="str">
        <f t="shared" si="113"/>
        <v>J</v>
      </c>
      <c r="D341" s="1659" t="s">
        <v>1586</v>
      </c>
      <c r="E341" s="888" t="str">
        <f t="shared" si="62"/>
        <v>其他权益工具（其他）_其他权益工具持有者投入资本</v>
      </c>
      <c r="F341" s="884">
        <f>INDEX(Sheet_Presc,MATCH((RIGHT($D341,2)),Sheet_Prescrow,0),MATCH((LEFT($D341,2)),Sheet_Presccol,0))</f>
        <v>0</v>
      </c>
      <c r="G341" s="885">
        <f>SUMIF(AJE!$B:$B,$C341&amp;$D341&amp;"*",AJE!$O:$O)</f>
        <v>0</v>
      </c>
      <c r="H341" s="885">
        <f>SUMIF(AJE!$B:$B,$C341&amp;$D341&amp;"*",AJE!$P:$P)</f>
        <v>0</v>
      </c>
      <c r="I341" s="913">
        <f>(B341*F341+G341-H341)*B341</f>
        <v>0</v>
      </c>
      <c r="J341" s="914">
        <f ca="1">OFFSET(INDEX(Sheet_Presc,MATCH((RIGHT($D341,2)),Sheet_Prescrow,0),MATCH((LEFT($D341,2)),Sheet_Presccol,0)),0,(COLUMNS(Sheet_Presccol)-2)/2)</f>
        <v>0</v>
      </c>
      <c r="K341" s="885">
        <f>SUMIF('AJE1'!$B:$B,$C341&amp;$D341&amp;"*",'AJE1'!$O:$O)</f>
        <v>0</v>
      </c>
      <c r="L341" s="885">
        <f>SUMIF('AJE1'!$B:$B,$C341&amp;$D341&amp;"*",'AJE1'!$P:$P)</f>
        <v>0</v>
      </c>
      <c r="M341" s="891">
        <f ca="1">($B341*J341+K341-L341)*$B341</f>
        <v>0</v>
      </c>
      <c r="N341" s="641"/>
      <c r="O341" s="641"/>
      <c r="P341" s="641"/>
      <c r="Q341" s="641"/>
      <c r="T341" s="3056">
        <v>8204</v>
      </c>
      <c r="U341" s="3063">
        <v>0</v>
      </c>
    </row>
    <row r="342" spans="1:21" ht="18">
      <c r="A342" s="1648" t="str">
        <f t="shared" si="114"/>
        <v>OEI</v>
      </c>
      <c r="B342" s="1647">
        <f t="shared" si="115"/>
        <v>-1</v>
      </c>
      <c r="C342" s="1647" t="str">
        <f t="shared" si="113"/>
        <v>J</v>
      </c>
      <c r="D342" s="1659" t="s">
        <v>1581</v>
      </c>
      <c r="E342" s="888" t="str">
        <f t="shared" si="62"/>
        <v>其他权益工具（其他）_股份支付</v>
      </c>
      <c r="F342" s="884">
        <f>INDEX(Sheet_Presc,MATCH((RIGHT($D342,2)),Sheet_Prescrow,0),MATCH((LEFT($D342,2)),Sheet_Presccol,0))</f>
        <v>0</v>
      </c>
      <c r="G342" s="885">
        <f>SUMIF(AJE!$B:$B,$C342&amp;$D342&amp;"*",AJE!$O:$O)</f>
        <v>0</v>
      </c>
      <c r="H342" s="885">
        <f>SUMIF(AJE!$B:$B,$C342&amp;$D342&amp;"*",AJE!$P:$P)</f>
        <v>0</v>
      </c>
      <c r="I342" s="913">
        <f>(B342*F342+G342-H342)*B342</f>
        <v>0</v>
      </c>
      <c r="J342" s="914">
        <f ca="1">OFFSET(INDEX(Sheet_Presc,MATCH((RIGHT($D342,2)),Sheet_Prescrow,0),MATCH((LEFT($D342,2)),Sheet_Presccol,0)),0,(COLUMNS(Sheet_Presccol)-2)/2)</f>
        <v>0</v>
      </c>
      <c r="K342" s="885">
        <f>SUMIF('AJE1'!$B:$B,$C342&amp;$D342&amp;"*",'AJE1'!$O:$O)</f>
        <v>0</v>
      </c>
      <c r="L342" s="885">
        <f>SUMIF('AJE1'!$B:$B,$C342&amp;$D342&amp;"*",'AJE1'!$P:$P)</f>
        <v>0</v>
      </c>
      <c r="M342" s="891">
        <f ca="1">($B342*J342+K342-L342)*$B342</f>
        <v>0</v>
      </c>
      <c r="N342" s="641"/>
      <c r="O342" s="641"/>
      <c r="P342" s="641"/>
      <c r="Q342" s="641"/>
      <c r="T342" s="3056">
        <v>8209</v>
      </c>
      <c r="U342" s="3063">
        <v>0</v>
      </c>
    </row>
    <row r="343" spans="1:21" ht="24">
      <c r="A343" s="1648" t="str">
        <f t="shared" si="114"/>
        <v>OEI</v>
      </c>
      <c r="B343" s="1647">
        <f t="shared" si="115"/>
        <v>-1</v>
      </c>
      <c r="C343" s="1647" t="str">
        <f t="shared" si="113"/>
        <v>J</v>
      </c>
      <c r="D343" s="1659" t="s">
        <v>1591</v>
      </c>
      <c r="E343" s="888" t="str">
        <f t="shared" si="62"/>
        <v>其他权益工具（其他）_所有者其他投入和减少资本</v>
      </c>
      <c r="F343" s="884">
        <f>INDEX(Sheet_Presc,MATCH((RIGHT($D343,2)),Sheet_Prescrow,0),MATCH((LEFT($D343,2)),Sheet_Presccol,0))</f>
        <v>0</v>
      </c>
      <c r="G343" s="885">
        <f>SUMIF(AJE!$B:$B,$C343&amp;$D343&amp;"*",AJE!$O:$O)</f>
        <v>0</v>
      </c>
      <c r="H343" s="885">
        <f>SUMIF(AJE!$B:$B,$C343&amp;$D343&amp;"*",AJE!$P:$P)</f>
        <v>0</v>
      </c>
      <c r="I343" s="913">
        <f>(B343*F343+G343-H343)*B343</f>
        <v>0</v>
      </c>
      <c r="J343" s="914">
        <f ca="1">OFFSET(INDEX(Sheet_Presc,MATCH((RIGHT($D343,2)),Sheet_Prescrow,0),MATCH((LEFT($D343,2)),Sheet_Presccol,0)),0,(COLUMNS(Sheet_Presccol)-2)/2)</f>
        <v>0</v>
      </c>
      <c r="K343" s="885">
        <f>SUMIF('AJE1'!$B:$B,$C343&amp;$D343&amp;"*",'AJE1'!$O:$O)</f>
        <v>0</v>
      </c>
      <c r="L343" s="885">
        <f>SUMIF('AJE1'!$B:$B,$C343&amp;$D343&amp;"*",'AJE1'!$P:$P)</f>
        <v>0</v>
      </c>
      <c r="M343" s="891">
        <f ca="1">($B343*J343+K343-L343)*$B343</f>
        <v>0</v>
      </c>
      <c r="N343" s="641"/>
      <c r="O343" s="641"/>
      <c r="P343" s="641"/>
      <c r="Q343" s="641"/>
      <c r="T343" s="3056">
        <v>8210</v>
      </c>
      <c r="U343" s="3063">
        <v>0</v>
      </c>
    </row>
    <row r="344" spans="1:21" ht="24">
      <c r="A344" s="1648" t="str">
        <f t="shared" si="114"/>
        <v>OEI＝</v>
      </c>
      <c r="B344" s="1647">
        <f t="shared" si="115"/>
        <v>0</v>
      </c>
      <c r="C344" s="1647">
        <f t="shared" si="113"/>
        <v>0</v>
      </c>
      <c r="D344" s="1659" t="s">
        <v>1596</v>
      </c>
      <c r="E344" s="890" t="str">
        <f t="shared" si="62"/>
        <v>其他权益工具（其他）_利润分配影响权益</v>
      </c>
      <c r="F344" s="884">
        <f t="shared" ref="F344:M344" si="119">SUM(F345:F348)</f>
        <v>0</v>
      </c>
      <c r="G344" s="885">
        <f t="shared" si="119"/>
        <v>0</v>
      </c>
      <c r="H344" s="885">
        <f t="shared" si="119"/>
        <v>0</v>
      </c>
      <c r="I344" s="913">
        <f t="shared" si="119"/>
        <v>0</v>
      </c>
      <c r="J344" s="914">
        <f t="shared" ca="1" si="119"/>
        <v>0</v>
      </c>
      <c r="K344" s="885">
        <f t="shared" si="119"/>
        <v>0</v>
      </c>
      <c r="L344" s="885">
        <f t="shared" si="119"/>
        <v>0</v>
      </c>
      <c r="M344" s="891">
        <f t="shared" ca="1" si="119"/>
        <v>0</v>
      </c>
      <c r="N344" s="641"/>
      <c r="O344" s="641"/>
      <c r="P344" s="641"/>
      <c r="Q344" s="641"/>
      <c r="T344" s="3056">
        <v>8290</v>
      </c>
      <c r="U344" s="3063">
        <v>0</v>
      </c>
    </row>
    <row r="345" spans="1:21" ht="24">
      <c r="A345" s="1648" t="str">
        <f t="shared" si="114"/>
        <v>OEI</v>
      </c>
      <c r="B345" s="1647">
        <f t="shared" si="115"/>
        <v>-1</v>
      </c>
      <c r="C345" s="1647" t="str">
        <f t="shared" si="113"/>
        <v>J</v>
      </c>
      <c r="D345" s="1659" t="s">
        <v>1600</v>
      </c>
      <c r="E345" s="888" t="str">
        <f t="shared" si="62"/>
        <v>其他权益工具（其他）_提取盈余公积</v>
      </c>
      <c r="F345" s="884">
        <f>INDEX(Sheet_Presc,MATCH((RIGHT($D345,2)),Sheet_Prescrow,0),MATCH((LEFT($D345,2)),Sheet_Presccol,0))</f>
        <v>0</v>
      </c>
      <c r="G345" s="885">
        <f>SUMIF(AJE!$B:$B,$C345&amp;$D345&amp;"*",AJE!$O:$O)</f>
        <v>0</v>
      </c>
      <c r="H345" s="885">
        <f>SUMIF(AJE!$B:$B,$C345&amp;$D345&amp;"*",AJE!$P:$P)</f>
        <v>0</v>
      </c>
      <c r="I345" s="913">
        <f>(B345*F345+G345-H345)*B345</f>
        <v>0</v>
      </c>
      <c r="J345" s="914">
        <f ca="1">OFFSET(INDEX(Sheet_Presc,MATCH((RIGHT($D345,2)),Sheet_Prescrow,0),MATCH((LEFT($D345,2)),Sheet_Presccol,0)),0,(COLUMNS(Sheet_Presccol)-2)/2)</f>
        <v>0</v>
      </c>
      <c r="K345" s="885">
        <f>SUMIF('AJE1'!$B:$B,$C345&amp;$D345&amp;"*",'AJE1'!$O:$O)</f>
        <v>0</v>
      </c>
      <c r="L345" s="885">
        <f>SUMIF('AJE1'!$B:$B,$C345&amp;$D345&amp;"*",'AJE1'!$P:$P)</f>
        <v>0</v>
      </c>
      <c r="M345" s="891">
        <f ca="1">($B345*J345+K345-L345)*$B345</f>
        <v>0</v>
      </c>
      <c r="N345" s="641"/>
      <c r="O345" s="641"/>
      <c r="P345" s="641"/>
      <c r="Q345" s="641"/>
      <c r="T345" s="3056">
        <v>8221</v>
      </c>
      <c r="U345" s="3063">
        <v>0</v>
      </c>
    </row>
    <row r="346" spans="1:21" ht="24">
      <c r="A346" s="1648" t="str">
        <f t="shared" si="114"/>
        <v>OEI</v>
      </c>
      <c r="B346" s="1647">
        <f t="shared" si="115"/>
        <v>-1</v>
      </c>
      <c r="C346" s="1647" t="str">
        <f t="shared" si="113"/>
        <v>J</v>
      </c>
      <c r="D346" s="1659" t="s">
        <v>1605</v>
      </c>
      <c r="E346" s="888" t="str">
        <f t="shared" si="62"/>
        <v>其他权益工具（其他）_提取一般风险准备</v>
      </c>
      <c r="F346" s="884">
        <f>INDEX(Sheet_Presc,MATCH((RIGHT($D346,2)),Sheet_Prescrow,0),MATCH((LEFT($D346,2)),Sheet_Presccol,0))</f>
        <v>0</v>
      </c>
      <c r="G346" s="885">
        <f>SUMIF(AJE!$B:$B,$C346&amp;$D346&amp;"*",AJE!$O:$O)</f>
        <v>0</v>
      </c>
      <c r="H346" s="885">
        <f>SUMIF(AJE!$B:$B,$C346&amp;$D346&amp;"*",AJE!$P:$P)</f>
        <v>0</v>
      </c>
      <c r="I346" s="913">
        <f>(B346*F346+G346-H346)*B346</f>
        <v>0</v>
      </c>
      <c r="J346" s="914">
        <f ca="1">OFFSET(INDEX(Sheet_Presc,MATCH((RIGHT($D346,2)),Sheet_Prescrow,0),MATCH((LEFT($D346,2)),Sheet_Presccol,0)),0,(COLUMNS(Sheet_Presccol)-2)/2)</f>
        <v>0</v>
      </c>
      <c r="K346" s="885">
        <f>SUMIF('AJE1'!$B:$B,$C346&amp;$D346&amp;"*",'AJE1'!$O:$O)</f>
        <v>0</v>
      </c>
      <c r="L346" s="885">
        <f>SUMIF('AJE1'!$B:$B,$C346&amp;$D346&amp;"*",'AJE1'!$P:$P)</f>
        <v>0</v>
      </c>
      <c r="M346" s="891">
        <f ca="1">($B346*J346+K346-L346)*$B346</f>
        <v>0</v>
      </c>
      <c r="N346" s="641"/>
      <c r="O346" s="641"/>
      <c r="P346" s="641"/>
      <c r="Q346" s="641"/>
      <c r="T346" s="3056">
        <v>8230</v>
      </c>
      <c r="U346" s="3063">
        <v>0</v>
      </c>
    </row>
    <row r="347" spans="1:21" ht="24">
      <c r="A347" s="1648" t="str">
        <f t="shared" si="114"/>
        <v>OEI</v>
      </c>
      <c r="B347" s="1647">
        <f t="shared" si="115"/>
        <v>-1</v>
      </c>
      <c r="C347" s="1647" t="str">
        <f t="shared" si="113"/>
        <v>J</v>
      </c>
      <c r="D347" s="1659" t="s">
        <v>1609</v>
      </c>
      <c r="E347" s="888" t="str">
        <f t="shared" si="62"/>
        <v>其他权益工具（其他）_对所有者的分配</v>
      </c>
      <c r="F347" s="884">
        <f>INDEX(Sheet_Presc,MATCH((RIGHT($D347,2)),Sheet_Prescrow,0),MATCH((LEFT($D347,2)),Sheet_Presccol,0))</f>
        <v>0</v>
      </c>
      <c r="G347" s="885">
        <f>SUMIF(AJE!$B:$B,$C347&amp;$D347&amp;"*",AJE!$O:$O)</f>
        <v>0</v>
      </c>
      <c r="H347" s="885">
        <f>SUMIF(AJE!$B:$B,$C347&amp;$D347&amp;"*",AJE!$P:$P)</f>
        <v>0</v>
      </c>
      <c r="I347" s="913">
        <f>(B347*F347+G347-H347)*B347</f>
        <v>0</v>
      </c>
      <c r="J347" s="914">
        <f ca="1">OFFSET(INDEX(Sheet_Presc,MATCH((RIGHT($D347,2)),Sheet_Prescrow,0),MATCH((LEFT($D347,2)),Sheet_Presccol,0)),0,(COLUMNS(Sheet_Presccol)-2)/2)</f>
        <v>0</v>
      </c>
      <c r="K347" s="885">
        <f>SUMIF('AJE1'!$B:$B,$C347&amp;$D347&amp;"*",'AJE1'!$O:$O)</f>
        <v>0</v>
      </c>
      <c r="L347" s="885">
        <f>SUMIF('AJE1'!$B:$B,$C347&amp;$D347&amp;"*",'AJE1'!$P:$P)</f>
        <v>0</v>
      </c>
      <c r="M347" s="891">
        <f ca="1">($B347*J347+K347-L347)*$B347</f>
        <v>0</v>
      </c>
      <c r="N347" s="641"/>
      <c r="O347" s="641"/>
      <c r="P347" s="641"/>
      <c r="Q347" s="641"/>
      <c r="T347" s="3056">
        <v>8240</v>
      </c>
      <c r="U347" s="3063">
        <v>0</v>
      </c>
    </row>
    <row r="348" spans="1:21" ht="24">
      <c r="A348" s="1648" t="str">
        <f t="shared" si="114"/>
        <v>OEI</v>
      </c>
      <c r="B348" s="1647">
        <f t="shared" si="115"/>
        <v>-1</v>
      </c>
      <c r="C348" s="1647" t="str">
        <f t="shared" si="113"/>
        <v>J</v>
      </c>
      <c r="D348" s="1659" t="s">
        <v>1614</v>
      </c>
      <c r="E348" s="888" t="str">
        <f t="shared" si="62"/>
        <v>其他权益工具（其他）_其他利润分配</v>
      </c>
      <c r="F348" s="884">
        <f>INDEX(Sheet_Presc,MATCH((RIGHT($D348,2)),Sheet_Prescrow,0),MATCH((LEFT($D348,2)),Sheet_Presccol,0))</f>
        <v>0</v>
      </c>
      <c r="G348" s="885">
        <f>SUMIF(AJE!$B:$B,$C348&amp;$D348&amp;"*",AJE!$O:$O)</f>
        <v>0</v>
      </c>
      <c r="H348" s="885">
        <f>SUMIF(AJE!$B:$B,$C348&amp;$D348&amp;"*",AJE!$P:$P)</f>
        <v>0</v>
      </c>
      <c r="I348" s="913">
        <f>(B348*F348+G348-H348)*B348</f>
        <v>0</v>
      </c>
      <c r="J348" s="914">
        <f ca="1">OFFSET(INDEX(Sheet_Presc,MATCH((RIGHT($D348,2)),Sheet_Prescrow,0),MATCH((LEFT($D348,2)),Sheet_Presccol,0)),0,(COLUMNS(Sheet_Presccol)-2)/2)</f>
        <v>0</v>
      </c>
      <c r="K348" s="885">
        <f>SUMIF('AJE1'!$B:$B,$C348&amp;$D348&amp;"*",'AJE1'!$O:$O)</f>
        <v>0</v>
      </c>
      <c r="L348" s="885">
        <f>SUMIF('AJE1'!$B:$B,$C348&amp;$D348&amp;"*",'AJE1'!$P:$P)</f>
        <v>0</v>
      </c>
      <c r="M348" s="891">
        <f ca="1">($B348*J348+K348-L348)*$B348</f>
        <v>0</v>
      </c>
      <c r="N348" s="641"/>
      <c r="O348" s="641"/>
      <c r="P348" s="641"/>
      <c r="Q348" s="641"/>
      <c r="T348" s="3056">
        <v>8250</v>
      </c>
      <c r="U348" s="3063">
        <v>0</v>
      </c>
    </row>
    <row r="349" spans="1:21" ht="24">
      <c r="A349" s="1648" t="str">
        <f t="shared" si="114"/>
        <v>OEI＝</v>
      </c>
      <c r="B349" s="1647">
        <f t="shared" si="115"/>
        <v>0</v>
      </c>
      <c r="C349" s="1647">
        <f t="shared" si="113"/>
        <v>0</v>
      </c>
      <c r="D349" s="1659" t="s">
        <v>1618</v>
      </c>
      <c r="E349" s="890" t="str">
        <f t="shared" si="62"/>
        <v>其他权益工具（其他）_所有者权益内部结转</v>
      </c>
      <c r="F349" s="884">
        <f t="shared" ref="F349:M349" si="120">SUM(F350:F355)</f>
        <v>0</v>
      </c>
      <c r="G349" s="885">
        <f t="shared" si="120"/>
        <v>0</v>
      </c>
      <c r="H349" s="885">
        <f t="shared" si="120"/>
        <v>0</v>
      </c>
      <c r="I349" s="913">
        <f t="shared" si="120"/>
        <v>0</v>
      </c>
      <c r="J349" s="914">
        <f t="shared" ca="1" si="120"/>
        <v>0</v>
      </c>
      <c r="K349" s="885">
        <f t="shared" si="120"/>
        <v>0</v>
      </c>
      <c r="L349" s="885">
        <f t="shared" si="120"/>
        <v>0</v>
      </c>
      <c r="M349" s="891">
        <f t="shared" ca="1" si="120"/>
        <v>0</v>
      </c>
      <c r="N349" s="641"/>
      <c r="O349" s="641"/>
      <c r="P349" s="641"/>
      <c r="Q349" s="641"/>
      <c r="T349" s="3056">
        <v>8251</v>
      </c>
      <c r="U349" s="3063">
        <v>0</v>
      </c>
    </row>
    <row r="350" spans="1:21" ht="24">
      <c r="A350" s="1648" t="str">
        <f t="shared" si="114"/>
        <v>OEI</v>
      </c>
      <c r="B350" s="1647">
        <f t="shared" si="115"/>
        <v>-1</v>
      </c>
      <c r="C350" s="1647" t="str">
        <f t="shared" si="113"/>
        <v>J</v>
      </c>
      <c r="D350" s="1659" t="s">
        <v>1623</v>
      </c>
      <c r="E350" s="888" t="str">
        <f t="shared" si="62"/>
        <v>其他权益工具（其他）_资本公积转增资本</v>
      </c>
      <c r="F350" s="884">
        <f t="shared" ref="F350:F355" si="121">INDEX(Sheet_Presc,MATCH((RIGHT($D350,2)),Sheet_Prescrow,0),MATCH((LEFT($D350,2)),Sheet_Presccol,0))</f>
        <v>0</v>
      </c>
      <c r="G350" s="885">
        <f>SUMIF(AJE!$B:$B,$C350&amp;$D350&amp;"*",AJE!$O:$O)</f>
        <v>0</v>
      </c>
      <c r="H350" s="885">
        <f>SUMIF(AJE!$B:$B,$C350&amp;$D350&amp;"*",AJE!$P:$P)</f>
        <v>0</v>
      </c>
      <c r="I350" s="913">
        <f t="shared" ref="I350:I355" si="122">(B350*F350+G350-H350)*B350</f>
        <v>0</v>
      </c>
      <c r="J350" s="914">
        <f t="shared" ref="J350:J355" ca="1" si="123">OFFSET(INDEX(Sheet_Presc,MATCH((RIGHT($D350,2)),Sheet_Prescrow,0),MATCH((LEFT($D350,2)),Sheet_Presccol,0)),0,(COLUMNS(Sheet_Presccol)-2)/2)</f>
        <v>0</v>
      </c>
      <c r="K350" s="885">
        <f>SUMIF('AJE1'!$B:$B,$C350&amp;$D350&amp;"*",'AJE1'!$O:$O)</f>
        <v>0</v>
      </c>
      <c r="L350" s="885">
        <f>SUMIF('AJE1'!$B:$B,$C350&amp;$D350&amp;"*",'AJE1'!$P:$P)</f>
        <v>0</v>
      </c>
      <c r="M350" s="891">
        <f t="shared" ref="M350:M355" ca="1" si="124">($B350*J350+K350-L350)*$B350</f>
        <v>0</v>
      </c>
      <c r="N350" s="641"/>
      <c r="O350" s="641"/>
      <c r="P350" s="641"/>
      <c r="Q350" s="641"/>
      <c r="T350" s="3056">
        <v>8253</v>
      </c>
      <c r="U350" s="3063">
        <v>0</v>
      </c>
    </row>
    <row r="351" spans="1:21" ht="24">
      <c r="A351" s="1648" t="str">
        <f t="shared" si="114"/>
        <v>OEI</v>
      </c>
      <c r="B351" s="1647">
        <f t="shared" si="115"/>
        <v>-1</v>
      </c>
      <c r="C351" s="1647" t="str">
        <f t="shared" si="113"/>
        <v>J</v>
      </c>
      <c r="D351" s="1659" t="s">
        <v>1629</v>
      </c>
      <c r="E351" s="888" t="str">
        <f t="shared" si="62"/>
        <v>其他权益工具（其他）_盈余公积转增资本</v>
      </c>
      <c r="F351" s="884">
        <f t="shared" si="121"/>
        <v>0</v>
      </c>
      <c r="G351" s="885">
        <f>SUMIF(AJE!$B:$B,$C351&amp;$D351&amp;"*",AJE!$O:$O)</f>
        <v>0</v>
      </c>
      <c r="H351" s="885">
        <f>SUMIF(AJE!$B:$B,$C351&amp;$D351&amp;"*",AJE!$P:$P)</f>
        <v>0</v>
      </c>
      <c r="I351" s="913">
        <f t="shared" si="122"/>
        <v>0</v>
      </c>
      <c r="J351" s="914">
        <f t="shared" ca="1" si="123"/>
        <v>0</v>
      </c>
      <c r="K351" s="885">
        <f>SUMIF('AJE1'!$B:$B,$C351&amp;$D351&amp;"*",'AJE1'!$O:$O)</f>
        <v>0</v>
      </c>
      <c r="L351" s="885">
        <f>SUMIF('AJE1'!$B:$B,$C351&amp;$D351&amp;"*",'AJE1'!$P:$P)</f>
        <v>0</v>
      </c>
      <c r="M351" s="891">
        <f t="shared" ca="1" si="124"/>
        <v>0</v>
      </c>
      <c r="N351" s="641"/>
      <c r="O351" s="641"/>
      <c r="P351" s="641"/>
      <c r="Q351" s="641"/>
      <c r="T351" s="3056">
        <v>8252</v>
      </c>
      <c r="U351" s="3063">
        <v>0</v>
      </c>
    </row>
    <row r="352" spans="1:21" ht="24">
      <c r="A352" s="1648" t="str">
        <f t="shared" si="114"/>
        <v>OEI</v>
      </c>
      <c r="B352" s="1647">
        <f t="shared" si="115"/>
        <v>-1</v>
      </c>
      <c r="C352" s="1647" t="str">
        <f t="shared" si="113"/>
        <v>J</v>
      </c>
      <c r="D352" s="1659" t="s">
        <v>1634</v>
      </c>
      <c r="E352" s="888" t="str">
        <f t="shared" si="62"/>
        <v>其他权益工具（其他）_盈余公积弥补亏损</v>
      </c>
      <c r="F352" s="884">
        <f t="shared" si="121"/>
        <v>0</v>
      </c>
      <c r="G352" s="885">
        <f>SUMIF(AJE!$B:$B,$C352&amp;$D352&amp;"*",AJE!$O:$O)</f>
        <v>0</v>
      </c>
      <c r="H352" s="885">
        <f>SUMIF(AJE!$B:$B,$C352&amp;$D352&amp;"*",AJE!$P:$P)</f>
        <v>0</v>
      </c>
      <c r="I352" s="913">
        <f t="shared" si="122"/>
        <v>0</v>
      </c>
      <c r="J352" s="914">
        <f t="shared" ca="1" si="123"/>
        <v>0</v>
      </c>
      <c r="K352" s="885">
        <f>SUMIF('AJE1'!$B:$B,$C352&amp;$D352&amp;"*",'AJE1'!$O:$O)</f>
        <v>0</v>
      </c>
      <c r="L352" s="885">
        <f>SUMIF('AJE1'!$B:$B,$C352&amp;$D352&amp;"*",'AJE1'!$P:$P)</f>
        <v>0</v>
      </c>
      <c r="M352" s="891">
        <f t="shared" ca="1" si="124"/>
        <v>0</v>
      </c>
      <c r="N352" s="641"/>
      <c r="O352" s="641"/>
      <c r="P352" s="641"/>
      <c r="Q352" s="641"/>
      <c r="T352" s="3056">
        <v>8256</v>
      </c>
      <c r="U352" s="3063">
        <v>0</v>
      </c>
    </row>
    <row r="353" spans="1:21" ht="24">
      <c r="A353" s="1648" t="str">
        <f t="shared" si="114"/>
        <v>OEI</v>
      </c>
      <c r="B353" s="1647">
        <f t="shared" si="115"/>
        <v>-1</v>
      </c>
      <c r="C353" s="1647" t="str">
        <f t="shared" si="113"/>
        <v>J</v>
      </c>
      <c r="D353" s="1659" t="s">
        <v>1639</v>
      </c>
      <c r="E353" s="888" t="str">
        <f t="shared" si="62"/>
        <v>其他权益工具（其他）_设定受益计划变动额结转留存收益</v>
      </c>
      <c r="F353" s="884">
        <f t="shared" si="121"/>
        <v>0</v>
      </c>
      <c r="G353" s="885">
        <f>SUMIF(AJE!$B:$B,$C353&amp;$D353&amp;"*",AJE!$O:$O)</f>
        <v>0</v>
      </c>
      <c r="H353" s="885">
        <f>SUMIF(AJE!$B:$B,$C353&amp;$D353&amp;"*",AJE!$P:$P)</f>
        <v>0</v>
      </c>
      <c r="I353" s="913">
        <f t="shared" si="122"/>
        <v>0</v>
      </c>
      <c r="J353" s="914">
        <f t="shared" ca="1" si="123"/>
        <v>0</v>
      </c>
      <c r="K353" s="885">
        <f>SUMIF('AJE1'!$B:$B,$C353&amp;$D353&amp;"*",'AJE1'!$O:$O)</f>
        <v>0</v>
      </c>
      <c r="L353" s="885">
        <f>SUMIF('AJE1'!$B:$B,$C353&amp;$D353&amp;"*",'AJE1'!$P:$P)</f>
        <v>0</v>
      </c>
      <c r="M353" s="891">
        <f t="shared" ca="1" si="124"/>
        <v>0</v>
      </c>
      <c r="N353" s="641"/>
      <c r="O353" s="641"/>
      <c r="P353" s="641"/>
      <c r="Q353" s="641"/>
      <c r="T353" s="3056">
        <v>8260</v>
      </c>
      <c r="U353" s="3063">
        <v>0</v>
      </c>
    </row>
    <row r="354" spans="1:21" ht="24">
      <c r="A354" s="1648" t="str">
        <f>VLOOKUP($D354,Sheet_Items,4,0)</f>
        <v>_JR</v>
      </c>
      <c r="B354" s="1647">
        <f>VLOOKUP($D354,Sheet_Items,3,0)</f>
        <v>-1</v>
      </c>
      <c r="C354" s="1647" t="str">
        <f>VLOOKUP($D354,Sheet_Items,9,0)</f>
        <v>J</v>
      </c>
      <c r="D354" s="1659" t="s">
        <v>2099</v>
      </c>
      <c r="E354" s="889" t="str">
        <f>VLOOKUP($D354,Sheet_Items,2,0)</f>
        <v>其他权益工具（其他）_其他综合收益结转留存收益</v>
      </c>
      <c r="F354" s="884">
        <f t="shared" si="121"/>
        <v>0</v>
      </c>
      <c r="G354" s="885">
        <f>SUMIF(AJE!$B:$B,$C354&amp;$D354&amp;"*",AJE!$O:$O)</f>
        <v>0</v>
      </c>
      <c r="H354" s="885">
        <f>SUMIF(AJE!$B:$B,$C354&amp;$D354&amp;"*",AJE!$P:$P)</f>
        <v>0</v>
      </c>
      <c r="I354" s="913">
        <f t="shared" si="122"/>
        <v>0</v>
      </c>
      <c r="J354" s="914">
        <f t="shared" ca="1" si="123"/>
        <v>0</v>
      </c>
      <c r="K354" s="885">
        <f>SUMIF('AJE1'!$B:$B,$C354&amp;$D354&amp;"*",'AJE1'!$O:$O)</f>
        <v>0</v>
      </c>
      <c r="L354" s="885">
        <f>SUMIF('AJE1'!$B:$B,$C354&amp;$D354&amp;"*",'AJE1'!$P:$P)</f>
        <v>0</v>
      </c>
      <c r="M354" s="891">
        <f t="shared" ca="1" si="124"/>
        <v>0</v>
      </c>
      <c r="N354" s="641"/>
      <c r="O354" s="641"/>
      <c r="P354" s="641"/>
      <c r="Q354" s="641"/>
      <c r="T354" s="3056">
        <v>8261</v>
      </c>
      <c r="U354" s="3063">
        <v>0</v>
      </c>
    </row>
    <row r="355" spans="1:21" ht="24">
      <c r="A355" s="1648" t="str">
        <f t="shared" si="114"/>
        <v>OEI</v>
      </c>
      <c r="B355" s="1647">
        <f t="shared" si="115"/>
        <v>-1</v>
      </c>
      <c r="C355" s="1647" t="str">
        <f t="shared" si="113"/>
        <v>J</v>
      </c>
      <c r="D355" s="1659" t="s">
        <v>1644</v>
      </c>
      <c r="E355" s="888" t="str">
        <f t="shared" si="62"/>
        <v>其他权益工具（其他）_所有者权益其他内部结转</v>
      </c>
      <c r="F355" s="884">
        <f t="shared" si="121"/>
        <v>0</v>
      </c>
      <c r="G355" s="885">
        <f>SUMIF(AJE!$B:$B,$C355&amp;$D355&amp;"*",AJE!$O:$O)</f>
        <v>0</v>
      </c>
      <c r="H355" s="885">
        <f>SUMIF(AJE!$B:$B,$C355&amp;$D355&amp;"*",AJE!$P:$P)</f>
        <v>0</v>
      </c>
      <c r="I355" s="913">
        <f t="shared" si="122"/>
        <v>0</v>
      </c>
      <c r="J355" s="914">
        <f t="shared" ca="1" si="123"/>
        <v>0</v>
      </c>
      <c r="K355" s="885">
        <f>SUMIF('AJE1'!$B:$B,$C355&amp;$D355&amp;"*",'AJE1'!$O:$O)</f>
        <v>0</v>
      </c>
      <c r="L355" s="885">
        <f>SUMIF('AJE1'!$B:$B,$C355&amp;$D355&amp;"*",'AJE1'!$P:$P)</f>
        <v>0</v>
      </c>
      <c r="M355" s="891">
        <f t="shared" ca="1" si="124"/>
        <v>0</v>
      </c>
      <c r="N355" s="641"/>
      <c r="O355" s="641"/>
      <c r="P355" s="641"/>
      <c r="Q355" s="641"/>
      <c r="T355" s="3056">
        <v>8262</v>
      </c>
      <c r="U355" s="3063">
        <v>0</v>
      </c>
    </row>
    <row r="356" spans="1:21" ht="24">
      <c r="A356" s="1648" t="str">
        <f t="shared" si="114"/>
        <v>OEI＝</v>
      </c>
      <c r="B356" s="1647">
        <f t="shared" si="115"/>
        <v>0</v>
      </c>
      <c r="C356" s="1647">
        <f t="shared" si="113"/>
        <v>0</v>
      </c>
      <c r="D356" s="1659" t="s">
        <v>1649</v>
      </c>
      <c r="E356" s="890" t="str">
        <f t="shared" si="62"/>
        <v>其他权益工具（其他）_专项储备影响权益</v>
      </c>
      <c r="F356" s="884">
        <f t="shared" ref="F356:M356" si="125">SUM(F357:F358)</f>
        <v>0</v>
      </c>
      <c r="G356" s="885">
        <f t="shared" si="125"/>
        <v>0</v>
      </c>
      <c r="H356" s="885">
        <f t="shared" si="125"/>
        <v>0</v>
      </c>
      <c r="I356" s="913">
        <f t="shared" si="125"/>
        <v>0</v>
      </c>
      <c r="J356" s="914">
        <f t="shared" ca="1" si="125"/>
        <v>0</v>
      </c>
      <c r="K356" s="885">
        <f t="shared" si="125"/>
        <v>0</v>
      </c>
      <c r="L356" s="885">
        <f t="shared" si="125"/>
        <v>0</v>
      </c>
      <c r="M356" s="891">
        <f t="shared" ca="1" si="125"/>
        <v>0</v>
      </c>
      <c r="N356" s="641"/>
      <c r="O356" s="641"/>
      <c r="P356" s="641"/>
      <c r="Q356" s="641"/>
      <c r="T356" s="3056">
        <v>8263</v>
      </c>
      <c r="U356" s="3063">
        <v>0</v>
      </c>
    </row>
    <row r="357" spans="1:21" ht="24">
      <c r="A357" s="1648" t="str">
        <f t="shared" si="114"/>
        <v>OEI</v>
      </c>
      <c r="B357" s="1647">
        <f t="shared" si="115"/>
        <v>-1</v>
      </c>
      <c r="C357" s="1647" t="str">
        <f t="shared" si="113"/>
        <v>J</v>
      </c>
      <c r="D357" s="1659" t="s">
        <v>1654</v>
      </c>
      <c r="E357" s="888" t="str">
        <f t="shared" si="62"/>
        <v>其他权益工具（其他）_专项储备本期提取</v>
      </c>
      <c r="F357" s="884">
        <f>INDEX(Sheet_Presc,MATCH((RIGHT($D357,2)),Sheet_Prescrow,0),MATCH((LEFT($D357,2)),Sheet_Presccol,0))</f>
        <v>0</v>
      </c>
      <c r="G357" s="885">
        <f>SUMIF(AJE!$B:$B,$C357&amp;$D357&amp;"*",AJE!$O:$O)</f>
        <v>0</v>
      </c>
      <c r="H357" s="885">
        <f>SUMIF(AJE!$B:$B,$C357&amp;$D357&amp;"*",AJE!$P:$P)</f>
        <v>0</v>
      </c>
      <c r="I357" s="913">
        <f>(B357*F357+G357-H357)*B357</f>
        <v>0</v>
      </c>
      <c r="J357" s="914">
        <f ca="1">OFFSET(INDEX(Sheet_Presc,MATCH((RIGHT($D357,2)),Sheet_Prescrow,0),MATCH((LEFT($D357,2)),Sheet_Presccol,0)),0,(COLUMNS(Sheet_Presccol)-2)/2)</f>
        <v>0</v>
      </c>
      <c r="K357" s="885">
        <f>SUMIF('AJE1'!$B:$B,$C357&amp;$D357&amp;"*",'AJE1'!$O:$O)</f>
        <v>0</v>
      </c>
      <c r="L357" s="885">
        <f>SUMIF('AJE1'!$B:$B,$C357&amp;$D357&amp;"*",'AJE1'!$P:$P)</f>
        <v>0</v>
      </c>
      <c r="M357" s="891">
        <f ca="1">($B357*J357+K357-L357)*$B357</f>
        <v>0</v>
      </c>
      <c r="N357" s="641"/>
      <c r="O357" s="641"/>
      <c r="P357" s="641"/>
      <c r="Q357" s="641"/>
      <c r="T357" s="3056">
        <v>8266</v>
      </c>
      <c r="U357" s="3063">
        <v>0</v>
      </c>
    </row>
    <row r="358" spans="1:21" ht="24">
      <c r="A358" s="1648" t="str">
        <f t="shared" si="114"/>
        <v>OEI</v>
      </c>
      <c r="B358" s="1647">
        <f t="shared" si="115"/>
        <v>-1</v>
      </c>
      <c r="C358" s="1647" t="str">
        <f t="shared" si="113"/>
        <v>J</v>
      </c>
      <c r="D358" s="1659" t="s">
        <v>1659</v>
      </c>
      <c r="E358" s="888" t="str">
        <f t="shared" si="62"/>
        <v>其他权益工具（其他）_专项储备本期使用</v>
      </c>
      <c r="F358" s="884">
        <f>INDEX(Sheet_Presc,MATCH((RIGHT($D358,2)),Sheet_Prescrow,0),MATCH((LEFT($D358,2)),Sheet_Presccol,0))</f>
        <v>0</v>
      </c>
      <c r="G358" s="885">
        <f>SUMIF(AJE!$B:$B,$C358&amp;$D358&amp;"*",AJE!$O:$O)</f>
        <v>0</v>
      </c>
      <c r="H358" s="885">
        <f>SUMIF(AJE!$B:$B,$C358&amp;$D358&amp;"*",AJE!$P:$P)</f>
        <v>0</v>
      </c>
      <c r="I358" s="913">
        <f>(B358*F358+G358-H358)*B358</f>
        <v>0</v>
      </c>
      <c r="J358" s="914">
        <f ca="1">OFFSET(INDEX(Sheet_Presc,MATCH((RIGHT($D358,2)),Sheet_Prescrow,0),MATCH((LEFT($D358,2)),Sheet_Presccol,0)),0,(COLUMNS(Sheet_Presccol)-2)/2)</f>
        <v>0</v>
      </c>
      <c r="K358" s="885">
        <f>SUMIF('AJE1'!$B:$B,$C358&amp;$D358&amp;"*",'AJE1'!$O:$O)</f>
        <v>0</v>
      </c>
      <c r="L358" s="885">
        <f>SUMIF('AJE1'!$B:$B,$C358&amp;$D358&amp;"*",'AJE1'!$P:$P)</f>
        <v>0</v>
      </c>
      <c r="M358" s="891">
        <f ca="1">($B358*J358+K358-L358)*$B358</f>
        <v>0</v>
      </c>
      <c r="N358" s="641"/>
      <c r="O358" s="641"/>
      <c r="P358" s="641"/>
      <c r="Q358" s="641"/>
      <c r="T358" s="3056">
        <v>8270</v>
      </c>
      <c r="U358" s="3063">
        <v>0</v>
      </c>
    </row>
    <row r="359" spans="1:21" ht="24">
      <c r="A359" s="1648" t="str">
        <f t="shared" si="114"/>
        <v>OEI</v>
      </c>
      <c r="B359" s="1647">
        <f t="shared" si="115"/>
        <v>-1</v>
      </c>
      <c r="C359" s="1647" t="str">
        <f t="shared" si="113"/>
        <v>J</v>
      </c>
      <c r="D359" s="1659" t="s">
        <v>1664</v>
      </c>
      <c r="E359" s="888" t="str">
        <f t="shared" si="62"/>
        <v>其他权益工具（其他）_本期其他增减变动</v>
      </c>
      <c r="F359" s="884">
        <f>INDEX(Sheet_Presc,MATCH((RIGHT($D359,2)),Sheet_Prescrow,0),MATCH((LEFT($D359,2)),Sheet_Presccol,0))</f>
        <v>0</v>
      </c>
      <c r="G359" s="885">
        <f>SUMIF(AJE!$B:$B,$C359&amp;$D359&amp;"*",AJE!$O:$O)</f>
        <v>0</v>
      </c>
      <c r="H359" s="885">
        <f>SUMIF(AJE!$B:$B,$C359&amp;$D359&amp;"*",AJE!$P:$P)</f>
        <v>0</v>
      </c>
      <c r="I359" s="913">
        <f>(B359*F359+G359-H359)*B359</f>
        <v>0</v>
      </c>
      <c r="J359" s="914">
        <f ca="1">OFFSET(INDEX(Sheet_Presc,MATCH((RIGHT($D359,2)),Sheet_Prescrow,0),MATCH((LEFT($D359,2)),Sheet_Presccol,0)),0,(COLUMNS(Sheet_Presccol)-2)/2)</f>
        <v>0</v>
      </c>
      <c r="K359" s="885">
        <f>SUMIF('AJE1'!$B:$B,$C359&amp;$D359&amp;"*",'AJE1'!$O:$O)</f>
        <v>0</v>
      </c>
      <c r="L359" s="885">
        <f>SUMIF('AJE1'!$B:$B,$C359&amp;$D359&amp;"*",'AJE1'!$P:$P)</f>
        <v>0</v>
      </c>
      <c r="M359" s="891">
        <f ca="1">($B359*J359+K359-L359)*$B359</f>
        <v>0</v>
      </c>
      <c r="N359" s="641"/>
      <c r="O359" s="641"/>
      <c r="P359" s="641"/>
      <c r="Q359" s="641"/>
      <c r="T359" s="3056">
        <v>8271</v>
      </c>
      <c r="U359" s="3063">
        <v>0</v>
      </c>
    </row>
    <row r="360" spans="1:21" ht="24">
      <c r="A360" s="1648" t="str">
        <f t="shared" si="114"/>
        <v>OEI＝</v>
      </c>
      <c r="B360" s="1647">
        <f t="shared" si="115"/>
        <v>0</v>
      </c>
      <c r="C360" s="1647">
        <f t="shared" si="113"/>
        <v>0</v>
      </c>
      <c r="D360" s="1659" t="s">
        <v>1668</v>
      </c>
      <c r="E360" s="890" t="str">
        <f t="shared" si="62"/>
        <v>其他权益工具（其他）_本期期末余额</v>
      </c>
      <c r="F360" s="884">
        <f t="shared" ref="F360:M360" si="126">SUM(F336,F337)</f>
        <v>0</v>
      </c>
      <c r="G360" s="885">
        <f t="shared" si="126"/>
        <v>0</v>
      </c>
      <c r="H360" s="885">
        <f t="shared" si="126"/>
        <v>0</v>
      </c>
      <c r="I360" s="913">
        <f t="shared" si="126"/>
        <v>0</v>
      </c>
      <c r="J360" s="914">
        <f t="shared" ca="1" si="126"/>
        <v>0</v>
      </c>
      <c r="K360" s="885">
        <f t="shared" si="126"/>
        <v>0</v>
      </c>
      <c r="L360" s="885">
        <f t="shared" si="126"/>
        <v>0</v>
      </c>
      <c r="M360" s="891">
        <f t="shared" ca="1" si="126"/>
        <v>0</v>
      </c>
      <c r="N360" s="641"/>
      <c r="O360" s="641"/>
      <c r="P360" s="641"/>
      <c r="Q360" s="641"/>
      <c r="T360" s="3056">
        <v>8272</v>
      </c>
      <c r="U360" s="3063">
        <v>0</v>
      </c>
    </row>
    <row r="361" spans="1:21" ht="18">
      <c r="A361" s="1648" t="str">
        <f t="shared" si="114"/>
        <v>：</v>
      </c>
      <c r="B361" s="1647">
        <f t="shared" si="115"/>
        <v>0</v>
      </c>
      <c r="C361" s="1647">
        <f t="shared" si="113"/>
        <v>0</v>
      </c>
      <c r="D361" s="2186">
        <v>8200</v>
      </c>
      <c r="E361" s="2187" t="str">
        <f t="shared" si="62"/>
        <v>资本公积增减变动</v>
      </c>
      <c r="F361" s="884"/>
      <c r="G361" s="885"/>
      <c r="H361" s="885"/>
      <c r="I361" s="913"/>
      <c r="J361" s="914"/>
      <c r="K361" s="885"/>
      <c r="L361" s="885"/>
      <c r="M361" s="891"/>
      <c r="N361" s="641"/>
      <c r="O361" s="641"/>
      <c r="P361" s="641"/>
      <c r="Q361" s="641"/>
      <c r="T361" s="3056">
        <v>8273</v>
      </c>
      <c r="U361" s="3063">
        <v>0</v>
      </c>
    </row>
    <row r="362" spans="1:21" ht="18">
      <c r="A362" s="1648">
        <f t="shared" si="114"/>
        <v>0</v>
      </c>
      <c r="B362" s="1647">
        <f t="shared" si="115"/>
        <v>-1</v>
      </c>
      <c r="C362" s="1647" t="str">
        <f t="shared" si="113"/>
        <v>J</v>
      </c>
      <c r="D362" s="1659">
        <v>8201</v>
      </c>
      <c r="E362" s="888" t="str">
        <f t="shared" si="62"/>
        <v>资本公积_上年年末余额</v>
      </c>
      <c r="F362" s="884">
        <f t="shared" ref="F362:F366" si="127">INDEX(Sheet_Presc,MATCH((RIGHT($D362,2)),Sheet_Prescrow,0),MATCH((LEFT($D362,2)),Sheet_Presccol,0))</f>
        <v>0</v>
      </c>
      <c r="G362" s="885">
        <f>SUMIF(AJE!$B:$B,$C362&amp;$D362&amp;"*",AJE!$O:$O)</f>
        <v>0</v>
      </c>
      <c r="H362" s="885">
        <f>SUMIF(AJE!$B:$B,$C362&amp;$D362&amp;"*",AJE!$P:$P)</f>
        <v>0</v>
      </c>
      <c r="I362" s="913">
        <f t="shared" ref="I362:I366" si="128">(B362*F362+G362-H362)*B362</f>
        <v>0</v>
      </c>
      <c r="J362" s="914">
        <f t="shared" ref="J362:J366" si="129">INDEX(Sheet_Presc,MATCH((RIGHT($D362,2)),Sheet_Prescrow,0),MATCH((VALUE(LEFT($D362,2))),Sheet_Presccol,0))</f>
        <v>0</v>
      </c>
      <c r="K362" s="885">
        <f>SUMIF('AJE1'!$B:$B,$C362&amp;$D362&amp;"*",'AJE1'!$O:$O)</f>
        <v>0</v>
      </c>
      <c r="L362" s="885">
        <f>SUMIF('AJE1'!$B:$B,$C362&amp;$D362&amp;"*",'AJE1'!$P:$P)</f>
        <v>0</v>
      </c>
      <c r="M362" s="891">
        <f t="shared" ref="M362:M366" si="130">($B362*J362+K362-L362)*$B362</f>
        <v>0</v>
      </c>
      <c r="N362" s="641"/>
      <c r="O362" s="641"/>
      <c r="P362" s="641"/>
      <c r="Q362" s="641"/>
      <c r="T362" s="3056">
        <v>8275</v>
      </c>
      <c r="U362" s="3063">
        <v>0</v>
      </c>
    </row>
    <row r="363" spans="1:21" ht="24">
      <c r="A363" s="1648">
        <f t="shared" si="114"/>
        <v>0</v>
      </c>
      <c r="B363" s="1647">
        <f t="shared" si="115"/>
        <v>-1</v>
      </c>
      <c r="C363" s="1647" t="str">
        <f t="shared" si="113"/>
        <v>J</v>
      </c>
      <c r="D363" s="1659">
        <v>8202</v>
      </c>
      <c r="E363" s="888" t="str">
        <f t="shared" si="62"/>
        <v>资本公积_会计政策变更调整上年年末余额</v>
      </c>
      <c r="F363" s="884">
        <f t="shared" si="127"/>
        <v>0</v>
      </c>
      <c r="G363" s="885">
        <f>SUMIF(AJE!$B:$B,$C363&amp;$D363&amp;"*",AJE!$O:$O)</f>
        <v>0</v>
      </c>
      <c r="H363" s="885">
        <f>SUMIF(AJE!$B:$B,$C363&amp;$D363&amp;"*",AJE!$P:$P)</f>
        <v>0</v>
      </c>
      <c r="I363" s="913">
        <f t="shared" si="128"/>
        <v>0</v>
      </c>
      <c r="J363" s="914">
        <f t="shared" si="129"/>
        <v>0</v>
      </c>
      <c r="K363" s="885">
        <f>SUMIF('AJE1'!$B:$B,$C363&amp;$D363&amp;"*",'AJE1'!$O:$O)</f>
        <v>0</v>
      </c>
      <c r="L363" s="885">
        <f>SUMIF('AJE1'!$B:$B,$C363&amp;$D363&amp;"*",'AJE1'!$P:$P)</f>
        <v>0</v>
      </c>
      <c r="M363" s="891">
        <f t="shared" si="130"/>
        <v>0</v>
      </c>
      <c r="N363" s="641"/>
      <c r="O363" s="641"/>
      <c r="P363" s="641"/>
      <c r="Q363" s="641"/>
      <c r="T363" s="3056">
        <v>8276</v>
      </c>
      <c r="U363" s="3063">
        <v>0</v>
      </c>
    </row>
    <row r="364" spans="1:21" ht="24">
      <c r="A364" s="1648">
        <f t="shared" si="114"/>
        <v>0</v>
      </c>
      <c r="B364" s="1647">
        <f t="shared" si="115"/>
        <v>-1</v>
      </c>
      <c r="C364" s="1647" t="str">
        <f t="shared" si="113"/>
        <v>J</v>
      </c>
      <c r="D364" s="1659">
        <v>8203</v>
      </c>
      <c r="E364" s="888" t="str">
        <f t="shared" si="62"/>
        <v>资本公积_前期差错更正调整上年年末余额</v>
      </c>
      <c r="F364" s="884">
        <f t="shared" si="127"/>
        <v>0</v>
      </c>
      <c r="G364" s="885">
        <f>SUMIF(AJE!$B:$B,$C364&amp;$D364&amp;"*",AJE!$O:$O)</f>
        <v>0</v>
      </c>
      <c r="H364" s="885">
        <f>SUMIF(AJE!$B:$B,$C364&amp;$D364&amp;"*",AJE!$P:$P)</f>
        <v>0</v>
      </c>
      <c r="I364" s="913">
        <f t="shared" si="128"/>
        <v>0</v>
      </c>
      <c r="J364" s="914">
        <f t="shared" si="129"/>
        <v>0</v>
      </c>
      <c r="K364" s="885">
        <f>SUMIF('AJE1'!$B:$B,$C364&amp;$D364&amp;"*",'AJE1'!$O:$O)</f>
        <v>0</v>
      </c>
      <c r="L364" s="885">
        <f>SUMIF('AJE1'!$B:$B,$C364&amp;$D364&amp;"*",'AJE1'!$P:$P)</f>
        <v>0</v>
      </c>
      <c r="M364" s="891">
        <f t="shared" si="130"/>
        <v>0</v>
      </c>
      <c r="N364" s="641"/>
      <c r="O364" s="641"/>
      <c r="P364" s="641"/>
      <c r="Q364" s="641"/>
      <c r="T364" s="3056">
        <v>8280</v>
      </c>
      <c r="U364" s="3063">
        <v>0</v>
      </c>
    </row>
    <row r="365" spans="1:21" ht="24">
      <c r="A365" s="1648" t="str">
        <f t="shared" si="114"/>
        <v>※</v>
      </c>
      <c r="B365" s="1647">
        <f t="shared" si="115"/>
        <v>-1</v>
      </c>
      <c r="C365" s="1647" t="str">
        <f t="shared" si="113"/>
        <v>J</v>
      </c>
      <c r="D365" s="1659">
        <v>8204</v>
      </c>
      <c r="E365" s="888" t="str">
        <f t="shared" si="62"/>
        <v>资本公积_同一控制下企业合并调整上年年末余额</v>
      </c>
      <c r="F365" s="884">
        <f t="shared" si="127"/>
        <v>0</v>
      </c>
      <c r="G365" s="885">
        <f>SUMIF(AJE!$B:$B,$C365&amp;$D365&amp;"*",AJE!$O:$O)</f>
        <v>0</v>
      </c>
      <c r="H365" s="885">
        <f>SUMIF(AJE!$B:$B,$C365&amp;$D365&amp;"*",AJE!$P:$P)</f>
        <v>0</v>
      </c>
      <c r="I365" s="913">
        <f t="shared" si="128"/>
        <v>0</v>
      </c>
      <c r="J365" s="914">
        <f t="shared" si="129"/>
        <v>0</v>
      </c>
      <c r="K365" s="885">
        <f>SUMIF('AJE1'!$B:$B,$C365&amp;$D365&amp;"*",'AJE1'!$O:$O)</f>
        <v>0</v>
      </c>
      <c r="L365" s="885">
        <f>SUMIF('AJE1'!$B:$B,$C365&amp;$D365&amp;"*",'AJE1'!$P:$P)</f>
        <v>0</v>
      </c>
      <c r="M365" s="891">
        <f t="shared" si="130"/>
        <v>0</v>
      </c>
      <c r="N365" s="641"/>
      <c r="O365" s="641"/>
      <c r="P365" s="641"/>
      <c r="Q365" s="641"/>
      <c r="T365" s="3056">
        <v>8281</v>
      </c>
      <c r="U365" s="3063">
        <v>0</v>
      </c>
    </row>
    <row r="366" spans="1:21" ht="24">
      <c r="A366" s="1648">
        <f t="shared" ref="A366:A373" si="131">VLOOKUP($D366,Sheet_Items,4,0)</f>
        <v>0</v>
      </c>
      <c r="B366" s="1647">
        <f t="shared" ref="B366:B373" si="132">VLOOKUP($D366,Sheet_Items,3,0)</f>
        <v>-1</v>
      </c>
      <c r="C366" s="1647" t="str">
        <f t="shared" ref="C366:C373" si="133">VLOOKUP($D366,Sheet_Items,9,0)</f>
        <v>J</v>
      </c>
      <c r="D366" s="1659">
        <v>8209</v>
      </c>
      <c r="E366" s="888" t="str">
        <f t="shared" si="62"/>
        <v>资本公积_其他原因调整上年年末余额</v>
      </c>
      <c r="F366" s="884">
        <f t="shared" si="127"/>
        <v>0</v>
      </c>
      <c r="G366" s="885">
        <f>SUMIF(AJE!$B:$B,$C366&amp;$D366&amp;"*",AJE!$O:$O)</f>
        <v>0</v>
      </c>
      <c r="H366" s="885">
        <f>SUMIF(AJE!$B:$B,$C366&amp;$D366&amp;"*",AJE!$P:$P)</f>
        <v>0</v>
      </c>
      <c r="I366" s="913">
        <f t="shared" si="128"/>
        <v>0</v>
      </c>
      <c r="J366" s="914">
        <f t="shared" si="129"/>
        <v>0</v>
      </c>
      <c r="K366" s="885">
        <f>SUMIF('AJE1'!$B:$B,$C366&amp;$D366&amp;"*",'AJE1'!$O:$O)</f>
        <v>0</v>
      </c>
      <c r="L366" s="885">
        <f>SUMIF('AJE1'!$B:$B,$C366&amp;$D366&amp;"*",'AJE1'!$P:$P)</f>
        <v>0</v>
      </c>
      <c r="M366" s="891">
        <f t="shared" si="130"/>
        <v>0</v>
      </c>
      <c r="N366" s="641"/>
      <c r="O366" s="641"/>
      <c r="P366" s="641"/>
      <c r="Q366" s="641"/>
      <c r="T366" s="3056">
        <v>8282</v>
      </c>
      <c r="U366" s="3063">
        <v>0</v>
      </c>
    </row>
    <row r="367" spans="1:21" ht="18">
      <c r="A367" s="1648" t="str">
        <f t="shared" si="131"/>
        <v>＝</v>
      </c>
      <c r="B367" s="1647">
        <f t="shared" si="132"/>
        <v>0</v>
      </c>
      <c r="C367" s="1647">
        <f t="shared" si="133"/>
        <v>0</v>
      </c>
      <c r="D367" s="1659">
        <v>8210</v>
      </c>
      <c r="E367" s="888" t="str">
        <f t="shared" si="62"/>
        <v>资本公积_本年年初余额</v>
      </c>
      <c r="F367" s="884">
        <f t="shared" ref="F367:M367" si="134">SUM(F362:F366)</f>
        <v>0</v>
      </c>
      <c r="G367" s="885">
        <f t="shared" si="134"/>
        <v>0</v>
      </c>
      <c r="H367" s="885">
        <f t="shared" si="134"/>
        <v>0</v>
      </c>
      <c r="I367" s="913">
        <f t="shared" si="134"/>
        <v>0</v>
      </c>
      <c r="J367" s="914">
        <f t="shared" si="134"/>
        <v>0</v>
      </c>
      <c r="K367" s="885">
        <f t="shared" si="134"/>
        <v>0</v>
      </c>
      <c r="L367" s="885">
        <f t="shared" si="134"/>
        <v>0</v>
      </c>
      <c r="M367" s="891">
        <f t="shared" si="134"/>
        <v>0</v>
      </c>
      <c r="N367" s="641"/>
      <c r="O367" s="641"/>
      <c r="P367" s="641"/>
      <c r="Q367" s="641"/>
      <c r="T367" s="3056">
        <v>8296</v>
      </c>
      <c r="U367" s="3063">
        <v>0</v>
      </c>
    </row>
    <row r="368" spans="1:21" ht="18">
      <c r="A368" s="1648" t="str">
        <f t="shared" si="131"/>
        <v>＝</v>
      </c>
      <c r="B368" s="1647">
        <f t="shared" si="132"/>
        <v>0</v>
      </c>
      <c r="C368" s="1647">
        <f t="shared" si="133"/>
        <v>0</v>
      </c>
      <c r="D368" s="1659">
        <v>8290</v>
      </c>
      <c r="E368" s="888" t="str">
        <f t="shared" si="62"/>
        <v>资本公积_本期增减变动金额</v>
      </c>
      <c r="F368" s="884">
        <f t="shared" ref="F368:M368" si="135">SUM(F371,F372,F377,F382,F389,F392)</f>
        <v>10464100</v>
      </c>
      <c r="G368" s="885">
        <f t="shared" si="135"/>
        <v>0</v>
      </c>
      <c r="H368" s="885">
        <f t="shared" si="135"/>
        <v>0</v>
      </c>
      <c r="I368" s="913">
        <f t="shared" si="135"/>
        <v>10464100</v>
      </c>
      <c r="J368" s="914">
        <f t="shared" si="135"/>
        <v>0</v>
      </c>
      <c r="K368" s="885">
        <f t="shared" si="135"/>
        <v>0</v>
      </c>
      <c r="L368" s="885">
        <f t="shared" si="135"/>
        <v>0</v>
      </c>
      <c r="M368" s="891">
        <f t="shared" si="135"/>
        <v>0</v>
      </c>
      <c r="N368" s="641"/>
      <c r="O368" s="641"/>
      <c r="P368" s="641"/>
      <c r="Q368" s="641"/>
      <c r="T368" s="3056">
        <v>8299</v>
      </c>
      <c r="U368" s="3063">
        <v>0</v>
      </c>
    </row>
    <row r="369" spans="1:21" ht="18">
      <c r="A369" s="1648" t="str">
        <f t="shared" si="131"/>
        <v>N</v>
      </c>
      <c r="B369" s="1647">
        <f t="shared" si="132"/>
        <v>-1</v>
      </c>
      <c r="C369" s="1647" t="str">
        <f t="shared" si="133"/>
        <v>J</v>
      </c>
      <c r="D369" s="1659">
        <v>8221</v>
      </c>
      <c r="E369" s="888" t="str">
        <f t="shared" si="62"/>
        <v>资本公积_净利润增加权益</v>
      </c>
      <c r="F369" s="884">
        <f>INDEX(Sheet_Presc,MATCH((RIGHT($D369,2)),Sheet_Prescrow,0),MATCH((LEFT($D369,2)),Sheet_Presccol,0))</f>
        <v>0</v>
      </c>
      <c r="G369" s="885">
        <f>SUMIF(AJE!$B:$B,$C369&amp;$D369&amp;"*",AJE!$O:$O)</f>
        <v>0</v>
      </c>
      <c r="H369" s="885">
        <f>SUMIF(AJE!$B:$B,$C369&amp;$D369&amp;"*",AJE!$P:$P)</f>
        <v>0</v>
      </c>
      <c r="I369" s="913">
        <f>(B369*F369+G369-H369)*B369</f>
        <v>0</v>
      </c>
      <c r="J369" s="914">
        <f>INDEX(Sheet_Presc,MATCH((RIGHT($D369,2)),Sheet_Prescrow,0),MATCH((VALUE(LEFT($D369,2))),Sheet_Presccol,0))</f>
        <v>0</v>
      </c>
      <c r="K369" s="885">
        <f>SUMIF('AJE1'!$B:$B,$C369&amp;$D369&amp;"*",'AJE1'!$O:$O)</f>
        <v>0</v>
      </c>
      <c r="L369" s="885">
        <f>SUMIF('AJE1'!$B:$B,$C369&amp;$D369&amp;"*",'AJE1'!$P:$P)</f>
        <v>0</v>
      </c>
      <c r="M369" s="891">
        <f>($B369*J369+K369-L369)*$B369</f>
        <v>0</v>
      </c>
      <c r="N369" s="641"/>
      <c r="O369" s="641"/>
      <c r="P369" s="641"/>
      <c r="Q369" s="641"/>
      <c r="T369" s="3056">
        <v>8300</v>
      </c>
      <c r="U369" s="3063">
        <v>0</v>
      </c>
    </row>
    <row r="370" spans="1:21" ht="18">
      <c r="A370" s="1648">
        <f t="shared" si="131"/>
        <v>0</v>
      </c>
      <c r="B370" s="1647">
        <f t="shared" si="132"/>
        <v>-1</v>
      </c>
      <c r="C370" s="1647" t="str">
        <f t="shared" si="133"/>
        <v>J</v>
      </c>
      <c r="D370" s="1659">
        <v>8230</v>
      </c>
      <c r="E370" s="888" t="str">
        <f t="shared" si="62"/>
        <v>资本公积_其他综合收益</v>
      </c>
      <c r="F370" s="884">
        <f t="shared" ref="F370:F399" si="136">INDEX(Sheet_Presc,MATCH((RIGHT($D370,2)),Sheet_Prescrow,0),MATCH((LEFT($D370,2)),Sheet_Presccol,0))</f>
        <v>0</v>
      </c>
      <c r="G370" s="885">
        <f>SUMIF(AJE!$B:$B,$C370&amp;$D370&amp;"*",AJE!$O:$O)</f>
        <v>0</v>
      </c>
      <c r="H370" s="885">
        <f>SUMIF(AJE!$B:$B,$C370&amp;$D370&amp;"*",AJE!$P:$P)</f>
        <v>0</v>
      </c>
      <c r="I370" s="913">
        <f>(B370*F370+G370-H370)*B370</f>
        <v>0</v>
      </c>
      <c r="J370" s="914">
        <f>INDEX(Sheet_Presc,MATCH((RIGHT($D370,2)),Sheet_Prescrow,0),MATCH((VALUE(LEFT($D370,2))),Sheet_Presccol,0))</f>
        <v>0</v>
      </c>
      <c r="K370" s="885">
        <f>SUMIF('AJE1'!$B:$B,$C370&amp;$D370&amp;"*",'AJE1'!$O:$O)</f>
        <v>0</v>
      </c>
      <c r="L370" s="885">
        <f>SUMIF('AJE1'!$B:$B,$C370&amp;$D370&amp;"*",'AJE1'!$P:$P)</f>
        <v>0</v>
      </c>
      <c r="M370" s="891">
        <f>($B370*J370+K370-L370)*$B370</f>
        <v>0</v>
      </c>
      <c r="N370" s="641"/>
      <c r="O370" s="641"/>
      <c r="P370" s="641"/>
      <c r="Q370" s="641"/>
      <c r="T370" s="3056">
        <v>8301</v>
      </c>
      <c r="U370" s="3063">
        <v>0</v>
      </c>
    </row>
    <row r="371" spans="1:21" ht="18">
      <c r="A371" s="1648">
        <f t="shared" si="131"/>
        <v>0</v>
      </c>
      <c r="B371" s="1647">
        <f t="shared" si="132"/>
        <v>-1</v>
      </c>
      <c r="C371" s="1647" t="str">
        <f t="shared" si="133"/>
        <v>J</v>
      </c>
      <c r="D371" s="1659">
        <v>8240</v>
      </c>
      <c r="E371" s="888" t="str">
        <f t="shared" si="62"/>
        <v>资本公积_综合收益总额增加权益</v>
      </c>
      <c r="F371" s="884">
        <f>INDEX(Sheet_Presc,MATCH((RIGHT($D371,2)),Sheet_Prescrow,0),MATCH((LEFT($D371,2)),Sheet_Presccol,0))</f>
        <v>0</v>
      </c>
      <c r="G371" s="885">
        <f>SUMIF(AJE!$B:$B,$C371&amp;$D371&amp;"*",AJE!$O:$O)+VLOOKUP(8221,Sheet_Trialbal,4,0)+VLOOKUP(8230,Sheet_Trialbal,4,0)</f>
        <v>0</v>
      </c>
      <c r="H371" s="885">
        <f>SUMIF(AJE!$B:$B,$C371&amp;$D371&amp;"*",AJE!$P:$P)+VLOOKUP(8221,Sheet_Trialbal,5,0)+VLOOKUP(8230,Sheet_Trialbal,5,0)</f>
        <v>0</v>
      </c>
      <c r="I371" s="913">
        <f>(B371*F371+G371-H371)*B371</f>
        <v>0</v>
      </c>
      <c r="J371" s="914">
        <f>INDEX(Sheet_Presc,MATCH((RIGHT($D371,2)),Sheet_Prescrow,0),MATCH((VALUE(LEFT($D371,2))),Sheet_Presccol,0))</f>
        <v>0</v>
      </c>
      <c r="K371" s="885">
        <f>SUMIF('AJE1'!$B:$B,$C371&amp;$D371&amp;"*",'AJE1'!$O:$O)+VLOOKUP(8221,Sheet_Trialbal,8,0)+VLOOKUP(8230,Sheet_Trialbal,8,0)</f>
        <v>0</v>
      </c>
      <c r="L371" s="885">
        <f>SUMIF('AJE1'!$B:$B,$C371&amp;$D371&amp;"*",'AJE1'!$P:$P)+VLOOKUP(8221,Sheet_Trialbal,9,0)+VLOOKUP(8230,Sheet_Trialbal,9,0)</f>
        <v>0</v>
      </c>
      <c r="M371" s="891">
        <f>($B371*J371+K371-L371)*$B371</f>
        <v>0</v>
      </c>
      <c r="N371" s="641"/>
      <c r="O371" s="641"/>
      <c r="P371" s="641"/>
      <c r="Q371" s="641"/>
      <c r="T371" s="3056">
        <v>8302</v>
      </c>
      <c r="U371" s="3063">
        <v>0</v>
      </c>
    </row>
    <row r="372" spans="1:21" ht="24">
      <c r="A372" s="1648" t="str">
        <f t="shared" si="131"/>
        <v>＝</v>
      </c>
      <c r="B372" s="1647">
        <f t="shared" si="132"/>
        <v>0</v>
      </c>
      <c r="C372" s="1647">
        <f t="shared" si="133"/>
        <v>0</v>
      </c>
      <c r="D372" s="1659">
        <v>8250</v>
      </c>
      <c r="E372" s="888" t="str">
        <f t="shared" si="62"/>
        <v>资本公积_所有者投入和减少资本影响权益</v>
      </c>
      <c r="F372" s="884">
        <f t="shared" ref="F372:M372" si="137">SUM(F373:F376)</f>
        <v>10464100</v>
      </c>
      <c r="G372" s="885">
        <f t="shared" si="137"/>
        <v>0</v>
      </c>
      <c r="H372" s="885">
        <f t="shared" si="137"/>
        <v>0</v>
      </c>
      <c r="I372" s="913">
        <f t="shared" si="137"/>
        <v>10464100</v>
      </c>
      <c r="J372" s="914">
        <f t="shared" si="137"/>
        <v>0</v>
      </c>
      <c r="K372" s="885">
        <f t="shared" si="137"/>
        <v>0</v>
      </c>
      <c r="L372" s="885">
        <f t="shared" si="137"/>
        <v>0</v>
      </c>
      <c r="M372" s="891">
        <f t="shared" si="137"/>
        <v>0</v>
      </c>
      <c r="N372" s="641"/>
      <c r="O372" s="641"/>
      <c r="P372" s="641"/>
      <c r="Q372" s="641"/>
      <c r="T372" s="3056">
        <v>8303</v>
      </c>
      <c r="U372" s="3063">
        <v>0</v>
      </c>
    </row>
    <row r="373" spans="1:21" ht="18">
      <c r="A373" s="1648">
        <f t="shared" si="131"/>
        <v>0</v>
      </c>
      <c r="B373" s="1647">
        <f t="shared" si="132"/>
        <v>-1</v>
      </c>
      <c r="C373" s="1647" t="str">
        <f t="shared" si="133"/>
        <v>J</v>
      </c>
      <c r="D373" s="1659">
        <v>8251</v>
      </c>
      <c r="E373" s="888" t="str">
        <f t="shared" si="62"/>
        <v>资本公积_所有者投入资本</v>
      </c>
      <c r="F373" s="884">
        <f t="shared" si="136"/>
        <v>10464100</v>
      </c>
      <c r="G373" s="885">
        <f>SUMIF(AJE!$B:$B,$C373&amp;$D373&amp;"*",AJE!$O:$O)</f>
        <v>0</v>
      </c>
      <c r="H373" s="885">
        <f>SUMIF(AJE!$B:$B,$C373&amp;$D373&amp;"*",AJE!$P:$P)</f>
        <v>0</v>
      </c>
      <c r="I373" s="913">
        <f>(B373*F373+G373-H373)*B373</f>
        <v>10464100</v>
      </c>
      <c r="J373" s="914">
        <f>INDEX(Sheet_Presc,MATCH((RIGHT($D373,2)),Sheet_Prescrow,0),MATCH((VALUE(LEFT($D373,2))),Sheet_Presccol,0))</f>
        <v>0</v>
      </c>
      <c r="K373" s="885">
        <f>SUMIF('AJE1'!$B:$B,$C373&amp;$D373&amp;"*",'AJE1'!$O:$O)</f>
        <v>0</v>
      </c>
      <c r="L373" s="885">
        <f>SUMIF('AJE1'!$B:$B,$C373&amp;$D373&amp;"*",'AJE1'!$P:$P)</f>
        <v>0</v>
      </c>
      <c r="M373" s="891">
        <f>($B373*J373+K373-L373)*$B373</f>
        <v>0</v>
      </c>
      <c r="N373" s="641"/>
      <c r="O373" s="641"/>
      <c r="P373" s="641"/>
      <c r="Q373" s="641"/>
      <c r="T373" s="3056">
        <v>8304</v>
      </c>
      <c r="U373" s="3063">
        <v>0</v>
      </c>
    </row>
    <row r="374" spans="1:21" ht="24">
      <c r="A374" s="1648" t="str">
        <f t="shared" ref="A374:A386" si="138">VLOOKUP($D374,Sheet_Items,4,0)</f>
        <v>OEI</v>
      </c>
      <c r="B374" s="1647">
        <f t="shared" ref="B374:B386" si="139">VLOOKUP($D374,Sheet_Items,3,0)</f>
        <v>-1</v>
      </c>
      <c r="C374" s="1647" t="str">
        <f t="shared" ref="C374:C386" si="140">VLOOKUP($D374,Sheet_Items,9,0)</f>
        <v>J</v>
      </c>
      <c r="D374" s="1659">
        <v>8253</v>
      </c>
      <c r="E374" s="888" t="str">
        <f t="shared" si="62"/>
        <v>资本公积_其他权益工具持有者投入资本</v>
      </c>
      <c r="F374" s="884">
        <f>INDEX(Sheet_Presc,MATCH((RIGHT($D374,2)),Sheet_Prescrow,0),MATCH((LEFT($D374,2)),Sheet_Presccol,0))</f>
        <v>0</v>
      </c>
      <c r="G374" s="885">
        <f>SUMIF(AJE!$B:$B,$C374&amp;$D374&amp;"*",AJE!$O:$O)</f>
        <v>0</v>
      </c>
      <c r="H374" s="885">
        <f>SUMIF(AJE!$B:$B,$C374&amp;$D374&amp;"*",AJE!$P:$P)</f>
        <v>0</v>
      </c>
      <c r="I374" s="913">
        <f>(B374*F374+G374-H374)*B374</f>
        <v>0</v>
      </c>
      <c r="J374" s="914">
        <f>INDEX(Sheet_Presc,MATCH((RIGHT($D374,2)),Sheet_Prescrow,0),MATCH((VALUE(LEFT($D374,2))),Sheet_Presccol,0))</f>
        <v>0</v>
      </c>
      <c r="K374" s="885">
        <f>SUMIF('AJE1'!$B:$B,$C374&amp;$D374&amp;"*",'AJE1'!$O:$O)</f>
        <v>0</v>
      </c>
      <c r="L374" s="885">
        <f>SUMIF('AJE1'!$B:$B,$C374&amp;$D374&amp;"*",'AJE1'!$P:$P)</f>
        <v>0</v>
      </c>
      <c r="M374" s="891">
        <f>($B374*J374+K374-L374)*$B374</f>
        <v>0</v>
      </c>
      <c r="N374" s="641"/>
      <c r="O374" s="641"/>
      <c r="P374" s="641"/>
      <c r="Q374" s="641"/>
      <c r="T374" s="3056">
        <v>8309</v>
      </c>
      <c r="U374" s="3063">
        <v>0</v>
      </c>
    </row>
    <row r="375" spans="1:21" ht="18">
      <c r="A375" s="1648">
        <f t="shared" si="138"/>
        <v>0</v>
      </c>
      <c r="B375" s="1647">
        <f t="shared" si="139"/>
        <v>-1</v>
      </c>
      <c r="C375" s="1647" t="str">
        <f t="shared" si="140"/>
        <v>J</v>
      </c>
      <c r="D375" s="1659">
        <v>8252</v>
      </c>
      <c r="E375" s="888" t="str">
        <f t="shared" si="62"/>
        <v>资本公积_股份支付</v>
      </c>
      <c r="F375" s="884">
        <f t="shared" si="136"/>
        <v>0</v>
      </c>
      <c r="G375" s="885">
        <f>SUMIF(AJE!$B:$B,$C375&amp;$D375&amp;"*",AJE!$O:$O)</f>
        <v>0</v>
      </c>
      <c r="H375" s="885">
        <f>SUMIF(AJE!$B:$B,$C375&amp;$D375&amp;"*",AJE!$P:$P)</f>
        <v>0</v>
      </c>
      <c r="I375" s="913">
        <f>(B375*F375+G375-H375)*B375</f>
        <v>0</v>
      </c>
      <c r="J375" s="914">
        <f>INDEX(Sheet_Presc,MATCH((RIGHT($D375,2)),Sheet_Prescrow,0),MATCH((VALUE(LEFT($D375,2))),Sheet_Presccol,0))</f>
        <v>0</v>
      </c>
      <c r="K375" s="885">
        <f>SUMIF('AJE1'!$B:$B,$C375&amp;$D375&amp;"*",'AJE1'!$O:$O)</f>
        <v>0</v>
      </c>
      <c r="L375" s="885">
        <f>SUMIF('AJE1'!$B:$B,$C375&amp;$D375&amp;"*",'AJE1'!$P:$P)</f>
        <v>0</v>
      </c>
      <c r="M375" s="891">
        <f>($B375*J375+K375-L375)*$B375</f>
        <v>0</v>
      </c>
      <c r="N375" s="641"/>
      <c r="O375" s="641"/>
      <c r="P375" s="641"/>
      <c r="Q375" s="641"/>
      <c r="T375" s="3056">
        <v>8310</v>
      </c>
      <c r="U375" s="3063">
        <v>0</v>
      </c>
    </row>
    <row r="376" spans="1:21" ht="24">
      <c r="A376" s="1648">
        <f t="shared" si="138"/>
        <v>0</v>
      </c>
      <c r="B376" s="1647">
        <f t="shared" si="139"/>
        <v>-1</v>
      </c>
      <c r="C376" s="1647" t="str">
        <f t="shared" si="140"/>
        <v>J</v>
      </c>
      <c r="D376" s="1659">
        <v>8256</v>
      </c>
      <c r="E376" s="888" t="str">
        <f t="shared" si="62"/>
        <v>资本公积_所有者其他投入和减少资本</v>
      </c>
      <c r="F376" s="884">
        <f t="shared" si="136"/>
        <v>0</v>
      </c>
      <c r="G376" s="885">
        <f>SUMIF(AJE!$B:$B,$C376&amp;$D376&amp;"*",AJE!$O:$O)</f>
        <v>0</v>
      </c>
      <c r="H376" s="885">
        <f>SUMIF(AJE!$B:$B,$C376&amp;$D376&amp;"*",AJE!$P:$P)</f>
        <v>0</v>
      </c>
      <c r="I376" s="913">
        <f>(B376*F376+G376-H376)*B376</f>
        <v>0</v>
      </c>
      <c r="J376" s="914">
        <f>INDEX(Sheet_Presc,MATCH((RIGHT($D376,2)),Sheet_Prescrow,0),MATCH((VALUE(LEFT($D376,2))),Sheet_Presccol,0))</f>
        <v>0</v>
      </c>
      <c r="K376" s="885">
        <f>SUMIF('AJE1'!$B:$B,$C376&amp;$D376&amp;"*",'AJE1'!$O:$O)</f>
        <v>0</v>
      </c>
      <c r="L376" s="885">
        <f>SUMIF('AJE1'!$B:$B,$C376&amp;$D376&amp;"*",'AJE1'!$P:$P)</f>
        <v>0</v>
      </c>
      <c r="M376" s="891">
        <f>($B376*J376+K376-L376)*$B376</f>
        <v>0</v>
      </c>
      <c r="N376" s="641"/>
      <c r="O376" s="641"/>
      <c r="P376" s="641"/>
      <c r="Q376" s="641"/>
      <c r="T376" s="3056">
        <v>8390</v>
      </c>
      <c r="U376" s="3063">
        <v>0</v>
      </c>
    </row>
    <row r="377" spans="1:21" ht="18">
      <c r="A377" s="1648" t="str">
        <f t="shared" si="138"/>
        <v>＝</v>
      </c>
      <c r="B377" s="1647">
        <f t="shared" si="139"/>
        <v>0</v>
      </c>
      <c r="C377" s="1647">
        <f t="shared" si="140"/>
        <v>0</v>
      </c>
      <c r="D377" s="1659">
        <v>8260</v>
      </c>
      <c r="E377" s="888" t="str">
        <f t="shared" si="62"/>
        <v>资本公积_利润分配影响权益</v>
      </c>
      <c r="F377" s="884">
        <f>SUM(F378:F381)</f>
        <v>0</v>
      </c>
      <c r="G377" s="885">
        <f t="shared" ref="G377:M377" si="141">SUM(G378:G381)</f>
        <v>0</v>
      </c>
      <c r="H377" s="885">
        <f t="shared" si="141"/>
        <v>0</v>
      </c>
      <c r="I377" s="913">
        <f t="shared" si="141"/>
        <v>0</v>
      </c>
      <c r="J377" s="914">
        <f t="shared" si="141"/>
        <v>0</v>
      </c>
      <c r="K377" s="885">
        <f t="shared" si="141"/>
        <v>0</v>
      </c>
      <c r="L377" s="885">
        <f t="shared" si="141"/>
        <v>0</v>
      </c>
      <c r="M377" s="891">
        <f t="shared" si="141"/>
        <v>0</v>
      </c>
      <c r="N377" s="641"/>
      <c r="O377" s="641"/>
      <c r="P377" s="641"/>
      <c r="Q377" s="641"/>
      <c r="T377" s="3056">
        <v>8321</v>
      </c>
      <c r="U377" s="3063">
        <v>0</v>
      </c>
    </row>
    <row r="378" spans="1:21" ht="18">
      <c r="A378" s="1648" t="str">
        <f t="shared" si="138"/>
        <v>N</v>
      </c>
      <c r="B378" s="1647">
        <f t="shared" si="139"/>
        <v>-1</v>
      </c>
      <c r="C378" s="1647" t="str">
        <f t="shared" si="140"/>
        <v>J</v>
      </c>
      <c r="D378" s="1659">
        <v>8261</v>
      </c>
      <c r="E378" s="888" t="str">
        <f t="shared" si="62"/>
        <v>资本公积_提取盈余公积影响权益</v>
      </c>
      <c r="F378" s="884">
        <f>INDEX(Sheet_Presc,MATCH((RIGHT($D378,2)),Sheet_Prescrow,0),MATCH((LEFT($D378,2)),Sheet_Presccol,0))</f>
        <v>0</v>
      </c>
      <c r="G378" s="885">
        <f>SUMIF(AJE!$B:$B,$C378&amp;$D378&amp;"*",AJE!$O:$O)</f>
        <v>0</v>
      </c>
      <c r="H378" s="885">
        <f>SUMIF(AJE!$B:$B,$C378&amp;$D378&amp;"*",AJE!$P:$P)</f>
        <v>0</v>
      </c>
      <c r="I378" s="913">
        <f>(B378*F378+G378-H378)*B378</f>
        <v>0</v>
      </c>
      <c r="J378" s="914">
        <f>INDEX(Sheet_Presc,MATCH((RIGHT($D378,2)),Sheet_Prescrow,0),MATCH((VALUE(LEFT($D378,2))),Sheet_Presccol,0))</f>
        <v>0</v>
      </c>
      <c r="K378" s="885">
        <f>SUMIF('AJE1'!$B:$B,$C378&amp;$D378&amp;"*",'AJE1'!$O:$O)</f>
        <v>0</v>
      </c>
      <c r="L378" s="885">
        <f>SUMIF('AJE1'!$B:$B,$C378&amp;$D378&amp;"*",'AJE1'!$P:$P)</f>
        <v>0</v>
      </c>
      <c r="M378" s="891">
        <f>($B378*J378+K378-L378)*$B378</f>
        <v>0</v>
      </c>
      <c r="N378" s="641"/>
      <c r="O378" s="641"/>
      <c r="P378" s="641"/>
      <c r="Q378" s="641"/>
      <c r="T378" s="3056">
        <v>8330</v>
      </c>
      <c r="U378" s="3063">
        <v>0</v>
      </c>
    </row>
    <row r="379" spans="1:21" ht="24">
      <c r="A379" s="1648" t="str">
        <f t="shared" si="138"/>
        <v>N</v>
      </c>
      <c r="B379" s="1647">
        <f t="shared" si="139"/>
        <v>-1</v>
      </c>
      <c r="C379" s="1647" t="str">
        <f t="shared" si="140"/>
        <v>J</v>
      </c>
      <c r="D379" s="1659">
        <v>8262</v>
      </c>
      <c r="E379" s="888" t="str">
        <f t="shared" si="62"/>
        <v>资本公积_提取一般风险准备影响权益</v>
      </c>
      <c r="F379" s="884">
        <f>INDEX(Sheet_Presc,MATCH((RIGHT($D379,2)),Sheet_Prescrow,0),MATCH((LEFT($D379,2)),Sheet_Presccol,0))</f>
        <v>0</v>
      </c>
      <c r="G379" s="885">
        <f>SUMIF(AJE!$B:$B,$C379&amp;$D379&amp;"*",AJE!$O:$O)</f>
        <v>0</v>
      </c>
      <c r="H379" s="885">
        <f>SUMIF(AJE!$B:$B,$C379&amp;$D379&amp;"*",AJE!$P:$P)</f>
        <v>0</v>
      </c>
      <c r="I379" s="913">
        <f>(B379*F379+G379-H379)*B379</f>
        <v>0</v>
      </c>
      <c r="J379" s="914">
        <f>INDEX(Sheet_Presc,MATCH((RIGHT($D379,2)),Sheet_Prescrow,0),MATCH((VALUE(LEFT($D379,2))),Sheet_Presccol,0))</f>
        <v>0</v>
      </c>
      <c r="K379" s="885">
        <f>SUMIF('AJE1'!$B:$B,$C379&amp;$D379&amp;"*",'AJE1'!$O:$O)</f>
        <v>0</v>
      </c>
      <c r="L379" s="885">
        <f>SUMIF('AJE1'!$B:$B,$C379&amp;$D379&amp;"*",'AJE1'!$P:$P)</f>
        <v>0</v>
      </c>
      <c r="M379" s="891">
        <f>($B379*J379+K379-L379)*$B379</f>
        <v>0</v>
      </c>
      <c r="N379" s="641"/>
      <c r="O379" s="641"/>
      <c r="P379" s="641"/>
      <c r="Q379" s="641"/>
      <c r="T379" s="3056">
        <v>8340</v>
      </c>
      <c r="U379" s="3063">
        <v>0</v>
      </c>
    </row>
    <row r="380" spans="1:21" ht="18">
      <c r="A380" s="1648" t="str">
        <f t="shared" si="138"/>
        <v>N</v>
      </c>
      <c r="B380" s="1647">
        <f t="shared" si="139"/>
        <v>-1</v>
      </c>
      <c r="C380" s="1647" t="str">
        <f t="shared" si="140"/>
        <v>J</v>
      </c>
      <c r="D380" s="1659">
        <v>8263</v>
      </c>
      <c r="E380" s="888" t="str">
        <f t="shared" si="62"/>
        <v>资本公积_对所有者的分配影响权益</v>
      </c>
      <c r="F380" s="884">
        <f>INDEX(Sheet_Presc,MATCH((RIGHT($D380,2)),Sheet_Prescrow,0),MATCH((LEFT($D380,2)),Sheet_Presccol,0))</f>
        <v>0</v>
      </c>
      <c r="G380" s="885">
        <f>SUMIF(AJE!$B:$B,$C380&amp;$D380&amp;"*",AJE!$O:$O)</f>
        <v>0</v>
      </c>
      <c r="H380" s="885">
        <f>SUMIF(AJE!$B:$B,$C380&amp;$D380&amp;"*",AJE!$P:$P)</f>
        <v>0</v>
      </c>
      <c r="I380" s="913">
        <f>(B380*F380+G380-H380)*B380</f>
        <v>0</v>
      </c>
      <c r="J380" s="914">
        <f>INDEX(Sheet_Presc,MATCH((RIGHT($D380,2)),Sheet_Prescrow,0),MATCH((VALUE(LEFT($D380,2))),Sheet_Presccol,0))</f>
        <v>0</v>
      </c>
      <c r="K380" s="885">
        <f>SUMIF('AJE1'!$B:$B,$C380&amp;$D380&amp;"*",'AJE1'!$O:$O)</f>
        <v>0</v>
      </c>
      <c r="L380" s="885">
        <f>SUMIF('AJE1'!$B:$B,$C380&amp;$D380&amp;"*",'AJE1'!$P:$P)</f>
        <v>0</v>
      </c>
      <c r="M380" s="891">
        <f>($B380*J380+K380-L380)*$B380</f>
        <v>0</v>
      </c>
      <c r="N380" s="641"/>
      <c r="O380" s="641"/>
      <c r="P380" s="641"/>
      <c r="Q380" s="641"/>
      <c r="T380" s="3056">
        <v>8350</v>
      </c>
      <c r="U380" s="3063">
        <v>0</v>
      </c>
    </row>
    <row r="381" spans="1:21" ht="18">
      <c r="A381" s="1648">
        <f t="shared" si="138"/>
        <v>0</v>
      </c>
      <c r="B381" s="1647">
        <f t="shared" si="139"/>
        <v>-1</v>
      </c>
      <c r="C381" s="1647" t="str">
        <f t="shared" si="140"/>
        <v>J</v>
      </c>
      <c r="D381" s="1659">
        <v>8266</v>
      </c>
      <c r="E381" s="888" t="str">
        <f t="shared" si="62"/>
        <v>资本公积_其他利润分配</v>
      </c>
      <c r="F381" s="884">
        <f>INDEX(Sheet_Presc,MATCH((RIGHT($D381,2)),Sheet_Prescrow,0),MATCH((LEFT($D381,2)),Sheet_Presccol,0))</f>
        <v>0</v>
      </c>
      <c r="G381" s="885">
        <f>SUMIF(AJE!$B:$B,$C381&amp;$D381&amp;"*",AJE!$O:$O)</f>
        <v>0</v>
      </c>
      <c r="H381" s="885">
        <f>SUMIF(AJE!$B:$B,$C381&amp;$D381&amp;"*",AJE!$P:$P)</f>
        <v>0</v>
      </c>
      <c r="I381" s="913">
        <f>(B381*F381+G381-H381)*B381</f>
        <v>0</v>
      </c>
      <c r="J381" s="914">
        <f>INDEX(Sheet_Presc,MATCH((RIGHT($D381,2)),Sheet_Prescrow,0),MATCH((VALUE(LEFT($D381,2))),Sheet_Presccol,0))</f>
        <v>0</v>
      </c>
      <c r="K381" s="885">
        <f>SUMIF('AJE1'!$B:$B,$C381&amp;$D381&amp;"*",'AJE1'!$O:$O)</f>
        <v>0</v>
      </c>
      <c r="L381" s="885">
        <f>SUMIF('AJE1'!$B:$B,$C381&amp;$D381&amp;"*",'AJE1'!$P:$P)</f>
        <v>0</v>
      </c>
      <c r="M381" s="891">
        <f>($B381*J381+K381-L381)*$B381</f>
        <v>0</v>
      </c>
      <c r="N381" s="641"/>
      <c r="O381" s="641"/>
      <c r="P381" s="641"/>
      <c r="Q381" s="641"/>
      <c r="T381" s="3056">
        <v>8351</v>
      </c>
      <c r="U381" s="3063">
        <v>0</v>
      </c>
    </row>
    <row r="382" spans="1:21" ht="18">
      <c r="A382" s="1648" t="str">
        <f t="shared" si="138"/>
        <v>＝</v>
      </c>
      <c r="B382" s="1647">
        <f t="shared" si="139"/>
        <v>0</v>
      </c>
      <c r="C382" s="1647">
        <f t="shared" si="140"/>
        <v>0</v>
      </c>
      <c r="D382" s="1659">
        <v>8270</v>
      </c>
      <c r="E382" s="888" t="str">
        <f t="shared" si="62"/>
        <v>资本公积_所有者权益内部结转</v>
      </c>
      <c r="F382" s="884">
        <f t="shared" ref="F382:M382" si="142">SUM(F383:F388)</f>
        <v>0</v>
      </c>
      <c r="G382" s="885">
        <f t="shared" si="142"/>
        <v>0</v>
      </c>
      <c r="H382" s="885">
        <f t="shared" si="142"/>
        <v>0</v>
      </c>
      <c r="I382" s="913">
        <f t="shared" si="142"/>
        <v>0</v>
      </c>
      <c r="J382" s="914">
        <f t="shared" si="142"/>
        <v>0</v>
      </c>
      <c r="K382" s="885">
        <f t="shared" si="142"/>
        <v>0</v>
      </c>
      <c r="L382" s="885">
        <f t="shared" si="142"/>
        <v>0</v>
      </c>
      <c r="M382" s="891">
        <f t="shared" si="142"/>
        <v>0</v>
      </c>
      <c r="N382" s="641"/>
      <c r="O382" s="641"/>
      <c r="P382" s="641"/>
      <c r="Q382" s="641"/>
      <c r="T382" s="3056">
        <v>8353</v>
      </c>
      <c r="U382" s="3063">
        <v>0</v>
      </c>
    </row>
    <row r="383" spans="1:21" ht="18">
      <c r="A383" s="1648">
        <f t="shared" si="138"/>
        <v>0</v>
      </c>
      <c r="B383" s="1647">
        <f t="shared" si="139"/>
        <v>-1</v>
      </c>
      <c r="C383" s="1647" t="str">
        <f t="shared" si="140"/>
        <v>J</v>
      </c>
      <c r="D383" s="1659">
        <v>8271</v>
      </c>
      <c r="E383" s="888" t="str">
        <f t="shared" si="62"/>
        <v>资本公积_转增资本</v>
      </c>
      <c r="F383" s="884">
        <f t="shared" si="136"/>
        <v>0</v>
      </c>
      <c r="G383" s="885">
        <f>SUMIF(AJE!$B:$B,$C383&amp;$D383&amp;"*",AJE!$O:$O)</f>
        <v>0</v>
      </c>
      <c r="H383" s="885">
        <f>SUMIF(AJE!$B:$B,$C383&amp;$D383&amp;"*",AJE!$P:$P)</f>
        <v>0</v>
      </c>
      <c r="I383" s="913">
        <f t="shared" ref="I383:I388" si="143">(B383*F383+G383-H383)*B383</f>
        <v>0</v>
      </c>
      <c r="J383" s="914">
        <f t="shared" ref="J383:J388" si="144">INDEX(Sheet_Presc,MATCH((RIGHT($D383,2)),Sheet_Prescrow,0),MATCH((VALUE(LEFT($D383,2))),Sheet_Presccol,0))</f>
        <v>0</v>
      </c>
      <c r="K383" s="885">
        <f>SUMIF('AJE1'!$B:$B,$C383&amp;$D383&amp;"*",'AJE1'!$O:$O)</f>
        <v>0</v>
      </c>
      <c r="L383" s="885">
        <f>SUMIF('AJE1'!$B:$B,$C383&amp;$D383&amp;"*",'AJE1'!$P:$P)</f>
        <v>0</v>
      </c>
      <c r="M383" s="891">
        <f t="shared" ref="M383:M388" si="145">($B383*J383+K383-L383)*$B383</f>
        <v>0</v>
      </c>
      <c r="N383" s="641"/>
      <c r="O383" s="641"/>
      <c r="P383" s="641"/>
      <c r="Q383" s="641"/>
      <c r="T383" s="3056">
        <v>8352</v>
      </c>
      <c r="U383" s="3063">
        <v>0</v>
      </c>
    </row>
    <row r="384" spans="1:21" ht="24">
      <c r="A384" s="1648" t="str">
        <f t="shared" si="138"/>
        <v>N</v>
      </c>
      <c r="B384" s="1647">
        <f t="shared" si="139"/>
        <v>-1</v>
      </c>
      <c r="C384" s="1647" t="str">
        <f t="shared" si="140"/>
        <v>J</v>
      </c>
      <c r="D384" s="1659">
        <v>8272</v>
      </c>
      <c r="E384" s="888" t="str">
        <f t="shared" si="62"/>
        <v>资本公积_盈余公积转增资本影响权益</v>
      </c>
      <c r="F384" s="884">
        <f t="shared" si="136"/>
        <v>0</v>
      </c>
      <c r="G384" s="885">
        <f>SUMIF(AJE!$B:$B,$C384&amp;$D384&amp;"*",AJE!$O:$O)</f>
        <v>0</v>
      </c>
      <c r="H384" s="885">
        <f>SUMIF(AJE!$B:$B,$C384&amp;$D384&amp;"*",AJE!$P:$P)</f>
        <v>0</v>
      </c>
      <c r="I384" s="913">
        <f t="shared" si="143"/>
        <v>0</v>
      </c>
      <c r="J384" s="914">
        <f t="shared" si="144"/>
        <v>0</v>
      </c>
      <c r="K384" s="885">
        <f>SUMIF('AJE1'!$B:$B,$C384&amp;$D384&amp;"*",'AJE1'!$O:$O)</f>
        <v>0</v>
      </c>
      <c r="L384" s="885">
        <f>SUMIF('AJE1'!$B:$B,$C384&amp;$D384&amp;"*",'AJE1'!$P:$P)</f>
        <v>0</v>
      </c>
      <c r="M384" s="891">
        <f t="shared" si="145"/>
        <v>0</v>
      </c>
      <c r="N384" s="641"/>
      <c r="O384" s="641"/>
      <c r="P384" s="641"/>
      <c r="Q384" s="641"/>
      <c r="T384" s="3056">
        <v>8356</v>
      </c>
      <c r="U384" s="3063">
        <v>0</v>
      </c>
    </row>
    <row r="385" spans="1:21" ht="24">
      <c r="A385" s="1648" t="str">
        <f t="shared" si="138"/>
        <v>N</v>
      </c>
      <c r="B385" s="1647">
        <f t="shared" si="139"/>
        <v>-1</v>
      </c>
      <c r="C385" s="1647" t="str">
        <f t="shared" si="140"/>
        <v>J</v>
      </c>
      <c r="D385" s="1659">
        <v>8273</v>
      </c>
      <c r="E385" s="888" t="str">
        <f t="shared" si="62"/>
        <v>资本公积_盈余公积弥补亏损影响权益</v>
      </c>
      <c r="F385" s="884">
        <f t="shared" si="136"/>
        <v>0</v>
      </c>
      <c r="G385" s="885">
        <f>SUMIF(AJE!$B:$B,$C385&amp;$D385&amp;"*",AJE!$O:$O)</f>
        <v>0</v>
      </c>
      <c r="H385" s="885">
        <f>SUMIF(AJE!$B:$B,$C385&amp;$D385&amp;"*",AJE!$P:$P)</f>
        <v>0</v>
      </c>
      <c r="I385" s="913">
        <f t="shared" si="143"/>
        <v>0</v>
      </c>
      <c r="J385" s="914">
        <f t="shared" si="144"/>
        <v>0</v>
      </c>
      <c r="K385" s="885">
        <f>SUMIF('AJE1'!$B:$B,$C385&amp;$D385&amp;"*",'AJE1'!$O:$O)</f>
        <v>0</v>
      </c>
      <c r="L385" s="885">
        <f>SUMIF('AJE1'!$B:$B,$C385&amp;$D385&amp;"*",'AJE1'!$P:$P)</f>
        <v>0</v>
      </c>
      <c r="M385" s="891">
        <f t="shared" si="145"/>
        <v>0</v>
      </c>
      <c r="N385" s="641"/>
      <c r="O385" s="641"/>
      <c r="P385" s="641"/>
      <c r="Q385" s="641"/>
      <c r="T385" s="3056">
        <v>8360</v>
      </c>
      <c r="U385" s="3063">
        <v>0</v>
      </c>
    </row>
    <row r="386" spans="1:21" ht="24">
      <c r="A386" s="1648" t="str">
        <f t="shared" si="138"/>
        <v>OEI</v>
      </c>
      <c r="B386" s="1647">
        <f t="shared" si="139"/>
        <v>-1</v>
      </c>
      <c r="C386" s="1647" t="str">
        <f t="shared" si="140"/>
        <v>J</v>
      </c>
      <c r="D386" s="1659">
        <v>8275</v>
      </c>
      <c r="E386" s="888" t="str">
        <f t="shared" si="62"/>
        <v>资本公积_设定受益计划变动额结转留存收益</v>
      </c>
      <c r="F386" s="884">
        <f>INDEX(Sheet_Presc,MATCH((RIGHT($D386,2)),Sheet_Prescrow,0),MATCH((LEFT($D386,2)),Sheet_Presccol,0))</f>
        <v>0</v>
      </c>
      <c r="G386" s="885">
        <f>SUMIF(AJE!$B:$B,$C386&amp;$D386&amp;"*",AJE!$O:$O)</f>
        <v>0</v>
      </c>
      <c r="H386" s="885">
        <f>SUMIF(AJE!$B:$B,$C386&amp;$D386&amp;"*",AJE!$P:$P)</f>
        <v>0</v>
      </c>
      <c r="I386" s="913">
        <f t="shared" si="143"/>
        <v>0</v>
      </c>
      <c r="J386" s="914">
        <f t="shared" si="144"/>
        <v>0</v>
      </c>
      <c r="K386" s="885">
        <f>SUMIF('AJE1'!$B:$B,$C386&amp;$D386&amp;"*",'AJE1'!$O:$O)</f>
        <v>0</v>
      </c>
      <c r="L386" s="885">
        <f>SUMIF('AJE1'!$B:$B,$C386&amp;$D386&amp;"*",'AJE1'!$P:$P)</f>
        <v>0</v>
      </c>
      <c r="M386" s="891">
        <f t="shared" si="145"/>
        <v>0</v>
      </c>
      <c r="N386" s="641"/>
      <c r="O386" s="641"/>
      <c r="P386" s="641"/>
      <c r="Q386" s="641"/>
      <c r="T386" s="3056">
        <v>8361</v>
      </c>
      <c r="U386" s="3063">
        <v>0</v>
      </c>
    </row>
    <row r="387" spans="1:21" ht="24">
      <c r="A387" s="1648" t="str">
        <f t="shared" ref="A387:A392" si="146">VLOOKUP($D387,Sheet_Items,4,0)</f>
        <v>_JR</v>
      </c>
      <c r="B387" s="1647">
        <f t="shared" ref="B387:B392" si="147">VLOOKUP($D387,Sheet_Items,3,0)</f>
        <v>-1</v>
      </c>
      <c r="C387" s="1647" t="str">
        <f>VLOOKUP($D387,Sheet_Items,9,0)</f>
        <v>J</v>
      </c>
      <c r="D387" s="1659">
        <v>8277</v>
      </c>
      <c r="E387" s="889" t="str">
        <f>VLOOKUP($D387,Sheet_Items,2,0)</f>
        <v>资本公积_其他综合收益结转留存收益</v>
      </c>
      <c r="F387" s="884">
        <f>INDEX(Sheet_Presc,MATCH((RIGHT($D387,2)),Sheet_Prescrow,0),MATCH((LEFT($D387,2)),Sheet_Presccol,0))</f>
        <v>0</v>
      </c>
      <c r="G387" s="885">
        <f>SUMIF(AJE!$B:$B,$C387&amp;$D387&amp;"*",AJE!$O:$O)</f>
        <v>0</v>
      </c>
      <c r="H387" s="885">
        <f>SUMIF(AJE!$B:$B,$C387&amp;$D387&amp;"*",AJE!$P:$P)</f>
        <v>0</v>
      </c>
      <c r="I387" s="913">
        <f t="shared" si="143"/>
        <v>0</v>
      </c>
      <c r="J387" s="914">
        <f t="shared" si="144"/>
        <v>0</v>
      </c>
      <c r="K387" s="885">
        <f>SUMIF('AJE1'!$B:$B,$C387&amp;$D387&amp;"*",'AJE1'!$O:$O)</f>
        <v>0</v>
      </c>
      <c r="L387" s="885">
        <f>SUMIF('AJE1'!$B:$B,$C387&amp;$D387&amp;"*",'AJE1'!$P:$P)</f>
        <v>0</v>
      </c>
      <c r="M387" s="891">
        <f t="shared" si="145"/>
        <v>0</v>
      </c>
      <c r="N387" s="641"/>
      <c r="O387" s="641"/>
      <c r="P387" s="641"/>
      <c r="Q387" s="641"/>
      <c r="T387" s="3056">
        <v>8362</v>
      </c>
      <c r="U387" s="3063">
        <v>0</v>
      </c>
    </row>
    <row r="388" spans="1:21" ht="18">
      <c r="A388" s="1648" t="str">
        <f t="shared" si="146"/>
        <v>LOW</v>
      </c>
      <c r="B388" s="1647">
        <f t="shared" si="147"/>
        <v>-1</v>
      </c>
      <c r="C388" s="1647" t="str">
        <f>VLOOKUP($D388,Sheet_Items,9,0)</f>
        <v>J</v>
      </c>
      <c r="D388" s="1659">
        <v>8276</v>
      </c>
      <c r="E388" s="888" t="str">
        <f t="shared" si="62"/>
        <v>资本公积_所有者权益其他内部结转</v>
      </c>
      <c r="F388" s="884">
        <f t="shared" si="136"/>
        <v>0</v>
      </c>
      <c r="G388" s="885">
        <f>SUMIF(AJE!$B:$B,$C388&amp;$D388&amp;"*",AJE!$O:$O)</f>
        <v>0</v>
      </c>
      <c r="H388" s="885">
        <f>SUMIF(AJE!$B:$B,$C388&amp;$D388&amp;"*",AJE!$P:$P)</f>
        <v>0</v>
      </c>
      <c r="I388" s="913">
        <f t="shared" si="143"/>
        <v>0</v>
      </c>
      <c r="J388" s="914">
        <f t="shared" si="144"/>
        <v>0</v>
      </c>
      <c r="K388" s="885">
        <f>SUMIF('AJE1'!$B:$B,$C388&amp;$D388&amp;"*",'AJE1'!$O:$O)</f>
        <v>0</v>
      </c>
      <c r="L388" s="885">
        <f>SUMIF('AJE1'!$B:$B,$C388&amp;$D388&amp;"*",'AJE1'!$P:$P)</f>
        <v>0</v>
      </c>
      <c r="M388" s="891">
        <f t="shared" si="145"/>
        <v>0</v>
      </c>
      <c r="N388" s="641"/>
      <c r="O388" s="641"/>
      <c r="P388" s="641"/>
      <c r="Q388" s="641"/>
      <c r="T388" s="3056">
        <v>8363</v>
      </c>
      <c r="U388" s="3063">
        <v>0</v>
      </c>
    </row>
    <row r="389" spans="1:21" ht="18">
      <c r="A389" s="1648" t="str">
        <f t="shared" si="146"/>
        <v>＝</v>
      </c>
      <c r="B389" s="1647">
        <f t="shared" si="147"/>
        <v>0</v>
      </c>
      <c r="C389" s="1647">
        <f>VLOOKUP($D389,Sheet_Items,9,0)</f>
        <v>0</v>
      </c>
      <c r="D389" s="1659">
        <v>8280</v>
      </c>
      <c r="E389" s="888" t="str">
        <f t="shared" si="62"/>
        <v>资本公积_专项储备影响权益</v>
      </c>
      <c r="F389" s="884">
        <f t="shared" ref="F389:M389" si="148">SUM(F390:F391)</f>
        <v>0</v>
      </c>
      <c r="G389" s="885">
        <f t="shared" si="148"/>
        <v>0</v>
      </c>
      <c r="H389" s="885">
        <f t="shared" si="148"/>
        <v>0</v>
      </c>
      <c r="I389" s="913">
        <f t="shared" si="148"/>
        <v>0</v>
      </c>
      <c r="J389" s="914">
        <f t="shared" si="148"/>
        <v>0</v>
      </c>
      <c r="K389" s="885">
        <f t="shared" si="148"/>
        <v>0</v>
      </c>
      <c r="L389" s="885">
        <f t="shared" si="148"/>
        <v>0</v>
      </c>
      <c r="M389" s="891">
        <f t="shared" si="148"/>
        <v>0</v>
      </c>
      <c r="N389" s="641"/>
      <c r="O389" s="641"/>
      <c r="P389" s="641"/>
      <c r="Q389" s="641"/>
      <c r="T389" s="3056">
        <v>8366</v>
      </c>
      <c r="U389" s="3063">
        <v>0</v>
      </c>
    </row>
    <row r="390" spans="1:21" ht="18">
      <c r="A390" s="1648" t="str">
        <f t="shared" si="146"/>
        <v>N</v>
      </c>
      <c r="B390" s="1647">
        <f t="shared" si="147"/>
        <v>-1</v>
      </c>
      <c r="C390" s="1647" t="str">
        <f>VLOOKUP($D390,Sheet_Items,9,0)</f>
        <v>J</v>
      </c>
      <c r="D390" s="1659">
        <v>8281</v>
      </c>
      <c r="E390" s="888" t="str">
        <f t="shared" si="62"/>
        <v>资本公积_专项储备本期提取</v>
      </c>
      <c r="F390" s="884">
        <f t="shared" si="136"/>
        <v>0</v>
      </c>
      <c r="G390" s="885">
        <f>SUMIF(AJE!$B:$B,$C390&amp;$D390&amp;"*",AJE!$O:$O)</f>
        <v>0</v>
      </c>
      <c r="H390" s="885">
        <f>SUMIF(AJE!$B:$B,$C390&amp;$D390&amp;"*",AJE!$P:$P)</f>
        <v>0</v>
      </c>
      <c r="I390" s="913">
        <f>(B390*F390+G390-H390)*B390</f>
        <v>0</v>
      </c>
      <c r="J390" s="914">
        <f>INDEX(Sheet_Presc,MATCH((RIGHT($D390,2)),Sheet_Prescrow,0),MATCH((VALUE(LEFT($D390,2))),Sheet_Presccol,0))</f>
        <v>0</v>
      </c>
      <c r="K390" s="885">
        <f>SUMIF('AJE1'!$B:$B,$C390&amp;$D390&amp;"*",'AJE1'!$O:$O)</f>
        <v>0</v>
      </c>
      <c r="L390" s="885">
        <f>SUMIF('AJE1'!$B:$B,$C390&amp;$D390&amp;"*",'AJE1'!$P:$P)</f>
        <v>0</v>
      </c>
      <c r="M390" s="891">
        <f>($B390*J390+K390-L390)*$B390</f>
        <v>0</v>
      </c>
      <c r="N390" s="641"/>
      <c r="O390" s="641"/>
      <c r="P390" s="641"/>
      <c r="Q390" s="641"/>
      <c r="T390" s="3056">
        <v>8370</v>
      </c>
      <c r="U390" s="3063">
        <v>0</v>
      </c>
    </row>
    <row r="391" spans="1:21" ht="18">
      <c r="A391" s="1648" t="str">
        <f t="shared" si="146"/>
        <v>N</v>
      </c>
      <c r="B391" s="1647">
        <f t="shared" si="147"/>
        <v>-1</v>
      </c>
      <c r="C391" s="1647" t="str">
        <f>VLOOKUP($D391,Sheet_Items,9,0)</f>
        <v>J</v>
      </c>
      <c r="D391" s="1659">
        <v>8282</v>
      </c>
      <c r="E391" s="888" t="str">
        <f t="shared" si="62"/>
        <v>资本公积_专项储备本期使用</v>
      </c>
      <c r="F391" s="884">
        <f t="shared" si="136"/>
        <v>0</v>
      </c>
      <c r="G391" s="885">
        <f>SUMIF(AJE!$B:$B,$C391&amp;$D391&amp;"*",AJE!$O:$O)</f>
        <v>0</v>
      </c>
      <c r="H391" s="885">
        <f>SUMIF(AJE!$B:$B,$C391&amp;$D391&amp;"*",AJE!$P:$P)</f>
        <v>0</v>
      </c>
      <c r="I391" s="913">
        <f>(B391*F391+G391-H391)*B391</f>
        <v>0</v>
      </c>
      <c r="J391" s="914">
        <f>INDEX(Sheet_Presc,MATCH((RIGHT($D391,2)),Sheet_Prescrow,0),MATCH((VALUE(LEFT($D391,2))),Sheet_Presccol,0))</f>
        <v>0</v>
      </c>
      <c r="K391" s="885">
        <f>SUMIF('AJE1'!$B:$B,$C391&amp;$D391&amp;"*",'AJE1'!$O:$O)</f>
        <v>0</v>
      </c>
      <c r="L391" s="885">
        <f>SUMIF('AJE1'!$B:$B,$C391&amp;$D391&amp;"*",'AJE1'!$P:$P)</f>
        <v>0</v>
      </c>
      <c r="M391" s="891">
        <f>($B391*J391+K391-L391)*$B391</f>
        <v>0</v>
      </c>
      <c r="N391" s="641"/>
      <c r="O391" s="641"/>
      <c r="P391" s="641"/>
      <c r="Q391" s="641"/>
      <c r="T391" s="3056">
        <v>8371</v>
      </c>
      <c r="U391" s="3063">
        <v>0</v>
      </c>
    </row>
    <row r="392" spans="1:21" ht="18">
      <c r="A392" s="1648">
        <f t="shared" si="146"/>
        <v>0</v>
      </c>
      <c r="B392" s="1647">
        <f t="shared" si="147"/>
        <v>-1</v>
      </c>
      <c r="C392" s="1647" t="str">
        <f t="shared" ref="C392:C543" si="149">VLOOKUP($D392,Sheet_Items,9,0)</f>
        <v>J</v>
      </c>
      <c r="D392" s="1659">
        <v>8296</v>
      </c>
      <c r="E392" s="888" t="str">
        <f t="shared" si="62"/>
        <v>资本公积_本期其他增减变动</v>
      </c>
      <c r="F392" s="884">
        <f t="shared" si="136"/>
        <v>0</v>
      </c>
      <c r="G392" s="885">
        <f>SUMIF(AJE!$B:$B,$C392&amp;$D392&amp;"*",AJE!$O:$O)</f>
        <v>0</v>
      </c>
      <c r="H392" s="885">
        <f>SUMIF(AJE!$B:$B,$C392&amp;$D392&amp;"*",AJE!$P:$P)</f>
        <v>0</v>
      </c>
      <c r="I392" s="913">
        <f>(B392*F392+G392-H392)*B392</f>
        <v>0</v>
      </c>
      <c r="J392" s="914">
        <f>INDEX(Sheet_Presc,MATCH((RIGHT($D392,2)),Sheet_Prescrow,0),MATCH((VALUE(LEFT($D392,2))),Sheet_Presccol,0))</f>
        <v>0</v>
      </c>
      <c r="K392" s="885">
        <f>SUMIF('AJE1'!$B:$B,$C392&amp;$D392&amp;"*",'AJE1'!$O:$O)</f>
        <v>0</v>
      </c>
      <c r="L392" s="885">
        <f>SUMIF('AJE1'!$B:$B,$C392&amp;$D392&amp;"*",'AJE1'!$P:$P)</f>
        <v>0</v>
      </c>
      <c r="M392" s="891">
        <f>($B392*J392+K392-L392)*$B392</f>
        <v>0</v>
      </c>
      <c r="N392" s="641"/>
      <c r="O392" s="641"/>
      <c r="P392" s="641"/>
      <c r="Q392" s="641"/>
      <c r="T392" s="3056">
        <v>8372</v>
      </c>
      <c r="U392" s="3063">
        <v>0</v>
      </c>
    </row>
    <row r="393" spans="1:21" ht="18">
      <c r="A393" s="1648" t="str">
        <f t="shared" ref="A393:A544" si="150">VLOOKUP($D393,Sheet_Items,4,0)</f>
        <v>＝</v>
      </c>
      <c r="B393" s="1647">
        <f t="shared" ref="B393:B544" si="151">VLOOKUP($D393,Sheet_Items,3,0)</f>
        <v>0</v>
      </c>
      <c r="C393" s="1647">
        <f t="shared" si="149"/>
        <v>0</v>
      </c>
      <c r="D393" s="1659">
        <v>8299</v>
      </c>
      <c r="E393" s="888" t="str">
        <f t="shared" ref="E393:E544" si="152">VLOOKUP($D393,Sheet_Items,2,0)</f>
        <v>资本公积_本期期末余额</v>
      </c>
      <c r="F393" s="884">
        <f t="shared" ref="F393:M393" si="153">SUM(F367,F368)</f>
        <v>10464100</v>
      </c>
      <c r="G393" s="885">
        <f t="shared" si="153"/>
        <v>0</v>
      </c>
      <c r="H393" s="885">
        <f t="shared" si="153"/>
        <v>0</v>
      </c>
      <c r="I393" s="913">
        <f t="shared" si="153"/>
        <v>10464100</v>
      </c>
      <c r="J393" s="914">
        <f t="shared" si="153"/>
        <v>0</v>
      </c>
      <c r="K393" s="885">
        <f t="shared" si="153"/>
        <v>0</v>
      </c>
      <c r="L393" s="885">
        <f t="shared" si="153"/>
        <v>0</v>
      </c>
      <c r="M393" s="891">
        <f t="shared" si="153"/>
        <v>0</v>
      </c>
      <c r="N393" s="641"/>
      <c r="O393" s="641"/>
      <c r="P393" s="641"/>
      <c r="Q393" s="641"/>
      <c r="T393" s="3056">
        <v>8373</v>
      </c>
      <c r="U393" s="3063">
        <v>0</v>
      </c>
    </row>
    <row r="394" spans="1:21" ht="18">
      <c r="A394" s="1648" t="str">
        <f t="shared" si="150"/>
        <v>：</v>
      </c>
      <c r="B394" s="1647">
        <f t="shared" si="151"/>
        <v>0</v>
      </c>
      <c r="C394" s="1647">
        <f t="shared" si="149"/>
        <v>0</v>
      </c>
      <c r="D394" s="2186">
        <v>8300</v>
      </c>
      <c r="E394" s="2187" t="str">
        <f t="shared" si="152"/>
        <v>库存股增减变动</v>
      </c>
      <c r="F394" s="884"/>
      <c r="G394" s="885"/>
      <c r="H394" s="885"/>
      <c r="I394" s="913"/>
      <c r="J394" s="914"/>
      <c r="K394" s="885"/>
      <c r="L394" s="885"/>
      <c r="M394" s="891"/>
      <c r="N394" s="641"/>
      <c r="O394" s="641"/>
      <c r="P394" s="641"/>
      <c r="Q394" s="641"/>
      <c r="T394" s="3056">
        <v>8375</v>
      </c>
      <c r="U394" s="3063">
        <v>0</v>
      </c>
    </row>
    <row r="395" spans="1:21" ht="18">
      <c r="A395" s="1648">
        <f t="shared" si="150"/>
        <v>0</v>
      </c>
      <c r="B395" s="1647">
        <f t="shared" si="151"/>
        <v>1</v>
      </c>
      <c r="C395" s="1647" t="str">
        <f t="shared" si="149"/>
        <v>J</v>
      </c>
      <c r="D395" s="1659">
        <v>8301</v>
      </c>
      <c r="E395" s="888" t="str">
        <f t="shared" si="152"/>
        <v>库存股_上年年末余额</v>
      </c>
      <c r="F395" s="884">
        <f t="shared" si="136"/>
        <v>0</v>
      </c>
      <c r="G395" s="885">
        <f>SUMIF(AJE!$B:$B,$C395&amp;$D395&amp;"*",AJE!$O:$O)</f>
        <v>0</v>
      </c>
      <c r="H395" s="885">
        <f>SUMIF(AJE!$B:$B,$C395&amp;$D395&amp;"*",AJE!$P:$P)</f>
        <v>0</v>
      </c>
      <c r="I395" s="913">
        <f t="shared" ref="I395:I399" si="154">(B395*F395+G395-H395)*B395</f>
        <v>0</v>
      </c>
      <c r="J395" s="914">
        <f t="shared" ref="J395:J544" si="155">INDEX(Sheet_Presc,MATCH((RIGHT($D395,2)),Sheet_Prescrow,0),MATCH((VALUE(LEFT($D395,2))),Sheet_Presccol,0))</f>
        <v>0</v>
      </c>
      <c r="K395" s="885">
        <f>SUMIF('AJE1'!$B:$B,$C395&amp;$D395&amp;"*",'AJE1'!$O:$O)</f>
        <v>0</v>
      </c>
      <c r="L395" s="885">
        <f>SUMIF('AJE1'!$B:$B,$C395&amp;$D395&amp;"*",'AJE1'!$P:$P)</f>
        <v>0</v>
      </c>
      <c r="M395" s="891">
        <f t="shared" ref="M395:M399" si="156">($B395*J395+K395-L395)*$B395</f>
        <v>0</v>
      </c>
      <c r="N395" s="641"/>
      <c r="O395" s="641"/>
      <c r="P395" s="641"/>
      <c r="Q395" s="641"/>
      <c r="T395" s="3056">
        <v>8376</v>
      </c>
      <c r="U395" s="3063">
        <v>0</v>
      </c>
    </row>
    <row r="396" spans="1:21" ht="24">
      <c r="A396" s="1648">
        <f t="shared" si="150"/>
        <v>0</v>
      </c>
      <c r="B396" s="1647">
        <f t="shared" si="151"/>
        <v>1</v>
      </c>
      <c r="C396" s="1647" t="str">
        <f t="shared" si="149"/>
        <v>J</v>
      </c>
      <c r="D396" s="1659">
        <v>8302</v>
      </c>
      <c r="E396" s="888" t="str">
        <f t="shared" si="152"/>
        <v>库存股_会计政策变更调整上年年末余额</v>
      </c>
      <c r="F396" s="884">
        <f t="shared" si="136"/>
        <v>0</v>
      </c>
      <c r="G396" s="885">
        <f>SUMIF(AJE!$B:$B,$C396&amp;$D396&amp;"*",AJE!$O:$O)</f>
        <v>0</v>
      </c>
      <c r="H396" s="885">
        <f>SUMIF(AJE!$B:$B,$C396&amp;$D396&amp;"*",AJE!$P:$P)</f>
        <v>0</v>
      </c>
      <c r="I396" s="913">
        <f t="shared" si="154"/>
        <v>0</v>
      </c>
      <c r="J396" s="914">
        <f t="shared" si="155"/>
        <v>0</v>
      </c>
      <c r="K396" s="885">
        <f>SUMIF('AJE1'!$B:$B,$C396&amp;$D396&amp;"*",'AJE1'!$O:$O)</f>
        <v>0</v>
      </c>
      <c r="L396" s="885">
        <f>SUMIF('AJE1'!$B:$B,$C396&amp;$D396&amp;"*",'AJE1'!$P:$P)</f>
        <v>0</v>
      </c>
      <c r="M396" s="891">
        <f t="shared" si="156"/>
        <v>0</v>
      </c>
      <c r="N396" s="641"/>
      <c r="O396" s="641"/>
      <c r="P396" s="641"/>
      <c r="Q396" s="641"/>
      <c r="T396" s="3056">
        <v>8380</v>
      </c>
      <c r="U396" s="3063">
        <v>0</v>
      </c>
    </row>
    <row r="397" spans="1:21" ht="24">
      <c r="A397" s="1648">
        <f t="shared" si="150"/>
        <v>0</v>
      </c>
      <c r="B397" s="1647">
        <f t="shared" si="151"/>
        <v>1</v>
      </c>
      <c r="C397" s="1647" t="str">
        <f t="shared" si="149"/>
        <v>J</v>
      </c>
      <c r="D397" s="1659">
        <v>8303</v>
      </c>
      <c r="E397" s="888" t="str">
        <f t="shared" si="152"/>
        <v>库存股_前期差错更正调整上年年末余额</v>
      </c>
      <c r="F397" s="884">
        <f t="shared" si="136"/>
        <v>0</v>
      </c>
      <c r="G397" s="885">
        <f>SUMIF(AJE!$B:$B,$C397&amp;$D397&amp;"*",AJE!$O:$O)</f>
        <v>0</v>
      </c>
      <c r="H397" s="885">
        <f>SUMIF(AJE!$B:$B,$C397&amp;$D397&amp;"*",AJE!$P:$P)</f>
        <v>0</v>
      </c>
      <c r="I397" s="913">
        <f t="shared" si="154"/>
        <v>0</v>
      </c>
      <c r="J397" s="914">
        <f t="shared" si="155"/>
        <v>0</v>
      </c>
      <c r="K397" s="885">
        <f>SUMIF('AJE1'!$B:$B,$C397&amp;$D397&amp;"*",'AJE1'!$O:$O)</f>
        <v>0</v>
      </c>
      <c r="L397" s="885">
        <f>SUMIF('AJE1'!$B:$B,$C397&amp;$D397&amp;"*",'AJE1'!$P:$P)</f>
        <v>0</v>
      </c>
      <c r="M397" s="891">
        <f t="shared" si="156"/>
        <v>0</v>
      </c>
      <c r="N397" s="641"/>
      <c r="O397" s="641"/>
      <c r="P397" s="641"/>
      <c r="Q397" s="641"/>
      <c r="T397" s="3056">
        <v>8381</v>
      </c>
      <c r="U397" s="3063">
        <v>0</v>
      </c>
    </row>
    <row r="398" spans="1:21" ht="24">
      <c r="A398" s="1648" t="str">
        <f t="shared" si="150"/>
        <v>※</v>
      </c>
      <c r="B398" s="1647">
        <f t="shared" si="151"/>
        <v>1</v>
      </c>
      <c r="C398" s="1647" t="str">
        <f t="shared" si="149"/>
        <v>J</v>
      </c>
      <c r="D398" s="1659">
        <v>8304</v>
      </c>
      <c r="E398" s="888" t="str">
        <f t="shared" si="152"/>
        <v>库存股_同一控制下企业合并调整上年年末余额</v>
      </c>
      <c r="F398" s="884">
        <f>INDEX(Sheet_Presc,MATCH((RIGHT($D398,2)),Sheet_Prescrow,0),MATCH((LEFT($D398,2)),Sheet_Presccol,0))</f>
        <v>0</v>
      </c>
      <c r="G398" s="885">
        <f>SUMIF(AJE!$B:$B,$C398&amp;$D398&amp;"*",AJE!$O:$O)</f>
        <v>0</v>
      </c>
      <c r="H398" s="885">
        <f>SUMIF(AJE!$B:$B,$C398&amp;$D398&amp;"*",AJE!$P:$P)</f>
        <v>0</v>
      </c>
      <c r="I398" s="913">
        <f t="shared" si="154"/>
        <v>0</v>
      </c>
      <c r="J398" s="914">
        <f>INDEX(Sheet_Presc,MATCH((RIGHT($D398,2)),Sheet_Prescrow,0),MATCH((VALUE(LEFT($D398,2))),Sheet_Presccol,0))</f>
        <v>0</v>
      </c>
      <c r="K398" s="885">
        <f>SUMIF('AJE1'!$B:$B,$C398&amp;$D398&amp;"*",'AJE1'!$O:$O)</f>
        <v>0</v>
      </c>
      <c r="L398" s="885">
        <f>SUMIF('AJE1'!$B:$B,$C398&amp;$D398&amp;"*",'AJE1'!$P:$P)</f>
        <v>0</v>
      </c>
      <c r="M398" s="891">
        <f t="shared" si="156"/>
        <v>0</v>
      </c>
      <c r="N398" s="641"/>
      <c r="O398" s="641"/>
      <c r="P398" s="641"/>
      <c r="Q398" s="641"/>
      <c r="T398" s="3056">
        <v>8382</v>
      </c>
      <c r="U398" s="3063">
        <v>0</v>
      </c>
    </row>
    <row r="399" spans="1:21" ht="18">
      <c r="A399" s="1648" t="str">
        <f t="shared" si="150"/>
        <v>LOW</v>
      </c>
      <c r="B399" s="1647">
        <f t="shared" si="151"/>
        <v>1</v>
      </c>
      <c r="C399" s="1647" t="str">
        <f t="shared" si="149"/>
        <v>J</v>
      </c>
      <c r="D399" s="1659">
        <v>8309</v>
      </c>
      <c r="E399" s="888" t="str">
        <f t="shared" si="152"/>
        <v>库存股_其他原因调整上年年末余额</v>
      </c>
      <c r="F399" s="884">
        <f t="shared" si="136"/>
        <v>0</v>
      </c>
      <c r="G399" s="885">
        <f>SUMIF(AJE!$B:$B,$C399&amp;$D399&amp;"*",AJE!$O:$O)</f>
        <v>0</v>
      </c>
      <c r="H399" s="885">
        <f>SUMIF(AJE!$B:$B,$C399&amp;$D399&amp;"*",AJE!$P:$P)</f>
        <v>0</v>
      </c>
      <c r="I399" s="913">
        <f t="shared" si="154"/>
        <v>0</v>
      </c>
      <c r="J399" s="914">
        <f t="shared" si="155"/>
        <v>0</v>
      </c>
      <c r="K399" s="885">
        <f>SUMIF('AJE1'!$B:$B,$C399&amp;$D399&amp;"*",'AJE1'!$O:$O)</f>
        <v>0</v>
      </c>
      <c r="L399" s="885">
        <f>SUMIF('AJE1'!$B:$B,$C399&amp;$D399&amp;"*",'AJE1'!$P:$P)</f>
        <v>0</v>
      </c>
      <c r="M399" s="891">
        <f t="shared" si="156"/>
        <v>0</v>
      </c>
      <c r="N399" s="641"/>
      <c r="O399" s="641"/>
      <c r="P399" s="641"/>
      <c r="Q399" s="641"/>
      <c r="T399" s="3056">
        <v>8396</v>
      </c>
      <c r="U399" s="3063">
        <v>0</v>
      </c>
    </row>
    <row r="400" spans="1:21" ht="18">
      <c r="A400" s="1648" t="str">
        <f t="shared" si="150"/>
        <v>＝</v>
      </c>
      <c r="B400" s="1647">
        <f t="shared" si="151"/>
        <v>0</v>
      </c>
      <c r="C400" s="1647">
        <f t="shared" si="149"/>
        <v>0</v>
      </c>
      <c r="D400" s="1659">
        <v>8310</v>
      </c>
      <c r="E400" s="888" t="str">
        <f t="shared" si="152"/>
        <v>库存股_本年年初余额</v>
      </c>
      <c r="F400" s="884">
        <f t="shared" ref="F400:M400" si="157">SUM(F395:F399)</f>
        <v>0</v>
      </c>
      <c r="G400" s="885">
        <f t="shared" si="157"/>
        <v>0</v>
      </c>
      <c r="H400" s="885">
        <f t="shared" si="157"/>
        <v>0</v>
      </c>
      <c r="I400" s="913">
        <f t="shared" si="157"/>
        <v>0</v>
      </c>
      <c r="J400" s="914">
        <f t="shared" si="157"/>
        <v>0</v>
      </c>
      <c r="K400" s="885">
        <f t="shared" si="157"/>
        <v>0</v>
      </c>
      <c r="L400" s="885">
        <f t="shared" si="157"/>
        <v>0</v>
      </c>
      <c r="M400" s="891">
        <f t="shared" si="157"/>
        <v>0</v>
      </c>
      <c r="N400" s="641"/>
      <c r="O400" s="641"/>
      <c r="P400" s="641"/>
      <c r="Q400" s="641"/>
      <c r="T400" s="3056">
        <v>8399</v>
      </c>
      <c r="U400" s="3063">
        <v>0</v>
      </c>
    </row>
    <row r="401" spans="1:21" ht="18">
      <c r="A401" s="1648" t="str">
        <f t="shared" si="150"/>
        <v>＝</v>
      </c>
      <c r="B401" s="1647">
        <f t="shared" si="151"/>
        <v>0</v>
      </c>
      <c r="C401" s="1647">
        <f t="shared" si="149"/>
        <v>0</v>
      </c>
      <c r="D401" s="1659">
        <v>8390</v>
      </c>
      <c r="E401" s="888" t="str">
        <f t="shared" si="152"/>
        <v>库存股_本期增减变动金额</v>
      </c>
      <c r="F401" s="884">
        <f>SUM(F404,F405,F410,F415,F422,F425)</f>
        <v>0</v>
      </c>
      <c r="G401" s="885">
        <f t="shared" ref="G401:M401" si="158">SUM(G404,G405,G410,G415,G422,G425)</f>
        <v>0</v>
      </c>
      <c r="H401" s="885">
        <f t="shared" si="158"/>
        <v>0</v>
      </c>
      <c r="I401" s="913">
        <f t="shared" si="158"/>
        <v>0</v>
      </c>
      <c r="J401" s="914">
        <f t="shared" si="158"/>
        <v>0</v>
      </c>
      <c r="K401" s="885">
        <f t="shared" si="158"/>
        <v>0</v>
      </c>
      <c r="L401" s="885">
        <f t="shared" si="158"/>
        <v>0</v>
      </c>
      <c r="M401" s="891">
        <f t="shared" si="158"/>
        <v>0</v>
      </c>
      <c r="N401" s="641"/>
      <c r="O401" s="641"/>
      <c r="P401" s="641"/>
      <c r="Q401" s="641"/>
      <c r="T401" s="3056" t="s">
        <v>1674</v>
      </c>
      <c r="U401" s="3063"/>
    </row>
    <row r="402" spans="1:21" ht="18">
      <c r="A402" s="1648" t="str">
        <f t="shared" si="150"/>
        <v>N</v>
      </c>
      <c r="B402" s="1647">
        <f t="shared" si="151"/>
        <v>1</v>
      </c>
      <c r="C402" s="1647" t="str">
        <f t="shared" si="149"/>
        <v>J</v>
      </c>
      <c r="D402" s="1659">
        <v>8321</v>
      </c>
      <c r="E402" s="888" t="str">
        <f t="shared" si="152"/>
        <v>库存股_净利润增加权益</v>
      </c>
      <c r="F402" s="884">
        <f>INDEX(Sheet_Presc,MATCH((RIGHT($D402,2)),Sheet_Prescrow,0),MATCH((LEFT($D402,2)),Sheet_Presccol,0))</f>
        <v>0</v>
      </c>
      <c r="G402" s="885">
        <f>SUMIF(AJE!$B:$B,$C402&amp;$D402&amp;"*",AJE!$O:$O)</f>
        <v>0</v>
      </c>
      <c r="H402" s="885">
        <f>SUMIF(AJE!$B:$B,$C402&amp;$D402&amp;"*",AJE!$P:$P)</f>
        <v>0</v>
      </c>
      <c r="I402" s="913">
        <f>(B402*F402+G402-H402)*B402</f>
        <v>0</v>
      </c>
      <c r="J402" s="914">
        <f t="shared" si="155"/>
        <v>0</v>
      </c>
      <c r="K402" s="885">
        <f>SUMIF('AJE1'!$B:$B,$C402&amp;$D402&amp;"*",'AJE1'!$O:$O)</f>
        <v>0</v>
      </c>
      <c r="L402" s="885">
        <f>SUMIF('AJE1'!$B:$B,$C402&amp;$D402&amp;"*",'AJE1'!$P:$P)</f>
        <v>0</v>
      </c>
      <c r="M402" s="891">
        <f>($B402*J402+K402-L402)*$B402</f>
        <v>0</v>
      </c>
      <c r="N402" s="641"/>
      <c r="O402" s="641"/>
      <c r="P402" s="641"/>
      <c r="Q402" s="641"/>
      <c r="T402" s="3056" t="s">
        <v>1679</v>
      </c>
      <c r="U402" s="3063">
        <v>0</v>
      </c>
    </row>
    <row r="403" spans="1:21" ht="18">
      <c r="A403" s="1648" t="str">
        <f t="shared" si="150"/>
        <v>N</v>
      </c>
      <c r="B403" s="1647">
        <f t="shared" si="151"/>
        <v>1</v>
      </c>
      <c r="C403" s="1647" t="str">
        <f t="shared" si="149"/>
        <v>J</v>
      </c>
      <c r="D403" s="1659">
        <v>8330</v>
      </c>
      <c r="E403" s="888" t="str">
        <f t="shared" si="152"/>
        <v>库存股_其他综合收益增加权益</v>
      </c>
      <c r="F403" s="884">
        <f>INDEX(Sheet_Presc,MATCH((RIGHT($D403,2)),Sheet_Prescrow,0),MATCH((LEFT($D403,2)),Sheet_Presccol,0))</f>
        <v>0</v>
      </c>
      <c r="G403" s="885">
        <f>SUMIF(AJE!$B:$B,$C403&amp;$D403&amp;"*",AJE!$O:$O)</f>
        <v>0</v>
      </c>
      <c r="H403" s="885">
        <f>SUMIF(AJE!$B:$B,$C403&amp;$D403&amp;"*",AJE!$P:$P)</f>
        <v>0</v>
      </c>
      <c r="I403" s="913">
        <f>(B403*F403+G403-H403)*B403</f>
        <v>0</v>
      </c>
      <c r="J403" s="914">
        <f t="shared" si="155"/>
        <v>0</v>
      </c>
      <c r="K403" s="885">
        <f>SUMIF('AJE1'!$B:$B,$C403&amp;$D403&amp;"*",'AJE1'!$O:$O)</f>
        <v>0</v>
      </c>
      <c r="L403" s="885">
        <f>SUMIF('AJE1'!$B:$B,$C403&amp;$D403&amp;"*",'AJE1'!$P:$P)</f>
        <v>0</v>
      </c>
      <c r="M403" s="891">
        <f>($B403*J403+K403-L403)*$B403</f>
        <v>0</v>
      </c>
      <c r="N403" s="641"/>
      <c r="O403" s="641"/>
      <c r="P403" s="641"/>
      <c r="Q403" s="641"/>
      <c r="T403" s="3056" t="s">
        <v>1684</v>
      </c>
      <c r="U403" s="3063">
        <v>0</v>
      </c>
    </row>
    <row r="404" spans="1:21" ht="18">
      <c r="A404" s="1648">
        <f t="shared" si="150"/>
        <v>0</v>
      </c>
      <c r="B404" s="1647">
        <f t="shared" si="151"/>
        <v>1</v>
      </c>
      <c r="C404" s="1647" t="str">
        <f t="shared" si="149"/>
        <v>J</v>
      </c>
      <c r="D404" s="1659">
        <v>8340</v>
      </c>
      <c r="E404" s="888" t="str">
        <f t="shared" si="152"/>
        <v>库存股_综合收益总额增加权益</v>
      </c>
      <c r="F404" s="884">
        <f>INDEX(Sheet_Presc,MATCH((RIGHT($D404,2)),Sheet_Prescrow,0),MATCH((LEFT($D404,2)),Sheet_Presccol,0))</f>
        <v>0</v>
      </c>
      <c r="G404" s="885">
        <f>SUMIF(AJE!$B:$B,$C404&amp;$D404&amp;"*",AJE!$O:$O)+VLOOKUP(8321,Sheet_Trialbal,4,0)+VLOOKUP(8330,Sheet_Trialbal,4,0)</f>
        <v>0</v>
      </c>
      <c r="H404" s="885">
        <f>SUMIF(AJE!$B:$B,$C404&amp;$D404&amp;"*",AJE!$P:$P)+VLOOKUP(8321,Sheet_Trialbal,5,0)+VLOOKUP(8330,Sheet_Trialbal,5,0)</f>
        <v>0</v>
      </c>
      <c r="I404" s="913">
        <f>(B404*F404+G404-H404)*B404</f>
        <v>0</v>
      </c>
      <c r="J404" s="914">
        <f>INDEX(Sheet_Presc,MATCH((RIGHT($D404,2)),Sheet_Prescrow,0),MATCH((VALUE(LEFT($D404,2))),Sheet_Presccol,0))</f>
        <v>0</v>
      </c>
      <c r="K404" s="885">
        <f>SUMIF('AJE1'!$B:$B,$C404&amp;$D404&amp;"*",'AJE1'!$O:$O)+VLOOKUP(8321,Sheet_Trialbal,8,0)+VLOOKUP(8330,Sheet_Trialbal,8,0)</f>
        <v>0</v>
      </c>
      <c r="L404" s="885">
        <f>SUMIF('AJE1'!$B:$B,$C404&amp;$D404&amp;"*",'AJE1'!$P:$P)+VLOOKUP(8321,Sheet_Trialbal,9,0)+VLOOKUP(8330,Sheet_Trialbal,9,0)</f>
        <v>0</v>
      </c>
      <c r="M404" s="891">
        <f>($B404*J404+K404-L404)*$B404</f>
        <v>0</v>
      </c>
      <c r="N404" s="641"/>
      <c r="O404" s="641"/>
      <c r="P404" s="641"/>
      <c r="Q404" s="641"/>
      <c r="T404" s="3056" t="s">
        <v>1689</v>
      </c>
      <c r="U404" s="3063">
        <v>0</v>
      </c>
    </row>
    <row r="405" spans="1:21" ht="24">
      <c r="A405" s="1648" t="str">
        <f t="shared" si="150"/>
        <v>＝</v>
      </c>
      <c r="B405" s="1647">
        <f t="shared" si="151"/>
        <v>0</v>
      </c>
      <c r="C405" s="1647">
        <f t="shared" si="149"/>
        <v>0</v>
      </c>
      <c r="D405" s="1659">
        <v>8350</v>
      </c>
      <c r="E405" s="888" t="str">
        <f t="shared" si="152"/>
        <v>库存股_所有者投入和减少资本影响权益</v>
      </c>
      <c r="F405" s="884">
        <f t="shared" ref="F405:M405" si="159">SUM(F406:F409)</f>
        <v>0</v>
      </c>
      <c r="G405" s="885">
        <f t="shared" si="159"/>
        <v>0</v>
      </c>
      <c r="H405" s="885">
        <f t="shared" si="159"/>
        <v>0</v>
      </c>
      <c r="I405" s="913">
        <f t="shared" si="159"/>
        <v>0</v>
      </c>
      <c r="J405" s="914">
        <f t="shared" si="159"/>
        <v>0</v>
      </c>
      <c r="K405" s="885">
        <f t="shared" si="159"/>
        <v>0</v>
      </c>
      <c r="L405" s="885">
        <f t="shared" si="159"/>
        <v>0</v>
      </c>
      <c r="M405" s="891">
        <f t="shared" si="159"/>
        <v>0</v>
      </c>
      <c r="N405" s="641"/>
      <c r="O405" s="641"/>
      <c r="P405" s="641"/>
      <c r="Q405" s="641"/>
      <c r="T405" s="3056" t="s">
        <v>1694</v>
      </c>
      <c r="U405" s="3063">
        <v>0</v>
      </c>
    </row>
    <row r="406" spans="1:21" ht="18">
      <c r="A406" s="1648">
        <f t="shared" si="150"/>
        <v>0</v>
      </c>
      <c r="B406" s="1647">
        <f t="shared" si="151"/>
        <v>1</v>
      </c>
      <c r="C406" s="1647" t="str">
        <f t="shared" si="149"/>
        <v>J</v>
      </c>
      <c r="D406" s="1659">
        <v>8351</v>
      </c>
      <c r="E406" s="888" t="str">
        <f t="shared" si="152"/>
        <v>库存股_所有者投入资本</v>
      </c>
      <c r="F406" s="884">
        <f>INDEX(Sheet_Presc,MATCH((RIGHT($D406,2)),Sheet_Prescrow,0),MATCH((LEFT($D406,2)),Sheet_Presccol,0))</f>
        <v>0</v>
      </c>
      <c r="G406" s="885">
        <f>SUMIF(AJE!$B:$B,$C406&amp;$D406&amp;"*",AJE!$O:$O)</f>
        <v>0</v>
      </c>
      <c r="H406" s="885">
        <f>SUMIF(AJE!$B:$B,$C406&amp;$D406&amp;"*",AJE!$P:$P)</f>
        <v>0</v>
      </c>
      <c r="I406" s="913">
        <f>(B406*F406+G406-H406)*B406</f>
        <v>0</v>
      </c>
      <c r="J406" s="914">
        <f t="shared" si="155"/>
        <v>0</v>
      </c>
      <c r="K406" s="885">
        <f>SUMIF('AJE1'!$B:$B,$C406&amp;$D406&amp;"*",'AJE1'!$O:$O)</f>
        <v>0</v>
      </c>
      <c r="L406" s="885">
        <f>SUMIF('AJE1'!$B:$B,$C406&amp;$D406&amp;"*",'AJE1'!$P:$P)</f>
        <v>0</v>
      </c>
      <c r="M406" s="891">
        <f>($B406*J406+K406-L406)*$B406</f>
        <v>0</v>
      </c>
      <c r="N406" s="641"/>
      <c r="O406" s="641"/>
      <c r="P406" s="641"/>
      <c r="Q406" s="641"/>
      <c r="T406" s="3056" t="s">
        <v>1699</v>
      </c>
      <c r="U406" s="3063">
        <v>0</v>
      </c>
    </row>
    <row r="407" spans="1:21" ht="24">
      <c r="A407" s="1648" t="str">
        <f t="shared" si="150"/>
        <v>OEI</v>
      </c>
      <c r="B407" s="1647">
        <f t="shared" si="151"/>
        <v>1</v>
      </c>
      <c r="C407" s="1647" t="str">
        <f t="shared" si="149"/>
        <v>J</v>
      </c>
      <c r="D407" s="1659">
        <v>8353</v>
      </c>
      <c r="E407" s="888" t="str">
        <f t="shared" si="152"/>
        <v>库存股_其他权益工具持有者投入资本</v>
      </c>
      <c r="F407" s="884">
        <f>INDEX(Sheet_Presc,MATCH((RIGHT($D407,2)),Sheet_Prescrow,0),MATCH((LEFT($D407,2)),Sheet_Presccol,0))</f>
        <v>0</v>
      </c>
      <c r="G407" s="885">
        <f>SUMIF(AJE!$B:$B,$C407&amp;$D407&amp;"*",AJE!$O:$O)</f>
        <v>0</v>
      </c>
      <c r="H407" s="885">
        <f>SUMIF(AJE!$B:$B,$C407&amp;$D407&amp;"*",AJE!$P:$P)</f>
        <v>0</v>
      </c>
      <c r="I407" s="913">
        <f>(B407*F407+G407-H407)*B407</f>
        <v>0</v>
      </c>
      <c r="J407" s="914">
        <f>INDEX(Sheet_Presc,MATCH((RIGHT($D407,2)),Sheet_Prescrow,0),MATCH((VALUE(LEFT($D407,2))),Sheet_Presccol,0))</f>
        <v>0</v>
      </c>
      <c r="K407" s="885">
        <f>SUMIF('AJE1'!$B:$B,$C407&amp;$D407&amp;"*",'AJE1'!$O:$O)</f>
        <v>0</v>
      </c>
      <c r="L407" s="885">
        <f>SUMIF('AJE1'!$B:$B,$C407&amp;$D407&amp;"*",'AJE1'!$P:$P)</f>
        <v>0</v>
      </c>
      <c r="M407" s="891">
        <f>($B407*J407+K407-L407)*$B407</f>
        <v>0</v>
      </c>
      <c r="N407" s="641"/>
      <c r="O407" s="641"/>
      <c r="P407" s="641"/>
      <c r="Q407" s="641"/>
      <c r="T407" s="3056" t="s">
        <v>1704</v>
      </c>
      <c r="U407" s="3063">
        <v>0</v>
      </c>
    </row>
    <row r="408" spans="1:21" ht="18">
      <c r="A408" s="1648" t="str">
        <f t="shared" si="150"/>
        <v>LOW</v>
      </c>
      <c r="B408" s="1647">
        <f t="shared" si="151"/>
        <v>1</v>
      </c>
      <c r="C408" s="1647" t="str">
        <f t="shared" si="149"/>
        <v>J</v>
      </c>
      <c r="D408" s="1659">
        <v>8352</v>
      </c>
      <c r="E408" s="888" t="str">
        <f t="shared" si="152"/>
        <v>库存股_股份支付</v>
      </c>
      <c r="F408" s="884">
        <f>INDEX(Sheet_Presc,MATCH((RIGHT($D408,2)),Sheet_Prescrow,0),MATCH((LEFT($D408,2)),Sheet_Presccol,0))</f>
        <v>0</v>
      </c>
      <c r="G408" s="885">
        <f>SUMIF(AJE!$B:$B,$C408&amp;$D408&amp;"*",AJE!$O:$O)</f>
        <v>0</v>
      </c>
      <c r="H408" s="885">
        <f>SUMIF(AJE!$B:$B,$C408&amp;$D408&amp;"*",AJE!$P:$P)</f>
        <v>0</v>
      </c>
      <c r="I408" s="913">
        <f>(B408*F408+G408-H408)*B408</f>
        <v>0</v>
      </c>
      <c r="J408" s="914">
        <f t="shared" si="155"/>
        <v>0</v>
      </c>
      <c r="K408" s="885">
        <f>SUMIF('AJE1'!$B:$B,$C408&amp;$D408&amp;"*",'AJE1'!$O:$O)</f>
        <v>0</v>
      </c>
      <c r="L408" s="885">
        <f>SUMIF('AJE1'!$B:$B,$C408&amp;$D408&amp;"*",'AJE1'!$P:$P)</f>
        <v>0</v>
      </c>
      <c r="M408" s="891">
        <f>($B408*J408+K408-L408)*$B408</f>
        <v>0</v>
      </c>
      <c r="N408" s="641"/>
      <c r="O408" s="641"/>
      <c r="P408" s="641"/>
      <c r="Q408" s="641"/>
      <c r="T408" s="3056" t="s">
        <v>1709</v>
      </c>
      <c r="U408" s="3063">
        <v>0</v>
      </c>
    </row>
    <row r="409" spans="1:21" ht="18">
      <c r="A409" s="1648" t="str">
        <f t="shared" si="150"/>
        <v>LOW</v>
      </c>
      <c r="B409" s="1647">
        <f t="shared" si="151"/>
        <v>1</v>
      </c>
      <c r="C409" s="1647" t="str">
        <f t="shared" si="149"/>
        <v>J</v>
      </c>
      <c r="D409" s="1659">
        <v>8356</v>
      </c>
      <c r="E409" s="888" t="str">
        <f t="shared" si="152"/>
        <v>库存股_所有者其他投入和减少资本</v>
      </c>
      <c r="F409" s="884">
        <f>INDEX(Sheet_Presc,MATCH((RIGHT($D409,2)),Sheet_Prescrow,0),MATCH((LEFT($D409,2)),Sheet_Presccol,0))</f>
        <v>0</v>
      </c>
      <c r="G409" s="885">
        <f>SUMIF(AJE!$B:$B,$C409&amp;$D409&amp;"*",AJE!$O:$O)</f>
        <v>0</v>
      </c>
      <c r="H409" s="885">
        <f>SUMIF(AJE!$B:$B,$C409&amp;$D409&amp;"*",AJE!$P:$P)</f>
        <v>0</v>
      </c>
      <c r="I409" s="913">
        <f>(B409*F409+G409-H409)*B409</f>
        <v>0</v>
      </c>
      <c r="J409" s="914">
        <f t="shared" si="155"/>
        <v>0</v>
      </c>
      <c r="K409" s="885">
        <f>SUMIF('AJE1'!$B:$B,$C409&amp;$D409&amp;"*",'AJE1'!$O:$O)</f>
        <v>0</v>
      </c>
      <c r="L409" s="885">
        <f>SUMIF('AJE1'!$B:$B,$C409&amp;$D409&amp;"*",'AJE1'!$P:$P)</f>
        <v>0</v>
      </c>
      <c r="M409" s="891">
        <f>($B409*J409+K409-L409)*$B409</f>
        <v>0</v>
      </c>
      <c r="N409" s="641"/>
      <c r="O409" s="641"/>
      <c r="P409" s="641"/>
      <c r="Q409" s="641"/>
      <c r="T409" s="3056" t="s">
        <v>1714</v>
      </c>
      <c r="U409" s="3063">
        <v>0</v>
      </c>
    </row>
    <row r="410" spans="1:21" ht="18">
      <c r="A410" s="1648" t="str">
        <f t="shared" si="150"/>
        <v>＝</v>
      </c>
      <c r="B410" s="1647">
        <f t="shared" si="151"/>
        <v>0</v>
      </c>
      <c r="C410" s="1647">
        <f t="shared" si="149"/>
        <v>0</v>
      </c>
      <c r="D410" s="1659">
        <v>8360</v>
      </c>
      <c r="E410" s="888" t="str">
        <f t="shared" si="152"/>
        <v>库存股_利润分配影响权益</v>
      </c>
      <c r="F410" s="884">
        <f>SUM(F411:F414)</f>
        <v>0</v>
      </c>
      <c r="G410" s="885">
        <f t="shared" ref="G410:M410" si="160">SUM(G411:G414)</f>
        <v>0</v>
      </c>
      <c r="H410" s="885">
        <f t="shared" si="160"/>
        <v>0</v>
      </c>
      <c r="I410" s="913">
        <f t="shared" si="160"/>
        <v>0</v>
      </c>
      <c r="J410" s="914">
        <f t="shared" si="160"/>
        <v>0</v>
      </c>
      <c r="K410" s="885">
        <f t="shared" si="160"/>
        <v>0</v>
      </c>
      <c r="L410" s="885">
        <f t="shared" si="160"/>
        <v>0</v>
      </c>
      <c r="M410" s="891">
        <f t="shared" si="160"/>
        <v>0</v>
      </c>
      <c r="N410" s="641"/>
      <c r="O410" s="641"/>
      <c r="P410" s="641"/>
      <c r="Q410" s="641"/>
      <c r="T410" s="3056" t="s">
        <v>1719</v>
      </c>
      <c r="U410" s="3063">
        <v>0</v>
      </c>
    </row>
    <row r="411" spans="1:21" ht="18">
      <c r="A411" s="1648" t="str">
        <f t="shared" si="150"/>
        <v>N</v>
      </c>
      <c r="B411" s="1647">
        <f t="shared" si="151"/>
        <v>1</v>
      </c>
      <c r="C411" s="1647" t="str">
        <f t="shared" si="149"/>
        <v>J</v>
      </c>
      <c r="D411" s="1659">
        <v>8361</v>
      </c>
      <c r="E411" s="888" t="str">
        <f t="shared" si="152"/>
        <v>库存股_提取盈余公积影响权益</v>
      </c>
      <c r="F411" s="884">
        <f>INDEX(Sheet_Presc,MATCH((RIGHT($D411,2)),Sheet_Prescrow,0),MATCH((LEFT($D411,2)),Sheet_Presccol,0))</f>
        <v>0</v>
      </c>
      <c r="G411" s="885">
        <f>SUMIF(AJE!$B:$B,$C411&amp;$D411&amp;"*",AJE!$O:$O)</f>
        <v>0</v>
      </c>
      <c r="H411" s="885">
        <f>SUMIF(AJE!$B:$B,$C411&amp;$D411&amp;"*",AJE!$P:$P)</f>
        <v>0</v>
      </c>
      <c r="I411" s="913">
        <f>(B411*F411+G411-H411)*B411</f>
        <v>0</v>
      </c>
      <c r="J411" s="914">
        <f t="shared" si="155"/>
        <v>0</v>
      </c>
      <c r="K411" s="885">
        <f>SUMIF('AJE1'!$B:$B,$C411&amp;$D411&amp;"*",'AJE1'!$O:$O)</f>
        <v>0</v>
      </c>
      <c r="L411" s="885">
        <f>SUMIF('AJE1'!$B:$B,$C411&amp;$D411&amp;"*",'AJE1'!$P:$P)</f>
        <v>0</v>
      </c>
      <c r="M411" s="891">
        <f>($B411*J411+K411-L411)*$B411</f>
        <v>0</v>
      </c>
      <c r="N411" s="641"/>
      <c r="O411" s="641"/>
      <c r="P411" s="641"/>
      <c r="Q411" s="641"/>
      <c r="T411" s="3056" t="s">
        <v>1723</v>
      </c>
      <c r="U411" s="3063">
        <v>0</v>
      </c>
    </row>
    <row r="412" spans="1:21" ht="18">
      <c r="A412" s="1648" t="str">
        <f t="shared" si="150"/>
        <v>N</v>
      </c>
      <c r="B412" s="1647">
        <f t="shared" si="151"/>
        <v>1</v>
      </c>
      <c r="C412" s="1647" t="str">
        <f t="shared" si="149"/>
        <v>J</v>
      </c>
      <c r="D412" s="1659">
        <v>8362</v>
      </c>
      <c r="E412" s="888" t="str">
        <f t="shared" si="152"/>
        <v>库存股_提取一般风险准备影响权益</v>
      </c>
      <c r="F412" s="884">
        <f>INDEX(Sheet_Presc,MATCH((RIGHT($D412,2)),Sheet_Prescrow,0),MATCH((LEFT($D412,2)),Sheet_Presccol,0))</f>
        <v>0</v>
      </c>
      <c r="G412" s="885">
        <f>SUMIF(AJE!$B:$B,$C412&amp;$D412&amp;"*",AJE!$O:$O)</f>
        <v>0</v>
      </c>
      <c r="H412" s="885">
        <f>SUMIF(AJE!$B:$B,$C412&amp;$D412&amp;"*",AJE!$P:$P)</f>
        <v>0</v>
      </c>
      <c r="I412" s="913">
        <f>(B412*F412+G412-H412)*B412</f>
        <v>0</v>
      </c>
      <c r="J412" s="914">
        <f t="shared" si="155"/>
        <v>0</v>
      </c>
      <c r="K412" s="885">
        <f>SUMIF('AJE1'!$B:$B,$C412&amp;$D412&amp;"*",'AJE1'!$O:$O)</f>
        <v>0</v>
      </c>
      <c r="L412" s="885">
        <f>SUMIF('AJE1'!$B:$B,$C412&amp;$D412&amp;"*",'AJE1'!$P:$P)</f>
        <v>0</v>
      </c>
      <c r="M412" s="891">
        <f>($B412*J412+K412-L412)*$B412</f>
        <v>0</v>
      </c>
      <c r="N412" s="641"/>
      <c r="O412" s="641"/>
      <c r="P412" s="641"/>
      <c r="Q412" s="641"/>
      <c r="T412" s="3056" t="s">
        <v>1733</v>
      </c>
      <c r="U412" s="3063">
        <v>0</v>
      </c>
    </row>
    <row r="413" spans="1:21" ht="18">
      <c r="A413" s="1648" t="str">
        <f t="shared" si="150"/>
        <v>LOW</v>
      </c>
      <c r="B413" s="1647">
        <f t="shared" si="151"/>
        <v>1</v>
      </c>
      <c r="C413" s="1647" t="str">
        <f t="shared" si="149"/>
        <v>J</v>
      </c>
      <c r="D413" s="1659">
        <v>8363</v>
      </c>
      <c r="E413" s="888" t="str">
        <f t="shared" si="152"/>
        <v>库存股_对所有者的分配</v>
      </c>
      <c r="F413" s="884">
        <f>INDEX(Sheet_Presc,MATCH((RIGHT($D413,2)),Sheet_Prescrow,0),MATCH((LEFT($D413,2)),Sheet_Presccol,0))</f>
        <v>0</v>
      </c>
      <c r="G413" s="885">
        <f>SUMIF(AJE!$B:$B,$C413&amp;$D413&amp;"*",AJE!$O:$O)</f>
        <v>0</v>
      </c>
      <c r="H413" s="885">
        <f>SUMIF(AJE!$B:$B,$C413&amp;$D413&amp;"*",AJE!$P:$P)</f>
        <v>0</v>
      </c>
      <c r="I413" s="913">
        <f>(B413*F413+G413-H413)*B413</f>
        <v>0</v>
      </c>
      <c r="J413" s="914">
        <f t="shared" si="155"/>
        <v>0</v>
      </c>
      <c r="K413" s="885">
        <f>SUMIF('AJE1'!$B:$B,$C413&amp;$D413&amp;"*",'AJE1'!$O:$O)</f>
        <v>0</v>
      </c>
      <c r="L413" s="885">
        <f>SUMIF('AJE1'!$B:$B,$C413&amp;$D413&amp;"*",'AJE1'!$P:$P)</f>
        <v>0</v>
      </c>
      <c r="M413" s="891">
        <f>($B413*J413+K413-L413)*$B413</f>
        <v>0</v>
      </c>
      <c r="N413" s="641"/>
      <c r="O413" s="641"/>
      <c r="P413" s="641"/>
      <c r="Q413" s="641"/>
      <c r="T413" s="3056" t="s">
        <v>1728</v>
      </c>
      <c r="U413" s="3063">
        <v>0</v>
      </c>
    </row>
    <row r="414" spans="1:21" ht="18">
      <c r="A414" s="1648" t="str">
        <f t="shared" si="150"/>
        <v>LOW</v>
      </c>
      <c r="B414" s="1647">
        <f t="shared" si="151"/>
        <v>1</v>
      </c>
      <c r="C414" s="1647" t="str">
        <f t="shared" si="149"/>
        <v>J</v>
      </c>
      <c r="D414" s="1659">
        <v>8366</v>
      </c>
      <c r="E414" s="888" t="str">
        <f t="shared" si="152"/>
        <v>库存股_其他利润分配</v>
      </c>
      <c r="F414" s="884">
        <f>INDEX(Sheet_Presc,MATCH((RIGHT($D414,2)),Sheet_Prescrow,0),MATCH((LEFT($D414,2)),Sheet_Presccol,0))</f>
        <v>0</v>
      </c>
      <c r="G414" s="885">
        <f>SUMIF(AJE!$B:$B,$C414&amp;$D414&amp;"*",AJE!$O:$O)</f>
        <v>0</v>
      </c>
      <c r="H414" s="885">
        <f>SUMIF(AJE!$B:$B,$C414&amp;$D414&amp;"*",AJE!$P:$P)</f>
        <v>0</v>
      </c>
      <c r="I414" s="913">
        <f>(B414*F414+G414-H414)*B414</f>
        <v>0</v>
      </c>
      <c r="J414" s="914">
        <f t="shared" si="155"/>
        <v>0</v>
      </c>
      <c r="K414" s="885">
        <f>SUMIF('AJE1'!$B:$B,$C414&amp;$D414&amp;"*",'AJE1'!$O:$O)</f>
        <v>0</v>
      </c>
      <c r="L414" s="885">
        <f>SUMIF('AJE1'!$B:$B,$C414&amp;$D414&amp;"*",'AJE1'!$P:$P)</f>
        <v>0</v>
      </c>
      <c r="M414" s="891">
        <f>($B414*J414+K414-L414)*$B414</f>
        <v>0</v>
      </c>
      <c r="N414" s="641"/>
      <c r="O414" s="641"/>
      <c r="P414" s="641"/>
      <c r="Q414" s="641"/>
      <c r="T414" s="3056" t="s">
        <v>1738</v>
      </c>
      <c r="U414" s="3063">
        <v>0</v>
      </c>
    </row>
    <row r="415" spans="1:21" ht="18">
      <c r="A415" s="1648" t="str">
        <f t="shared" si="150"/>
        <v>＝</v>
      </c>
      <c r="B415" s="1647">
        <f t="shared" si="151"/>
        <v>0</v>
      </c>
      <c r="C415" s="1647">
        <f t="shared" si="149"/>
        <v>0</v>
      </c>
      <c r="D415" s="1659">
        <v>8370</v>
      </c>
      <c r="E415" s="888" t="str">
        <f t="shared" si="152"/>
        <v>库存股_所有者权益内部结转</v>
      </c>
      <c r="F415" s="884">
        <f>SUM(F416:F425)</f>
        <v>0</v>
      </c>
      <c r="G415" s="885">
        <f t="shared" ref="G415:M415" si="161">SUM(G416:G425)</f>
        <v>0</v>
      </c>
      <c r="H415" s="885">
        <f t="shared" si="161"/>
        <v>0</v>
      </c>
      <c r="I415" s="913">
        <f t="shared" si="161"/>
        <v>0</v>
      </c>
      <c r="J415" s="914">
        <f t="shared" si="161"/>
        <v>0</v>
      </c>
      <c r="K415" s="885">
        <f t="shared" si="161"/>
        <v>0</v>
      </c>
      <c r="L415" s="885">
        <f t="shared" si="161"/>
        <v>0</v>
      </c>
      <c r="M415" s="891">
        <f t="shared" si="161"/>
        <v>0</v>
      </c>
      <c r="N415" s="641"/>
      <c r="O415" s="641"/>
      <c r="P415" s="641"/>
      <c r="Q415" s="641"/>
      <c r="T415" s="3056" t="s">
        <v>1743</v>
      </c>
      <c r="U415" s="3063">
        <v>0</v>
      </c>
    </row>
    <row r="416" spans="1:21" ht="18">
      <c r="A416" s="1648" t="str">
        <f t="shared" si="150"/>
        <v>N</v>
      </c>
      <c r="B416" s="1647">
        <f t="shared" si="151"/>
        <v>1</v>
      </c>
      <c r="C416" s="1647" t="str">
        <f t="shared" si="149"/>
        <v>J</v>
      </c>
      <c r="D416" s="1659">
        <v>8371</v>
      </c>
      <c r="E416" s="888" t="str">
        <f t="shared" si="152"/>
        <v>库存股_资本公积转增资本影响权益</v>
      </c>
      <c r="F416" s="884">
        <f t="shared" ref="F416:F421" si="162">INDEX(Sheet_Presc,MATCH((RIGHT($D416,2)),Sheet_Prescrow,0),MATCH((LEFT($D416,2)),Sheet_Presccol,0))</f>
        <v>0</v>
      </c>
      <c r="G416" s="885">
        <f>SUMIF(AJE!$B:$B,$C416&amp;$D416&amp;"*",AJE!$O:$O)</f>
        <v>0</v>
      </c>
      <c r="H416" s="885">
        <f>SUMIF(AJE!$B:$B,$C416&amp;$D416&amp;"*",AJE!$P:$P)</f>
        <v>0</v>
      </c>
      <c r="I416" s="913">
        <f t="shared" ref="I416:I421" si="163">(B416*F416+G416-H416)*B416</f>
        <v>0</v>
      </c>
      <c r="J416" s="914">
        <f t="shared" si="155"/>
        <v>0</v>
      </c>
      <c r="K416" s="885">
        <f>SUMIF('AJE1'!$B:$B,$C416&amp;$D416&amp;"*",'AJE1'!$O:$O)</f>
        <v>0</v>
      </c>
      <c r="L416" s="885">
        <f>SUMIF('AJE1'!$B:$B,$C416&amp;$D416&amp;"*",'AJE1'!$P:$P)</f>
        <v>0</v>
      </c>
      <c r="M416" s="891">
        <f t="shared" ref="M416:M421" si="164">($B416*J416+K416-L416)*$B416</f>
        <v>0</v>
      </c>
      <c r="N416" s="641"/>
      <c r="O416" s="641"/>
      <c r="P416" s="641"/>
      <c r="Q416" s="641"/>
      <c r="T416" s="3056" t="s">
        <v>1748</v>
      </c>
      <c r="U416" s="3063">
        <v>0</v>
      </c>
    </row>
    <row r="417" spans="1:21" ht="18">
      <c r="A417" s="1648" t="str">
        <f t="shared" si="150"/>
        <v>N</v>
      </c>
      <c r="B417" s="1647">
        <f t="shared" si="151"/>
        <v>1</v>
      </c>
      <c r="C417" s="1647" t="str">
        <f t="shared" si="149"/>
        <v>J</v>
      </c>
      <c r="D417" s="1659">
        <v>8372</v>
      </c>
      <c r="E417" s="888" t="str">
        <f t="shared" si="152"/>
        <v>库存股_盈余公积转增资本影响权益</v>
      </c>
      <c r="F417" s="884">
        <f t="shared" si="162"/>
        <v>0</v>
      </c>
      <c r="G417" s="885">
        <f>SUMIF(AJE!$B:$B,$C417&amp;$D417&amp;"*",AJE!$O:$O)</f>
        <v>0</v>
      </c>
      <c r="H417" s="885">
        <f>SUMIF(AJE!$B:$B,$C417&amp;$D417&amp;"*",AJE!$P:$P)</f>
        <v>0</v>
      </c>
      <c r="I417" s="913">
        <f t="shared" si="163"/>
        <v>0</v>
      </c>
      <c r="J417" s="914">
        <f t="shared" si="155"/>
        <v>0</v>
      </c>
      <c r="K417" s="885">
        <f>SUMIF('AJE1'!$B:$B,$C417&amp;$D417&amp;"*",'AJE1'!$O:$O)</f>
        <v>0</v>
      </c>
      <c r="L417" s="885">
        <f>SUMIF('AJE1'!$B:$B,$C417&amp;$D417&amp;"*",'AJE1'!$P:$P)</f>
        <v>0</v>
      </c>
      <c r="M417" s="891">
        <f t="shared" si="164"/>
        <v>0</v>
      </c>
      <c r="N417" s="641"/>
      <c r="O417" s="641"/>
      <c r="P417" s="641"/>
      <c r="Q417" s="641"/>
      <c r="T417" s="3056" t="s">
        <v>1753</v>
      </c>
      <c r="U417" s="3063">
        <v>0</v>
      </c>
    </row>
    <row r="418" spans="1:21" ht="18">
      <c r="A418" s="1648" t="str">
        <f t="shared" si="150"/>
        <v>N</v>
      </c>
      <c r="B418" s="1647">
        <f t="shared" si="151"/>
        <v>1</v>
      </c>
      <c r="C418" s="1647" t="str">
        <f t="shared" si="149"/>
        <v>J</v>
      </c>
      <c r="D418" s="1659">
        <v>8373</v>
      </c>
      <c r="E418" s="888" t="str">
        <f t="shared" si="152"/>
        <v>库存股_盈余公积弥补亏损影响权益</v>
      </c>
      <c r="F418" s="884">
        <f t="shared" si="162"/>
        <v>0</v>
      </c>
      <c r="G418" s="885">
        <f>SUMIF(AJE!$B:$B,$C418&amp;$D418&amp;"*",AJE!$O:$O)</f>
        <v>0</v>
      </c>
      <c r="H418" s="885">
        <f>SUMIF(AJE!$B:$B,$C418&amp;$D418&amp;"*",AJE!$P:$P)</f>
        <v>0</v>
      </c>
      <c r="I418" s="913">
        <f t="shared" si="163"/>
        <v>0</v>
      </c>
      <c r="J418" s="914">
        <f t="shared" si="155"/>
        <v>0</v>
      </c>
      <c r="K418" s="885">
        <f>SUMIF('AJE1'!$B:$B,$C418&amp;$D418&amp;"*",'AJE1'!$O:$O)</f>
        <v>0</v>
      </c>
      <c r="L418" s="885">
        <f>SUMIF('AJE1'!$B:$B,$C418&amp;$D418&amp;"*",'AJE1'!$P:$P)</f>
        <v>0</v>
      </c>
      <c r="M418" s="891">
        <f t="shared" si="164"/>
        <v>0</v>
      </c>
      <c r="N418" s="641"/>
      <c r="O418" s="641"/>
      <c r="P418" s="641"/>
      <c r="Q418" s="641"/>
      <c r="T418" s="3056" t="s">
        <v>1758</v>
      </c>
      <c r="U418" s="3063">
        <v>0</v>
      </c>
    </row>
    <row r="419" spans="1:21" ht="24">
      <c r="A419" s="1648" t="str">
        <f t="shared" si="150"/>
        <v>OEI</v>
      </c>
      <c r="B419" s="1647">
        <f t="shared" si="151"/>
        <v>1</v>
      </c>
      <c r="C419" s="1647" t="str">
        <f t="shared" si="149"/>
        <v>J</v>
      </c>
      <c r="D419" s="1659">
        <v>8375</v>
      </c>
      <c r="E419" s="888" t="str">
        <f t="shared" si="152"/>
        <v>库存股_设定受益计划变动额结转留存收益</v>
      </c>
      <c r="F419" s="884">
        <f t="shared" si="162"/>
        <v>0</v>
      </c>
      <c r="G419" s="885">
        <f>SUMIF(AJE!$B:$B,$C419&amp;$D419&amp;"*",AJE!$O:$O)</f>
        <v>0</v>
      </c>
      <c r="H419" s="885">
        <f>SUMIF(AJE!$B:$B,$C419&amp;$D419&amp;"*",AJE!$P:$P)</f>
        <v>0</v>
      </c>
      <c r="I419" s="913">
        <f t="shared" si="163"/>
        <v>0</v>
      </c>
      <c r="J419" s="914">
        <f>INDEX(Sheet_Presc,MATCH((RIGHT($D419,2)),Sheet_Prescrow,0),MATCH((VALUE(LEFT($D419,2))),Sheet_Presccol,0))</f>
        <v>0</v>
      </c>
      <c r="K419" s="885">
        <f>SUMIF('AJE1'!$B:$B,$C419&amp;$D419&amp;"*",'AJE1'!$O:$O)</f>
        <v>0</v>
      </c>
      <c r="L419" s="885">
        <f>SUMIF('AJE1'!$B:$B,$C419&amp;$D419&amp;"*",'AJE1'!$P:$P)</f>
        <v>0</v>
      </c>
      <c r="M419" s="891">
        <f t="shared" si="164"/>
        <v>0</v>
      </c>
      <c r="N419" s="641"/>
      <c r="O419" s="641"/>
      <c r="P419" s="641"/>
      <c r="Q419" s="641"/>
      <c r="T419" s="3056" t="s">
        <v>1763</v>
      </c>
      <c r="U419" s="3063">
        <v>0</v>
      </c>
    </row>
    <row r="420" spans="1:21" ht="18">
      <c r="A420" s="1648" t="str">
        <f>VLOOKUP($D420,Sheet_Items,4,0)</f>
        <v>_JR</v>
      </c>
      <c r="B420" s="1647">
        <f>VLOOKUP($D420,Sheet_Items,3,0)</f>
        <v>1</v>
      </c>
      <c r="C420" s="1647" t="str">
        <f>VLOOKUP($D420,Sheet_Items,9,0)</f>
        <v>J</v>
      </c>
      <c r="D420" s="1659">
        <v>8377</v>
      </c>
      <c r="E420" s="889" t="str">
        <f>VLOOKUP($D420,Sheet_Items,2,0)</f>
        <v>库存股_其他综合收益结转留存收益</v>
      </c>
      <c r="F420" s="884">
        <f t="shared" si="162"/>
        <v>0</v>
      </c>
      <c r="G420" s="885">
        <f>SUMIF(AJE!$B:$B,$C420&amp;$D420&amp;"*",AJE!$O:$O)</f>
        <v>0</v>
      </c>
      <c r="H420" s="885">
        <f>SUMIF(AJE!$B:$B,$C420&amp;$D420&amp;"*",AJE!$P:$P)</f>
        <v>0</v>
      </c>
      <c r="I420" s="913">
        <f t="shared" si="163"/>
        <v>0</v>
      </c>
      <c r="J420" s="914">
        <f>INDEX(Sheet_Presc,MATCH((RIGHT($D420,2)),Sheet_Prescrow,0),MATCH((VALUE(LEFT($D420,2))),Sheet_Presccol,0))</f>
        <v>0</v>
      </c>
      <c r="K420" s="885">
        <f>SUMIF('AJE1'!$B:$B,$C420&amp;$D420&amp;"*",'AJE1'!$O:$O)</f>
        <v>0</v>
      </c>
      <c r="L420" s="885">
        <f>SUMIF('AJE1'!$B:$B,$C420&amp;$D420&amp;"*",'AJE1'!$P:$P)</f>
        <v>0</v>
      </c>
      <c r="M420" s="891">
        <f t="shared" si="164"/>
        <v>0</v>
      </c>
      <c r="N420" s="641"/>
      <c r="O420" s="641"/>
      <c r="P420" s="641"/>
      <c r="Q420" s="641"/>
      <c r="T420" s="3056" t="s">
        <v>1768</v>
      </c>
      <c r="U420" s="3063">
        <v>0</v>
      </c>
    </row>
    <row r="421" spans="1:21" ht="18">
      <c r="A421" s="1648">
        <f t="shared" si="150"/>
        <v>0</v>
      </c>
      <c r="B421" s="1647">
        <f t="shared" si="151"/>
        <v>1</v>
      </c>
      <c r="C421" s="1647" t="str">
        <f t="shared" si="149"/>
        <v>J</v>
      </c>
      <c r="D421" s="1659">
        <v>8376</v>
      </c>
      <c r="E421" s="888" t="str">
        <f t="shared" si="152"/>
        <v>库存股_所有者权益其他内部结转</v>
      </c>
      <c r="F421" s="884">
        <f t="shared" si="162"/>
        <v>0</v>
      </c>
      <c r="G421" s="885">
        <f>SUMIF(AJE!$B:$B,$C421&amp;$D421&amp;"*",AJE!$O:$O)</f>
        <v>0</v>
      </c>
      <c r="H421" s="885">
        <f>SUMIF(AJE!$B:$B,$C421&amp;$D421&amp;"*",AJE!$P:$P)</f>
        <v>0</v>
      </c>
      <c r="I421" s="913">
        <f t="shared" si="163"/>
        <v>0</v>
      </c>
      <c r="J421" s="914">
        <f t="shared" si="155"/>
        <v>0</v>
      </c>
      <c r="K421" s="885">
        <f>SUMIF('AJE1'!$B:$B,$C421&amp;$D421&amp;"*",'AJE1'!$O:$O)</f>
        <v>0</v>
      </c>
      <c r="L421" s="885">
        <f>SUMIF('AJE1'!$B:$B,$C421&amp;$D421&amp;"*",'AJE1'!$P:$P)</f>
        <v>0</v>
      </c>
      <c r="M421" s="891">
        <f t="shared" si="164"/>
        <v>0</v>
      </c>
      <c r="N421" s="641"/>
      <c r="O421" s="641"/>
      <c r="P421" s="641"/>
      <c r="Q421" s="641"/>
      <c r="T421" s="3056" t="s">
        <v>1771</v>
      </c>
      <c r="U421" s="3063">
        <v>0</v>
      </c>
    </row>
    <row r="422" spans="1:21" ht="18">
      <c r="A422" s="1648" t="str">
        <f t="shared" si="150"/>
        <v>＝</v>
      </c>
      <c r="B422" s="1647">
        <f t="shared" si="151"/>
        <v>0</v>
      </c>
      <c r="C422" s="1647">
        <f t="shared" si="149"/>
        <v>0</v>
      </c>
      <c r="D422" s="1659">
        <v>8380</v>
      </c>
      <c r="E422" s="888" t="str">
        <f t="shared" si="152"/>
        <v>库存股_专项储备影响权益</v>
      </c>
      <c r="F422" s="884">
        <f>SUM(F423:F424)</f>
        <v>0</v>
      </c>
      <c r="G422" s="885">
        <f t="shared" ref="G422:M422" si="165">SUM(G423:G424)</f>
        <v>0</v>
      </c>
      <c r="H422" s="885">
        <f t="shared" si="165"/>
        <v>0</v>
      </c>
      <c r="I422" s="913">
        <f t="shared" si="165"/>
        <v>0</v>
      </c>
      <c r="J422" s="914">
        <f t="shared" si="165"/>
        <v>0</v>
      </c>
      <c r="K422" s="885">
        <f t="shared" si="165"/>
        <v>0</v>
      </c>
      <c r="L422" s="885">
        <f t="shared" si="165"/>
        <v>0</v>
      </c>
      <c r="M422" s="891">
        <f t="shared" si="165"/>
        <v>0</v>
      </c>
      <c r="N422" s="641"/>
      <c r="O422" s="641"/>
      <c r="P422" s="641"/>
      <c r="Q422" s="641"/>
      <c r="T422" s="3056" t="s">
        <v>1777</v>
      </c>
      <c r="U422" s="3063">
        <v>0</v>
      </c>
    </row>
    <row r="423" spans="1:21" ht="18">
      <c r="A423" s="1648" t="str">
        <f t="shared" si="150"/>
        <v>N</v>
      </c>
      <c r="B423" s="1647">
        <f t="shared" si="151"/>
        <v>1</v>
      </c>
      <c r="C423" s="1647" t="str">
        <f t="shared" si="149"/>
        <v>J</v>
      </c>
      <c r="D423" s="1659">
        <v>8381</v>
      </c>
      <c r="E423" s="888" t="str">
        <f t="shared" si="152"/>
        <v>库存股_专项储备本期提取</v>
      </c>
      <c r="F423" s="884">
        <f>INDEX(Sheet_Presc,MATCH((RIGHT($D423,2)),Sheet_Prescrow,0),MATCH((LEFT($D423,2)),Sheet_Presccol,0))</f>
        <v>0</v>
      </c>
      <c r="G423" s="885">
        <f>SUMIF(AJE!$B:$B,$C423&amp;$D423&amp;"*",AJE!$O:$O)</f>
        <v>0</v>
      </c>
      <c r="H423" s="885">
        <f>SUMIF(AJE!$B:$B,$C423&amp;$D423&amp;"*",AJE!$P:$P)</f>
        <v>0</v>
      </c>
      <c r="I423" s="913">
        <f>(B423*F423+G423-H423)*B423</f>
        <v>0</v>
      </c>
      <c r="J423" s="914">
        <f t="shared" si="155"/>
        <v>0</v>
      </c>
      <c r="K423" s="885">
        <f>SUMIF('AJE1'!$B:$B,$C423&amp;$D423&amp;"*",'AJE1'!$O:$O)</f>
        <v>0</v>
      </c>
      <c r="L423" s="885">
        <f>SUMIF('AJE1'!$B:$B,$C423&amp;$D423&amp;"*",'AJE1'!$P:$P)</f>
        <v>0</v>
      </c>
      <c r="M423" s="891">
        <f>($B423*J423+K423-L423)*$B423</f>
        <v>0</v>
      </c>
      <c r="N423" s="641"/>
      <c r="O423" s="641"/>
      <c r="P423" s="641"/>
      <c r="Q423" s="641"/>
      <c r="T423" s="3056" t="s">
        <v>1782</v>
      </c>
      <c r="U423" s="3063">
        <v>0</v>
      </c>
    </row>
    <row r="424" spans="1:21" ht="18">
      <c r="A424" s="1648" t="str">
        <f t="shared" si="150"/>
        <v>N</v>
      </c>
      <c r="B424" s="1647">
        <f t="shared" si="151"/>
        <v>1</v>
      </c>
      <c r="C424" s="1647" t="str">
        <f t="shared" si="149"/>
        <v>J</v>
      </c>
      <c r="D424" s="1659">
        <v>8382</v>
      </c>
      <c r="E424" s="888" t="str">
        <f t="shared" si="152"/>
        <v>库存股_专项储备本期使用</v>
      </c>
      <c r="F424" s="884">
        <f>INDEX(Sheet_Presc,MATCH((RIGHT($D424,2)),Sheet_Prescrow,0),MATCH((LEFT($D424,2)),Sheet_Presccol,0))</f>
        <v>0</v>
      </c>
      <c r="G424" s="885">
        <f>SUMIF(AJE!$B:$B,$C424&amp;$D424&amp;"*",AJE!$O:$O)</f>
        <v>0</v>
      </c>
      <c r="H424" s="885">
        <f>SUMIF(AJE!$B:$B,$C424&amp;$D424&amp;"*",AJE!$P:$P)</f>
        <v>0</v>
      </c>
      <c r="I424" s="913">
        <f>(B424*F424+G424-H424)*B424</f>
        <v>0</v>
      </c>
      <c r="J424" s="914">
        <f t="shared" si="155"/>
        <v>0</v>
      </c>
      <c r="K424" s="885">
        <f>SUMIF('AJE1'!$B:$B,$C424&amp;$D424&amp;"*",'AJE1'!$O:$O)</f>
        <v>0</v>
      </c>
      <c r="L424" s="885">
        <f>SUMIF('AJE1'!$B:$B,$C424&amp;$D424&amp;"*",'AJE1'!$P:$P)</f>
        <v>0</v>
      </c>
      <c r="M424" s="891">
        <f>($B424*J424+K424-L424)*$B424</f>
        <v>0</v>
      </c>
      <c r="N424" s="641"/>
      <c r="O424" s="641"/>
      <c r="P424" s="641"/>
      <c r="Q424" s="641"/>
      <c r="T424" s="3056" t="s">
        <v>1787</v>
      </c>
      <c r="U424" s="3063">
        <v>0</v>
      </c>
    </row>
    <row r="425" spans="1:21" ht="18">
      <c r="A425" s="1648" t="str">
        <f t="shared" si="150"/>
        <v>LOW</v>
      </c>
      <c r="B425" s="1647">
        <f t="shared" si="151"/>
        <v>1</v>
      </c>
      <c r="C425" s="1647" t="str">
        <f t="shared" si="149"/>
        <v>J</v>
      </c>
      <c r="D425" s="1659">
        <v>8396</v>
      </c>
      <c r="E425" s="888" t="str">
        <f t="shared" si="152"/>
        <v>库存股_本期其他增减变动</v>
      </c>
      <c r="F425" s="884">
        <f>INDEX(Sheet_Presc,MATCH((RIGHT($D425,2)),Sheet_Prescrow,0),MATCH((LEFT($D425,2)),Sheet_Presccol,0))</f>
        <v>0</v>
      </c>
      <c r="G425" s="885">
        <f>SUMIF(AJE!$B:$B,$C425&amp;$D425&amp;"*",AJE!$O:$O)</f>
        <v>0</v>
      </c>
      <c r="H425" s="885">
        <f>SUMIF(AJE!$B:$B,$C425&amp;$D425&amp;"*",AJE!$P:$P)</f>
        <v>0</v>
      </c>
      <c r="I425" s="913">
        <f>(B425*F425+G425-H425)*B425</f>
        <v>0</v>
      </c>
      <c r="J425" s="914">
        <f t="shared" si="155"/>
        <v>0</v>
      </c>
      <c r="K425" s="885">
        <f>SUMIF('AJE1'!$B:$B,$C425&amp;$D425&amp;"*",'AJE1'!$O:$O)</f>
        <v>0</v>
      </c>
      <c r="L425" s="885">
        <f>SUMIF('AJE1'!$B:$B,$C425&amp;$D425&amp;"*",'AJE1'!$P:$P)</f>
        <v>0</v>
      </c>
      <c r="M425" s="891">
        <f>($B425*J425+K425-L425)*$B425</f>
        <v>0</v>
      </c>
      <c r="N425" s="641"/>
      <c r="O425" s="641"/>
      <c r="P425" s="641"/>
      <c r="Q425" s="641"/>
      <c r="T425" s="3056" t="s">
        <v>1792</v>
      </c>
      <c r="U425" s="3063">
        <v>0</v>
      </c>
    </row>
    <row r="426" spans="1:21" ht="18">
      <c r="A426" s="1648" t="str">
        <f t="shared" si="150"/>
        <v>＝</v>
      </c>
      <c r="B426" s="1647">
        <f t="shared" si="151"/>
        <v>0</v>
      </c>
      <c r="C426" s="1647">
        <f t="shared" si="149"/>
        <v>0</v>
      </c>
      <c r="D426" s="1659">
        <v>8399</v>
      </c>
      <c r="E426" s="888" t="str">
        <f t="shared" si="152"/>
        <v>库存股_本期期末余额</v>
      </c>
      <c r="F426" s="884">
        <f t="shared" ref="F426:M426" si="166">SUM(F400,F401)</f>
        <v>0</v>
      </c>
      <c r="G426" s="885">
        <f t="shared" si="166"/>
        <v>0</v>
      </c>
      <c r="H426" s="885">
        <f t="shared" si="166"/>
        <v>0</v>
      </c>
      <c r="I426" s="913">
        <f t="shared" si="166"/>
        <v>0</v>
      </c>
      <c r="J426" s="914">
        <f t="shared" si="166"/>
        <v>0</v>
      </c>
      <c r="K426" s="885">
        <f t="shared" si="166"/>
        <v>0</v>
      </c>
      <c r="L426" s="885">
        <f t="shared" si="166"/>
        <v>0</v>
      </c>
      <c r="M426" s="891">
        <f t="shared" si="166"/>
        <v>0</v>
      </c>
      <c r="N426" s="641"/>
      <c r="O426" s="641"/>
      <c r="P426" s="641"/>
      <c r="Q426" s="641"/>
      <c r="T426" s="3056" t="s">
        <v>1797</v>
      </c>
      <c r="U426" s="3063">
        <v>0</v>
      </c>
    </row>
    <row r="427" spans="1:21" ht="18">
      <c r="A427" s="1648" t="str">
        <f t="shared" si="150"/>
        <v>：</v>
      </c>
      <c r="B427" s="1647">
        <f t="shared" si="151"/>
        <v>0</v>
      </c>
      <c r="C427" s="1647">
        <f t="shared" si="149"/>
        <v>0</v>
      </c>
      <c r="D427" s="1659" t="s">
        <v>1674</v>
      </c>
      <c r="E427" s="890" t="str">
        <f t="shared" si="152"/>
        <v>其他综合收益增减变动</v>
      </c>
      <c r="F427" s="884"/>
      <c r="G427" s="885"/>
      <c r="H427" s="885"/>
      <c r="I427" s="913"/>
      <c r="J427" s="914"/>
      <c r="K427" s="885"/>
      <c r="L427" s="885"/>
      <c r="M427" s="891"/>
      <c r="N427" s="641"/>
      <c r="O427" s="641"/>
      <c r="P427" s="641"/>
      <c r="Q427" s="641"/>
      <c r="T427" s="3056" t="s">
        <v>1802</v>
      </c>
      <c r="U427" s="3063">
        <v>0</v>
      </c>
    </row>
    <row r="428" spans="1:21" ht="18">
      <c r="A428" s="1648">
        <f t="shared" si="150"/>
        <v>0</v>
      </c>
      <c r="B428" s="1647">
        <f t="shared" si="151"/>
        <v>-1</v>
      </c>
      <c r="C428" s="1647" t="str">
        <f t="shared" si="149"/>
        <v>J</v>
      </c>
      <c r="D428" s="1659" t="s">
        <v>1679</v>
      </c>
      <c r="E428" s="888" t="str">
        <f t="shared" si="152"/>
        <v>其他综合收益_上年年末余额</v>
      </c>
      <c r="F428" s="884">
        <f>INDEX(Sheet_Presc,MATCH((RIGHT($D428,2)),Sheet_Prescrow,0),MATCH((LEFT($D428,2)),Sheet_Presccol,0))</f>
        <v>0</v>
      </c>
      <c r="G428" s="885">
        <f>SUMIF(AJE!$B:$B,$C428&amp;$D428&amp;"*",AJE!$O:$O)</f>
        <v>0</v>
      </c>
      <c r="H428" s="885">
        <f>SUMIF(AJE!$B:$B,$C428&amp;$D428&amp;"*",AJE!$P:$P)</f>
        <v>0</v>
      </c>
      <c r="I428" s="913">
        <f>(B428*F428+G428-H428)*B428</f>
        <v>0</v>
      </c>
      <c r="J428" s="914">
        <f ca="1">OFFSET(INDEX(Sheet_Presc,MATCH((RIGHT($D428,2)),Sheet_Prescrow,0),MATCH((LEFT($D428,2)),Sheet_Presccol,0)),0,(COLUMNS(Sheet_Presccol)-2)/2)</f>
        <v>0</v>
      </c>
      <c r="K428" s="885">
        <f>SUMIF('AJE1'!$B:$B,$C428&amp;$D428&amp;"*",'AJE1'!$O:$O)</f>
        <v>0</v>
      </c>
      <c r="L428" s="885">
        <f>SUMIF('AJE1'!$B:$B,$C428&amp;$D428&amp;"*",'AJE1'!$P:$P)</f>
        <v>0</v>
      </c>
      <c r="M428" s="891">
        <f ca="1">($B428*J428+K428-L428)*$B428</f>
        <v>0</v>
      </c>
      <c r="N428" s="641"/>
      <c r="O428" s="641"/>
      <c r="P428" s="641"/>
      <c r="Q428" s="641"/>
      <c r="T428" s="3056" t="s">
        <v>1807</v>
      </c>
      <c r="U428" s="3063">
        <v>0</v>
      </c>
    </row>
    <row r="429" spans="1:21" ht="24">
      <c r="A429" s="1648">
        <f t="shared" si="150"/>
        <v>0</v>
      </c>
      <c r="B429" s="1647">
        <f t="shared" si="151"/>
        <v>-1</v>
      </c>
      <c r="C429" s="1647" t="str">
        <f t="shared" si="149"/>
        <v>J</v>
      </c>
      <c r="D429" s="1659" t="s">
        <v>1684</v>
      </c>
      <c r="E429" s="888" t="str">
        <f t="shared" si="152"/>
        <v>其他综合收益_会计政策变更调整上年年末余额</v>
      </c>
      <c r="F429" s="884">
        <f>INDEX(Sheet_Presc,MATCH((RIGHT($D429,2)),Sheet_Prescrow,0),MATCH((LEFT($D429,2)),Sheet_Presccol,0))</f>
        <v>0</v>
      </c>
      <c r="G429" s="885">
        <f>SUMIF(AJE!$B:$B,$C429&amp;$D429&amp;"*",AJE!$O:$O)</f>
        <v>0</v>
      </c>
      <c r="H429" s="885">
        <f>SUMIF(AJE!$B:$B,$C429&amp;$D429&amp;"*",AJE!$P:$P)</f>
        <v>0</v>
      </c>
      <c r="I429" s="913">
        <f>(B429*F429+G429-H429)*B429</f>
        <v>0</v>
      </c>
      <c r="J429" s="914">
        <f ca="1">OFFSET(INDEX(Sheet_Presc,MATCH((RIGHT($D429,2)),Sheet_Prescrow,0),MATCH((LEFT($D429,2)),Sheet_Presccol,0)),0,(COLUMNS(Sheet_Presccol)-2)/2)</f>
        <v>0</v>
      </c>
      <c r="K429" s="885">
        <f>SUMIF('AJE1'!$B:$B,$C429&amp;$D429&amp;"*",'AJE1'!$O:$O)</f>
        <v>0</v>
      </c>
      <c r="L429" s="885">
        <f>SUMIF('AJE1'!$B:$B,$C429&amp;$D429&amp;"*",'AJE1'!$P:$P)</f>
        <v>0</v>
      </c>
      <c r="M429" s="891">
        <f ca="1">($B429*J429+K429-L429)*$B429</f>
        <v>0</v>
      </c>
      <c r="N429" s="641"/>
      <c r="O429" s="641"/>
      <c r="P429" s="641"/>
      <c r="Q429" s="641"/>
      <c r="T429" s="3056" t="s">
        <v>1812</v>
      </c>
      <c r="U429" s="3063">
        <v>0</v>
      </c>
    </row>
    <row r="430" spans="1:21" ht="24">
      <c r="A430" s="1648">
        <f t="shared" si="150"/>
        <v>0</v>
      </c>
      <c r="B430" s="1647">
        <f t="shared" si="151"/>
        <v>-1</v>
      </c>
      <c r="C430" s="1647" t="str">
        <f t="shared" si="149"/>
        <v>J</v>
      </c>
      <c r="D430" s="1659" t="s">
        <v>1689</v>
      </c>
      <c r="E430" s="888" t="str">
        <f t="shared" si="152"/>
        <v>其他综合收益_前期差错更正调整上年年末余额</v>
      </c>
      <c r="F430" s="884">
        <f>INDEX(Sheet_Presc,MATCH((RIGHT($D430,2)),Sheet_Prescrow,0),MATCH((LEFT($D430,2)),Sheet_Presccol,0))</f>
        <v>0</v>
      </c>
      <c r="G430" s="885">
        <f>SUMIF(AJE!$B:$B,$C430&amp;$D430&amp;"*",AJE!$O:$O)</f>
        <v>0</v>
      </c>
      <c r="H430" s="885">
        <f>SUMIF(AJE!$B:$B,$C430&amp;$D430&amp;"*",AJE!$P:$P)</f>
        <v>0</v>
      </c>
      <c r="I430" s="913">
        <f>(B430*F430+G430-H430)*B430</f>
        <v>0</v>
      </c>
      <c r="J430" s="914">
        <f ca="1">OFFSET(INDEX(Sheet_Presc,MATCH((RIGHT($D430,2)),Sheet_Prescrow,0),MATCH((LEFT($D430,2)),Sheet_Presccol,0)),0,(COLUMNS(Sheet_Presccol)-2)/2)</f>
        <v>0</v>
      </c>
      <c r="K430" s="885">
        <f>SUMIF('AJE1'!$B:$B,$C430&amp;$D430&amp;"*",'AJE1'!$O:$O)</f>
        <v>0</v>
      </c>
      <c r="L430" s="885">
        <f>SUMIF('AJE1'!$B:$B,$C430&amp;$D430&amp;"*",'AJE1'!$P:$P)</f>
        <v>0</v>
      </c>
      <c r="M430" s="891">
        <f ca="1">($B430*J430+K430-L430)*$B430</f>
        <v>0</v>
      </c>
      <c r="N430" s="641"/>
      <c r="O430" s="641"/>
      <c r="P430" s="641"/>
      <c r="Q430" s="641"/>
      <c r="T430" s="3056" t="s">
        <v>1817</v>
      </c>
      <c r="U430" s="3063">
        <v>0</v>
      </c>
    </row>
    <row r="431" spans="1:21" ht="24">
      <c r="A431" s="1648" t="str">
        <f t="shared" si="150"/>
        <v>※</v>
      </c>
      <c r="B431" s="1647">
        <f t="shared" si="151"/>
        <v>-1</v>
      </c>
      <c r="C431" s="1647" t="str">
        <f t="shared" si="149"/>
        <v>J</v>
      </c>
      <c r="D431" s="1659" t="s">
        <v>1694</v>
      </c>
      <c r="E431" s="888" t="str">
        <f t="shared" si="152"/>
        <v>其他综合收益_同一控制下企业合并调整上年年末余额</v>
      </c>
      <c r="F431" s="884">
        <f>INDEX(Sheet_Presc,MATCH((RIGHT($D431,2)),Sheet_Prescrow,0),MATCH((LEFT($D431,2)),Sheet_Presccol,0))</f>
        <v>0</v>
      </c>
      <c r="G431" s="885">
        <f>SUMIF(AJE!$B:$B,$C431&amp;$D431&amp;"*",AJE!$O:$O)</f>
        <v>0</v>
      </c>
      <c r="H431" s="885">
        <f>SUMIF(AJE!$B:$B,$C431&amp;$D431&amp;"*",AJE!$P:$P)</f>
        <v>0</v>
      </c>
      <c r="I431" s="913">
        <f>(B431*F431+G431-H431)*B431</f>
        <v>0</v>
      </c>
      <c r="J431" s="914">
        <f ca="1">OFFSET(INDEX(Sheet_Presc,MATCH((RIGHT($D431,2)),Sheet_Prescrow,0),MATCH((LEFT($D431,2)),Sheet_Presccol,0)),0,(COLUMNS(Sheet_Presccol)-2)/2)</f>
        <v>0</v>
      </c>
      <c r="K431" s="885">
        <f>SUMIF('AJE1'!$B:$B,$C431&amp;$D431&amp;"*",'AJE1'!$O:$O)</f>
        <v>0</v>
      </c>
      <c r="L431" s="885">
        <f>SUMIF('AJE1'!$B:$B,$C431&amp;$D431&amp;"*",'AJE1'!$P:$P)</f>
        <v>0</v>
      </c>
      <c r="M431" s="891">
        <f ca="1">($B431*J431+K431-L431)*$B431</f>
        <v>0</v>
      </c>
      <c r="N431" s="641"/>
      <c r="O431" s="641"/>
      <c r="P431" s="641"/>
      <c r="Q431" s="641"/>
      <c r="T431" s="3056">
        <v>8400</v>
      </c>
      <c r="U431" s="3063">
        <v>0</v>
      </c>
    </row>
    <row r="432" spans="1:21" ht="24">
      <c r="A432" s="1648">
        <f t="shared" si="150"/>
        <v>0</v>
      </c>
      <c r="B432" s="1647">
        <f t="shared" si="151"/>
        <v>-1</v>
      </c>
      <c r="C432" s="1647" t="str">
        <f t="shared" si="149"/>
        <v>J</v>
      </c>
      <c r="D432" s="1659" t="s">
        <v>1699</v>
      </c>
      <c r="E432" s="888" t="str">
        <f t="shared" si="152"/>
        <v>其他综合收益_其他原因调整上年年末余额</v>
      </c>
      <c r="F432" s="884">
        <f>INDEX(Sheet_Presc,MATCH((RIGHT($D432,2)),Sheet_Prescrow,0),MATCH((LEFT($D432,2)),Sheet_Presccol,0))</f>
        <v>0</v>
      </c>
      <c r="G432" s="885">
        <f>SUMIF(AJE!$B:$B,$C432&amp;$D432&amp;"*",AJE!$O:$O)</f>
        <v>0</v>
      </c>
      <c r="H432" s="885">
        <f>SUMIF(AJE!$B:$B,$C432&amp;$D432&amp;"*",AJE!$P:$P)</f>
        <v>0</v>
      </c>
      <c r="I432" s="913">
        <f>(B432*F432+G432-H432)*B432</f>
        <v>0</v>
      </c>
      <c r="J432" s="914">
        <f ca="1">OFFSET(INDEX(Sheet_Presc,MATCH((RIGHT($D432,2)),Sheet_Prescrow,0),MATCH((LEFT($D432,2)),Sheet_Presccol,0)),0,(COLUMNS(Sheet_Presccol)-2)/2)</f>
        <v>0</v>
      </c>
      <c r="K432" s="885">
        <f>SUMIF('AJE1'!$B:$B,$C432&amp;$D432&amp;"*",'AJE1'!$O:$O)</f>
        <v>0</v>
      </c>
      <c r="L432" s="885">
        <f>SUMIF('AJE1'!$B:$B,$C432&amp;$D432&amp;"*",'AJE1'!$P:$P)</f>
        <v>0</v>
      </c>
      <c r="M432" s="891">
        <f ca="1">($B432*J432+K432-L432)*$B432</f>
        <v>0</v>
      </c>
      <c r="N432" s="641"/>
      <c r="O432" s="641"/>
      <c r="P432" s="641"/>
      <c r="Q432" s="641"/>
      <c r="T432" s="3056">
        <v>8401</v>
      </c>
      <c r="U432" s="3063">
        <v>0</v>
      </c>
    </row>
    <row r="433" spans="1:21" ht="18">
      <c r="A433" s="1648" t="str">
        <f t="shared" si="150"/>
        <v>＝</v>
      </c>
      <c r="B433" s="1647">
        <f t="shared" si="151"/>
        <v>0</v>
      </c>
      <c r="C433" s="1647">
        <f t="shared" si="149"/>
        <v>0</v>
      </c>
      <c r="D433" s="1659" t="s">
        <v>1704</v>
      </c>
      <c r="E433" s="890" t="str">
        <f t="shared" si="152"/>
        <v>其他综合收益_本年年初余额</v>
      </c>
      <c r="F433" s="884">
        <f t="shared" ref="F433:M433" si="167">SUM(F428:F432)</f>
        <v>0</v>
      </c>
      <c r="G433" s="885">
        <f t="shared" si="167"/>
        <v>0</v>
      </c>
      <c r="H433" s="885">
        <f t="shared" si="167"/>
        <v>0</v>
      </c>
      <c r="I433" s="913">
        <f t="shared" si="167"/>
        <v>0</v>
      </c>
      <c r="J433" s="914">
        <f t="shared" ca="1" si="167"/>
        <v>0</v>
      </c>
      <c r="K433" s="885">
        <f t="shared" si="167"/>
        <v>0</v>
      </c>
      <c r="L433" s="885">
        <f t="shared" si="167"/>
        <v>0</v>
      </c>
      <c r="M433" s="891">
        <f t="shared" ca="1" si="167"/>
        <v>0</v>
      </c>
      <c r="N433" s="641"/>
      <c r="O433" s="641"/>
      <c r="P433" s="641"/>
      <c r="Q433" s="641"/>
      <c r="T433" s="3056">
        <v>8402</v>
      </c>
      <c r="U433" s="3063">
        <v>0</v>
      </c>
    </row>
    <row r="434" spans="1:21" ht="18">
      <c r="A434" s="1648" t="str">
        <f t="shared" si="150"/>
        <v>＝</v>
      </c>
      <c r="B434" s="1647">
        <f t="shared" si="151"/>
        <v>0</v>
      </c>
      <c r="C434" s="1647">
        <f t="shared" si="149"/>
        <v>0</v>
      </c>
      <c r="D434" s="1659" t="s">
        <v>1709</v>
      </c>
      <c r="E434" s="890" t="str">
        <f t="shared" si="152"/>
        <v>其他综合收益_本期增减变动金额</v>
      </c>
      <c r="F434" s="884">
        <f t="shared" ref="F434:M434" si="168">SUM(F435,F436,F441,F446,F453,F456)</f>
        <v>0</v>
      </c>
      <c r="G434" s="885">
        <f t="shared" si="168"/>
        <v>0</v>
      </c>
      <c r="H434" s="885">
        <f t="shared" si="168"/>
        <v>0</v>
      </c>
      <c r="I434" s="913">
        <f t="shared" si="168"/>
        <v>0</v>
      </c>
      <c r="J434" s="914">
        <f t="shared" ca="1" si="168"/>
        <v>0</v>
      </c>
      <c r="K434" s="885">
        <f t="shared" si="168"/>
        <v>0</v>
      </c>
      <c r="L434" s="885">
        <f t="shared" si="168"/>
        <v>0</v>
      </c>
      <c r="M434" s="891">
        <f t="shared" ca="1" si="168"/>
        <v>0</v>
      </c>
      <c r="N434" s="641"/>
      <c r="O434" s="641"/>
      <c r="P434" s="641"/>
      <c r="Q434" s="641"/>
      <c r="T434" s="3056">
        <v>8403</v>
      </c>
      <c r="U434" s="3063">
        <v>0</v>
      </c>
    </row>
    <row r="435" spans="1:21" ht="24">
      <c r="A435" s="1648">
        <f t="shared" si="150"/>
        <v>0</v>
      </c>
      <c r="B435" s="1647">
        <f t="shared" si="151"/>
        <v>-1</v>
      </c>
      <c r="C435" s="1647">
        <f t="shared" si="149"/>
        <v>0</v>
      </c>
      <c r="D435" s="1659" t="s">
        <v>1714</v>
      </c>
      <c r="E435" s="888" t="str">
        <f t="shared" si="152"/>
        <v>其他综合收益_综合收益总额增加权益</v>
      </c>
      <c r="F435" s="884">
        <f>INDEX(Sheet_Presc,MATCH((RIGHT($D435,2)),Sheet_Prescrow,0),MATCH((LEFT($D435,2)),Sheet_Presccol,0))</f>
        <v>0</v>
      </c>
      <c r="G435" s="885">
        <f>SUM(VLOOKUP(6829,Sheet_Trialbal,4,0))</f>
        <v>0</v>
      </c>
      <c r="H435" s="885">
        <f>SUM(VLOOKUP(6829,Sheet_Trialbal,5,0))</f>
        <v>0</v>
      </c>
      <c r="I435" s="913">
        <f>(B435*F435+G435-H435)*B435</f>
        <v>0</v>
      </c>
      <c r="J435" s="914">
        <f ca="1">OFFSET(INDEX(Sheet_Presc,MATCH((RIGHT($D435,2)),Sheet_Prescrow,0),MATCH((LEFT($D435,2)),Sheet_Presccol,0)),0,(COLUMNS(Sheet_Presccol)-2)/2)</f>
        <v>0</v>
      </c>
      <c r="K435" s="885">
        <f>SUM(VLOOKUP(6829,Sheet_Trialbal,8,0))</f>
        <v>0</v>
      </c>
      <c r="L435" s="885">
        <f>SUM(VLOOKUP(6829,Sheet_Trialbal,9,0))</f>
        <v>0</v>
      </c>
      <c r="M435" s="891">
        <f ca="1">($B435*J435+K435-L435)*$B435</f>
        <v>0</v>
      </c>
      <c r="N435" s="641"/>
      <c r="O435" s="641"/>
      <c r="P435" s="641"/>
      <c r="Q435" s="641"/>
      <c r="T435" s="3056">
        <v>8404</v>
      </c>
      <c r="U435" s="3063">
        <v>0</v>
      </c>
    </row>
    <row r="436" spans="1:21" ht="24">
      <c r="A436" s="1648" t="str">
        <f t="shared" si="150"/>
        <v>＝</v>
      </c>
      <c r="B436" s="1647">
        <f t="shared" si="151"/>
        <v>0</v>
      </c>
      <c r="C436" s="1647">
        <f t="shared" si="149"/>
        <v>0</v>
      </c>
      <c r="D436" s="1659" t="s">
        <v>1719</v>
      </c>
      <c r="E436" s="890" t="str">
        <f t="shared" si="152"/>
        <v>其他综合收益_所有者投入和减少资本影响权益</v>
      </c>
      <c r="F436" s="884">
        <f t="shared" ref="F436:M436" si="169">SUM(F437:F440)</f>
        <v>0</v>
      </c>
      <c r="G436" s="885">
        <f t="shared" si="169"/>
        <v>0</v>
      </c>
      <c r="H436" s="885">
        <f t="shared" si="169"/>
        <v>0</v>
      </c>
      <c r="I436" s="913">
        <f t="shared" si="169"/>
        <v>0</v>
      </c>
      <c r="J436" s="914">
        <f t="shared" ca="1" si="169"/>
        <v>0</v>
      </c>
      <c r="K436" s="885">
        <f t="shared" si="169"/>
        <v>0</v>
      </c>
      <c r="L436" s="885">
        <f t="shared" si="169"/>
        <v>0</v>
      </c>
      <c r="M436" s="891">
        <f t="shared" ca="1" si="169"/>
        <v>0</v>
      </c>
      <c r="N436" s="641"/>
      <c r="O436" s="641"/>
      <c r="P436" s="641"/>
      <c r="Q436" s="641"/>
      <c r="T436" s="3056">
        <v>8409</v>
      </c>
      <c r="U436" s="3063">
        <v>0</v>
      </c>
    </row>
    <row r="437" spans="1:21" ht="18">
      <c r="A437" s="1648">
        <f t="shared" si="150"/>
        <v>0</v>
      </c>
      <c r="B437" s="1647">
        <f t="shared" si="151"/>
        <v>-1</v>
      </c>
      <c r="C437" s="1647" t="str">
        <f t="shared" si="149"/>
        <v>J</v>
      </c>
      <c r="D437" s="1659" t="s">
        <v>1723</v>
      </c>
      <c r="E437" s="888" t="str">
        <f t="shared" si="152"/>
        <v>其他综合收益_所有者投入资本</v>
      </c>
      <c r="F437" s="884">
        <f>INDEX(Sheet_Presc,MATCH((RIGHT($D437,2)),Sheet_Prescrow,0),MATCH((LEFT($D437,2)),Sheet_Presccol,0))</f>
        <v>0</v>
      </c>
      <c r="G437" s="885">
        <f>SUMIF(AJE!$B:$B,$C437&amp;$D437&amp;"*",AJE!$O:$O)</f>
        <v>0</v>
      </c>
      <c r="H437" s="885">
        <f>SUMIF(AJE!$B:$B,$C437&amp;$D437&amp;"*",AJE!$P:$P)</f>
        <v>0</v>
      </c>
      <c r="I437" s="913">
        <f>(B437*F437+G437-H437)*B437</f>
        <v>0</v>
      </c>
      <c r="J437" s="914">
        <f ca="1">OFFSET(INDEX(Sheet_Presc,MATCH((RIGHT($D437,2)),Sheet_Prescrow,0),MATCH((LEFT($D437,2)),Sheet_Presccol,0)),0,(COLUMNS(Sheet_Presccol)-2)/2)</f>
        <v>0</v>
      </c>
      <c r="K437" s="885">
        <f>SUMIF('AJE1'!$B:$B,$C437&amp;$D437&amp;"*",'AJE1'!$O:$O)</f>
        <v>0</v>
      </c>
      <c r="L437" s="885">
        <f>SUMIF('AJE1'!$B:$B,$C437&amp;$D437&amp;"*",'AJE1'!$P:$P)</f>
        <v>0</v>
      </c>
      <c r="M437" s="891">
        <f ca="1">($B437*J437+K437-L437)*$B437</f>
        <v>0</v>
      </c>
      <c r="N437" s="641"/>
      <c r="O437" s="641"/>
      <c r="P437" s="641"/>
      <c r="Q437" s="641"/>
      <c r="T437" s="3056">
        <v>8410</v>
      </c>
      <c r="U437" s="3063">
        <v>0</v>
      </c>
    </row>
    <row r="438" spans="1:21" ht="24">
      <c r="A438" s="1648" t="str">
        <f t="shared" si="150"/>
        <v>OEI</v>
      </c>
      <c r="B438" s="1647">
        <f t="shared" si="151"/>
        <v>-1</v>
      </c>
      <c r="C438" s="1647" t="str">
        <f t="shared" si="149"/>
        <v>J</v>
      </c>
      <c r="D438" s="1659" t="s">
        <v>1733</v>
      </c>
      <c r="E438" s="888" t="str">
        <f t="shared" si="152"/>
        <v>其他综合收益_其他权益工具持有者投入资本</v>
      </c>
      <c r="F438" s="884">
        <f>INDEX(Sheet_Presc,MATCH((RIGHT($D438,2)),Sheet_Prescrow,0),MATCH((LEFT($D438,2)),Sheet_Presccol,0))</f>
        <v>0</v>
      </c>
      <c r="G438" s="885">
        <f>SUMIF(AJE!$B:$B,$C438&amp;$D438&amp;"*",AJE!$O:$O)</f>
        <v>0</v>
      </c>
      <c r="H438" s="885">
        <f>SUMIF(AJE!$B:$B,$C438&amp;$D438&amp;"*",AJE!$P:$P)</f>
        <v>0</v>
      </c>
      <c r="I438" s="913">
        <f>(B438*F438+G438-H438)*B438</f>
        <v>0</v>
      </c>
      <c r="J438" s="914">
        <f ca="1">OFFSET(INDEX(Sheet_Presc,MATCH((RIGHT($D438,2)),Sheet_Prescrow,0),MATCH((LEFT($D438,2)),Sheet_Presccol,0)),0,(COLUMNS(Sheet_Presccol)-2)/2)</f>
        <v>0</v>
      </c>
      <c r="K438" s="885">
        <f>SUMIF('AJE1'!$B:$B,$C438&amp;$D438&amp;"*",'AJE1'!$O:$O)</f>
        <v>0</v>
      </c>
      <c r="L438" s="885">
        <f>SUMIF('AJE1'!$B:$B,$C438&amp;$D438&amp;"*",'AJE1'!$P:$P)</f>
        <v>0</v>
      </c>
      <c r="M438" s="891">
        <f ca="1">($B438*J438+K438-L438)*$B438</f>
        <v>0</v>
      </c>
      <c r="N438" s="641"/>
      <c r="O438" s="641"/>
      <c r="P438" s="641"/>
      <c r="Q438" s="641"/>
      <c r="T438" s="3056">
        <v>8490</v>
      </c>
      <c r="U438" s="3063">
        <v>0</v>
      </c>
    </row>
    <row r="439" spans="1:21" ht="18">
      <c r="A439" s="1648">
        <f t="shared" si="150"/>
        <v>0</v>
      </c>
      <c r="B439" s="1647">
        <f t="shared" si="151"/>
        <v>-1</v>
      </c>
      <c r="C439" s="1647" t="str">
        <f t="shared" si="149"/>
        <v>J</v>
      </c>
      <c r="D439" s="1659" t="s">
        <v>1728</v>
      </c>
      <c r="E439" s="888" t="str">
        <f t="shared" si="152"/>
        <v>其他综合收益_股份支付</v>
      </c>
      <c r="F439" s="884">
        <f>INDEX(Sheet_Presc,MATCH((RIGHT($D439,2)),Sheet_Prescrow,0),MATCH((LEFT($D439,2)),Sheet_Presccol,0))</f>
        <v>0</v>
      </c>
      <c r="G439" s="885">
        <f>SUMIF(AJE!$B:$B,$C439&amp;$D439&amp;"*",AJE!$O:$O)</f>
        <v>0</v>
      </c>
      <c r="H439" s="885">
        <f>SUMIF(AJE!$B:$B,$C439&amp;$D439&amp;"*",AJE!$P:$P)</f>
        <v>0</v>
      </c>
      <c r="I439" s="913">
        <f>(B439*F439+G439-H439)*B439</f>
        <v>0</v>
      </c>
      <c r="J439" s="914">
        <f ca="1">OFFSET(INDEX(Sheet_Presc,MATCH((RIGHT($D439,2)),Sheet_Prescrow,0),MATCH((LEFT($D439,2)),Sheet_Presccol,0)),0,(COLUMNS(Sheet_Presccol)-2)/2)</f>
        <v>0</v>
      </c>
      <c r="K439" s="885">
        <f>SUMIF('AJE1'!$B:$B,$C439&amp;$D439&amp;"*",'AJE1'!$O:$O)</f>
        <v>0</v>
      </c>
      <c r="L439" s="885">
        <f>SUMIF('AJE1'!$B:$B,$C439&amp;$D439&amp;"*",'AJE1'!$P:$P)</f>
        <v>0</v>
      </c>
      <c r="M439" s="891">
        <f ca="1">($B439*J439+K439-L439)*$B439</f>
        <v>0</v>
      </c>
      <c r="N439" s="641"/>
      <c r="O439" s="641"/>
      <c r="P439" s="641"/>
      <c r="Q439" s="641"/>
      <c r="T439" s="3056">
        <v>8421</v>
      </c>
      <c r="U439" s="3063">
        <v>0</v>
      </c>
    </row>
    <row r="440" spans="1:21" ht="24">
      <c r="A440" s="1648">
        <f t="shared" si="150"/>
        <v>0</v>
      </c>
      <c r="B440" s="1647">
        <f t="shared" si="151"/>
        <v>-1</v>
      </c>
      <c r="C440" s="1647" t="str">
        <f t="shared" si="149"/>
        <v>J</v>
      </c>
      <c r="D440" s="1659" t="s">
        <v>1738</v>
      </c>
      <c r="E440" s="888" t="str">
        <f t="shared" si="152"/>
        <v>其他综合收益_所有者其他投入和减少资本</v>
      </c>
      <c r="F440" s="884">
        <f>INDEX(Sheet_Presc,MATCH((RIGHT($D440,2)),Sheet_Prescrow,0),MATCH((LEFT($D440,2)),Sheet_Presccol,0))</f>
        <v>0</v>
      </c>
      <c r="G440" s="885">
        <f>SUMIF(AJE!$B:$B,$C440&amp;$D440&amp;"*",AJE!$O:$O)</f>
        <v>0</v>
      </c>
      <c r="H440" s="885">
        <f>SUMIF(AJE!$B:$B,$C440&amp;$D440&amp;"*",AJE!$P:$P)</f>
        <v>0</v>
      </c>
      <c r="I440" s="913">
        <f>(B440*F440+G440-H440)*B440</f>
        <v>0</v>
      </c>
      <c r="J440" s="914">
        <f ca="1">OFFSET(INDEX(Sheet_Presc,MATCH((RIGHT($D440,2)),Sheet_Prescrow,0),MATCH((LEFT($D440,2)),Sheet_Presccol,0)),0,(COLUMNS(Sheet_Presccol)-2)/2)</f>
        <v>0</v>
      </c>
      <c r="K440" s="885">
        <f>SUMIF('AJE1'!$B:$B,$C440&amp;$D440&amp;"*",'AJE1'!$O:$O)</f>
        <v>0</v>
      </c>
      <c r="L440" s="885">
        <f>SUMIF('AJE1'!$B:$B,$C440&amp;$D440&amp;"*",'AJE1'!$P:$P)</f>
        <v>0</v>
      </c>
      <c r="M440" s="891">
        <f ca="1">($B440*J440+K440-L440)*$B440</f>
        <v>0</v>
      </c>
      <c r="N440" s="641"/>
      <c r="O440" s="641"/>
      <c r="P440" s="641"/>
      <c r="Q440" s="641"/>
      <c r="T440" s="3056">
        <v>8430</v>
      </c>
      <c r="U440" s="3063">
        <v>0</v>
      </c>
    </row>
    <row r="441" spans="1:21" ht="18">
      <c r="A441" s="1648" t="str">
        <f t="shared" si="150"/>
        <v>＝</v>
      </c>
      <c r="B441" s="1647">
        <f t="shared" si="151"/>
        <v>0</v>
      </c>
      <c r="C441" s="1647">
        <f t="shared" si="149"/>
        <v>0</v>
      </c>
      <c r="D441" s="1659" t="s">
        <v>1743</v>
      </c>
      <c r="E441" s="890" t="str">
        <f t="shared" si="152"/>
        <v>其他综合收益_利润分配影响权益</v>
      </c>
      <c r="F441" s="884">
        <f t="shared" ref="F441:M441" si="170">SUM(F442:F445)</f>
        <v>0</v>
      </c>
      <c r="G441" s="885">
        <f t="shared" si="170"/>
        <v>0</v>
      </c>
      <c r="H441" s="885">
        <f t="shared" si="170"/>
        <v>0</v>
      </c>
      <c r="I441" s="913">
        <f t="shared" si="170"/>
        <v>0</v>
      </c>
      <c r="J441" s="914">
        <f t="shared" ca="1" si="170"/>
        <v>0</v>
      </c>
      <c r="K441" s="885">
        <f t="shared" si="170"/>
        <v>0</v>
      </c>
      <c r="L441" s="885">
        <f t="shared" si="170"/>
        <v>0</v>
      </c>
      <c r="M441" s="891">
        <f t="shared" ca="1" si="170"/>
        <v>0</v>
      </c>
      <c r="N441" s="641"/>
      <c r="O441" s="641"/>
      <c r="P441" s="641"/>
      <c r="Q441" s="641"/>
      <c r="T441" s="3056">
        <v>8440</v>
      </c>
      <c r="U441" s="3063">
        <v>0</v>
      </c>
    </row>
    <row r="442" spans="1:21" ht="18">
      <c r="A442" s="1648">
        <f t="shared" si="150"/>
        <v>0</v>
      </c>
      <c r="B442" s="1647">
        <f t="shared" si="151"/>
        <v>-1</v>
      </c>
      <c r="C442" s="1647" t="str">
        <f t="shared" si="149"/>
        <v>J</v>
      </c>
      <c r="D442" s="1659" t="s">
        <v>1748</v>
      </c>
      <c r="E442" s="888" t="str">
        <f t="shared" si="152"/>
        <v>其他综合收益_提取盈余公积</v>
      </c>
      <c r="F442" s="884">
        <f>INDEX(Sheet_Presc,MATCH((RIGHT($D442,2)),Sheet_Prescrow,0),MATCH((LEFT($D442,2)),Sheet_Presccol,0))</f>
        <v>0</v>
      </c>
      <c r="G442" s="885">
        <f>SUMIF(AJE!$B:$B,$C442&amp;$D442&amp;"*",AJE!$O:$O)</f>
        <v>0</v>
      </c>
      <c r="H442" s="885">
        <f>SUMIF(AJE!$B:$B,$C442&amp;$D442&amp;"*",AJE!$P:$P)</f>
        <v>0</v>
      </c>
      <c r="I442" s="913">
        <f>(B442*F442+G442-H442)*B442</f>
        <v>0</v>
      </c>
      <c r="J442" s="914">
        <f ca="1">OFFSET(INDEX(Sheet_Presc,MATCH((RIGHT($D442,2)),Sheet_Prescrow,0),MATCH((LEFT($D442,2)),Sheet_Presccol,0)),0,(COLUMNS(Sheet_Presccol)-2)/2)</f>
        <v>0</v>
      </c>
      <c r="K442" s="885">
        <f>SUMIF('AJE1'!$B:$B,$C442&amp;$D442&amp;"*",'AJE1'!$O:$O)</f>
        <v>0</v>
      </c>
      <c r="L442" s="885">
        <f>SUMIF('AJE1'!$B:$B,$C442&amp;$D442&amp;"*",'AJE1'!$P:$P)</f>
        <v>0</v>
      </c>
      <c r="M442" s="891">
        <f ca="1">($B442*J442+K442-L442)*$B442</f>
        <v>0</v>
      </c>
      <c r="N442" s="641"/>
      <c r="O442" s="641"/>
      <c r="P442" s="641"/>
      <c r="Q442" s="641"/>
      <c r="T442" s="3056">
        <v>8450</v>
      </c>
      <c r="U442" s="3063">
        <v>0</v>
      </c>
    </row>
    <row r="443" spans="1:21" ht="18">
      <c r="A443" s="1648">
        <f t="shared" si="150"/>
        <v>0</v>
      </c>
      <c r="B443" s="1647">
        <f t="shared" si="151"/>
        <v>-1</v>
      </c>
      <c r="C443" s="1647" t="str">
        <f t="shared" si="149"/>
        <v>J</v>
      </c>
      <c r="D443" s="1659" t="s">
        <v>1753</v>
      </c>
      <c r="E443" s="888" t="str">
        <f t="shared" si="152"/>
        <v>其他综合收益_提取一般风险准备</v>
      </c>
      <c r="F443" s="884">
        <f>INDEX(Sheet_Presc,MATCH((RIGHT($D443,2)),Sheet_Prescrow,0),MATCH((LEFT($D443,2)),Sheet_Presccol,0))</f>
        <v>0</v>
      </c>
      <c r="G443" s="885">
        <f>SUMIF(AJE!$B:$B,$C443&amp;$D443&amp;"*",AJE!$O:$O)</f>
        <v>0</v>
      </c>
      <c r="H443" s="885">
        <f>SUMIF(AJE!$B:$B,$C443&amp;$D443&amp;"*",AJE!$P:$P)</f>
        <v>0</v>
      </c>
      <c r="I443" s="913">
        <f>(B443*F443+G443-H443)*B443</f>
        <v>0</v>
      </c>
      <c r="J443" s="914">
        <f ca="1">OFFSET(INDEX(Sheet_Presc,MATCH((RIGHT($D443,2)),Sheet_Prescrow,0),MATCH((LEFT($D443,2)),Sheet_Presccol,0)),0,(COLUMNS(Sheet_Presccol)-2)/2)</f>
        <v>0</v>
      </c>
      <c r="K443" s="885">
        <f>SUMIF('AJE1'!$B:$B,$C443&amp;$D443&amp;"*",'AJE1'!$O:$O)</f>
        <v>0</v>
      </c>
      <c r="L443" s="885">
        <f>SUMIF('AJE1'!$B:$B,$C443&amp;$D443&amp;"*",'AJE1'!$P:$P)</f>
        <v>0</v>
      </c>
      <c r="M443" s="891">
        <f ca="1">($B443*J443+K443-L443)*$B443</f>
        <v>0</v>
      </c>
      <c r="N443" s="641"/>
      <c r="O443" s="641"/>
      <c r="P443" s="641"/>
      <c r="Q443" s="641"/>
      <c r="T443" s="3056">
        <v>8451</v>
      </c>
      <c r="U443" s="3063">
        <v>0</v>
      </c>
    </row>
    <row r="444" spans="1:21" ht="18">
      <c r="A444" s="1648">
        <f t="shared" si="150"/>
        <v>0</v>
      </c>
      <c r="B444" s="1647">
        <f t="shared" si="151"/>
        <v>-1</v>
      </c>
      <c r="C444" s="1647" t="str">
        <f t="shared" si="149"/>
        <v>J</v>
      </c>
      <c r="D444" s="1659" t="s">
        <v>1758</v>
      </c>
      <c r="E444" s="888" t="str">
        <f t="shared" si="152"/>
        <v>其他综合收益_对所有者的分配</v>
      </c>
      <c r="F444" s="884">
        <f>INDEX(Sheet_Presc,MATCH((RIGHT($D444,2)),Sheet_Prescrow,0),MATCH((LEFT($D444,2)),Sheet_Presccol,0))</f>
        <v>0</v>
      </c>
      <c r="G444" s="885">
        <f>SUMIF(AJE!$B:$B,$C444&amp;$D444&amp;"*",AJE!$O:$O)</f>
        <v>0</v>
      </c>
      <c r="H444" s="885">
        <f>SUMIF(AJE!$B:$B,$C444&amp;$D444&amp;"*",AJE!$P:$P)</f>
        <v>0</v>
      </c>
      <c r="I444" s="913">
        <f>(B444*F444+G444-H444)*B444</f>
        <v>0</v>
      </c>
      <c r="J444" s="914">
        <f ca="1">OFFSET(INDEX(Sheet_Presc,MATCH((RIGHT($D444,2)),Sheet_Prescrow,0),MATCH((LEFT($D444,2)),Sheet_Presccol,0)),0,(COLUMNS(Sheet_Presccol)-2)/2)</f>
        <v>0</v>
      </c>
      <c r="K444" s="885">
        <f>SUMIF('AJE1'!$B:$B,$C444&amp;$D444&amp;"*",'AJE1'!$O:$O)</f>
        <v>0</v>
      </c>
      <c r="L444" s="885">
        <f>SUMIF('AJE1'!$B:$B,$C444&amp;$D444&amp;"*",'AJE1'!$P:$P)</f>
        <v>0</v>
      </c>
      <c r="M444" s="891">
        <f ca="1">($B444*J444+K444-L444)*$B444</f>
        <v>0</v>
      </c>
      <c r="N444" s="641"/>
      <c r="O444" s="641"/>
      <c r="P444" s="641"/>
      <c r="Q444" s="641"/>
      <c r="T444" s="3056">
        <v>8453</v>
      </c>
      <c r="U444" s="3063">
        <v>0</v>
      </c>
    </row>
    <row r="445" spans="1:21" ht="18">
      <c r="A445" s="1648">
        <f t="shared" si="150"/>
        <v>0</v>
      </c>
      <c r="B445" s="1647">
        <f t="shared" si="151"/>
        <v>-1</v>
      </c>
      <c r="C445" s="1647" t="str">
        <f t="shared" si="149"/>
        <v>J</v>
      </c>
      <c r="D445" s="1659" t="s">
        <v>1763</v>
      </c>
      <c r="E445" s="888" t="str">
        <f t="shared" si="152"/>
        <v>其他综合收益_其他利润分配</v>
      </c>
      <c r="F445" s="884">
        <f>INDEX(Sheet_Presc,MATCH((RIGHT($D445,2)),Sheet_Prescrow,0),MATCH((LEFT($D445,2)),Sheet_Presccol,0))</f>
        <v>0</v>
      </c>
      <c r="G445" s="885">
        <f>SUMIF(AJE!$B:$B,$C445&amp;$D445&amp;"*",AJE!$O:$O)</f>
        <v>0</v>
      </c>
      <c r="H445" s="885">
        <f>SUMIF(AJE!$B:$B,$C445&amp;$D445&amp;"*",AJE!$P:$P)</f>
        <v>0</v>
      </c>
      <c r="I445" s="913">
        <f>(B445*F445+G445-H445)*B445</f>
        <v>0</v>
      </c>
      <c r="J445" s="914">
        <f ca="1">OFFSET(INDEX(Sheet_Presc,MATCH((RIGHT($D445,2)),Sheet_Prescrow,0),MATCH((LEFT($D445,2)),Sheet_Presccol,0)),0,(COLUMNS(Sheet_Presccol)-2)/2)</f>
        <v>0</v>
      </c>
      <c r="K445" s="885">
        <f>SUMIF('AJE1'!$B:$B,$C445&amp;$D445&amp;"*",'AJE1'!$O:$O)</f>
        <v>0</v>
      </c>
      <c r="L445" s="885">
        <f>SUMIF('AJE1'!$B:$B,$C445&amp;$D445&amp;"*",'AJE1'!$P:$P)</f>
        <v>0</v>
      </c>
      <c r="M445" s="891">
        <f ca="1">($B445*J445+K445-L445)*$B445</f>
        <v>0</v>
      </c>
      <c r="N445" s="641"/>
      <c r="O445" s="641"/>
      <c r="P445" s="641"/>
      <c r="Q445" s="641"/>
      <c r="T445" s="3056">
        <v>8452</v>
      </c>
      <c r="U445" s="3063">
        <v>0</v>
      </c>
    </row>
    <row r="446" spans="1:21" ht="24">
      <c r="A446" s="1648" t="str">
        <f t="shared" si="150"/>
        <v>＝</v>
      </c>
      <c r="B446" s="1647">
        <f t="shared" si="151"/>
        <v>0</v>
      </c>
      <c r="C446" s="1647">
        <f t="shared" si="149"/>
        <v>0</v>
      </c>
      <c r="D446" s="1659" t="s">
        <v>1768</v>
      </c>
      <c r="E446" s="890" t="str">
        <f t="shared" si="152"/>
        <v>其他综合收益_所有者权益内部结转</v>
      </c>
      <c r="F446" s="884">
        <f t="shared" ref="F446:M446" si="171">SUM(F447:F452)</f>
        <v>0</v>
      </c>
      <c r="G446" s="885">
        <f t="shared" si="171"/>
        <v>0</v>
      </c>
      <c r="H446" s="885">
        <f t="shared" si="171"/>
        <v>0</v>
      </c>
      <c r="I446" s="913">
        <f t="shared" si="171"/>
        <v>0</v>
      </c>
      <c r="J446" s="914">
        <f t="shared" ca="1" si="171"/>
        <v>0</v>
      </c>
      <c r="K446" s="885">
        <f t="shared" si="171"/>
        <v>0</v>
      </c>
      <c r="L446" s="885">
        <f t="shared" si="171"/>
        <v>0</v>
      </c>
      <c r="M446" s="891">
        <f t="shared" ca="1" si="171"/>
        <v>0</v>
      </c>
      <c r="N446" s="641"/>
      <c r="O446" s="641"/>
      <c r="P446" s="641"/>
      <c r="Q446" s="641"/>
      <c r="T446" s="3056">
        <v>8456</v>
      </c>
      <c r="U446" s="3063">
        <v>0</v>
      </c>
    </row>
    <row r="447" spans="1:21" ht="18">
      <c r="A447" s="1648">
        <f t="shared" si="150"/>
        <v>0</v>
      </c>
      <c r="B447" s="1647">
        <f t="shared" si="151"/>
        <v>-1</v>
      </c>
      <c r="C447" s="1647" t="str">
        <f t="shared" si="149"/>
        <v>J</v>
      </c>
      <c r="D447" s="1659" t="s">
        <v>1771</v>
      </c>
      <c r="E447" s="888" t="str">
        <f t="shared" si="152"/>
        <v>其他综合收益_资本公积转增资本</v>
      </c>
      <c r="F447" s="884">
        <f t="shared" ref="F447:F452" si="172">INDEX(Sheet_Presc,MATCH((RIGHT($D447,2)),Sheet_Prescrow,0),MATCH((LEFT($D447,2)),Sheet_Presccol,0))</f>
        <v>0</v>
      </c>
      <c r="G447" s="885">
        <f>SUMIF(AJE!$B:$B,$C447&amp;$D447&amp;"*",AJE!$O:$O)</f>
        <v>0</v>
      </c>
      <c r="H447" s="885">
        <f>SUMIF(AJE!$B:$B,$C447&amp;$D447&amp;"*",AJE!$P:$P)</f>
        <v>0</v>
      </c>
      <c r="I447" s="913">
        <f t="shared" ref="I447:I452" si="173">(B447*F447+G447-H447)*B447</f>
        <v>0</v>
      </c>
      <c r="J447" s="914">
        <f t="shared" ref="J447:J452" ca="1" si="174">OFFSET(INDEX(Sheet_Presc,MATCH((RIGHT($D447,2)),Sheet_Prescrow,0),MATCH((LEFT($D447,2)),Sheet_Presccol,0)),0,(COLUMNS(Sheet_Presccol)-2)/2)</f>
        <v>0</v>
      </c>
      <c r="K447" s="885">
        <f>SUMIF('AJE1'!$B:$B,$C447&amp;$D447&amp;"*",'AJE1'!$O:$O)</f>
        <v>0</v>
      </c>
      <c r="L447" s="885">
        <f>SUMIF('AJE1'!$B:$B,$C447&amp;$D447&amp;"*",'AJE1'!$P:$P)</f>
        <v>0</v>
      </c>
      <c r="M447" s="891">
        <f t="shared" ref="M447:M452" ca="1" si="175">($B447*J447+K447-L447)*$B447</f>
        <v>0</v>
      </c>
      <c r="N447" s="641"/>
      <c r="O447" s="641"/>
      <c r="P447" s="641"/>
      <c r="Q447" s="641"/>
      <c r="T447" s="3056">
        <v>8460</v>
      </c>
      <c r="U447" s="3063">
        <v>0</v>
      </c>
    </row>
    <row r="448" spans="1:21" ht="18">
      <c r="A448" s="1648">
        <f t="shared" si="150"/>
        <v>0</v>
      </c>
      <c r="B448" s="1647">
        <f t="shared" si="151"/>
        <v>-1</v>
      </c>
      <c r="C448" s="1647" t="str">
        <f t="shared" si="149"/>
        <v>J</v>
      </c>
      <c r="D448" s="1659" t="s">
        <v>1777</v>
      </c>
      <c r="E448" s="888" t="str">
        <f t="shared" si="152"/>
        <v>其他综合收益_盈余公积转增资本</v>
      </c>
      <c r="F448" s="884">
        <f t="shared" si="172"/>
        <v>0</v>
      </c>
      <c r="G448" s="885">
        <f>SUMIF(AJE!$B:$B,$C448&amp;$D448&amp;"*",AJE!$O:$O)</f>
        <v>0</v>
      </c>
      <c r="H448" s="885">
        <f>SUMIF(AJE!$B:$B,$C448&amp;$D448&amp;"*",AJE!$P:$P)</f>
        <v>0</v>
      </c>
      <c r="I448" s="913">
        <f t="shared" si="173"/>
        <v>0</v>
      </c>
      <c r="J448" s="914">
        <f t="shared" ca="1" si="174"/>
        <v>0</v>
      </c>
      <c r="K448" s="885">
        <f>SUMIF('AJE1'!$B:$B,$C448&amp;$D448&amp;"*",'AJE1'!$O:$O)</f>
        <v>0</v>
      </c>
      <c r="L448" s="885">
        <f>SUMIF('AJE1'!$B:$B,$C448&amp;$D448&amp;"*",'AJE1'!$P:$P)</f>
        <v>0</v>
      </c>
      <c r="M448" s="891">
        <f t="shared" ca="1" si="175"/>
        <v>0</v>
      </c>
      <c r="N448" s="641"/>
      <c r="O448" s="641"/>
      <c r="P448" s="641"/>
      <c r="Q448" s="641"/>
      <c r="T448" s="3056">
        <v>8461</v>
      </c>
      <c r="U448" s="3063">
        <v>0</v>
      </c>
    </row>
    <row r="449" spans="1:21" ht="18">
      <c r="A449" s="1648">
        <f t="shared" si="150"/>
        <v>0</v>
      </c>
      <c r="B449" s="1647">
        <f t="shared" si="151"/>
        <v>-1</v>
      </c>
      <c r="C449" s="1647" t="str">
        <f t="shared" si="149"/>
        <v>J</v>
      </c>
      <c r="D449" s="1659" t="s">
        <v>1782</v>
      </c>
      <c r="E449" s="888" t="str">
        <f t="shared" si="152"/>
        <v>其他综合收益_盈余公积弥补亏损</v>
      </c>
      <c r="F449" s="884">
        <f t="shared" si="172"/>
        <v>0</v>
      </c>
      <c r="G449" s="885">
        <f>SUMIF(AJE!$B:$B,$C449&amp;$D449&amp;"*",AJE!$O:$O)</f>
        <v>0</v>
      </c>
      <c r="H449" s="885">
        <f>SUMIF(AJE!$B:$B,$C449&amp;$D449&amp;"*",AJE!$P:$P)</f>
        <v>0</v>
      </c>
      <c r="I449" s="913">
        <f t="shared" si="173"/>
        <v>0</v>
      </c>
      <c r="J449" s="914">
        <f t="shared" ca="1" si="174"/>
        <v>0</v>
      </c>
      <c r="K449" s="885">
        <f>SUMIF('AJE1'!$B:$B,$C449&amp;$D449&amp;"*",'AJE1'!$O:$O)</f>
        <v>0</v>
      </c>
      <c r="L449" s="885">
        <f>SUMIF('AJE1'!$B:$B,$C449&amp;$D449&amp;"*",'AJE1'!$P:$P)</f>
        <v>0</v>
      </c>
      <c r="M449" s="891">
        <f t="shared" ca="1" si="175"/>
        <v>0</v>
      </c>
      <c r="N449" s="641"/>
      <c r="O449" s="641"/>
      <c r="P449" s="641"/>
      <c r="Q449" s="641"/>
      <c r="T449" s="3056">
        <v>8462</v>
      </c>
      <c r="U449" s="3063">
        <v>0</v>
      </c>
    </row>
    <row r="450" spans="1:21" ht="24">
      <c r="A450" s="1648" t="str">
        <f t="shared" si="150"/>
        <v>OEI</v>
      </c>
      <c r="B450" s="1647">
        <f t="shared" si="151"/>
        <v>-1</v>
      </c>
      <c r="C450" s="1647" t="str">
        <f t="shared" si="149"/>
        <v>J</v>
      </c>
      <c r="D450" s="1659" t="s">
        <v>1787</v>
      </c>
      <c r="E450" s="888" t="str">
        <f t="shared" si="152"/>
        <v>其他综合收益_设定受益计划变动额结转留存收益</v>
      </c>
      <c r="F450" s="884">
        <f t="shared" si="172"/>
        <v>0</v>
      </c>
      <c r="G450" s="885">
        <f>SUMIF(AJE!$B:$B,$C450&amp;$D450&amp;"*",AJE!$O:$O)</f>
        <v>0</v>
      </c>
      <c r="H450" s="885">
        <f>SUMIF(AJE!$B:$B,$C450&amp;$D450&amp;"*",AJE!$P:$P)</f>
        <v>0</v>
      </c>
      <c r="I450" s="913">
        <f t="shared" si="173"/>
        <v>0</v>
      </c>
      <c r="J450" s="914">
        <f t="shared" ca="1" si="174"/>
        <v>0</v>
      </c>
      <c r="K450" s="885">
        <f>SUMIF('AJE1'!$B:$B,$C450&amp;$D450&amp;"*",'AJE1'!$O:$O)</f>
        <v>0</v>
      </c>
      <c r="L450" s="885">
        <f>SUMIF('AJE1'!$B:$B,$C450&amp;$D450&amp;"*",'AJE1'!$P:$P)</f>
        <v>0</v>
      </c>
      <c r="M450" s="891">
        <f t="shared" ca="1" si="175"/>
        <v>0</v>
      </c>
      <c r="N450" s="641"/>
      <c r="O450" s="641"/>
      <c r="P450" s="641"/>
      <c r="Q450" s="641"/>
      <c r="T450" s="3056">
        <v>8463</v>
      </c>
      <c r="U450" s="3063">
        <v>0</v>
      </c>
    </row>
    <row r="451" spans="1:21" ht="24">
      <c r="A451" s="1648" t="str">
        <f>VLOOKUP($D451,Sheet_Items,4,0)</f>
        <v>_JR</v>
      </c>
      <c r="B451" s="1647">
        <f>VLOOKUP($D451,Sheet_Items,3,0)</f>
        <v>-1</v>
      </c>
      <c r="C451" s="1647" t="str">
        <f>VLOOKUP($D451,Sheet_Items,9,0)</f>
        <v>J</v>
      </c>
      <c r="D451" s="1659" t="s">
        <v>2152</v>
      </c>
      <c r="E451" s="889" t="str">
        <f>VLOOKUP($D451,Sheet_Items,2,0)</f>
        <v>其他综合收益_其他综合收益结转留存收益</v>
      </c>
      <c r="F451" s="884">
        <f t="shared" si="172"/>
        <v>0</v>
      </c>
      <c r="G451" s="885">
        <f>SUMIF(AJE!$B:$B,$C451&amp;$D451&amp;"*",AJE!$O:$O)</f>
        <v>0</v>
      </c>
      <c r="H451" s="885">
        <f>SUMIF(AJE!$B:$B,$C451&amp;$D451&amp;"*",AJE!$P:$P)</f>
        <v>0</v>
      </c>
      <c r="I451" s="913">
        <f t="shared" si="173"/>
        <v>0</v>
      </c>
      <c r="J451" s="914">
        <f t="shared" ca="1" si="174"/>
        <v>0</v>
      </c>
      <c r="K451" s="885">
        <f>SUMIF('AJE1'!$B:$B,$C451&amp;$D451&amp;"*",'AJE1'!$O:$O)</f>
        <v>0</v>
      </c>
      <c r="L451" s="885">
        <f>SUMIF('AJE1'!$B:$B,$C451&amp;$D451&amp;"*",'AJE1'!$P:$P)</f>
        <v>0</v>
      </c>
      <c r="M451" s="891">
        <f t="shared" ca="1" si="175"/>
        <v>0</v>
      </c>
      <c r="N451" s="641"/>
      <c r="O451" s="641"/>
      <c r="P451" s="641"/>
      <c r="Q451" s="641"/>
      <c r="T451" s="3056">
        <v>8466</v>
      </c>
      <c r="U451" s="3063">
        <v>0</v>
      </c>
    </row>
    <row r="452" spans="1:21" ht="24">
      <c r="A452" s="1648">
        <f t="shared" si="150"/>
        <v>0</v>
      </c>
      <c r="B452" s="1647">
        <f t="shared" si="151"/>
        <v>-1</v>
      </c>
      <c r="C452" s="1647" t="str">
        <f t="shared" si="149"/>
        <v>J</v>
      </c>
      <c r="D452" s="1659" t="s">
        <v>1792</v>
      </c>
      <c r="E452" s="888" t="str">
        <f t="shared" si="152"/>
        <v>其他综合收益_所有者权益其他内部结转</v>
      </c>
      <c r="F452" s="884">
        <f t="shared" si="172"/>
        <v>0</v>
      </c>
      <c r="G452" s="885">
        <f>SUMIF(AJE!$B:$B,$C452&amp;$D452&amp;"*",AJE!$O:$O)</f>
        <v>0</v>
      </c>
      <c r="H452" s="885">
        <f>SUMIF(AJE!$B:$B,$C452&amp;$D452&amp;"*",AJE!$P:$P)</f>
        <v>0</v>
      </c>
      <c r="I452" s="913">
        <f t="shared" si="173"/>
        <v>0</v>
      </c>
      <c r="J452" s="914">
        <f t="shared" ca="1" si="174"/>
        <v>0</v>
      </c>
      <c r="K452" s="885">
        <f>SUMIF('AJE1'!$B:$B,$C452&amp;$D452&amp;"*",'AJE1'!$O:$O)</f>
        <v>0</v>
      </c>
      <c r="L452" s="885">
        <f>SUMIF('AJE1'!$B:$B,$C452&amp;$D452&amp;"*",'AJE1'!$P:$P)</f>
        <v>0</v>
      </c>
      <c r="M452" s="891">
        <f t="shared" ca="1" si="175"/>
        <v>0</v>
      </c>
      <c r="N452" s="641"/>
      <c r="O452" s="641"/>
      <c r="P452" s="641"/>
      <c r="Q452" s="641"/>
      <c r="T452" s="3056">
        <v>8470</v>
      </c>
      <c r="U452" s="3063">
        <v>0</v>
      </c>
    </row>
    <row r="453" spans="1:21" ht="18">
      <c r="A453" s="1648" t="str">
        <f t="shared" si="150"/>
        <v>＝</v>
      </c>
      <c r="B453" s="1647">
        <f t="shared" si="151"/>
        <v>0</v>
      </c>
      <c r="C453" s="1647">
        <f t="shared" si="149"/>
        <v>0</v>
      </c>
      <c r="D453" s="1659" t="s">
        <v>1797</v>
      </c>
      <c r="E453" s="890" t="str">
        <f t="shared" si="152"/>
        <v>其他综合收益_专项储备影响权益</v>
      </c>
      <c r="F453" s="884">
        <f t="shared" ref="F453:M453" si="176">SUM(F454:F455)</f>
        <v>0</v>
      </c>
      <c r="G453" s="885">
        <f t="shared" si="176"/>
        <v>0</v>
      </c>
      <c r="H453" s="885">
        <f t="shared" si="176"/>
        <v>0</v>
      </c>
      <c r="I453" s="913">
        <f t="shared" si="176"/>
        <v>0</v>
      </c>
      <c r="J453" s="914">
        <f t="shared" ca="1" si="176"/>
        <v>0</v>
      </c>
      <c r="K453" s="885">
        <f t="shared" si="176"/>
        <v>0</v>
      </c>
      <c r="L453" s="885">
        <f t="shared" si="176"/>
        <v>0</v>
      </c>
      <c r="M453" s="891">
        <f t="shared" ca="1" si="176"/>
        <v>0</v>
      </c>
      <c r="N453" s="641"/>
      <c r="O453" s="641"/>
      <c r="P453" s="641"/>
      <c r="Q453" s="641"/>
      <c r="T453" s="3056">
        <v>8471</v>
      </c>
      <c r="U453" s="3063">
        <v>0</v>
      </c>
    </row>
    <row r="454" spans="1:21" ht="18">
      <c r="A454" s="1648">
        <f t="shared" si="150"/>
        <v>0</v>
      </c>
      <c r="B454" s="1647">
        <f t="shared" si="151"/>
        <v>-1</v>
      </c>
      <c r="C454" s="1647" t="str">
        <f t="shared" si="149"/>
        <v>J</v>
      </c>
      <c r="D454" s="1659" t="s">
        <v>1802</v>
      </c>
      <c r="E454" s="888" t="str">
        <f t="shared" si="152"/>
        <v>其他综合收益_专项储备本期提取</v>
      </c>
      <c r="F454" s="884">
        <f>INDEX(Sheet_Presc,MATCH((RIGHT($D454,2)),Sheet_Prescrow,0),MATCH((LEFT($D454,2)),Sheet_Presccol,0))</f>
        <v>0</v>
      </c>
      <c r="G454" s="885">
        <f>SUMIF(AJE!$B:$B,$C454&amp;$D454&amp;"*",AJE!$O:$O)</f>
        <v>0</v>
      </c>
      <c r="H454" s="885">
        <f>SUMIF(AJE!$B:$B,$C454&amp;$D454&amp;"*",AJE!$P:$P)</f>
        <v>0</v>
      </c>
      <c r="I454" s="913">
        <f>(B454*F454+G454-H454)*B454</f>
        <v>0</v>
      </c>
      <c r="J454" s="914">
        <f ca="1">OFFSET(INDEX(Sheet_Presc,MATCH((RIGHT($D454,2)),Sheet_Prescrow,0),MATCH((LEFT($D454,2)),Sheet_Presccol,0)),0,(COLUMNS(Sheet_Presccol)-2)/2)</f>
        <v>0</v>
      </c>
      <c r="K454" s="885">
        <f>SUMIF('AJE1'!$B:$B,$C454&amp;$D454&amp;"*",'AJE1'!$O:$O)</f>
        <v>0</v>
      </c>
      <c r="L454" s="885">
        <f>SUMIF('AJE1'!$B:$B,$C454&amp;$D454&amp;"*",'AJE1'!$P:$P)</f>
        <v>0</v>
      </c>
      <c r="M454" s="891">
        <f ca="1">($B454*J454+K454-L454)*$B454</f>
        <v>0</v>
      </c>
      <c r="N454" s="641"/>
      <c r="O454" s="641"/>
      <c r="P454" s="641"/>
      <c r="Q454" s="641"/>
      <c r="T454" s="3056">
        <v>8472</v>
      </c>
      <c r="U454" s="3063">
        <v>0</v>
      </c>
    </row>
    <row r="455" spans="1:21" ht="18">
      <c r="A455" s="1648">
        <f t="shared" si="150"/>
        <v>0</v>
      </c>
      <c r="B455" s="1647">
        <f t="shared" si="151"/>
        <v>-1</v>
      </c>
      <c r="C455" s="1647" t="str">
        <f t="shared" si="149"/>
        <v>J</v>
      </c>
      <c r="D455" s="1659" t="s">
        <v>1807</v>
      </c>
      <c r="E455" s="888" t="str">
        <f t="shared" si="152"/>
        <v>其他综合收益_专项储备本期使用</v>
      </c>
      <c r="F455" s="884">
        <f>INDEX(Sheet_Presc,MATCH((RIGHT($D455,2)),Sheet_Prescrow,0),MATCH((LEFT($D455,2)),Sheet_Presccol,0))</f>
        <v>0</v>
      </c>
      <c r="G455" s="885">
        <f>SUMIF(AJE!$B:$B,$C455&amp;$D455&amp;"*",AJE!$O:$O)</f>
        <v>0</v>
      </c>
      <c r="H455" s="885">
        <f>SUMIF(AJE!$B:$B,$C455&amp;$D455&amp;"*",AJE!$P:$P)</f>
        <v>0</v>
      </c>
      <c r="I455" s="913">
        <f>(B455*F455+G455-H455)*B455</f>
        <v>0</v>
      </c>
      <c r="J455" s="914">
        <f ca="1">OFFSET(INDEX(Sheet_Presc,MATCH((RIGHT($D455,2)),Sheet_Prescrow,0),MATCH((LEFT($D455,2)),Sheet_Presccol,0)),0,(COLUMNS(Sheet_Presccol)-2)/2)</f>
        <v>0</v>
      </c>
      <c r="K455" s="885">
        <f>SUMIF('AJE1'!$B:$B,$C455&amp;$D455&amp;"*",'AJE1'!$O:$O)</f>
        <v>0</v>
      </c>
      <c r="L455" s="885">
        <f>SUMIF('AJE1'!$B:$B,$C455&amp;$D455&amp;"*",'AJE1'!$P:$P)</f>
        <v>0</v>
      </c>
      <c r="M455" s="891">
        <f ca="1">($B455*J455+K455-L455)*$B455</f>
        <v>0</v>
      </c>
      <c r="N455" s="641"/>
      <c r="O455" s="641"/>
      <c r="P455" s="641"/>
      <c r="Q455" s="641"/>
      <c r="T455" s="3056">
        <v>8473</v>
      </c>
      <c r="U455" s="3063">
        <v>0</v>
      </c>
    </row>
    <row r="456" spans="1:21" ht="18">
      <c r="A456" s="1648">
        <f t="shared" si="150"/>
        <v>0</v>
      </c>
      <c r="B456" s="1647">
        <f t="shared" si="151"/>
        <v>-1</v>
      </c>
      <c r="C456" s="1647" t="str">
        <f t="shared" si="149"/>
        <v>J</v>
      </c>
      <c r="D456" s="1659" t="s">
        <v>1812</v>
      </c>
      <c r="E456" s="888" t="str">
        <f t="shared" si="152"/>
        <v>其他综合收益_本期其他增减变动</v>
      </c>
      <c r="F456" s="884">
        <f>INDEX(Sheet_Presc,MATCH((RIGHT($D456,2)),Sheet_Prescrow,0),MATCH((LEFT($D456,2)),Sheet_Presccol,0))</f>
        <v>0</v>
      </c>
      <c r="G456" s="885">
        <f>SUMIF(AJE!$B:$B,$C456&amp;$D456&amp;"*",AJE!$O:$O)</f>
        <v>0</v>
      </c>
      <c r="H456" s="885">
        <f>SUMIF(AJE!$B:$B,$C456&amp;$D456&amp;"*",AJE!$P:$P)</f>
        <v>0</v>
      </c>
      <c r="I456" s="913">
        <f>(B456*F456+G456-H456)*B456</f>
        <v>0</v>
      </c>
      <c r="J456" s="914">
        <f ca="1">OFFSET(INDEX(Sheet_Presc,MATCH((RIGHT($D456,2)),Sheet_Prescrow,0),MATCH((LEFT($D456,2)),Sheet_Presccol,0)),0,(COLUMNS(Sheet_Presccol)-2)/2)</f>
        <v>0</v>
      </c>
      <c r="K456" s="885">
        <f>SUMIF('AJE1'!$B:$B,$C456&amp;$D456&amp;"*",'AJE1'!$O:$O)</f>
        <v>0</v>
      </c>
      <c r="L456" s="885">
        <f>SUMIF('AJE1'!$B:$B,$C456&amp;$D456&amp;"*",'AJE1'!$P:$P)</f>
        <v>0</v>
      </c>
      <c r="M456" s="891">
        <f ca="1">($B456*J456+K456-L456)*$B456</f>
        <v>0</v>
      </c>
      <c r="N456" s="641"/>
      <c r="O456" s="641"/>
      <c r="P456" s="641"/>
      <c r="Q456" s="641"/>
      <c r="T456" s="3056">
        <v>8475</v>
      </c>
      <c r="U456" s="3063">
        <v>0</v>
      </c>
    </row>
    <row r="457" spans="1:21" ht="18">
      <c r="A457" s="1648" t="str">
        <f t="shared" si="150"/>
        <v>＝</v>
      </c>
      <c r="B457" s="1647">
        <f t="shared" si="151"/>
        <v>0</v>
      </c>
      <c r="C457" s="1647">
        <f t="shared" si="149"/>
        <v>0</v>
      </c>
      <c r="D457" s="1659" t="s">
        <v>1817</v>
      </c>
      <c r="E457" s="890" t="str">
        <f t="shared" si="152"/>
        <v>其他综合收益_本期期末余额</v>
      </c>
      <c r="F457" s="884">
        <f>SUM(F433,F434)</f>
        <v>0</v>
      </c>
      <c r="G457" s="885">
        <f t="shared" ref="G457:M457" si="177">SUM(G433,G434)</f>
        <v>0</v>
      </c>
      <c r="H457" s="885">
        <f t="shared" si="177"/>
        <v>0</v>
      </c>
      <c r="I457" s="913">
        <f t="shared" si="177"/>
        <v>0</v>
      </c>
      <c r="J457" s="914">
        <f t="shared" ca="1" si="177"/>
        <v>0</v>
      </c>
      <c r="K457" s="885">
        <f t="shared" si="177"/>
        <v>0</v>
      </c>
      <c r="L457" s="885">
        <f t="shared" si="177"/>
        <v>0</v>
      </c>
      <c r="M457" s="891">
        <f t="shared" ca="1" si="177"/>
        <v>0</v>
      </c>
      <c r="N457" s="641"/>
      <c r="O457" s="641"/>
      <c r="P457" s="641"/>
      <c r="Q457" s="641"/>
      <c r="T457" s="3056">
        <v>8476</v>
      </c>
      <c r="U457" s="3063">
        <v>0</v>
      </c>
    </row>
    <row r="458" spans="1:21" ht="18">
      <c r="A458" s="1648" t="str">
        <f t="shared" si="150"/>
        <v>：</v>
      </c>
      <c r="B458" s="1647">
        <f t="shared" si="151"/>
        <v>0</v>
      </c>
      <c r="C458" s="1647">
        <f t="shared" si="149"/>
        <v>0</v>
      </c>
      <c r="D458" s="2186">
        <v>8400</v>
      </c>
      <c r="E458" s="2187" t="str">
        <f t="shared" si="152"/>
        <v>专项储备增减变动</v>
      </c>
      <c r="F458" s="884"/>
      <c r="G458" s="885"/>
      <c r="H458" s="885"/>
      <c r="I458" s="913"/>
      <c r="J458" s="914"/>
      <c r="K458" s="885"/>
      <c r="L458" s="885"/>
      <c r="M458" s="891"/>
      <c r="N458" s="641"/>
      <c r="O458" s="641"/>
      <c r="P458" s="641"/>
      <c r="Q458" s="641"/>
      <c r="T458" s="3056">
        <v>8480</v>
      </c>
      <c r="U458" s="3063">
        <v>0</v>
      </c>
    </row>
    <row r="459" spans="1:21" ht="18">
      <c r="A459" s="1648">
        <f t="shared" si="150"/>
        <v>0</v>
      </c>
      <c r="B459" s="1647">
        <f t="shared" si="151"/>
        <v>-1</v>
      </c>
      <c r="C459" s="1647" t="str">
        <f t="shared" si="149"/>
        <v>J</v>
      </c>
      <c r="D459" s="1659">
        <v>8401</v>
      </c>
      <c r="E459" s="888" t="str">
        <f t="shared" si="152"/>
        <v>专项储备_上年年末余额</v>
      </c>
      <c r="F459" s="884">
        <f t="shared" ref="F459:F463" si="178">INDEX(Sheet_Presc,MATCH((RIGHT($D459,2)),Sheet_Prescrow,0),MATCH((LEFT($D459,2)),Sheet_Presccol,0))</f>
        <v>0</v>
      </c>
      <c r="G459" s="885">
        <f>SUMIF(AJE!$B:$B,$C459&amp;$D459&amp;"*",AJE!$O:$O)</f>
        <v>0</v>
      </c>
      <c r="H459" s="885">
        <f>SUMIF(AJE!$B:$B,$C459&amp;$D459&amp;"*",AJE!$P:$P)</f>
        <v>0</v>
      </c>
      <c r="I459" s="913">
        <f t="shared" ref="I459:I463" si="179">(B459*F459+G459-H459)*B459</f>
        <v>0</v>
      </c>
      <c r="J459" s="914">
        <f t="shared" si="155"/>
        <v>0</v>
      </c>
      <c r="K459" s="885">
        <f>SUMIF('AJE1'!$B:$B,$C459&amp;$D459&amp;"*",'AJE1'!$O:$O)</f>
        <v>0</v>
      </c>
      <c r="L459" s="885">
        <f>SUMIF('AJE1'!$B:$B,$C459&amp;$D459&amp;"*",'AJE1'!$P:$P)</f>
        <v>0</v>
      </c>
      <c r="M459" s="891">
        <f t="shared" ref="M459:M463" si="180">($B459*J459+K459-L459)*$B459</f>
        <v>0</v>
      </c>
      <c r="N459" s="641"/>
      <c r="O459" s="641"/>
      <c r="P459" s="641"/>
      <c r="Q459" s="641"/>
      <c r="T459" s="3056">
        <v>8481</v>
      </c>
      <c r="U459" s="3063">
        <v>0</v>
      </c>
    </row>
    <row r="460" spans="1:21" ht="24">
      <c r="A460" s="1648">
        <f t="shared" si="150"/>
        <v>0</v>
      </c>
      <c r="B460" s="1647">
        <f t="shared" si="151"/>
        <v>-1</v>
      </c>
      <c r="C460" s="1647" t="str">
        <f t="shared" si="149"/>
        <v>J</v>
      </c>
      <c r="D460" s="1659">
        <v>8402</v>
      </c>
      <c r="E460" s="888" t="str">
        <f t="shared" si="152"/>
        <v>专项储备_会计政策变更调整上年年末余额</v>
      </c>
      <c r="F460" s="884">
        <f t="shared" si="178"/>
        <v>0</v>
      </c>
      <c r="G460" s="885">
        <f>SUMIF(AJE!$B:$B,$C460&amp;$D460&amp;"*",AJE!$O:$O)</f>
        <v>0</v>
      </c>
      <c r="H460" s="885">
        <f>SUMIF(AJE!$B:$B,$C460&amp;$D460&amp;"*",AJE!$P:$P)</f>
        <v>0</v>
      </c>
      <c r="I460" s="913">
        <f t="shared" si="179"/>
        <v>0</v>
      </c>
      <c r="J460" s="914">
        <f t="shared" si="155"/>
        <v>0</v>
      </c>
      <c r="K460" s="885">
        <f>SUMIF('AJE1'!$B:$B,$C460&amp;$D460&amp;"*",'AJE1'!$O:$O)</f>
        <v>0</v>
      </c>
      <c r="L460" s="885">
        <f>SUMIF('AJE1'!$B:$B,$C460&amp;$D460&amp;"*",'AJE1'!$P:$P)</f>
        <v>0</v>
      </c>
      <c r="M460" s="891">
        <f t="shared" si="180"/>
        <v>0</v>
      </c>
      <c r="N460" s="641"/>
      <c r="O460" s="641"/>
      <c r="P460" s="641"/>
      <c r="Q460" s="641"/>
      <c r="T460" s="3056">
        <v>8482</v>
      </c>
      <c r="U460" s="3063">
        <v>0</v>
      </c>
    </row>
    <row r="461" spans="1:21" ht="24">
      <c r="A461" s="1648">
        <f t="shared" si="150"/>
        <v>0</v>
      </c>
      <c r="B461" s="1647">
        <f t="shared" si="151"/>
        <v>-1</v>
      </c>
      <c r="C461" s="1647" t="str">
        <f t="shared" si="149"/>
        <v>J</v>
      </c>
      <c r="D461" s="1659">
        <v>8403</v>
      </c>
      <c r="E461" s="888" t="str">
        <f t="shared" si="152"/>
        <v>专项储备_前期差错更正调整上年年末余额</v>
      </c>
      <c r="F461" s="884">
        <f t="shared" si="178"/>
        <v>0</v>
      </c>
      <c r="G461" s="885">
        <f>SUMIF(AJE!$B:$B,$C461&amp;$D461&amp;"*",AJE!$O:$O)</f>
        <v>0</v>
      </c>
      <c r="H461" s="885">
        <f>SUMIF(AJE!$B:$B,$C461&amp;$D461&amp;"*",AJE!$P:$P)</f>
        <v>0</v>
      </c>
      <c r="I461" s="913">
        <f t="shared" si="179"/>
        <v>0</v>
      </c>
      <c r="J461" s="914">
        <f t="shared" si="155"/>
        <v>0</v>
      </c>
      <c r="K461" s="885">
        <f>SUMIF('AJE1'!$B:$B,$C461&amp;$D461&amp;"*",'AJE1'!$O:$O)</f>
        <v>0</v>
      </c>
      <c r="L461" s="885">
        <f>SUMIF('AJE1'!$B:$B,$C461&amp;$D461&amp;"*",'AJE1'!$P:$P)</f>
        <v>0</v>
      </c>
      <c r="M461" s="891">
        <f t="shared" si="180"/>
        <v>0</v>
      </c>
      <c r="N461" s="641"/>
      <c r="O461" s="641"/>
      <c r="P461" s="641"/>
      <c r="Q461" s="641"/>
      <c r="T461" s="3056">
        <v>8496</v>
      </c>
      <c r="U461" s="3063">
        <v>0</v>
      </c>
    </row>
    <row r="462" spans="1:21" ht="24">
      <c r="A462" s="1648" t="str">
        <f t="shared" si="150"/>
        <v>※</v>
      </c>
      <c r="B462" s="1647">
        <f t="shared" si="151"/>
        <v>-1</v>
      </c>
      <c r="C462" s="1647" t="str">
        <f t="shared" si="149"/>
        <v>J</v>
      </c>
      <c r="D462" s="1659">
        <v>8404</v>
      </c>
      <c r="E462" s="888" t="str">
        <f t="shared" si="152"/>
        <v>专项储备_同一控制下企业合并调整上年年末余额</v>
      </c>
      <c r="F462" s="884">
        <f t="shared" si="178"/>
        <v>0</v>
      </c>
      <c r="G462" s="885">
        <f>SUMIF(AJE!$B:$B,$C462&amp;$D462&amp;"*",AJE!$O:$O)</f>
        <v>0</v>
      </c>
      <c r="H462" s="885">
        <f>SUMIF(AJE!$B:$B,$C462&amp;$D462&amp;"*",AJE!$P:$P)</f>
        <v>0</v>
      </c>
      <c r="I462" s="913">
        <f t="shared" si="179"/>
        <v>0</v>
      </c>
      <c r="J462" s="914">
        <f>INDEX(Sheet_Presc,MATCH((RIGHT($D462,2)),Sheet_Prescrow,0),MATCH((VALUE(LEFT($D462,2))),Sheet_Presccol,0))</f>
        <v>0</v>
      </c>
      <c r="K462" s="885">
        <f>SUMIF('AJE1'!$B:$B,$C462&amp;$D462&amp;"*",'AJE1'!$O:$O)</f>
        <v>0</v>
      </c>
      <c r="L462" s="885">
        <f>SUMIF('AJE1'!$B:$B,$C462&amp;$D462&amp;"*",'AJE1'!$P:$P)</f>
        <v>0</v>
      </c>
      <c r="M462" s="891">
        <f t="shared" si="180"/>
        <v>0</v>
      </c>
      <c r="N462" s="641"/>
      <c r="O462" s="641"/>
      <c r="P462" s="641"/>
      <c r="Q462" s="641"/>
      <c r="T462" s="3056">
        <v>8499</v>
      </c>
      <c r="U462" s="3063">
        <v>0</v>
      </c>
    </row>
    <row r="463" spans="1:21" ht="24">
      <c r="A463" s="1648" t="str">
        <f t="shared" si="150"/>
        <v>LOW</v>
      </c>
      <c r="B463" s="1647">
        <f t="shared" si="151"/>
        <v>-1</v>
      </c>
      <c r="C463" s="1647" t="str">
        <f t="shared" si="149"/>
        <v>J</v>
      </c>
      <c r="D463" s="1659">
        <v>8409</v>
      </c>
      <c r="E463" s="888" t="str">
        <f t="shared" si="152"/>
        <v>专项储备_其他原因调整上年年末余额</v>
      </c>
      <c r="F463" s="884">
        <f t="shared" si="178"/>
        <v>0</v>
      </c>
      <c r="G463" s="885">
        <f>SUMIF(AJE!$B:$B,$C463&amp;$D463&amp;"*",AJE!$O:$O)</f>
        <v>0</v>
      </c>
      <c r="H463" s="885">
        <f>SUMIF(AJE!$B:$B,$C463&amp;$D463&amp;"*",AJE!$P:$P)</f>
        <v>0</v>
      </c>
      <c r="I463" s="913">
        <f t="shared" si="179"/>
        <v>0</v>
      </c>
      <c r="J463" s="914">
        <f t="shared" si="155"/>
        <v>0</v>
      </c>
      <c r="K463" s="885">
        <f>SUMIF('AJE1'!$B:$B,$C463&amp;$D463&amp;"*",'AJE1'!$O:$O)</f>
        <v>0</v>
      </c>
      <c r="L463" s="885">
        <f>SUMIF('AJE1'!$B:$B,$C463&amp;$D463&amp;"*",'AJE1'!$P:$P)</f>
        <v>0</v>
      </c>
      <c r="M463" s="891">
        <f t="shared" si="180"/>
        <v>0</v>
      </c>
      <c r="N463" s="641"/>
      <c r="O463" s="641"/>
      <c r="P463" s="641"/>
      <c r="Q463" s="641"/>
      <c r="T463" s="3056">
        <v>8500</v>
      </c>
      <c r="U463" s="3063">
        <v>0</v>
      </c>
    </row>
    <row r="464" spans="1:21" ht="18">
      <c r="A464" s="1648" t="str">
        <f t="shared" si="150"/>
        <v>＝</v>
      </c>
      <c r="B464" s="1647">
        <f t="shared" si="151"/>
        <v>0</v>
      </c>
      <c r="C464" s="1647">
        <f t="shared" si="149"/>
        <v>0</v>
      </c>
      <c r="D464" s="1659">
        <v>8410</v>
      </c>
      <c r="E464" s="888" t="str">
        <f t="shared" si="152"/>
        <v>专项储备_本年年初余额</v>
      </c>
      <c r="F464" s="884">
        <f t="shared" ref="F464:M464" si="181">SUM(F459:F463)</f>
        <v>0</v>
      </c>
      <c r="G464" s="885">
        <f t="shared" si="181"/>
        <v>0</v>
      </c>
      <c r="H464" s="885">
        <f t="shared" si="181"/>
        <v>0</v>
      </c>
      <c r="I464" s="913">
        <f t="shared" si="181"/>
        <v>0</v>
      </c>
      <c r="J464" s="914">
        <f t="shared" si="181"/>
        <v>0</v>
      </c>
      <c r="K464" s="885">
        <f t="shared" si="181"/>
        <v>0</v>
      </c>
      <c r="L464" s="885">
        <f t="shared" si="181"/>
        <v>0</v>
      </c>
      <c r="M464" s="891">
        <f t="shared" si="181"/>
        <v>0</v>
      </c>
      <c r="N464" s="641"/>
      <c r="O464" s="641"/>
      <c r="P464" s="641"/>
      <c r="Q464" s="641"/>
      <c r="T464" s="3056">
        <v>8501</v>
      </c>
      <c r="U464" s="3063">
        <v>1424825.33</v>
      </c>
    </row>
    <row r="465" spans="1:21" ht="18">
      <c r="A465" s="1648" t="str">
        <f t="shared" si="150"/>
        <v>＝</v>
      </c>
      <c r="B465" s="1647">
        <f t="shared" si="151"/>
        <v>0</v>
      </c>
      <c r="C465" s="1647">
        <f t="shared" si="149"/>
        <v>0</v>
      </c>
      <c r="D465" s="1659">
        <v>8490</v>
      </c>
      <c r="E465" s="888" t="str">
        <f t="shared" si="152"/>
        <v>专项储备_本期增减变动金额</v>
      </c>
      <c r="F465" s="884">
        <f>SUM(F468,F469,F474,F479,F486,F489)</f>
        <v>0</v>
      </c>
      <c r="G465" s="885">
        <f t="shared" ref="G465:M465" si="182">SUM(G468,G469,G474,G479,G486,G489)</f>
        <v>0</v>
      </c>
      <c r="H465" s="885">
        <f t="shared" si="182"/>
        <v>0</v>
      </c>
      <c r="I465" s="913">
        <f t="shared" si="182"/>
        <v>0</v>
      </c>
      <c r="J465" s="914">
        <f t="shared" si="182"/>
        <v>0</v>
      </c>
      <c r="K465" s="885">
        <f t="shared" si="182"/>
        <v>0</v>
      </c>
      <c r="L465" s="885">
        <f t="shared" si="182"/>
        <v>0</v>
      </c>
      <c r="M465" s="891">
        <f t="shared" si="182"/>
        <v>0</v>
      </c>
      <c r="N465" s="641"/>
      <c r="O465" s="641"/>
      <c r="P465" s="641"/>
      <c r="Q465" s="641"/>
      <c r="T465" s="3056">
        <v>8502</v>
      </c>
      <c r="U465" s="3063">
        <v>0</v>
      </c>
    </row>
    <row r="466" spans="1:21" ht="18">
      <c r="A466" s="1648" t="str">
        <f t="shared" si="150"/>
        <v>N</v>
      </c>
      <c r="B466" s="1647">
        <f t="shared" si="151"/>
        <v>-1</v>
      </c>
      <c r="C466" s="1647" t="str">
        <f t="shared" si="149"/>
        <v>J</v>
      </c>
      <c r="D466" s="1659">
        <v>8421</v>
      </c>
      <c r="E466" s="888" t="str">
        <f t="shared" si="152"/>
        <v>专项储备_净利润增加权益</v>
      </c>
      <c r="F466" s="884">
        <f>INDEX(Sheet_Presc,MATCH((RIGHT($D466,2)),Sheet_Prescrow,0),MATCH((LEFT($D466,2)),Sheet_Presccol,0))</f>
        <v>0</v>
      </c>
      <c r="G466" s="885">
        <f>SUMIF(AJE!$B:$B,$C466&amp;$D466&amp;"*",AJE!$O:$O)</f>
        <v>0</v>
      </c>
      <c r="H466" s="885">
        <f>SUMIF(AJE!$B:$B,$C466&amp;$D466&amp;"*",AJE!$P:$P)</f>
        <v>0</v>
      </c>
      <c r="I466" s="913">
        <f>(B466*F466+G466-H466)*B466</f>
        <v>0</v>
      </c>
      <c r="J466" s="914">
        <f t="shared" si="155"/>
        <v>0</v>
      </c>
      <c r="K466" s="885">
        <f>SUMIF('AJE1'!$B:$B,$C466&amp;$D466&amp;"*",'AJE1'!$O:$O)</f>
        <v>0</v>
      </c>
      <c r="L466" s="885">
        <f>SUMIF('AJE1'!$B:$B,$C466&amp;$D466&amp;"*",'AJE1'!$P:$P)</f>
        <v>0</v>
      </c>
      <c r="M466" s="891">
        <f>($B466*J466+K466-L466)*$B466</f>
        <v>0</v>
      </c>
      <c r="N466" s="641"/>
      <c r="O466" s="641"/>
      <c r="P466" s="641"/>
      <c r="Q466" s="641"/>
      <c r="T466" s="3056">
        <v>8503</v>
      </c>
      <c r="U466" s="3063">
        <v>0</v>
      </c>
    </row>
    <row r="467" spans="1:21" ht="18">
      <c r="A467" s="1648" t="str">
        <f t="shared" si="150"/>
        <v>N</v>
      </c>
      <c r="B467" s="1647">
        <f t="shared" si="151"/>
        <v>-1</v>
      </c>
      <c r="C467" s="1647" t="str">
        <f t="shared" si="149"/>
        <v>J</v>
      </c>
      <c r="D467" s="1659">
        <v>8430</v>
      </c>
      <c r="E467" s="888" t="str">
        <f t="shared" si="152"/>
        <v>专项储备_其他综合收益增加权益</v>
      </c>
      <c r="F467" s="884">
        <f>INDEX(Sheet_Presc,MATCH((RIGHT($D467,2)),Sheet_Prescrow,0),MATCH((LEFT($D467,2)),Sheet_Presccol,0))</f>
        <v>0</v>
      </c>
      <c r="G467" s="885">
        <f>SUMIF(AJE!$B:$B,$C467&amp;$D467&amp;"*",AJE!$O:$O)</f>
        <v>0</v>
      </c>
      <c r="H467" s="885">
        <f>SUMIF(AJE!$B:$B,$C467&amp;$D467&amp;"*",AJE!$P:$P)</f>
        <v>0</v>
      </c>
      <c r="I467" s="913">
        <f>(B467*F467+G467-H467)*B467</f>
        <v>0</v>
      </c>
      <c r="J467" s="914">
        <f t="shared" si="155"/>
        <v>0</v>
      </c>
      <c r="K467" s="885">
        <f>SUMIF('AJE1'!$B:$B,$C467&amp;$D467&amp;"*",'AJE1'!$O:$O)</f>
        <v>0</v>
      </c>
      <c r="L467" s="885">
        <f>SUMIF('AJE1'!$B:$B,$C467&amp;$D467&amp;"*",'AJE1'!$P:$P)</f>
        <v>0</v>
      </c>
      <c r="M467" s="891">
        <f>($B467*J467+K467-L467)*$B467</f>
        <v>0</v>
      </c>
      <c r="N467" s="641"/>
      <c r="O467" s="641"/>
      <c r="P467" s="641"/>
      <c r="Q467" s="641"/>
      <c r="T467" s="3056">
        <v>8504</v>
      </c>
      <c r="U467" s="3063">
        <v>0</v>
      </c>
    </row>
    <row r="468" spans="1:21" ht="18">
      <c r="A468" s="1648">
        <f t="shared" si="150"/>
        <v>0</v>
      </c>
      <c r="B468" s="1647">
        <f t="shared" si="151"/>
        <v>-1</v>
      </c>
      <c r="C468" s="1647" t="str">
        <f t="shared" si="149"/>
        <v>J</v>
      </c>
      <c r="D468" s="1659">
        <v>8440</v>
      </c>
      <c r="E468" s="888" t="str">
        <f t="shared" si="152"/>
        <v>专项储备_综合收益总额增加权益</v>
      </c>
      <c r="F468" s="884">
        <f>INDEX(Sheet_Presc,MATCH((RIGHT($D468,2)),Sheet_Prescrow,0),MATCH((LEFT($D468,2)),Sheet_Presccol,0))</f>
        <v>0</v>
      </c>
      <c r="G468" s="885">
        <f>SUMIF(AJE!$B:$B,$C468&amp;$D468&amp;"*",AJE!$O:$O)+VLOOKUP(8421,Sheet_Trialbal,4,0)+VLOOKUP(8430,Sheet_Trialbal,4,0)</f>
        <v>0</v>
      </c>
      <c r="H468" s="885">
        <f>SUMIF(AJE!$B:$B,$C468&amp;$D468&amp;"*",AJE!$P:$P)+VLOOKUP(8421,Sheet_Trialbal,5,0)+VLOOKUP(8430,Sheet_Trialbal,5,0)</f>
        <v>0</v>
      </c>
      <c r="I468" s="913">
        <f>(B468*F468+G468-H468)*B468</f>
        <v>0</v>
      </c>
      <c r="J468" s="914">
        <f>INDEX(Sheet_Presc,MATCH((RIGHT($D468,2)),Sheet_Prescrow,0),MATCH((VALUE(LEFT($D468,2))),Sheet_Presccol,0))</f>
        <v>0</v>
      </c>
      <c r="K468" s="885">
        <f>SUMIF('AJE1'!$B:$B,$C468&amp;$D468&amp;"*",'AJE1'!$O:$O)+VLOOKUP(8421,Sheet_Trialbal,8,0)+VLOOKUP(8430,Sheet_Trialbal,8,0)</f>
        <v>0</v>
      </c>
      <c r="L468" s="885">
        <f>SUMIF('AJE1'!$B:$B,$C468&amp;$D468&amp;"*",'AJE1'!$P:$P)+VLOOKUP(8421,Sheet_Trialbal,9,0)+VLOOKUP(8430,Sheet_Trialbal,9,0)</f>
        <v>0</v>
      </c>
      <c r="M468" s="891">
        <f>($B468*J468+K468-L468)*$B468</f>
        <v>0</v>
      </c>
      <c r="N468" s="641"/>
      <c r="O468" s="641"/>
      <c r="P468" s="641"/>
      <c r="Q468" s="641"/>
      <c r="T468" s="3056">
        <v>8509</v>
      </c>
      <c r="U468" s="3063">
        <v>0</v>
      </c>
    </row>
    <row r="469" spans="1:21" ht="24">
      <c r="A469" s="1648" t="str">
        <f t="shared" si="150"/>
        <v>＝</v>
      </c>
      <c r="B469" s="1647">
        <f t="shared" si="151"/>
        <v>0</v>
      </c>
      <c r="C469" s="1647">
        <f t="shared" si="149"/>
        <v>0</v>
      </c>
      <c r="D469" s="1659">
        <v>8450</v>
      </c>
      <c r="E469" s="888" t="str">
        <f t="shared" si="152"/>
        <v>专项储备_所有者投入和减少资本影响权益</v>
      </c>
      <c r="F469" s="884">
        <f>SUM(F470:F473)</f>
        <v>0</v>
      </c>
      <c r="G469" s="885">
        <f t="shared" ref="G469:M469" si="183">SUM(G470:G473)</f>
        <v>0</v>
      </c>
      <c r="H469" s="885">
        <f t="shared" si="183"/>
        <v>0</v>
      </c>
      <c r="I469" s="913">
        <f t="shared" si="183"/>
        <v>0</v>
      </c>
      <c r="J469" s="914">
        <f t="shared" si="183"/>
        <v>0</v>
      </c>
      <c r="K469" s="885">
        <f t="shared" si="183"/>
        <v>0</v>
      </c>
      <c r="L469" s="885">
        <f t="shared" si="183"/>
        <v>0</v>
      </c>
      <c r="M469" s="891">
        <f t="shared" si="183"/>
        <v>0</v>
      </c>
      <c r="N469" s="641"/>
      <c r="O469" s="641"/>
      <c r="P469" s="641"/>
      <c r="Q469" s="641"/>
      <c r="T469" s="3056">
        <v>8510</v>
      </c>
      <c r="U469" s="3063">
        <v>1424825.33</v>
      </c>
    </row>
    <row r="470" spans="1:21" ht="18">
      <c r="A470" s="1648" t="str">
        <f t="shared" si="150"/>
        <v>N</v>
      </c>
      <c r="B470" s="1647">
        <f t="shared" si="151"/>
        <v>-1</v>
      </c>
      <c r="C470" s="1647" t="str">
        <f t="shared" si="149"/>
        <v>J</v>
      </c>
      <c r="D470" s="1659">
        <v>8451</v>
      </c>
      <c r="E470" s="888" t="str">
        <f t="shared" si="152"/>
        <v>专项储备_所有者投入资本增加权益</v>
      </c>
      <c r="F470" s="884">
        <f>INDEX(Sheet_Presc,MATCH((RIGHT($D470,2)),Sheet_Prescrow,0),MATCH((LEFT($D470,2)),Sheet_Presccol,0))</f>
        <v>0</v>
      </c>
      <c r="G470" s="885">
        <f>SUMIF(AJE!$B:$B,$C470&amp;$D470&amp;"*",AJE!$O:$O)</f>
        <v>0</v>
      </c>
      <c r="H470" s="885">
        <f>SUMIF(AJE!$B:$B,$C470&amp;$D470&amp;"*",AJE!$P:$P)</f>
        <v>0</v>
      </c>
      <c r="I470" s="913">
        <f>(B470*F470+G470-H470)*B470</f>
        <v>0</v>
      </c>
      <c r="J470" s="914">
        <f t="shared" si="155"/>
        <v>0</v>
      </c>
      <c r="K470" s="885">
        <f>SUMIF('AJE1'!$B:$B,$C470&amp;$D470&amp;"*",'AJE1'!$O:$O)</f>
        <v>0</v>
      </c>
      <c r="L470" s="885">
        <f>SUMIF('AJE1'!$B:$B,$C470&amp;$D470&amp;"*",'AJE1'!$P:$P)</f>
        <v>0</v>
      </c>
      <c r="M470" s="891">
        <f>($B470*J470+K470-L470)*$B470</f>
        <v>0</v>
      </c>
      <c r="N470" s="641"/>
      <c r="O470" s="641"/>
      <c r="P470" s="641"/>
      <c r="Q470" s="641"/>
      <c r="T470" s="3056">
        <v>8590</v>
      </c>
      <c r="U470" s="3063">
        <v>52022.89</v>
      </c>
    </row>
    <row r="471" spans="1:21" ht="24">
      <c r="A471" s="1648" t="str">
        <f t="shared" si="150"/>
        <v>OEI</v>
      </c>
      <c r="B471" s="1647">
        <f t="shared" si="151"/>
        <v>-1</v>
      </c>
      <c r="C471" s="1647" t="str">
        <f t="shared" si="149"/>
        <v>J</v>
      </c>
      <c r="D471" s="1659">
        <v>8453</v>
      </c>
      <c r="E471" s="888" t="str">
        <f t="shared" si="152"/>
        <v>专项储备_其他权益工具持有者投入资本</v>
      </c>
      <c r="F471" s="884">
        <f>INDEX(Sheet_Presc,MATCH((RIGHT($D471,2)),Sheet_Prescrow,0),MATCH((LEFT($D471,2)),Sheet_Presccol,0))</f>
        <v>0</v>
      </c>
      <c r="G471" s="885">
        <f>SUMIF(AJE!$B:$B,$C471&amp;$D471&amp;"*",AJE!$O:$O)</f>
        <v>0</v>
      </c>
      <c r="H471" s="885">
        <f>SUMIF(AJE!$B:$B,$C471&amp;$D471&amp;"*",AJE!$P:$P)</f>
        <v>0</v>
      </c>
      <c r="I471" s="913">
        <f>(B471*F471+G471-H471)*B471</f>
        <v>0</v>
      </c>
      <c r="J471" s="914">
        <f>INDEX(Sheet_Presc,MATCH((RIGHT($D471,2)),Sheet_Prescrow,0),MATCH((VALUE(LEFT($D471,2))),Sheet_Presccol,0))</f>
        <v>0</v>
      </c>
      <c r="K471" s="885">
        <f>SUMIF('AJE1'!$B:$B,$C471&amp;$D471&amp;"*",'AJE1'!$O:$O)</f>
        <v>0</v>
      </c>
      <c r="L471" s="885">
        <f>SUMIF('AJE1'!$B:$B,$C471&amp;$D471&amp;"*",'AJE1'!$P:$P)</f>
        <v>0</v>
      </c>
      <c r="M471" s="891">
        <f>($B471*J471+K471-L471)*$B471</f>
        <v>0</v>
      </c>
      <c r="N471" s="641"/>
      <c r="O471" s="641"/>
      <c r="P471" s="641"/>
      <c r="Q471" s="641"/>
      <c r="T471" s="3056">
        <v>8521</v>
      </c>
      <c r="U471" s="3063">
        <v>0</v>
      </c>
    </row>
    <row r="472" spans="1:21" ht="24">
      <c r="A472" s="1648" t="str">
        <f t="shared" si="150"/>
        <v>N</v>
      </c>
      <c r="B472" s="1647">
        <f t="shared" si="151"/>
        <v>-1</v>
      </c>
      <c r="C472" s="1647" t="str">
        <f t="shared" si="149"/>
        <v>J</v>
      </c>
      <c r="D472" s="1659">
        <v>8452</v>
      </c>
      <c r="E472" s="888" t="str">
        <f t="shared" si="152"/>
        <v>专项储备_股份支付计入所有者权益的金额</v>
      </c>
      <c r="F472" s="884">
        <f>INDEX(Sheet_Presc,MATCH((RIGHT($D472,2)),Sheet_Prescrow,0),MATCH((LEFT($D472,2)),Sheet_Presccol,0))</f>
        <v>0</v>
      </c>
      <c r="G472" s="885">
        <f>SUMIF(AJE!$B:$B,$C472&amp;$D472&amp;"*",AJE!$O:$O)</f>
        <v>0</v>
      </c>
      <c r="H472" s="885">
        <f>SUMIF(AJE!$B:$B,$C472&amp;$D472&amp;"*",AJE!$P:$P)</f>
        <v>0</v>
      </c>
      <c r="I472" s="913">
        <f>(B472*F472+G472-H472)*B472</f>
        <v>0</v>
      </c>
      <c r="J472" s="914">
        <f t="shared" si="155"/>
        <v>0</v>
      </c>
      <c r="K472" s="885">
        <f>SUMIF('AJE1'!$B:$B,$C472&amp;$D472&amp;"*",'AJE1'!$O:$O)</f>
        <v>0</v>
      </c>
      <c r="L472" s="885">
        <f>SUMIF('AJE1'!$B:$B,$C472&amp;$D472&amp;"*",'AJE1'!$P:$P)</f>
        <v>0</v>
      </c>
      <c r="M472" s="891">
        <f>($B472*J472+K472-L472)*$B472</f>
        <v>0</v>
      </c>
      <c r="N472" s="641"/>
      <c r="O472" s="641"/>
      <c r="P472" s="641"/>
      <c r="Q472" s="641"/>
      <c r="T472" s="3056">
        <v>8530</v>
      </c>
      <c r="U472" s="3063">
        <v>0</v>
      </c>
    </row>
    <row r="473" spans="1:21" ht="24">
      <c r="A473" s="1648" t="str">
        <f t="shared" si="150"/>
        <v>N</v>
      </c>
      <c r="B473" s="1647">
        <f t="shared" si="151"/>
        <v>-1</v>
      </c>
      <c r="C473" s="1647" t="str">
        <f t="shared" si="149"/>
        <v>J</v>
      </c>
      <c r="D473" s="1659">
        <v>8456</v>
      </c>
      <c r="E473" s="888" t="str">
        <f t="shared" si="152"/>
        <v>专项储备_所有者其他投入和减少资本</v>
      </c>
      <c r="F473" s="884">
        <f>INDEX(Sheet_Presc,MATCH((RIGHT($D473,2)),Sheet_Prescrow,0),MATCH((LEFT($D473,2)),Sheet_Presccol,0))</f>
        <v>0</v>
      </c>
      <c r="G473" s="885">
        <f>SUMIF(AJE!$B:$B,$C473&amp;$D473&amp;"*",AJE!$O:$O)</f>
        <v>0</v>
      </c>
      <c r="H473" s="885">
        <f>SUMIF(AJE!$B:$B,$C473&amp;$D473&amp;"*",AJE!$P:$P)</f>
        <v>0</v>
      </c>
      <c r="I473" s="913">
        <f>(B473*F473+G473-H473)*B473</f>
        <v>0</v>
      </c>
      <c r="J473" s="914">
        <f t="shared" si="155"/>
        <v>0</v>
      </c>
      <c r="K473" s="885">
        <f>SUMIF('AJE1'!$B:$B,$C473&amp;$D473&amp;"*",'AJE1'!$O:$O)</f>
        <v>0</v>
      </c>
      <c r="L473" s="885">
        <f>SUMIF('AJE1'!$B:$B,$C473&amp;$D473&amp;"*",'AJE1'!$P:$P)</f>
        <v>0</v>
      </c>
      <c r="M473" s="891">
        <f>($B473*J473+K473-L473)*$B473</f>
        <v>0</v>
      </c>
      <c r="N473" s="641"/>
      <c r="O473" s="641"/>
      <c r="P473" s="641"/>
      <c r="Q473" s="641"/>
      <c r="T473" s="3056">
        <v>8540</v>
      </c>
      <c r="U473" s="3063">
        <v>0</v>
      </c>
    </row>
    <row r="474" spans="1:21" ht="18">
      <c r="A474" s="1648" t="str">
        <f t="shared" si="150"/>
        <v>＝</v>
      </c>
      <c r="B474" s="1647">
        <f t="shared" si="151"/>
        <v>0</v>
      </c>
      <c r="C474" s="1647">
        <f t="shared" si="149"/>
        <v>0</v>
      </c>
      <c r="D474" s="1659">
        <v>8460</v>
      </c>
      <c r="E474" s="888" t="str">
        <f t="shared" si="152"/>
        <v>专项储备_利润分配影响权益</v>
      </c>
      <c r="F474" s="884">
        <f>SUM(F475:F478)</f>
        <v>0</v>
      </c>
      <c r="G474" s="885">
        <f t="shared" ref="G474:M474" si="184">SUM(G475:G478)</f>
        <v>0</v>
      </c>
      <c r="H474" s="885">
        <f t="shared" si="184"/>
        <v>0</v>
      </c>
      <c r="I474" s="913">
        <f t="shared" si="184"/>
        <v>0</v>
      </c>
      <c r="J474" s="914">
        <f t="shared" si="184"/>
        <v>0</v>
      </c>
      <c r="K474" s="885">
        <f t="shared" si="184"/>
        <v>0</v>
      </c>
      <c r="L474" s="885">
        <f t="shared" si="184"/>
        <v>0</v>
      </c>
      <c r="M474" s="891">
        <f t="shared" si="184"/>
        <v>0</v>
      </c>
      <c r="N474" s="641"/>
      <c r="O474" s="641"/>
      <c r="P474" s="641"/>
      <c r="Q474" s="641"/>
      <c r="T474" s="3056">
        <v>8550</v>
      </c>
      <c r="U474" s="3063">
        <v>0</v>
      </c>
    </row>
    <row r="475" spans="1:21" ht="18">
      <c r="A475" s="1648" t="str">
        <f t="shared" si="150"/>
        <v>N</v>
      </c>
      <c r="B475" s="1647">
        <f t="shared" si="151"/>
        <v>-1</v>
      </c>
      <c r="C475" s="1647" t="str">
        <f t="shared" si="149"/>
        <v>J</v>
      </c>
      <c r="D475" s="1659">
        <v>8461</v>
      </c>
      <c r="E475" s="888" t="str">
        <f t="shared" si="152"/>
        <v>专项储备_提取盈余公积影响权益</v>
      </c>
      <c r="F475" s="884">
        <f>INDEX(Sheet_Presc,MATCH((RIGHT($D475,2)),Sheet_Prescrow,0),MATCH((LEFT($D475,2)),Sheet_Presccol,0))</f>
        <v>0</v>
      </c>
      <c r="G475" s="885">
        <f>SUMIF(AJE!$B:$B,$C475&amp;$D475&amp;"*",AJE!$O:$O)</f>
        <v>0</v>
      </c>
      <c r="H475" s="885">
        <f>SUMIF(AJE!$B:$B,$C475&amp;$D475&amp;"*",AJE!$P:$P)</f>
        <v>0</v>
      </c>
      <c r="I475" s="913">
        <f>(B475*F475+G475-H475)*B475</f>
        <v>0</v>
      </c>
      <c r="J475" s="914">
        <f t="shared" si="155"/>
        <v>0</v>
      </c>
      <c r="K475" s="885">
        <f>SUMIF('AJE1'!$B:$B,$C475&amp;$D475&amp;"*",'AJE1'!$O:$O)</f>
        <v>0</v>
      </c>
      <c r="L475" s="885">
        <f>SUMIF('AJE1'!$B:$B,$C475&amp;$D475&amp;"*",'AJE1'!$P:$P)</f>
        <v>0</v>
      </c>
      <c r="M475" s="891">
        <f>($B475*J475+K475-L475)*$B475</f>
        <v>0</v>
      </c>
      <c r="N475" s="641"/>
      <c r="O475" s="641"/>
      <c r="P475" s="641"/>
      <c r="Q475" s="641"/>
      <c r="T475" s="3056">
        <v>8551</v>
      </c>
      <c r="U475" s="3063">
        <v>0</v>
      </c>
    </row>
    <row r="476" spans="1:21" ht="24">
      <c r="A476" s="1648" t="str">
        <f t="shared" si="150"/>
        <v>N</v>
      </c>
      <c r="B476" s="1647">
        <f t="shared" si="151"/>
        <v>-1</v>
      </c>
      <c r="C476" s="1647" t="str">
        <f t="shared" si="149"/>
        <v>J</v>
      </c>
      <c r="D476" s="1659">
        <v>8462</v>
      </c>
      <c r="E476" s="888" t="str">
        <f t="shared" si="152"/>
        <v>专项储备_提取一般风险准备影响权益</v>
      </c>
      <c r="F476" s="884">
        <f>INDEX(Sheet_Presc,MATCH((RIGHT($D476,2)),Sheet_Prescrow,0),MATCH((LEFT($D476,2)),Sheet_Presccol,0))</f>
        <v>0</v>
      </c>
      <c r="G476" s="885">
        <f>SUMIF(AJE!$B:$B,$C476&amp;$D476&amp;"*",AJE!$O:$O)</f>
        <v>0</v>
      </c>
      <c r="H476" s="885">
        <f>SUMIF(AJE!$B:$B,$C476&amp;$D476&amp;"*",AJE!$P:$P)</f>
        <v>0</v>
      </c>
      <c r="I476" s="913">
        <f>(B476*F476+G476-H476)*B476</f>
        <v>0</v>
      </c>
      <c r="J476" s="914">
        <f t="shared" si="155"/>
        <v>0</v>
      </c>
      <c r="K476" s="885">
        <f>SUMIF('AJE1'!$B:$B,$C476&amp;$D476&amp;"*",'AJE1'!$O:$O)</f>
        <v>0</v>
      </c>
      <c r="L476" s="885">
        <f>SUMIF('AJE1'!$B:$B,$C476&amp;$D476&amp;"*",'AJE1'!$P:$P)</f>
        <v>0</v>
      </c>
      <c r="M476" s="891">
        <f>($B476*J476+K476-L476)*$B476</f>
        <v>0</v>
      </c>
      <c r="N476" s="641"/>
      <c r="O476" s="641"/>
      <c r="P476" s="641"/>
      <c r="Q476" s="641"/>
      <c r="T476" s="3056">
        <v>8553</v>
      </c>
      <c r="U476" s="3063">
        <v>0</v>
      </c>
    </row>
    <row r="477" spans="1:21" ht="18">
      <c r="A477" s="1648" t="str">
        <f t="shared" si="150"/>
        <v>N</v>
      </c>
      <c r="B477" s="1647">
        <f t="shared" si="151"/>
        <v>-1</v>
      </c>
      <c r="C477" s="1647" t="str">
        <f t="shared" si="149"/>
        <v>J</v>
      </c>
      <c r="D477" s="1659">
        <v>8463</v>
      </c>
      <c r="E477" s="888" t="str">
        <f t="shared" si="152"/>
        <v>专项储备_对所有者的分配影响权益</v>
      </c>
      <c r="F477" s="884">
        <f>INDEX(Sheet_Presc,MATCH((RIGHT($D477,2)),Sheet_Prescrow,0),MATCH((LEFT($D477,2)),Sheet_Presccol,0))</f>
        <v>0</v>
      </c>
      <c r="G477" s="885">
        <f>SUMIF(AJE!$B:$B,$C477&amp;$D477&amp;"*",AJE!$O:$O)</f>
        <v>0</v>
      </c>
      <c r="H477" s="885">
        <f>SUMIF(AJE!$B:$B,$C477&amp;$D477&amp;"*",AJE!$P:$P)</f>
        <v>0</v>
      </c>
      <c r="I477" s="913">
        <f>(B477*F477+G477-H477)*B477</f>
        <v>0</v>
      </c>
      <c r="J477" s="914">
        <f t="shared" si="155"/>
        <v>0</v>
      </c>
      <c r="K477" s="885">
        <f>SUMIF('AJE1'!$B:$B,$C477&amp;$D477&amp;"*",'AJE1'!$O:$O)</f>
        <v>0</v>
      </c>
      <c r="L477" s="885">
        <f>SUMIF('AJE1'!$B:$B,$C477&amp;$D477&amp;"*",'AJE1'!$P:$P)</f>
        <v>0</v>
      </c>
      <c r="M477" s="891">
        <f>($B477*J477+K477-L477)*$B477</f>
        <v>0</v>
      </c>
      <c r="N477" s="641"/>
      <c r="O477" s="641"/>
      <c r="P477" s="641"/>
      <c r="Q477" s="641"/>
      <c r="T477" s="3056">
        <v>8552</v>
      </c>
      <c r="U477" s="3063">
        <v>0</v>
      </c>
    </row>
    <row r="478" spans="1:21" ht="18">
      <c r="A478" s="1648" t="str">
        <f t="shared" si="150"/>
        <v>N</v>
      </c>
      <c r="B478" s="1647">
        <f t="shared" si="151"/>
        <v>-1</v>
      </c>
      <c r="C478" s="1647" t="str">
        <f t="shared" si="149"/>
        <v>J</v>
      </c>
      <c r="D478" s="1659">
        <v>8466</v>
      </c>
      <c r="E478" s="888" t="str">
        <f t="shared" si="152"/>
        <v>专项储备_其他利润分配影响权益</v>
      </c>
      <c r="F478" s="884">
        <f>INDEX(Sheet_Presc,MATCH((RIGHT($D478,2)),Sheet_Prescrow,0),MATCH((LEFT($D478,2)),Sheet_Presccol,0))</f>
        <v>0</v>
      </c>
      <c r="G478" s="885">
        <f>SUMIF(AJE!$B:$B,$C478&amp;$D478&amp;"*",AJE!$O:$O)</f>
        <v>0</v>
      </c>
      <c r="H478" s="885">
        <f>SUMIF(AJE!$B:$B,$C478&amp;$D478&amp;"*",AJE!$P:$P)</f>
        <v>0</v>
      </c>
      <c r="I478" s="913">
        <f>(B478*F478+G478-H478)*B478</f>
        <v>0</v>
      </c>
      <c r="J478" s="914">
        <f t="shared" si="155"/>
        <v>0</v>
      </c>
      <c r="K478" s="885">
        <f>SUMIF('AJE1'!$B:$B,$C478&amp;$D478&amp;"*",'AJE1'!$O:$O)</f>
        <v>0</v>
      </c>
      <c r="L478" s="885">
        <f>SUMIF('AJE1'!$B:$B,$C478&amp;$D478&amp;"*",'AJE1'!$P:$P)</f>
        <v>0</v>
      </c>
      <c r="M478" s="891">
        <f>($B478*J478+K478-L478)*$B478</f>
        <v>0</v>
      </c>
      <c r="N478" s="641"/>
      <c r="O478" s="641"/>
      <c r="P478" s="641"/>
      <c r="Q478" s="641"/>
      <c r="T478" s="3056">
        <v>8556</v>
      </c>
      <c r="U478" s="3063">
        <v>0</v>
      </c>
    </row>
    <row r="479" spans="1:21" ht="18">
      <c r="A479" s="1648" t="str">
        <f t="shared" si="150"/>
        <v>＝</v>
      </c>
      <c r="B479" s="1647">
        <f t="shared" si="151"/>
        <v>0</v>
      </c>
      <c r="C479" s="1647">
        <f t="shared" si="149"/>
        <v>0</v>
      </c>
      <c r="D479" s="1659">
        <v>8470</v>
      </c>
      <c r="E479" s="888" t="str">
        <f t="shared" si="152"/>
        <v>专项储备_所有者权益内部结转</v>
      </c>
      <c r="F479" s="884">
        <f>SUM(F480:F485)</f>
        <v>0</v>
      </c>
      <c r="G479" s="885">
        <f t="shared" ref="G479:M479" si="185">SUM(G480:G485)</f>
        <v>0</v>
      </c>
      <c r="H479" s="885">
        <f t="shared" si="185"/>
        <v>0</v>
      </c>
      <c r="I479" s="913">
        <f t="shared" si="185"/>
        <v>0</v>
      </c>
      <c r="J479" s="914">
        <f t="shared" si="185"/>
        <v>0</v>
      </c>
      <c r="K479" s="885">
        <f t="shared" si="185"/>
        <v>0</v>
      </c>
      <c r="L479" s="885">
        <f t="shared" si="185"/>
        <v>0</v>
      </c>
      <c r="M479" s="891">
        <f t="shared" si="185"/>
        <v>0</v>
      </c>
      <c r="N479" s="641"/>
      <c r="O479" s="641"/>
      <c r="P479" s="641"/>
      <c r="Q479" s="641"/>
      <c r="T479" s="3056">
        <v>8560</v>
      </c>
      <c r="U479" s="3063">
        <v>52022.89</v>
      </c>
    </row>
    <row r="480" spans="1:21" ht="24">
      <c r="A480" s="1648" t="str">
        <f t="shared" si="150"/>
        <v>N</v>
      </c>
      <c r="B480" s="1647">
        <f t="shared" si="151"/>
        <v>-1</v>
      </c>
      <c r="C480" s="1647" t="str">
        <f t="shared" si="149"/>
        <v>J</v>
      </c>
      <c r="D480" s="1659">
        <v>8471</v>
      </c>
      <c r="E480" s="888" t="str">
        <f t="shared" si="152"/>
        <v>专项储备_资本公积转增资本影响权益</v>
      </c>
      <c r="F480" s="884">
        <f>INDEX(Sheet_Presc,MATCH((RIGHT($D480,2)),Sheet_Prescrow,0),MATCH((LEFT($D480,2)),Sheet_Presccol,0))</f>
        <v>0</v>
      </c>
      <c r="G480" s="885">
        <f>SUMIF(AJE!$B:$B,$C480&amp;$D480&amp;"*",AJE!$O:$O)</f>
        <v>0</v>
      </c>
      <c r="H480" s="885">
        <f>SUMIF(AJE!$B:$B,$C480&amp;$D480&amp;"*",AJE!$P:$P)</f>
        <v>0</v>
      </c>
      <c r="I480" s="913">
        <f t="shared" ref="I480:I485" si="186">(B480*F480+G480-H480)*B480</f>
        <v>0</v>
      </c>
      <c r="J480" s="914">
        <f t="shared" si="155"/>
        <v>0</v>
      </c>
      <c r="K480" s="885">
        <f>SUMIF('AJE1'!$B:$B,$C480&amp;$D480&amp;"*",'AJE1'!$O:$O)</f>
        <v>0</v>
      </c>
      <c r="L480" s="885">
        <f>SUMIF('AJE1'!$B:$B,$C480&amp;$D480&amp;"*",'AJE1'!$P:$P)</f>
        <v>0</v>
      </c>
      <c r="M480" s="891">
        <f t="shared" ref="M480:M485" si="187">($B480*J480+K480-L480)*$B480</f>
        <v>0</v>
      </c>
      <c r="N480" s="641"/>
      <c r="O480" s="641"/>
      <c r="P480" s="641"/>
      <c r="Q480" s="641"/>
      <c r="T480" s="3056">
        <v>8561</v>
      </c>
      <c r="U480" s="3063">
        <v>52022.89</v>
      </c>
    </row>
    <row r="481" spans="1:21" ht="24">
      <c r="A481" s="1648" t="str">
        <f t="shared" si="150"/>
        <v>N</v>
      </c>
      <c r="B481" s="1647">
        <f t="shared" si="151"/>
        <v>-1</v>
      </c>
      <c r="C481" s="1647" t="str">
        <f t="shared" si="149"/>
        <v>J</v>
      </c>
      <c r="D481" s="1659">
        <v>8472</v>
      </c>
      <c r="E481" s="888" t="str">
        <f t="shared" si="152"/>
        <v>专项储备_盈余公积转增资本影响权益</v>
      </c>
      <c r="F481" s="884">
        <f>INDEX(Sheet_Presc,MATCH((RIGHT($D481,2)),Sheet_Prescrow,0),MATCH((LEFT($D481,2)),Sheet_Presccol,0))</f>
        <v>0</v>
      </c>
      <c r="G481" s="885">
        <f>SUMIF(AJE!$B:$B,$C481&amp;$D481&amp;"*",AJE!$O:$O)</f>
        <v>0</v>
      </c>
      <c r="H481" s="885">
        <f>SUMIF(AJE!$B:$B,$C481&amp;$D481&amp;"*",AJE!$P:$P)</f>
        <v>0</v>
      </c>
      <c r="I481" s="913">
        <f t="shared" si="186"/>
        <v>0</v>
      </c>
      <c r="J481" s="914">
        <f t="shared" si="155"/>
        <v>0</v>
      </c>
      <c r="K481" s="885">
        <f>SUMIF('AJE1'!$B:$B,$C481&amp;$D481&amp;"*",'AJE1'!$O:$O)</f>
        <v>0</v>
      </c>
      <c r="L481" s="885">
        <f>SUMIF('AJE1'!$B:$B,$C481&amp;$D481&amp;"*",'AJE1'!$P:$P)</f>
        <v>0</v>
      </c>
      <c r="M481" s="891">
        <f t="shared" si="187"/>
        <v>0</v>
      </c>
      <c r="N481" s="641"/>
      <c r="O481" s="641"/>
      <c r="P481" s="641"/>
      <c r="Q481" s="641"/>
      <c r="T481" s="3056">
        <v>8562</v>
      </c>
      <c r="U481" s="3063">
        <v>0</v>
      </c>
    </row>
    <row r="482" spans="1:21" ht="24">
      <c r="A482" s="1648" t="str">
        <f t="shared" si="150"/>
        <v>N</v>
      </c>
      <c r="B482" s="1647">
        <f t="shared" si="151"/>
        <v>-1</v>
      </c>
      <c r="C482" s="1647" t="str">
        <f t="shared" si="149"/>
        <v>J</v>
      </c>
      <c r="D482" s="1659">
        <v>8473</v>
      </c>
      <c r="E482" s="888" t="str">
        <f t="shared" si="152"/>
        <v>专项储备_盈余公积弥补亏损影响权益</v>
      </c>
      <c r="F482" s="884">
        <f>INDEX(Sheet_Presc,MATCH((RIGHT($D482,2)),Sheet_Prescrow,0),MATCH((LEFT($D482,2)),Sheet_Presccol,0))</f>
        <v>0</v>
      </c>
      <c r="G482" s="885">
        <f>SUMIF(AJE!$B:$B,$C482&amp;$D482&amp;"*",AJE!$O:$O)</f>
        <v>0</v>
      </c>
      <c r="H482" s="885">
        <f>SUMIF(AJE!$B:$B,$C482&amp;$D482&amp;"*",AJE!$P:$P)</f>
        <v>0</v>
      </c>
      <c r="I482" s="913">
        <f t="shared" si="186"/>
        <v>0</v>
      </c>
      <c r="J482" s="914">
        <f t="shared" si="155"/>
        <v>0</v>
      </c>
      <c r="K482" s="885">
        <f>SUMIF('AJE1'!$B:$B,$C482&amp;$D482&amp;"*",'AJE1'!$O:$O)</f>
        <v>0</v>
      </c>
      <c r="L482" s="885">
        <f>SUMIF('AJE1'!$B:$B,$C482&amp;$D482&amp;"*",'AJE1'!$P:$P)</f>
        <v>0</v>
      </c>
      <c r="M482" s="891">
        <f t="shared" si="187"/>
        <v>0</v>
      </c>
      <c r="N482" s="641"/>
      <c r="O482" s="641"/>
      <c r="P482" s="641"/>
      <c r="Q482" s="641"/>
      <c r="T482" s="3056">
        <v>8563</v>
      </c>
      <c r="U482" s="3063">
        <v>0</v>
      </c>
    </row>
    <row r="483" spans="1:21" ht="24">
      <c r="A483" s="1648" t="str">
        <f t="shared" si="150"/>
        <v>OEI</v>
      </c>
      <c r="B483" s="1647">
        <f t="shared" si="151"/>
        <v>-1</v>
      </c>
      <c r="C483" s="1647" t="str">
        <f t="shared" si="149"/>
        <v>J</v>
      </c>
      <c r="D483" s="1659">
        <v>8475</v>
      </c>
      <c r="E483" s="888" t="str">
        <f t="shared" si="152"/>
        <v>专项储备_设定受益计划变动额结转留存收益</v>
      </c>
      <c r="F483" s="884">
        <f>INDEX(Sheet_Presc,MATCH((RIGHT($D483,2)),Sheet_Prescrow,0),MATCH((LEFT($D483,2)),Sheet_Presccol,0))</f>
        <v>0</v>
      </c>
      <c r="G483" s="885">
        <f>SUMIF(AJE!$B:$B,$C483&amp;$D483&amp;"*",AJE!$O:$O)</f>
        <v>0</v>
      </c>
      <c r="H483" s="885">
        <f>SUMIF(AJE!$B:$B,$C483&amp;$D483&amp;"*",AJE!$P:$P)</f>
        <v>0</v>
      </c>
      <c r="I483" s="913">
        <f t="shared" si="186"/>
        <v>0</v>
      </c>
      <c r="J483" s="914">
        <f t="shared" si="155"/>
        <v>0</v>
      </c>
      <c r="K483" s="885">
        <f>SUMIF('AJE1'!$B:$B,$C483&amp;$D483&amp;"*",'AJE1'!$O:$O)</f>
        <v>0</v>
      </c>
      <c r="L483" s="885">
        <f>SUMIF('AJE1'!$B:$B,$C483&amp;$D483&amp;"*",'AJE1'!$P:$P)</f>
        <v>0</v>
      </c>
      <c r="M483" s="891">
        <f t="shared" si="187"/>
        <v>0</v>
      </c>
      <c r="N483" s="641"/>
      <c r="O483" s="641"/>
      <c r="P483" s="641"/>
      <c r="Q483" s="641"/>
      <c r="T483" s="3056">
        <v>8566</v>
      </c>
      <c r="U483" s="3063">
        <v>0</v>
      </c>
    </row>
    <row r="484" spans="1:21" ht="24">
      <c r="A484" s="1648" t="str">
        <f>VLOOKUP($D484,Sheet_Items,4,0)</f>
        <v>_JR</v>
      </c>
      <c r="B484" s="1647">
        <f>VLOOKUP($D484,Sheet_Items,3,0)</f>
        <v>-1</v>
      </c>
      <c r="C484" s="1647" t="str">
        <f>VLOOKUP($D484,Sheet_Items,9,0)</f>
        <v>J</v>
      </c>
      <c r="D484" s="1659">
        <v>8477</v>
      </c>
      <c r="E484" s="889" t="str">
        <f>VLOOKUP($D484,Sheet_Items,2,0)</f>
        <v>专项储备_其他综合收益结转留存收益</v>
      </c>
      <c r="F484" s="884">
        <f>INDEX(Sheet_Presc,MATCH((RIGHT($D484,2)),Sheet_Prescrow,0),MATCH((LEFT($D484,2)),Sheet_Presccol,0))</f>
        <v>0</v>
      </c>
      <c r="G484" s="885">
        <f>SUMIF(AJE!$B:$B,$C484&amp;$D484&amp;"*",AJE!$O:$O)</f>
        <v>0</v>
      </c>
      <c r="H484" s="885">
        <f>SUMIF(AJE!$B:$B,$C484&amp;$D484&amp;"*",AJE!$P:$P)</f>
        <v>0</v>
      </c>
      <c r="I484" s="913">
        <f t="shared" si="186"/>
        <v>0</v>
      </c>
      <c r="J484" s="914">
        <f>INDEX(Sheet_Presc,MATCH((RIGHT($D484,2)),Sheet_Prescrow,0),MATCH((VALUE(LEFT($D484,2))),Sheet_Presccol,0))</f>
        <v>0</v>
      </c>
      <c r="K484" s="885">
        <f>SUMIF('AJE1'!$B:$B,$C484&amp;$D484&amp;"*",'AJE1'!$O:$O)</f>
        <v>0</v>
      </c>
      <c r="L484" s="885">
        <f>SUMIF('AJE1'!$B:$B,$C484&amp;$D484&amp;"*",'AJE1'!$P:$P)</f>
        <v>0</v>
      </c>
      <c r="M484" s="891">
        <f t="shared" si="187"/>
        <v>0</v>
      </c>
      <c r="N484" s="641"/>
      <c r="O484" s="641"/>
      <c r="P484" s="641"/>
      <c r="Q484" s="641"/>
      <c r="T484" s="3056">
        <v>8570</v>
      </c>
      <c r="U484" s="3063">
        <v>0</v>
      </c>
    </row>
    <row r="485" spans="1:21" ht="18">
      <c r="A485" s="1648" t="str">
        <f t="shared" si="150"/>
        <v>LOW</v>
      </c>
      <c r="B485" s="1647">
        <f t="shared" si="151"/>
        <v>-1</v>
      </c>
      <c r="C485" s="1647" t="str">
        <f t="shared" si="149"/>
        <v>J</v>
      </c>
      <c r="D485" s="1659">
        <v>8476</v>
      </c>
      <c r="E485" s="888" t="str">
        <f t="shared" si="152"/>
        <v>专项储备_所有者权益其他内部结转</v>
      </c>
      <c r="F485" s="884">
        <f t="shared" ref="F485:F496" si="188">INDEX(Sheet_Presc,MATCH((RIGHT($D485,2)),Sheet_Prescrow,0),MATCH((LEFT($D485,2)),Sheet_Presccol,0))</f>
        <v>0</v>
      </c>
      <c r="G485" s="885">
        <f>SUMIF(AJE!$B:$B,$C485&amp;$D485&amp;"*",AJE!$O:$O)</f>
        <v>0</v>
      </c>
      <c r="H485" s="885">
        <f>SUMIF(AJE!$B:$B,$C485&amp;$D485&amp;"*",AJE!$P:$P)</f>
        <v>0</v>
      </c>
      <c r="I485" s="913">
        <f t="shared" si="186"/>
        <v>0</v>
      </c>
      <c r="J485" s="914">
        <f t="shared" si="155"/>
        <v>0</v>
      </c>
      <c r="K485" s="885">
        <f>SUMIF('AJE1'!$B:$B,$C485&amp;$D485&amp;"*",'AJE1'!$O:$O)</f>
        <v>0</v>
      </c>
      <c r="L485" s="885">
        <f>SUMIF('AJE1'!$B:$B,$C485&amp;$D485&amp;"*",'AJE1'!$P:$P)</f>
        <v>0</v>
      </c>
      <c r="M485" s="891">
        <f t="shared" si="187"/>
        <v>0</v>
      </c>
      <c r="N485" s="641"/>
      <c r="O485" s="641"/>
      <c r="P485" s="641"/>
      <c r="Q485" s="641"/>
      <c r="T485" s="3056">
        <v>8571</v>
      </c>
      <c r="U485" s="3063">
        <v>0</v>
      </c>
    </row>
    <row r="486" spans="1:21" ht="18">
      <c r="A486" s="1648" t="str">
        <f t="shared" si="150"/>
        <v>＝</v>
      </c>
      <c r="B486" s="1647">
        <f t="shared" si="151"/>
        <v>0</v>
      </c>
      <c r="C486" s="1647">
        <f t="shared" si="149"/>
        <v>0</v>
      </c>
      <c r="D486" s="1659">
        <v>8480</v>
      </c>
      <c r="E486" s="888" t="str">
        <f t="shared" si="152"/>
        <v>专项储备_专项储备影响权益</v>
      </c>
      <c r="F486" s="884">
        <f t="shared" ref="F486:M486" si="189">SUM(F487:F488)</f>
        <v>0</v>
      </c>
      <c r="G486" s="885">
        <f t="shared" si="189"/>
        <v>0</v>
      </c>
      <c r="H486" s="885">
        <f t="shared" si="189"/>
        <v>0</v>
      </c>
      <c r="I486" s="913">
        <f t="shared" si="189"/>
        <v>0</v>
      </c>
      <c r="J486" s="914">
        <f t="shared" si="189"/>
        <v>0</v>
      </c>
      <c r="K486" s="885">
        <f t="shared" si="189"/>
        <v>0</v>
      </c>
      <c r="L486" s="885">
        <f t="shared" si="189"/>
        <v>0</v>
      </c>
      <c r="M486" s="891">
        <f t="shared" si="189"/>
        <v>0</v>
      </c>
      <c r="N486" s="641"/>
      <c r="O486" s="641"/>
      <c r="P486" s="641"/>
      <c r="Q486" s="641"/>
      <c r="T486" s="3056">
        <v>8572</v>
      </c>
      <c r="U486" s="3063">
        <v>0</v>
      </c>
    </row>
    <row r="487" spans="1:21" ht="18">
      <c r="A487" s="1648">
        <f t="shared" si="150"/>
        <v>0</v>
      </c>
      <c r="B487" s="1647">
        <f t="shared" si="151"/>
        <v>-1</v>
      </c>
      <c r="C487" s="1647" t="str">
        <f t="shared" si="149"/>
        <v>J</v>
      </c>
      <c r="D487" s="1659">
        <v>8481</v>
      </c>
      <c r="E487" s="888" t="str">
        <f t="shared" si="152"/>
        <v>专项储备_本期提取</v>
      </c>
      <c r="F487" s="884">
        <f t="shared" si="188"/>
        <v>0</v>
      </c>
      <c r="G487" s="885">
        <f>SUMIF(AJE!$B:$B,$C487&amp;$D487&amp;"*",AJE!$O:$O)</f>
        <v>0</v>
      </c>
      <c r="H487" s="885">
        <f>SUMIF(AJE!$B:$B,$C487&amp;$D487&amp;"*",AJE!$P:$P)</f>
        <v>0</v>
      </c>
      <c r="I487" s="913">
        <f>(B487*F487+G487-H487)*B487</f>
        <v>0</v>
      </c>
      <c r="J487" s="914">
        <f t="shared" si="155"/>
        <v>0</v>
      </c>
      <c r="K487" s="885">
        <f>SUMIF('AJE1'!$B:$B,$C487&amp;$D487&amp;"*",'AJE1'!$O:$O)</f>
        <v>0</v>
      </c>
      <c r="L487" s="885">
        <f>SUMIF('AJE1'!$B:$B,$C487&amp;$D487&amp;"*",'AJE1'!$P:$P)</f>
        <v>0</v>
      </c>
      <c r="M487" s="891">
        <f>($B487*J487+K487-L487)*$B487</f>
        <v>0</v>
      </c>
      <c r="N487" s="641"/>
      <c r="O487" s="641"/>
      <c r="P487" s="641"/>
      <c r="Q487" s="641"/>
      <c r="T487" s="3056">
        <v>8573</v>
      </c>
      <c r="U487" s="3063">
        <v>0</v>
      </c>
    </row>
    <row r="488" spans="1:21" ht="18">
      <c r="A488" s="1648">
        <f t="shared" si="150"/>
        <v>0</v>
      </c>
      <c r="B488" s="1647">
        <f t="shared" si="151"/>
        <v>-1</v>
      </c>
      <c r="C488" s="1647" t="str">
        <f t="shared" si="149"/>
        <v>J</v>
      </c>
      <c r="D488" s="1659">
        <v>8482</v>
      </c>
      <c r="E488" s="888" t="str">
        <f t="shared" si="152"/>
        <v>专项储备_本期使用</v>
      </c>
      <c r="F488" s="884">
        <f t="shared" si="188"/>
        <v>0</v>
      </c>
      <c r="G488" s="885">
        <f>SUMIF(AJE!$B:$B,$C488&amp;$D488&amp;"*",AJE!$O:$O)</f>
        <v>0</v>
      </c>
      <c r="H488" s="885">
        <f>SUMIF(AJE!$B:$B,$C488&amp;$D488&amp;"*",AJE!$P:$P)</f>
        <v>0</v>
      </c>
      <c r="I488" s="913">
        <f>(B488*F488+G488-H488)*B488</f>
        <v>0</v>
      </c>
      <c r="J488" s="914">
        <f t="shared" si="155"/>
        <v>0</v>
      </c>
      <c r="K488" s="885">
        <f>SUMIF('AJE1'!$B:$B,$C488&amp;$D488&amp;"*",'AJE1'!$O:$O)</f>
        <v>0</v>
      </c>
      <c r="L488" s="885">
        <f>SUMIF('AJE1'!$B:$B,$C488&amp;$D488&amp;"*",'AJE1'!$P:$P)</f>
        <v>0</v>
      </c>
      <c r="M488" s="891">
        <f>($B488*J488+K488-L488)*$B488</f>
        <v>0</v>
      </c>
      <c r="N488" s="641"/>
      <c r="O488" s="641"/>
      <c r="P488" s="641"/>
      <c r="Q488" s="641"/>
      <c r="T488" s="3056">
        <v>8575</v>
      </c>
      <c r="U488" s="3063">
        <v>0</v>
      </c>
    </row>
    <row r="489" spans="1:21" ht="18">
      <c r="A489" s="1648" t="str">
        <f t="shared" si="150"/>
        <v>LOW</v>
      </c>
      <c r="B489" s="1647">
        <f t="shared" si="151"/>
        <v>-1</v>
      </c>
      <c r="C489" s="1647" t="str">
        <f t="shared" si="149"/>
        <v>J</v>
      </c>
      <c r="D489" s="1659">
        <v>8496</v>
      </c>
      <c r="E489" s="888" t="str">
        <f t="shared" si="152"/>
        <v>专项储备_本期其他增减变动</v>
      </c>
      <c r="F489" s="884">
        <f t="shared" si="188"/>
        <v>0</v>
      </c>
      <c r="G489" s="885">
        <f>SUMIF(AJE!$B:$B,$C489&amp;$D489&amp;"*",AJE!$O:$O)</f>
        <v>0</v>
      </c>
      <c r="H489" s="885">
        <f>SUMIF(AJE!$B:$B,$C489&amp;$D489&amp;"*",AJE!$P:$P)</f>
        <v>0</v>
      </c>
      <c r="I489" s="913">
        <f>(B489*F489+G489-H489)*B489</f>
        <v>0</v>
      </c>
      <c r="J489" s="914">
        <f t="shared" si="155"/>
        <v>0</v>
      </c>
      <c r="K489" s="885">
        <f>SUMIF('AJE1'!$B:$B,$C489&amp;$D489&amp;"*",'AJE1'!$O:$O)</f>
        <v>0</v>
      </c>
      <c r="L489" s="885">
        <f>SUMIF('AJE1'!$B:$B,$C489&amp;$D489&amp;"*",'AJE1'!$P:$P)</f>
        <v>0</v>
      </c>
      <c r="M489" s="891">
        <f>($B489*J489+K489-L489)*$B489</f>
        <v>0</v>
      </c>
      <c r="N489" s="641"/>
      <c r="O489" s="641"/>
      <c r="P489" s="641"/>
      <c r="Q489" s="641"/>
      <c r="T489" s="3056">
        <v>8576</v>
      </c>
      <c r="U489" s="3063">
        <v>0</v>
      </c>
    </row>
    <row r="490" spans="1:21" ht="18">
      <c r="A490" s="1648" t="str">
        <f t="shared" si="150"/>
        <v>＝</v>
      </c>
      <c r="B490" s="1647">
        <f t="shared" si="151"/>
        <v>0</v>
      </c>
      <c r="C490" s="1647">
        <f t="shared" si="149"/>
        <v>0</v>
      </c>
      <c r="D490" s="1659">
        <v>8499</v>
      </c>
      <c r="E490" s="888" t="str">
        <f t="shared" si="152"/>
        <v>专项储备_本期期末余额</v>
      </c>
      <c r="F490" s="884">
        <f t="shared" ref="F490:M490" si="190">SUM(F464,F465)</f>
        <v>0</v>
      </c>
      <c r="G490" s="885">
        <f t="shared" si="190"/>
        <v>0</v>
      </c>
      <c r="H490" s="885">
        <f t="shared" si="190"/>
        <v>0</v>
      </c>
      <c r="I490" s="913">
        <f t="shared" si="190"/>
        <v>0</v>
      </c>
      <c r="J490" s="914">
        <f t="shared" si="190"/>
        <v>0</v>
      </c>
      <c r="K490" s="885">
        <f t="shared" si="190"/>
        <v>0</v>
      </c>
      <c r="L490" s="885">
        <f t="shared" si="190"/>
        <v>0</v>
      </c>
      <c r="M490" s="891">
        <f t="shared" si="190"/>
        <v>0</v>
      </c>
      <c r="N490" s="641"/>
      <c r="O490" s="641"/>
      <c r="P490" s="641"/>
      <c r="Q490" s="641"/>
      <c r="T490" s="3056">
        <v>8580</v>
      </c>
      <c r="U490" s="3063">
        <v>0</v>
      </c>
    </row>
    <row r="491" spans="1:21" ht="18">
      <c r="A491" s="1648" t="str">
        <f t="shared" si="150"/>
        <v>：</v>
      </c>
      <c r="B491" s="1647">
        <f t="shared" si="151"/>
        <v>0</v>
      </c>
      <c r="C491" s="1647">
        <f t="shared" si="149"/>
        <v>0</v>
      </c>
      <c r="D491" s="2186">
        <v>8500</v>
      </c>
      <c r="E491" s="2187" t="str">
        <f t="shared" si="152"/>
        <v>盈余公积增减变动</v>
      </c>
      <c r="F491" s="884"/>
      <c r="G491" s="885"/>
      <c r="H491" s="885"/>
      <c r="I491" s="913"/>
      <c r="J491" s="914"/>
      <c r="K491" s="885"/>
      <c r="L491" s="885"/>
      <c r="M491" s="891"/>
      <c r="N491" s="641"/>
      <c r="O491" s="641"/>
      <c r="P491" s="641"/>
      <c r="Q491" s="641"/>
      <c r="T491" s="3056">
        <v>8581</v>
      </c>
      <c r="U491" s="3063">
        <v>0</v>
      </c>
    </row>
    <row r="492" spans="1:21" ht="18">
      <c r="A492" s="1648">
        <f t="shared" si="150"/>
        <v>0</v>
      </c>
      <c r="B492" s="1647">
        <f t="shared" si="151"/>
        <v>-1</v>
      </c>
      <c r="C492" s="1647" t="str">
        <f t="shared" si="149"/>
        <v>J</v>
      </c>
      <c r="D492" s="1659">
        <v>8501</v>
      </c>
      <c r="E492" s="888" t="str">
        <f t="shared" si="152"/>
        <v>盈余公积_上年年末余额</v>
      </c>
      <c r="F492" s="884">
        <f t="shared" si="188"/>
        <v>1476848.22</v>
      </c>
      <c r="G492" s="885">
        <f>SUMIF(AJE!$B:$B,$C492&amp;$D492&amp;"*",AJE!$O:$O)</f>
        <v>0</v>
      </c>
      <c r="H492" s="885">
        <f>SUMIF(AJE!$B:$B,$C492&amp;$D492&amp;"*",AJE!$P:$P)</f>
        <v>0</v>
      </c>
      <c r="I492" s="913">
        <f t="shared" ref="I492:I496" si="191">(B492*F492+G492-H492)*B492</f>
        <v>1476848.22</v>
      </c>
      <c r="J492" s="914">
        <f t="shared" si="155"/>
        <v>1424825.33</v>
      </c>
      <c r="K492" s="885">
        <f>SUMIF('AJE1'!$B:$B,$C492&amp;$D492&amp;"*",'AJE1'!$O:$O)</f>
        <v>0</v>
      </c>
      <c r="L492" s="885">
        <f>SUMIF('AJE1'!$B:$B,$C492&amp;$D492&amp;"*",'AJE1'!$P:$P)</f>
        <v>0</v>
      </c>
      <c r="M492" s="891">
        <f t="shared" ref="M492:M496" si="192">($B492*J492+K492-L492)*$B492</f>
        <v>1424825.33</v>
      </c>
      <c r="N492" s="641"/>
      <c r="O492" s="641"/>
      <c r="P492" s="641"/>
      <c r="Q492" s="641"/>
      <c r="T492" s="3056">
        <v>8582</v>
      </c>
      <c r="U492" s="3063">
        <v>0</v>
      </c>
    </row>
    <row r="493" spans="1:21" ht="24">
      <c r="A493" s="1648">
        <f t="shared" si="150"/>
        <v>0</v>
      </c>
      <c r="B493" s="1647">
        <f t="shared" si="151"/>
        <v>-1</v>
      </c>
      <c r="C493" s="1647" t="str">
        <f t="shared" si="149"/>
        <v>J</v>
      </c>
      <c r="D493" s="1659">
        <v>8502</v>
      </c>
      <c r="E493" s="888" t="str">
        <f t="shared" si="152"/>
        <v>盈余公积_会计政策变更调整上年年末余额</v>
      </c>
      <c r="F493" s="884">
        <f t="shared" si="188"/>
        <v>0</v>
      </c>
      <c r="G493" s="885">
        <f>SUMIF(AJE!$B:$B,$C493&amp;$D493&amp;"*",AJE!$O:$O)</f>
        <v>0</v>
      </c>
      <c r="H493" s="885">
        <f>SUMIF(AJE!$B:$B,$C493&amp;$D493&amp;"*",AJE!$P:$P)</f>
        <v>0</v>
      </c>
      <c r="I493" s="913">
        <f t="shared" si="191"/>
        <v>0</v>
      </c>
      <c r="J493" s="914">
        <f t="shared" si="155"/>
        <v>0</v>
      </c>
      <c r="K493" s="885">
        <f>SUMIF('AJE1'!$B:$B,$C493&amp;$D493&amp;"*",'AJE1'!$O:$O)</f>
        <v>0</v>
      </c>
      <c r="L493" s="885">
        <f>SUMIF('AJE1'!$B:$B,$C493&amp;$D493&amp;"*",'AJE1'!$P:$P)</f>
        <v>0</v>
      </c>
      <c r="M493" s="891">
        <f t="shared" si="192"/>
        <v>0</v>
      </c>
      <c r="N493" s="641"/>
      <c r="O493" s="641"/>
      <c r="P493" s="641"/>
      <c r="Q493" s="641"/>
      <c r="T493" s="3056">
        <v>8596</v>
      </c>
      <c r="U493" s="3063">
        <v>0</v>
      </c>
    </row>
    <row r="494" spans="1:21" ht="24">
      <c r="A494" s="1648">
        <f t="shared" si="150"/>
        <v>0</v>
      </c>
      <c r="B494" s="1647">
        <f t="shared" si="151"/>
        <v>-1</v>
      </c>
      <c r="C494" s="1647" t="str">
        <f t="shared" si="149"/>
        <v>J</v>
      </c>
      <c r="D494" s="1659">
        <v>8503</v>
      </c>
      <c r="E494" s="888" t="str">
        <f t="shared" si="152"/>
        <v>盈余公积_前期差错更正调整上年年末余额</v>
      </c>
      <c r="F494" s="884">
        <f t="shared" si="188"/>
        <v>0</v>
      </c>
      <c r="G494" s="885">
        <f>SUMIF(AJE!$B:$B,$C494&amp;$D494&amp;"*",AJE!$O:$O)</f>
        <v>0</v>
      </c>
      <c r="H494" s="885">
        <f>SUMIF(AJE!$B:$B,$C494&amp;$D494&amp;"*",AJE!$P:$P)</f>
        <v>0</v>
      </c>
      <c r="I494" s="913">
        <f t="shared" si="191"/>
        <v>0</v>
      </c>
      <c r="J494" s="914">
        <f t="shared" si="155"/>
        <v>0</v>
      </c>
      <c r="K494" s="885">
        <f>SUMIF('AJE1'!$B:$B,$C494&amp;$D494&amp;"*",'AJE1'!$O:$O)</f>
        <v>0</v>
      </c>
      <c r="L494" s="885">
        <f>SUMIF('AJE1'!$B:$B,$C494&amp;$D494&amp;"*",'AJE1'!$P:$P)</f>
        <v>0</v>
      </c>
      <c r="M494" s="891">
        <f t="shared" si="192"/>
        <v>0</v>
      </c>
      <c r="N494" s="641"/>
      <c r="O494" s="641"/>
      <c r="P494" s="641"/>
      <c r="Q494" s="641"/>
      <c r="T494" s="3056">
        <v>8599</v>
      </c>
      <c r="U494" s="3063">
        <v>1476848.22</v>
      </c>
    </row>
    <row r="495" spans="1:21" ht="24">
      <c r="A495" s="1648" t="str">
        <f t="shared" si="150"/>
        <v>※</v>
      </c>
      <c r="B495" s="1647">
        <f t="shared" si="151"/>
        <v>-1</v>
      </c>
      <c r="C495" s="1647" t="str">
        <f t="shared" si="149"/>
        <v>J</v>
      </c>
      <c r="D495" s="1659">
        <v>8504</v>
      </c>
      <c r="E495" s="888" t="str">
        <f t="shared" si="152"/>
        <v>盈余公积_同一控制下企业合并调整上年年末余额</v>
      </c>
      <c r="F495" s="884">
        <f>INDEX(Sheet_Presc,MATCH((RIGHT($D495,2)),Sheet_Prescrow,0),MATCH((LEFT($D495,2)),Sheet_Presccol,0))</f>
        <v>0</v>
      </c>
      <c r="G495" s="885">
        <f>SUMIF(AJE!$B:$B,$C495&amp;$D495&amp;"*",AJE!$O:$O)</f>
        <v>0</v>
      </c>
      <c r="H495" s="885">
        <f>SUMIF(AJE!$B:$B,$C495&amp;$D495&amp;"*",AJE!$P:$P)</f>
        <v>0</v>
      </c>
      <c r="I495" s="913">
        <f t="shared" si="191"/>
        <v>0</v>
      </c>
      <c r="J495" s="914">
        <f>INDEX(Sheet_Presc,MATCH((RIGHT($D495,2)),Sheet_Prescrow,0),MATCH((VALUE(LEFT($D495,2))),Sheet_Presccol,0))</f>
        <v>0</v>
      </c>
      <c r="K495" s="885">
        <f>SUMIF('AJE1'!$B:$B,$C495&amp;$D495&amp;"*",'AJE1'!$O:$O)</f>
        <v>0</v>
      </c>
      <c r="L495" s="885">
        <f>SUMIF('AJE1'!$B:$B,$C495&amp;$D495&amp;"*",'AJE1'!$P:$P)</f>
        <v>0</v>
      </c>
      <c r="M495" s="891">
        <f t="shared" si="192"/>
        <v>0</v>
      </c>
      <c r="N495" s="641"/>
      <c r="O495" s="641"/>
      <c r="P495" s="641"/>
      <c r="Q495" s="641"/>
      <c r="T495" s="3056">
        <v>8600</v>
      </c>
      <c r="U495" s="3063">
        <v>0</v>
      </c>
    </row>
    <row r="496" spans="1:21" ht="24">
      <c r="A496" s="1648">
        <f t="shared" si="150"/>
        <v>0</v>
      </c>
      <c r="B496" s="1647">
        <f t="shared" si="151"/>
        <v>-1</v>
      </c>
      <c r="C496" s="1647" t="str">
        <f t="shared" si="149"/>
        <v>J</v>
      </c>
      <c r="D496" s="1659">
        <v>8509</v>
      </c>
      <c r="E496" s="888" t="str">
        <f t="shared" si="152"/>
        <v>盈余公积_其他原因调整上年年末余额</v>
      </c>
      <c r="F496" s="884">
        <f t="shared" si="188"/>
        <v>0</v>
      </c>
      <c r="G496" s="885">
        <f>SUMIF(AJE!$B:$B,$C496&amp;$D496&amp;"*",AJE!$O:$O)</f>
        <v>0</v>
      </c>
      <c r="H496" s="885">
        <f>SUMIF(AJE!$B:$B,$C496&amp;$D496&amp;"*",AJE!$P:$P)</f>
        <v>0</v>
      </c>
      <c r="I496" s="913">
        <f t="shared" si="191"/>
        <v>0</v>
      </c>
      <c r="J496" s="914">
        <f t="shared" si="155"/>
        <v>0</v>
      </c>
      <c r="K496" s="885">
        <f>SUMIF('AJE1'!$B:$B,$C496&amp;$D496&amp;"*",'AJE1'!$O:$O)</f>
        <v>0</v>
      </c>
      <c r="L496" s="885">
        <f>SUMIF('AJE1'!$B:$B,$C496&amp;$D496&amp;"*",'AJE1'!$P:$P)</f>
        <v>0</v>
      </c>
      <c r="M496" s="891">
        <f t="shared" si="192"/>
        <v>0</v>
      </c>
      <c r="N496" s="641"/>
      <c r="O496" s="641"/>
      <c r="P496" s="641"/>
      <c r="Q496" s="641"/>
      <c r="T496" s="3056">
        <v>8601</v>
      </c>
      <c r="U496" s="3063">
        <v>0</v>
      </c>
    </row>
    <row r="497" spans="1:21" ht="18">
      <c r="A497" s="1648" t="str">
        <f t="shared" si="150"/>
        <v>＝</v>
      </c>
      <c r="B497" s="1647">
        <f t="shared" si="151"/>
        <v>0</v>
      </c>
      <c r="C497" s="1647">
        <f t="shared" si="149"/>
        <v>0</v>
      </c>
      <c r="D497" s="1659">
        <v>8510</v>
      </c>
      <c r="E497" s="888" t="str">
        <f t="shared" si="152"/>
        <v>盈余公积_本年年初余额</v>
      </c>
      <c r="F497" s="884">
        <f t="shared" ref="F497:M497" si="193">SUM(F492:F496)</f>
        <v>1476848.22</v>
      </c>
      <c r="G497" s="885">
        <f t="shared" si="193"/>
        <v>0</v>
      </c>
      <c r="H497" s="885">
        <f t="shared" si="193"/>
        <v>0</v>
      </c>
      <c r="I497" s="913">
        <f t="shared" si="193"/>
        <v>1476848.22</v>
      </c>
      <c r="J497" s="914">
        <f t="shared" si="193"/>
        <v>1424825.33</v>
      </c>
      <c r="K497" s="885">
        <f t="shared" si="193"/>
        <v>0</v>
      </c>
      <c r="L497" s="885">
        <f t="shared" si="193"/>
        <v>0</v>
      </c>
      <c r="M497" s="891">
        <f t="shared" si="193"/>
        <v>1424825.33</v>
      </c>
      <c r="N497" s="641"/>
      <c r="O497" s="641"/>
      <c r="P497" s="641"/>
      <c r="Q497" s="641"/>
      <c r="T497" s="3056">
        <v>8602</v>
      </c>
      <c r="U497" s="3063">
        <v>0</v>
      </c>
    </row>
    <row r="498" spans="1:21" ht="18">
      <c r="A498" s="1648" t="str">
        <f t="shared" si="150"/>
        <v>＝</v>
      </c>
      <c r="B498" s="1647">
        <f t="shared" si="151"/>
        <v>0</v>
      </c>
      <c r="C498" s="1647">
        <f t="shared" si="149"/>
        <v>0</v>
      </c>
      <c r="D498" s="1659">
        <v>8590</v>
      </c>
      <c r="E498" s="888" t="str">
        <f t="shared" si="152"/>
        <v>盈余公积_本期增减变动金额</v>
      </c>
      <c r="F498" s="884">
        <f>SUM(F501,F502,F507,F512,F519,F522)</f>
        <v>8046.4</v>
      </c>
      <c r="G498" s="885">
        <f t="shared" ref="G498:M498" si="194">SUM(G501,G502,G507,G512,G519,G522)</f>
        <v>0</v>
      </c>
      <c r="H498" s="885">
        <f t="shared" si="194"/>
        <v>0</v>
      </c>
      <c r="I498" s="913">
        <f t="shared" si="194"/>
        <v>8046.4</v>
      </c>
      <c r="J498" s="914">
        <f t="shared" si="194"/>
        <v>52022.89</v>
      </c>
      <c r="K498" s="885">
        <f t="shared" si="194"/>
        <v>0</v>
      </c>
      <c r="L498" s="885">
        <f t="shared" si="194"/>
        <v>0</v>
      </c>
      <c r="M498" s="891">
        <f t="shared" si="194"/>
        <v>52022.89</v>
      </c>
      <c r="N498" s="641"/>
      <c r="O498" s="641"/>
      <c r="P498" s="641"/>
      <c r="Q498" s="641"/>
      <c r="T498" s="3056">
        <v>8603</v>
      </c>
      <c r="U498" s="3063">
        <v>0</v>
      </c>
    </row>
    <row r="499" spans="1:21" ht="18">
      <c r="A499" s="1648" t="str">
        <f t="shared" si="150"/>
        <v>N</v>
      </c>
      <c r="B499" s="1647">
        <f t="shared" si="151"/>
        <v>-1</v>
      </c>
      <c r="C499" s="1647" t="str">
        <f t="shared" si="149"/>
        <v>J</v>
      </c>
      <c r="D499" s="1659">
        <v>8521</v>
      </c>
      <c r="E499" s="888" t="str">
        <f t="shared" si="152"/>
        <v>盈余公积_净利润增加权益</v>
      </c>
      <c r="F499" s="884">
        <f>INDEX(Sheet_Presc,MATCH((RIGHT($D499,2)),Sheet_Prescrow,0),MATCH((LEFT($D499,2)),Sheet_Presccol,0))</f>
        <v>0</v>
      </c>
      <c r="G499" s="885">
        <f>SUMIF(AJE!$B:$B,$C499&amp;$D499&amp;"*",AJE!$O:$O)</f>
        <v>0</v>
      </c>
      <c r="H499" s="885">
        <f>SUMIF(AJE!$B:$B,$C499&amp;$D499&amp;"*",AJE!$P:$P)</f>
        <v>0</v>
      </c>
      <c r="I499" s="913">
        <f>(B499*F499+G499-H499)*B499</f>
        <v>0</v>
      </c>
      <c r="J499" s="914">
        <f t="shared" si="155"/>
        <v>0</v>
      </c>
      <c r="K499" s="885">
        <f>SUMIF('AJE1'!$B:$B,$C499&amp;$D499&amp;"*",'AJE1'!$O:$O)</f>
        <v>0</v>
      </c>
      <c r="L499" s="885">
        <f>SUMIF('AJE1'!$B:$B,$C499&amp;$D499&amp;"*",'AJE1'!$P:$P)</f>
        <v>0</v>
      </c>
      <c r="M499" s="891">
        <f>($B499*J499+K499-L499)*$B499</f>
        <v>0</v>
      </c>
      <c r="N499" s="641"/>
      <c r="O499" s="641"/>
      <c r="P499" s="641"/>
      <c r="Q499" s="641"/>
      <c r="T499" s="3056">
        <v>8604</v>
      </c>
      <c r="U499" s="3063">
        <v>0</v>
      </c>
    </row>
    <row r="500" spans="1:21" ht="18">
      <c r="A500" s="1648" t="str">
        <f t="shared" si="150"/>
        <v>N</v>
      </c>
      <c r="B500" s="1647">
        <f t="shared" si="151"/>
        <v>-1</v>
      </c>
      <c r="C500" s="1647" t="str">
        <f t="shared" si="149"/>
        <v>J</v>
      </c>
      <c r="D500" s="1659">
        <v>8530</v>
      </c>
      <c r="E500" s="888" t="str">
        <f t="shared" si="152"/>
        <v>盈余公积_其他综合收益增加权益</v>
      </c>
      <c r="F500" s="884">
        <f>INDEX(Sheet_Presc,MATCH((RIGHT($D500,2)),Sheet_Prescrow,0),MATCH((LEFT($D500,2)),Sheet_Presccol,0))</f>
        <v>0</v>
      </c>
      <c r="G500" s="885">
        <f>SUMIF(AJE!$B:$B,$C500&amp;$D500&amp;"*",AJE!$O:$O)</f>
        <v>0</v>
      </c>
      <c r="H500" s="885">
        <f>SUMIF(AJE!$B:$B,$C500&amp;$D500&amp;"*",AJE!$P:$P)</f>
        <v>0</v>
      </c>
      <c r="I500" s="913">
        <f>(B500*F500+G500-H500)*B500</f>
        <v>0</v>
      </c>
      <c r="J500" s="914">
        <f t="shared" si="155"/>
        <v>0</v>
      </c>
      <c r="K500" s="885">
        <f>SUMIF('AJE1'!$B:$B,$C500&amp;$D500&amp;"*",'AJE1'!$O:$O)</f>
        <v>0</v>
      </c>
      <c r="L500" s="885">
        <f>SUMIF('AJE1'!$B:$B,$C500&amp;$D500&amp;"*",'AJE1'!$P:$P)</f>
        <v>0</v>
      </c>
      <c r="M500" s="891">
        <f>($B500*J500+K500-L500)*$B500</f>
        <v>0</v>
      </c>
      <c r="N500" s="641"/>
      <c r="O500" s="641"/>
      <c r="P500" s="641"/>
      <c r="Q500" s="641"/>
      <c r="T500" s="3056">
        <v>8609</v>
      </c>
      <c r="U500" s="3063">
        <v>0</v>
      </c>
    </row>
    <row r="501" spans="1:21" ht="18">
      <c r="A501" s="1648">
        <f t="shared" si="150"/>
        <v>0</v>
      </c>
      <c r="B501" s="1647">
        <f t="shared" si="151"/>
        <v>-1</v>
      </c>
      <c r="C501" s="1647" t="str">
        <f t="shared" si="149"/>
        <v>J</v>
      </c>
      <c r="D501" s="1659">
        <v>8540</v>
      </c>
      <c r="E501" s="888" t="str">
        <f t="shared" si="152"/>
        <v>盈余公积_综合收益总额增加权益</v>
      </c>
      <c r="F501" s="884">
        <f>INDEX(Sheet_Presc,MATCH((RIGHT($D501,2)),Sheet_Prescrow,0),MATCH((LEFT($D501,2)),Sheet_Presccol,0))</f>
        <v>0</v>
      </c>
      <c r="G501" s="885">
        <f>SUMIF(AJE!$B:$B,$C501&amp;$D501&amp;"*",AJE!$O:$O)+VLOOKUP(8521,Sheet_Trialbal,4,0)+VLOOKUP(8530,Sheet_Trialbal,4,0)</f>
        <v>0</v>
      </c>
      <c r="H501" s="885">
        <f>SUMIF(AJE!$B:$B,$C501&amp;$D501&amp;"*",AJE!$P:$P)+VLOOKUP(8521,Sheet_Trialbal,5,0)+VLOOKUP(8530,Sheet_Trialbal,5,0)</f>
        <v>0</v>
      </c>
      <c r="I501" s="913">
        <f>(B501*F501+G501-H501)*B501</f>
        <v>0</v>
      </c>
      <c r="J501" s="914">
        <f>INDEX(Sheet_Presc,MATCH((RIGHT($D501,2)),Sheet_Prescrow,0),MATCH((VALUE(LEFT($D501,2))),Sheet_Presccol,0))</f>
        <v>0</v>
      </c>
      <c r="K501" s="885">
        <f>SUMIF('AJE1'!$B:$B,$C501&amp;$D501&amp;"*",'AJE1'!$O:$O)+VLOOKUP(8521,Sheet_Trialbal,8,0)+VLOOKUP(8530,Sheet_Trialbal,8,0)</f>
        <v>0</v>
      </c>
      <c r="L501" s="885">
        <f>SUMIF('AJE1'!$B:$B,$C501&amp;$D501&amp;"*",'AJE1'!$P:$P)+VLOOKUP(8521,Sheet_Trialbal,9,0)+VLOOKUP(8530,Sheet_Trialbal,9,0)</f>
        <v>0</v>
      </c>
      <c r="M501" s="891">
        <f>($B501*J501+K501-L501)*$B501</f>
        <v>0</v>
      </c>
      <c r="N501" s="641"/>
      <c r="O501" s="641"/>
      <c r="P501" s="641"/>
      <c r="Q501" s="641"/>
      <c r="T501" s="3056">
        <v>8610</v>
      </c>
      <c r="U501" s="3063">
        <v>0</v>
      </c>
    </row>
    <row r="502" spans="1:21" ht="24">
      <c r="A502" s="1648" t="str">
        <f t="shared" si="150"/>
        <v>＝</v>
      </c>
      <c r="B502" s="1647">
        <f t="shared" si="151"/>
        <v>0</v>
      </c>
      <c r="C502" s="1647">
        <f t="shared" si="149"/>
        <v>0</v>
      </c>
      <c r="D502" s="1659">
        <v>8550</v>
      </c>
      <c r="E502" s="888" t="str">
        <f t="shared" si="152"/>
        <v>盈余公积_所有者投入和减少资本影响权益</v>
      </c>
      <c r="F502" s="884">
        <f>SUM(F503:F506)</f>
        <v>0</v>
      </c>
      <c r="G502" s="885">
        <f t="shared" ref="G502:M502" si="195">SUM(G503:G506)</f>
        <v>0</v>
      </c>
      <c r="H502" s="885">
        <f t="shared" si="195"/>
        <v>0</v>
      </c>
      <c r="I502" s="913">
        <f t="shared" si="195"/>
        <v>0</v>
      </c>
      <c r="J502" s="914">
        <f t="shared" si="195"/>
        <v>0</v>
      </c>
      <c r="K502" s="885">
        <f t="shared" si="195"/>
        <v>0</v>
      </c>
      <c r="L502" s="885">
        <f t="shared" si="195"/>
        <v>0</v>
      </c>
      <c r="M502" s="891">
        <f t="shared" si="195"/>
        <v>0</v>
      </c>
      <c r="N502" s="641"/>
      <c r="O502" s="641"/>
      <c r="P502" s="641"/>
      <c r="Q502" s="641"/>
      <c r="T502" s="3056">
        <v>8690</v>
      </c>
      <c r="U502" s="3063">
        <v>0</v>
      </c>
    </row>
    <row r="503" spans="1:21" ht="18">
      <c r="A503" s="1648" t="str">
        <f t="shared" si="150"/>
        <v>N</v>
      </c>
      <c r="B503" s="1647">
        <f t="shared" si="151"/>
        <v>-1</v>
      </c>
      <c r="C503" s="1647" t="str">
        <f t="shared" si="149"/>
        <v>J</v>
      </c>
      <c r="D503" s="1659">
        <v>8551</v>
      </c>
      <c r="E503" s="888" t="str">
        <f t="shared" si="152"/>
        <v>盈余公积_所有者投入资本增加权益</v>
      </c>
      <c r="F503" s="884">
        <f>INDEX(Sheet_Presc,MATCH((RIGHT($D503,2)),Sheet_Prescrow,0),MATCH((LEFT($D503,2)),Sheet_Presccol,0))</f>
        <v>0</v>
      </c>
      <c r="G503" s="885">
        <f>SUMIF(AJE!$B:$B,$C503&amp;$D503&amp;"*",AJE!$O:$O)</f>
        <v>0</v>
      </c>
      <c r="H503" s="885">
        <f>SUMIF(AJE!$B:$B,$C503&amp;$D503&amp;"*",AJE!$P:$P)</f>
        <v>0</v>
      </c>
      <c r="I503" s="913">
        <f>(B503*F503+G503-H503)*B503</f>
        <v>0</v>
      </c>
      <c r="J503" s="914">
        <f t="shared" si="155"/>
        <v>0</v>
      </c>
      <c r="K503" s="885">
        <f>SUMIF('AJE1'!$B:$B,$C503&amp;$D503&amp;"*",'AJE1'!$O:$O)</f>
        <v>0</v>
      </c>
      <c r="L503" s="885">
        <f>SUMIF('AJE1'!$B:$B,$C503&amp;$D503&amp;"*",'AJE1'!$P:$P)</f>
        <v>0</v>
      </c>
      <c r="M503" s="891">
        <f>($B503*J503+K503-L503)*$B503</f>
        <v>0</v>
      </c>
      <c r="N503" s="641"/>
      <c r="O503" s="641"/>
      <c r="P503" s="641"/>
      <c r="Q503" s="641"/>
      <c r="T503" s="3056">
        <v>8621</v>
      </c>
      <c r="U503" s="3063">
        <v>0</v>
      </c>
    </row>
    <row r="504" spans="1:21" ht="24">
      <c r="A504" s="1648" t="str">
        <f t="shared" si="150"/>
        <v>OEI</v>
      </c>
      <c r="B504" s="1647">
        <f t="shared" si="151"/>
        <v>-1</v>
      </c>
      <c r="C504" s="1647" t="str">
        <f t="shared" si="149"/>
        <v>J</v>
      </c>
      <c r="D504" s="1659">
        <v>8553</v>
      </c>
      <c r="E504" s="888" t="str">
        <f t="shared" si="152"/>
        <v>盈余公积_其他权益工具持有者投入资本</v>
      </c>
      <c r="F504" s="884">
        <f>INDEX(Sheet_Presc,MATCH((RIGHT($D504,2)),Sheet_Prescrow,0),MATCH((LEFT($D504,2)),Sheet_Presccol,0))</f>
        <v>0</v>
      </c>
      <c r="G504" s="885">
        <f>SUMIF(AJE!$B:$B,$C504&amp;$D504&amp;"*",AJE!$O:$O)</f>
        <v>0</v>
      </c>
      <c r="H504" s="885">
        <f>SUMIF(AJE!$B:$B,$C504&amp;$D504&amp;"*",AJE!$P:$P)</f>
        <v>0</v>
      </c>
      <c r="I504" s="913">
        <f>(B504*F504+G504-H504)*B504</f>
        <v>0</v>
      </c>
      <c r="J504" s="914">
        <f>INDEX(Sheet_Presc,MATCH((RIGHT($D504,2)),Sheet_Prescrow,0),MATCH((VALUE(LEFT($D504,2))),Sheet_Presccol,0))</f>
        <v>0</v>
      </c>
      <c r="K504" s="885">
        <f>SUMIF('AJE1'!$B:$B,$C504&amp;$D504&amp;"*",'AJE1'!$O:$O)</f>
        <v>0</v>
      </c>
      <c r="L504" s="885">
        <f>SUMIF('AJE1'!$B:$B,$C504&amp;$D504&amp;"*",'AJE1'!$P:$P)</f>
        <v>0</v>
      </c>
      <c r="M504" s="891">
        <f>($B504*J504+K504-L504)*$B504</f>
        <v>0</v>
      </c>
      <c r="N504" s="641"/>
      <c r="O504" s="641"/>
      <c r="P504" s="641"/>
      <c r="Q504" s="641"/>
      <c r="T504" s="3056">
        <v>8630</v>
      </c>
      <c r="U504" s="3063">
        <v>0</v>
      </c>
    </row>
    <row r="505" spans="1:21" ht="24">
      <c r="A505" s="1648" t="str">
        <f t="shared" si="150"/>
        <v>N</v>
      </c>
      <c r="B505" s="1647">
        <f t="shared" si="151"/>
        <v>-1</v>
      </c>
      <c r="C505" s="1647" t="str">
        <f t="shared" si="149"/>
        <v>J</v>
      </c>
      <c r="D505" s="1659">
        <v>8552</v>
      </c>
      <c r="E505" s="888" t="str">
        <f t="shared" si="152"/>
        <v>盈余公积_股份支付计入所有者权益的金额</v>
      </c>
      <c r="F505" s="884">
        <f>INDEX(Sheet_Presc,MATCH((RIGHT($D505,2)),Sheet_Prescrow,0),MATCH((LEFT($D505,2)),Sheet_Presccol,0))</f>
        <v>0</v>
      </c>
      <c r="G505" s="885">
        <f>SUMIF(AJE!$B:$B,$C505&amp;$D505&amp;"*",AJE!$O:$O)</f>
        <v>0</v>
      </c>
      <c r="H505" s="885">
        <f>SUMIF(AJE!$B:$B,$C505&amp;$D505&amp;"*",AJE!$P:$P)</f>
        <v>0</v>
      </c>
      <c r="I505" s="913">
        <f>(B505*F505+G505-H505)*B505</f>
        <v>0</v>
      </c>
      <c r="J505" s="914">
        <f t="shared" si="155"/>
        <v>0</v>
      </c>
      <c r="K505" s="885">
        <f>SUMIF('AJE1'!$B:$B,$C505&amp;$D505&amp;"*",'AJE1'!$O:$O)</f>
        <v>0</v>
      </c>
      <c r="L505" s="885">
        <f>SUMIF('AJE1'!$B:$B,$C505&amp;$D505&amp;"*",'AJE1'!$P:$P)</f>
        <v>0</v>
      </c>
      <c r="M505" s="891">
        <f>($B505*J505+K505-L505)*$B505</f>
        <v>0</v>
      </c>
      <c r="N505" s="641"/>
      <c r="O505" s="641"/>
      <c r="P505" s="641"/>
      <c r="Q505" s="641"/>
      <c r="T505" s="3056">
        <v>8640</v>
      </c>
      <c r="U505" s="3063">
        <v>0</v>
      </c>
    </row>
    <row r="506" spans="1:21" ht="24">
      <c r="A506" s="1648" t="str">
        <f t="shared" si="150"/>
        <v>LOW</v>
      </c>
      <c r="B506" s="1647">
        <f t="shared" si="151"/>
        <v>-1</v>
      </c>
      <c r="C506" s="1647" t="str">
        <f t="shared" si="149"/>
        <v>J</v>
      </c>
      <c r="D506" s="1659">
        <v>8556</v>
      </c>
      <c r="E506" s="888" t="str">
        <f t="shared" si="152"/>
        <v>盈余公积_所有者其他投入和减少资本</v>
      </c>
      <c r="F506" s="884">
        <f t="shared" ref="F506:F529" si="196">INDEX(Sheet_Presc,MATCH((RIGHT($D506,2)),Sheet_Prescrow,0),MATCH((LEFT($D506,2)),Sheet_Presccol,0))</f>
        <v>0</v>
      </c>
      <c r="G506" s="885">
        <f>SUMIF(AJE!$B:$B,$C506&amp;$D506&amp;"*",AJE!$O:$O)</f>
        <v>0</v>
      </c>
      <c r="H506" s="885">
        <f>SUMIF(AJE!$B:$B,$C506&amp;$D506&amp;"*",AJE!$P:$P)</f>
        <v>0</v>
      </c>
      <c r="I506" s="913">
        <f>(B506*F506+G506-H506)*B506</f>
        <v>0</v>
      </c>
      <c r="J506" s="914">
        <f t="shared" si="155"/>
        <v>0</v>
      </c>
      <c r="K506" s="885">
        <f>SUMIF('AJE1'!$B:$B,$C506&amp;$D506&amp;"*",'AJE1'!$O:$O)</f>
        <v>0</v>
      </c>
      <c r="L506" s="885">
        <f>SUMIF('AJE1'!$B:$B,$C506&amp;$D506&amp;"*",'AJE1'!$P:$P)</f>
        <v>0</v>
      </c>
      <c r="M506" s="891">
        <f>($B506*J506+K506-L506)*$B506</f>
        <v>0</v>
      </c>
      <c r="N506" s="641"/>
      <c r="O506" s="641"/>
      <c r="P506" s="641"/>
      <c r="Q506" s="641"/>
      <c r="T506" s="3056">
        <v>8650</v>
      </c>
      <c r="U506" s="3063">
        <v>0</v>
      </c>
    </row>
    <row r="507" spans="1:21" ht="18">
      <c r="A507" s="1648" t="str">
        <f t="shared" si="150"/>
        <v>＝</v>
      </c>
      <c r="B507" s="1647">
        <f t="shared" si="151"/>
        <v>0</v>
      </c>
      <c r="C507" s="1647">
        <f t="shared" si="149"/>
        <v>0</v>
      </c>
      <c r="D507" s="1659">
        <v>8560</v>
      </c>
      <c r="E507" s="888" t="str">
        <f t="shared" si="152"/>
        <v>盈余公积_利润分配影响权益</v>
      </c>
      <c r="F507" s="884">
        <f t="shared" ref="F507:M507" si="197">SUM(F508:F511)</f>
        <v>8046.4</v>
      </c>
      <c r="G507" s="885">
        <f t="shared" si="197"/>
        <v>0</v>
      </c>
      <c r="H507" s="885">
        <f t="shared" si="197"/>
        <v>0</v>
      </c>
      <c r="I507" s="913">
        <f t="shared" si="197"/>
        <v>8046.4</v>
      </c>
      <c r="J507" s="914">
        <f t="shared" si="197"/>
        <v>52022.89</v>
      </c>
      <c r="K507" s="885">
        <f t="shared" si="197"/>
        <v>0</v>
      </c>
      <c r="L507" s="885">
        <f t="shared" si="197"/>
        <v>0</v>
      </c>
      <c r="M507" s="891">
        <f t="shared" si="197"/>
        <v>52022.89</v>
      </c>
      <c r="N507" s="641"/>
      <c r="O507" s="641"/>
      <c r="P507" s="641"/>
      <c r="Q507" s="641"/>
      <c r="T507" s="3056">
        <v>8651</v>
      </c>
      <c r="U507" s="3063">
        <v>0</v>
      </c>
    </row>
    <row r="508" spans="1:21" ht="18">
      <c r="A508" s="1648">
        <f t="shared" si="150"/>
        <v>0</v>
      </c>
      <c r="B508" s="1647">
        <f t="shared" si="151"/>
        <v>-1</v>
      </c>
      <c r="C508" s="1647" t="str">
        <f t="shared" si="149"/>
        <v>J</v>
      </c>
      <c r="D508" s="1659">
        <v>8561</v>
      </c>
      <c r="E508" s="888" t="str">
        <f t="shared" si="152"/>
        <v>盈余公积_提取</v>
      </c>
      <c r="F508" s="884">
        <f t="shared" si="196"/>
        <v>8046.4</v>
      </c>
      <c r="G508" s="885">
        <f>SUMIF(AJE!$B:$B,$C508&amp;$D508&amp;"*",AJE!$O:$O)</f>
        <v>0</v>
      </c>
      <c r="H508" s="885">
        <f>SUMIF(AJE!$B:$B,$C508&amp;$D508&amp;"*",AJE!$P:$P)</f>
        <v>0</v>
      </c>
      <c r="I508" s="913">
        <f>(B508*F508+G508-H508)*B508</f>
        <v>8046.4</v>
      </c>
      <c r="J508" s="914">
        <f t="shared" si="155"/>
        <v>52022.89</v>
      </c>
      <c r="K508" s="885">
        <f>SUMIF('AJE1'!$B:$B,$C508&amp;$D508&amp;"*",'AJE1'!$O:$O)</f>
        <v>0</v>
      </c>
      <c r="L508" s="885">
        <f>SUMIF('AJE1'!$B:$B,$C508&amp;$D508&amp;"*",'AJE1'!$P:$P)</f>
        <v>0</v>
      </c>
      <c r="M508" s="891">
        <f>($B508*J508+K508-L508)*$B508</f>
        <v>52022.89</v>
      </c>
      <c r="N508" s="641"/>
      <c r="O508" s="641"/>
      <c r="P508" s="641"/>
      <c r="Q508" s="641"/>
      <c r="T508" s="3056">
        <v>8653</v>
      </c>
      <c r="U508" s="3063">
        <v>0</v>
      </c>
    </row>
    <row r="509" spans="1:21" ht="24">
      <c r="A509" s="1648" t="str">
        <f t="shared" si="150"/>
        <v>N</v>
      </c>
      <c r="B509" s="1647">
        <f t="shared" si="151"/>
        <v>-1</v>
      </c>
      <c r="C509" s="1647" t="str">
        <f t="shared" si="149"/>
        <v>J</v>
      </c>
      <c r="D509" s="1659">
        <v>8562</v>
      </c>
      <c r="E509" s="888" t="str">
        <f t="shared" si="152"/>
        <v>盈余公积_提取一般风险准备影响权益</v>
      </c>
      <c r="F509" s="884">
        <f t="shared" si="196"/>
        <v>0</v>
      </c>
      <c r="G509" s="885">
        <f>SUMIF(AJE!$B:$B,$C509&amp;$D509&amp;"*",AJE!$O:$O)</f>
        <v>0</v>
      </c>
      <c r="H509" s="885">
        <f>SUMIF(AJE!$B:$B,$C509&amp;$D509&amp;"*",AJE!$P:$P)</f>
        <v>0</v>
      </c>
      <c r="I509" s="913">
        <f>(B509*F509+G509-H509)*B509</f>
        <v>0</v>
      </c>
      <c r="J509" s="914">
        <f t="shared" si="155"/>
        <v>0</v>
      </c>
      <c r="K509" s="885">
        <f>SUMIF('AJE1'!$B:$B,$C509&amp;$D509&amp;"*",'AJE1'!$O:$O)</f>
        <v>0</v>
      </c>
      <c r="L509" s="885">
        <f>SUMIF('AJE1'!$B:$B,$C509&amp;$D509&amp;"*",'AJE1'!$P:$P)</f>
        <v>0</v>
      </c>
      <c r="M509" s="891">
        <f>($B509*J509+K509-L509)*$B509</f>
        <v>0</v>
      </c>
      <c r="N509" s="641"/>
      <c r="O509" s="641"/>
      <c r="P509" s="641"/>
      <c r="Q509" s="641"/>
      <c r="T509" s="3056">
        <v>8652</v>
      </c>
      <c r="U509" s="3063">
        <v>0</v>
      </c>
    </row>
    <row r="510" spans="1:21" ht="18">
      <c r="A510" s="1648">
        <f t="shared" si="150"/>
        <v>0</v>
      </c>
      <c r="B510" s="1647">
        <f t="shared" si="151"/>
        <v>-1</v>
      </c>
      <c r="C510" s="1647" t="str">
        <f t="shared" si="149"/>
        <v>J</v>
      </c>
      <c r="D510" s="1659">
        <v>8563</v>
      </c>
      <c r="E510" s="888" t="str">
        <f t="shared" si="152"/>
        <v>盈余公积_对所有者的分配</v>
      </c>
      <c r="F510" s="884">
        <f t="shared" si="196"/>
        <v>0</v>
      </c>
      <c r="G510" s="885">
        <f>SUMIF(AJE!$B:$B,$C510&amp;$D510&amp;"*",AJE!$O:$O)</f>
        <v>0</v>
      </c>
      <c r="H510" s="885">
        <f>SUMIF(AJE!$B:$B,$C510&amp;$D510&amp;"*",AJE!$P:$P)</f>
        <v>0</v>
      </c>
      <c r="I510" s="913">
        <f>(B510*F510+G510-H510)*B510</f>
        <v>0</v>
      </c>
      <c r="J510" s="914">
        <f t="shared" si="155"/>
        <v>0</v>
      </c>
      <c r="K510" s="885">
        <f>SUMIF('AJE1'!$B:$B,$C510&amp;$D510&amp;"*",'AJE1'!$O:$O)</f>
        <v>0</v>
      </c>
      <c r="L510" s="885">
        <f>SUMIF('AJE1'!$B:$B,$C510&amp;$D510&amp;"*",'AJE1'!$P:$P)</f>
        <v>0</v>
      </c>
      <c r="M510" s="891">
        <f>($B510*J510+K510-L510)*$B510</f>
        <v>0</v>
      </c>
      <c r="N510" s="641"/>
      <c r="O510" s="641"/>
      <c r="P510" s="641"/>
      <c r="Q510" s="641"/>
      <c r="T510" s="3056">
        <v>8656</v>
      </c>
      <c r="U510" s="3063">
        <v>0</v>
      </c>
    </row>
    <row r="511" spans="1:21" ht="18">
      <c r="A511" s="1648">
        <f t="shared" si="150"/>
        <v>0</v>
      </c>
      <c r="B511" s="1647">
        <f t="shared" si="151"/>
        <v>-1</v>
      </c>
      <c r="C511" s="1647" t="str">
        <f t="shared" si="149"/>
        <v>J</v>
      </c>
      <c r="D511" s="1659">
        <v>8566</v>
      </c>
      <c r="E511" s="888" t="str">
        <f t="shared" si="152"/>
        <v>盈余公积_其他利润分配</v>
      </c>
      <c r="F511" s="884">
        <f t="shared" si="196"/>
        <v>0</v>
      </c>
      <c r="G511" s="885">
        <f>SUMIF(AJE!$B:$B,$C511&amp;$D511&amp;"*",AJE!$O:$O)</f>
        <v>0</v>
      </c>
      <c r="H511" s="885">
        <f>SUMIF(AJE!$B:$B,$C511&amp;$D511&amp;"*",AJE!$P:$P)</f>
        <v>0</v>
      </c>
      <c r="I511" s="913">
        <f>(B511*F511+G511-H511)*B511</f>
        <v>0</v>
      </c>
      <c r="J511" s="914">
        <f t="shared" si="155"/>
        <v>0</v>
      </c>
      <c r="K511" s="885">
        <f>SUMIF('AJE1'!$B:$B,$C511&amp;$D511&amp;"*",'AJE1'!$O:$O)</f>
        <v>0</v>
      </c>
      <c r="L511" s="885">
        <f>SUMIF('AJE1'!$B:$B,$C511&amp;$D511&amp;"*",'AJE1'!$P:$P)</f>
        <v>0</v>
      </c>
      <c r="M511" s="891">
        <f>($B511*J511+K511-L511)*$B511</f>
        <v>0</v>
      </c>
      <c r="N511" s="641"/>
      <c r="O511" s="641"/>
      <c r="P511" s="641"/>
      <c r="Q511" s="641"/>
      <c r="T511" s="3056">
        <v>8660</v>
      </c>
      <c r="U511" s="3063">
        <v>0</v>
      </c>
    </row>
    <row r="512" spans="1:21" ht="18">
      <c r="A512" s="1648" t="str">
        <f t="shared" si="150"/>
        <v>＝</v>
      </c>
      <c r="B512" s="1647">
        <f t="shared" si="151"/>
        <v>0</v>
      </c>
      <c r="C512" s="1647">
        <f t="shared" si="149"/>
        <v>0</v>
      </c>
      <c r="D512" s="1659">
        <v>8570</v>
      </c>
      <c r="E512" s="888" t="str">
        <f t="shared" si="152"/>
        <v>盈余公积_所有者权益内部结转</v>
      </c>
      <c r="F512" s="884">
        <f>SUM(F513:F518)</f>
        <v>0</v>
      </c>
      <c r="G512" s="885">
        <f t="shared" ref="G512:M512" si="198">SUM(G513:G518)</f>
        <v>0</v>
      </c>
      <c r="H512" s="885">
        <f t="shared" si="198"/>
        <v>0</v>
      </c>
      <c r="I512" s="913">
        <f t="shared" si="198"/>
        <v>0</v>
      </c>
      <c r="J512" s="914">
        <f t="shared" si="198"/>
        <v>0</v>
      </c>
      <c r="K512" s="885">
        <f t="shared" si="198"/>
        <v>0</v>
      </c>
      <c r="L512" s="885">
        <f t="shared" si="198"/>
        <v>0</v>
      </c>
      <c r="M512" s="891">
        <f t="shared" si="198"/>
        <v>0</v>
      </c>
      <c r="N512" s="641"/>
      <c r="O512" s="641"/>
      <c r="P512" s="641"/>
      <c r="Q512" s="641"/>
      <c r="T512" s="3056">
        <v>8661</v>
      </c>
      <c r="U512" s="3063">
        <v>0</v>
      </c>
    </row>
    <row r="513" spans="1:21" ht="24">
      <c r="A513" s="1648" t="str">
        <f t="shared" si="150"/>
        <v>N</v>
      </c>
      <c r="B513" s="1647">
        <f t="shared" si="151"/>
        <v>-1</v>
      </c>
      <c r="C513" s="1647" t="str">
        <f t="shared" si="149"/>
        <v>J</v>
      </c>
      <c r="D513" s="1659">
        <v>8571</v>
      </c>
      <c r="E513" s="888" t="str">
        <f t="shared" si="152"/>
        <v>盈余公积_资本公积转增资本影响权益</v>
      </c>
      <c r="F513" s="884">
        <f t="shared" si="196"/>
        <v>0</v>
      </c>
      <c r="G513" s="885">
        <f>SUMIF(AJE!$B:$B,$C513&amp;$D513&amp;"*",AJE!$O:$O)</f>
        <v>0</v>
      </c>
      <c r="H513" s="885">
        <f>SUMIF(AJE!$B:$B,$C513&amp;$D513&amp;"*",AJE!$P:$P)</f>
        <v>0</v>
      </c>
      <c r="I513" s="913">
        <f t="shared" ref="I513:I518" si="199">(B513*F513+G513-H513)*B513</f>
        <v>0</v>
      </c>
      <c r="J513" s="914">
        <f t="shared" si="155"/>
        <v>0</v>
      </c>
      <c r="K513" s="885">
        <f>SUMIF('AJE1'!$B:$B,$C513&amp;$D513&amp;"*",'AJE1'!$O:$O)</f>
        <v>0</v>
      </c>
      <c r="L513" s="885">
        <f>SUMIF('AJE1'!$B:$B,$C513&amp;$D513&amp;"*",'AJE1'!$P:$P)</f>
        <v>0</v>
      </c>
      <c r="M513" s="891">
        <f t="shared" ref="M513:M518" si="200">($B513*J513+K513-L513)*$B513</f>
        <v>0</v>
      </c>
      <c r="N513" s="641"/>
      <c r="O513" s="641"/>
      <c r="P513" s="641"/>
      <c r="Q513" s="641"/>
      <c r="T513" s="3056">
        <v>8662</v>
      </c>
      <c r="U513" s="3063">
        <v>0</v>
      </c>
    </row>
    <row r="514" spans="1:21" ht="18">
      <c r="A514" s="1648">
        <f t="shared" si="150"/>
        <v>0</v>
      </c>
      <c r="B514" s="1647">
        <f t="shared" si="151"/>
        <v>-1</v>
      </c>
      <c r="C514" s="1647" t="str">
        <f t="shared" si="149"/>
        <v>J</v>
      </c>
      <c r="D514" s="1659">
        <v>8572</v>
      </c>
      <c r="E514" s="888" t="str">
        <f t="shared" si="152"/>
        <v>盈余公积_转增资本</v>
      </c>
      <c r="F514" s="884">
        <f t="shared" si="196"/>
        <v>0</v>
      </c>
      <c r="G514" s="885">
        <f>SUMIF(AJE!$B:$B,$C514&amp;$D514&amp;"*",AJE!$O:$O)</f>
        <v>0</v>
      </c>
      <c r="H514" s="885">
        <f>SUMIF(AJE!$B:$B,$C514&amp;$D514&amp;"*",AJE!$P:$P)</f>
        <v>0</v>
      </c>
      <c r="I514" s="913">
        <f t="shared" si="199"/>
        <v>0</v>
      </c>
      <c r="J514" s="914">
        <f t="shared" si="155"/>
        <v>0</v>
      </c>
      <c r="K514" s="885">
        <f>SUMIF('AJE1'!$B:$B,$C514&amp;$D514&amp;"*",'AJE1'!$O:$O)</f>
        <v>0</v>
      </c>
      <c r="L514" s="885">
        <f>SUMIF('AJE1'!$B:$B,$C514&amp;$D514&amp;"*",'AJE1'!$P:$P)</f>
        <v>0</v>
      </c>
      <c r="M514" s="891">
        <f t="shared" si="200"/>
        <v>0</v>
      </c>
      <c r="N514" s="641"/>
      <c r="O514" s="641"/>
      <c r="P514" s="641"/>
      <c r="Q514" s="641"/>
      <c r="T514" s="3056">
        <v>8663</v>
      </c>
      <c r="U514" s="3063">
        <v>0</v>
      </c>
    </row>
    <row r="515" spans="1:21" ht="18">
      <c r="A515" s="1648">
        <f t="shared" si="150"/>
        <v>0</v>
      </c>
      <c r="B515" s="1647">
        <f t="shared" si="151"/>
        <v>-1</v>
      </c>
      <c r="C515" s="1647" t="str">
        <f t="shared" si="149"/>
        <v>J</v>
      </c>
      <c r="D515" s="1659">
        <v>8573</v>
      </c>
      <c r="E515" s="888" t="str">
        <f t="shared" si="152"/>
        <v>盈余公积_弥补亏损</v>
      </c>
      <c r="F515" s="884">
        <f t="shared" si="196"/>
        <v>0</v>
      </c>
      <c r="G515" s="885">
        <f>SUMIF(AJE!$B:$B,$C515&amp;$D515&amp;"*",AJE!$O:$O)</f>
        <v>0</v>
      </c>
      <c r="H515" s="885">
        <f>SUMIF(AJE!$B:$B,$C515&amp;$D515&amp;"*",AJE!$P:$P)</f>
        <v>0</v>
      </c>
      <c r="I515" s="913">
        <f t="shared" si="199"/>
        <v>0</v>
      </c>
      <c r="J515" s="914">
        <f t="shared" si="155"/>
        <v>0</v>
      </c>
      <c r="K515" s="885">
        <f>SUMIF('AJE1'!$B:$B,$C515&amp;$D515&amp;"*",'AJE1'!$O:$O)</f>
        <v>0</v>
      </c>
      <c r="L515" s="885">
        <f>SUMIF('AJE1'!$B:$B,$C515&amp;$D515&amp;"*",'AJE1'!$P:$P)</f>
        <v>0</v>
      </c>
      <c r="M515" s="891">
        <f t="shared" si="200"/>
        <v>0</v>
      </c>
      <c r="N515" s="641"/>
      <c r="O515" s="641"/>
      <c r="P515" s="641"/>
      <c r="Q515" s="641"/>
      <c r="T515" s="3056">
        <v>8666</v>
      </c>
      <c r="U515" s="3063">
        <v>0</v>
      </c>
    </row>
    <row r="516" spans="1:21" ht="24">
      <c r="A516" s="1648" t="str">
        <f t="shared" si="150"/>
        <v>OEI</v>
      </c>
      <c r="B516" s="1647">
        <f t="shared" si="151"/>
        <v>-1</v>
      </c>
      <c r="C516" s="1647" t="str">
        <f t="shared" si="149"/>
        <v>J</v>
      </c>
      <c r="D516" s="1659">
        <v>8575</v>
      </c>
      <c r="E516" s="888" t="str">
        <f t="shared" si="152"/>
        <v>盈余公积_设定受益计划变动额结转留存收益</v>
      </c>
      <c r="F516" s="884">
        <f>INDEX(Sheet_Presc,MATCH((RIGHT($D516,2)),Sheet_Prescrow,0),MATCH((LEFT($D516,2)),Sheet_Presccol,0))</f>
        <v>0</v>
      </c>
      <c r="G516" s="885">
        <f>SUMIF(AJE!$B:$B,$C516&amp;$D516&amp;"*",AJE!$O:$O)</f>
        <v>0</v>
      </c>
      <c r="H516" s="885">
        <f>SUMIF(AJE!$B:$B,$C516&amp;$D516&amp;"*",AJE!$P:$P)</f>
        <v>0</v>
      </c>
      <c r="I516" s="913">
        <f t="shared" si="199"/>
        <v>0</v>
      </c>
      <c r="J516" s="914">
        <f>INDEX(Sheet_Presc,MATCH((RIGHT($D516,2)),Sheet_Prescrow,0),MATCH((VALUE(LEFT($D516,2))),Sheet_Presccol,0))</f>
        <v>0</v>
      </c>
      <c r="K516" s="885">
        <f>SUMIF('AJE1'!$B:$B,$C516&amp;$D516&amp;"*",'AJE1'!$O:$O)</f>
        <v>0</v>
      </c>
      <c r="L516" s="885">
        <f>SUMIF('AJE1'!$B:$B,$C516&amp;$D516&amp;"*",'AJE1'!$P:$P)</f>
        <v>0</v>
      </c>
      <c r="M516" s="891">
        <f t="shared" si="200"/>
        <v>0</v>
      </c>
      <c r="N516" s="641"/>
      <c r="O516" s="641"/>
      <c r="P516" s="641"/>
      <c r="Q516" s="641"/>
      <c r="T516" s="3056">
        <v>8670</v>
      </c>
      <c r="U516" s="3063">
        <v>0</v>
      </c>
    </row>
    <row r="517" spans="1:21" ht="24">
      <c r="A517" s="1648" t="str">
        <f>VLOOKUP($D517,Sheet_Items,4,0)</f>
        <v>_JR</v>
      </c>
      <c r="B517" s="1647">
        <f>VLOOKUP($D517,Sheet_Items,3,0)</f>
        <v>-1</v>
      </c>
      <c r="C517" s="1647" t="str">
        <f>VLOOKUP($D517,Sheet_Items,9,0)</f>
        <v>J</v>
      </c>
      <c r="D517" s="1659">
        <v>8577</v>
      </c>
      <c r="E517" s="889" t="str">
        <f>VLOOKUP($D517,Sheet_Items,2,0)</f>
        <v>盈余公积_其他综合收益结转留存收益</v>
      </c>
      <c r="F517" s="884">
        <f>INDEX(Sheet_Presc,MATCH((RIGHT($D517,2)),Sheet_Prescrow,0),MATCH((LEFT($D517,2)),Sheet_Presccol,0))</f>
        <v>0</v>
      </c>
      <c r="G517" s="885">
        <f>SUMIF(AJE!$B:$B,$C517&amp;$D517&amp;"*",AJE!$O:$O)</f>
        <v>0</v>
      </c>
      <c r="H517" s="885">
        <f>SUMIF(AJE!$B:$B,$C517&amp;$D517&amp;"*",AJE!$P:$P)</f>
        <v>0</v>
      </c>
      <c r="I517" s="913">
        <f t="shared" si="199"/>
        <v>0</v>
      </c>
      <c r="J517" s="914">
        <f>INDEX(Sheet_Presc,MATCH((RIGHT($D517,2)),Sheet_Prescrow,0),MATCH((VALUE(LEFT($D517,2))),Sheet_Presccol,0))</f>
        <v>0</v>
      </c>
      <c r="K517" s="885">
        <f>SUMIF('AJE1'!$B:$B,$C517&amp;$D517&amp;"*",'AJE1'!$O:$O)</f>
        <v>0</v>
      </c>
      <c r="L517" s="885">
        <f>SUMIF('AJE1'!$B:$B,$C517&amp;$D517&amp;"*",'AJE1'!$P:$P)</f>
        <v>0</v>
      </c>
      <c r="M517" s="891">
        <f t="shared" si="200"/>
        <v>0</v>
      </c>
      <c r="N517" s="641"/>
      <c r="O517" s="641"/>
      <c r="P517" s="641"/>
      <c r="Q517" s="641"/>
      <c r="T517" s="3056">
        <v>8671</v>
      </c>
      <c r="U517" s="3063">
        <v>0</v>
      </c>
    </row>
    <row r="518" spans="1:21" ht="18">
      <c r="A518" s="1648" t="str">
        <f t="shared" si="150"/>
        <v>LOW</v>
      </c>
      <c r="B518" s="1647">
        <f t="shared" si="151"/>
        <v>-1</v>
      </c>
      <c r="C518" s="1647" t="str">
        <f t="shared" si="149"/>
        <v>J</v>
      </c>
      <c r="D518" s="1659">
        <v>8576</v>
      </c>
      <c r="E518" s="888" t="str">
        <f t="shared" si="152"/>
        <v>盈余公积_所有者权益其他内部结转</v>
      </c>
      <c r="F518" s="884">
        <f t="shared" si="196"/>
        <v>0</v>
      </c>
      <c r="G518" s="885">
        <f>SUMIF(AJE!$B:$B,$C518&amp;$D518&amp;"*",AJE!$O:$O)</f>
        <v>0</v>
      </c>
      <c r="H518" s="885">
        <f>SUMIF(AJE!$B:$B,$C518&amp;$D518&amp;"*",AJE!$P:$P)</f>
        <v>0</v>
      </c>
      <c r="I518" s="913">
        <f t="shared" si="199"/>
        <v>0</v>
      </c>
      <c r="J518" s="914">
        <f t="shared" si="155"/>
        <v>0</v>
      </c>
      <c r="K518" s="885">
        <f>SUMIF('AJE1'!$B:$B,$C518&amp;$D518&amp;"*",'AJE1'!$O:$O)</f>
        <v>0</v>
      </c>
      <c r="L518" s="885">
        <f>SUMIF('AJE1'!$B:$B,$C518&amp;$D518&amp;"*",'AJE1'!$P:$P)</f>
        <v>0</v>
      </c>
      <c r="M518" s="891">
        <f t="shared" si="200"/>
        <v>0</v>
      </c>
      <c r="N518" s="641"/>
      <c r="O518" s="641"/>
      <c r="P518" s="641"/>
      <c r="Q518" s="641"/>
      <c r="T518" s="3056">
        <v>8672</v>
      </c>
      <c r="U518" s="3063">
        <v>0</v>
      </c>
    </row>
    <row r="519" spans="1:21" ht="18">
      <c r="A519" s="1648" t="str">
        <f t="shared" si="150"/>
        <v>＝</v>
      </c>
      <c r="B519" s="1647">
        <f t="shared" si="151"/>
        <v>0</v>
      </c>
      <c r="C519" s="1647">
        <f t="shared" si="149"/>
        <v>0</v>
      </c>
      <c r="D519" s="1659">
        <v>8580</v>
      </c>
      <c r="E519" s="888" t="str">
        <f t="shared" si="152"/>
        <v>盈余公积_专项储备影响权益</v>
      </c>
      <c r="F519" s="884">
        <f>SUM(F520:F521)</f>
        <v>0</v>
      </c>
      <c r="G519" s="885">
        <f t="shared" ref="G519:M519" si="201">SUM(G520:G521)</f>
        <v>0</v>
      </c>
      <c r="H519" s="885">
        <f t="shared" si="201"/>
        <v>0</v>
      </c>
      <c r="I519" s="913">
        <f t="shared" si="201"/>
        <v>0</v>
      </c>
      <c r="J519" s="914">
        <f t="shared" si="201"/>
        <v>0</v>
      </c>
      <c r="K519" s="885">
        <f t="shared" si="201"/>
        <v>0</v>
      </c>
      <c r="L519" s="885">
        <f t="shared" si="201"/>
        <v>0</v>
      </c>
      <c r="M519" s="891">
        <f t="shared" si="201"/>
        <v>0</v>
      </c>
      <c r="N519" s="641"/>
      <c r="O519" s="641"/>
      <c r="P519" s="641"/>
      <c r="Q519" s="641"/>
      <c r="T519" s="3056">
        <v>8673</v>
      </c>
      <c r="U519" s="3063">
        <v>0</v>
      </c>
    </row>
    <row r="520" spans="1:21" ht="18">
      <c r="A520" s="1648" t="str">
        <f t="shared" si="150"/>
        <v>N</v>
      </c>
      <c r="B520" s="1647">
        <f t="shared" si="151"/>
        <v>-1</v>
      </c>
      <c r="C520" s="1647" t="str">
        <f t="shared" si="149"/>
        <v>J</v>
      </c>
      <c r="D520" s="1659">
        <v>8581</v>
      </c>
      <c r="E520" s="888" t="str">
        <f t="shared" si="152"/>
        <v>盈余公积_专项储备本期提取</v>
      </c>
      <c r="F520" s="884">
        <f t="shared" si="196"/>
        <v>0</v>
      </c>
      <c r="G520" s="885">
        <f>SUMIF(AJE!$B:$B,$C520&amp;$D520&amp;"*",AJE!$O:$O)</f>
        <v>0</v>
      </c>
      <c r="H520" s="885">
        <f>SUMIF(AJE!$B:$B,$C520&amp;$D520&amp;"*",AJE!$P:$P)</f>
        <v>0</v>
      </c>
      <c r="I520" s="913">
        <f>(B520*F520+G520-H520)*B520</f>
        <v>0</v>
      </c>
      <c r="J520" s="914">
        <f t="shared" si="155"/>
        <v>0</v>
      </c>
      <c r="K520" s="885">
        <f>SUMIF('AJE1'!$B:$B,$C520&amp;$D520&amp;"*",'AJE1'!$O:$O)</f>
        <v>0</v>
      </c>
      <c r="L520" s="885">
        <f>SUMIF('AJE1'!$B:$B,$C520&amp;$D520&amp;"*",'AJE1'!$P:$P)</f>
        <v>0</v>
      </c>
      <c r="M520" s="891">
        <f>($B520*J520+K520-L520)*$B520</f>
        <v>0</v>
      </c>
      <c r="N520" s="641"/>
      <c r="O520" s="641"/>
      <c r="P520" s="641"/>
      <c r="Q520" s="641"/>
      <c r="T520" s="3056">
        <v>8675</v>
      </c>
      <c r="U520" s="3063">
        <v>0</v>
      </c>
    </row>
    <row r="521" spans="1:21" ht="18">
      <c r="A521" s="1648" t="str">
        <f t="shared" si="150"/>
        <v>N</v>
      </c>
      <c r="B521" s="1647">
        <f t="shared" si="151"/>
        <v>-1</v>
      </c>
      <c r="C521" s="1647" t="str">
        <f t="shared" si="149"/>
        <v>J</v>
      </c>
      <c r="D521" s="1659">
        <v>8582</v>
      </c>
      <c r="E521" s="888" t="str">
        <f t="shared" si="152"/>
        <v>盈余公积_专项储备本期使用</v>
      </c>
      <c r="F521" s="884">
        <f t="shared" si="196"/>
        <v>0</v>
      </c>
      <c r="G521" s="885">
        <f>SUMIF(AJE!$B:$B,$C521&amp;$D521&amp;"*",AJE!$O:$O)</f>
        <v>0</v>
      </c>
      <c r="H521" s="885">
        <f>SUMIF(AJE!$B:$B,$C521&amp;$D521&amp;"*",AJE!$P:$P)</f>
        <v>0</v>
      </c>
      <c r="I521" s="913">
        <f>(B521*F521+G521-H521)*B521</f>
        <v>0</v>
      </c>
      <c r="J521" s="914">
        <f t="shared" si="155"/>
        <v>0</v>
      </c>
      <c r="K521" s="885">
        <f>SUMIF('AJE1'!$B:$B,$C521&amp;$D521&amp;"*",'AJE1'!$O:$O)</f>
        <v>0</v>
      </c>
      <c r="L521" s="885">
        <f>SUMIF('AJE1'!$B:$B,$C521&amp;$D521&amp;"*",'AJE1'!$P:$P)</f>
        <v>0</v>
      </c>
      <c r="M521" s="891">
        <f>($B521*J521+K521-L521)*$B521</f>
        <v>0</v>
      </c>
      <c r="N521" s="641"/>
      <c r="O521" s="641"/>
      <c r="P521" s="641"/>
      <c r="Q521" s="641"/>
      <c r="T521" s="3056">
        <v>8676</v>
      </c>
      <c r="U521" s="3063">
        <v>0</v>
      </c>
    </row>
    <row r="522" spans="1:21" ht="18">
      <c r="A522" s="1648" t="str">
        <f t="shared" si="150"/>
        <v>LOW</v>
      </c>
      <c r="B522" s="1647">
        <f t="shared" si="151"/>
        <v>-1</v>
      </c>
      <c r="C522" s="1647" t="str">
        <f t="shared" si="149"/>
        <v>J</v>
      </c>
      <c r="D522" s="1659">
        <v>8596</v>
      </c>
      <c r="E522" s="888" t="str">
        <f t="shared" si="152"/>
        <v>盈余公积_本期其他增减变动</v>
      </c>
      <c r="F522" s="884">
        <f t="shared" si="196"/>
        <v>0</v>
      </c>
      <c r="G522" s="885">
        <f>SUMIF(AJE!$B:$B,$C522&amp;$D522&amp;"*",AJE!$O:$O)</f>
        <v>0</v>
      </c>
      <c r="H522" s="885">
        <f>SUMIF(AJE!$B:$B,$C522&amp;$D522&amp;"*",AJE!$P:$P)</f>
        <v>0</v>
      </c>
      <c r="I522" s="913">
        <f>(B522*F522+G522-H522)*B522</f>
        <v>0</v>
      </c>
      <c r="J522" s="914">
        <f t="shared" si="155"/>
        <v>0</v>
      </c>
      <c r="K522" s="885">
        <f>SUMIF('AJE1'!$B:$B,$C522&amp;$D522&amp;"*",'AJE1'!$O:$O)</f>
        <v>0</v>
      </c>
      <c r="L522" s="885">
        <f>SUMIF('AJE1'!$B:$B,$C522&amp;$D522&amp;"*",'AJE1'!$P:$P)</f>
        <v>0</v>
      </c>
      <c r="M522" s="891">
        <f>($B522*J522+K522-L522)*$B522</f>
        <v>0</v>
      </c>
      <c r="N522" s="641"/>
      <c r="O522" s="641"/>
      <c r="P522" s="641"/>
      <c r="Q522" s="641"/>
      <c r="T522" s="3056">
        <v>8680</v>
      </c>
      <c r="U522" s="3063">
        <v>0</v>
      </c>
    </row>
    <row r="523" spans="1:21" ht="18">
      <c r="A523" s="1648" t="str">
        <f t="shared" si="150"/>
        <v>＝</v>
      </c>
      <c r="B523" s="1647">
        <f t="shared" si="151"/>
        <v>0</v>
      </c>
      <c r="C523" s="1647">
        <f t="shared" si="149"/>
        <v>0</v>
      </c>
      <c r="D523" s="1659">
        <v>8599</v>
      </c>
      <c r="E523" s="888" t="str">
        <f t="shared" si="152"/>
        <v>盈余公积_本期期末余额</v>
      </c>
      <c r="F523" s="884">
        <f t="shared" ref="F523:M523" si="202">SUM(F497,F498)</f>
        <v>1484894.62</v>
      </c>
      <c r="G523" s="885">
        <f t="shared" si="202"/>
        <v>0</v>
      </c>
      <c r="H523" s="885">
        <f t="shared" si="202"/>
        <v>0</v>
      </c>
      <c r="I523" s="913">
        <f t="shared" si="202"/>
        <v>1484894.62</v>
      </c>
      <c r="J523" s="914">
        <f t="shared" si="202"/>
        <v>1476848.22</v>
      </c>
      <c r="K523" s="885">
        <f t="shared" si="202"/>
        <v>0</v>
      </c>
      <c r="L523" s="885">
        <f t="shared" si="202"/>
        <v>0</v>
      </c>
      <c r="M523" s="891">
        <f t="shared" si="202"/>
        <v>1476848.22</v>
      </c>
      <c r="N523" s="641"/>
      <c r="O523" s="641"/>
      <c r="P523" s="641"/>
      <c r="Q523" s="641"/>
      <c r="T523" s="3056">
        <v>8681</v>
      </c>
      <c r="U523" s="3063">
        <v>0</v>
      </c>
    </row>
    <row r="524" spans="1:21" ht="18">
      <c r="A524" s="1648" t="str">
        <f t="shared" si="150"/>
        <v>：</v>
      </c>
      <c r="B524" s="1647">
        <f t="shared" si="151"/>
        <v>0</v>
      </c>
      <c r="C524" s="1647">
        <f t="shared" si="149"/>
        <v>0</v>
      </c>
      <c r="D524" s="2186">
        <v>8600</v>
      </c>
      <c r="E524" s="2187" t="str">
        <f t="shared" si="152"/>
        <v>一般风险准备增减变动</v>
      </c>
      <c r="F524" s="884"/>
      <c r="G524" s="885"/>
      <c r="H524" s="885"/>
      <c r="I524" s="913"/>
      <c r="J524" s="914"/>
      <c r="K524" s="885"/>
      <c r="L524" s="885"/>
      <c r="M524" s="891"/>
      <c r="N524" s="641"/>
      <c r="O524" s="641"/>
      <c r="P524" s="641"/>
      <c r="Q524" s="641"/>
      <c r="T524" s="3056">
        <v>8682</v>
      </c>
      <c r="U524" s="3063">
        <v>0</v>
      </c>
    </row>
    <row r="525" spans="1:21" ht="18">
      <c r="A525" s="1648">
        <f t="shared" si="150"/>
        <v>0</v>
      </c>
      <c r="B525" s="1647">
        <f t="shared" si="151"/>
        <v>-1</v>
      </c>
      <c r="C525" s="1647" t="str">
        <f t="shared" si="149"/>
        <v>J</v>
      </c>
      <c r="D525" s="1659">
        <v>8601</v>
      </c>
      <c r="E525" s="888" t="str">
        <f t="shared" si="152"/>
        <v>一般风险准备_上年年末余额</v>
      </c>
      <c r="F525" s="884">
        <f t="shared" si="196"/>
        <v>0</v>
      </c>
      <c r="G525" s="885">
        <f>SUMIF(AJE!$B:$B,$C525&amp;$D525&amp;"*",AJE!$O:$O)</f>
        <v>0</v>
      </c>
      <c r="H525" s="885">
        <f>SUMIF(AJE!$B:$B,$C525&amp;$D525&amp;"*",AJE!$P:$P)</f>
        <v>0</v>
      </c>
      <c r="I525" s="913">
        <f t="shared" ref="I525:I529" si="203">(B525*F525+G525-H525)*B525</f>
        <v>0</v>
      </c>
      <c r="J525" s="914">
        <f t="shared" si="155"/>
        <v>0</v>
      </c>
      <c r="K525" s="885">
        <f>SUMIF('AJE1'!$B:$B,$C525&amp;$D525&amp;"*",'AJE1'!$O:$O)</f>
        <v>0</v>
      </c>
      <c r="L525" s="885">
        <f>SUMIF('AJE1'!$B:$B,$C525&amp;$D525&amp;"*",'AJE1'!$P:$P)</f>
        <v>0</v>
      </c>
      <c r="M525" s="891">
        <f t="shared" ref="M525:M529" si="204">($B525*J525+K525-L525)*$B525</f>
        <v>0</v>
      </c>
      <c r="N525" s="641"/>
      <c r="O525" s="641"/>
      <c r="P525" s="641"/>
      <c r="Q525" s="641"/>
      <c r="T525" s="3056">
        <v>8696</v>
      </c>
      <c r="U525" s="3063">
        <v>0</v>
      </c>
    </row>
    <row r="526" spans="1:21" ht="24">
      <c r="A526" s="1648">
        <f t="shared" si="150"/>
        <v>0</v>
      </c>
      <c r="B526" s="1647">
        <f t="shared" si="151"/>
        <v>-1</v>
      </c>
      <c r="C526" s="1647" t="str">
        <f t="shared" si="149"/>
        <v>J</v>
      </c>
      <c r="D526" s="1659">
        <v>8602</v>
      </c>
      <c r="E526" s="888" t="str">
        <f t="shared" si="152"/>
        <v>一般风险准备_会计政策变更调整上年年末余额</v>
      </c>
      <c r="F526" s="884">
        <f t="shared" si="196"/>
        <v>0</v>
      </c>
      <c r="G526" s="885">
        <f>SUMIF(AJE!$B:$B,$C526&amp;$D526&amp;"*",AJE!$O:$O)</f>
        <v>0</v>
      </c>
      <c r="H526" s="885">
        <f>SUMIF(AJE!$B:$B,$C526&amp;$D526&amp;"*",AJE!$P:$P)</f>
        <v>0</v>
      </c>
      <c r="I526" s="913">
        <f t="shared" si="203"/>
        <v>0</v>
      </c>
      <c r="J526" s="914">
        <f t="shared" si="155"/>
        <v>0</v>
      </c>
      <c r="K526" s="885">
        <f>SUMIF('AJE1'!$B:$B,$C526&amp;$D526&amp;"*",'AJE1'!$O:$O)</f>
        <v>0</v>
      </c>
      <c r="L526" s="885">
        <f>SUMIF('AJE1'!$B:$B,$C526&amp;$D526&amp;"*",'AJE1'!$P:$P)</f>
        <v>0</v>
      </c>
      <c r="M526" s="891">
        <f t="shared" si="204"/>
        <v>0</v>
      </c>
      <c r="N526" s="641"/>
      <c r="O526" s="641"/>
      <c r="P526" s="641"/>
      <c r="Q526" s="641"/>
      <c r="T526" s="3056">
        <v>8699</v>
      </c>
      <c r="U526" s="3063">
        <v>0</v>
      </c>
    </row>
    <row r="527" spans="1:21" ht="24">
      <c r="A527" s="1648">
        <f t="shared" si="150"/>
        <v>0</v>
      </c>
      <c r="B527" s="1647">
        <f t="shared" si="151"/>
        <v>-1</v>
      </c>
      <c r="C527" s="1647" t="str">
        <f t="shared" si="149"/>
        <v>J</v>
      </c>
      <c r="D527" s="1659">
        <v>8603</v>
      </c>
      <c r="E527" s="888" t="str">
        <f t="shared" si="152"/>
        <v>一般风险准备_前期差错更正调整上年年末余额</v>
      </c>
      <c r="F527" s="884">
        <f t="shared" si="196"/>
        <v>0</v>
      </c>
      <c r="G527" s="885">
        <f>SUMIF(AJE!$B:$B,$C527&amp;$D527&amp;"*",AJE!$O:$O)</f>
        <v>0</v>
      </c>
      <c r="H527" s="885">
        <f>SUMIF(AJE!$B:$B,$C527&amp;$D527&amp;"*",AJE!$P:$P)</f>
        <v>0</v>
      </c>
      <c r="I527" s="913">
        <f t="shared" si="203"/>
        <v>0</v>
      </c>
      <c r="J527" s="914">
        <f t="shared" si="155"/>
        <v>0</v>
      </c>
      <c r="K527" s="885">
        <f>SUMIF('AJE1'!$B:$B,$C527&amp;$D527&amp;"*",'AJE1'!$O:$O)</f>
        <v>0</v>
      </c>
      <c r="L527" s="885">
        <f>SUMIF('AJE1'!$B:$B,$C527&amp;$D527&amp;"*",'AJE1'!$P:$P)</f>
        <v>0</v>
      </c>
      <c r="M527" s="891">
        <f t="shared" si="204"/>
        <v>0</v>
      </c>
      <c r="N527" s="641"/>
      <c r="O527" s="641"/>
      <c r="P527" s="641"/>
      <c r="Q527" s="641"/>
      <c r="T527" s="3056">
        <v>8700</v>
      </c>
      <c r="U527" s="3063">
        <v>0</v>
      </c>
    </row>
    <row r="528" spans="1:21" ht="24">
      <c r="A528" s="1648" t="str">
        <f t="shared" si="150"/>
        <v>※</v>
      </c>
      <c r="B528" s="1647">
        <f t="shared" si="151"/>
        <v>-1</v>
      </c>
      <c r="C528" s="1647" t="str">
        <f t="shared" si="149"/>
        <v>J</v>
      </c>
      <c r="D528" s="1659">
        <v>8604</v>
      </c>
      <c r="E528" s="888" t="str">
        <f t="shared" si="152"/>
        <v>一般风险准备_同一控制下企业合并调整上年年末余额</v>
      </c>
      <c r="F528" s="884">
        <f>INDEX(Sheet_Presc,MATCH((RIGHT($D528,2)),Sheet_Prescrow,0),MATCH((LEFT($D528,2)),Sheet_Presccol,0))</f>
        <v>0</v>
      </c>
      <c r="G528" s="885">
        <f>SUMIF(AJE!$B:$B,$C528&amp;$D528&amp;"*",AJE!$O:$O)</f>
        <v>0</v>
      </c>
      <c r="H528" s="885">
        <f>SUMIF(AJE!$B:$B,$C528&amp;$D528&amp;"*",AJE!$P:$P)</f>
        <v>0</v>
      </c>
      <c r="I528" s="913">
        <f t="shared" si="203"/>
        <v>0</v>
      </c>
      <c r="J528" s="914">
        <f>INDEX(Sheet_Presc,MATCH((RIGHT($D528,2)),Sheet_Prescrow,0),MATCH((VALUE(LEFT($D528,2))),Sheet_Presccol,0))</f>
        <v>0</v>
      </c>
      <c r="K528" s="885">
        <f>SUMIF('AJE1'!$B:$B,$C528&amp;$D528&amp;"*",'AJE1'!$O:$O)</f>
        <v>0</v>
      </c>
      <c r="L528" s="885">
        <f>SUMIF('AJE1'!$B:$B,$C528&amp;$D528&amp;"*",'AJE1'!$P:$P)</f>
        <v>0</v>
      </c>
      <c r="M528" s="891">
        <f t="shared" si="204"/>
        <v>0</v>
      </c>
      <c r="N528" s="641"/>
      <c r="O528" s="641"/>
      <c r="P528" s="641"/>
      <c r="Q528" s="641"/>
      <c r="T528" s="3056">
        <v>8701</v>
      </c>
      <c r="U528" s="3063">
        <v>12823427.869999999</v>
      </c>
    </row>
    <row r="529" spans="1:21" ht="24">
      <c r="A529" s="1648" t="str">
        <f t="shared" si="150"/>
        <v>LOW</v>
      </c>
      <c r="B529" s="1647">
        <f t="shared" si="151"/>
        <v>-1</v>
      </c>
      <c r="C529" s="1647" t="str">
        <f t="shared" si="149"/>
        <v>J</v>
      </c>
      <c r="D529" s="1659">
        <v>8609</v>
      </c>
      <c r="E529" s="888" t="str">
        <f t="shared" si="152"/>
        <v>一般风险准备_其他原因调整上年年末余额</v>
      </c>
      <c r="F529" s="884">
        <f t="shared" si="196"/>
        <v>0</v>
      </c>
      <c r="G529" s="885">
        <f>SUMIF(AJE!$B:$B,$C529&amp;$D529&amp;"*",AJE!$O:$O)</f>
        <v>0</v>
      </c>
      <c r="H529" s="885">
        <f>SUMIF(AJE!$B:$B,$C529&amp;$D529&amp;"*",AJE!$P:$P)</f>
        <v>0</v>
      </c>
      <c r="I529" s="913">
        <f t="shared" si="203"/>
        <v>0</v>
      </c>
      <c r="J529" s="914">
        <f t="shared" si="155"/>
        <v>0</v>
      </c>
      <c r="K529" s="885">
        <f>SUMIF('AJE1'!$B:$B,$C529&amp;$D529&amp;"*",'AJE1'!$O:$O)</f>
        <v>0</v>
      </c>
      <c r="L529" s="885">
        <f>SUMIF('AJE1'!$B:$B,$C529&amp;$D529&amp;"*",'AJE1'!$P:$P)</f>
        <v>0</v>
      </c>
      <c r="M529" s="891">
        <f t="shared" si="204"/>
        <v>0</v>
      </c>
      <c r="N529" s="641"/>
      <c r="O529" s="641"/>
      <c r="P529" s="641"/>
      <c r="Q529" s="641"/>
      <c r="T529" s="3056">
        <v>8702</v>
      </c>
      <c r="U529" s="3063">
        <v>0</v>
      </c>
    </row>
    <row r="530" spans="1:21" ht="18">
      <c r="A530" s="1648" t="str">
        <f t="shared" si="150"/>
        <v>＝</v>
      </c>
      <c r="B530" s="1647">
        <f t="shared" si="151"/>
        <v>0</v>
      </c>
      <c r="C530" s="1647">
        <f t="shared" si="149"/>
        <v>0</v>
      </c>
      <c r="D530" s="1659">
        <v>8610</v>
      </c>
      <c r="E530" s="888" t="str">
        <f t="shared" si="152"/>
        <v>一般风险准备_本年年初余额</v>
      </c>
      <c r="F530" s="884">
        <f t="shared" ref="F530:M530" si="205">SUM(F525:F529)</f>
        <v>0</v>
      </c>
      <c r="G530" s="885">
        <f t="shared" si="205"/>
        <v>0</v>
      </c>
      <c r="H530" s="885">
        <f t="shared" si="205"/>
        <v>0</v>
      </c>
      <c r="I530" s="913">
        <f t="shared" si="205"/>
        <v>0</v>
      </c>
      <c r="J530" s="914">
        <f t="shared" si="205"/>
        <v>0</v>
      </c>
      <c r="K530" s="885">
        <f t="shared" si="205"/>
        <v>0</v>
      </c>
      <c r="L530" s="885">
        <f t="shared" si="205"/>
        <v>0</v>
      </c>
      <c r="M530" s="891">
        <f t="shared" si="205"/>
        <v>0</v>
      </c>
      <c r="N530" s="641"/>
      <c r="O530" s="641"/>
      <c r="P530" s="641"/>
      <c r="Q530" s="641"/>
      <c r="T530" s="3056">
        <v>8703</v>
      </c>
      <c r="U530" s="3063">
        <v>0</v>
      </c>
    </row>
    <row r="531" spans="1:21" ht="18">
      <c r="A531" s="1648" t="str">
        <f t="shared" si="150"/>
        <v>＝</v>
      </c>
      <c r="B531" s="1647">
        <f t="shared" si="151"/>
        <v>0</v>
      </c>
      <c r="C531" s="1647">
        <f t="shared" si="149"/>
        <v>0</v>
      </c>
      <c r="D531" s="1659">
        <v>8690</v>
      </c>
      <c r="E531" s="888" t="str">
        <f t="shared" si="152"/>
        <v>一般风险准备_本期增减变动金额</v>
      </c>
      <c r="F531" s="884">
        <f>SUM(F534,F535,F540,F545,F552,F555)</f>
        <v>0</v>
      </c>
      <c r="G531" s="885">
        <f t="shared" ref="G531:M531" si="206">SUM(G534,G535,G540,G545,G552,G555)</f>
        <v>0</v>
      </c>
      <c r="H531" s="885">
        <f t="shared" si="206"/>
        <v>0</v>
      </c>
      <c r="I531" s="913">
        <f t="shared" si="206"/>
        <v>0</v>
      </c>
      <c r="J531" s="914">
        <f t="shared" si="206"/>
        <v>0</v>
      </c>
      <c r="K531" s="885">
        <f t="shared" si="206"/>
        <v>0</v>
      </c>
      <c r="L531" s="885">
        <f t="shared" si="206"/>
        <v>0</v>
      </c>
      <c r="M531" s="891">
        <f t="shared" si="206"/>
        <v>0</v>
      </c>
      <c r="N531" s="641"/>
      <c r="O531" s="641"/>
      <c r="P531" s="641"/>
      <c r="Q531" s="641"/>
      <c r="T531" s="3056">
        <v>8704</v>
      </c>
      <c r="U531" s="3063">
        <v>0</v>
      </c>
    </row>
    <row r="532" spans="1:21" ht="18">
      <c r="A532" s="1648" t="str">
        <f t="shared" si="150"/>
        <v>N</v>
      </c>
      <c r="B532" s="1647">
        <f t="shared" si="151"/>
        <v>-1</v>
      </c>
      <c r="C532" s="1647" t="str">
        <f t="shared" si="149"/>
        <v>J</v>
      </c>
      <c r="D532" s="1659">
        <v>8621</v>
      </c>
      <c r="E532" s="888" t="str">
        <f t="shared" si="152"/>
        <v>一般风险准备_净利润增加权益</v>
      </c>
      <c r="F532" s="884">
        <f>INDEX(Sheet_Presc,MATCH((RIGHT($D532,2)),Sheet_Prescrow,0),MATCH((LEFT($D532,2)),Sheet_Presccol,0))</f>
        <v>0</v>
      </c>
      <c r="G532" s="885">
        <f>SUMIF(AJE!$B:$B,$C532&amp;$D532&amp;"*",AJE!$O:$O)</f>
        <v>0</v>
      </c>
      <c r="H532" s="885">
        <f>SUMIF(AJE!$B:$B,$C532&amp;$D532&amp;"*",AJE!$P:$P)</f>
        <v>0</v>
      </c>
      <c r="I532" s="913">
        <f>(B532*F532+G532-H532)*B532</f>
        <v>0</v>
      </c>
      <c r="J532" s="914">
        <f t="shared" si="155"/>
        <v>0</v>
      </c>
      <c r="K532" s="885">
        <f>SUMIF('AJE1'!$B:$B,$C532&amp;$D532&amp;"*",'AJE1'!$O:$O)</f>
        <v>0</v>
      </c>
      <c r="L532" s="885">
        <f>SUMIF('AJE1'!$B:$B,$C532&amp;$D532&amp;"*",'AJE1'!$P:$P)</f>
        <v>0</v>
      </c>
      <c r="M532" s="891">
        <f>($B532*J532+K532-L532)*$B532</f>
        <v>0</v>
      </c>
      <c r="N532" s="641"/>
      <c r="O532" s="641"/>
      <c r="P532" s="641"/>
      <c r="Q532" s="641"/>
      <c r="T532" s="3056">
        <v>8709</v>
      </c>
      <c r="U532" s="3063">
        <v>0</v>
      </c>
    </row>
    <row r="533" spans="1:21" ht="24">
      <c r="A533" s="1648" t="str">
        <f t="shared" si="150"/>
        <v>N</v>
      </c>
      <c r="B533" s="1647">
        <f t="shared" si="151"/>
        <v>-1</v>
      </c>
      <c r="C533" s="1647" t="str">
        <f t="shared" si="149"/>
        <v>J</v>
      </c>
      <c r="D533" s="1659">
        <v>8630</v>
      </c>
      <c r="E533" s="888" t="str">
        <f t="shared" si="152"/>
        <v>一般风险准备_其他综合收益增加权益</v>
      </c>
      <c r="F533" s="884">
        <f>INDEX(Sheet_Presc,MATCH((RIGHT($D533,2)),Sheet_Prescrow,0),MATCH((LEFT($D533,2)),Sheet_Presccol,0))</f>
        <v>0</v>
      </c>
      <c r="G533" s="885">
        <f>SUMIF(AJE!$B:$B,$C533&amp;$D533&amp;"*",AJE!$O:$O)</f>
        <v>0</v>
      </c>
      <c r="H533" s="885">
        <f>SUMIF(AJE!$B:$B,$C533&amp;$D533&amp;"*",AJE!$P:$P)</f>
        <v>0</v>
      </c>
      <c r="I533" s="913">
        <f>(B533*F533+G533-H533)*B533</f>
        <v>0</v>
      </c>
      <c r="J533" s="914">
        <f t="shared" si="155"/>
        <v>0</v>
      </c>
      <c r="K533" s="885">
        <f>SUMIF('AJE1'!$B:$B,$C533&amp;$D533&amp;"*",'AJE1'!$O:$O)</f>
        <v>0</v>
      </c>
      <c r="L533" s="885">
        <f>SUMIF('AJE1'!$B:$B,$C533&amp;$D533&amp;"*",'AJE1'!$P:$P)</f>
        <v>0</v>
      </c>
      <c r="M533" s="891">
        <f>($B533*J533+K533-L533)*$B533</f>
        <v>0</v>
      </c>
      <c r="N533" s="641"/>
      <c r="O533" s="641"/>
      <c r="P533" s="641"/>
      <c r="Q533" s="641"/>
      <c r="T533" s="3056">
        <v>8710</v>
      </c>
      <c r="U533" s="3063">
        <v>12823427.869999999</v>
      </c>
    </row>
    <row r="534" spans="1:21" ht="24">
      <c r="A534" s="1648">
        <f t="shared" si="150"/>
        <v>0</v>
      </c>
      <c r="B534" s="1647">
        <f t="shared" si="151"/>
        <v>-1</v>
      </c>
      <c r="C534" s="1647" t="str">
        <f t="shared" si="149"/>
        <v>J</v>
      </c>
      <c r="D534" s="1659">
        <v>8640</v>
      </c>
      <c r="E534" s="888" t="str">
        <f t="shared" si="152"/>
        <v>一般风险准备_综合收益总额增加权益</v>
      </c>
      <c r="F534" s="884">
        <f>INDEX(Sheet_Presc,MATCH((RIGHT($D534,2)),Sheet_Prescrow,0),MATCH((LEFT($D534,2)),Sheet_Presccol,0))</f>
        <v>0</v>
      </c>
      <c r="G534" s="885">
        <f>SUMIF(AJE!$B:$B,$C534&amp;$D534&amp;"*",AJE!$O:$O)+VLOOKUP(8621,Sheet_Trialbal,4,0)+VLOOKUP(8630,Sheet_Trialbal,4,0)</f>
        <v>0</v>
      </c>
      <c r="H534" s="885">
        <f>SUMIF(AJE!$B:$B,$C534&amp;$D534&amp;"*",AJE!$P:$P)+VLOOKUP(8621,Sheet_Trialbal,5,0)+VLOOKUP(8630,Sheet_Trialbal,5,0)</f>
        <v>0</v>
      </c>
      <c r="I534" s="913">
        <f>(B534*F534+G534-H534)*B534</f>
        <v>0</v>
      </c>
      <c r="J534" s="914">
        <f>INDEX(Sheet_Presc,MATCH((RIGHT($D534,2)),Sheet_Prescrow,0),MATCH((VALUE(LEFT($D534,2))),Sheet_Presccol,0))</f>
        <v>0</v>
      </c>
      <c r="K534" s="885">
        <f>SUMIF('AJE1'!$B:$B,$C534&amp;$D534&amp;"*",'AJE1'!$O:$O)+VLOOKUP(8621,Sheet_Trialbal,8,0)+VLOOKUP(8630,Sheet_Trialbal,8,0)</f>
        <v>0</v>
      </c>
      <c r="L534" s="885">
        <f>SUMIF('AJE1'!$B:$B,$C534&amp;$D534&amp;"*",'AJE1'!$P:$P)+VLOOKUP(8621,Sheet_Trialbal,9,0)+VLOOKUP(8630,Sheet_Trialbal,9,0)</f>
        <v>0</v>
      </c>
      <c r="M534" s="891">
        <f>($B534*J534+K534-L534)*$B534</f>
        <v>0</v>
      </c>
      <c r="N534" s="641"/>
      <c r="O534" s="641"/>
      <c r="P534" s="641"/>
      <c r="Q534" s="641"/>
      <c r="T534" s="3056">
        <v>8790</v>
      </c>
      <c r="U534" s="3063">
        <v>468206.02</v>
      </c>
    </row>
    <row r="535" spans="1:21" ht="24">
      <c r="A535" s="1648" t="str">
        <f t="shared" si="150"/>
        <v>＝</v>
      </c>
      <c r="B535" s="1647">
        <f t="shared" si="151"/>
        <v>0</v>
      </c>
      <c r="C535" s="1647">
        <f t="shared" si="149"/>
        <v>0</v>
      </c>
      <c r="D535" s="1659">
        <v>8650</v>
      </c>
      <c r="E535" s="888" t="str">
        <f t="shared" si="152"/>
        <v>一般风险准备_所有者投入和减少资本影响权益</v>
      </c>
      <c r="F535" s="884">
        <f>SUM(F536:F539)</f>
        <v>0</v>
      </c>
      <c r="G535" s="885">
        <f t="shared" ref="G535:M535" si="207">SUM(G536:G539)</f>
        <v>0</v>
      </c>
      <c r="H535" s="885">
        <f t="shared" si="207"/>
        <v>0</v>
      </c>
      <c r="I535" s="913">
        <f t="shared" si="207"/>
        <v>0</v>
      </c>
      <c r="J535" s="914">
        <f t="shared" si="207"/>
        <v>0</v>
      </c>
      <c r="K535" s="885">
        <f t="shared" si="207"/>
        <v>0</v>
      </c>
      <c r="L535" s="885">
        <f t="shared" si="207"/>
        <v>0</v>
      </c>
      <c r="M535" s="891">
        <f t="shared" si="207"/>
        <v>0</v>
      </c>
      <c r="N535" s="641"/>
      <c r="O535" s="641"/>
      <c r="P535" s="641"/>
      <c r="Q535" s="641"/>
      <c r="T535" s="3056">
        <v>8721</v>
      </c>
      <c r="U535" s="3063">
        <v>520228.91</v>
      </c>
    </row>
    <row r="536" spans="1:21" ht="24">
      <c r="A536" s="1648" t="str">
        <f t="shared" si="150"/>
        <v>N</v>
      </c>
      <c r="B536" s="1647">
        <f t="shared" si="151"/>
        <v>-1</v>
      </c>
      <c r="C536" s="1647" t="str">
        <f t="shared" si="149"/>
        <v>J</v>
      </c>
      <c r="D536" s="1659">
        <v>8651</v>
      </c>
      <c r="E536" s="888" t="str">
        <f t="shared" si="152"/>
        <v>一般风险准备_所有者投入资本增加权益</v>
      </c>
      <c r="F536" s="884">
        <f t="shared" ref="F536:F562" si="208">INDEX(Sheet_Presc,MATCH((RIGHT($D536,2)),Sheet_Prescrow,0),MATCH((LEFT($D536,2)),Sheet_Presccol,0))</f>
        <v>0</v>
      </c>
      <c r="G536" s="885">
        <f>SUMIF(AJE!$B:$B,$C536&amp;$D536&amp;"*",AJE!$O:$O)</f>
        <v>0</v>
      </c>
      <c r="H536" s="885">
        <f>SUMIF(AJE!$B:$B,$C536&amp;$D536&amp;"*",AJE!$P:$P)</f>
        <v>0</v>
      </c>
      <c r="I536" s="913">
        <f>(B536*F536+G536-H536)*B536</f>
        <v>0</v>
      </c>
      <c r="J536" s="914">
        <f t="shared" si="155"/>
        <v>0</v>
      </c>
      <c r="K536" s="885">
        <f>SUMIF('AJE1'!$B:$B,$C536&amp;$D536&amp;"*",'AJE1'!$O:$O)</f>
        <v>0</v>
      </c>
      <c r="L536" s="885">
        <f>SUMIF('AJE1'!$B:$B,$C536&amp;$D536&amp;"*",'AJE1'!$P:$P)</f>
        <v>0</v>
      </c>
      <c r="M536" s="891">
        <f>($B536*J536+K536-L536)*$B536</f>
        <v>0</v>
      </c>
      <c r="N536" s="641"/>
      <c r="O536" s="641"/>
      <c r="P536" s="641"/>
      <c r="Q536" s="641"/>
      <c r="T536" s="3056">
        <v>8730</v>
      </c>
      <c r="U536" s="3063"/>
    </row>
    <row r="537" spans="1:21" ht="24">
      <c r="A537" s="1648" t="str">
        <f t="shared" si="150"/>
        <v>OEI</v>
      </c>
      <c r="B537" s="1647">
        <f t="shared" si="151"/>
        <v>-1</v>
      </c>
      <c r="C537" s="1647" t="str">
        <f t="shared" si="149"/>
        <v>J</v>
      </c>
      <c r="D537" s="1659">
        <v>8653</v>
      </c>
      <c r="E537" s="888" t="str">
        <f t="shared" si="152"/>
        <v>一般风险准备_其他权益工具持有者投入资本</v>
      </c>
      <c r="F537" s="884">
        <f>INDEX(Sheet_Presc,MATCH((RIGHT($D537,2)),Sheet_Prescrow,0),MATCH((LEFT($D537,2)),Sheet_Presccol,0))</f>
        <v>0</v>
      </c>
      <c r="G537" s="885">
        <f>SUMIF(AJE!$B:$B,$C537&amp;$D537&amp;"*",AJE!$O:$O)</f>
        <v>0</v>
      </c>
      <c r="H537" s="885">
        <f>SUMIF(AJE!$B:$B,$C537&amp;$D537&amp;"*",AJE!$P:$P)</f>
        <v>0</v>
      </c>
      <c r="I537" s="913">
        <f>(B537*F537+G537-H537)*B537</f>
        <v>0</v>
      </c>
      <c r="J537" s="914">
        <f>INDEX(Sheet_Presc,MATCH((RIGHT($D537,2)),Sheet_Prescrow,0),MATCH((VALUE(LEFT($D537,2))),Sheet_Presccol,0))</f>
        <v>0</v>
      </c>
      <c r="K537" s="885">
        <f>SUMIF('AJE1'!$B:$B,$C537&amp;$D537&amp;"*",'AJE1'!$O:$O)</f>
        <v>0</v>
      </c>
      <c r="L537" s="885">
        <f>SUMIF('AJE1'!$B:$B,$C537&amp;$D537&amp;"*",'AJE1'!$P:$P)</f>
        <v>0</v>
      </c>
      <c r="M537" s="891">
        <f>($B537*J537+K537-L537)*$B537</f>
        <v>0</v>
      </c>
      <c r="N537" s="641"/>
      <c r="O537" s="641"/>
      <c r="P537" s="641"/>
      <c r="Q537" s="641"/>
      <c r="T537" s="3056">
        <v>8740</v>
      </c>
      <c r="U537" s="3063">
        <v>520228.91</v>
      </c>
    </row>
    <row r="538" spans="1:21" ht="24">
      <c r="A538" s="1648" t="str">
        <f t="shared" si="150"/>
        <v>N</v>
      </c>
      <c r="B538" s="1647">
        <f t="shared" si="151"/>
        <v>-1</v>
      </c>
      <c r="C538" s="1647" t="str">
        <f t="shared" si="149"/>
        <v>J</v>
      </c>
      <c r="D538" s="1659">
        <v>8652</v>
      </c>
      <c r="E538" s="888" t="str">
        <f t="shared" si="152"/>
        <v>一般风险准备_股份支付计入所有者权益的金额</v>
      </c>
      <c r="F538" s="884">
        <f t="shared" si="208"/>
        <v>0</v>
      </c>
      <c r="G538" s="885">
        <f>SUMIF(AJE!$B:$B,$C538&amp;$D538&amp;"*",AJE!$O:$O)</f>
        <v>0</v>
      </c>
      <c r="H538" s="885">
        <f>SUMIF(AJE!$B:$B,$C538&amp;$D538&amp;"*",AJE!$P:$P)</f>
        <v>0</v>
      </c>
      <c r="I538" s="913">
        <f>(B538*F538+G538-H538)*B538</f>
        <v>0</v>
      </c>
      <c r="J538" s="914">
        <f t="shared" si="155"/>
        <v>0</v>
      </c>
      <c r="K538" s="885">
        <f>SUMIF('AJE1'!$B:$B,$C538&amp;$D538&amp;"*",'AJE1'!$O:$O)</f>
        <v>0</v>
      </c>
      <c r="L538" s="885">
        <f>SUMIF('AJE1'!$B:$B,$C538&amp;$D538&amp;"*",'AJE1'!$P:$P)</f>
        <v>0</v>
      </c>
      <c r="M538" s="891">
        <f>($B538*J538+K538-L538)*$B538</f>
        <v>0</v>
      </c>
      <c r="N538" s="641"/>
      <c r="O538" s="641"/>
      <c r="P538" s="641"/>
      <c r="Q538" s="641"/>
      <c r="T538" s="3056">
        <v>8750</v>
      </c>
      <c r="U538" s="3063">
        <v>0</v>
      </c>
    </row>
    <row r="539" spans="1:21" ht="24">
      <c r="A539" s="1648" t="str">
        <f t="shared" si="150"/>
        <v>LOW</v>
      </c>
      <c r="B539" s="1647">
        <f t="shared" si="151"/>
        <v>-1</v>
      </c>
      <c r="C539" s="1647" t="str">
        <f t="shared" si="149"/>
        <v>J</v>
      </c>
      <c r="D539" s="1659">
        <v>8656</v>
      </c>
      <c r="E539" s="888" t="str">
        <f t="shared" si="152"/>
        <v>一般风险准备_所有者其他投入和减少资本</v>
      </c>
      <c r="F539" s="884">
        <f t="shared" si="208"/>
        <v>0</v>
      </c>
      <c r="G539" s="885">
        <f>SUMIF(AJE!$B:$B,$C539&amp;$D539&amp;"*",AJE!$O:$O)</f>
        <v>0</v>
      </c>
      <c r="H539" s="885">
        <f>SUMIF(AJE!$B:$B,$C539&amp;$D539&amp;"*",AJE!$P:$P)</f>
        <v>0</v>
      </c>
      <c r="I539" s="913">
        <f>(B539*F539+G539-H539)*B539</f>
        <v>0</v>
      </c>
      <c r="J539" s="914">
        <f t="shared" si="155"/>
        <v>0</v>
      </c>
      <c r="K539" s="885">
        <f>SUMIF('AJE1'!$B:$B,$C539&amp;$D539&amp;"*",'AJE1'!$O:$O)</f>
        <v>0</v>
      </c>
      <c r="L539" s="885">
        <f>SUMIF('AJE1'!$B:$B,$C539&amp;$D539&amp;"*",'AJE1'!$P:$P)</f>
        <v>0</v>
      </c>
      <c r="M539" s="891">
        <f>($B539*J539+K539-L539)*$B539</f>
        <v>0</v>
      </c>
      <c r="N539" s="641"/>
      <c r="O539" s="641"/>
      <c r="P539" s="641"/>
      <c r="Q539" s="641"/>
      <c r="T539" s="3056">
        <v>8751</v>
      </c>
      <c r="U539" s="3063">
        <v>0</v>
      </c>
    </row>
    <row r="540" spans="1:21" ht="18">
      <c r="A540" s="1648" t="str">
        <f t="shared" si="150"/>
        <v>＝</v>
      </c>
      <c r="B540" s="1647">
        <f t="shared" si="151"/>
        <v>0</v>
      </c>
      <c r="C540" s="1647">
        <f t="shared" si="149"/>
        <v>0</v>
      </c>
      <c r="D540" s="1659">
        <v>8660</v>
      </c>
      <c r="E540" s="888" t="str">
        <f t="shared" si="152"/>
        <v>一般风险准备_利润分配影响权益</v>
      </c>
      <c r="F540" s="884">
        <f>SUM(F541:F544)</f>
        <v>0</v>
      </c>
      <c r="G540" s="885">
        <f t="shared" ref="G540:M540" si="209">SUM(G541:G544)</f>
        <v>0</v>
      </c>
      <c r="H540" s="885">
        <f t="shared" si="209"/>
        <v>0</v>
      </c>
      <c r="I540" s="913">
        <f t="shared" si="209"/>
        <v>0</v>
      </c>
      <c r="J540" s="914">
        <f t="shared" si="209"/>
        <v>0</v>
      </c>
      <c r="K540" s="885">
        <f t="shared" si="209"/>
        <v>0</v>
      </c>
      <c r="L540" s="885">
        <f t="shared" si="209"/>
        <v>0</v>
      </c>
      <c r="M540" s="891">
        <f t="shared" si="209"/>
        <v>0</v>
      </c>
      <c r="N540" s="641"/>
      <c r="O540" s="641"/>
      <c r="P540" s="641"/>
      <c r="Q540" s="641"/>
      <c r="T540" s="3056">
        <v>8753</v>
      </c>
      <c r="U540" s="3063">
        <v>0</v>
      </c>
    </row>
    <row r="541" spans="1:21" ht="24">
      <c r="A541" s="1648" t="str">
        <f t="shared" si="150"/>
        <v>N</v>
      </c>
      <c r="B541" s="1647">
        <f t="shared" si="151"/>
        <v>-1</v>
      </c>
      <c r="C541" s="1647" t="str">
        <f t="shared" si="149"/>
        <v>J</v>
      </c>
      <c r="D541" s="1659">
        <v>8661</v>
      </c>
      <c r="E541" s="888" t="str">
        <f t="shared" si="152"/>
        <v>一般风险准备_提取盈余公积影响权益</v>
      </c>
      <c r="F541" s="884">
        <f t="shared" si="208"/>
        <v>0</v>
      </c>
      <c r="G541" s="885">
        <f>SUMIF(AJE!$B:$B,$C541&amp;$D541&amp;"*",AJE!$O:$O)</f>
        <v>0</v>
      </c>
      <c r="H541" s="885">
        <f>SUMIF(AJE!$B:$B,$C541&amp;$D541&amp;"*",AJE!$P:$P)</f>
        <v>0</v>
      </c>
      <c r="I541" s="913">
        <f>(B541*F541+G541-H541)*B541</f>
        <v>0</v>
      </c>
      <c r="J541" s="914">
        <f t="shared" si="155"/>
        <v>0</v>
      </c>
      <c r="K541" s="885">
        <f>SUMIF('AJE1'!$B:$B,$C541&amp;$D541&amp;"*",'AJE1'!$O:$O)</f>
        <v>0</v>
      </c>
      <c r="L541" s="885">
        <f>SUMIF('AJE1'!$B:$B,$C541&amp;$D541&amp;"*",'AJE1'!$P:$P)</f>
        <v>0</v>
      </c>
      <c r="M541" s="891">
        <f>($B541*J541+K541-L541)*$B541</f>
        <v>0</v>
      </c>
      <c r="N541" s="641"/>
      <c r="O541" s="641"/>
      <c r="P541" s="641"/>
      <c r="Q541" s="641"/>
      <c r="T541" s="3056">
        <v>8752</v>
      </c>
      <c r="U541" s="3063">
        <v>0</v>
      </c>
    </row>
    <row r="542" spans="1:21" ht="18">
      <c r="A542" s="1648">
        <f t="shared" si="150"/>
        <v>0</v>
      </c>
      <c r="B542" s="1647">
        <f t="shared" si="151"/>
        <v>-1</v>
      </c>
      <c r="C542" s="1647" t="str">
        <f t="shared" si="149"/>
        <v>J</v>
      </c>
      <c r="D542" s="1659">
        <v>8662</v>
      </c>
      <c r="E542" s="888" t="str">
        <f t="shared" si="152"/>
        <v>一般风险准备_提取</v>
      </c>
      <c r="F542" s="884">
        <f t="shared" si="208"/>
        <v>0</v>
      </c>
      <c r="G542" s="885">
        <f>SUMIF(AJE!$B:$B,$C542&amp;$D542&amp;"*",AJE!$O:$O)</f>
        <v>0</v>
      </c>
      <c r="H542" s="885">
        <f>SUMIF(AJE!$B:$B,$C542&amp;$D542&amp;"*",AJE!$P:$P)</f>
        <v>0</v>
      </c>
      <c r="I542" s="913">
        <f>(B542*F542+G542-H542)*B542</f>
        <v>0</v>
      </c>
      <c r="J542" s="914">
        <f t="shared" si="155"/>
        <v>0</v>
      </c>
      <c r="K542" s="885">
        <f>SUMIF('AJE1'!$B:$B,$C542&amp;$D542&amp;"*",'AJE1'!$O:$O)</f>
        <v>0</v>
      </c>
      <c r="L542" s="885">
        <f>SUMIF('AJE1'!$B:$B,$C542&amp;$D542&amp;"*",'AJE1'!$P:$P)</f>
        <v>0</v>
      </c>
      <c r="M542" s="891">
        <f>($B542*J542+K542-L542)*$B542</f>
        <v>0</v>
      </c>
      <c r="N542" s="641"/>
      <c r="O542" s="641"/>
      <c r="P542" s="641"/>
      <c r="Q542" s="641"/>
      <c r="T542" s="3056">
        <v>8756</v>
      </c>
      <c r="U542" s="3063">
        <v>0</v>
      </c>
    </row>
    <row r="543" spans="1:21" ht="24">
      <c r="A543" s="1648" t="str">
        <f t="shared" si="150"/>
        <v>N</v>
      </c>
      <c r="B543" s="1647">
        <f t="shared" si="151"/>
        <v>-1</v>
      </c>
      <c r="C543" s="1647" t="str">
        <f t="shared" si="149"/>
        <v>J</v>
      </c>
      <c r="D543" s="1659">
        <v>8663</v>
      </c>
      <c r="E543" s="888" t="str">
        <f t="shared" si="152"/>
        <v>一般风险准备_对所有者的分配影响权益</v>
      </c>
      <c r="F543" s="884">
        <f t="shared" si="208"/>
        <v>0</v>
      </c>
      <c r="G543" s="885">
        <f>SUMIF(AJE!$B:$B,$C543&amp;$D543&amp;"*",AJE!$O:$O)</f>
        <v>0</v>
      </c>
      <c r="H543" s="885">
        <f>SUMIF(AJE!$B:$B,$C543&amp;$D543&amp;"*",AJE!$P:$P)</f>
        <v>0</v>
      </c>
      <c r="I543" s="913">
        <f>(B543*F543+G543-H543)*B543</f>
        <v>0</v>
      </c>
      <c r="J543" s="914">
        <f t="shared" si="155"/>
        <v>0</v>
      </c>
      <c r="K543" s="885">
        <f>SUMIF('AJE1'!$B:$B,$C543&amp;$D543&amp;"*",'AJE1'!$O:$O)</f>
        <v>0</v>
      </c>
      <c r="L543" s="885">
        <f>SUMIF('AJE1'!$B:$B,$C543&amp;$D543&amp;"*",'AJE1'!$P:$P)</f>
        <v>0</v>
      </c>
      <c r="M543" s="891">
        <f>($B543*J543+K543-L543)*$B543</f>
        <v>0</v>
      </c>
      <c r="N543" s="641"/>
      <c r="O543" s="641"/>
      <c r="P543" s="641"/>
      <c r="Q543" s="641"/>
      <c r="T543" s="3056">
        <v>8760</v>
      </c>
      <c r="U543" s="3063">
        <v>-52022.89</v>
      </c>
    </row>
    <row r="544" spans="1:21" ht="18">
      <c r="A544" s="1648" t="str">
        <f t="shared" si="150"/>
        <v>LOW</v>
      </c>
      <c r="B544" s="1647">
        <f t="shared" si="151"/>
        <v>-1</v>
      </c>
      <c r="C544" s="1647" t="str">
        <f t="shared" ref="C544:C629" si="210">VLOOKUP($D544,Sheet_Items,9,0)</f>
        <v>J</v>
      </c>
      <c r="D544" s="1659">
        <v>8666</v>
      </c>
      <c r="E544" s="888" t="str">
        <f t="shared" si="152"/>
        <v>一般风险准备_其他利润分配</v>
      </c>
      <c r="F544" s="884">
        <f t="shared" si="208"/>
        <v>0</v>
      </c>
      <c r="G544" s="885">
        <f>SUMIF(AJE!$B:$B,$C544&amp;$D544&amp;"*",AJE!$O:$O)</f>
        <v>0</v>
      </c>
      <c r="H544" s="885">
        <f>SUMIF(AJE!$B:$B,$C544&amp;$D544&amp;"*",AJE!$P:$P)</f>
        <v>0</v>
      </c>
      <c r="I544" s="913">
        <f>(B544*F544+G544-H544)*B544</f>
        <v>0</v>
      </c>
      <c r="J544" s="914">
        <f t="shared" si="155"/>
        <v>0</v>
      </c>
      <c r="K544" s="885">
        <f>SUMIF('AJE1'!$B:$B,$C544&amp;$D544&amp;"*",'AJE1'!$O:$O)</f>
        <v>0</v>
      </c>
      <c r="L544" s="885">
        <f>SUMIF('AJE1'!$B:$B,$C544&amp;$D544&amp;"*",'AJE1'!$P:$P)</f>
        <v>0</v>
      </c>
      <c r="M544" s="891">
        <f>($B544*J544+K544-L544)*$B544</f>
        <v>0</v>
      </c>
      <c r="N544" s="641"/>
      <c r="O544" s="641"/>
      <c r="P544" s="641"/>
      <c r="Q544" s="641"/>
      <c r="T544" s="3056">
        <v>8761</v>
      </c>
      <c r="U544" s="3063">
        <v>-52022.89</v>
      </c>
    </row>
    <row r="545" spans="1:21" ht="18">
      <c r="A545" s="1648" t="str">
        <f t="shared" ref="A545:A630" si="211">VLOOKUP($D545,Sheet_Items,4,0)</f>
        <v>＝</v>
      </c>
      <c r="B545" s="1647">
        <f t="shared" ref="B545:B630" si="212">VLOOKUP($D545,Sheet_Items,3,0)</f>
        <v>0</v>
      </c>
      <c r="C545" s="1647">
        <f t="shared" si="210"/>
        <v>0</v>
      </c>
      <c r="D545" s="1659">
        <v>8670</v>
      </c>
      <c r="E545" s="888" t="str">
        <f t="shared" ref="E545:E630" si="213">VLOOKUP($D545,Sheet_Items,2,0)</f>
        <v>一般风险准备_所有者权益内部结转</v>
      </c>
      <c r="F545" s="884">
        <f>SUM(F546:F551)</f>
        <v>0</v>
      </c>
      <c r="G545" s="885">
        <f t="shared" ref="G545:M545" si="214">SUM(G546:G551)</f>
        <v>0</v>
      </c>
      <c r="H545" s="885">
        <f t="shared" si="214"/>
        <v>0</v>
      </c>
      <c r="I545" s="913">
        <f t="shared" si="214"/>
        <v>0</v>
      </c>
      <c r="J545" s="914">
        <f t="shared" si="214"/>
        <v>0</v>
      </c>
      <c r="K545" s="885">
        <f t="shared" si="214"/>
        <v>0</v>
      </c>
      <c r="L545" s="885">
        <f t="shared" si="214"/>
        <v>0</v>
      </c>
      <c r="M545" s="891">
        <f t="shared" si="214"/>
        <v>0</v>
      </c>
      <c r="N545" s="641"/>
      <c r="O545" s="641"/>
      <c r="P545" s="641"/>
      <c r="Q545" s="641"/>
      <c r="T545" s="3056">
        <v>8762</v>
      </c>
      <c r="U545" s="3063">
        <v>0</v>
      </c>
    </row>
    <row r="546" spans="1:21" ht="24">
      <c r="A546" s="1648" t="str">
        <f t="shared" si="211"/>
        <v>N</v>
      </c>
      <c r="B546" s="1647">
        <f t="shared" si="212"/>
        <v>-1</v>
      </c>
      <c r="C546" s="1647" t="str">
        <f t="shared" si="210"/>
        <v>J</v>
      </c>
      <c r="D546" s="1659">
        <v>8671</v>
      </c>
      <c r="E546" s="888" t="str">
        <f t="shared" si="213"/>
        <v>一般风险准备_资本公积转增资本影响权益</v>
      </c>
      <c r="F546" s="884">
        <f t="shared" si="208"/>
        <v>0</v>
      </c>
      <c r="G546" s="885">
        <f>SUMIF(AJE!$B:$B,$C546&amp;$D546&amp;"*",AJE!$O:$O)</f>
        <v>0</v>
      </c>
      <c r="H546" s="885">
        <f>SUMIF(AJE!$B:$B,$C546&amp;$D546&amp;"*",AJE!$P:$P)</f>
        <v>0</v>
      </c>
      <c r="I546" s="913">
        <f>(B546*F546+G546-H546)*B546</f>
        <v>0</v>
      </c>
      <c r="J546" s="914">
        <f>INDEX(Sheet_Presc,MATCH((RIGHT($D546,2)),Sheet_Prescrow,0),MATCH((VALUE(LEFT($D546,2))),Sheet_Presccol,0))</f>
        <v>0</v>
      </c>
      <c r="K546" s="885">
        <f>SUMIF('AJE1'!$B:$B,$C546&amp;$D546&amp;"*",'AJE1'!$O:$O)</f>
        <v>0</v>
      </c>
      <c r="L546" s="885">
        <f>SUMIF('AJE1'!$B:$B,$C546&amp;$D546&amp;"*",'AJE1'!$P:$P)</f>
        <v>0</v>
      </c>
      <c r="M546" s="891">
        <f>($B546*J546+K546-L546)*$B546</f>
        <v>0</v>
      </c>
      <c r="N546" s="641"/>
      <c r="O546" s="641"/>
      <c r="P546" s="641"/>
      <c r="Q546" s="641"/>
      <c r="T546" s="3056">
        <v>8763</v>
      </c>
      <c r="U546" s="3063">
        <v>0</v>
      </c>
    </row>
    <row r="547" spans="1:21" ht="24">
      <c r="A547" s="1648" t="str">
        <f t="shared" si="211"/>
        <v>N</v>
      </c>
      <c r="B547" s="1647">
        <f t="shared" si="212"/>
        <v>-1</v>
      </c>
      <c r="C547" s="1647" t="str">
        <f t="shared" si="210"/>
        <v>J</v>
      </c>
      <c r="D547" s="1659">
        <v>8672</v>
      </c>
      <c r="E547" s="888" t="str">
        <f t="shared" si="213"/>
        <v>一般风险准备_盈余公积转增资本影响权益</v>
      </c>
      <c r="F547" s="884">
        <f t="shared" si="208"/>
        <v>0</v>
      </c>
      <c r="G547" s="885">
        <f>SUMIF(AJE!$B:$B,$C547&amp;$D547&amp;"*",AJE!$O:$O)</f>
        <v>0</v>
      </c>
      <c r="H547" s="885">
        <f>SUMIF(AJE!$B:$B,$C547&amp;$D547&amp;"*",AJE!$P:$P)</f>
        <v>0</v>
      </c>
      <c r="I547" s="913">
        <f>(B547*F547+G547-H547)*B547</f>
        <v>0</v>
      </c>
      <c r="J547" s="914">
        <f>INDEX(Sheet_Presc,MATCH((RIGHT($D547,2)),Sheet_Prescrow,0),MATCH((VALUE(LEFT($D547,2))),Sheet_Presccol,0))</f>
        <v>0</v>
      </c>
      <c r="K547" s="885">
        <f>SUMIF('AJE1'!$B:$B,$C547&amp;$D547&amp;"*",'AJE1'!$O:$O)</f>
        <v>0</v>
      </c>
      <c r="L547" s="885">
        <f>SUMIF('AJE1'!$B:$B,$C547&amp;$D547&amp;"*",'AJE1'!$P:$P)</f>
        <v>0</v>
      </c>
      <c r="M547" s="891">
        <f>($B547*J547+K547-L547)*$B547</f>
        <v>0</v>
      </c>
      <c r="N547" s="641"/>
      <c r="O547" s="641"/>
      <c r="P547" s="641"/>
      <c r="Q547" s="641"/>
      <c r="T547" s="3056">
        <v>8766</v>
      </c>
      <c r="U547" s="3063">
        <v>0</v>
      </c>
    </row>
    <row r="548" spans="1:21" ht="24">
      <c r="A548" s="1648" t="str">
        <f t="shared" si="211"/>
        <v>N</v>
      </c>
      <c r="B548" s="1647">
        <f t="shared" si="212"/>
        <v>-1</v>
      </c>
      <c r="C548" s="1647" t="str">
        <f t="shared" si="210"/>
        <v>J</v>
      </c>
      <c r="D548" s="1659">
        <v>8673</v>
      </c>
      <c r="E548" s="888" t="str">
        <f t="shared" si="213"/>
        <v>一般风险准备_盈余公积弥补亏损影响权益</v>
      </c>
      <c r="F548" s="884">
        <f t="shared" si="208"/>
        <v>0</v>
      </c>
      <c r="G548" s="885">
        <f>SUMIF(AJE!$B:$B,$C548&amp;$D548&amp;"*",AJE!$O:$O)</f>
        <v>0</v>
      </c>
      <c r="H548" s="885">
        <f>SUMIF(AJE!$B:$B,$C548&amp;$D548&amp;"*",AJE!$P:$P)</f>
        <v>0</v>
      </c>
      <c r="I548" s="913">
        <f>(B548*F548+G548-H548)*B548</f>
        <v>0</v>
      </c>
      <c r="J548" s="914">
        <f>INDEX(Sheet_Presc,MATCH((RIGHT($D548,2)),Sheet_Prescrow,0),MATCH((VALUE(LEFT($D548,2))),Sheet_Presccol,0))</f>
        <v>0</v>
      </c>
      <c r="K548" s="885">
        <f>SUMIF('AJE1'!$B:$B,$C548&amp;$D548&amp;"*",'AJE1'!$O:$O)</f>
        <v>0</v>
      </c>
      <c r="L548" s="885">
        <f>SUMIF('AJE1'!$B:$B,$C548&amp;$D548&amp;"*",'AJE1'!$P:$P)</f>
        <v>0</v>
      </c>
      <c r="M548" s="891">
        <f>($B548*J548+K548-L548)*$B548</f>
        <v>0</v>
      </c>
      <c r="N548" s="641"/>
      <c r="O548" s="641"/>
      <c r="P548" s="641"/>
      <c r="Q548" s="641"/>
      <c r="T548" s="3056">
        <v>8770</v>
      </c>
      <c r="U548" s="3063">
        <v>0</v>
      </c>
    </row>
    <row r="549" spans="1:21" ht="24">
      <c r="A549" s="1648" t="str">
        <f t="shared" si="211"/>
        <v>OEI</v>
      </c>
      <c r="B549" s="1647">
        <f t="shared" si="212"/>
        <v>-1</v>
      </c>
      <c r="C549" s="1647" t="str">
        <f t="shared" si="210"/>
        <v>J</v>
      </c>
      <c r="D549" s="1659">
        <v>8675</v>
      </c>
      <c r="E549" s="888" t="str">
        <f t="shared" si="213"/>
        <v>一般风险准备_设定受益计划变动额结转留存收益</v>
      </c>
      <c r="F549" s="884">
        <f>INDEX(Sheet_Presc,MATCH((RIGHT($D549,2)),Sheet_Prescrow,0),MATCH((LEFT($D549,2)),Sheet_Presccol,0))</f>
        <v>0</v>
      </c>
      <c r="G549" s="885">
        <f>SUMIF(AJE!$B:$B,$C549&amp;$D549&amp;"*",AJE!$O:$O)</f>
        <v>0</v>
      </c>
      <c r="H549" s="885">
        <f>SUMIF(AJE!$B:$B,$C549&amp;$D549&amp;"*",AJE!$P:$P)</f>
        <v>0</v>
      </c>
      <c r="I549" s="913">
        <f>(B549*F549+G549-H549)*B549</f>
        <v>0</v>
      </c>
      <c r="J549" s="914">
        <f>INDEX(Sheet_Presc,MATCH((RIGHT($D549,2)),Sheet_Prescrow,0),MATCH((VALUE(LEFT($D549,2))),Sheet_Presccol,0))</f>
        <v>0</v>
      </c>
      <c r="K549" s="885">
        <f>SUMIF('AJE1'!$B:$B,$C549&amp;$D549&amp;"*",'AJE1'!$O:$O)</f>
        <v>0</v>
      </c>
      <c r="L549" s="885">
        <f>SUMIF('AJE1'!$B:$B,$C549&amp;$D549&amp;"*",'AJE1'!$P:$P)</f>
        <v>0</v>
      </c>
      <c r="M549" s="891">
        <f>($B549*J549+K549-L549)*$B549</f>
        <v>0</v>
      </c>
      <c r="N549" s="641"/>
      <c r="O549" s="641"/>
      <c r="P549" s="641"/>
      <c r="Q549" s="641"/>
      <c r="T549" s="3056">
        <v>8771</v>
      </c>
      <c r="U549" s="3063">
        <v>0</v>
      </c>
    </row>
    <row r="550" spans="1:21" ht="24">
      <c r="A550" s="1648" t="str">
        <f>VLOOKUP($D550,Sheet_Items,4,0)</f>
        <v>_JR</v>
      </c>
      <c r="B550" s="1647">
        <f>VLOOKUP($D550,Sheet_Items,3,0)</f>
        <v>-1</v>
      </c>
      <c r="C550" s="1647" t="str">
        <f>VLOOKUP($D550,Sheet_Items,9,0)</f>
        <v>J</v>
      </c>
      <c r="D550" s="1659">
        <v>8677</v>
      </c>
      <c r="E550" s="889" t="str">
        <f>VLOOKUP($D550,Sheet_Items,2,0)</f>
        <v>一般风险准备_其他综合收益结转留存收益</v>
      </c>
      <c r="F550" s="884">
        <f>INDEX(Sheet_Presc,MATCH((RIGHT($D550,2)),Sheet_Prescrow,0),MATCH((LEFT($D550,2)),Sheet_Presccol,0))</f>
        <v>0</v>
      </c>
      <c r="G550" s="885">
        <f>SUMIF(AJE!$B:$B,$C550&amp;$D550&amp;"*",AJE!$O:$O)</f>
        <v>0</v>
      </c>
      <c r="H550" s="885">
        <f>SUMIF(AJE!$B:$B,$C550&amp;$D550&amp;"*",AJE!$P:$P)</f>
        <v>0</v>
      </c>
      <c r="I550" s="913">
        <f>(B550*F550+G550-H550)*B550</f>
        <v>0</v>
      </c>
      <c r="J550" s="914">
        <f>INDEX(Sheet_Presc,MATCH((RIGHT($D550,2)),Sheet_Prescrow,0),MATCH((VALUE(LEFT($D550,2))),Sheet_Presccol,0))</f>
        <v>0</v>
      </c>
      <c r="K550" s="885">
        <f>SUMIF('AJE1'!$B:$B,$C550&amp;$D550&amp;"*",'AJE1'!$O:$O)</f>
        <v>0</v>
      </c>
      <c r="L550" s="885">
        <f>SUMIF('AJE1'!$B:$B,$C550&amp;$D550&amp;"*",'AJE1'!$P:$P)</f>
        <v>0</v>
      </c>
      <c r="M550" s="891">
        <f>($B550*J550+K550-L550)*$B550</f>
        <v>0</v>
      </c>
      <c r="N550" s="641"/>
      <c r="O550" s="641"/>
      <c r="P550" s="641"/>
      <c r="Q550" s="641"/>
      <c r="T550" s="3056">
        <v>8772</v>
      </c>
      <c r="U550" s="3063">
        <v>0</v>
      </c>
    </row>
    <row r="551" spans="1:21" ht="24">
      <c r="A551" s="1648">
        <f t="shared" si="211"/>
        <v>0</v>
      </c>
      <c r="B551" s="1647">
        <f t="shared" si="212"/>
        <v>-1</v>
      </c>
      <c r="C551" s="1647" t="str">
        <f t="shared" si="210"/>
        <v>J</v>
      </c>
      <c r="D551" s="1659">
        <v>8676</v>
      </c>
      <c r="E551" s="888" t="str">
        <f t="shared" si="213"/>
        <v>一般风险准备_所有者权益其他内部结转</v>
      </c>
      <c r="F551" s="884">
        <f t="shared" si="208"/>
        <v>0</v>
      </c>
      <c r="G551" s="885">
        <f>SUMIF(AJE!$B:$B,$C551&amp;$D551&amp;"*",AJE!$O:$O)</f>
        <v>0</v>
      </c>
      <c r="H551" s="885">
        <f>SUMIF(AJE!$B:$B,$C551&amp;$D551&amp;"*",AJE!$P:$P)</f>
        <v>0</v>
      </c>
      <c r="I551" s="913">
        <f t="shared" ref="I551:I633" si="215">(B551*F551+G551-H551)*B551</f>
        <v>0</v>
      </c>
      <c r="J551" s="914">
        <f t="shared" ref="J551:J631" si="216">INDEX(Sheet_Presc,MATCH((RIGHT($D551,2)),Sheet_Prescrow,0),MATCH((VALUE(LEFT($D551,2))),Sheet_Presccol,0))</f>
        <v>0</v>
      </c>
      <c r="K551" s="885">
        <f>SUMIF('AJE1'!$B:$B,$C551&amp;$D551&amp;"*",'AJE1'!$O:$O)</f>
        <v>0</v>
      </c>
      <c r="L551" s="885">
        <f>SUMIF('AJE1'!$B:$B,$C551&amp;$D551&amp;"*",'AJE1'!$P:$P)</f>
        <v>0</v>
      </c>
      <c r="M551" s="891">
        <f t="shared" ref="M551:M633" si="217">($B551*J551+K551-L551)*$B551</f>
        <v>0</v>
      </c>
      <c r="N551" s="641"/>
      <c r="O551" s="641"/>
      <c r="P551" s="641"/>
      <c r="Q551" s="641"/>
      <c r="T551" s="3056">
        <v>8773</v>
      </c>
      <c r="U551" s="3063">
        <v>0</v>
      </c>
    </row>
    <row r="552" spans="1:21" ht="18">
      <c r="A552" s="1648" t="str">
        <f t="shared" si="211"/>
        <v>＝</v>
      </c>
      <c r="B552" s="1647">
        <f t="shared" si="212"/>
        <v>0</v>
      </c>
      <c r="C552" s="1647">
        <f t="shared" si="210"/>
        <v>0</v>
      </c>
      <c r="D552" s="1659">
        <v>8680</v>
      </c>
      <c r="E552" s="888" t="str">
        <f t="shared" si="213"/>
        <v>一般风险准备_专项储备影响权益</v>
      </c>
      <c r="F552" s="884">
        <f>SUM(F553:F554)</f>
        <v>0</v>
      </c>
      <c r="G552" s="885">
        <f t="shared" ref="G552:M552" si="218">SUM(G553:G554)</f>
        <v>0</v>
      </c>
      <c r="H552" s="885">
        <f t="shared" si="218"/>
        <v>0</v>
      </c>
      <c r="I552" s="913">
        <f t="shared" si="218"/>
        <v>0</v>
      </c>
      <c r="J552" s="914">
        <f t="shared" si="218"/>
        <v>0</v>
      </c>
      <c r="K552" s="885">
        <f t="shared" si="218"/>
        <v>0</v>
      </c>
      <c r="L552" s="885">
        <f t="shared" si="218"/>
        <v>0</v>
      </c>
      <c r="M552" s="891">
        <f t="shared" si="218"/>
        <v>0</v>
      </c>
      <c r="N552" s="641"/>
      <c r="O552" s="641"/>
      <c r="P552" s="641"/>
      <c r="Q552" s="641"/>
      <c r="T552" s="3056">
        <v>8775</v>
      </c>
      <c r="U552" s="3063">
        <v>0</v>
      </c>
    </row>
    <row r="553" spans="1:21" ht="18">
      <c r="A553" s="1648" t="str">
        <f t="shared" si="211"/>
        <v>N</v>
      </c>
      <c r="B553" s="1647">
        <f t="shared" si="212"/>
        <v>-1</v>
      </c>
      <c r="C553" s="1647" t="str">
        <f t="shared" si="210"/>
        <v>J</v>
      </c>
      <c r="D553" s="1659">
        <v>8681</v>
      </c>
      <c r="E553" s="888" t="str">
        <f t="shared" si="213"/>
        <v>一般风险准备_专项储备本期提取</v>
      </c>
      <c r="F553" s="884">
        <f t="shared" si="208"/>
        <v>0</v>
      </c>
      <c r="G553" s="885">
        <f>SUMIF(AJE!$B:$B,$C553&amp;$D553&amp;"*",AJE!$O:$O)</f>
        <v>0</v>
      </c>
      <c r="H553" s="885">
        <f>SUMIF(AJE!$B:$B,$C553&amp;$D553&amp;"*",AJE!$P:$P)</f>
        <v>0</v>
      </c>
      <c r="I553" s="913">
        <f>(B553*F553+G553-H553)*B553</f>
        <v>0</v>
      </c>
      <c r="J553" s="914">
        <f>INDEX(Sheet_Presc,MATCH((RIGHT($D553,2)),Sheet_Prescrow,0),MATCH((VALUE(LEFT($D553,2))),Sheet_Presccol,0))</f>
        <v>0</v>
      </c>
      <c r="K553" s="885">
        <f>SUMIF('AJE1'!$B:$B,$C553&amp;$D553&amp;"*",'AJE1'!$O:$O)</f>
        <v>0</v>
      </c>
      <c r="L553" s="885">
        <f>SUMIF('AJE1'!$B:$B,$C553&amp;$D553&amp;"*",'AJE1'!$P:$P)</f>
        <v>0</v>
      </c>
      <c r="M553" s="891">
        <f>($B553*J553+K553-L553)*$B553</f>
        <v>0</v>
      </c>
      <c r="N553" s="641"/>
      <c r="O553" s="641"/>
      <c r="P553" s="641"/>
      <c r="Q553" s="641"/>
      <c r="T553" s="3056">
        <v>8776</v>
      </c>
      <c r="U553" s="3063">
        <v>0</v>
      </c>
    </row>
    <row r="554" spans="1:21" ht="18">
      <c r="A554" s="1648" t="str">
        <f t="shared" si="211"/>
        <v>N</v>
      </c>
      <c r="B554" s="1647">
        <f t="shared" si="212"/>
        <v>-1</v>
      </c>
      <c r="C554" s="1647" t="str">
        <f t="shared" si="210"/>
        <v>J</v>
      </c>
      <c r="D554" s="1659">
        <v>8682</v>
      </c>
      <c r="E554" s="888" t="str">
        <f t="shared" si="213"/>
        <v>一般风险准备_专项储备本期使用</v>
      </c>
      <c r="F554" s="884">
        <f t="shared" si="208"/>
        <v>0</v>
      </c>
      <c r="G554" s="885">
        <f>SUMIF(AJE!$B:$B,$C554&amp;$D554&amp;"*",AJE!$O:$O)</f>
        <v>0</v>
      </c>
      <c r="H554" s="885">
        <f>SUMIF(AJE!$B:$B,$C554&amp;$D554&amp;"*",AJE!$P:$P)</f>
        <v>0</v>
      </c>
      <c r="I554" s="913">
        <f>(B554*F554+G554-H554)*B554</f>
        <v>0</v>
      </c>
      <c r="J554" s="914">
        <f>INDEX(Sheet_Presc,MATCH((RIGHT($D554,2)),Sheet_Prescrow,0),MATCH((VALUE(LEFT($D554,2))),Sheet_Presccol,0))</f>
        <v>0</v>
      </c>
      <c r="K554" s="885">
        <f>SUMIF('AJE1'!$B:$B,$C554&amp;$D554&amp;"*",'AJE1'!$O:$O)</f>
        <v>0</v>
      </c>
      <c r="L554" s="885">
        <f>SUMIF('AJE1'!$B:$B,$C554&amp;$D554&amp;"*",'AJE1'!$P:$P)</f>
        <v>0</v>
      </c>
      <c r="M554" s="891">
        <f>($B554*J554+K554-L554)*$B554</f>
        <v>0</v>
      </c>
      <c r="N554" s="641"/>
      <c r="O554" s="641"/>
      <c r="P554" s="641"/>
      <c r="Q554" s="641"/>
      <c r="T554" s="3056">
        <v>8780</v>
      </c>
      <c r="U554" s="3063">
        <v>0</v>
      </c>
    </row>
    <row r="555" spans="1:21" ht="18">
      <c r="A555" s="1648" t="str">
        <f t="shared" si="211"/>
        <v>LOW</v>
      </c>
      <c r="B555" s="1647">
        <f t="shared" si="212"/>
        <v>-1</v>
      </c>
      <c r="C555" s="1647" t="str">
        <f t="shared" si="210"/>
        <v>J</v>
      </c>
      <c r="D555" s="1659">
        <v>8696</v>
      </c>
      <c r="E555" s="888" t="str">
        <f t="shared" si="213"/>
        <v>一般风险准备_本期其他增减变动</v>
      </c>
      <c r="F555" s="884">
        <f t="shared" si="208"/>
        <v>0</v>
      </c>
      <c r="G555" s="885">
        <f>SUMIF(AJE!$B:$B,$C555&amp;$D555&amp;"*",AJE!$O:$O)</f>
        <v>0</v>
      </c>
      <c r="H555" s="885">
        <f>SUMIF(AJE!$B:$B,$C555&amp;$D555&amp;"*",AJE!$P:$P)</f>
        <v>0</v>
      </c>
      <c r="I555" s="913">
        <f t="shared" si="215"/>
        <v>0</v>
      </c>
      <c r="J555" s="914">
        <f t="shared" si="216"/>
        <v>0</v>
      </c>
      <c r="K555" s="885">
        <f>SUMIF('AJE1'!$B:$B,$C555&amp;$D555&amp;"*",'AJE1'!$O:$O)</f>
        <v>0</v>
      </c>
      <c r="L555" s="885">
        <f>SUMIF('AJE1'!$B:$B,$C555&amp;$D555&amp;"*",'AJE1'!$P:$P)</f>
        <v>0</v>
      </c>
      <c r="M555" s="891">
        <f t="shared" si="217"/>
        <v>0</v>
      </c>
      <c r="N555" s="641"/>
      <c r="O555" s="641"/>
      <c r="P555" s="641"/>
      <c r="Q555" s="641"/>
      <c r="T555" s="3056">
        <v>8781</v>
      </c>
      <c r="U555" s="3063">
        <v>0</v>
      </c>
    </row>
    <row r="556" spans="1:21" ht="18">
      <c r="A556" s="1648" t="str">
        <f t="shared" si="211"/>
        <v>＝</v>
      </c>
      <c r="B556" s="1647">
        <f t="shared" si="212"/>
        <v>0</v>
      </c>
      <c r="C556" s="1647">
        <f t="shared" si="210"/>
        <v>0</v>
      </c>
      <c r="D556" s="1659">
        <v>8699</v>
      </c>
      <c r="E556" s="888" t="str">
        <f t="shared" si="213"/>
        <v>一般风险准备_本期期末余额</v>
      </c>
      <c r="F556" s="884">
        <f t="shared" ref="F556:M556" si="219">SUM(F530,F531)</f>
        <v>0</v>
      </c>
      <c r="G556" s="885">
        <f t="shared" si="219"/>
        <v>0</v>
      </c>
      <c r="H556" s="885">
        <f t="shared" si="219"/>
        <v>0</v>
      </c>
      <c r="I556" s="913">
        <f t="shared" si="219"/>
        <v>0</v>
      </c>
      <c r="J556" s="914">
        <f t="shared" si="219"/>
        <v>0</v>
      </c>
      <c r="K556" s="885">
        <f t="shared" si="219"/>
        <v>0</v>
      </c>
      <c r="L556" s="885">
        <f t="shared" si="219"/>
        <v>0</v>
      </c>
      <c r="M556" s="891">
        <f t="shared" si="219"/>
        <v>0</v>
      </c>
      <c r="N556" s="641"/>
      <c r="O556" s="641"/>
      <c r="P556" s="641"/>
      <c r="Q556" s="641"/>
      <c r="T556" s="3056">
        <v>8782</v>
      </c>
      <c r="U556" s="3063">
        <v>0</v>
      </c>
    </row>
    <row r="557" spans="1:21" ht="18">
      <c r="A557" s="1648" t="str">
        <f t="shared" si="211"/>
        <v>：</v>
      </c>
      <c r="B557" s="1647">
        <f t="shared" si="212"/>
        <v>0</v>
      </c>
      <c r="C557" s="1647">
        <f t="shared" si="210"/>
        <v>0</v>
      </c>
      <c r="D557" s="2186">
        <v>8700</v>
      </c>
      <c r="E557" s="2187" t="str">
        <f t="shared" si="213"/>
        <v>未分配利润增减变动</v>
      </c>
      <c r="F557" s="884"/>
      <c r="G557" s="885"/>
      <c r="H557" s="885"/>
      <c r="I557" s="913"/>
      <c r="J557" s="914"/>
      <c r="K557" s="885"/>
      <c r="L557" s="885"/>
      <c r="M557" s="891"/>
      <c r="N557" s="641"/>
      <c r="O557" s="641"/>
      <c r="P557" s="641"/>
      <c r="Q557" s="641"/>
      <c r="T557" s="3056">
        <v>8796</v>
      </c>
      <c r="U557" s="3063">
        <v>0</v>
      </c>
    </row>
    <row r="558" spans="1:21" ht="18">
      <c r="A558" s="1648">
        <f t="shared" si="211"/>
        <v>0</v>
      </c>
      <c r="B558" s="1647">
        <f t="shared" si="212"/>
        <v>-1</v>
      </c>
      <c r="C558" s="1647" t="str">
        <f t="shared" si="210"/>
        <v>J</v>
      </c>
      <c r="D558" s="1659">
        <v>8701</v>
      </c>
      <c r="E558" s="888" t="str">
        <f t="shared" si="213"/>
        <v>未分配利润_上年年末余额</v>
      </c>
      <c r="F558" s="884">
        <f t="shared" si="208"/>
        <v>13291633.890000001</v>
      </c>
      <c r="G558" s="885">
        <f>SUMIF(AJE!$B:$B,$C558&amp;$D558&amp;"*",AJE!$O:$O)</f>
        <v>0</v>
      </c>
      <c r="H558" s="885">
        <f>SUMIF(AJE!$B:$B,$C558&amp;$D558&amp;"*",AJE!$P:$P)</f>
        <v>0</v>
      </c>
      <c r="I558" s="913">
        <f t="shared" si="215"/>
        <v>13291633.890000001</v>
      </c>
      <c r="J558" s="914">
        <f t="shared" si="216"/>
        <v>12823427.869999999</v>
      </c>
      <c r="K558" s="885">
        <f>SUMIF('AJE1'!$B:$B,$C558&amp;$D558&amp;"*",'AJE1'!$O:$O)</f>
        <v>0</v>
      </c>
      <c r="L558" s="885">
        <f>SUMIF('AJE1'!$B:$B,$C558&amp;$D558&amp;"*",'AJE1'!$P:$P)</f>
        <v>0</v>
      </c>
      <c r="M558" s="891">
        <f t="shared" si="217"/>
        <v>12823427.869999999</v>
      </c>
      <c r="N558" s="641"/>
      <c r="O558" s="641"/>
      <c r="P558" s="641"/>
      <c r="Q558" s="641"/>
      <c r="T558" s="3056">
        <v>8799</v>
      </c>
      <c r="U558" s="3063">
        <v>13291633.890000001</v>
      </c>
    </row>
    <row r="559" spans="1:21" ht="24">
      <c r="A559" s="1648">
        <f t="shared" si="211"/>
        <v>0</v>
      </c>
      <c r="B559" s="1647">
        <f t="shared" si="212"/>
        <v>-1</v>
      </c>
      <c r="C559" s="1647" t="str">
        <f t="shared" si="210"/>
        <v>J</v>
      </c>
      <c r="D559" s="1659">
        <v>8702</v>
      </c>
      <c r="E559" s="888" t="str">
        <f t="shared" si="213"/>
        <v>未分配利润_会计政策变更调整上年年末余额</v>
      </c>
      <c r="F559" s="884">
        <f t="shared" si="208"/>
        <v>0</v>
      </c>
      <c r="G559" s="885">
        <f>SUMIF(AJE!$B:$B,$C559&amp;$D559&amp;"*",AJE!$O:$O)</f>
        <v>257562.14</v>
      </c>
      <c r="H559" s="885">
        <f>SUMIF(AJE!$B:$B,$C559&amp;$D559&amp;"*",AJE!$P:$P)</f>
        <v>0</v>
      </c>
      <c r="I559" s="913">
        <f t="shared" si="215"/>
        <v>-257562.14</v>
      </c>
      <c r="J559" s="914">
        <f t="shared" si="216"/>
        <v>0</v>
      </c>
      <c r="K559" s="885">
        <f>SUMIF('AJE1'!$B:$B,$C559&amp;$D559&amp;"*",'AJE1'!$O:$O)</f>
        <v>0</v>
      </c>
      <c r="L559" s="885">
        <f>SUMIF('AJE1'!$B:$B,$C559&amp;$D559&amp;"*",'AJE1'!$P:$P)</f>
        <v>0</v>
      </c>
      <c r="M559" s="891">
        <f t="shared" si="217"/>
        <v>0</v>
      </c>
      <c r="N559" s="641"/>
      <c r="O559" s="641"/>
      <c r="P559" s="641"/>
      <c r="Q559" s="641"/>
      <c r="T559" s="3056">
        <v>8800</v>
      </c>
      <c r="U559" s="3063">
        <v>0</v>
      </c>
    </row>
    <row r="560" spans="1:21" ht="24">
      <c r="A560" s="1648">
        <f t="shared" si="211"/>
        <v>0</v>
      </c>
      <c r="B560" s="1647">
        <f t="shared" si="212"/>
        <v>-1</v>
      </c>
      <c r="C560" s="1647" t="str">
        <f t="shared" si="210"/>
        <v>J</v>
      </c>
      <c r="D560" s="1659">
        <v>8703</v>
      </c>
      <c r="E560" s="888" t="str">
        <f t="shared" si="213"/>
        <v>未分配利润_前期差错更正调整上年年末余额</v>
      </c>
      <c r="F560" s="884">
        <f t="shared" si="208"/>
        <v>0</v>
      </c>
      <c r="G560" s="885">
        <f>SUMIF(AJE!$B:$B,$C560&amp;$D560&amp;"*",AJE!$O:$O)</f>
        <v>0</v>
      </c>
      <c r="H560" s="885">
        <f>SUMIF(AJE!$B:$B,$C560&amp;$D560&amp;"*",AJE!$P:$P)</f>
        <v>0</v>
      </c>
      <c r="I560" s="913">
        <f t="shared" si="215"/>
        <v>0</v>
      </c>
      <c r="J560" s="914">
        <f t="shared" si="216"/>
        <v>0</v>
      </c>
      <c r="K560" s="885">
        <f>SUMIF('AJE1'!$B:$B,$C560&amp;$D560&amp;"*",'AJE1'!$O:$O)</f>
        <v>0</v>
      </c>
      <c r="L560" s="885">
        <f>SUMIF('AJE1'!$B:$B,$C560&amp;$D560&amp;"*",'AJE1'!$P:$P)</f>
        <v>0</v>
      </c>
      <c r="M560" s="891">
        <f t="shared" si="217"/>
        <v>0</v>
      </c>
      <c r="N560" s="641"/>
      <c r="O560" s="641"/>
      <c r="P560" s="641"/>
      <c r="Q560" s="641"/>
      <c r="T560" s="3056">
        <v>8801</v>
      </c>
      <c r="U560" s="3063">
        <v>0</v>
      </c>
    </row>
    <row r="561" spans="1:21" ht="24">
      <c r="A561" s="1648" t="str">
        <f t="shared" si="211"/>
        <v>※</v>
      </c>
      <c r="B561" s="1647">
        <f t="shared" si="212"/>
        <v>-1</v>
      </c>
      <c r="C561" s="1647" t="str">
        <f t="shared" si="210"/>
        <v>J</v>
      </c>
      <c r="D561" s="1659">
        <v>8704</v>
      </c>
      <c r="E561" s="888" t="str">
        <f t="shared" si="213"/>
        <v>未分配利润_同一控制下企业合并调整上年年末余额</v>
      </c>
      <c r="F561" s="884">
        <f>INDEX(Sheet_Presc,MATCH((RIGHT($D561,2)),Sheet_Prescrow,0),MATCH((LEFT($D561,2)),Sheet_Presccol,0))</f>
        <v>0</v>
      </c>
      <c r="G561" s="885">
        <f>SUMIF(AJE!$B:$B,$C561&amp;$D561&amp;"*",AJE!$O:$O)</f>
        <v>0</v>
      </c>
      <c r="H561" s="885">
        <f>SUMIF(AJE!$B:$B,$C561&amp;$D561&amp;"*",AJE!$P:$P)</f>
        <v>0</v>
      </c>
      <c r="I561" s="913">
        <f t="shared" si="215"/>
        <v>0</v>
      </c>
      <c r="J561" s="914">
        <f>INDEX(Sheet_Presc,MATCH((RIGHT($D561,2)),Sheet_Prescrow,0),MATCH((VALUE(LEFT($D561,2))),Sheet_Presccol,0))</f>
        <v>0</v>
      </c>
      <c r="K561" s="885">
        <f>SUMIF('AJE1'!$B:$B,$C561&amp;$D561&amp;"*",'AJE1'!$O:$O)</f>
        <v>0</v>
      </c>
      <c r="L561" s="885">
        <f>SUMIF('AJE1'!$B:$B,$C561&amp;$D561&amp;"*",'AJE1'!$P:$P)</f>
        <v>0</v>
      </c>
      <c r="M561" s="891">
        <f t="shared" si="217"/>
        <v>0</v>
      </c>
      <c r="N561" s="641"/>
      <c r="O561" s="641"/>
      <c r="P561" s="641"/>
      <c r="Q561" s="641"/>
      <c r="T561" s="3056">
        <v>8802</v>
      </c>
      <c r="U561" s="3063">
        <v>0</v>
      </c>
    </row>
    <row r="562" spans="1:21" ht="24">
      <c r="A562" s="1648">
        <f t="shared" si="211"/>
        <v>0</v>
      </c>
      <c r="B562" s="1647">
        <f t="shared" si="212"/>
        <v>-1</v>
      </c>
      <c r="C562" s="1647" t="str">
        <f t="shared" si="210"/>
        <v>J</v>
      </c>
      <c r="D562" s="1659">
        <v>8709</v>
      </c>
      <c r="E562" s="888" t="str">
        <f t="shared" si="213"/>
        <v>未分配利润_其他原因调整上年年末余额</v>
      </c>
      <c r="F562" s="884">
        <f t="shared" si="208"/>
        <v>0</v>
      </c>
      <c r="G562" s="885">
        <f>SUMIF(AJE!$B:$B,$C562&amp;$D562&amp;"*",AJE!$O:$O)</f>
        <v>0</v>
      </c>
      <c r="H562" s="885">
        <f>SUMIF(AJE!$B:$B,$C562&amp;$D562&amp;"*",AJE!$P:$P)</f>
        <v>0</v>
      </c>
      <c r="I562" s="913">
        <f t="shared" si="215"/>
        <v>0</v>
      </c>
      <c r="J562" s="914">
        <f t="shared" si="216"/>
        <v>0</v>
      </c>
      <c r="K562" s="885">
        <f>SUMIF('AJE1'!$B:$B,$C562&amp;$D562&amp;"*",'AJE1'!$O:$O)</f>
        <v>0</v>
      </c>
      <c r="L562" s="885">
        <f>SUMIF('AJE1'!$B:$B,$C562&amp;$D562&amp;"*",'AJE1'!$P:$P)</f>
        <v>0</v>
      </c>
      <c r="M562" s="891">
        <f t="shared" si="217"/>
        <v>0</v>
      </c>
      <c r="N562" s="641"/>
      <c r="O562" s="641"/>
      <c r="P562" s="641"/>
      <c r="Q562" s="641"/>
      <c r="T562" s="3056">
        <v>8803</v>
      </c>
      <c r="U562" s="3063">
        <v>0</v>
      </c>
    </row>
    <row r="563" spans="1:21" ht="18">
      <c r="A563" s="1648" t="str">
        <f t="shared" si="211"/>
        <v>＝</v>
      </c>
      <c r="B563" s="1647">
        <f t="shared" si="212"/>
        <v>0</v>
      </c>
      <c r="C563" s="1647">
        <f t="shared" si="210"/>
        <v>0</v>
      </c>
      <c r="D563" s="1659">
        <v>8710</v>
      </c>
      <c r="E563" s="888" t="str">
        <f t="shared" si="213"/>
        <v>未分配利润_本年年初余额</v>
      </c>
      <c r="F563" s="884">
        <f t="shared" ref="F563:M563" si="220">SUM(F558:F562)</f>
        <v>13291633.890000001</v>
      </c>
      <c r="G563" s="885">
        <f t="shared" si="220"/>
        <v>257562.14</v>
      </c>
      <c r="H563" s="885">
        <f t="shared" si="220"/>
        <v>0</v>
      </c>
      <c r="I563" s="913">
        <f t="shared" si="220"/>
        <v>13034071.75</v>
      </c>
      <c r="J563" s="914">
        <f t="shared" si="220"/>
        <v>12823427.869999999</v>
      </c>
      <c r="K563" s="885">
        <f t="shared" si="220"/>
        <v>0</v>
      </c>
      <c r="L563" s="885">
        <f t="shared" si="220"/>
        <v>0</v>
      </c>
      <c r="M563" s="891">
        <f t="shared" si="220"/>
        <v>12823427.869999999</v>
      </c>
      <c r="N563" s="641"/>
      <c r="O563" s="641"/>
      <c r="P563" s="641"/>
      <c r="Q563" s="641"/>
      <c r="T563" s="3056">
        <v>8804</v>
      </c>
      <c r="U563" s="3063">
        <v>0</v>
      </c>
    </row>
    <row r="564" spans="1:21" ht="18">
      <c r="A564" s="1648" t="str">
        <f t="shared" si="211"/>
        <v>＝</v>
      </c>
      <c r="B564" s="1647">
        <f t="shared" si="212"/>
        <v>0</v>
      </c>
      <c r="C564" s="1647">
        <f t="shared" si="210"/>
        <v>0</v>
      </c>
      <c r="D564" s="1659">
        <v>8790</v>
      </c>
      <c r="E564" s="888" t="str">
        <f t="shared" si="213"/>
        <v>未分配利润_本期增减变动金额</v>
      </c>
      <c r="F564" s="884">
        <f>SUM(F567,F568,F573,F578,F585,F588)</f>
        <v>-10391682.43</v>
      </c>
      <c r="G564" s="885">
        <f t="shared" ref="G564:M564" si="221">SUM(G567,G568,G573,G578,G585,G588)</f>
        <v>4669997.28</v>
      </c>
      <c r="H564" s="885">
        <f t="shared" si="221"/>
        <v>1239624.98</v>
      </c>
      <c r="I564" s="913">
        <f t="shared" si="221"/>
        <v>-13822054.73</v>
      </c>
      <c r="J564" s="914">
        <f t="shared" si="221"/>
        <v>468206.02</v>
      </c>
      <c r="K564" s="885">
        <f t="shared" si="221"/>
        <v>0</v>
      </c>
      <c r="L564" s="885">
        <f t="shared" si="221"/>
        <v>0</v>
      </c>
      <c r="M564" s="891">
        <f t="shared" si="221"/>
        <v>468206.02</v>
      </c>
      <c r="N564" s="641"/>
      <c r="O564" s="641"/>
      <c r="P564" s="641"/>
      <c r="Q564" s="641"/>
      <c r="T564" s="3056">
        <v>8809</v>
      </c>
      <c r="U564" s="3063">
        <v>0</v>
      </c>
    </row>
    <row r="565" spans="1:21" ht="18">
      <c r="A565" s="1648">
        <f t="shared" si="211"/>
        <v>0</v>
      </c>
      <c r="B565" s="1647">
        <f t="shared" si="212"/>
        <v>-1</v>
      </c>
      <c r="C565" s="1647">
        <f t="shared" si="210"/>
        <v>0</v>
      </c>
      <c r="D565" s="1659">
        <v>8721</v>
      </c>
      <c r="E565" s="888" t="str">
        <f t="shared" si="213"/>
        <v>未分配利润_净利润增加权益</v>
      </c>
      <c r="F565" s="884">
        <f t="shared" ref="F565:F595" si="222">INDEX(Sheet_Presc,MATCH((RIGHT($D565,2)),Sheet_Prescrow,0),MATCH((LEFT($D565,2)),Sheet_Presccol,0))</f>
        <v>80463.97</v>
      </c>
      <c r="G565" s="885">
        <f>SUM(VLOOKUP(6799,Sheet_Trialbal,4,0))</f>
        <v>4669997.28</v>
      </c>
      <c r="H565" s="885">
        <f>SUM(VLOOKUP(6799,Sheet_Trialbal,5,0))</f>
        <v>1239624.98</v>
      </c>
      <c r="I565" s="913">
        <f t="shared" si="215"/>
        <v>-3349908.33</v>
      </c>
      <c r="J565" s="914">
        <f t="shared" si="216"/>
        <v>520228.91</v>
      </c>
      <c r="K565" s="885">
        <f>SUM(VLOOKUP(6799,Sheet_Trialbal,8,0))</f>
        <v>0</v>
      </c>
      <c r="L565" s="885">
        <f>SUM(VLOOKUP(6799,Sheet_Trialbal,9,0))</f>
        <v>0</v>
      </c>
      <c r="M565" s="891">
        <f t="shared" si="217"/>
        <v>520228.91</v>
      </c>
      <c r="N565" s="641"/>
      <c r="O565" s="641"/>
      <c r="P565" s="641"/>
      <c r="Q565" s="641"/>
      <c r="T565" s="3056">
        <v>8810</v>
      </c>
      <c r="U565" s="3063">
        <v>0</v>
      </c>
    </row>
    <row r="566" spans="1:21" ht="18">
      <c r="A566" s="1648" t="str">
        <f t="shared" si="211"/>
        <v>N</v>
      </c>
      <c r="B566" s="1647">
        <f t="shared" si="212"/>
        <v>-1</v>
      </c>
      <c r="C566" s="1647">
        <f t="shared" si="210"/>
        <v>0</v>
      </c>
      <c r="D566" s="1659">
        <v>8730</v>
      </c>
      <c r="E566" s="888" t="str">
        <f t="shared" si="213"/>
        <v>未分配利润_其他综合收益增加权益</v>
      </c>
      <c r="F566" s="884"/>
      <c r="G566" s="885"/>
      <c r="H566" s="885"/>
      <c r="I566" s="913"/>
      <c r="J566" s="914"/>
      <c r="K566" s="885"/>
      <c r="L566" s="885"/>
      <c r="M566" s="891"/>
      <c r="N566" s="641"/>
      <c r="O566" s="641"/>
      <c r="P566" s="641"/>
      <c r="Q566" s="641"/>
      <c r="T566" s="3056">
        <v>8890</v>
      </c>
      <c r="U566" s="3063">
        <v>0</v>
      </c>
    </row>
    <row r="567" spans="1:21" ht="18">
      <c r="A567" s="1648">
        <f t="shared" si="211"/>
        <v>0</v>
      </c>
      <c r="B567" s="1647">
        <f t="shared" si="212"/>
        <v>-1</v>
      </c>
      <c r="C567" s="1647">
        <f t="shared" si="210"/>
        <v>0</v>
      </c>
      <c r="D567" s="1659">
        <v>8740</v>
      </c>
      <c r="E567" s="888" t="str">
        <f t="shared" si="213"/>
        <v>未分配利润_综合收益总额增加权益</v>
      </c>
      <c r="F567" s="884">
        <f>INDEX(Sheet_Presc,MATCH((RIGHT($D567,2)),Sheet_Prescrow,0),MATCH((LEFT($D567,2)),Sheet_Presccol,0))</f>
        <v>80463.97</v>
      </c>
      <c r="G567" s="885">
        <f>SUM(VLOOKUP(6799,Sheet_Trialbal,4,0))</f>
        <v>4669997.28</v>
      </c>
      <c r="H567" s="885">
        <f>SUM(VLOOKUP(6799,Sheet_Trialbal,5,0))</f>
        <v>1239624.98</v>
      </c>
      <c r="I567" s="913">
        <f>(B567*F567+G567-H567)*B567</f>
        <v>-3349908.33</v>
      </c>
      <c r="J567" s="914">
        <f>INDEX(Sheet_Presc,MATCH((RIGHT($D567,2)),Sheet_Prescrow,0),MATCH((VALUE(LEFT($D567,2))),Sheet_Presccol,0))</f>
        <v>520228.91</v>
      </c>
      <c r="K567" s="885">
        <f>SUM(VLOOKUP(6799,Sheet_Trialbal,8,0))</f>
        <v>0</v>
      </c>
      <c r="L567" s="885">
        <f>SUM(VLOOKUP(6799,Sheet_Trialbal,9,0))</f>
        <v>0</v>
      </c>
      <c r="M567" s="891">
        <f>($B567*J567+K567-L567)*$B567</f>
        <v>520228.91</v>
      </c>
      <c r="N567" s="641"/>
      <c r="O567" s="641"/>
      <c r="P567" s="641"/>
      <c r="Q567" s="641"/>
      <c r="T567" s="3056">
        <v>8821</v>
      </c>
      <c r="U567" s="3063">
        <v>0</v>
      </c>
    </row>
    <row r="568" spans="1:21" ht="24">
      <c r="A568" s="1648" t="str">
        <f t="shared" si="211"/>
        <v>＝</v>
      </c>
      <c r="B568" s="1647">
        <f t="shared" si="212"/>
        <v>0</v>
      </c>
      <c r="C568" s="1647">
        <f t="shared" si="210"/>
        <v>0</v>
      </c>
      <c r="D568" s="1659">
        <v>8750</v>
      </c>
      <c r="E568" s="888" t="str">
        <f t="shared" si="213"/>
        <v>未分配利润_所有者投入和减少资本影响权益</v>
      </c>
      <c r="F568" s="884">
        <f t="shared" ref="F568:M568" si="223">SUM(F569:F572)</f>
        <v>0</v>
      </c>
      <c r="G568" s="885">
        <f t="shared" si="223"/>
        <v>0</v>
      </c>
      <c r="H568" s="885">
        <f t="shared" si="223"/>
        <v>0</v>
      </c>
      <c r="I568" s="913">
        <f t="shared" si="223"/>
        <v>0</v>
      </c>
      <c r="J568" s="914">
        <f t="shared" si="223"/>
        <v>0</v>
      </c>
      <c r="K568" s="885">
        <f t="shared" si="223"/>
        <v>0</v>
      </c>
      <c r="L568" s="885">
        <f t="shared" si="223"/>
        <v>0</v>
      </c>
      <c r="M568" s="891">
        <f t="shared" si="223"/>
        <v>0</v>
      </c>
      <c r="N568" s="641"/>
      <c r="O568" s="641"/>
      <c r="P568" s="641"/>
      <c r="Q568" s="641"/>
      <c r="T568" s="3056">
        <v>8830</v>
      </c>
      <c r="U568" s="3063">
        <v>0</v>
      </c>
    </row>
    <row r="569" spans="1:21" ht="24">
      <c r="A569" s="1648" t="str">
        <f t="shared" si="211"/>
        <v>N</v>
      </c>
      <c r="B569" s="1647">
        <f t="shared" si="212"/>
        <v>-1</v>
      </c>
      <c r="C569" s="1647" t="str">
        <f t="shared" si="210"/>
        <v>J</v>
      </c>
      <c r="D569" s="1659">
        <v>8751</v>
      </c>
      <c r="E569" s="888" t="str">
        <f t="shared" si="213"/>
        <v>未分配利润_所有者投入资本增加权益</v>
      </c>
      <c r="F569" s="884">
        <f t="shared" si="222"/>
        <v>0</v>
      </c>
      <c r="G569" s="885">
        <f>SUMIF(AJE!$B:$B,$C569&amp;$D569&amp;"*",AJE!$O:$O)</f>
        <v>0</v>
      </c>
      <c r="H569" s="885">
        <f>SUMIF(AJE!$B:$B,$C569&amp;$D569&amp;"*",AJE!$P:$P)</f>
        <v>0</v>
      </c>
      <c r="I569" s="913">
        <f>(B569*F569+G569-H569)*B569</f>
        <v>0</v>
      </c>
      <c r="J569" s="914">
        <f t="shared" si="216"/>
        <v>0</v>
      </c>
      <c r="K569" s="885">
        <f>SUMIF('AJE1'!$B:$B,$C569&amp;$D569&amp;"*",'AJE1'!$O:$O)</f>
        <v>0</v>
      </c>
      <c r="L569" s="885">
        <f>SUMIF('AJE1'!$B:$B,$C569&amp;$D569&amp;"*",'AJE1'!$P:$P)</f>
        <v>0</v>
      </c>
      <c r="M569" s="891">
        <f>($B569*J569+K569-L569)*$B569</f>
        <v>0</v>
      </c>
      <c r="N569" s="641"/>
      <c r="O569" s="641"/>
      <c r="P569" s="641"/>
      <c r="Q569" s="641"/>
      <c r="T569" s="3056">
        <v>8840</v>
      </c>
      <c r="U569" s="3063">
        <v>0</v>
      </c>
    </row>
    <row r="570" spans="1:21" ht="24">
      <c r="A570" s="1648" t="str">
        <f t="shared" si="211"/>
        <v>OEI</v>
      </c>
      <c r="B570" s="1647">
        <f t="shared" si="212"/>
        <v>-1</v>
      </c>
      <c r="C570" s="1647" t="str">
        <f t="shared" si="210"/>
        <v>J</v>
      </c>
      <c r="D570" s="1659">
        <v>8753</v>
      </c>
      <c r="E570" s="888" t="str">
        <f t="shared" si="213"/>
        <v>未分配利润_其他权益工具持有者投入资本</v>
      </c>
      <c r="F570" s="884">
        <f t="shared" si="222"/>
        <v>0</v>
      </c>
      <c r="G570" s="885">
        <f>SUMIF(AJE!$B:$B,$C570&amp;$D570&amp;"*",AJE!$O:$O)</f>
        <v>0</v>
      </c>
      <c r="H570" s="885">
        <f>SUMIF(AJE!$B:$B,$C570&amp;$D570&amp;"*",AJE!$P:$P)</f>
        <v>0</v>
      </c>
      <c r="I570" s="913">
        <f>(B570*F570+G570-H570)*B570</f>
        <v>0</v>
      </c>
      <c r="J570" s="914">
        <f t="shared" si="216"/>
        <v>0</v>
      </c>
      <c r="K570" s="885">
        <f>SUMIF('AJE1'!$B:$B,$C570&amp;$D570&amp;"*",'AJE1'!$O:$O)</f>
        <v>0</v>
      </c>
      <c r="L570" s="885">
        <f>SUMIF('AJE1'!$B:$B,$C570&amp;$D570&amp;"*",'AJE1'!$P:$P)</f>
        <v>0</v>
      </c>
      <c r="M570" s="891">
        <f>($B570*J570+K570-L570)*$B570</f>
        <v>0</v>
      </c>
      <c r="N570" s="641"/>
      <c r="O570" s="641"/>
      <c r="P570" s="641"/>
      <c r="Q570" s="641"/>
      <c r="T570" s="3056">
        <v>8850</v>
      </c>
      <c r="U570" s="3063">
        <v>0</v>
      </c>
    </row>
    <row r="571" spans="1:21" ht="24">
      <c r="A571" s="1648" t="str">
        <f t="shared" si="211"/>
        <v>N</v>
      </c>
      <c r="B571" s="1647">
        <f t="shared" si="212"/>
        <v>-1</v>
      </c>
      <c r="C571" s="1647" t="str">
        <f t="shared" si="210"/>
        <v>J</v>
      </c>
      <c r="D571" s="1659">
        <v>8752</v>
      </c>
      <c r="E571" s="888" t="str">
        <f t="shared" si="213"/>
        <v>未分配利润_股份支付计入所有者权益的金额</v>
      </c>
      <c r="F571" s="884">
        <f>INDEX(Sheet_Presc,MATCH((RIGHT($D571,2)),Sheet_Prescrow,0),MATCH((LEFT($D571,2)),Sheet_Presccol,0))</f>
        <v>0</v>
      </c>
      <c r="G571" s="885">
        <f>SUMIF(AJE!$B:$B,$C571&amp;$D571&amp;"*",AJE!$O:$O)</f>
        <v>0</v>
      </c>
      <c r="H571" s="885">
        <f>SUMIF(AJE!$B:$B,$C571&amp;$D571&amp;"*",AJE!$P:$P)</f>
        <v>0</v>
      </c>
      <c r="I571" s="913">
        <f>(B571*F571+G571-H571)*B571</f>
        <v>0</v>
      </c>
      <c r="J571" s="914">
        <f>INDEX(Sheet_Presc,MATCH((RIGHT($D571,2)),Sheet_Prescrow,0),MATCH((VALUE(LEFT($D571,2))),Sheet_Presccol,0))</f>
        <v>0</v>
      </c>
      <c r="K571" s="885">
        <f>SUMIF('AJE1'!$B:$B,$C571&amp;$D571&amp;"*",'AJE1'!$O:$O)</f>
        <v>0</v>
      </c>
      <c r="L571" s="885">
        <f>SUMIF('AJE1'!$B:$B,$C571&amp;$D571&amp;"*",'AJE1'!$P:$P)</f>
        <v>0</v>
      </c>
      <c r="M571" s="891">
        <f>($B571*J571+K571-L571)*$B571</f>
        <v>0</v>
      </c>
      <c r="N571" s="641"/>
      <c r="O571" s="641"/>
      <c r="P571" s="641"/>
      <c r="Q571" s="641"/>
      <c r="T571" s="3056">
        <v>8851</v>
      </c>
      <c r="U571" s="3063">
        <v>0</v>
      </c>
    </row>
    <row r="572" spans="1:21" ht="24">
      <c r="A572" s="1648">
        <f t="shared" si="211"/>
        <v>0</v>
      </c>
      <c r="B572" s="1647">
        <f t="shared" si="212"/>
        <v>-1</v>
      </c>
      <c r="C572" s="1647" t="str">
        <f t="shared" si="210"/>
        <v>J</v>
      </c>
      <c r="D572" s="1659">
        <v>8756</v>
      </c>
      <c r="E572" s="888" t="str">
        <f t="shared" si="213"/>
        <v>未分配利润_所有者其他投入和减少资本</v>
      </c>
      <c r="F572" s="884">
        <f t="shared" si="222"/>
        <v>0</v>
      </c>
      <c r="G572" s="885">
        <f>SUMIF(AJE!$B:$B,$C572&amp;$D572&amp;"*",AJE!$O:$O)</f>
        <v>0</v>
      </c>
      <c r="H572" s="885">
        <f>SUMIF(AJE!$B:$B,$C572&amp;$D572&amp;"*",AJE!$P:$P)</f>
        <v>0</v>
      </c>
      <c r="I572" s="913">
        <f t="shared" si="215"/>
        <v>0</v>
      </c>
      <c r="J572" s="914">
        <f t="shared" si="216"/>
        <v>0</v>
      </c>
      <c r="K572" s="885">
        <f>SUMIF('AJE1'!$B:$B,$C572&amp;$D572&amp;"*",'AJE1'!$O:$O)</f>
        <v>0</v>
      </c>
      <c r="L572" s="885">
        <f>SUMIF('AJE1'!$B:$B,$C572&amp;$D572&amp;"*",'AJE1'!$P:$P)</f>
        <v>0</v>
      </c>
      <c r="M572" s="891">
        <f t="shared" si="217"/>
        <v>0</v>
      </c>
      <c r="N572" s="641"/>
      <c r="O572" s="641"/>
      <c r="P572" s="641"/>
      <c r="Q572" s="641"/>
      <c r="T572" s="3056">
        <v>8853</v>
      </c>
      <c r="U572" s="3063">
        <v>0</v>
      </c>
    </row>
    <row r="573" spans="1:21" ht="18">
      <c r="A573" s="1648" t="str">
        <f t="shared" si="211"/>
        <v>＝</v>
      </c>
      <c r="B573" s="1647">
        <f t="shared" si="212"/>
        <v>0</v>
      </c>
      <c r="C573" s="1647">
        <f t="shared" si="210"/>
        <v>0</v>
      </c>
      <c r="D573" s="1659">
        <v>8760</v>
      </c>
      <c r="E573" s="888" t="str">
        <f t="shared" si="213"/>
        <v>未分配利润_利润分配影响权益</v>
      </c>
      <c r="F573" s="884">
        <f t="shared" ref="F573:M573" si="224">SUM(F574:F577)</f>
        <v>-10472146.4</v>
      </c>
      <c r="G573" s="885">
        <f t="shared" si="224"/>
        <v>0</v>
      </c>
      <c r="H573" s="885">
        <f t="shared" si="224"/>
        <v>0</v>
      </c>
      <c r="I573" s="913">
        <f t="shared" si="224"/>
        <v>-10472146.4</v>
      </c>
      <c r="J573" s="914">
        <f t="shared" si="224"/>
        <v>-52022.89</v>
      </c>
      <c r="K573" s="885">
        <f t="shared" si="224"/>
        <v>0</v>
      </c>
      <c r="L573" s="885">
        <f t="shared" si="224"/>
        <v>0</v>
      </c>
      <c r="M573" s="891">
        <f t="shared" si="224"/>
        <v>-52022.89</v>
      </c>
      <c r="N573" s="641"/>
      <c r="O573" s="641"/>
      <c r="P573" s="641"/>
      <c r="Q573" s="641"/>
      <c r="T573" s="3056">
        <v>8852</v>
      </c>
      <c r="U573" s="3063">
        <v>0</v>
      </c>
    </row>
    <row r="574" spans="1:21" ht="18">
      <c r="A574" s="1648">
        <f t="shared" si="211"/>
        <v>0</v>
      </c>
      <c r="B574" s="1647">
        <f t="shared" si="212"/>
        <v>-1</v>
      </c>
      <c r="C574" s="1647" t="str">
        <f t="shared" si="210"/>
        <v>J</v>
      </c>
      <c r="D574" s="1659">
        <v>8761</v>
      </c>
      <c r="E574" s="888" t="str">
        <f t="shared" si="213"/>
        <v>未分配利润_提取盈余公积</v>
      </c>
      <c r="F574" s="884">
        <f t="shared" si="222"/>
        <v>-8046.4</v>
      </c>
      <c r="G574" s="885">
        <f>SUMIF(AJE!$B:$B,$C574&amp;$D574&amp;"*",AJE!$O:$O)</f>
        <v>0</v>
      </c>
      <c r="H574" s="885">
        <f>SUMIF(AJE!$B:$B,$C574&amp;$D574&amp;"*",AJE!$P:$P)</f>
        <v>0</v>
      </c>
      <c r="I574" s="913">
        <f t="shared" si="215"/>
        <v>-8046.4</v>
      </c>
      <c r="J574" s="914">
        <f t="shared" si="216"/>
        <v>-52022.89</v>
      </c>
      <c r="K574" s="885">
        <f>SUMIF('AJE1'!$B:$B,$C574&amp;$D574&amp;"*",'AJE1'!$O:$O)</f>
        <v>0</v>
      </c>
      <c r="L574" s="885">
        <f>SUMIF('AJE1'!$B:$B,$C574&amp;$D574&amp;"*",'AJE1'!$P:$P)</f>
        <v>0</v>
      </c>
      <c r="M574" s="891">
        <f t="shared" si="217"/>
        <v>-52022.89</v>
      </c>
      <c r="N574" s="641"/>
      <c r="O574" s="641"/>
      <c r="P574" s="641"/>
      <c r="Q574" s="641"/>
      <c r="T574" s="3056">
        <v>8856</v>
      </c>
      <c r="U574" s="3063">
        <v>0</v>
      </c>
    </row>
    <row r="575" spans="1:21" ht="18">
      <c r="A575" s="1648">
        <f t="shared" si="211"/>
        <v>0</v>
      </c>
      <c r="B575" s="1647">
        <f t="shared" si="212"/>
        <v>-1</v>
      </c>
      <c r="C575" s="1647" t="str">
        <f t="shared" si="210"/>
        <v>J</v>
      </c>
      <c r="D575" s="1659">
        <v>8762</v>
      </c>
      <c r="E575" s="888" t="str">
        <f t="shared" si="213"/>
        <v>未分配利润_提取一般风险准备</v>
      </c>
      <c r="F575" s="884">
        <f t="shared" si="222"/>
        <v>0</v>
      </c>
      <c r="G575" s="885">
        <f>SUMIF(AJE!$B:$B,$C575&amp;$D575&amp;"*",AJE!$O:$O)</f>
        <v>0</v>
      </c>
      <c r="H575" s="885">
        <f>SUMIF(AJE!$B:$B,$C575&amp;$D575&amp;"*",AJE!$P:$P)</f>
        <v>0</v>
      </c>
      <c r="I575" s="913">
        <f t="shared" si="215"/>
        <v>0</v>
      </c>
      <c r="J575" s="914">
        <f t="shared" si="216"/>
        <v>0</v>
      </c>
      <c r="K575" s="885">
        <f>SUMIF('AJE1'!$B:$B,$C575&amp;$D575&amp;"*",'AJE1'!$O:$O)</f>
        <v>0</v>
      </c>
      <c r="L575" s="885">
        <f>SUMIF('AJE1'!$B:$B,$C575&amp;$D575&amp;"*",'AJE1'!$P:$P)</f>
        <v>0</v>
      </c>
      <c r="M575" s="891">
        <f t="shared" si="217"/>
        <v>0</v>
      </c>
      <c r="N575" s="641"/>
      <c r="O575" s="641"/>
      <c r="P575" s="641"/>
      <c r="Q575" s="641"/>
      <c r="T575" s="3056">
        <v>8860</v>
      </c>
      <c r="U575" s="3063">
        <v>0</v>
      </c>
    </row>
    <row r="576" spans="1:21" ht="18">
      <c r="A576" s="1648">
        <f t="shared" si="211"/>
        <v>0</v>
      </c>
      <c r="B576" s="1647">
        <f t="shared" si="212"/>
        <v>-1</v>
      </c>
      <c r="C576" s="1647" t="str">
        <f t="shared" si="210"/>
        <v>J</v>
      </c>
      <c r="D576" s="1659">
        <v>8763</v>
      </c>
      <c r="E576" s="888" t="str">
        <f t="shared" si="213"/>
        <v>未分配利润_对所有者的分配</v>
      </c>
      <c r="F576" s="884">
        <f t="shared" si="222"/>
        <v>-10464100</v>
      </c>
      <c r="G576" s="885">
        <f>SUMIF(AJE!$B:$B,$C576&amp;$D576&amp;"*",AJE!$O:$O)</f>
        <v>0</v>
      </c>
      <c r="H576" s="885">
        <f>SUMIF(AJE!$B:$B,$C576&amp;$D576&amp;"*",AJE!$P:$P)</f>
        <v>0</v>
      </c>
      <c r="I576" s="913">
        <f t="shared" si="215"/>
        <v>-10464100</v>
      </c>
      <c r="J576" s="914">
        <f t="shared" si="216"/>
        <v>0</v>
      </c>
      <c r="K576" s="885">
        <f>SUMIF('AJE1'!$B:$B,$C576&amp;$D576&amp;"*",'AJE1'!$O:$O)</f>
        <v>0</v>
      </c>
      <c r="L576" s="885">
        <f>SUMIF('AJE1'!$B:$B,$C576&amp;$D576&amp;"*",'AJE1'!$P:$P)</f>
        <v>0</v>
      </c>
      <c r="M576" s="891">
        <f t="shared" si="217"/>
        <v>0</v>
      </c>
      <c r="N576" s="641"/>
      <c r="O576" s="641"/>
      <c r="P576" s="641"/>
      <c r="Q576" s="641"/>
      <c r="T576" s="3056">
        <v>8861</v>
      </c>
      <c r="U576" s="3063">
        <v>0</v>
      </c>
    </row>
    <row r="577" spans="1:21" ht="18">
      <c r="A577" s="1648">
        <f t="shared" si="211"/>
        <v>0</v>
      </c>
      <c r="B577" s="1647">
        <f t="shared" si="212"/>
        <v>-1</v>
      </c>
      <c r="C577" s="1647" t="str">
        <f t="shared" si="210"/>
        <v>J</v>
      </c>
      <c r="D577" s="1659">
        <v>8766</v>
      </c>
      <c r="E577" s="888" t="str">
        <f t="shared" si="213"/>
        <v>未分配利润_其他利润分配</v>
      </c>
      <c r="F577" s="884">
        <f t="shared" si="222"/>
        <v>0</v>
      </c>
      <c r="G577" s="885">
        <f>SUMIF(AJE!$B:$B,$C577&amp;$D577&amp;"*",AJE!$O:$O)</f>
        <v>0</v>
      </c>
      <c r="H577" s="885">
        <f>SUMIF(AJE!$B:$B,$C577&amp;$D577&amp;"*",AJE!$P:$P)</f>
        <v>0</v>
      </c>
      <c r="I577" s="913">
        <f t="shared" si="215"/>
        <v>0</v>
      </c>
      <c r="J577" s="914">
        <f t="shared" si="216"/>
        <v>0</v>
      </c>
      <c r="K577" s="885">
        <f>SUMIF('AJE1'!$B:$B,$C577&amp;$D577&amp;"*",'AJE1'!$O:$O)</f>
        <v>0</v>
      </c>
      <c r="L577" s="885">
        <f>SUMIF('AJE1'!$B:$B,$C577&amp;$D577&amp;"*",'AJE1'!$P:$P)</f>
        <v>0</v>
      </c>
      <c r="M577" s="891">
        <f t="shared" si="217"/>
        <v>0</v>
      </c>
      <c r="N577" s="641"/>
      <c r="O577" s="641"/>
      <c r="P577" s="641"/>
      <c r="Q577" s="641"/>
      <c r="T577" s="3056">
        <v>8862</v>
      </c>
      <c r="U577" s="3063">
        <v>0</v>
      </c>
    </row>
    <row r="578" spans="1:21" ht="18">
      <c r="A578" s="1648" t="str">
        <f t="shared" si="211"/>
        <v>＝</v>
      </c>
      <c r="B578" s="1647">
        <f t="shared" si="212"/>
        <v>0</v>
      </c>
      <c r="C578" s="1647">
        <f t="shared" si="210"/>
        <v>0</v>
      </c>
      <c r="D578" s="1659">
        <v>8770</v>
      </c>
      <c r="E578" s="888" t="str">
        <f t="shared" si="213"/>
        <v>未分配利润_所有者权益内部结转</v>
      </c>
      <c r="F578" s="884">
        <f>SUM(F579:F584)</f>
        <v>0</v>
      </c>
      <c r="G578" s="885">
        <f t="shared" ref="G578:M578" si="225">SUM(G579:G584)</f>
        <v>0</v>
      </c>
      <c r="H578" s="885">
        <f t="shared" si="225"/>
        <v>0</v>
      </c>
      <c r="I578" s="913">
        <f t="shared" si="225"/>
        <v>0</v>
      </c>
      <c r="J578" s="914">
        <f t="shared" si="225"/>
        <v>0</v>
      </c>
      <c r="K578" s="885">
        <f t="shared" si="225"/>
        <v>0</v>
      </c>
      <c r="L578" s="885">
        <f t="shared" si="225"/>
        <v>0</v>
      </c>
      <c r="M578" s="891">
        <f t="shared" si="225"/>
        <v>0</v>
      </c>
      <c r="N578" s="641"/>
      <c r="O578" s="641"/>
      <c r="P578" s="641"/>
      <c r="Q578" s="641"/>
      <c r="T578" s="3056">
        <v>8863</v>
      </c>
      <c r="U578" s="3063">
        <v>0</v>
      </c>
    </row>
    <row r="579" spans="1:21" ht="24">
      <c r="A579" s="1648" t="str">
        <f t="shared" si="211"/>
        <v>N</v>
      </c>
      <c r="B579" s="1647">
        <f t="shared" si="212"/>
        <v>-1</v>
      </c>
      <c r="C579" s="1647" t="str">
        <f t="shared" si="210"/>
        <v>J</v>
      </c>
      <c r="D579" s="1659">
        <v>8771</v>
      </c>
      <c r="E579" s="888" t="str">
        <f t="shared" si="213"/>
        <v>未分配利润_资本公积转增资本影响权益</v>
      </c>
      <c r="F579" s="884">
        <f t="shared" si="222"/>
        <v>0</v>
      </c>
      <c r="G579" s="885">
        <f>SUMIF(AJE!$B:$B,$C579&amp;$D579&amp;"*",AJE!$O:$O)</f>
        <v>0</v>
      </c>
      <c r="H579" s="885">
        <f>SUMIF(AJE!$B:$B,$C579&amp;$D579&amp;"*",AJE!$P:$P)</f>
        <v>0</v>
      </c>
      <c r="I579" s="913">
        <f>(B579*F579+G579-H579)*B579</f>
        <v>0</v>
      </c>
      <c r="J579" s="914">
        <f t="shared" si="216"/>
        <v>0</v>
      </c>
      <c r="K579" s="885">
        <f>SUMIF('AJE1'!$B:$B,$C579&amp;$D579&amp;"*",'AJE1'!$O:$O)</f>
        <v>0</v>
      </c>
      <c r="L579" s="885">
        <f>SUMIF('AJE1'!$B:$B,$C579&amp;$D579&amp;"*",'AJE1'!$P:$P)</f>
        <v>0</v>
      </c>
      <c r="M579" s="891">
        <f>($B579*J579+K579-L579)*$B579</f>
        <v>0</v>
      </c>
      <c r="N579" s="641"/>
      <c r="O579" s="641"/>
      <c r="P579" s="641"/>
      <c r="Q579" s="641"/>
      <c r="T579" s="3056">
        <v>8866</v>
      </c>
      <c r="U579" s="3063">
        <v>0</v>
      </c>
    </row>
    <row r="580" spans="1:21" ht="24">
      <c r="A580" s="1648" t="str">
        <f t="shared" si="211"/>
        <v>N</v>
      </c>
      <c r="B580" s="1647">
        <f t="shared" si="212"/>
        <v>-1</v>
      </c>
      <c r="C580" s="1647" t="str">
        <f t="shared" si="210"/>
        <v>J</v>
      </c>
      <c r="D580" s="1659">
        <v>8772</v>
      </c>
      <c r="E580" s="888" t="str">
        <f t="shared" si="213"/>
        <v>未分配利润_盈余公积转增资本影响权益</v>
      </c>
      <c r="F580" s="884">
        <f t="shared" si="222"/>
        <v>0</v>
      </c>
      <c r="G580" s="885">
        <f>SUMIF(AJE!$B:$B,$C580&amp;$D580&amp;"*",AJE!$O:$O)</f>
        <v>0</v>
      </c>
      <c r="H580" s="885">
        <f>SUMIF(AJE!$B:$B,$C580&amp;$D580&amp;"*",AJE!$P:$P)</f>
        <v>0</v>
      </c>
      <c r="I580" s="913">
        <f>(B580*F580+G580-H580)*B580</f>
        <v>0</v>
      </c>
      <c r="J580" s="914">
        <f t="shared" si="216"/>
        <v>0</v>
      </c>
      <c r="K580" s="885">
        <f>SUMIF('AJE1'!$B:$B,$C580&amp;$D580&amp;"*",'AJE1'!$O:$O)</f>
        <v>0</v>
      </c>
      <c r="L580" s="885">
        <f>SUMIF('AJE1'!$B:$B,$C580&amp;$D580&amp;"*",'AJE1'!$P:$P)</f>
        <v>0</v>
      </c>
      <c r="M580" s="891">
        <f>($B580*J580+K580-L580)*$B580</f>
        <v>0</v>
      </c>
      <c r="N580" s="641"/>
      <c r="O580" s="641"/>
      <c r="P580" s="641"/>
      <c r="Q580" s="641"/>
      <c r="T580" s="3056">
        <v>8870</v>
      </c>
      <c r="U580" s="3063">
        <v>0</v>
      </c>
    </row>
    <row r="581" spans="1:21" ht="18">
      <c r="A581" s="1648">
        <f t="shared" si="211"/>
        <v>0</v>
      </c>
      <c r="B581" s="1647">
        <f t="shared" si="212"/>
        <v>-1</v>
      </c>
      <c r="C581" s="1647" t="str">
        <f t="shared" si="210"/>
        <v>J</v>
      </c>
      <c r="D581" s="1659">
        <v>8773</v>
      </c>
      <c r="E581" s="888" t="str">
        <f t="shared" si="213"/>
        <v>未分配利润_盈余公积弥补亏损</v>
      </c>
      <c r="F581" s="884">
        <f t="shared" si="222"/>
        <v>0</v>
      </c>
      <c r="G581" s="885">
        <f>SUMIF(AJE!$B:$B,$C581&amp;$D581&amp;"*",AJE!$O:$O)</f>
        <v>0</v>
      </c>
      <c r="H581" s="885">
        <f>SUMIF(AJE!$B:$B,$C581&amp;$D581&amp;"*",AJE!$P:$P)</f>
        <v>0</v>
      </c>
      <c r="I581" s="913">
        <f t="shared" si="215"/>
        <v>0</v>
      </c>
      <c r="J581" s="914">
        <f t="shared" si="216"/>
        <v>0</v>
      </c>
      <c r="K581" s="885">
        <f>SUMIF('AJE1'!$B:$B,$C581&amp;$D581&amp;"*",'AJE1'!$O:$O)</f>
        <v>0</v>
      </c>
      <c r="L581" s="885">
        <f>SUMIF('AJE1'!$B:$B,$C581&amp;$D581&amp;"*",'AJE1'!$P:$P)</f>
        <v>0</v>
      </c>
      <c r="M581" s="891">
        <f t="shared" si="217"/>
        <v>0</v>
      </c>
      <c r="N581" s="641"/>
      <c r="O581" s="641"/>
      <c r="P581" s="641"/>
      <c r="Q581" s="641"/>
      <c r="T581" s="3056">
        <v>8871</v>
      </c>
      <c r="U581" s="3063">
        <v>0</v>
      </c>
    </row>
    <row r="582" spans="1:21" ht="24">
      <c r="A582" s="1648" t="str">
        <f t="shared" si="211"/>
        <v>OEI</v>
      </c>
      <c r="B582" s="1647">
        <f t="shared" si="212"/>
        <v>-1</v>
      </c>
      <c r="C582" s="1647" t="str">
        <f t="shared" si="210"/>
        <v>J</v>
      </c>
      <c r="D582" s="1659">
        <v>8775</v>
      </c>
      <c r="E582" s="888" t="str">
        <f t="shared" si="213"/>
        <v>未分配利润_设定受益计划变动额结转留存收益</v>
      </c>
      <c r="F582" s="884">
        <f>INDEX(Sheet_Presc,MATCH((RIGHT($D582,2)),Sheet_Prescrow,0),MATCH((LEFT($D582,2)),Sheet_Presccol,0))</f>
        <v>0</v>
      </c>
      <c r="G582" s="885">
        <f>SUMIF(AJE!$B:$B,$C582&amp;$D582&amp;"*",AJE!$O:$O)</f>
        <v>0</v>
      </c>
      <c r="H582" s="885">
        <f>SUMIF(AJE!$B:$B,$C582&amp;$D582&amp;"*",AJE!$P:$P)</f>
        <v>0</v>
      </c>
      <c r="I582" s="913">
        <f t="shared" si="215"/>
        <v>0</v>
      </c>
      <c r="J582" s="914">
        <f>INDEX(Sheet_Presc,MATCH((RIGHT($D582,2)),Sheet_Prescrow,0),MATCH((VALUE(LEFT($D582,2))),Sheet_Presccol,0))</f>
        <v>0</v>
      </c>
      <c r="K582" s="885">
        <f>SUMIF('AJE1'!$B:$B,$C582&amp;$D582&amp;"*",'AJE1'!$O:$O)</f>
        <v>0</v>
      </c>
      <c r="L582" s="885">
        <f>SUMIF('AJE1'!$B:$B,$C582&amp;$D582&amp;"*",'AJE1'!$P:$P)</f>
        <v>0</v>
      </c>
      <c r="M582" s="891">
        <f t="shared" si="217"/>
        <v>0</v>
      </c>
      <c r="N582" s="641"/>
      <c r="O582" s="641"/>
      <c r="P582" s="641"/>
      <c r="Q582" s="641"/>
      <c r="T582" s="3056">
        <v>8872</v>
      </c>
      <c r="U582" s="3063">
        <v>0</v>
      </c>
    </row>
    <row r="583" spans="1:21" ht="24">
      <c r="A583" s="1648" t="str">
        <f>VLOOKUP($D583,Sheet_Items,4,0)</f>
        <v>_JR</v>
      </c>
      <c r="B583" s="1647">
        <f>VLOOKUP($D583,Sheet_Items,3,0)</f>
        <v>-1</v>
      </c>
      <c r="C583" s="1647" t="str">
        <f>VLOOKUP($D583,Sheet_Items,9,0)</f>
        <v>J</v>
      </c>
      <c r="D583" s="1659">
        <v>8777</v>
      </c>
      <c r="E583" s="889" t="str">
        <f>VLOOKUP($D583,Sheet_Items,2,0)</f>
        <v>未分配利润_其他综合收益结转留存收益</v>
      </c>
      <c r="F583" s="884">
        <f>INDEX(Sheet_Presc,MATCH((RIGHT($D583,2)),Sheet_Prescrow,0),MATCH((LEFT($D583,2)),Sheet_Presccol,0))</f>
        <v>0</v>
      </c>
      <c r="G583" s="885">
        <f>SUMIF(AJE!$B:$B,$C583&amp;$D583&amp;"*",AJE!$O:$O)</f>
        <v>0</v>
      </c>
      <c r="H583" s="885">
        <f>SUMIF(AJE!$B:$B,$C583&amp;$D583&amp;"*",AJE!$P:$P)</f>
        <v>0</v>
      </c>
      <c r="I583" s="913">
        <f t="shared" si="215"/>
        <v>0</v>
      </c>
      <c r="J583" s="914">
        <f>INDEX(Sheet_Presc,MATCH((RIGHT($D583,2)),Sheet_Prescrow,0),MATCH((VALUE(LEFT($D583,2))),Sheet_Presccol,0))</f>
        <v>0</v>
      </c>
      <c r="K583" s="885">
        <f>SUMIF('AJE1'!$B:$B,$C583&amp;$D583&amp;"*",'AJE1'!$O:$O)</f>
        <v>0</v>
      </c>
      <c r="L583" s="885">
        <f>SUMIF('AJE1'!$B:$B,$C583&amp;$D583&amp;"*",'AJE1'!$P:$P)</f>
        <v>0</v>
      </c>
      <c r="M583" s="891">
        <f t="shared" si="217"/>
        <v>0</v>
      </c>
      <c r="N583" s="641"/>
      <c r="O583" s="641"/>
      <c r="P583" s="641"/>
      <c r="Q583" s="641"/>
      <c r="T583" s="3056">
        <v>8873</v>
      </c>
      <c r="U583" s="3063">
        <v>0</v>
      </c>
    </row>
    <row r="584" spans="1:21" ht="24">
      <c r="A584" s="1648">
        <f t="shared" si="211"/>
        <v>0</v>
      </c>
      <c r="B584" s="1647">
        <f t="shared" si="212"/>
        <v>-1</v>
      </c>
      <c r="C584" s="1647" t="str">
        <f t="shared" si="210"/>
        <v>J</v>
      </c>
      <c r="D584" s="1659">
        <v>8776</v>
      </c>
      <c r="E584" s="888" t="str">
        <f t="shared" si="213"/>
        <v>未分配利润_所有者权益其他内部结转</v>
      </c>
      <c r="F584" s="884">
        <f t="shared" si="222"/>
        <v>0</v>
      </c>
      <c r="G584" s="885">
        <f>SUMIF(AJE!$B:$B,$C584&amp;$D584&amp;"*",AJE!$O:$O)</f>
        <v>0</v>
      </c>
      <c r="H584" s="885">
        <f>SUMIF(AJE!$B:$B,$C584&amp;$D584&amp;"*",AJE!$P:$P)</f>
        <v>0</v>
      </c>
      <c r="I584" s="913">
        <f t="shared" si="215"/>
        <v>0</v>
      </c>
      <c r="J584" s="914">
        <f t="shared" si="216"/>
        <v>0</v>
      </c>
      <c r="K584" s="885">
        <f>SUMIF('AJE1'!$B:$B,$C584&amp;$D584&amp;"*",'AJE1'!$O:$O)</f>
        <v>0</v>
      </c>
      <c r="L584" s="885">
        <f>SUMIF('AJE1'!$B:$B,$C584&amp;$D584&amp;"*",'AJE1'!$P:$P)</f>
        <v>0</v>
      </c>
      <c r="M584" s="891">
        <f t="shared" si="217"/>
        <v>0</v>
      </c>
      <c r="N584" s="641"/>
      <c r="O584" s="641"/>
      <c r="P584" s="641"/>
      <c r="Q584" s="641"/>
      <c r="T584" s="3056">
        <v>8875</v>
      </c>
      <c r="U584" s="3063">
        <v>0</v>
      </c>
    </row>
    <row r="585" spans="1:21" ht="18">
      <c r="A585" s="1648" t="str">
        <f t="shared" si="211"/>
        <v>＝</v>
      </c>
      <c r="B585" s="1647">
        <f t="shared" si="212"/>
        <v>0</v>
      </c>
      <c r="C585" s="1647">
        <f t="shared" si="210"/>
        <v>0</v>
      </c>
      <c r="D585" s="1659">
        <v>8780</v>
      </c>
      <c r="E585" s="888" t="str">
        <f t="shared" si="213"/>
        <v>未分配利润_专项储备影响权益</v>
      </c>
      <c r="F585" s="884">
        <f t="shared" ref="F585:M585" si="226">SUM(F586:F587)</f>
        <v>0</v>
      </c>
      <c r="G585" s="885">
        <f t="shared" si="226"/>
        <v>0</v>
      </c>
      <c r="H585" s="885">
        <f t="shared" si="226"/>
        <v>0</v>
      </c>
      <c r="I585" s="913">
        <f t="shared" si="226"/>
        <v>0</v>
      </c>
      <c r="J585" s="914">
        <f t="shared" si="226"/>
        <v>0</v>
      </c>
      <c r="K585" s="885">
        <f t="shared" si="226"/>
        <v>0</v>
      </c>
      <c r="L585" s="885">
        <f t="shared" si="226"/>
        <v>0</v>
      </c>
      <c r="M585" s="891">
        <f t="shared" si="226"/>
        <v>0</v>
      </c>
      <c r="N585" s="641"/>
      <c r="O585" s="641"/>
      <c r="P585" s="641"/>
      <c r="Q585" s="641"/>
      <c r="T585" s="3056">
        <v>8876</v>
      </c>
      <c r="U585" s="3063">
        <v>0</v>
      </c>
    </row>
    <row r="586" spans="1:21" ht="18">
      <c r="A586" s="1648" t="str">
        <f t="shared" si="211"/>
        <v>LOW</v>
      </c>
      <c r="B586" s="1647">
        <f t="shared" si="212"/>
        <v>-1</v>
      </c>
      <c r="C586" s="1647" t="str">
        <f t="shared" si="210"/>
        <v>J</v>
      </c>
      <c r="D586" s="1659">
        <v>8781</v>
      </c>
      <c r="E586" s="888" t="str">
        <f t="shared" si="213"/>
        <v>未分配利润_专项储备本期提取</v>
      </c>
      <c r="F586" s="884">
        <f t="shared" si="222"/>
        <v>0</v>
      </c>
      <c r="G586" s="885">
        <f>SUMIF(AJE!$B:$B,$C586&amp;$D586&amp;"*",AJE!$O:$O)</f>
        <v>0</v>
      </c>
      <c r="H586" s="885">
        <f>SUMIF(AJE!$B:$B,$C586&amp;$D586&amp;"*",AJE!$P:$P)</f>
        <v>0</v>
      </c>
      <c r="I586" s="913">
        <f t="shared" si="215"/>
        <v>0</v>
      </c>
      <c r="J586" s="914">
        <f t="shared" si="216"/>
        <v>0</v>
      </c>
      <c r="K586" s="885">
        <f>SUMIF('AJE1'!$B:$B,$C586&amp;$D586&amp;"*",'AJE1'!$O:$O)</f>
        <v>0</v>
      </c>
      <c r="L586" s="885">
        <f>SUMIF('AJE1'!$B:$B,$C586&amp;$D586&amp;"*",'AJE1'!$P:$P)</f>
        <v>0</v>
      </c>
      <c r="M586" s="891">
        <f t="shared" si="217"/>
        <v>0</v>
      </c>
      <c r="N586" s="641"/>
      <c r="O586" s="641"/>
      <c r="P586" s="641"/>
      <c r="Q586" s="641"/>
      <c r="T586" s="3056">
        <v>8880</v>
      </c>
      <c r="U586" s="3063">
        <v>0</v>
      </c>
    </row>
    <row r="587" spans="1:21" ht="18">
      <c r="A587" s="1648" t="str">
        <f t="shared" si="211"/>
        <v>LOW</v>
      </c>
      <c r="B587" s="1647">
        <f t="shared" si="212"/>
        <v>-1</v>
      </c>
      <c r="C587" s="1647" t="str">
        <f t="shared" si="210"/>
        <v>J</v>
      </c>
      <c r="D587" s="1659">
        <v>8782</v>
      </c>
      <c r="E587" s="888" t="str">
        <f t="shared" si="213"/>
        <v>未分配利润_专项储备本期使用</v>
      </c>
      <c r="F587" s="884">
        <f t="shared" si="222"/>
        <v>0</v>
      </c>
      <c r="G587" s="885">
        <f>SUMIF(AJE!$B:$B,$C587&amp;$D587&amp;"*",AJE!$O:$O)</f>
        <v>0</v>
      </c>
      <c r="H587" s="885">
        <f>SUMIF(AJE!$B:$B,$C587&amp;$D587&amp;"*",AJE!$P:$P)</f>
        <v>0</v>
      </c>
      <c r="I587" s="913">
        <f t="shared" si="215"/>
        <v>0</v>
      </c>
      <c r="J587" s="914">
        <f t="shared" si="216"/>
        <v>0</v>
      </c>
      <c r="K587" s="885">
        <f>SUMIF('AJE1'!$B:$B,$C587&amp;$D587&amp;"*",'AJE1'!$O:$O)</f>
        <v>0</v>
      </c>
      <c r="L587" s="885">
        <f>SUMIF('AJE1'!$B:$B,$C587&amp;$D587&amp;"*",'AJE1'!$P:$P)</f>
        <v>0</v>
      </c>
      <c r="M587" s="891">
        <f t="shared" si="217"/>
        <v>0</v>
      </c>
      <c r="N587" s="641"/>
      <c r="O587" s="641"/>
      <c r="P587" s="641"/>
      <c r="Q587" s="641"/>
      <c r="T587" s="3056">
        <v>8881</v>
      </c>
      <c r="U587" s="3063">
        <v>0</v>
      </c>
    </row>
    <row r="588" spans="1:21" ht="18">
      <c r="A588" s="1648" t="str">
        <f t="shared" si="211"/>
        <v>LOW</v>
      </c>
      <c r="B588" s="1647">
        <f t="shared" si="212"/>
        <v>-1</v>
      </c>
      <c r="C588" s="1647" t="str">
        <f t="shared" si="210"/>
        <v>J</v>
      </c>
      <c r="D588" s="1659">
        <v>8796</v>
      </c>
      <c r="E588" s="888" t="str">
        <f t="shared" si="213"/>
        <v>未分配利润_本期其他增减变动</v>
      </c>
      <c r="F588" s="884">
        <f t="shared" si="222"/>
        <v>0</v>
      </c>
      <c r="G588" s="885">
        <f>SUMIF(AJE!$B:$B,$C588&amp;$D588&amp;"*",AJE!$O:$O)</f>
        <v>0</v>
      </c>
      <c r="H588" s="885">
        <f>SUMIF(AJE!$B:$B,$C588&amp;$D588&amp;"*",AJE!$P:$P)</f>
        <v>0</v>
      </c>
      <c r="I588" s="913">
        <f t="shared" si="215"/>
        <v>0</v>
      </c>
      <c r="J588" s="914">
        <f t="shared" si="216"/>
        <v>0</v>
      </c>
      <c r="K588" s="885">
        <f>SUMIF('AJE1'!$B:$B,$C588&amp;$D588&amp;"*",'AJE1'!$O:$O)</f>
        <v>0</v>
      </c>
      <c r="L588" s="885">
        <f>SUMIF('AJE1'!$B:$B,$C588&amp;$D588&amp;"*",'AJE1'!$P:$P)</f>
        <v>0</v>
      </c>
      <c r="M588" s="891">
        <f t="shared" si="217"/>
        <v>0</v>
      </c>
      <c r="N588" s="641"/>
      <c r="O588" s="641"/>
      <c r="P588" s="641"/>
      <c r="Q588" s="641"/>
      <c r="T588" s="3056">
        <v>8882</v>
      </c>
      <c r="U588" s="3063">
        <v>0</v>
      </c>
    </row>
    <row r="589" spans="1:21" ht="18">
      <c r="A589" s="1648" t="str">
        <f t="shared" si="211"/>
        <v>＝</v>
      </c>
      <c r="B589" s="1647">
        <f t="shared" si="212"/>
        <v>0</v>
      </c>
      <c r="C589" s="1647">
        <f t="shared" si="210"/>
        <v>0</v>
      </c>
      <c r="D589" s="1659">
        <v>8799</v>
      </c>
      <c r="E589" s="888" t="str">
        <f t="shared" si="213"/>
        <v>未分配利润_本期期末余额</v>
      </c>
      <c r="F589" s="884">
        <f t="shared" ref="F589:M589" si="227">SUM(F563,F564)</f>
        <v>2899951.46</v>
      </c>
      <c r="G589" s="885">
        <f t="shared" si="227"/>
        <v>4927559.42</v>
      </c>
      <c r="H589" s="885">
        <f t="shared" si="227"/>
        <v>1239624.98</v>
      </c>
      <c r="I589" s="913">
        <f t="shared" si="227"/>
        <v>-787982.98</v>
      </c>
      <c r="J589" s="914">
        <f t="shared" si="227"/>
        <v>13291633.890000001</v>
      </c>
      <c r="K589" s="885">
        <f t="shared" si="227"/>
        <v>0</v>
      </c>
      <c r="L589" s="885">
        <f t="shared" si="227"/>
        <v>0</v>
      </c>
      <c r="M589" s="891">
        <f t="shared" si="227"/>
        <v>13291633.890000001</v>
      </c>
      <c r="N589" s="641"/>
      <c r="O589" s="641"/>
      <c r="P589" s="641"/>
      <c r="Q589" s="641"/>
      <c r="T589" s="3056">
        <v>8896</v>
      </c>
      <c r="U589" s="3063">
        <v>0</v>
      </c>
    </row>
    <row r="590" spans="1:21" ht="24">
      <c r="A590" s="1648" t="str">
        <f t="shared" si="211"/>
        <v>※</v>
      </c>
      <c r="B590" s="1647">
        <f t="shared" si="212"/>
        <v>0</v>
      </c>
      <c r="C590" s="1647">
        <f t="shared" si="210"/>
        <v>0</v>
      </c>
      <c r="D590" s="2186">
        <v>8800</v>
      </c>
      <c r="E590" s="2187" t="str">
        <f t="shared" si="213"/>
        <v>其他归属于母公司所有者权益增减变动</v>
      </c>
      <c r="F590" s="884"/>
      <c r="G590" s="885"/>
      <c r="H590" s="885"/>
      <c r="I590" s="913"/>
      <c r="J590" s="914"/>
      <c r="K590" s="885"/>
      <c r="L590" s="885"/>
      <c r="M590" s="891"/>
      <c r="N590" s="641"/>
      <c r="O590" s="641"/>
      <c r="P590" s="641"/>
      <c r="Q590" s="641"/>
      <c r="T590" s="3056">
        <v>8899</v>
      </c>
      <c r="U590" s="3063">
        <v>0</v>
      </c>
    </row>
    <row r="591" spans="1:21" ht="24">
      <c r="A591" s="1648" t="str">
        <f t="shared" si="211"/>
        <v>※</v>
      </c>
      <c r="B591" s="1647">
        <f t="shared" si="212"/>
        <v>-1</v>
      </c>
      <c r="C591" s="1647">
        <f t="shared" si="210"/>
        <v>0</v>
      </c>
      <c r="D591" s="1659">
        <v>8801</v>
      </c>
      <c r="E591" s="888" t="str">
        <f t="shared" si="213"/>
        <v>其他归属于母公司所有者权益_上年年末余额</v>
      </c>
      <c r="F591" s="884">
        <f t="shared" si="222"/>
        <v>0</v>
      </c>
      <c r="G591" s="885">
        <f>SUMIF(AJE!$B:$B,$C591&amp;$D591&amp;"*",AJE!$O:$O)</f>
        <v>0</v>
      </c>
      <c r="H591" s="885">
        <f>SUMIF(AJE!$B:$B,$C591&amp;$D591&amp;"*",AJE!$P:$P)</f>
        <v>0</v>
      </c>
      <c r="I591" s="913">
        <f t="shared" si="215"/>
        <v>0</v>
      </c>
      <c r="J591" s="914">
        <f t="shared" si="216"/>
        <v>0</v>
      </c>
      <c r="K591" s="885">
        <f>SUMIF('AJE1'!$B:$B,$C591&amp;$D591&amp;"*",'AJE1'!$O:$O)</f>
        <v>0</v>
      </c>
      <c r="L591" s="885">
        <f>SUMIF('AJE1'!$B:$B,$C591&amp;$D591&amp;"*",'AJE1'!$P:$P)</f>
        <v>0</v>
      </c>
      <c r="M591" s="891">
        <f t="shared" si="217"/>
        <v>0</v>
      </c>
      <c r="N591" s="641"/>
      <c r="O591" s="641"/>
      <c r="P591" s="641"/>
      <c r="Q591" s="641"/>
      <c r="T591" s="3056">
        <v>8900</v>
      </c>
      <c r="U591" s="3063">
        <v>0</v>
      </c>
    </row>
    <row r="592" spans="1:21" ht="24">
      <c r="A592" s="1648" t="str">
        <f t="shared" si="211"/>
        <v>※LOW</v>
      </c>
      <c r="B592" s="1647">
        <f t="shared" si="212"/>
        <v>-1</v>
      </c>
      <c r="C592" s="1647">
        <f t="shared" si="210"/>
        <v>0</v>
      </c>
      <c r="D592" s="1659">
        <v>8802</v>
      </c>
      <c r="E592" s="888" t="str">
        <f t="shared" si="213"/>
        <v>其他归属于母公司所有者权益_会计政策变更调整上年年末余额</v>
      </c>
      <c r="F592" s="884">
        <f t="shared" si="222"/>
        <v>0</v>
      </c>
      <c r="G592" s="885">
        <f>SUMIF(AJE!$B:$B,$C592&amp;$D592&amp;"*",AJE!$O:$O)</f>
        <v>0</v>
      </c>
      <c r="H592" s="885">
        <f>SUMIF(AJE!$B:$B,$C592&amp;$D592&amp;"*",AJE!$P:$P)</f>
        <v>0</v>
      </c>
      <c r="I592" s="913">
        <f t="shared" si="215"/>
        <v>0</v>
      </c>
      <c r="J592" s="914">
        <f t="shared" si="216"/>
        <v>0</v>
      </c>
      <c r="K592" s="885">
        <f>SUMIF('AJE1'!$B:$B,$C592&amp;$D592&amp;"*",'AJE1'!$O:$O)</f>
        <v>0</v>
      </c>
      <c r="L592" s="885">
        <f>SUMIF('AJE1'!$B:$B,$C592&amp;$D592&amp;"*",'AJE1'!$P:$P)</f>
        <v>0</v>
      </c>
      <c r="M592" s="891">
        <f t="shared" si="217"/>
        <v>0</v>
      </c>
      <c r="N592" s="641"/>
      <c r="O592" s="641"/>
      <c r="P592" s="641"/>
      <c r="Q592" s="641"/>
      <c r="T592" s="3056">
        <v>8901</v>
      </c>
      <c r="U592" s="3063">
        <v>0</v>
      </c>
    </row>
    <row r="593" spans="1:21" ht="24">
      <c r="A593" s="1648" t="str">
        <f t="shared" si="211"/>
        <v>※LOW</v>
      </c>
      <c r="B593" s="1647">
        <f t="shared" si="212"/>
        <v>-1</v>
      </c>
      <c r="C593" s="1647">
        <f t="shared" si="210"/>
        <v>0</v>
      </c>
      <c r="D593" s="1659">
        <v>8803</v>
      </c>
      <c r="E593" s="888" t="str">
        <f t="shared" si="213"/>
        <v>其他归属于母公司所有者权益_前期差错更正调整上年年末余额</v>
      </c>
      <c r="F593" s="884">
        <f t="shared" si="222"/>
        <v>0</v>
      </c>
      <c r="G593" s="885">
        <f>SUMIF(AJE!$B:$B,$C593&amp;$D593&amp;"*",AJE!$O:$O)</f>
        <v>0</v>
      </c>
      <c r="H593" s="885">
        <f>SUMIF(AJE!$B:$B,$C593&amp;$D593&amp;"*",AJE!$P:$P)</f>
        <v>0</v>
      </c>
      <c r="I593" s="913">
        <f t="shared" si="215"/>
        <v>0</v>
      </c>
      <c r="J593" s="914">
        <f t="shared" si="216"/>
        <v>0</v>
      </c>
      <c r="K593" s="885">
        <f>SUMIF('AJE1'!$B:$B,$C593&amp;$D593&amp;"*",'AJE1'!$O:$O)</f>
        <v>0</v>
      </c>
      <c r="L593" s="885">
        <f>SUMIF('AJE1'!$B:$B,$C593&amp;$D593&amp;"*",'AJE1'!$P:$P)</f>
        <v>0</v>
      </c>
      <c r="M593" s="891">
        <f t="shared" si="217"/>
        <v>0</v>
      </c>
      <c r="N593" s="641"/>
      <c r="O593" s="641"/>
      <c r="P593" s="641"/>
      <c r="Q593" s="641"/>
      <c r="T593" s="3056">
        <v>8902</v>
      </c>
      <c r="U593" s="3063">
        <v>0</v>
      </c>
    </row>
    <row r="594" spans="1:21" ht="24">
      <c r="A594" s="1648" t="str">
        <f t="shared" si="211"/>
        <v>※</v>
      </c>
      <c r="B594" s="1647">
        <f t="shared" si="212"/>
        <v>-1</v>
      </c>
      <c r="C594" s="1647">
        <f t="shared" si="210"/>
        <v>0</v>
      </c>
      <c r="D594" s="1659">
        <v>8804</v>
      </c>
      <c r="E594" s="888" t="str">
        <f t="shared" si="213"/>
        <v>其他归属于母公司所有者权益_同一控制下企业合并调整上年年末余额</v>
      </c>
      <c r="F594" s="884">
        <f>INDEX(Sheet_Presc,MATCH((RIGHT($D594,2)),Sheet_Prescrow,0),MATCH((LEFT($D594,2)),Sheet_Presccol,0))</f>
        <v>0</v>
      </c>
      <c r="G594" s="885">
        <f>SUMIF(AJE!$B:$B,$C594&amp;$D594&amp;"*",AJE!$O:$O)</f>
        <v>0</v>
      </c>
      <c r="H594" s="885">
        <f>SUMIF(AJE!$B:$B,$C594&amp;$D594&amp;"*",AJE!$P:$P)</f>
        <v>0</v>
      </c>
      <c r="I594" s="913">
        <f t="shared" si="215"/>
        <v>0</v>
      </c>
      <c r="J594" s="914">
        <f>INDEX(Sheet_Presc,MATCH((RIGHT($D594,2)),Sheet_Prescrow,0),MATCH((VALUE(LEFT($D594,2))),Sheet_Presccol,0))</f>
        <v>0</v>
      </c>
      <c r="K594" s="885">
        <f>SUMIF('AJE1'!$B:$B,$C594&amp;$D594&amp;"*",'AJE1'!$O:$O)</f>
        <v>0</v>
      </c>
      <c r="L594" s="885">
        <f>SUMIF('AJE1'!$B:$B,$C594&amp;$D594&amp;"*",'AJE1'!$P:$P)</f>
        <v>0</v>
      </c>
      <c r="M594" s="891">
        <f t="shared" si="217"/>
        <v>0</v>
      </c>
      <c r="N594" s="641"/>
      <c r="O594" s="641"/>
      <c r="P594" s="641"/>
      <c r="Q594" s="641"/>
      <c r="T594" s="3056">
        <v>8903</v>
      </c>
      <c r="U594" s="3063">
        <v>0</v>
      </c>
    </row>
    <row r="595" spans="1:21" ht="24">
      <c r="A595" s="1648" t="str">
        <f t="shared" si="211"/>
        <v>※LOW</v>
      </c>
      <c r="B595" s="1647">
        <f t="shared" si="212"/>
        <v>-1</v>
      </c>
      <c r="C595" s="1647">
        <f t="shared" si="210"/>
        <v>0</v>
      </c>
      <c r="D595" s="1659">
        <v>8809</v>
      </c>
      <c r="E595" s="888" t="str">
        <f t="shared" si="213"/>
        <v>其他归属于母公司所有者权益_其他原因调整上年年末余额</v>
      </c>
      <c r="F595" s="884">
        <f t="shared" si="222"/>
        <v>0</v>
      </c>
      <c r="G595" s="885">
        <f>SUMIF(AJE!$B:$B,$C595&amp;$D595&amp;"*",AJE!$O:$O)</f>
        <v>0</v>
      </c>
      <c r="H595" s="885">
        <f>SUMIF(AJE!$B:$B,$C595&amp;$D595&amp;"*",AJE!$P:$P)</f>
        <v>0</v>
      </c>
      <c r="I595" s="913">
        <f t="shared" si="215"/>
        <v>0</v>
      </c>
      <c r="J595" s="914">
        <f t="shared" si="216"/>
        <v>0</v>
      </c>
      <c r="K595" s="885">
        <f>SUMIF('AJE1'!$B:$B,$C595&amp;$D595&amp;"*",'AJE1'!$O:$O)</f>
        <v>0</v>
      </c>
      <c r="L595" s="885">
        <f>SUMIF('AJE1'!$B:$B,$C595&amp;$D595&amp;"*",'AJE1'!$P:$P)</f>
        <v>0</v>
      </c>
      <c r="M595" s="891">
        <f t="shared" si="217"/>
        <v>0</v>
      </c>
      <c r="N595" s="641"/>
      <c r="O595" s="641"/>
      <c r="P595" s="641"/>
      <c r="Q595" s="641"/>
      <c r="T595" s="3056">
        <v>8904</v>
      </c>
      <c r="U595" s="3063">
        <v>0</v>
      </c>
    </row>
    <row r="596" spans="1:21" ht="24">
      <c r="A596" s="1648" t="str">
        <f t="shared" si="211"/>
        <v>※＝</v>
      </c>
      <c r="B596" s="1647">
        <f t="shared" si="212"/>
        <v>0</v>
      </c>
      <c r="C596" s="1647">
        <f t="shared" si="210"/>
        <v>0</v>
      </c>
      <c r="D596" s="1659">
        <v>8810</v>
      </c>
      <c r="E596" s="888" t="str">
        <f t="shared" si="213"/>
        <v>其他归属于母公司所有者权益_本年年初余额</v>
      </c>
      <c r="F596" s="884">
        <f t="shared" ref="F596:M596" si="228">SUM(F591:F595)</f>
        <v>0</v>
      </c>
      <c r="G596" s="885">
        <f t="shared" si="228"/>
        <v>0</v>
      </c>
      <c r="H596" s="885">
        <f t="shared" si="228"/>
        <v>0</v>
      </c>
      <c r="I596" s="913">
        <f t="shared" si="228"/>
        <v>0</v>
      </c>
      <c r="J596" s="914">
        <f t="shared" si="228"/>
        <v>0</v>
      </c>
      <c r="K596" s="885">
        <f t="shared" si="228"/>
        <v>0</v>
      </c>
      <c r="L596" s="885">
        <f t="shared" si="228"/>
        <v>0</v>
      </c>
      <c r="M596" s="891">
        <f t="shared" si="228"/>
        <v>0</v>
      </c>
      <c r="N596" s="641"/>
      <c r="O596" s="641"/>
      <c r="P596" s="641"/>
      <c r="Q596" s="641"/>
      <c r="T596" s="3056">
        <v>8909</v>
      </c>
      <c r="U596" s="3063">
        <v>0</v>
      </c>
    </row>
    <row r="597" spans="1:21" ht="24">
      <c r="A597" s="1648" t="str">
        <f t="shared" si="211"/>
        <v>※＝</v>
      </c>
      <c r="B597" s="1647">
        <f t="shared" si="212"/>
        <v>0</v>
      </c>
      <c r="C597" s="1647">
        <f t="shared" si="210"/>
        <v>0</v>
      </c>
      <c r="D597" s="1659">
        <v>8890</v>
      </c>
      <c r="E597" s="888" t="str">
        <f t="shared" si="213"/>
        <v>其他归属于母公司所有者权益_本期增减变动金额</v>
      </c>
      <c r="F597" s="884">
        <f t="shared" ref="F597:M597" si="229">SUM(F600,F601,F606,F611,F618,F621)</f>
        <v>0</v>
      </c>
      <c r="G597" s="885">
        <f t="shared" si="229"/>
        <v>0</v>
      </c>
      <c r="H597" s="885">
        <f t="shared" si="229"/>
        <v>0</v>
      </c>
      <c r="I597" s="913">
        <f t="shared" si="229"/>
        <v>0</v>
      </c>
      <c r="J597" s="914">
        <f t="shared" si="229"/>
        <v>0</v>
      </c>
      <c r="K597" s="885">
        <f t="shared" si="229"/>
        <v>0</v>
      </c>
      <c r="L597" s="885">
        <f t="shared" si="229"/>
        <v>0</v>
      </c>
      <c r="M597" s="891">
        <f t="shared" si="229"/>
        <v>0</v>
      </c>
      <c r="N597" s="641"/>
      <c r="O597" s="641"/>
      <c r="P597" s="641"/>
      <c r="Q597" s="641"/>
      <c r="T597" s="3056">
        <v>8910</v>
      </c>
      <c r="U597" s="3063">
        <v>0</v>
      </c>
    </row>
    <row r="598" spans="1:21" ht="24">
      <c r="A598" s="1648" t="str">
        <f t="shared" si="211"/>
        <v>※LOW</v>
      </c>
      <c r="B598" s="1647">
        <f t="shared" si="212"/>
        <v>-1</v>
      </c>
      <c r="C598" s="1647">
        <f t="shared" si="210"/>
        <v>0</v>
      </c>
      <c r="D598" s="1659">
        <v>8821</v>
      </c>
      <c r="E598" s="888" t="str">
        <f t="shared" si="213"/>
        <v>其他归属于母公司所有者权益_净利润增加权益</v>
      </c>
      <c r="F598" s="884">
        <f>INDEX(Sheet_Presc,MATCH((RIGHT($D598,2)),Sheet_Prescrow,0),MATCH((LEFT($D598,2)),Sheet_Presccol,0))</f>
        <v>0</v>
      </c>
      <c r="G598" s="885">
        <f>SUMIF(AJE!$B:$B,$C598&amp;$D598&amp;"*",AJE!$O:$O)</f>
        <v>0</v>
      </c>
      <c r="H598" s="885">
        <f>SUMIF(AJE!$B:$B,$C598&amp;$D598&amp;"*",AJE!$P:$P)</f>
        <v>0</v>
      </c>
      <c r="I598" s="913">
        <f t="shared" si="215"/>
        <v>0</v>
      </c>
      <c r="J598" s="914">
        <f t="shared" si="216"/>
        <v>0</v>
      </c>
      <c r="K598" s="885">
        <f>SUMIF('AJE1'!$B:$B,$C598&amp;$D598&amp;"*",'AJE1'!$O:$O)</f>
        <v>0</v>
      </c>
      <c r="L598" s="885">
        <f>SUMIF('AJE1'!$B:$B,$C598&amp;$D598&amp;"*",'AJE1'!$P:$P)</f>
        <v>0</v>
      </c>
      <c r="M598" s="891">
        <f t="shared" si="217"/>
        <v>0</v>
      </c>
      <c r="N598" s="641"/>
      <c r="O598" s="641"/>
      <c r="P598" s="641"/>
      <c r="Q598" s="641"/>
      <c r="T598" s="3056">
        <v>8990</v>
      </c>
      <c r="U598" s="3063">
        <v>0</v>
      </c>
    </row>
    <row r="599" spans="1:21" ht="24">
      <c r="A599" s="1648" t="str">
        <f t="shared" si="211"/>
        <v>※LOW</v>
      </c>
      <c r="B599" s="1647">
        <f t="shared" si="212"/>
        <v>-1</v>
      </c>
      <c r="C599" s="1647">
        <f t="shared" si="210"/>
        <v>0</v>
      </c>
      <c r="D599" s="1659">
        <v>8830</v>
      </c>
      <c r="E599" s="888" t="str">
        <f t="shared" si="213"/>
        <v>其他归属于母公司所有者权益_其他综合收益</v>
      </c>
      <c r="F599" s="884">
        <f>INDEX(Sheet_Presc,MATCH((RIGHT($D599,2)),Sheet_Prescrow,0),MATCH((LEFT($D599,2)),Sheet_Presccol,0))</f>
        <v>0</v>
      </c>
      <c r="G599" s="885">
        <f>SUMIF(AJE!$B:$B,$C599&amp;$D599&amp;"*",AJE!$O:$O)</f>
        <v>0</v>
      </c>
      <c r="H599" s="885">
        <f>SUMIF(AJE!$B:$B,$C599&amp;$D599&amp;"*",AJE!$P:$P)</f>
        <v>0</v>
      </c>
      <c r="I599" s="913">
        <f t="shared" si="215"/>
        <v>0</v>
      </c>
      <c r="J599" s="914">
        <f t="shared" si="216"/>
        <v>0</v>
      </c>
      <c r="K599" s="885">
        <f>SUMIF('AJE1'!$B:$B,$C599&amp;$D599&amp;"*",'AJE1'!$O:$O)</f>
        <v>0</v>
      </c>
      <c r="L599" s="885">
        <f>SUMIF('AJE1'!$B:$B,$C599&amp;$D599&amp;"*",'AJE1'!$P:$P)</f>
        <v>0</v>
      </c>
      <c r="M599" s="891">
        <f t="shared" si="217"/>
        <v>0</v>
      </c>
      <c r="N599" s="641"/>
      <c r="O599" s="641"/>
      <c r="P599" s="641"/>
      <c r="Q599" s="641"/>
      <c r="T599" s="3056">
        <v>8921</v>
      </c>
      <c r="U599" s="3063">
        <v>0</v>
      </c>
    </row>
    <row r="600" spans="1:21" ht="24">
      <c r="A600" s="1648" t="str">
        <f t="shared" si="211"/>
        <v>※</v>
      </c>
      <c r="B600" s="1647">
        <f t="shared" si="212"/>
        <v>-1</v>
      </c>
      <c r="C600" s="1647">
        <f t="shared" si="210"/>
        <v>0</v>
      </c>
      <c r="D600" s="1659">
        <v>8840</v>
      </c>
      <c r="E600" s="888" t="str">
        <f t="shared" si="213"/>
        <v>其他归属于母公司所有者权益_综合收益总额增加权益</v>
      </c>
      <c r="F600" s="884">
        <f>INDEX(Sheet_Presc,MATCH((RIGHT($D600,2)),Sheet_Prescrow,0),MATCH((LEFT($D600,2)),Sheet_Presccol,0))</f>
        <v>0</v>
      </c>
      <c r="G600" s="885">
        <f>SUMIF(AJE!$B:$B,$C600&amp;$D600&amp;"*",AJE!$O:$O)</f>
        <v>0</v>
      </c>
      <c r="H600" s="885">
        <f>SUMIF(AJE!$B:$B,$C600&amp;$D600&amp;"*",AJE!$P:$P)</f>
        <v>0</v>
      </c>
      <c r="I600" s="913">
        <f t="shared" si="215"/>
        <v>0</v>
      </c>
      <c r="J600" s="914">
        <f>INDEX(Sheet_Presc,MATCH((RIGHT($D600,2)),Sheet_Prescrow,0),MATCH((VALUE(LEFT($D600,2))),Sheet_Presccol,0))</f>
        <v>0</v>
      </c>
      <c r="K600" s="885">
        <f>SUMIF('AJE1'!$B:$B,$C600&amp;$D600&amp;"*",'AJE1'!$O:$O)</f>
        <v>0</v>
      </c>
      <c r="L600" s="885">
        <f>SUMIF('AJE1'!$B:$B,$C600&amp;$D600&amp;"*",'AJE1'!$P:$P)</f>
        <v>0</v>
      </c>
      <c r="M600" s="891">
        <f t="shared" si="217"/>
        <v>0</v>
      </c>
      <c r="N600" s="641"/>
      <c r="O600" s="641"/>
      <c r="P600" s="641"/>
      <c r="Q600" s="641"/>
      <c r="T600" s="3056">
        <v>8930</v>
      </c>
      <c r="U600" s="3063">
        <v>0</v>
      </c>
    </row>
    <row r="601" spans="1:21" ht="24">
      <c r="A601" s="1648" t="str">
        <f t="shared" si="211"/>
        <v>※＝</v>
      </c>
      <c r="B601" s="1647">
        <f t="shared" si="212"/>
        <v>0</v>
      </c>
      <c r="C601" s="1647">
        <f t="shared" si="210"/>
        <v>0</v>
      </c>
      <c r="D601" s="1659">
        <v>8850</v>
      </c>
      <c r="E601" s="888" t="str">
        <f t="shared" si="213"/>
        <v>其他归属于母公司所有者权益_所有者投入和减少资本影响权益</v>
      </c>
      <c r="F601" s="884">
        <f t="shared" ref="F601:M601" si="230">SUM(F602:F605)</f>
        <v>0</v>
      </c>
      <c r="G601" s="885">
        <f t="shared" si="230"/>
        <v>0</v>
      </c>
      <c r="H601" s="885">
        <f t="shared" si="230"/>
        <v>0</v>
      </c>
      <c r="I601" s="913">
        <f t="shared" si="230"/>
        <v>0</v>
      </c>
      <c r="J601" s="914">
        <f t="shared" si="230"/>
        <v>0</v>
      </c>
      <c r="K601" s="885">
        <f t="shared" si="230"/>
        <v>0</v>
      </c>
      <c r="L601" s="885">
        <f t="shared" si="230"/>
        <v>0</v>
      </c>
      <c r="M601" s="891">
        <f t="shared" si="230"/>
        <v>0</v>
      </c>
      <c r="N601" s="641"/>
      <c r="O601" s="641"/>
      <c r="P601" s="641"/>
      <c r="Q601" s="641"/>
      <c r="T601" s="3056">
        <v>8940</v>
      </c>
      <c r="U601" s="3063">
        <v>0</v>
      </c>
    </row>
    <row r="602" spans="1:21" ht="24">
      <c r="A602" s="1648" t="str">
        <f t="shared" si="211"/>
        <v>※LOW</v>
      </c>
      <c r="B602" s="1647">
        <f t="shared" si="212"/>
        <v>-1</v>
      </c>
      <c r="C602" s="1647">
        <f t="shared" si="210"/>
        <v>0</v>
      </c>
      <c r="D602" s="1659">
        <v>8851</v>
      </c>
      <c r="E602" s="888" t="str">
        <f t="shared" si="213"/>
        <v>其他归属于母公司所有者权益_所有者投入资本</v>
      </c>
      <c r="F602" s="884">
        <f t="shared" ref="F602:F628" si="231">INDEX(Sheet_Presc,MATCH((RIGHT($D602,2)),Sheet_Prescrow,0),MATCH((LEFT($D602,2)),Sheet_Presccol,0))</f>
        <v>0</v>
      </c>
      <c r="G602" s="885">
        <f>SUMIF(AJE!$B:$B,$C602&amp;$D602&amp;"*",AJE!$O:$O)</f>
        <v>0</v>
      </c>
      <c r="H602" s="885">
        <f>SUMIF(AJE!$B:$B,$C602&amp;$D602&amp;"*",AJE!$P:$P)</f>
        <v>0</v>
      </c>
      <c r="I602" s="913">
        <f t="shared" si="215"/>
        <v>0</v>
      </c>
      <c r="J602" s="914">
        <f t="shared" si="216"/>
        <v>0</v>
      </c>
      <c r="K602" s="885">
        <f>SUMIF('AJE1'!$B:$B,$C602&amp;$D602&amp;"*",'AJE1'!$O:$O)</f>
        <v>0</v>
      </c>
      <c r="L602" s="885">
        <f>SUMIF('AJE1'!$B:$B,$C602&amp;$D602&amp;"*",'AJE1'!$P:$P)</f>
        <v>0</v>
      </c>
      <c r="M602" s="891">
        <f t="shared" si="217"/>
        <v>0</v>
      </c>
      <c r="N602" s="641"/>
      <c r="O602" s="641"/>
      <c r="P602" s="641"/>
      <c r="Q602" s="641"/>
      <c r="T602" s="3056">
        <v>8950</v>
      </c>
      <c r="U602" s="3063">
        <v>0</v>
      </c>
    </row>
    <row r="603" spans="1:21" ht="24">
      <c r="A603" s="1648" t="str">
        <f t="shared" si="211"/>
        <v>※OEI</v>
      </c>
      <c r="B603" s="1647">
        <f t="shared" si="212"/>
        <v>-1</v>
      </c>
      <c r="C603" s="1647">
        <f t="shared" si="210"/>
        <v>0</v>
      </c>
      <c r="D603" s="1659">
        <v>8853</v>
      </c>
      <c r="E603" s="888" t="str">
        <f t="shared" si="213"/>
        <v>其他归属于母公司所有者权益_其他权益工具持有者投入资本</v>
      </c>
      <c r="F603" s="884">
        <f>INDEX(Sheet_Presc,MATCH((RIGHT($D603,2)),Sheet_Prescrow,0),MATCH((LEFT($D603,2)),Sheet_Presccol,0))</f>
        <v>0</v>
      </c>
      <c r="G603" s="885">
        <f>SUMIF(AJE!$B:$B,$C603&amp;$D603&amp;"*",AJE!$O:$O)</f>
        <v>0</v>
      </c>
      <c r="H603" s="885">
        <f>SUMIF(AJE!$B:$B,$C603&amp;$D603&amp;"*",AJE!$P:$P)</f>
        <v>0</v>
      </c>
      <c r="I603" s="913">
        <f t="shared" si="215"/>
        <v>0</v>
      </c>
      <c r="J603" s="914">
        <f>INDEX(Sheet_Presc,MATCH((RIGHT($D603,2)),Sheet_Prescrow,0),MATCH((VALUE(LEFT($D603,2))),Sheet_Presccol,0))</f>
        <v>0</v>
      </c>
      <c r="K603" s="885">
        <f>SUMIF('AJE1'!$B:$B,$C603&amp;$D603&amp;"*",'AJE1'!$O:$O)</f>
        <v>0</v>
      </c>
      <c r="L603" s="885">
        <f>SUMIF('AJE1'!$B:$B,$C603&amp;$D603&amp;"*",'AJE1'!$P:$P)</f>
        <v>0</v>
      </c>
      <c r="M603" s="891">
        <f t="shared" si="217"/>
        <v>0</v>
      </c>
      <c r="N603" s="641"/>
      <c r="O603" s="641"/>
      <c r="P603" s="641"/>
      <c r="Q603" s="641"/>
      <c r="T603" s="3056">
        <v>8951</v>
      </c>
      <c r="U603" s="3063">
        <v>0</v>
      </c>
    </row>
    <row r="604" spans="1:21" ht="24">
      <c r="A604" s="1648" t="str">
        <f t="shared" si="211"/>
        <v>※LOW</v>
      </c>
      <c r="B604" s="1647">
        <f t="shared" si="212"/>
        <v>-1</v>
      </c>
      <c r="C604" s="1647">
        <f t="shared" si="210"/>
        <v>0</v>
      </c>
      <c r="D604" s="1659">
        <v>8852</v>
      </c>
      <c r="E604" s="888" t="str">
        <f t="shared" si="213"/>
        <v>其他归属于母公司所有者权益_股份支付</v>
      </c>
      <c r="F604" s="884">
        <f t="shared" si="231"/>
        <v>0</v>
      </c>
      <c r="G604" s="885">
        <f>SUMIF(AJE!$B:$B,$C604&amp;$D604&amp;"*",AJE!$O:$O)</f>
        <v>0</v>
      </c>
      <c r="H604" s="885">
        <f>SUMIF(AJE!$B:$B,$C604&amp;$D604&amp;"*",AJE!$P:$P)</f>
        <v>0</v>
      </c>
      <c r="I604" s="913">
        <f t="shared" si="215"/>
        <v>0</v>
      </c>
      <c r="J604" s="914">
        <f t="shared" si="216"/>
        <v>0</v>
      </c>
      <c r="K604" s="885">
        <f>SUMIF('AJE1'!$B:$B,$C604&amp;$D604&amp;"*",'AJE1'!$O:$O)</f>
        <v>0</v>
      </c>
      <c r="L604" s="885">
        <f>SUMIF('AJE1'!$B:$B,$C604&amp;$D604&amp;"*",'AJE1'!$P:$P)</f>
        <v>0</v>
      </c>
      <c r="M604" s="891">
        <f t="shared" si="217"/>
        <v>0</v>
      </c>
      <c r="N604" s="641"/>
      <c r="O604" s="641"/>
      <c r="P604" s="641"/>
      <c r="Q604" s="641"/>
      <c r="T604" s="3056">
        <v>8953</v>
      </c>
      <c r="U604" s="3063">
        <v>0</v>
      </c>
    </row>
    <row r="605" spans="1:21" ht="24">
      <c r="A605" s="1648" t="str">
        <f t="shared" si="211"/>
        <v>※LOW</v>
      </c>
      <c r="B605" s="1647">
        <f t="shared" si="212"/>
        <v>-1</v>
      </c>
      <c r="C605" s="1647">
        <f t="shared" si="210"/>
        <v>0</v>
      </c>
      <c r="D605" s="1659">
        <v>8856</v>
      </c>
      <c r="E605" s="888" t="str">
        <f t="shared" si="213"/>
        <v>其他归属于母公司所有者权益_所有者其他投入和减少资本</v>
      </c>
      <c r="F605" s="884">
        <f t="shared" si="231"/>
        <v>0</v>
      </c>
      <c r="G605" s="885">
        <f>SUMIF(AJE!$B:$B,$C605&amp;$D605&amp;"*",AJE!$O:$O)</f>
        <v>0</v>
      </c>
      <c r="H605" s="885">
        <f>SUMIF(AJE!$B:$B,$C605&amp;$D605&amp;"*",AJE!$P:$P)</f>
        <v>0</v>
      </c>
      <c r="I605" s="913">
        <f t="shared" si="215"/>
        <v>0</v>
      </c>
      <c r="J605" s="914">
        <f t="shared" si="216"/>
        <v>0</v>
      </c>
      <c r="K605" s="885">
        <f>SUMIF('AJE1'!$B:$B,$C605&amp;$D605&amp;"*",'AJE1'!$O:$O)</f>
        <v>0</v>
      </c>
      <c r="L605" s="885">
        <f>SUMIF('AJE1'!$B:$B,$C605&amp;$D605&amp;"*",'AJE1'!$P:$P)</f>
        <v>0</v>
      </c>
      <c r="M605" s="891">
        <f t="shared" si="217"/>
        <v>0</v>
      </c>
      <c r="N605" s="641"/>
      <c r="O605" s="641"/>
      <c r="P605" s="641"/>
      <c r="Q605" s="641"/>
      <c r="T605" s="3056">
        <v>8952</v>
      </c>
      <c r="U605" s="3063">
        <v>0</v>
      </c>
    </row>
    <row r="606" spans="1:21" ht="24">
      <c r="A606" s="1648" t="str">
        <f t="shared" si="211"/>
        <v>※＝</v>
      </c>
      <c r="B606" s="1647">
        <f t="shared" si="212"/>
        <v>0</v>
      </c>
      <c r="C606" s="1647">
        <f t="shared" si="210"/>
        <v>0</v>
      </c>
      <c r="D606" s="1659">
        <v>8860</v>
      </c>
      <c r="E606" s="888" t="str">
        <f t="shared" si="213"/>
        <v>其他归属于母公司所有者权益_利润分配影响权益</v>
      </c>
      <c r="F606" s="884">
        <f t="shared" ref="F606:M606" si="232">SUM(F607:F610)</f>
        <v>0</v>
      </c>
      <c r="G606" s="885">
        <f t="shared" si="232"/>
        <v>0</v>
      </c>
      <c r="H606" s="885">
        <f t="shared" si="232"/>
        <v>0</v>
      </c>
      <c r="I606" s="913">
        <f t="shared" si="232"/>
        <v>0</v>
      </c>
      <c r="J606" s="914">
        <f t="shared" si="232"/>
        <v>0</v>
      </c>
      <c r="K606" s="885">
        <f t="shared" si="232"/>
        <v>0</v>
      </c>
      <c r="L606" s="885">
        <f t="shared" si="232"/>
        <v>0</v>
      </c>
      <c r="M606" s="891">
        <f t="shared" si="232"/>
        <v>0</v>
      </c>
      <c r="N606" s="641"/>
      <c r="O606" s="641"/>
      <c r="P606" s="641"/>
      <c r="Q606" s="641"/>
      <c r="T606" s="3056">
        <v>8956</v>
      </c>
      <c r="U606" s="3063">
        <v>0</v>
      </c>
    </row>
    <row r="607" spans="1:21" ht="24">
      <c r="A607" s="1648" t="str">
        <f t="shared" si="211"/>
        <v>※LOW</v>
      </c>
      <c r="B607" s="1647">
        <f t="shared" si="212"/>
        <v>-1</v>
      </c>
      <c r="C607" s="1647">
        <f t="shared" si="210"/>
        <v>0</v>
      </c>
      <c r="D607" s="1659">
        <v>8861</v>
      </c>
      <c r="E607" s="888" t="str">
        <f t="shared" si="213"/>
        <v>其他归属于母公司所有者权益_提取盈余公积</v>
      </c>
      <c r="F607" s="884">
        <f t="shared" si="231"/>
        <v>0</v>
      </c>
      <c r="G607" s="885">
        <f>SUMIF(AJE!$B:$B,$C607&amp;$D607&amp;"*",AJE!$O:$O)</f>
        <v>0</v>
      </c>
      <c r="H607" s="885">
        <f>SUMIF(AJE!$B:$B,$C607&amp;$D607&amp;"*",AJE!$P:$P)</f>
        <v>0</v>
      </c>
      <c r="I607" s="913">
        <f t="shared" si="215"/>
        <v>0</v>
      </c>
      <c r="J607" s="914">
        <f t="shared" si="216"/>
        <v>0</v>
      </c>
      <c r="K607" s="885">
        <f>SUMIF('AJE1'!$B:$B,$C607&amp;$D607&amp;"*",'AJE1'!$O:$O)</f>
        <v>0</v>
      </c>
      <c r="L607" s="885">
        <f>SUMIF('AJE1'!$B:$B,$C607&amp;$D607&amp;"*",'AJE1'!$P:$P)</f>
        <v>0</v>
      </c>
      <c r="M607" s="891">
        <f t="shared" si="217"/>
        <v>0</v>
      </c>
      <c r="N607" s="641"/>
      <c r="O607" s="641"/>
      <c r="P607" s="641"/>
      <c r="Q607" s="641"/>
      <c r="T607" s="3056">
        <v>8960</v>
      </c>
      <c r="U607" s="3063">
        <v>0</v>
      </c>
    </row>
    <row r="608" spans="1:21" ht="24">
      <c r="A608" s="1648" t="str">
        <f t="shared" si="211"/>
        <v>※LOW</v>
      </c>
      <c r="B608" s="1647">
        <f t="shared" si="212"/>
        <v>-1</v>
      </c>
      <c r="C608" s="1647">
        <f t="shared" si="210"/>
        <v>0</v>
      </c>
      <c r="D608" s="1659">
        <v>8862</v>
      </c>
      <c r="E608" s="888" t="str">
        <f t="shared" si="213"/>
        <v>其他归属于母公司所有者权益_提取一般风险准备</v>
      </c>
      <c r="F608" s="884">
        <f t="shared" si="231"/>
        <v>0</v>
      </c>
      <c r="G608" s="885">
        <f>SUMIF(AJE!$B:$B,$C608&amp;$D608&amp;"*",AJE!$O:$O)</f>
        <v>0</v>
      </c>
      <c r="H608" s="885">
        <f>SUMIF(AJE!$B:$B,$C608&amp;$D608&amp;"*",AJE!$P:$P)</f>
        <v>0</v>
      </c>
      <c r="I608" s="913">
        <f t="shared" si="215"/>
        <v>0</v>
      </c>
      <c r="J608" s="914">
        <f t="shared" si="216"/>
        <v>0</v>
      </c>
      <c r="K608" s="885">
        <f>SUMIF('AJE1'!$B:$B,$C608&amp;$D608&amp;"*",'AJE1'!$O:$O)</f>
        <v>0</v>
      </c>
      <c r="L608" s="885">
        <f>SUMIF('AJE1'!$B:$B,$C608&amp;$D608&amp;"*",'AJE1'!$P:$P)</f>
        <v>0</v>
      </c>
      <c r="M608" s="891">
        <f t="shared" si="217"/>
        <v>0</v>
      </c>
      <c r="N608" s="641"/>
      <c r="O608" s="641"/>
      <c r="P608" s="641"/>
      <c r="Q608" s="641"/>
      <c r="T608" s="3056">
        <v>8961</v>
      </c>
      <c r="U608" s="3063">
        <v>0</v>
      </c>
    </row>
    <row r="609" spans="1:21" ht="24">
      <c r="A609" s="1648" t="str">
        <f t="shared" si="211"/>
        <v>※LOW</v>
      </c>
      <c r="B609" s="1647">
        <f t="shared" si="212"/>
        <v>-1</v>
      </c>
      <c r="C609" s="1647">
        <f t="shared" si="210"/>
        <v>0</v>
      </c>
      <c r="D609" s="1659">
        <v>8863</v>
      </c>
      <c r="E609" s="888" t="str">
        <f t="shared" si="213"/>
        <v>其他归属于母公司所有者权益_对所有者的分配</v>
      </c>
      <c r="F609" s="884">
        <f t="shared" si="231"/>
        <v>0</v>
      </c>
      <c r="G609" s="885">
        <f>SUMIF(AJE!$B:$B,$C609&amp;$D609&amp;"*",AJE!$O:$O)</f>
        <v>0</v>
      </c>
      <c r="H609" s="885">
        <f>SUMIF(AJE!$B:$B,$C609&amp;$D609&amp;"*",AJE!$P:$P)</f>
        <v>0</v>
      </c>
      <c r="I609" s="913">
        <f t="shared" si="215"/>
        <v>0</v>
      </c>
      <c r="J609" s="914">
        <f t="shared" si="216"/>
        <v>0</v>
      </c>
      <c r="K609" s="885">
        <f>SUMIF('AJE1'!$B:$B,$C609&amp;$D609&amp;"*",'AJE1'!$O:$O)</f>
        <v>0</v>
      </c>
      <c r="L609" s="885">
        <f>SUMIF('AJE1'!$B:$B,$C609&amp;$D609&amp;"*",'AJE1'!$P:$P)</f>
        <v>0</v>
      </c>
      <c r="M609" s="891">
        <f t="shared" si="217"/>
        <v>0</v>
      </c>
      <c r="N609" s="641"/>
      <c r="O609" s="641"/>
      <c r="P609" s="641"/>
      <c r="Q609" s="641"/>
      <c r="T609" s="3056">
        <v>8962</v>
      </c>
      <c r="U609" s="3063">
        <v>0</v>
      </c>
    </row>
    <row r="610" spans="1:21" ht="24">
      <c r="A610" s="1648" t="str">
        <f t="shared" si="211"/>
        <v>※LOW</v>
      </c>
      <c r="B610" s="1647">
        <f t="shared" si="212"/>
        <v>-1</v>
      </c>
      <c r="C610" s="1647">
        <f t="shared" si="210"/>
        <v>0</v>
      </c>
      <c r="D610" s="1659">
        <v>8866</v>
      </c>
      <c r="E610" s="888" t="str">
        <f t="shared" si="213"/>
        <v>其他归属于母公司所有者权益_其他利润分配</v>
      </c>
      <c r="F610" s="884">
        <f t="shared" si="231"/>
        <v>0</v>
      </c>
      <c r="G610" s="885">
        <f>SUMIF(AJE!$B:$B,$C610&amp;$D610&amp;"*",AJE!$O:$O)</f>
        <v>0</v>
      </c>
      <c r="H610" s="885">
        <f>SUMIF(AJE!$B:$B,$C610&amp;$D610&amp;"*",AJE!$P:$P)</f>
        <v>0</v>
      </c>
      <c r="I610" s="913">
        <f t="shared" si="215"/>
        <v>0</v>
      </c>
      <c r="J610" s="914">
        <f t="shared" si="216"/>
        <v>0</v>
      </c>
      <c r="K610" s="885">
        <f>SUMIF('AJE1'!$B:$B,$C610&amp;$D610&amp;"*",'AJE1'!$O:$O)</f>
        <v>0</v>
      </c>
      <c r="L610" s="885">
        <f>SUMIF('AJE1'!$B:$B,$C610&amp;$D610&amp;"*",'AJE1'!$P:$P)</f>
        <v>0</v>
      </c>
      <c r="M610" s="891">
        <f t="shared" si="217"/>
        <v>0</v>
      </c>
      <c r="N610" s="641"/>
      <c r="O610" s="641"/>
      <c r="P610" s="641"/>
      <c r="Q610" s="641"/>
      <c r="T610" s="3056">
        <v>8963</v>
      </c>
      <c r="U610" s="3063">
        <v>0</v>
      </c>
    </row>
    <row r="611" spans="1:21" ht="24">
      <c r="A611" s="1648" t="str">
        <f t="shared" si="211"/>
        <v>※＝</v>
      </c>
      <c r="B611" s="1647">
        <f t="shared" si="212"/>
        <v>0</v>
      </c>
      <c r="C611" s="1647">
        <f t="shared" si="210"/>
        <v>0</v>
      </c>
      <c r="D611" s="1659">
        <v>8870</v>
      </c>
      <c r="E611" s="888" t="str">
        <f t="shared" si="213"/>
        <v>其他归属于母公司所有者权益_所有者权益内部结转</v>
      </c>
      <c r="F611" s="884">
        <f t="shared" ref="F611:M611" si="233">SUM(F612:F617)</f>
        <v>0</v>
      </c>
      <c r="G611" s="885">
        <f t="shared" si="233"/>
        <v>0</v>
      </c>
      <c r="H611" s="885">
        <f t="shared" si="233"/>
        <v>0</v>
      </c>
      <c r="I611" s="913">
        <f t="shared" si="233"/>
        <v>0</v>
      </c>
      <c r="J611" s="914">
        <f t="shared" si="233"/>
        <v>0</v>
      </c>
      <c r="K611" s="885">
        <f t="shared" si="233"/>
        <v>0</v>
      </c>
      <c r="L611" s="885">
        <f t="shared" si="233"/>
        <v>0</v>
      </c>
      <c r="M611" s="891">
        <f t="shared" si="233"/>
        <v>0</v>
      </c>
      <c r="N611" s="641"/>
      <c r="O611" s="641"/>
      <c r="P611" s="641"/>
      <c r="Q611" s="641"/>
      <c r="T611" s="3056">
        <v>8966</v>
      </c>
      <c r="U611" s="3063">
        <v>0</v>
      </c>
    </row>
    <row r="612" spans="1:21" ht="24">
      <c r="A612" s="1648" t="str">
        <f t="shared" si="211"/>
        <v>※LOW</v>
      </c>
      <c r="B612" s="1647">
        <f t="shared" si="212"/>
        <v>-1</v>
      </c>
      <c r="C612" s="1647">
        <f t="shared" si="210"/>
        <v>0</v>
      </c>
      <c r="D612" s="1659">
        <v>8871</v>
      </c>
      <c r="E612" s="888" t="str">
        <f t="shared" si="213"/>
        <v>其他归属于母公司所有者权益_资本公积转增资本</v>
      </c>
      <c r="F612" s="884">
        <f t="shared" si="231"/>
        <v>0</v>
      </c>
      <c r="G612" s="885">
        <f>SUMIF(AJE!$B:$B,$C612&amp;$D612&amp;"*",AJE!$O:$O)</f>
        <v>0</v>
      </c>
      <c r="H612" s="885">
        <f>SUMIF(AJE!$B:$B,$C612&amp;$D612&amp;"*",AJE!$P:$P)</f>
        <v>0</v>
      </c>
      <c r="I612" s="913">
        <f t="shared" si="215"/>
        <v>0</v>
      </c>
      <c r="J612" s="914">
        <f t="shared" si="216"/>
        <v>0</v>
      </c>
      <c r="K612" s="885">
        <f>SUMIF('AJE1'!$B:$B,$C612&amp;$D612&amp;"*",'AJE1'!$O:$O)</f>
        <v>0</v>
      </c>
      <c r="L612" s="885">
        <f>SUMIF('AJE1'!$B:$B,$C612&amp;$D612&amp;"*",'AJE1'!$P:$P)</f>
        <v>0</v>
      </c>
      <c r="M612" s="891">
        <f t="shared" si="217"/>
        <v>0</v>
      </c>
      <c r="N612" s="641"/>
      <c r="O612" s="641"/>
      <c r="P612" s="641"/>
      <c r="Q612" s="641"/>
      <c r="T612" s="3056">
        <v>8970</v>
      </c>
      <c r="U612" s="3063">
        <v>0</v>
      </c>
    </row>
    <row r="613" spans="1:21" ht="24">
      <c r="A613" s="1648" t="str">
        <f t="shared" si="211"/>
        <v>※LOW</v>
      </c>
      <c r="B613" s="1647">
        <f t="shared" si="212"/>
        <v>-1</v>
      </c>
      <c r="C613" s="1647">
        <f t="shared" si="210"/>
        <v>0</v>
      </c>
      <c r="D613" s="1659">
        <v>8872</v>
      </c>
      <c r="E613" s="888" t="str">
        <f t="shared" si="213"/>
        <v>其他归属于母公司所有者权益_盈余公积转增资本</v>
      </c>
      <c r="F613" s="884">
        <f t="shared" si="231"/>
        <v>0</v>
      </c>
      <c r="G613" s="885">
        <f>SUMIF(AJE!$B:$B,$C613&amp;$D613&amp;"*",AJE!$O:$O)</f>
        <v>0</v>
      </c>
      <c r="H613" s="885">
        <f>SUMIF(AJE!$B:$B,$C613&amp;$D613&amp;"*",AJE!$P:$P)</f>
        <v>0</v>
      </c>
      <c r="I613" s="913">
        <f t="shared" si="215"/>
        <v>0</v>
      </c>
      <c r="J613" s="914">
        <f t="shared" si="216"/>
        <v>0</v>
      </c>
      <c r="K613" s="885">
        <f>SUMIF('AJE1'!$B:$B,$C613&amp;$D613&amp;"*",'AJE1'!$O:$O)</f>
        <v>0</v>
      </c>
      <c r="L613" s="885">
        <f>SUMIF('AJE1'!$B:$B,$C613&amp;$D613&amp;"*",'AJE1'!$P:$P)</f>
        <v>0</v>
      </c>
      <c r="M613" s="891">
        <f t="shared" si="217"/>
        <v>0</v>
      </c>
      <c r="N613" s="641"/>
      <c r="O613" s="641"/>
      <c r="P613" s="641"/>
      <c r="Q613" s="641"/>
      <c r="T613" s="3056">
        <v>8971</v>
      </c>
      <c r="U613" s="3063">
        <v>0</v>
      </c>
    </row>
    <row r="614" spans="1:21" ht="24">
      <c r="A614" s="1648" t="str">
        <f t="shared" si="211"/>
        <v>※LOW</v>
      </c>
      <c r="B614" s="1647">
        <f t="shared" si="212"/>
        <v>-1</v>
      </c>
      <c r="C614" s="1647">
        <f t="shared" si="210"/>
        <v>0</v>
      </c>
      <c r="D614" s="1659">
        <v>8873</v>
      </c>
      <c r="E614" s="888" t="str">
        <f t="shared" si="213"/>
        <v>其他归属于母公司所有者权益_盈余公积弥补亏损</v>
      </c>
      <c r="F614" s="884">
        <f t="shared" si="231"/>
        <v>0</v>
      </c>
      <c r="G614" s="885">
        <f>SUMIF(AJE!$B:$B,$C614&amp;$D614&amp;"*",AJE!$O:$O)</f>
        <v>0</v>
      </c>
      <c r="H614" s="885">
        <f>SUMIF(AJE!$B:$B,$C614&amp;$D614&amp;"*",AJE!$P:$P)</f>
        <v>0</v>
      </c>
      <c r="I614" s="913">
        <f t="shared" si="215"/>
        <v>0</v>
      </c>
      <c r="J614" s="914">
        <f t="shared" si="216"/>
        <v>0</v>
      </c>
      <c r="K614" s="885">
        <f>SUMIF('AJE1'!$B:$B,$C614&amp;$D614&amp;"*",'AJE1'!$O:$O)</f>
        <v>0</v>
      </c>
      <c r="L614" s="885">
        <f>SUMIF('AJE1'!$B:$B,$C614&amp;$D614&amp;"*",'AJE1'!$P:$P)</f>
        <v>0</v>
      </c>
      <c r="M614" s="891">
        <f t="shared" si="217"/>
        <v>0</v>
      </c>
      <c r="N614" s="641"/>
      <c r="O614" s="641"/>
      <c r="P614" s="641"/>
      <c r="Q614" s="641"/>
      <c r="T614" s="3056">
        <v>8972</v>
      </c>
      <c r="U614" s="3063">
        <v>0</v>
      </c>
    </row>
    <row r="615" spans="1:21" ht="24">
      <c r="A615" s="1648" t="str">
        <f t="shared" si="211"/>
        <v>※OEI</v>
      </c>
      <c r="B615" s="1647">
        <f t="shared" si="212"/>
        <v>-1</v>
      </c>
      <c r="C615" s="1647">
        <f t="shared" si="210"/>
        <v>0</v>
      </c>
      <c r="D615" s="1659">
        <v>8875</v>
      </c>
      <c r="E615" s="888" t="str">
        <f t="shared" si="213"/>
        <v>其他归属于母公司所有者权益_设定受益计划变动额结转留存收益</v>
      </c>
      <c r="F615" s="884">
        <f>INDEX(Sheet_Presc,MATCH((RIGHT($D615,2)),Sheet_Prescrow,0),MATCH((LEFT($D615,2)),Sheet_Presccol,0))</f>
        <v>0</v>
      </c>
      <c r="G615" s="885">
        <f>SUMIF(AJE!$B:$B,$C615&amp;$D615&amp;"*",AJE!$O:$O)</f>
        <v>0</v>
      </c>
      <c r="H615" s="885">
        <f>SUMIF(AJE!$B:$B,$C615&amp;$D615&amp;"*",AJE!$P:$P)</f>
        <v>0</v>
      </c>
      <c r="I615" s="913">
        <f t="shared" si="215"/>
        <v>0</v>
      </c>
      <c r="J615" s="914">
        <f>INDEX(Sheet_Presc,MATCH((RIGHT($D615,2)),Sheet_Prescrow,0),MATCH((VALUE(LEFT($D615,2))),Sheet_Presccol,0))</f>
        <v>0</v>
      </c>
      <c r="K615" s="885">
        <f>SUMIF('AJE1'!$B:$B,$C615&amp;$D615&amp;"*",'AJE1'!$O:$O)</f>
        <v>0</v>
      </c>
      <c r="L615" s="885">
        <f>SUMIF('AJE1'!$B:$B,$C615&amp;$D615&amp;"*",'AJE1'!$P:$P)</f>
        <v>0</v>
      </c>
      <c r="M615" s="891">
        <f t="shared" si="217"/>
        <v>0</v>
      </c>
      <c r="N615" s="641"/>
      <c r="O615" s="641"/>
      <c r="P615" s="641"/>
      <c r="Q615" s="641"/>
      <c r="T615" s="3056">
        <v>8973</v>
      </c>
      <c r="U615" s="3063">
        <v>0</v>
      </c>
    </row>
    <row r="616" spans="1:21" ht="24">
      <c r="A616" s="1648" t="str">
        <f>VLOOKUP($D616,Sheet_Items,4,0)</f>
        <v>_JR</v>
      </c>
      <c r="B616" s="1647">
        <f>VLOOKUP($D616,Sheet_Items,3,0)</f>
        <v>-1</v>
      </c>
      <c r="C616" s="1647">
        <f>VLOOKUP($D616,Sheet_Items,9,0)</f>
        <v>0</v>
      </c>
      <c r="D616" s="1659">
        <v>8877</v>
      </c>
      <c r="E616" s="889" t="str">
        <f>VLOOKUP($D616,Sheet_Items,2,0)</f>
        <v>其他归属于母公司所有者权益_其他综合收益结转留存收益</v>
      </c>
      <c r="F616" s="884">
        <f>INDEX(Sheet_Presc,MATCH((RIGHT($D616,2)),Sheet_Prescrow,0),MATCH((LEFT($D616,2)),Sheet_Presccol,0))</f>
        <v>0</v>
      </c>
      <c r="G616" s="885">
        <f>SUMIF(AJE!$B:$B,$C616&amp;$D616&amp;"*",AJE!$O:$O)</f>
        <v>0</v>
      </c>
      <c r="H616" s="885">
        <f>SUMIF(AJE!$B:$B,$C616&amp;$D616&amp;"*",AJE!$P:$P)</f>
        <v>0</v>
      </c>
      <c r="I616" s="913">
        <f t="shared" si="215"/>
        <v>0</v>
      </c>
      <c r="J616" s="914">
        <f>INDEX(Sheet_Presc,MATCH((RIGHT($D616,2)),Sheet_Prescrow,0),MATCH((VALUE(LEFT($D616,2))),Sheet_Presccol,0))</f>
        <v>0</v>
      </c>
      <c r="K616" s="885">
        <f>SUMIF('AJE1'!$B:$B,$C616&amp;$D616&amp;"*",'AJE1'!$O:$O)</f>
        <v>0</v>
      </c>
      <c r="L616" s="885">
        <f>SUMIF('AJE1'!$B:$B,$C616&amp;$D616&amp;"*",'AJE1'!$P:$P)</f>
        <v>0</v>
      </c>
      <c r="M616" s="891">
        <f t="shared" si="217"/>
        <v>0</v>
      </c>
      <c r="N616" s="641"/>
      <c r="O616" s="641"/>
      <c r="P616" s="641"/>
      <c r="Q616" s="641"/>
      <c r="T616" s="3056">
        <v>8975</v>
      </c>
      <c r="U616" s="3063">
        <v>0</v>
      </c>
    </row>
    <row r="617" spans="1:21" ht="24">
      <c r="A617" s="1648" t="str">
        <f t="shared" si="211"/>
        <v>※LOW</v>
      </c>
      <c r="B617" s="1647">
        <f t="shared" si="212"/>
        <v>-1</v>
      </c>
      <c r="C617" s="1647">
        <f t="shared" si="210"/>
        <v>0</v>
      </c>
      <c r="D617" s="1659">
        <v>8876</v>
      </c>
      <c r="E617" s="888" t="str">
        <f t="shared" si="213"/>
        <v>其他归属于母公司所有者权益_所有者权益其他内部结转</v>
      </c>
      <c r="F617" s="884">
        <f t="shared" si="231"/>
        <v>0</v>
      </c>
      <c r="G617" s="885">
        <f>SUMIF(AJE!$B:$B,$C617&amp;$D617&amp;"*",AJE!$O:$O)</f>
        <v>0</v>
      </c>
      <c r="H617" s="885">
        <f>SUMIF(AJE!$B:$B,$C617&amp;$D617&amp;"*",AJE!$P:$P)</f>
        <v>0</v>
      </c>
      <c r="I617" s="913">
        <f t="shared" si="215"/>
        <v>0</v>
      </c>
      <c r="J617" s="914">
        <f t="shared" si="216"/>
        <v>0</v>
      </c>
      <c r="K617" s="885">
        <f>SUMIF('AJE1'!$B:$B,$C617&amp;$D617&amp;"*",'AJE1'!$O:$O)</f>
        <v>0</v>
      </c>
      <c r="L617" s="885">
        <f>SUMIF('AJE1'!$B:$B,$C617&amp;$D617&amp;"*",'AJE1'!$P:$P)</f>
        <v>0</v>
      </c>
      <c r="M617" s="891">
        <f t="shared" si="217"/>
        <v>0</v>
      </c>
      <c r="N617" s="641"/>
      <c r="O617" s="641"/>
      <c r="P617" s="641"/>
      <c r="Q617" s="641"/>
      <c r="T617" s="3056">
        <v>8976</v>
      </c>
      <c r="U617" s="3063">
        <v>0</v>
      </c>
    </row>
    <row r="618" spans="1:21" ht="24">
      <c r="A618" s="1648" t="str">
        <f t="shared" si="211"/>
        <v>※＝</v>
      </c>
      <c r="B618" s="1647">
        <f t="shared" si="212"/>
        <v>0</v>
      </c>
      <c r="C618" s="1647">
        <f t="shared" si="210"/>
        <v>0</v>
      </c>
      <c r="D618" s="1659">
        <v>8880</v>
      </c>
      <c r="E618" s="888" t="str">
        <f t="shared" si="213"/>
        <v>其他归属于母公司所有者权益_专项储备影响权益</v>
      </c>
      <c r="F618" s="884">
        <f t="shared" ref="F618:M618" si="234">SUM(F619:F620)</f>
        <v>0</v>
      </c>
      <c r="G618" s="885">
        <f t="shared" si="234"/>
        <v>0</v>
      </c>
      <c r="H618" s="885">
        <f t="shared" si="234"/>
        <v>0</v>
      </c>
      <c r="I618" s="913">
        <f t="shared" si="234"/>
        <v>0</v>
      </c>
      <c r="J618" s="914">
        <f t="shared" si="234"/>
        <v>0</v>
      </c>
      <c r="K618" s="885">
        <f t="shared" si="234"/>
        <v>0</v>
      </c>
      <c r="L618" s="885">
        <f t="shared" si="234"/>
        <v>0</v>
      </c>
      <c r="M618" s="891">
        <f t="shared" si="234"/>
        <v>0</v>
      </c>
      <c r="N618" s="641"/>
      <c r="O618" s="641"/>
      <c r="P618" s="641"/>
      <c r="Q618" s="641"/>
      <c r="T618" s="3056">
        <v>8980</v>
      </c>
      <c r="U618" s="3063">
        <v>0</v>
      </c>
    </row>
    <row r="619" spans="1:21" ht="24">
      <c r="A619" s="1648" t="str">
        <f t="shared" si="211"/>
        <v>※LOW</v>
      </c>
      <c r="B619" s="1647">
        <f t="shared" si="212"/>
        <v>-1</v>
      </c>
      <c r="C619" s="1647">
        <f t="shared" si="210"/>
        <v>0</v>
      </c>
      <c r="D619" s="1659">
        <v>8881</v>
      </c>
      <c r="E619" s="888" t="str">
        <f t="shared" si="213"/>
        <v>其他归属于母公司所有者权益_专项储备本期提取</v>
      </c>
      <c r="F619" s="884">
        <f t="shared" si="231"/>
        <v>0</v>
      </c>
      <c r="G619" s="885">
        <f>SUMIF(AJE!$B:$B,$C619&amp;$D619&amp;"*",AJE!$O:$O)</f>
        <v>0</v>
      </c>
      <c r="H619" s="885">
        <f>SUMIF(AJE!$B:$B,$C619&amp;$D619&amp;"*",AJE!$P:$P)</f>
        <v>0</v>
      </c>
      <c r="I619" s="913">
        <f t="shared" si="215"/>
        <v>0</v>
      </c>
      <c r="J619" s="914">
        <f t="shared" si="216"/>
        <v>0</v>
      </c>
      <c r="K619" s="885">
        <f>SUMIF('AJE1'!$B:$B,$C619&amp;$D619&amp;"*",'AJE1'!$O:$O)</f>
        <v>0</v>
      </c>
      <c r="L619" s="885">
        <f>SUMIF('AJE1'!$B:$B,$C619&amp;$D619&amp;"*",'AJE1'!$P:$P)</f>
        <v>0</v>
      </c>
      <c r="M619" s="891">
        <f t="shared" si="217"/>
        <v>0</v>
      </c>
      <c r="N619" s="641"/>
      <c r="O619" s="641"/>
      <c r="P619" s="641"/>
      <c r="Q619" s="641"/>
      <c r="T619" s="3056">
        <v>8981</v>
      </c>
      <c r="U619" s="3063">
        <v>0</v>
      </c>
    </row>
    <row r="620" spans="1:21" ht="24">
      <c r="A620" s="1648" t="str">
        <f t="shared" si="211"/>
        <v>※LOW</v>
      </c>
      <c r="B620" s="1647">
        <f t="shared" si="212"/>
        <v>-1</v>
      </c>
      <c r="C620" s="1647">
        <f t="shared" si="210"/>
        <v>0</v>
      </c>
      <c r="D620" s="1659">
        <v>8882</v>
      </c>
      <c r="E620" s="888" t="str">
        <f t="shared" si="213"/>
        <v>其他归属于母公司所有者权益_专项储备本期使用</v>
      </c>
      <c r="F620" s="884">
        <f t="shared" si="231"/>
        <v>0</v>
      </c>
      <c r="G620" s="885">
        <f>SUMIF(AJE!$B:$B,$C620&amp;$D620&amp;"*",AJE!$O:$O)</f>
        <v>0</v>
      </c>
      <c r="H620" s="885">
        <f>SUMIF(AJE!$B:$B,$C620&amp;$D620&amp;"*",AJE!$P:$P)</f>
        <v>0</v>
      </c>
      <c r="I620" s="913">
        <f t="shared" si="215"/>
        <v>0</v>
      </c>
      <c r="J620" s="914">
        <f t="shared" si="216"/>
        <v>0</v>
      </c>
      <c r="K620" s="885">
        <f>SUMIF('AJE1'!$B:$B,$C620&amp;$D620&amp;"*",'AJE1'!$O:$O)</f>
        <v>0</v>
      </c>
      <c r="L620" s="885">
        <f>SUMIF('AJE1'!$B:$B,$C620&amp;$D620&amp;"*",'AJE1'!$P:$P)</f>
        <v>0</v>
      </c>
      <c r="M620" s="891">
        <f t="shared" si="217"/>
        <v>0</v>
      </c>
      <c r="N620" s="641"/>
      <c r="O620" s="641"/>
      <c r="P620" s="641"/>
      <c r="Q620" s="641"/>
      <c r="T620" s="3056">
        <v>8982</v>
      </c>
      <c r="U620" s="3063">
        <v>0</v>
      </c>
    </row>
    <row r="621" spans="1:21" ht="24">
      <c r="A621" s="1648" t="str">
        <f t="shared" si="211"/>
        <v>※LOW</v>
      </c>
      <c r="B621" s="1647">
        <f t="shared" si="212"/>
        <v>-1</v>
      </c>
      <c r="C621" s="1647">
        <f t="shared" si="210"/>
        <v>0</v>
      </c>
      <c r="D621" s="1659">
        <v>8896</v>
      </c>
      <c r="E621" s="888" t="str">
        <f t="shared" si="213"/>
        <v>其他归属于母公司所有者权益_本期其他增减变动</v>
      </c>
      <c r="F621" s="884">
        <f t="shared" si="231"/>
        <v>0</v>
      </c>
      <c r="G621" s="885">
        <f>SUMIF(AJE!$B:$B,$C621&amp;$D621&amp;"*",AJE!$O:$O)</f>
        <v>0</v>
      </c>
      <c r="H621" s="885">
        <f>SUMIF(AJE!$B:$B,$C621&amp;$D621&amp;"*",AJE!$P:$P)</f>
        <v>0</v>
      </c>
      <c r="I621" s="913">
        <f t="shared" si="215"/>
        <v>0</v>
      </c>
      <c r="J621" s="914">
        <f t="shared" si="216"/>
        <v>0</v>
      </c>
      <c r="K621" s="885">
        <f>SUMIF('AJE1'!$B:$B,$C621&amp;$D621&amp;"*",'AJE1'!$O:$O)</f>
        <v>0</v>
      </c>
      <c r="L621" s="885">
        <f>SUMIF('AJE1'!$B:$B,$C621&amp;$D621&amp;"*",'AJE1'!$P:$P)</f>
        <v>0</v>
      </c>
      <c r="M621" s="891">
        <f t="shared" si="217"/>
        <v>0</v>
      </c>
      <c r="N621" s="641"/>
      <c r="O621" s="641"/>
      <c r="P621" s="641"/>
      <c r="Q621" s="641"/>
      <c r="T621" s="3056">
        <v>8996</v>
      </c>
      <c r="U621" s="3063">
        <v>0</v>
      </c>
    </row>
    <row r="622" spans="1:21" ht="24">
      <c r="A622" s="1648" t="str">
        <f t="shared" si="211"/>
        <v>※＝</v>
      </c>
      <c r="B622" s="1647">
        <f t="shared" si="212"/>
        <v>0</v>
      </c>
      <c r="C622" s="1647">
        <f t="shared" si="210"/>
        <v>0</v>
      </c>
      <c r="D622" s="1659">
        <v>8899</v>
      </c>
      <c r="E622" s="888" t="str">
        <f t="shared" si="213"/>
        <v>其他归属于母公司所有者权益_本期期末余额</v>
      </c>
      <c r="F622" s="884">
        <f t="shared" ref="F622:M622" si="235">SUM(F596,F597)</f>
        <v>0</v>
      </c>
      <c r="G622" s="885">
        <f t="shared" si="235"/>
        <v>0</v>
      </c>
      <c r="H622" s="885">
        <f t="shared" si="235"/>
        <v>0</v>
      </c>
      <c r="I622" s="913">
        <f t="shared" si="235"/>
        <v>0</v>
      </c>
      <c r="J622" s="914">
        <f t="shared" si="235"/>
        <v>0</v>
      </c>
      <c r="K622" s="885">
        <f t="shared" si="235"/>
        <v>0</v>
      </c>
      <c r="L622" s="885">
        <f t="shared" si="235"/>
        <v>0</v>
      </c>
      <c r="M622" s="891">
        <f t="shared" si="235"/>
        <v>0</v>
      </c>
      <c r="N622" s="641"/>
      <c r="O622" s="641"/>
      <c r="P622" s="641"/>
      <c r="Q622" s="641"/>
      <c r="T622" s="3056">
        <v>8999</v>
      </c>
      <c r="U622" s="3063">
        <v>0</v>
      </c>
    </row>
    <row r="623" spans="1:21" ht="18">
      <c r="A623" s="1648" t="str">
        <f t="shared" si="211"/>
        <v>※</v>
      </c>
      <c r="B623" s="1647">
        <f t="shared" si="212"/>
        <v>0</v>
      </c>
      <c r="C623" s="1647">
        <f t="shared" si="210"/>
        <v>0</v>
      </c>
      <c r="D623" s="2186">
        <v>8900</v>
      </c>
      <c r="E623" s="2187" t="str">
        <f t="shared" si="213"/>
        <v>少数股东权益增减变动</v>
      </c>
      <c r="F623" s="884"/>
      <c r="G623" s="885"/>
      <c r="H623" s="885"/>
      <c r="I623" s="913"/>
      <c r="J623" s="914"/>
      <c r="K623" s="885"/>
      <c r="L623" s="885"/>
      <c r="M623" s="891"/>
      <c r="N623" s="641"/>
      <c r="O623" s="641"/>
      <c r="P623" s="641"/>
      <c r="Q623" s="641"/>
      <c r="T623" s="3056">
        <v>7</v>
      </c>
      <c r="U623" s="3063"/>
    </row>
    <row r="624" spans="1:21" ht="18">
      <c r="A624" s="1648" t="str">
        <f t="shared" si="211"/>
        <v>※</v>
      </c>
      <c r="B624" s="1647">
        <f t="shared" si="212"/>
        <v>-1</v>
      </c>
      <c r="C624" s="1647" t="str">
        <f t="shared" si="210"/>
        <v>J</v>
      </c>
      <c r="D624" s="1659">
        <v>8901</v>
      </c>
      <c r="E624" s="888" t="str">
        <f t="shared" si="213"/>
        <v>少数股东权益_上年年末余额</v>
      </c>
      <c r="F624" s="884">
        <f t="shared" si="231"/>
        <v>0</v>
      </c>
      <c r="G624" s="885">
        <f>SUMIF(AJE!$B:$B,$C624&amp;$D624&amp;"*",AJE!$O:$O)</f>
        <v>0</v>
      </c>
      <c r="H624" s="885">
        <f>SUMIF(AJE!$B:$B,$C624&amp;$D624&amp;"*",AJE!$P:$P)</f>
        <v>0</v>
      </c>
      <c r="I624" s="913">
        <f t="shared" si="215"/>
        <v>0</v>
      </c>
      <c r="J624" s="914">
        <f t="shared" si="216"/>
        <v>0</v>
      </c>
      <c r="K624" s="885">
        <f>SUMIF('AJE1'!$B:$B,$C624&amp;$D624&amp;"*",'AJE1'!$O:$O)</f>
        <v>0</v>
      </c>
      <c r="L624" s="885">
        <f>SUMIF('AJE1'!$B:$B,$C624&amp;$D624&amp;"*",'AJE1'!$P:$P)</f>
        <v>0</v>
      </c>
      <c r="M624" s="891">
        <f t="shared" si="217"/>
        <v>0</v>
      </c>
      <c r="N624" s="641"/>
      <c r="O624" s="641"/>
      <c r="P624" s="641"/>
      <c r="Q624" s="641"/>
      <c r="T624" s="3056">
        <v>7000</v>
      </c>
      <c r="U624" s="3063"/>
    </row>
    <row r="625" spans="1:21" ht="24">
      <c r="A625" s="1648" t="str">
        <f t="shared" si="211"/>
        <v>※</v>
      </c>
      <c r="B625" s="1647">
        <f t="shared" si="212"/>
        <v>-1</v>
      </c>
      <c r="C625" s="1647" t="str">
        <f t="shared" si="210"/>
        <v>J</v>
      </c>
      <c r="D625" s="1659">
        <v>8902</v>
      </c>
      <c r="E625" s="888" t="str">
        <f t="shared" si="213"/>
        <v>少数股东权益_会计政策变更调整上年年末余额</v>
      </c>
      <c r="F625" s="884">
        <f t="shared" si="231"/>
        <v>0</v>
      </c>
      <c r="G625" s="885">
        <f>SUMIF(AJE!$B:$B,$C625&amp;$D625&amp;"*",AJE!$O:$O)</f>
        <v>0</v>
      </c>
      <c r="H625" s="885">
        <f>SUMIF(AJE!$B:$B,$C625&amp;$D625&amp;"*",AJE!$P:$P)</f>
        <v>0</v>
      </c>
      <c r="I625" s="913">
        <f t="shared" si="215"/>
        <v>0</v>
      </c>
      <c r="J625" s="914">
        <f t="shared" si="216"/>
        <v>0</v>
      </c>
      <c r="K625" s="885">
        <f>SUMIF('AJE1'!$B:$B,$C625&amp;$D625&amp;"*",'AJE1'!$O:$O)</f>
        <v>0</v>
      </c>
      <c r="L625" s="885">
        <f>SUMIF('AJE1'!$B:$B,$C625&amp;$D625&amp;"*",'AJE1'!$P:$P)</f>
        <v>0</v>
      </c>
      <c r="M625" s="891">
        <f t="shared" si="217"/>
        <v>0</v>
      </c>
      <c r="N625" s="641"/>
      <c r="O625" s="641"/>
      <c r="P625" s="641"/>
      <c r="Q625" s="641"/>
      <c r="T625" s="3056">
        <v>7001</v>
      </c>
      <c r="U625" s="3063">
        <v>43157155</v>
      </c>
    </row>
    <row r="626" spans="1:21" ht="24">
      <c r="A626" s="1648" t="str">
        <f t="shared" si="211"/>
        <v>※</v>
      </c>
      <c r="B626" s="1647">
        <f t="shared" si="212"/>
        <v>-1</v>
      </c>
      <c r="C626" s="1647" t="str">
        <f t="shared" si="210"/>
        <v>J</v>
      </c>
      <c r="D626" s="1659">
        <v>8903</v>
      </c>
      <c r="E626" s="888" t="str">
        <f t="shared" si="213"/>
        <v>少数股东权益_前期差错更正调整上年年末余额</v>
      </c>
      <c r="F626" s="884">
        <f t="shared" si="231"/>
        <v>0</v>
      </c>
      <c r="G626" s="885">
        <f>SUMIF(AJE!$B:$B,$C626&amp;$D626&amp;"*",AJE!$O:$O)</f>
        <v>0</v>
      </c>
      <c r="H626" s="885">
        <f>SUMIF(AJE!$B:$B,$C626&amp;$D626&amp;"*",AJE!$P:$P)</f>
        <v>0</v>
      </c>
      <c r="I626" s="913">
        <f t="shared" si="215"/>
        <v>0</v>
      </c>
      <c r="J626" s="914">
        <f t="shared" si="216"/>
        <v>0</v>
      </c>
      <c r="K626" s="885">
        <f>SUMIF('AJE1'!$B:$B,$C626&amp;$D626&amp;"*",'AJE1'!$O:$O)</f>
        <v>0</v>
      </c>
      <c r="L626" s="885">
        <f>SUMIF('AJE1'!$B:$B,$C626&amp;$D626&amp;"*",'AJE1'!$P:$P)</f>
        <v>0</v>
      </c>
      <c r="M626" s="891">
        <f t="shared" si="217"/>
        <v>0</v>
      </c>
      <c r="N626" s="641"/>
      <c r="O626" s="641"/>
      <c r="P626" s="641"/>
      <c r="Q626" s="641"/>
      <c r="T626" s="3056">
        <v>7011</v>
      </c>
      <c r="U626" s="3063">
        <v>0</v>
      </c>
    </row>
    <row r="627" spans="1:21" ht="24">
      <c r="A627" s="1648" t="str">
        <f t="shared" si="211"/>
        <v>※</v>
      </c>
      <c r="B627" s="1647">
        <f t="shared" si="212"/>
        <v>-1</v>
      </c>
      <c r="C627" s="1647" t="str">
        <f t="shared" si="210"/>
        <v>J</v>
      </c>
      <c r="D627" s="1659">
        <v>8904</v>
      </c>
      <c r="E627" s="888" t="str">
        <f t="shared" si="213"/>
        <v>少数股东权益_同一控制下企业合并调整上年年末余额</v>
      </c>
      <c r="F627" s="884">
        <f>INDEX(Sheet_Presc,MATCH((RIGHT($D627,2)),Sheet_Prescrow,0),MATCH((LEFT($D627,2)),Sheet_Presccol,0))</f>
        <v>0</v>
      </c>
      <c r="G627" s="885">
        <f>SUMIF(AJE!$B:$B,$C627&amp;$D627&amp;"*",AJE!$O:$O)</f>
        <v>0</v>
      </c>
      <c r="H627" s="885">
        <f>SUMIF(AJE!$B:$B,$C627&amp;$D627&amp;"*",AJE!$P:$P)</f>
        <v>0</v>
      </c>
      <c r="I627" s="913">
        <f t="shared" si="215"/>
        <v>0</v>
      </c>
      <c r="J627" s="914">
        <f>INDEX(Sheet_Presc,MATCH((RIGHT($D627,2)),Sheet_Prescrow,0),MATCH((VALUE(LEFT($D627,2))),Sheet_Presccol,0))</f>
        <v>0</v>
      </c>
      <c r="K627" s="885">
        <f>SUMIF('AJE1'!$B:$B,$C627&amp;$D627&amp;"*",'AJE1'!$O:$O)</f>
        <v>0</v>
      </c>
      <c r="L627" s="885">
        <f>SUMIF('AJE1'!$B:$B,$C627&amp;$D627&amp;"*",'AJE1'!$P:$P)</f>
        <v>0</v>
      </c>
      <c r="M627" s="891">
        <f t="shared" si="217"/>
        <v>0</v>
      </c>
      <c r="N627" s="641"/>
      <c r="O627" s="641"/>
      <c r="P627" s="641"/>
      <c r="Q627" s="641"/>
      <c r="T627" s="3056">
        <v>7012</v>
      </c>
      <c r="U627" s="3063">
        <v>0</v>
      </c>
    </row>
    <row r="628" spans="1:21" ht="24">
      <c r="A628" s="1648" t="str">
        <f t="shared" si="211"/>
        <v>※</v>
      </c>
      <c r="B628" s="1647">
        <f t="shared" si="212"/>
        <v>-1</v>
      </c>
      <c r="C628" s="1647" t="str">
        <f t="shared" si="210"/>
        <v>J</v>
      </c>
      <c r="D628" s="1659">
        <v>8909</v>
      </c>
      <c r="E628" s="888" t="str">
        <f t="shared" si="213"/>
        <v>少数股东权益_其他原因调整上年年末余额</v>
      </c>
      <c r="F628" s="884">
        <f t="shared" si="231"/>
        <v>0</v>
      </c>
      <c r="G628" s="885">
        <f>SUMIF(AJE!$B:$B,$C628&amp;$D628&amp;"*",AJE!$O:$O)</f>
        <v>0</v>
      </c>
      <c r="H628" s="885">
        <f>SUMIF(AJE!$B:$B,$C628&amp;$D628&amp;"*",AJE!$P:$P)</f>
        <v>0</v>
      </c>
      <c r="I628" s="913">
        <f t="shared" si="215"/>
        <v>0</v>
      </c>
      <c r="J628" s="914">
        <f t="shared" si="216"/>
        <v>0</v>
      </c>
      <c r="K628" s="885">
        <f>SUMIF('AJE1'!$B:$B,$C628&amp;$D628&amp;"*",'AJE1'!$O:$O)</f>
        <v>0</v>
      </c>
      <c r="L628" s="885">
        <f>SUMIF('AJE1'!$B:$B,$C628&amp;$D628&amp;"*",'AJE1'!$P:$P)</f>
        <v>0</v>
      </c>
      <c r="M628" s="891">
        <f t="shared" si="217"/>
        <v>0</v>
      </c>
      <c r="N628" s="641"/>
      <c r="O628" s="641"/>
      <c r="P628" s="641"/>
      <c r="Q628" s="641"/>
      <c r="T628" s="3056">
        <v>7013</v>
      </c>
      <c r="U628" s="3063">
        <v>0</v>
      </c>
    </row>
    <row r="629" spans="1:21" ht="18">
      <c r="A629" s="1648" t="str">
        <f t="shared" si="211"/>
        <v>※＝</v>
      </c>
      <c r="B629" s="1647">
        <f t="shared" si="212"/>
        <v>0</v>
      </c>
      <c r="C629" s="1647">
        <f t="shared" si="210"/>
        <v>0</v>
      </c>
      <c r="D629" s="1659">
        <v>8910</v>
      </c>
      <c r="E629" s="888" t="str">
        <f t="shared" si="213"/>
        <v>少数股东权益_本年年初余额</v>
      </c>
      <c r="F629" s="884">
        <f t="shared" ref="F629:M629" si="236">SUM(F624:F628)</f>
        <v>0</v>
      </c>
      <c r="G629" s="885">
        <f t="shared" si="236"/>
        <v>0</v>
      </c>
      <c r="H629" s="885">
        <f t="shared" si="236"/>
        <v>0</v>
      </c>
      <c r="I629" s="913">
        <f t="shared" si="236"/>
        <v>0</v>
      </c>
      <c r="J629" s="914">
        <f t="shared" si="236"/>
        <v>0</v>
      </c>
      <c r="K629" s="885">
        <f t="shared" si="236"/>
        <v>0</v>
      </c>
      <c r="L629" s="885">
        <f t="shared" si="236"/>
        <v>0</v>
      </c>
      <c r="M629" s="891">
        <f t="shared" si="236"/>
        <v>0</v>
      </c>
      <c r="N629" s="641"/>
      <c r="O629" s="641"/>
      <c r="P629" s="641"/>
      <c r="Q629" s="641"/>
      <c r="T629" s="3056">
        <v>7014</v>
      </c>
      <c r="U629" s="3063">
        <v>0</v>
      </c>
    </row>
    <row r="630" spans="1:21" ht="18">
      <c r="A630" s="1648" t="str">
        <f t="shared" si="211"/>
        <v>※＝</v>
      </c>
      <c r="B630" s="1647">
        <f t="shared" si="212"/>
        <v>0</v>
      </c>
      <c r="C630" s="1647">
        <f t="shared" ref="C630:C703" si="237">VLOOKUP($D630,Sheet_Items,9,0)</f>
        <v>0</v>
      </c>
      <c r="D630" s="1659">
        <v>8990</v>
      </c>
      <c r="E630" s="888" t="str">
        <f t="shared" si="213"/>
        <v>少数股东权益_本期增减变动金额</v>
      </c>
      <c r="F630" s="884">
        <f>SUM(F633,F634,F639,F644,F651,F654)</f>
        <v>0</v>
      </c>
      <c r="G630" s="885">
        <f t="shared" ref="G630:M630" si="238">SUM(G633,G634,G639,G644,G651,G654)</f>
        <v>0</v>
      </c>
      <c r="H630" s="885">
        <f t="shared" si="238"/>
        <v>0</v>
      </c>
      <c r="I630" s="913">
        <f t="shared" si="238"/>
        <v>0</v>
      </c>
      <c r="J630" s="914">
        <f t="shared" si="238"/>
        <v>0</v>
      </c>
      <c r="K630" s="885">
        <f t="shared" si="238"/>
        <v>0</v>
      </c>
      <c r="L630" s="885">
        <f t="shared" si="238"/>
        <v>0</v>
      </c>
      <c r="M630" s="891">
        <f t="shared" si="238"/>
        <v>0</v>
      </c>
      <c r="N630" s="641"/>
      <c r="O630" s="641"/>
      <c r="P630" s="641"/>
      <c r="Q630" s="641"/>
      <c r="T630" s="3056">
        <v>7015</v>
      </c>
      <c r="U630" s="3063">
        <v>0</v>
      </c>
    </row>
    <row r="631" spans="1:21" ht="18">
      <c r="A631" s="1648" t="str">
        <f t="shared" ref="A631:A704" si="239">VLOOKUP($D631,Sheet_Items,4,0)</f>
        <v>※</v>
      </c>
      <c r="B631" s="1647">
        <f t="shared" ref="B631:B704" si="240">VLOOKUP($D631,Sheet_Items,3,0)</f>
        <v>-1</v>
      </c>
      <c r="C631" s="1647" t="str">
        <f t="shared" si="237"/>
        <v>J</v>
      </c>
      <c r="D631" s="1659">
        <v>8921</v>
      </c>
      <c r="E631" s="888" t="str">
        <f t="shared" ref="E631:E704" si="241">VLOOKUP($D631,Sheet_Items,2,0)</f>
        <v>少数股东权益_净利润</v>
      </c>
      <c r="F631" s="884">
        <f>INDEX(Sheet_Presc,MATCH((RIGHT($D631,2)),Sheet_Prescrow,0),MATCH((LEFT($D631,2)),Sheet_Presccol,0))</f>
        <v>0</v>
      </c>
      <c r="G631" s="885">
        <f>SUMIF(AJE!$B:$B,$C631&amp;$D631&amp;"*",AJE!$O:$O)</f>
        <v>0</v>
      </c>
      <c r="H631" s="885">
        <f>SUMIF(AJE!$B:$B,$C631&amp;$D631&amp;"*",AJE!$P:$P)</f>
        <v>0</v>
      </c>
      <c r="I631" s="913">
        <f t="shared" si="215"/>
        <v>0</v>
      </c>
      <c r="J631" s="914">
        <f t="shared" si="216"/>
        <v>0</v>
      </c>
      <c r="K631" s="885">
        <f>SUMIF('AJE1'!$B:$B,$C631&amp;$D631&amp;"*",'AJE1'!$O:$O)</f>
        <v>0</v>
      </c>
      <c r="L631" s="885">
        <f>SUMIF('AJE1'!$B:$B,$C631&amp;$D631&amp;"*",'AJE1'!$P:$P)</f>
        <v>0</v>
      </c>
      <c r="M631" s="891">
        <f t="shared" si="217"/>
        <v>0</v>
      </c>
      <c r="N631" s="641"/>
      <c r="O631" s="641"/>
      <c r="P631" s="641"/>
      <c r="Q631" s="641"/>
      <c r="T631" s="3056">
        <v>7016</v>
      </c>
      <c r="U631" s="3063">
        <v>0</v>
      </c>
    </row>
    <row r="632" spans="1:21" ht="18">
      <c r="A632" s="1648" t="str">
        <f t="shared" si="239"/>
        <v>※</v>
      </c>
      <c r="B632" s="1647">
        <f t="shared" si="240"/>
        <v>-1</v>
      </c>
      <c r="C632" s="1647" t="str">
        <f t="shared" si="237"/>
        <v>J</v>
      </c>
      <c r="D632" s="1659">
        <v>8930</v>
      </c>
      <c r="E632" s="888" t="str">
        <f t="shared" si="241"/>
        <v>少数股东权益_其他综合收益</v>
      </c>
      <c r="F632" s="884">
        <f>INDEX(Sheet_Presc,MATCH((RIGHT($D632,2)),Sheet_Prescrow,0),MATCH((LEFT($D632,2)),Sheet_Presccol,0))</f>
        <v>0</v>
      </c>
      <c r="G632" s="885">
        <f>SUMIF(AJE!$B:$B,$C632&amp;$D632&amp;"*",AJE!$O:$O)</f>
        <v>0</v>
      </c>
      <c r="H632" s="885">
        <f>SUMIF(AJE!$B:$B,$C632&amp;$D632&amp;"*",AJE!$P:$P)</f>
        <v>0</v>
      </c>
      <c r="I632" s="913">
        <f t="shared" si="215"/>
        <v>0</v>
      </c>
      <c r="J632" s="914">
        <f t="shared" ref="J632:J654" si="242">INDEX(Sheet_Presc,MATCH((RIGHT($D632,2)),Sheet_Prescrow,0),MATCH((VALUE(LEFT($D632,2))),Sheet_Presccol,0))</f>
        <v>0</v>
      </c>
      <c r="K632" s="885">
        <f>SUMIF('AJE1'!$B:$B,$C632&amp;$D632&amp;"*",'AJE1'!$O:$O)</f>
        <v>0</v>
      </c>
      <c r="L632" s="885">
        <f>SUMIF('AJE1'!$B:$B,$C632&amp;$D632&amp;"*",'AJE1'!$P:$P)</f>
        <v>0</v>
      </c>
      <c r="M632" s="891">
        <f t="shared" si="217"/>
        <v>0</v>
      </c>
      <c r="N632" s="641"/>
      <c r="O632" s="641"/>
      <c r="P632" s="641"/>
      <c r="Q632" s="641"/>
      <c r="T632" s="3056">
        <v>7021</v>
      </c>
      <c r="U632" s="3063">
        <v>0</v>
      </c>
    </row>
    <row r="633" spans="1:21" ht="24">
      <c r="A633" s="1648" t="str">
        <f t="shared" si="239"/>
        <v>※</v>
      </c>
      <c r="B633" s="1647">
        <f t="shared" si="240"/>
        <v>-1</v>
      </c>
      <c r="C633" s="1647" t="str">
        <f t="shared" si="237"/>
        <v>J</v>
      </c>
      <c r="D633" s="1659">
        <v>8940</v>
      </c>
      <c r="E633" s="888" t="str">
        <f t="shared" si="241"/>
        <v>少数股东权益_综合收益总额增加权益</v>
      </c>
      <c r="F633" s="884">
        <f>INDEX(Sheet_Presc,MATCH((RIGHT($D633,2)),Sheet_Prescrow,0),MATCH((LEFT($D633,2)),Sheet_Presccol,0))</f>
        <v>0</v>
      </c>
      <c r="G633" s="885">
        <f>SUMIF(AJE!$B:$B,$C633&amp;$D633&amp;"*",AJE!$O:$O)+VLOOKUP(8921,Sheet_Trialbal,4,0)+VLOOKUP(8930,Sheet_Trialbal,4,0)</f>
        <v>0</v>
      </c>
      <c r="H633" s="885">
        <f>SUMIF(AJE!$B:$B,$C633&amp;$D633&amp;"*",AJE!$P:$P)+VLOOKUP(8921,Sheet_Trialbal,5,0)+VLOOKUP(8930,Sheet_Trialbal,5,0)</f>
        <v>0</v>
      </c>
      <c r="I633" s="913">
        <f t="shared" si="215"/>
        <v>0</v>
      </c>
      <c r="J633" s="914">
        <f>INDEX(Sheet_Presc,MATCH((RIGHT($D633,2)),Sheet_Prescrow,0),MATCH((VALUE(LEFT($D633,2))),Sheet_Presccol,0))</f>
        <v>0</v>
      </c>
      <c r="K633" s="885">
        <f>SUMIF('AJE1'!$B:$B,$C633&amp;$D633&amp;"*",'AJE1'!$O:$O)+VLOOKUP(8921,Sheet_Trialbal,8,0)+VLOOKUP(8930,Sheet_Trialbal,8,0)</f>
        <v>0</v>
      </c>
      <c r="L633" s="885">
        <f>SUMIF('AJE1'!$B:$B,$C633&amp;$D633&amp;"*",'AJE1'!$P:$P)+VLOOKUP(8921,Sheet_Trialbal,9,0)+VLOOKUP(8930,Sheet_Trialbal,9,0)</f>
        <v>0</v>
      </c>
      <c r="M633" s="891">
        <f t="shared" si="217"/>
        <v>0</v>
      </c>
      <c r="N633" s="641"/>
      <c r="O633" s="641"/>
      <c r="P633" s="641"/>
      <c r="Q633" s="641"/>
      <c r="T633" s="3056">
        <v>7023</v>
      </c>
      <c r="U633" s="3063">
        <v>0</v>
      </c>
    </row>
    <row r="634" spans="1:21" ht="24">
      <c r="A634" s="1648" t="str">
        <f t="shared" si="239"/>
        <v>※＝</v>
      </c>
      <c r="B634" s="1647">
        <f t="shared" si="240"/>
        <v>0</v>
      </c>
      <c r="C634" s="1647">
        <f t="shared" si="237"/>
        <v>0</v>
      </c>
      <c r="D634" s="1659">
        <v>8950</v>
      </c>
      <c r="E634" s="888" t="str">
        <f t="shared" si="241"/>
        <v>少数股东权益_所有者投入和减少资本影响权益</v>
      </c>
      <c r="F634" s="884">
        <f t="shared" ref="F634:M634" si="243">SUM(F635:F638)</f>
        <v>0</v>
      </c>
      <c r="G634" s="885">
        <f t="shared" si="243"/>
        <v>0</v>
      </c>
      <c r="H634" s="885">
        <f t="shared" si="243"/>
        <v>0</v>
      </c>
      <c r="I634" s="913">
        <f t="shared" si="243"/>
        <v>0</v>
      </c>
      <c r="J634" s="914">
        <f t="shared" si="243"/>
        <v>0</v>
      </c>
      <c r="K634" s="885">
        <f t="shared" si="243"/>
        <v>0</v>
      </c>
      <c r="L634" s="885">
        <f t="shared" si="243"/>
        <v>0</v>
      </c>
      <c r="M634" s="891">
        <f t="shared" si="243"/>
        <v>0</v>
      </c>
      <c r="N634" s="641"/>
      <c r="O634" s="641"/>
      <c r="P634" s="641"/>
      <c r="Q634" s="641"/>
      <c r="T634" s="3056">
        <v>7025</v>
      </c>
      <c r="U634" s="3063">
        <v>0</v>
      </c>
    </row>
    <row r="635" spans="1:21" ht="18">
      <c r="A635" s="1648" t="str">
        <f t="shared" si="239"/>
        <v>※</v>
      </c>
      <c r="B635" s="1647">
        <f t="shared" si="240"/>
        <v>-1</v>
      </c>
      <c r="C635" s="1647" t="str">
        <f t="shared" si="237"/>
        <v>J</v>
      </c>
      <c r="D635" s="1659">
        <v>8951</v>
      </c>
      <c r="E635" s="888" t="str">
        <f t="shared" si="241"/>
        <v>少数股东权益_所有者投入资本</v>
      </c>
      <c r="F635" s="884">
        <f t="shared" ref="F635:F654" si="244">INDEX(Sheet_Presc,MATCH((RIGHT($D635,2)),Sheet_Prescrow,0),MATCH((LEFT($D635,2)),Sheet_Presccol,0))</f>
        <v>0</v>
      </c>
      <c r="G635" s="885">
        <f>SUMIF(AJE!$B:$B,$C635&amp;$D635&amp;"*",AJE!$O:$O)</f>
        <v>0</v>
      </c>
      <c r="H635" s="885">
        <f>SUMIF(AJE!$B:$B,$C635&amp;$D635&amp;"*",AJE!$P:$P)</f>
        <v>0</v>
      </c>
      <c r="I635" s="913">
        <f>(B635*F635+G635-H635)*B635</f>
        <v>0</v>
      </c>
      <c r="J635" s="914">
        <f t="shared" si="242"/>
        <v>0</v>
      </c>
      <c r="K635" s="885">
        <f>SUMIF('AJE1'!$B:$B,$C635&amp;$D635&amp;"*",'AJE1'!$O:$O)</f>
        <v>0</v>
      </c>
      <c r="L635" s="885">
        <f>SUMIF('AJE1'!$B:$B,$C635&amp;$D635&amp;"*",'AJE1'!$P:$P)</f>
        <v>0</v>
      </c>
      <c r="M635" s="891">
        <f>($B635*J635+K635-L635)*$B635</f>
        <v>0</v>
      </c>
      <c r="N635" s="641"/>
      <c r="O635" s="641"/>
      <c r="P635" s="641"/>
      <c r="Q635" s="641"/>
      <c r="T635" s="3056">
        <v>7026</v>
      </c>
      <c r="U635" s="3063">
        <v>0</v>
      </c>
    </row>
    <row r="636" spans="1:21" ht="24">
      <c r="A636" s="1648" t="str">
        <f t="shared" si="239"/>
        <v>※OEI</v>
      </c>
      <c r="B636" s="1647">
        <f t="shared" si="240"/>
        <v>-1</v>
      </c>
      <c r="C636" s="1647" t="str">
        <f t="shared" si="237"/>
        <v>J</v>
      </c>
      <c r="D636" s="1659">
        <v>8953</v>
      </c>
      <c r="E636" s="888" t="str">
        <f t="shared" si="241"/>
        <v>少数股东权益_其他权益工具持有者投入资本</v>
      </c>
      <c r="F636" s="884">
        <f>INDEX(Sheet_Presc,MATCH((RIGHT($D636,2)),Sheet_Prescrow,0),MATCH((LEFT($D636,2)),Sheet_Presccol,0))</f>
        <v>0</v>
      </c>
      <c r="G636" s="885">
        <f>SUMIF(AJE!$B:$B,$C636&amp;$D636&amp;"*",AJE!$O:$O)</f>
        <v>0</v>
      </c>
      <c r="H636" s="885">
        <f>SUMIF(AJE!$B:$B,$C636&amp;$D636&amp;"*",AJE!$P:$P)</f>
        <v>0</v>
      </c>
      <c r="I636" s="913">
        <f>(B636*F636+G636-H636)*B636</f>
        <v>0</v>
      </c>
      <c r="J636" s="914">
        <f>INDEX(Sheet_Presc,MATCH((RIGHT($D636,2)),Sheet_Prescrow,0),MATCH((VALUE(LEFT($D636,2))),Sheet_Presccol,0))</f>
        <v>0</v>
      </c>
      <c r="K636" s="885">
        <f>SUMIF('AJE1'!$B:$B,$C636&amp;$D636&amp;"*",'AJE1'!$O:$O)</f>
        <v>0</v>
      </c>
      <c r="L636" s="885">
        <f>SUMIF('AJE1'!$B:$B,$C636&amp;$D636&amp;"*",'AJE1'!$P:$P)</f>
        <v>0</v>
      </c>
      <c r="M636" s="891">
        <f>($B636*J636+K636-L636)*$B636</f>
        <v>0</v>
      </c>
      <c r="N636" s="641"/>
      <c r="O636" s="641"/>
      <c r="P636" s="641"/>
      <c r="Q636" s="641"/>
      <c r="T636" s="3056">
        <v>7031</v>
      </c>
      <c r="U636" s="3063">
        <v>0</v>
      </c>
    </row>
    <row r="637" spans="1:21" ht="18">
      <c r="A637" s="1648" t="str">
        <f t="shared" si="239"/>
        <v>※LOW</v>
      </c>
      <c r="B637" s="1647">
        <f t="shared" si="240"/>
        <v>-1</v>
      </c>
      <c r="C637" s="1647" t="str">
        <f t="shared" si="237"/>
        <v>J</v>
      </c>
      <c r="D637" s="1659">
        <v>8952</v>
      </c>
      <c r="E637" s="888" t="str">
        <f t="shared" si="241"/>
        <v>少数股东权益_股份支付</v>
      </c>
      <c r="F637" s="884">
        <f t="shared" si="244"/>
        <v>0</v>
      </c>
      <c r="G637" s="885">
        <f>SUMIF(AJE!$B:$B,$C637&amp;$D637&amp;"*",AJE!$O:$O)</f>
        <v>0</v>
      </c>
      <c r="H637" s="885">
        <f>SUMIF(AJE!$B:$B,$C637&amp;$D637&amp;"*",AJE!$P:$P)</f>
        <v>0</v>
      </c>
      <c r="I637" s="913">
        <f>(B637*F637+G637-H637)*B637</f>
        <v>0</v>
      </c>
      <c r="J637" s="914">
        <f t="shared" si="242"/>
        <v>0</v>
      </c>
      <c r="K637" s="885">
        <f>SUMIF('AJE1'!$B:$B,$C637&amp;$D637&amp;"*",'AJE1'!$O:$O)</f>
        <v>0</v>
      </c>
      <c r="L637" s="885">
        <f>SUMIF('AJE1'!$B:$B,$C637&amp;$D637&amp;"*",'AJE1'!$P:$P)</f>
        <v>0</v>
      </c>
      <c r="M637" s="891">
        <f>($B637*J637+K637-L637)*$B637</f>
        <v>0</v>
      </c>
      <c r="N637" s="641"/>
      <c r="O637" s="641"/>
      <c r="P637" s="641"/>
      <c r="Q637" s="641"/>
      <c r="T637" s="3056">
        <v>7046</v>
      </c>
      <c r="U637" s="3063">
        <v>7228566.7800000003</v>
      </c>
    </row>
    <row r="638" spans="1:21" ht="24">
      <c r="A638" s="1648" t="str">
        <f t="shared" si="239"/>
        <v>※LOW</v>
      </c>
      <c r="B638" s="1647">
        <f t="shared" si="240"/>
        <v>-1</v>
      </c>
      <c r="C638" s="1647" t="str">
        <f t="shared" si="237"/>
        <v>J</v>
      </c>
      <c r="D638" s="1659">
        <v>8956</v>
      </c>
      <c r="E638" s="888" t="str">
        <f t="shared" si="241"/>
        <v>少数股东权益_所有者其他投入和减少资本</v>
      </c>
      <c r="F638" s="884">
        <f t="shared" si="244"/>
        <v>0</v>
      </c>
      <c r="G638" s="885">
        <f>SUMIF(AJE!$B:$B,$C638&amp;$D638&amp;"*",AJE!$O:$O)</f>
        <v>0</v>
      </c>
      <c r="H638" s="885">
        <f>SUMIF(AJE!$B:$B,$C638&amp;$D638&amp;"*",AJE!$P:$P)</f>
        <v>0</v>
      </c>
      <c r="I638" s="913">
        <f>(B638*F638+G638-H638)*B638</f>
        <v>0</v>
      </c>
      <c r="J638" s="914">
        <f t="shared" si="242"/>
        <v>0</v>
      </c>
      <c r="K638" s="885">
        <f>SUMIF('AJE1'!$B:$B,$C638&amp;$D638&amp;"*",'AJE1'!$O:$O)</f>
        <v>0</v>
      </c>
      <c r="L638" s="885">
        <f>SUMIF('AJE1'!$B:$B,$C638&amp;$D638&amp;"*",'AJE1'!$P:$P)</f>
        <v>0</v>
      </c>
      <c r="M638" s="891">
        <f>($B638*J638+K638-L638)*$B638</f>
        <v>0</v>
      </c>
      <c r="N638" s="641"/>
      <c r="O638" s="641"/>
      <c r="P638" s="641"/>
      <c r="Q638" s="641"/>
      <c r="T638" s="3056">
        <v>7048</v>
      </c>
      <c r="U638" s="3063">
        <v>50385721.780000001</v>
      </c>
    </row>
    <row r="639" spans="1:21" ht="18">
      <c r="A639" s="1648" t="str">
        <f t="shared" si="239"/>
        <v>※＝</v>
      </c>
      <c r="B639" s="1647">
        <f t="shared" si="240"/>
        <v>0</v>
      </c>
      <c r="C639" s="1647">
        <f t="shared" si="237"/>
        <v>0</v>
      </c>
      <c r="D639" s="1659">
        <v>8960</v>
      </c>
      <c r="E639" s="888" t="str">
        <f t="shared" si="241"/>
        <v>少数股东权益_利润分配影响权益</v>
      </c>
      <c r="F639" s="884">
        <f>SUM(F640:F643)</f>
        <v>0</v>
      </c>
      <c r="G639" s="885">
        <f t="shared" ref="G639:M639" si="245">SUM(G640:G643)</f>
        <v>0</v>
      </c>
      <c r="H639" s="885">
        <f t="shared" si="245"/>
        <v>0</v>
      </c>
      <c r="I639" s="913">
        <f t="shared" si="245"/>
        <v>0</v>
      </c>
      <c r="J639" s="914">
        <f t="shared" si="245"/>
        <v>0</v>
      </c>
      <c r="K639" s="885">
        <f t="shared" si="245"/>
        <v>0</v>
      </c>
      <c r="L639" s="885">
        <f t="shared" si="245"/>
        <v>0</v>
      </c>
      <c r="M639" s="891">
        <f t="shared" si="245"/>
        <v>0</v>
      </c>
      <c r="N639" s="641"/>
      <c r="O639" s="641"/>
      <c r="P639" s="641"/>
      <c r="Q639" s="641"/>
      <c r="T639" s="3056">
        <v>7051</v>
      </c>
      <c r="U639" s="3063">
        <v>21518656.059999999</v>
      </c>
    </row>
    <row r="640" spans="1:21" ht="24">
      <c r="A640" s="1648" t="str">
        <f t="shared" si="239"/>
        <v>※N</v>
      </c>
      <c r="B640" s="1647">
        <f t="shared" si="240"/>
        <v>-1</v>
      </c>
      <c r="C640" s="1647" t="str">
        <f t="shared" si="237"/>
        <v>J</v>
      </c>
      <c r="D640" s="1659">
        <v>8961</v>
      </c>
      <c r="E640" s="888" t="str">
        <f t="shared" si="241"/>
        <v>少数股东权益_提取盈余公积影响权益</v>
      </c>
      <c r="F640" s="884">
        <f t="shared" si="244"/>
        <v>0</v>
      </c>
      <c r="G640" s="885">
        <f>SUMIF(AJE!$B:$B,$C640&amp;$D640&amp;"*",AJE!$O:$O)</f>
        <v>0</v>
      </c>
      <c r="H640" s="885">
        <f>SUMIF(AJE!$B:$B,$C640&amp;$D640&amp;"*",AJE!$P:$P)</f>
        <v>0</v>
      </c>
      <c r="I640" s="913">
        <f>(B640*F640+G640-H640)*B640</f>
        <v>0</v>
      </c>
      <c r="J640" s="914">
        <f t="shared" si="242"/>
        <v>0</v>
      </c>
      <c r="K640" s="885">
        <f>SUMIF('AJE1'!$B:$B,$C640&amp;$D640&amp;"*",'AJE1'!$O:$O)</f>
        <v>0</v>
      </c>
      <c r="L640" s="885">
        <f>SUMIF('AJE1'!$B:$B,$C640&amp;$D640&amp;"*",'AJE1'!$P:$P)</f>
        <v>0</v>
      </c>
      <c r="M640" s="891">
        <f>($B640*J640+K640-L640)*$B640</f>
        <v>0</v>
      </c>
      <c r="N640" s="641"/>
      <c r="O640" s="641"/>
      <c r="P640" s="641"/>
      <c r="Q640" s="641"/>
      <c r="T640" s="3056">
        <v>7053</v>
      </c>
      <c r="U640" s="3063">
        <v>0</v>
      </c>
    </row>
    <row r="641" spans="1:21" ht="24">
      <c r="A641" s="1648" t="str">
        <f t="shared" si="239"/>
        <v>※N</v>
      </c>
      <c r="B641" s="1647">
        <f t="shared" si="240"/>
        <v>-1</v>
      </c>
      <c r="C641" s="1647" t="str">
        <f t="shared" si="237"/>
        <v>J</v>
      </c>
      <c r="D641" s="1659">
        <v>8962</v>
      </c>
      <c r="E641" s="888" t="str">
        <f t="shared" si="241"/>
        <v>少数股东权益_提取一般风险准备影响权益</v>
      </c>
      <c r="F641" s="884">
        <f t="shared" si="244"/>
        <v>0</v>
      </c>
      <c r="G641" s="885">
        <f>SUMIF(AJE!$B:$B,$C641&amp;$D641&amp;"*",AJE!$O:$O)</f>
        <v>0</v>
      </c>
      <c r="H641" s="885">
        <f>SUMIF(AJE!$B:$B,$C641&amp;$D641&amp;"*",AJE!$P:$P)</f>
        <v>0</v>
      </c>
      <c r="I641" s="913">
        <f>(B641*F641+G641-H641)*B641</f>
        <v>0</v>
      </c>
      <c r="J641" s="914">
        <f t="shared" si="242"/>
        <v>0</v>
      </c>
      <c r="K641" s="885">
        <f>SUMIF('AJE1'!$B:$B,$C641&amp;$D641&amp;"*",'AJE1'!$O:$O)</f>
        <v>0</v>
      </c>
      <c r="L641" s="885">
        <f>SUMIF('AJE1'!$B:$B,$C641&amp;$D641&amp;"*",'AJE1'!$P:$P)</f>
        <v>0</v>
      </c>
      <c r="M641" s="891">
        <f>($B641*J641+K641-L641)*$B641</f>
        <v>0</v>
      </c>
      <c r="N641" s="641"/>
      <c r="O641" s="641"/>
      <c r="P641" s="641"/>
      <c r="Q641" s="641"/>
      <c r="T641" s="3056">
        <v>7054</v>
      </c>
      <c r="U641" s="3063">
        <v>0</v>
      </c>
    </row>
    <row r="642" spans="1:21" ht="18">
      <c r="A642" s="1648" t="str">
        <f t="shared" si="239"/>
        <v>※</v>
      </c>
      <c r="B642" s="1647">
        <f t="shared" si="240"/>
        <v>-1</v>
      </c>
      <c r="C642" s="1647" t="str">
        <f t="shared" si="237"/>
        <v>J</v>
      </c>
      <c r="D642" s="1659">
        <v>8963</v>
      </c>
      <c r="E642" s="888" t="str">
        <f t="shared" si="241"/>
        <v>少数股东权益_对所有者的分配</v>
      </c>
      <c r="F642" s="884">
        <f t="shared" si="244"/>
        <v>0</v>
      </c>
      <c r="G642" s="885">
        <f>SUMIF(AJE!$B:$B,$C642&amp;$D642&amp;"*",AJE!$O:$O)</f>
        <v>0</v>
      </c>
      <c r="H642" s="885">
        <f>SUMIF(AJE!$B:$B,$C642&amp;$D642&amp;"*",AJE!$P:$P)</f>
        <v>0</v>
      </c>
      <c r="I642" s="913">
        <f>(B642*F642+G642-H642)*B642</f>
        <v>0</v>
      </c>
      <c r="J642" s="914">
        <f t="shared" si="242"/>
        <v>0</v>
      </c>
      <c r="K642" s="885">
        <f>SUMIF('AJE1'!$B:$B,$C642&amp;$D642&amp;"*",'AJE1'!$O:$O)</f>
        <v>0</v>
      </c>
      <c r="L642" s="885">
        <f>SUMIF('AJE1'!$B:$B,$C642&amp;$D642&amp;"*",'AJE1'!$P:$P)</f>
        <v>0</v>
      </c>
      <c r="M642" s="891">
        <f>($B642*J642+K642-L642)*$B642</f>
        <v>0</v>
      </c>
      <c r="N642" s="641"/>
      <c r="O642" s="641"/>
      <c r="P642" s="641"/>
      <c r="Q642" s="641"/>
      <c r="T642" s="3056">
        <v>7055</v>
      </c>
      <c r="U642" s="3063">
        <v>0</v>
      </c>
    </row>
    <row r="643" spans="1:21" ht="18">
      <c r="A643" s="1648" t="str">
        <f t="shared" si="239"/>
        <v>※LOW</v>
      </c>
      <c r="B643" s="1647">
        <f t="shared" si="240"/>
        <v>-1</v>
      </c>
      <c r="C643" s="1647" t="str">
        <f t="shared" si="237"/>
        <v>J</v>
      </c>
      <c r="D643" s="1659">
        <v>8966</v>
      </c>
      <c r="E643" s="888" t="str">
        <f t="shared" si="241"/>
        <v>少数股东权益_其他利润分配</v>
      </c>
      <c r="F643" s="884">
        <f t="shared" si="244"/>
        <v>0</v>
      </c>
      <c r="G643" s="885">
        <f>SUMIF(AJE!$B:$B,$C643&amp;$D643&amp;"*",AJE!$O:$O)</f>
        <v>0</v>
      </c>
      <c r="H643" s="885">
        <f>SUMIF(AJE!$B:$B,$C643&amp;$D643&amp;"*",AJE!$P:$P)</f>
        <v>0</v>
      </c>
      <c r="I643" s="913">
        <f>(B643*F643+G643-H643)*B643</f>
        <v>0</v>
      </c>
      <c r="J643" s="914">
        <f t="shared" si="242"/>
        <v>0</v>
      </c>
      <c r="K643" s="885">
        <f>SUMIF('AJE1'!$B:$B,$C643&amp;$D643&amp;"*",'AJE1'!$O:$O)</f>
        <v>0</v>
      </c>
      <c r="L643" s="885">
        <f>SUMIF('AJE1'!$B:$B,$C643&amp;$D643&amp;"*",'AJE1'!$P:$P)</f>
        <v>0</v>
      </c>
      <c r="M643" s="891">
        <f>($B643*J643+K643-L643)*$B643</f>
        <v>0</v>
      </c>
      <c r="N643" s="641"/>
      <c r="O643" s="641"/>
      <c r="P643" s="641"/>
      <c r="Q643" s="641"/>
      <c r="T643" s="3056">
        <v>7056</v>
      </c>
      <c r="U643" s="3063">
        <v>0</v>
      </c>
    </row>
    <row r="644" spans="1:21" ht="18">
      <c r="A644" s="1648" t="str">
        <f t="shared" si="239"/>
        <v>※＝</v>
      </c>
      <c r="B644" s="1647">
        <f t="shared" si="240"/>
        <v>0</v>
      </c>
      <c r="C644" s="1647">
        <f t="shared" si="237"/>
        <v>0</v>
      </c>
      <c r="D644" s="1659">
        <v>8970</v>
      </c>
      <c r="E644" s="888" t="str">
        <f t="shared" si="241"/>
        <v>少数股东权益_所有者权益内部结转</v>
      </c>
      <c r="F644" s="884">
        <f t="shared" ref="F644:M644" si="246">SUM(F645:F650)</f>
        <v>0</v>
      </c>
      <c r="G644" s="885">
        <f t="shared" si="246"/>
        <v>0</v>
      </c>
      <c r="H644" s="885">
        <f t="shared" si="246"/>
        <v>0</v>
      </c>
      <c r="I644" s="913">
        <f t="shared" si="246"/>
        <v>0</v>
      </c>
      <c r="J644" s="914">
        <f t="shared" si="246"/>
        <v>0</v>
      </c>
      <c r="K644" s="885">
        <f t="shared" si="246"/>
        <v>0</v>
      </c>
      <c r="L644" s="885">
        <f t="shared" si="246"/>
        <v>0</v>
      </c>
      <c r="M644" s="891">
        <f t="shared" si="246"/>
        <v>0</v>
      </c>
      <c r="N644" s="641"/>
      <c r="O644" s="641"/>
      <c r="P644" s="641"/>
      <c r="Q644" s="641"/>
      <c r="T644" s="3056">
        <v>7057</v>
      </c>
      <c r="U644" s="3063">
        <v>0</v>
      </c>
    </row>
    <row r="645" spans="1:21" ht="24">
      <c r="A645" s="1648" t="str">
        <f t="shared" si="239"/>
        <v>※N</v>
      </c>
      <c r="B645" s="1647">
        <f t="shared" si="240"/>
        <v>-1</v>
      </c>
      <c r="C645" s="1647" t="str">
        <f t="shared" si="237"/>
        <v>J</v>
      </c>
      <c r="D645" s="1659">
        <v>8971</v>
      </c>
      <c r="E645" s="888" t="str">
        <f t="shared" si="241"/>
        <v>少数股东权益_资本公积转增资本影响权益</v>
      </c>
      <c r="F645" s="884">
        <f t="shared" si="244"/>
        <v>0</v>
      </c>
      <c r="G645" s="885">
        <f>SUMIF(AJE!$B:$B,$C645&amp;$D645&amp;"*",AJE!$O:$O)</f>
        <v>0</v>
      </c>
      <c r="H645" s="885">
        <f>SUMIF(AJE!$B:$B,$C645&amp;$D645&amp;"*",AJE!$P:$P)</f>
        <v>0</v>
      </c>
      <c r="I645" s="913">
        <f t="shared" ref="I645:I650" si="247">(B645*F645+G645-H645)*B645</f>
        <v>0</v>
      </c>
      <c r="J645" s="914">
        <f t="shared" si="242"/>
        <v>0</v>
      </c>
      <c r="K645" s="885">
        <f>SUMIF('AJE1'!$B:$B,$C645&amp;$D645&amp;"*",'AJE1'!$O:$O)</f>
        <v>0</v>
      </c>
      <c r="L645" s="885">
        <f>SUMIF('AJE1'!$B:$B,$C645&amp;$D645&amp;"*",'AJE1'!$P:$P)</f>
        <v>0</v>
      </c>
      <c r="M645" s="891">
        <f t="shared" ref="M645:M650" si="248">($B645*J645+K645-L645)*$B645</f>
        <v>0</v>
      </c>
      <c r="N645" s="641"/>
      <c r="O645" s="641"/>
      <c r="P645" s="641"/>
      <c r="Q645" s="641"/>
      <c r="T645" s="3056">
        <v>7061</v>
      </c>
      <c r="U645" s="3063">
        <v>7799242.21</v>
      </c>
    </row>
    <row r="646" spans="1:21" ht="24">
      <c r="A646" s="1648" t="str">
        <f t="shared" si="239"/>
        <v>※N</v>
      </c>
      <c r="B646" s="1647">
        <f t="shared" si="240"/>
        <v>-1</v>
      </c>
      <c r="C646" s="1647" t="str">
        <f t="shared" si="237"/>
        <v>J</v>
      </c>
      <c r="D646" s="1659">
        <v>8972</v>
      </c>
      <c r="E646" s="888" t="str">
        <f t="shared" si="241"/>
        <v>少数股东权益_盈余公积转增资本影响权益</v>
      </c>
      <c r="F646" s="884">
        <f t="shared" si="244"/>
        <v>0</v>
      </c>
      <c r="G646" s="885">
        <f>SUMIF(AJE!$B:$B,$C646&amp;$D646&amp;"*",AJE!$O:$O)</f>
        <v>0</v>
      </c>
      <c r="H646" s="885">
        <f>SUMIF(AJE!$B:$B,$C646&amp;$D646&amp;"*",AJE!$P:$P)</f>
        <v>0</v>
      </c>
      <c r="I646" s="913">
        <f t="shared" si="247"/>
        <v>0</v>
      </c>
      <c r="J646" s="914">
        <f t="shared" si="242"/>
        <v>0</v>
      </c>
      <c r="K646" s="885">
        <f>SUMIF('AJE1'!$B:$B,$C646&amp;$D646&amp;"*",'AJE1'!$O:$O)</f>
        <v>0</v>
      </c>
      <c r="L646" s="885">
        <f>SUMIF('AJE1'!$B:$B,$C646&amp;$D646&amp;"*",'AJE1'!$P:$P)</f>
        <v>0</v>
      </c>
      <c r="M646" s="891">
        <f t="shared" si="248"/>
        <v>0</v>
      </c>
      <c r="N646" s="641"/>
      <c r="O646" s="641"/>
      <c r="P646" s="641"/>
      <c r="Q646" s="641"/>
      <c r="T646" s="3056">
        <v>7071</v>
      </c>
      <c r="U646" s="3063">
        <v>3876417.5</v>
      </c>
    </row>
    <row r="647" spans="1:21" ht="24">
      <c r="A647" s="1648" t="str">
        <f t="shared" si="239"/>
        <v>※N</v>
      </c>
      <c r="B647" s="1647">
        <f t="shared" si="240"/>
        <v>-1</v>
      </c>
      <c r="C647" s="1647" t="str">
        <f t="shared" si="237"/>
        <v>J</v>
      </c>
      <c r="D647" s="1659">
        <v>8973</v>
      </c>
      <c r="E647" s="888" t="str">
        <f t="shared" si="241"/>
        <v>少数股东权益_盈余公积弥补亏损影响权益</v>
      </c>
      <c r="F647" s="884">
        <f t="shared" si="244"/>
        <v>0</v>
      </c>
      <c r="G647" s="885">
        <f>SUMIF(AJE!$B:$B,$C647&amp;$D647&amp;"*",AJE!$O:$O)</f>
        <v>0</v>
      </c>
      <c r="H647" s="885">
        <f>SUMIF(AJE!$B:$B,$C647&amp;$D647&amp;"*",AJE!$P:$P)</f>
        <v>0</v>
      </c>
      <c r="I647" s="913">
        <f t="shared" si="247"/>
        <v>0</v>
      </c>
      <c r="J647" s="914">
        <f t="shared" si="242"/>
        <v>0</v>
      </c>
      <c r="K647" s="885">
        <f>SUMIF('AJE1'!$B:$B,$C647&amp;$D647&amp;"*",'AJE1'!$O:$O)</f>
        <v>0</v>
      </c>
      <c r="L647" s="885">
        <f>SUMIF('AJE1'!$B:$B,$C647&amp;$D647&amp;"*",'AJE1'!$P:$P)</f>
        <v>0</v>
      </c>
      <c r="M647" s="891">
        <f t="shared" si="248"/>
        <v>0</v>
      </c>
      <c r="N647" s="641"/>
      <c r="O647" s="641"/>
      <c r="P647" s="641"/>
      <c r="Q647" s="641"/>
      <c r="T647" s="3056">
        <v>7096</v>
      </c>
      <c r="U647" s="3063">
        <v>5868705.1299999999</v>
      </c>
    </row>
    <row r="648" spans="1:21" ht="24">
      <c r="A648" s="1648" t="str">
        <f t="shared" si="239"/>
        <v>※OEI</v>
      </c>
      <c r="B648" s="1647">
        <f t="shared" si="240"/>
        <v>-1</v>
      </c>
      <c r="C648" s="1647" t="str">
        <f t="shared" si="237"/>
        <v>J</v>
      </c>
      <c r="D648" s="1659">
        <v>8975</v>
      </c>
      <c r="E648" s="888" t="str">
        <f t="shared" si="241"/>
        <v>少数股东权益_设定受益计划变动额结转留存收益</v>
      </c>
      <c r="F648" s="884">
        <f t="shared" si="244"/>
        <v>0</v>
      </c>
      <c r="G648" s="885">
        <f>SUMIF(AJE!$B:$B,$C648&amp;$D648&amp;"*",AJE!$O:$O)</f>
        <v>0</v>
      </c>
      <c r="H648" s="885">
        <f>SUMIF(AJE!$B:$B,$C648&amp;$D648&amp;"*",AJE!$P:$P)</f>
        <v>0</v>
      </c>
      <c r="I648" s="913">
        <f t="shared" si="247"/>
        <v>0</v>
      </c>
      <c r="J648" s="914">
        <f t="shared" si="242"/>
        <v>0</v>
      </c>
      <c r="K648" s="885">
        <f>SUMIF('AJE1'!$B:$B,$C648&amp;$D648&amp;"*",'AJE1'!$O:$O)</f>
        <v>0</v>
      </c>
      <c r="L648" s="885">
        <f>SUMIF('AJE1'!$B:$B,$C648&amp;$D648&amp;"*",'AJE1'!$P:$P)</f>
        <v>0</v>
      </c>
      <c r="M648" s="891">
        <f t="shared" si="248"/>
        <v>0</v>
      </c>
      <c r="N648" s="641"/>
      <c r="O648" s="641"/>
      <c r="P648" s="641"/>
      <c r="Q648" s="641"/>
      <c r="T648" s="3056">
        <v>7098</v>
      </c>
      <c r="U648" s="3063">
        <v>39063020.899999999</v>
      </c>
    </row>
    <row r="649" spans="1:21" ht="24">
      <c r="A649" s="1648" t="str">
        <f>VLOOKUP($D649,Sheet_Items,4,0)</f>
        <v>※_JR</v>
      </c>
      <c r="B649" s="1647">
        <f>VLOOKUP($D649,Sheet_Items,3,0)</f>
        <v>-1</v>
      </c>
      <c r="C649" s="1647" t="str">
        <f>VLOOKUP($D649,Sheet_Items,9,0)</f>
        <v>J</v>
      </c>
      <c r="D649" s="1659">
        <v>8977</v>
      </c>
      <c r="E649" s="889" t="str">
        <f>VLOOKUP($D649,Sheet_Items,2,0)</f>
        <v>少数股东权益_其他综合收益结转留存收益</v>
      </c>
      <c r="F649" s="884">
        <f>INDEX(Sheet_Presc,MATCH((RIGHT($D649,2)),Sheet_Prescrow,0),MATCH((LEFT($D649,2)),Sheet_Presccol,0))</f>
        <v>0</v>
      </c>
      <c r="G649" s="885">
        <f>SUMIF(AJE!$B:$B,$C649&amp;$D649&amp;"*",AJE!$O:$O)</f>
        <v>0</v>
      </c>
      <c r="H649" s="885">
        <f>SUMIF(AJE!$B:$B,$C649&amp;$D649&amp;"*",AJE!$P:$P)</f>
        <v>0</v>
      </c>
      <c r="I649" s="913">
        <f t="shared" si="247"/>
        <v>0</v>
      </c>
      <c r="J649" s="914">
        <f>INDEX(Sheet_Presc,MATCH((RIGHT($D649,2)),Sheet_Prescrow,0),MATCH((VALUE(LEFT($D649,2))),Sheet_Presccol,0))</f>
        <v>0</v>
      </c>
      <c r="K649" s="885">
        <f>SUMIF('AJE1'!$B:$B,$C649&amp;$D649&amp;"*",'AJE1'!$O:$O)</f>
        <v>0</v>
      </c>
      <c r="L649" s="885">
        <f>SUMIF('AJE1'!$B:$B,$C649&amp;$D649&amp;"*",'AJE1'!$P:$P)</f>
        <v>0</v>
      </c>
      <c r="M649" s="891">
        <f t="shared" si="248"/>
        <v>0</v>
      </c>
      <c r="N649" s="641"/>
      <c r="O649" s="641"/>
      <c r="P649" s="641"/>
      <c r="Q649" s="641"/>
      <c r="T649" s="3056">
        <v>7099</v>
      </c>
      <c r="U649" s="3063">
        <v>11322700.880000001</v>
      </c>
    </row>
    <row r="650" spans="1:21" ht="24">
      <c r="A650" s="1648" t="str">
        <f t="shared" si="239"/>
        <v>※LOW</v>
      </c>
      <c r="B650" s="1647">
        <f t="shared" si="240"/>
        <v>-1</v>
      </c>
      <c r="C650" s="1647" t="str">
        <f t="shared" si="237"/>
        <v>J</v>
      </c>
      <c r="D650" s="1659">
        <v>8976</v>
      </c>
      <c r="E650" s="888" t="str">
        <f t="shared" si="241"/>
        <v>少数股东权益_所有者权益其他内部结转</v>
      </c>
      <c r="F650" s="884">
        <f t="shared" si="244"/>
        <v>0</v>
      </c>
      <c r="G650" s="885">
        <f>SUMIF(AJE!$B:$B,$C650&amp;$D650&amp;"*",AJE!$O:$O)</f>
        <v>0</v>
      </c>
      <c r="H650" s="885">
        <f>SUMIF(AJE!$B:$B,$C650&amp;$D650&amp;"*",AJE!$P:$P)</f>
        <v>0</v>
      </c>
      <c r="I650" s="913">
        <f t="shared" si="247"/>
        <v>0</v>
      </c>
      <c r="J650" s="914">
        <f t="shared" si="242"/>
        <v>0</v>
      </c>
      <c r="K650" s="885">
        <f>SUMIF('AJE1'!$B:$B,$C650&amp;$D650&amp;"*",'AJE1'!$O:$O)</f>
        <v>0</v>
      </c>
      <c r="L650" s="885">
        <f>SUMIF('AJE1'!$B:$B,$C650&amp;$D650&amp;"*",'AJE1'!$P:$P)</f>
        <v>0</v>
      </c>
      <c r="M650" s="891">
        <f t="shared" si="248"/>
        <v>0</v>
      </c>
      <c r="N650" s="641"/>
      <c r="O650" s="641"/>
      <c r="P650" s="641"/>
      <c r="Q650" s="641"/>
      <c r="T650" s="3056">
        <v>7100</v>
      </c>
      <c r="U650" s="3063">
        <v>0</v>
      </c>
    </row>
    <row r="651" spans="1:21" ht="18">
      <c r="A651" s="1648" t="str">
        <f t="shared" si="239"/>
        <v>※＝</v>
      </c>
      <c r="B651" s="1647">
        <f t="shared" si="240"/>
        <v>0</v>
      </c>
      <c r="C651" s="1647">
        <f t="shared" si="237"/>
        <v>0</v>
      </c>
      <c r="D651" s="1659">
        <v>8980</v>
      </c>
      <c r="E651" s="888" t="str">
        <f t="shared" si="241"/>
        <v>少数股东权益_专项储备影响权益</v>
      </c>
      <c r="F651" s="884">
        <f t="shared" ref="F651:M651" si="249">SUM(F652:F653)</f>
        <v>0</v>
      </c>
      <c r="G651" s="885">
        <f t="shared" si="249"/>
        <v>0</v>
      </c>
      <c r="H651" s="885">
        <f t="shared" si="249"/>
        <v>0</v>
      </c>
      <c r="I651" s="913">
        <f t="shared" si="249"/>
        <v>0</v>
      </c>
      <c r="J651" s="914">
        <f t="shared" si="249"/>
        <v>0</v>
      </c>
      <c r="K651" s="885">
        <f t="shared" si="249"/>
        <v>0</v>
      </c>
      <c r="L651" s="885">
        <f t="shared" si="249"/>
        <v>0</v>
      </c>
      <c r="M651" s="891">
        <f t="shared" si="249"/>
        <v>0</v>
      </c>
      <c r="N651" s="641"/>
      <c r="O651" s="641"/>
      <c r="P651" s="641"/>
      <c r="Q651" s="641"/>
      <c r="T651" s="3056">
        <v>7101</v>
      </c>
      <c r="U651" s="3063">
        <v>0</v>
      </c>
    </row>
    <row r="652" spans="1:21" ht="18">
      <c r="A652" s="1648" t="str">
        <f t="shared" si="239"/>
        <v>※LOW</v>
      </c>
      <c r="B652" s="1647">
        <f t="shared" si="240"/>
        <v>-1</v>
      </c>
      <c r="C652" s="1647" t="str">
        <f t="shared" si="237"/>
        <v>J</v>
      </c>
      <c r="D652" s="1659">
        <v>8981</v>
      </c>
      <c r="E652" s="888" t="str">
        <f t="shared" si="241"/>
        <v>少数股东权益_专项储备本期提取</v>
      </c>
      <c r="F652" s="884">
        <f t="shared" si="244"/>
        <v>0</v>
      </c>
      <c r="G652" s="885">
        <f>SUMIF(AJE!$B:$B,$C652&amp;$D652&amp;"*",AJE!$O:$O)</f>
        <v>0</v>
      </c>
      <c r="H652" s="885">
        <f>SUMIF(AJE!$B:$B,$C652&amp;$D652&amp;"*",AJE!$P:$P)</f>
        <v>0</v>
      </c>
      <c r="I652" s="913">
        <f>(B652*F652+G652-H652)*B652</f>
        <v>0</v>
      </c>
      <c r="J652" s="914">
        <f t="shared" si="242"/>
        <v>0</v>
      </c>
      <c r="K652" s="885">
        <f>SUMIF('AJE1'!$B:$B,$C652&amp;$D652&amp;"*",'AJE1'!$O:$O)</f>
        <v>0</v>
      </c>
      <c r="L652" s="885">
        <f>SUMIF('AJE1'!$B:$B,$C652&amp;$D652&amp;"*",'AJE1'!$P:$P)</f>
        <v>0</v>
      </c>
      <c r="M652" s="891">
        <f>($B652*J652+K652-L652)*$B652</f>
        <v>0</v>
      </c>
      <c r="N652" s="641"/>
      <c r="O652" s="641"/>
      <c r="P652" s="641"/>
      <c r="Q652" s="641"/>
      <c r="T652" s="3056">
        <v>7105</v>
      </c>
      <c r="U652" s="3063">
        <v>38200.720000000001</v>
      </c>
    </row>
    <row r="653" spans="1:21" ht="18">
      <c r="A653" s="1648" t="str">
        <f t="shared" si="239"/>
        <v>※LOW</v>
      </c>
      <c r="B653" s="1647">
        <f t="shared" si="240"/>
        <v>-1</v>
      </c>
      <c r="C653" s="1647" t="str">
        <f t="shared" si="237"/>
        <v>J</v>
      </c>
      <c r="D653" s="1659">
        <v>8982</v>
      </c>
      <c r="E653" s="888" t="str">
        <f t="shared" si="241"/>
        <v>少数股东权益_专项储备本期使用</v>
      </c>
      <c r="F653" s="884">
        <f t="shared" si="244"/>
        <v>0</v>
      </c>
      <c r="G653" s="885">
        <f>SUMIF(AJE!$B:$B,$C653&amp;$D653&amp;"*",AJE!$O:$O)</f>
        <v>0</v>
      </c>
      <c r="H653" s="885">
        <f>SUMIF(AJE!$B:$B,$C653&amp;$D653&amp;"*",AJE!$P:$P)</f>
        <v>0</v>
      </c>
      <c r="I653" s="913">
        <f>(B653*F653+G653-H653)*B653</f>
        <v>0</v>
      </c>
      <c r="J653" s="914">
        <f t="shared" si="242"/>
        <v>0</v>
      </c>
      <c r="K653" s="885">
        <f>SUMIF('AJE1'!$B:$B,$C653&amp;$D653&amp;"*",'AJE1'!$O:$O)</f>
        <v>0</v>
      </c>
      <c r="L653" s="885">
        <f>SUMIF('AJE1'!$B:$B,$C653&amp;$D653&amp;"*",'AJE1'!$P:$P)</f>
        <v>0</v>
      </c>
      <c r="M653" s="891">
        <f>($B653*J653+K653-L653)*$B653</f>
        <v>0</v>
      </c>
      <c r="N653" s="641"/>
      <c r="O653" s="641"/>
      <c r="P653" s="641"/>
      <c r="Q653" s="641"/>
      <c r="T653" s="3056">
        <v>7111</v>
      </c>
      <c r="U653" s="3063">
        <v>456.04</v>
      </c>
    </row>
    <row r="654" spans="1:21" ht="18">
      <c r="A654" s="1648" t="str">
        <f t="shared" si="239"/>
        <v>※LOW</v>
      </c>
      <c r="B654" s="1647">
        <f t="shared" si="240"/>
        <v>-1</v>
      </c>
      <c r="C654" s="1647" t="str">
        <f t="shared" si="237"/>
        <v>J</v>
      </c>
      <c r="D654" s="1659">
        <v>8996</v>
      </c>
      <c r="E654" s="888" t="str">
        <f t="shared" si="241"/>
        <v>少数股东权益_本期其他增减变动</v>
      </c>
      <c r="F654" s="884">
        <f t="shared" si="244"/>
        <v>0</v>
      </c>
      <c r="G654" s="885">
        <f>SUMIF(AJE!$B:$B,$C654&amp;$D654&amp;"*",AJE!$O:$O)</f>
        <v>0</v>
      </c>
      <c r="H654" s="885">
        <f>SUMIF(AJE!$B:$B,$C654&amp;$D654&amp;"*",AJE!$P:$P)</f>
        <v>0</v>
      </c>
      <c r="I654" s="913">
        <f>(B654*F654+G654-H654)*B654</f>
        <v>0</v>
      </c>
      <c r="J654" s="914">
        <f t="shared" si="242"/>
        <v>0</v>
      </c>
      <c r="K654" s="885">
        <f>SUMIF('AJE1'!$B:$B,$C654&amp;$D654&amp;"*",'AJE1'!$O:$O)</f>
        <v>0</v>
      </c>
      <c r="L654" s="885">
        <f>SUMIF('AJE1'!$B:$B,$C654&amp;$D654&amp;"*",'AJE1'!$P:$P)</f>
        <v>0</v>
      </c>
      <c r="M654" s="891">
        <f>($B654*J654+K654-L654)*$B654</f>
        <v>0</v>
      </c>
      <c r="N654" s="641"/>
      <c r="O654" s="641"/>
      <c r="P654" s="641"/>
      <c r="Q654" s="641"/>
      <c r="T654" s="3056">
        <v>7121</v>
      </c>
      <c r="U654" s="3063">
        <v>0</v>
      </c>
    </row>
    <row r="655" spans="1:21" ht="18">
      <c r="A655" s="1648" t="str">
        <f t="shared" si="239"/>
        <v>※＝</v>
      </c>
      <c r="B655" s="1647">
        <f t="shared" si="240"/>
        <v>0</v>
      </c>
      <c r="C655" s="1647">
        <f t="shared" si="237"/>
        <v>0</v>
      </c>
      <c r="D655" s="1659">
        <v>8999</v>
      </c>
      <c r="E655" s="888" t="str">
        <f t="shared" si="241"/>
        <v>少数股东权益_本期期末余额</v>
      </c>
      <c r="F655" s="884">
        <f t="shared" ref="F655:M655" si="250">SUM(F629,F630)</f>
        <v>0</v>
      </c>
      <c r="G655" s="885">
        <f t="shared" si="250"/>
        <v>0</v>
      </c>
      <c r="H655" s="885">
        <f t="shared" si="250"/>
        <v>0</v>
      </c>
      <c r="I655" s="913">
        <f t="shared" si="250"/>
        <v>0</v>
      </c>
      <c r="J655" s="914">
        <f t="shared" si="250"/>
        <v>0</v>
      </c>
      <c r="K655" s="885">
        <f t="shared" si="250"/>
        <v>0</v>
      </c>
      <c r="L655" s="885">
        <f t="shared" si="250"/>
        <v>0</v>
      </c>
      <c r="M655" s="891">
        <f t="shared" si="250"/>
        <v>0</v>
      </c>
      <c r="N655" s="641"/>
      <c r="O655" s="641"/>
      <c r="P655" s="641"/>
      <c r="Q655" s="641"/>
      <c r="T655" s="3056">
        <v>7146</v>
      </c>
      <c r="U655" s="3063">
        <v>0</v>
      </c>
    </row>
    <row r="656" spans="1:21" ht="18">
      <c r="A656" s="1648" t="str">
        <f t="shared" si="239"/>
        <v>：</v>
      </c>
      <c r="B656" s="1647">
        <f t="shared" si="240"/>
        <v>0</v>
      </c>
      <c r="C656" s="1647">
        <f t="shared" si="237"/>
        <v>0</v>
      </c>
      <c r="D656" s="1659">
        <v>7</v>
      </c>
      <c r="E656" s="920" t="str">
        <f t="shared" si="241"/>
        <v>现金流量表</v>
      </c>
      <c r="F656" s="884"/>
      <c r="G656" s="885"/>
      <c r="H656" s="885"/>
      <c r="I656" s="913"/>
      <c r="J656" s="914"/>
      <c r="K656" s="885"/>
      <c r="L656" s="885"/>
      <c r="M656" s="891"/>
      <c r="N656" s="641"/>
      <c r="O656" s="641"/>
      <c r="P656" s="641"/>
      <c r="Q656" s="641"/>
      <c r="T656" s="3056">
        <v>7148</v>
      </c>
      <c r="U656" s="3063">
        <v>38656.76</v>
      </c>
    </row>
    <row r="657" spans="1:21" ht="18">
      <c r="A657" s="1648" t="str">
        <f t="shared" si="239"/>
        <v>：</v>
      </c>
      <c r="B657" s="1647">
        <f t="shared" si="240"/>
        <v>0</v>
      </c>
      <c r="C657" s="1647">
        <f t="shared" si="237"/>
        <v>0</v>
      </c>
      <c r="D657" s="2186">
        <v>7000</v>
      </c>
      <c r="E657" s="2187" t="str">
        <f t="shared" si="241"/>
        <v>经营活动现金流量项目</v>
      </c>
      <c r="F657" s="884"/>
      <c r="G657" s="885"/>
      <c r="H657" s="885"/>
      <c r="I657" s="913"/>
      <c r="J657" s="914"/>
      <c r="K657" s="885"/>
      <c r="L657" s="885"/>
      <c r="M657" s="891"/>
      <c r="N657" s="641"/>
      <c r="O657" s="641"/>
      <c r="P657" s="641"/>
      <c r="Q657" s="641"/>
      <c r="T657" s="3056">
        <v>7151</v>
      </c>
      <c r="U657" s="3063">
        <v>2473925.15</v>
      </c>
    </row>
    <row r="658" spans="1:21" ht="18">
      <c r="A658" s="1648">
        <f t="shared" si="239"/>
        <v>0</v>
      </c>
      <c r="B658" s="1647">
        <f t="shared" si="240"/>
        <v>1</v>
      </c>
      <c r="C658" s="1647" t="str">
        <f t="shared" si="237"/>
        <v>J</v>
      </c>
      <c r="D658" s="1659">
        <v>7001</v>
      </c>
      <c r="E658" s="888" t="str">
        <f t="shared" si="241"/>
        <v>销售商品提供劳务收到的现金</v>
      </c>
      <c r="F658" s="884">
        <f t="shared" ref="F658:F670" si="251">VLOOKUP($D658,Sheet_Precf,4,0)</f>
        <v>36631011.609999999</v>
      </c>
      <c r="G658" s="885">
        <f>SUMIF(CFJE!$B:$B,$C658&amp;$D658&amp;"*",CFJE!$S:$S)</f>
        <v>0</v>
      </c>
      <c r="H658" s="885">
        <f>SUMIF(CFJE!$B:$B,$C658&amp;$D658&amp;"*",CFJE!$T:$T)</f>
        <v>0</v>
      </c>
      <c r="I658" s="913">
        <f t="shared" ref="I658:I689" si="252">(B658*F658+G658-H658)*B658</f>
        <v>36631011.609999999</v>
      </c>
      <c r="J658" s="914">
        <f t="shared" ref="J658:J689" si="253">VLOOKUP($D658,Sheet_Precf,5,0)</f>
        <v>43157155</v>
      </c>
      <c r="K658" s="885"/>
      <c r="L658" s="885"/>
      <c r="M658" s="891">
        <f t="shared" ref="M658:M689" si="254">($B658*J658+K658-L658)*$B658</f>
        <v>43157155</v>
      </c>
      <c r="N658" s="641"/>
      <c r="O658" s="641"/>
      <c r="P658" s="641"/>
      <c r="Q658" s="641"/>
      <c r="T658" s="3056">
        <v>7161</v>
      </c>
      <c r="U658" s="3063">
        <v>1850000</v>
      </c>
    </row>
    <row r="659" spans="1:21" ht="18">
      <c r="A659" s="1648" t="str">
        <f t="shared" si="239"/>
        <v>△</v>
      </c>
      <c r="B659" s="1647">
        <f t="shared" si="240"/>
        <v>1</v>
      </c>
      <c r="C659" s="1647" t="str">
        <f t="shared" si="237"/>
        <v>J</v>
      </c>
      <c r="D659" s="1659">
        <v>7011</v>
      </c>
      <c r="E659" s="888" t="str">
        <f t="shared" si="241"/>
        <v>客户存款和同业存放款项净增加额</v>
      </c>
      <c r="F659" s="884">
        <f t="shared" si="251"/>
        <v>0</v>
      </c>
      <c r="G659" s="885">
        <f>SUMIF(CFJE!$B:$B,$C659&amp;$D659&amp;"*",CFJE!$S:$S)</f>
        <v>0</v>
      </c>
      <c r="H659" s="885">
        <f>SUMIF(CFJE!$B:$B,$C659&amp;$D659&amp;"*",CFJE!$T:$T)</f>
        <v>0</v>
      </c>
      <c r="I659" s="913">
        <f t="shared" si="252"/>
        <v>0</v>
      </c>
      <c r="J659" s="914">
        <f t="shared" si="253"/>
        <v>0</v>
      </c>
      <c r="K659" s="885"/>
      <c r="L659" s="885"/>
      <c r="M659" s="891">
        <f t="shared" si="254"/>
        <v>0</v>
      </c>
      <c r="N659" s="641"/>
      <c r="O659" s="641"/>
      <c r="P659" s="641"/>
      <c r="Q659" s="641"/>
      <c r="T659" s="3056">
        <v>7165</v>
      </c>
      <c r="U659" s="3063">
        <v>0</v>
      </c>
    </row>
    <row r="660" spans="1:21" ht="18">
      <c r="A660" s="1648" t="str">
        <f t="shared" si="239"/>
        <v>△</v>
      </c>
      <c r="B660" s="1647">
        <f t="shared" si="240"/>
        <v>1</v>
      </c>
      <c r="C660" s="1647" t="str">
        <f t="shared" si="237"/>
        <v>J</v>
      </c>
      <c r="D660" s="1659">
        <v>7012</v>
      </c>
      <c r="E660" s="888" t="str">
        <f t="shared" si="241"/>
        <v>向中央银行借款净增加额</v>
      </c>
      <c r="F660" s="884">
        <f t="shared" si="251"/>
        <v>0</v>
      </c>
      <c r="G660" s="885">
        <f>SUMIF(CFJE!$B:$B,$C660&amp;$D660&amp;"*",CFJE!$S:$S)</f>
        <v>0</v>
      </c>
      <c r="H660" s="885">
        <f>SUMIF(CFJE!$B:$B,$C660&amp;$D660&amp;"*",CFJE!$T:$T)</f>
        <v>0</v>
      </c>
      <c r="I660" s="913">
        <f t="shared" si="252"/>
        <v>0</v>
      </c>
      <c r="J660" s="914">
        <f t="shared" si="253"/>
        <v>0</v>
      </c>
      <c r="K660" s="885"/>
      <c r="L660" s="885"/>
      <c r="M660" s="891">
        <f t="shared" si="254"/>
        <v>0</v>
      </c>
      <c r="N660" s="641"/>
      <c r="O660" s="641"/>
      <c r="P660" s="641"/>
      <c r="Q660" s="641"/>
      <c r="T660" s="3056">
        <v>7171</v>
      </c>
      <c r="U660" s="3063">
        <v>0</v>
      </c>
    </row>
    <row r="661" spans="1:21" ht="18">
      <c r="A661" s="1648" t="str">
        <f t="shared" si="239"/>
        <v>△</v>
      </c>
      <c r="B661" s="1647">
        <f t="shared" si="240"/>
        <v>1</v>
      </c>
      <c r="C661" s="1647" t="str">
        <f t="shared" si="237"/>
        <v>J</v>
      </c>
      <c r="D661" s="1659">
        <v>7013</v>
      </c>
      <c r="E661" s="888" t="str">
        <f t="shared" si="241"/>
        <v>向其他金融机构拆入资金净增加额</v>
      </c>
      <c r="F661" s="884">
        <f t="shared" si="251"/>
        <v>0</v>
      </c>
      <c r="G661" s="885">
        <f>SUMIF(CFJE!$B:$B,$C661&amp;$D661&amp;"*",CFJE!$S:$S)</f>
        <v>0</v>
      </c>
      <c r="H661" s="885">
        <f>SUMIF(CFJE!$B:$B,$C661&amp;$D661&amp;"*",CFJE!$T:$T)</f>
        <v>0</v>
      </c>
      <c r="I661" s="913">
        <f t="shared" si="252"/>
        <v>0</v>
      </c>
      <c r="J661" s="914">
        <f t="shared" si="253"/>
        <v>0</v>
      </c>
      <c r="K661" s="885"/>
      <c r="L661" s="885"/>
      <c r="M661" s="891">
        <f t="shared" si="254"/>
        <v>0</v>
      </c>
      <c r="N661" s="641"/>
      <c r="O661" s="641"/>
      <c r="P661" s="641"/>
      <c r="Q661" s="641"/>
      <c r="T661" s="3056">
        <v>7196</v>
      </c>
      <c r="U661" s="3063">
        <v>0</v>
      </c>
    </row>
    <row r="662" spans="1:21" ht="18">
      <c r="A662" s="1648" t="str">
        <f t="shared" si="239"/>
        <v>△</v>
      </c>
      <c r="B662" s="1647">
        <f t="shared" si="240"/>
        <v>1</v>
      </c>
      <c r="C662" s="1647" t="str">
        <f t="shared" si="237"/>
        <v>J</v>
      </c>
      <c r="D662" s="1659">
        <v>7014</v>
      </c>
      <c r="E662" s="888" t="str">
        <f t="shared" si="241"/>
        <v>收到原保险合同保费取得的现金</v>
      </c>
      <c r="F662" s="884">
        <f t="shared" si="251"/>
        <v>0</v>
      </c>
      <c r="G662" s="885">
        <f>SUMIF(CFJE!$B:$B,$C662&amp;$D662&amp;"*",CFJE!$S:$S)</f>
        <v>0</v>
      </c>
      <c r="H662" s="885">
        <f>SUMIF(CFJE!$B:$B,$C662&amp;$D662&amp;"*",CFJE!$T:$T)</f>
        <v>0</v>
      </c>
      <c r="I662" s="913">
        <f t="shared" si="252"/>
        <v>0</v>
      </c>
      <c r="J662" s="914">
        <f t="shared" si="253"/>
        <v>0</v>
      </c>
      <c r="K662" s="885"/>
      <c r="L662" s="885"/>
      <c r="M662" s="891">
        <f t="shared" si="254"/>
        <v>0</v>
      </c>
      <c r="N662" s="641"/>
      <c r="O662" s="641"/>
      <c r="P662" s="641"/>
      <c r="Q662" s="641"/>
      <c r="T662" s="3056">
        <v>7198</v>
      </c>
      <c r="U662" s="3063">
        <v>4323925.1500000004</v>
      </c>
    </row>
    <row r="663" spans="1:21" ht="18">
      <c r="A663" s="1648" t="str">
        <f t="shared" si="239"/>
        <v>△</v>
      </c>
      <c r="B663" s="1647">
        <f t="shared" si="240"/>
        <v>1</v>
      </c>
      <c r="C663" s="1647" t="str">
        <f t="shared" si="237"/>
        <v>J</v>
      </c>
      <c r="D663" s="1659">
        <v>7015</v>
      </c>
      <c r="E663" s="888" t="str">
        <f t="shared" si="241"/>
        <v>收到再保业务现金净额</v>
      </c>
      <c r="F663" s="884">
        <f t="shared" si="251"/>
        <v>0</v>
      </c>
      <c r="G663" s="885">
        <f>SUMIF(CFJE!$B:$B,$C663&amp;$D663&amp;"*",CFJE!$S:$S)</f>
        <v>0</v>
      </c>
      <c r="H663" s="885">
        <f>SUMIF(CFJE!$B:$B,$C663&amp;$D663&amp;"*",CFJE!$T:$T)</f>
        <v>0</v>
      </c>
      <c r="I663" s="913">
        <f t="shared" si="252"/>
        <v>0</v>
      </c>
      <c r="J663" s="914">
        <f t="shared" si="253"/>
        <v>0</v>
      </c>
      <c r="K663" s="885"/>
      <c r="L663" s="885"/>
      <c r="M663" s="891">
        <f t="shared" si="254"/>
        <v>0</v>
      </c>
      <c r="N663" s="641"/>
      <c r="O663" s="641"/>
      <c r="P663" s="641"/>
      <c r="Q663" s="641"/>
      <c r="T663" s="3056">
        <v>7199</v>
      </c>
      <c r="U663" s="3063">
        <v>-4285268.3899999997</v>
      </c>
    </row>
    <row r="664" spans="1:21" ht="18">
      <c r="A664" s="1648" t="str">
        <f t="shared" si="239"/>
        <v>△</v>
      </c>
      <c r="B664" s="1647">
        <f t="shared" si="240"/>
        <v>1</v>
      </c>
      <c r="C664" s="1647" t="str">
        <f t="shared" si="237"/>
        <v>J</v>
      </c>
      <c r="D664" s="1659">
        <v>7016</v>
      </c>
      <c r="E664" s="888" t="str">
        <f t="shared" si="241"/>
        <v>保户储金及投资款净增加额</v>
      </c>
      <c r="F664" s="884">
        <f t="shared" si="251"/>
        <v>0</v>
      </c>
      <c r="G664" s="885">
        <f>SUMIF(CFJE!$B:$B,$C664&amp;$D664&amp;"*",CFJE!$S:$S)</f>
        <v>0</v>
      </c>
      <c r="H664" s="885">
        <f>SUMIF(CFJE!$B:$B,$C664&amp;$D664&amp;"*",CFJE!$T:$T)</f>
        <v>0</v>
      </c>
      <c r="I664" s="913">
        <f t="shared" si="252"/>
        <v>0</v>
      </c>
      <c r="J664" s="914">
        <f t="shared" si="253"/>
        <v>0</v>
      </c>
      <c r="K664" s="885"/>
      <c r="L664" s="885"/>
      <c r="M664" s="891">
        <f t="shared" si="254"/>
        <v>0</v>
      </c>
      <c r="N664" s="641"/>
      <c r="O664" s="641"/>
      <c r="P664" s="641"/>
      <c r="Q664" s="641"/>
      <c r="T664" s="3056">
        <v>7200</v>
      </c>
      <c r="U664" s="3063">
        <v>0</v>
      </c>
    </row>
    <row r="665" spans="1:21" ht="18">
      <c r="A665" s="1648" t="str">
        <f t="shared" si="239"/>
        <v>△</v>
      </c>
      <c r="B665" s="1647">
        <f t="shared" si="240"/>
        <v>1</v>
      </c>
      <c r="C665" s="1647" t="str">
        <f t="shared" si="237"/>
        <v>J</v>
      </c>
      <c r="D665" s="1659">
        <v>7023</v>
      </c>
      <c r="E665" s="888" t="str">
        <f t="shared" si="241"/>
        <v>收取利息手续费及佣金的现金</v>
      </c>
      <c r="F665" s="884">
        <f t="shared" si="251"/>
        <v>0</v>
      </c>
      <c r="G665" s="885">
        <f>SUMIF(CFJE!$B:$B,$C665&amp;$D665&amp;"*",CFJE!$S:$S)</f>
        <v>0</v>
      </c>
      <c r="H665" s="885">
        <f>SUMIF(CFJE!$B:$B,$C665&amp;$D665&amp;"*",CFJE!$T:$T)</f>
        <v>0</v>
      </c>
      <c r="I665" s="913">
        <f t="shared" si="252"/>
        <v>0</v>
      </c>
      <c r="J665" s="914">
        <f t="shared" si="253"/>
        <v>0</v>
      </c>
      <c r="K665" s="885"/>
      <c r="L665" s="885"/>
      <c r="M665" s="891">
        <f t="shared" si="254"/>
        <v>0</v>
      </c>
      <c r="N665" s="641"/>
      <c r="O665" s="641"/>
      <c r="P665" s="641"/>
      <c r="Q665" s="641"/>
      <c r="T665" s="3056">
        <v>7201</v>
      </c>
      <c r="U665" s="3063">
        <v>0</v>
      </c>
    </row>
    <row r="666" spans="1:21" ht="18">
      <c r="A666" s="1648" t="str">
        <f t="shared" si="239"/>
        <v>△</v>
      </c>
      <c r="B666" s="1647">
        <f t="shared" si="240"/>
        <v>1</v>
      </c>
      <c r="C666" s="1647" t="str">
        <f t="shared" si="237"/>
        <v>J</v>
      </c>
      <c r="D666" s="1659">
        <v>7025</v>
      </c>
      <c r="E666" s="888" t="str">
        <f t="shared" si="241"/>
        <v>拆入资金净增加额</v>
      </c>
      <c r="F666" s="884">
        <f t="shared" si="251"/>
        <v>0</v>
      </c>
      <c r="G666" s="885">
        <f>SUMIF(CFJE!$B:$B,$C666&amp;$D666&amp;"*",CFJE!$S:$S)</f>
        <v>0</v>
      </c>
      <c r="H666" s="885">
        <f>SUMIF(CFJE!$B:$B,$C666&amp;$D666&amp;"*",CFJE!$T:$T)</f>
        <v>0</v>
      </c>
      <c r="I666" s="913">
        <f t="shared" si="252"/>
        <v>0</v>
      </c>
      <c r="J666" s="914">
        <f t="shared" si="253"/>
        <v>0</v>
      </c>
      <c r="K666" s="885"/>
      <c r="L666" s="885"/>
      <c r="M666" s="891">
        <f t="shared" si="254"/>
        <v>0</v>
      </c>
      <c r="N666" s="641"/>
      <c r="O666" s="641"/>
      <c r="P666" s="641"/>
      <c r="Q666" s="641"/>
      <c r="T666" s="3057">
        <v>7201.01</v>
      </c>
      <c r="U666" s="3063">
        <v>0</v>
      </c>
    </row>
    <row r="667" spans="1:21" ht="18">
      <c r="A667" s="1648" t="str">
        <f t="shared" si="239"/>
        <v>△</v>
      </c>
      <c r="B667" s="1647">
        <f t="shared" si="240"/>
        <v>1</v>
      </c>
      <c r="C667" s="1647" t="str">
        <f t="shared" si="237"/>
        <v>J</v>
      </c>
      <c r="D667" s="1659">
        <v>7026</v>
      </c>
      <c r="E667" s="888" t="str">
        <f t="shared" si="241"/>
        <v>回购业务资金净增加额</v>
      </c>
      <c r="F667" s="884">
        <f t="shared" si="251"/>
        <v>0</v>
      </c>
      <c r="G667" s="885">
        <f>SUMIF(CFJE!$B:$B,$C667&amp;$D667&amp;"*",CFJE!$S:$S)</f>
        <v>0</v>
      </c>
      <c r="H667" s="885">
        <f>SUMIF(CFJE!$B:$B,$C667&amp;$D667&amp;"*",CFJE!$T:$T)</f>
        <v>0</v>
      </c>
      <c r="I667" s="913">
        <f t="shared" si="252"/>
        <v>0</v>
      </c>
      <c r="J667" s="914">
        <f t="shared" si="253"/>
        <v>0</v>
      </c>
      <c r="K667" s="885"/>
      <c r="L667" s="885"/>
      <c r="M667" s="891">
        <f t="shared" si="254"/>
        <v>0</v>
      </c>
      <c r="N667" s="641"/>
      <c r="O667" s="641"/>
      <c r="P667" s="641"/>
      <c r="Q667" s="641"/>
      <c r="T667" s="3056">
        <v>7211</v>
      </c>
      <c r="U667" s="3063">
        <v>0</v>
      </c>
    </row>
    <row r="668" spans="1:21" ht="18">
      <c r="A668" s="1648" t="str">
        <f t="shared" si="239"/>
        <v>△</v>
      </c>
      <c r="B668" s="1647">
        <f t="shared" si="240"/>
        <v>1</v>
      </c>
      <c r="C668" s="1647" t="str">
        <f t="shared" si="237"/>
        <v>J</v>
      </c>
      <c r="D668" s="1659">
        <v>7024</v>
      </c>
      <c r="E668" s="888" t="str">
        <f t="shared" si="241"/>
        <v>代理买卖证券收到的现金净额</v>
      </c>
      <c r="F668" s="884">
        <f t="shared" si="251"/>
        <v>0</v>
      </c>
      <c r="G668" s="885">
        <f>SUMIF(CFJE!$B:$B,$C668&amp;$D668&amp;"*",CFJE!$S:$S)</f>
        <v>0</v>
      </c>
      <c r="H668" s="885">
        <f>SUMIF(CFJE!$B:$B,$C668&amp;$D668&amp;"*",CFJE!$T:$T)</f>
        <v>0</v>
      </c>
      <c r="I668" s="913">
        <f t="shared" ref="I668" si="255">(B668*F668+G668-H668)*B668</f>
        <v>0</v>
      </c>
      <c r="J668" s="914">
        <f t="shared" si="253"/>
        <v>0</v>
      </c>
      <c r="K668" s="885"/>
      <c r="L668" s="885"/>
      <c r="M668" s="891">
        <f t="shared" ref="M668" si="256">($B668*J668+K668-L668)*$B668</f>
        <v>0</v>
      </c>
      <c r="N668" s="641"/>
      <c r="O668" s="641"/>
      <c r="P668" s="641"/>
      <c r="Q668" s="641"/>
      <c r="T668" s="3056">
        <v>7221</v>
      </c>
      <c r="U668" s="3063">
        <v>0</v>
      </c>
    </row>
    <row r="669" spans="1:21" ht="18">
      <c r="A669" s="1648">
        <f t="shared" si="239"/>
        <v>0</v>
      </c>
      <c r="B669" s="1647">
        <f t="shared" si="240"/>
        <v>1</v>
      </c>
      <c r="C669" s="1647" t="str">
        <f t="shared" si="237"/>
        <v>J</v>
      </c>
      <c r="D669" s="1659">
        <v>7031</v>
      </c>
      <c r="E669" s="888" t="str">
        <f t="shared" si="241"/>
        <v>收到的税费返还</v>
      </c>
      <c r="F669" s="884">
        <f t="shared" si="251"/>
        <v>0</v>
      </c>
      <c r="G669" s="885">
        <f>SUMIF(CFJE!$B:$B,$C669&amp;$D669&amp;"*",CFJE!$S:$S)</f>
        <v>0</v>
      </c>
      <c r="H669" s="885">
        <f>SUMIF(CFJE!$B:$B,$C669&amp;$D669&amp;"*",CFJE!$T:$T)</f>
        <v>0</v>
      </c>
      <c r="I669" s="913">
        <f t="shared" si="252"/>
        <v>0</v>
      </c>
      <c r="J669" s="914">
        <f t="shared" si="253"/>
        <v>0</v>
      </c>
      <c r="K669" s="885"/>
      <c r="L669" s="885"/>
      <c r="M669" s="891">
        <f t="shared" si="254"/>
        <v>0</v>
      </c>
      <c r="N669" s="641"/>
      <c r="O669" s="641"/>
      <c r="P669" s="641"/>
      <c r="Q669" s="641"/>
      <c r="T669" s="3056">
        <v>7246</v>
      </c>
      <c r="U669" s="3063">
        <v>0</v>
      </c>
    </row>
    <row r="670" spans="1:21" ht="18">
      <c r="A670" s="1648">
        <f t="shared" si="239"/>
        <v>0</v>
      </c>
      <c r="B670" s="1647">
        <f t="shared" si="240"/>
        <v>1</v>
      </c>
      <c r="C670" s="1647" t="str">
        <f t="shared" si="237"/>
        <v>J</v>
      </c>
      <c r="D670" s="1659">
        <v>7046</v>
      </c>
      <c r="E670" s="888" t="str">
        <f t="shared" si="241"/>
        <v>收到其他与经营活动有关的现金</v>
      </c>
      <c r="F670" s="884">
        <f t="shared" si="251"/>
        <v>872175.39</v>
      </c>
      <c r="G670" s="885">
        <f>SUMIF(CFJE!$B:$B,$C670&amp;$D670&amp;"*",CFJE!$S:$S)</f>
        <v>0</v>
      </c>
      <c r="H670" s="885">
        <f>SUMIF(CFJE!$B:$B,$C670&amp;$D670&amp;"*",CFJE!$T:$T)</f>
        <v>0</v>
      </c>
      <c r="I670" s="913">
        <f t="shared" si="252"/>
        <v>872175.39</v>
      </c>
      <c r="J670" s="914">
        <f t="shared" si="253"/>
        <v>7228566.7800000003</v>
      </c>
      <c r="K670" s="885"/>
      <c r="L670" s="885"/>
      <c r="M670" s="891">
        <f t="shared" si="254"/>
        <v>7228566.7800000003</v>
      </c>
      <c r="N670" s="641"/>
      <c r="O670" s="641"/>
      <c r="P670" s="641"/>
      <c r="Q670" s="641"/>
      <c r="T670" s="3056">
        <v>7248</v>
      </c>
      <c r="U670" s="3063">
        <v>0</v>
      </c>
    </row>
    <row r="671" spans="1:21" ht="18">
      <c r="A671" s="1648" t="str">
        <f t="shared" si="239"/>
        <v>＝</v>
      </c>
      <c r="B671" s="1647">
        <f t="shared" si="240"/>
        <v>0</v>
      </c>
      <c r="C671" s="1647">
        <f t="shared" si="237"/>
        <v>0</v>
      </c>
      <c r="D671" s="2186">
        <v>7048</v>
      </c>
      <c r="E671" s="2187" t="str">
        <f t="shared" si="241"/>
        <v>经营活动现金流入</v>
      </c>
      <c r="F671" s="884">
        <f t="shared" ref="F671:M671" si="257">SUM(F658:F670)</f>
        <v>37503187</v>
      </c>
      <c r="G671" s="885">
        <f t="shared" si="257"/>
        <v>0</v>
      </c>
      <c r="H671" s="885">
        <f t="shared" si="257"/>
        <v>0</v>
      </c>
      <c r="I671" s="913">
        <f t="shared" si="257"/>
        <v>37503187</v>
      </c>
      <c r="J671" s="914">
        <f t="shared" si="257"/>
        <v>50385721.780000001</v>
      </c>
      <c r="K671" s="885">
        <f t="shared" si="257"/>
        <v>0</v>
      </c>
      <c r="L671" s="885">
        <f t="shared" si="257"/>
        <v>0</v>
      </c>
      <c r="M671" s="891">
        <f t="shared" si="257"/>
        <v>50385721.780000001</v>
      </c>
      <c r="N671" s="641"/>
      <c r="O671" s="641"/>
      <c r="P671" s="641"/>
      <c r="Q671" s="641"/>
      <c r="T671" s="3056">
        <v>7251</v>
      </c>
      <c r="U671" s="3063">
        <v>10000000</v>
      </c>
    </row>
    <row r="672" spans="1:21" ht="18">
      <c r="A672" s="1648">
        <f t="shared" si="239"/>
        <v>0</v>
      </c>
      <c r="B672" s="1647">
        <f t="shared" si="240"/>
        <v>-1</v>
      </c>
      <c r="C672" s="1647" t="str">
        <f t="shared" si="237"/>
        <v>J</v>
      </c>
      <c r="D672" s="1659">
        <v>7051</v>
      </c>
      <c r="E672" s="888" t="str">
        <f t="shared" si="241"/>
        <v>购买商品接受劳务支付的现金</v>
      </c>
      <c r="F672" s="884">
        <f t="shared" ref="F672:F681" si="258">VLOOKUP($D672,Sheet_Precf,4,0)</f>
        <v>19308391.789999999</v>
      </c>
      <c r="G672" s="885">
        <f>SUMIF(CFJE!$B:$B,$C672&amp;$D672&amp;"*",CFJE!$S:$S)</f>
        <v>0</v>
      </c>
      <c r="H672" s="885">
        <f>SUMIF(CFJE!$B:$B,$C672&amp;$D672&amp;"*",CFJE!$T:$T)</f>
        <v>0</v>
      </c>
      <c r="I672" s="913">
        <f t="shared" si="252"/>
        <v>19308391.789999999</v>
      </c>
      <c r="J672" s="914">
        <f t="shared" si="253"/>
        <v>21518656.059999999</v>
      </c>
      <c r="K672" s="885"/>
      <c r="L672" s="885"/>
      <c r="M672" s="891">
        <f t="shared" si="254"/>
        <v>21518656.059999999</v>
      </c>
      <c r="N672" s="641"/>
      <c r="O672" s="641"/>
      <c r="P672" s="641"/>
      <c r="Q672" s="641"/>
      <c r="T672" s="3056">
        <v>7261</v>
      </c>
      <c r="U672" s="3063">
        <v>16721.77</v>
      </c>
    </row>
    <row r="673" spans="1:21" ht="18">
      <c r="A673" s="1648" t="str">
        <f t="shared" si="239"/>
        <v>△</v>
      </c>
      <c r="B673" s="1647">
        <f t="shared" si="240"/>
        <v>-1</v>
      </c>
      <c r="C673" s="1647" t="str">
        <f t="shared" si="237"/>
        <v>J</v>
      </c>
      <c r="D673" s="1659">
        <v>7053</v>
      </c>
      <c r="E673" s="888" t="str">
        <f t="shared" si="241"/>
        <v>客户贷款及垫款净增加额</v>
      </c>
      <c r="F673" s="884">
        <f t="shared" si="258"/>
        <v>0</v>
      </c>
      <c r="G673" s="885">
        <f>SUMIF(CFJE!$B:$B,$C673&amp;$D673&amp;"*",CFJE!$S:$S)</f>
        <v>0</v>
      </c>
      <c r="H673" s="885">
        <f>SUMIF(CFJE!$B:$B,$C673&amp;$D673&amp;"*",CFJE!$T:$T)</f>
        <v>0</v>
      </c>
      <c r="I673" s="913">
        <f t="shared" si="252"/>
        <v>0</v>
      </c>
      <c r="J673" s="914">
        <f t="shared" si="253"/>
        <v>0</v>
      </c>
      <c r="K673" s="885"/>
      <c r="L673" s="885"/>
      <c r="M673" s="891">
        <f t="shared" si="254"/>
        <v>0</v>
      </c>
      <c r="N673" s="641"/>
      <c r="O673" s="641"/>
      <c r="P673" s="641"/>
      <c r="Q673" s="641"/>
      <c r="T673" s="3057">
        <v>7261.01</v>
      </c>
      <c r="U673" s="3063">
        <v>0</v>
      </c>
    </row>
    <row r="674" spans="1:21" ht="18">
      <c r="A674" s="1648" t="str">
        <f t="shared" si="239"/>
        <v>△</v>
      </c>
      <c r="B674" s="1647">
        <f t="shared" si="240"/>
        <v>-1</v>
      </c>
      <c r="C674" s="1647" t="str">
        <f t="shared" si="237"/>
        <v>J</v>
      </c>
      <c r="D674" s="1659">
        <v>7054</v>
      </c>
      <c r="E674" s="888" t="str">
        <f t="shared" si="241"/>
        <v>存放中央银行和同业款项净增加额</v>
      </c>
      <c r="F674" s="884">
        <f t="shared" si="258"/>
        <v>0</v>
      </c>
      <c r="G674" s="885">
        <f>SUMIF(CFJE!$B:$B,$C674&amp;$D674&amp;"*",CFJE!$S:$S)</f>
        <v>0</v>
      </c>
      <c r="H674" s="885">
        <f>SUMIF(CFJE!$B:$B,$C674&amp;$D674&amp;"*",CFJE!$T:$T)</f>
        <v>0</v>
      </c>
      <c r="I674" s="913">
        <f t="shared" si="252"/>
        <v>0</v>
      </c>
      <c r="J674" s="914">
        <f t="shared" si="253"/>
        <v>0</v>
      </c>
      <c r="K674" s="885"/>
      <c r="L674" s="885"/>
      <c r="M674" s="891">
        <f t="shared" si="254"/>
        <v>0</v>
      </c>
      <c r="N674" s="641"/>
      <c r="O674" s="641"/>
      <c r="P674" s="641"/>
      <c r="Q674" s="641"/>
      <c r="T674" s="3056">
        <v>7296</v>
      </c>
      <c r="U674" s="3063">
        <v>0</v>
      </c>
    </row>
    <row r="675" spans="1:21" ht="18">
      <c r="A675" s="1648" t="str">
        <f t="shared" si="239"/>
        <v>△</v>
      </c>
      <c r="B675" s="1647">
        <f t="shared" si="240"/>
        <v>-1</v>
      </c>
      <c r="C675" s="1647" t="str">
        <f t="shared" si="237"/>
        <v>J</v>
      </c>
      <c r="D675" s="1659">
        <v>7055</v>
      </c>
      <c r="E675" s="888" t="str">
        <f t="shared" si="241"/>
        <v>支付原保险合同赔付款项的现金</v>
      </c>
      <c r="F675" s="884">
        <f t="shared" si="258"/>
        <v>0</v>
      </c>
      <c r="G675" s="885">
        <f>SUMIF(CFJE!$B:$B,$C675&amp;$D675&amp;"*",CFJE!$S:$S)</f>
        <v>0</v>
      </c>
      <c r="H675" s="885">
        <f>SUMIF(CFJE!$B:$B,$C675&amp;$D675&amp;"*",CFJE!$T:$T)</f>
        <v>0</v>
      </c>
      <c r="I675" s="913">
        <f t="shared" si="252"/>
        <v>0</v>
      </c>
      <c r="J675" s="914">
        <f t="shared" si="253"/>
        <v>0</v>
      </c>
      <c r="K675" s="885"/>
      <c r="L675" s="885"/>
      <c r="M675" s="891">
        <f t="shared" si="254"/>
        <v>0</v>
      </c>
      <c r="N675" s="641"/>
      <c r="O675" s="641"/>
      <c r="P675" s="641"/>
      <c r="Q675" s="641"/>
      <c r="T675" s="3057">
        <v>7296.11</v>
      </c>
      <c r="U675" s="3063">
        <v>0</v>
      </c>
    </row>
    <row r="676" spans="1:21" ht="18">
      <c r="A676" s="1648" t="str">
        <f t="shared" si="239"/>
        <v>△</v>
      </c>
      <c r="B676" s="1647">
        <f t="shared" si="240"/>
        <v>-1</v>
      </c>
      <c r="C676" s="1647" t="str">
        <f t="shared" si="237"/>
        <v>J</v>
      </c>
      <c r="D676" s="1659">
        <v>7058</v>
      </c>
      <c r="E676" s="888" t="str">
        <f t="shared" si="241"/>
        <v>拆出资金净增加额</v>
      </c>
      <c r="F676" s="884">
        <f t="shared" si="258"/>
        <v>0</v>
      </c>
      <c r="G676" s="885">
        <f>SUMIF(CFJE!$B:$B,$C676&amp;$D676&amp;"*",CFJE!$S:$S)</f>
        <v>0</v>
      </c>
      <c r="H676" s="885">
        <f>SUMIF(CFJE!$B:$B,$C676&amp;$D676&amp;"*",CFJE!$T:$T)</f>
        <v>0</v>
      </c>
      <c r="I676" s="913">
        <f t="shared" ref="I676" si="259">(B676*F676+G676-H676)*B676</f>
        <v>0</v>
      </c>
      <c r="J676" s="914">
        <f t="shared" si="253"/>
        <v>0</v>
      </c>
      <c r="K676" s="885"/>
      <c r="L676" s="885"/>
      <c r="M676" s="891">
        <f t="shared" ref="M676" si="260">($B676*J676+K676-L676)*$B676</f>
        <v>0</v>
      </c>
      <c r="N676" s="641"/>
      <c r="O676" s="641"/>
      <c r="P676" s="641"/>
      <c r="Q676" s="641"/>
      <c r="T676" s="3056">
        <v>7298</v>
      </c>
      <c r="U676" s="3063">
        <v>10016721.77</v>
      </c>
    </row>
    <row r="677" spans="1:21" ht="18">
      <c r="A677" s="1648" t="str">
        <f t="shared" si="239"/>
        <v>△</v>
      </c>
      <c r="B677" s="1647">
        <f t="shared" si="240"/>
        <v>-1</v>
      </c>
      <c r="C677" s="1647" t="str">
        <f t="shared" si="237"/>
        <v>J</v>
      </c>
      <c r="D677" s="1659">
        <v>7056</v>
      </c>
      <c r="E677" s="888" t="str">
        <f t="shared" si="241"/>
        <v>支付利息手续费及佣金的现金</v>
      </c>
      <c r="F677" s="884">
        <f t="shared" si="258"/>
        <v>0</v>
      </c>
      <c r="G677" s="885">
        <f>SUMIF(CFJE!$B:$B,$C677&amp;$D677&amp;"*",CFJE!$S:$S)</f>
        <v>0</v>
      </c>
      <c r="H677" s="885">
        <f>SUMIF(CFJE!$B:$B,$C677&amp;$D677&amp;"*",CFJE!$T:$T)</f>
        <v>0</v>
      </c>
      <c r="I677" s="913">
        <f t="shared" si="252"/>
        <v>0</v>
      </c>
      <c r="J677" s="914">
        <f t="shared" si="253"/>
        <v>0</v>
      </c>
      <c r="K677" s="885"/>
      <c r="L677" s="885"/>
      <c r="M677" s="891">
        <f t="shared" si="254"/>
        <v>0</v>
      </c>
      <c r="N677" s="641"/>
      <c r="O677" s="641"/>
      <c r="P677" s="641"/>
      <c r="Q677" s="641"/>
      <c r="T677" s="3056">
        <v>7299</v>
      </c>
      <c r="U677" s="3063">
        <v>-10016721.77</v>
      </c>
    </row>
    <row r="678" spans="1:21" ht="18">
      <c r="A678" s="1648" t="str">
        <f t="shared" si="239"/>
        <v>△</v>
      </c>
      <c r="B678" s="1647">
        <f t="shared" si="240"/>
        <v>-1</v>
      </c>
      <c r="C678" s="1647" t="str">
        <f t="shared" si="237"/>
        <v>J</v>
      </c>
      <c r="D678" s="1659">
        <v>7057</v>
      </c>
      <c r="E678" s="888" t="str">
        <f t="shared" si="241"/>
        <v>支付保单红利的现金</v>
      </c>
      <c r="F678" s="884">
        <f t="shared" si="258"/>
        <v>0</v>
      </c>
      <c r="G678" s="885">
        <f>SUMIF(CFJE!$B:$B,$C678&amp;$D678&amp;"*",CFJE!$S:$S)</f>
        <v>0</v>
      </c>
      <c r="H678" s="885">
        <f>SUMIF(CFJE!$B:$B,$C678&amp;$D678&amp;"*",CFJE!$T:$T)</f>
        <v>0</v>
      </c>
      <c r="I678" s="913">
        <f t="shared" si="252"/>
        <v>0</v>
      </c>
      <c r="J678" s="914">
        <f t="shared" si="253"/>
        <v>0</v>
      </c>
      <c r="K678" s="885"/>
      <c r="L678" s="885"/>
      <c r="M678" s="891">
        <f t="shared" si="254"/>
        <v>0</v>
      </c>
      <c r="N678" s="641"/>
      <c r="O678" s="641"/>
      <c r="P678" s="641"/>
      <c r="Q678" s="641"/>
      <c r="T678" s="3056">
        <v>7309</v>
      </c>
      <c r="U678" s="3063">
        <v>0</v>
      </c>
    </row>
    <row r="679" spans="1:21" ht="18">
      <c r="A679" s="1648">
        <f t="shared" si="239"/>
        <v>0</v>
      </c>
      <c r="B679" s="1647">
        <f t="shared" si="240"/>
        <v>-1</v>
      </c>
      <c r="C679" s="1647" t="str">
        <f t="shared" si="237"/>
        <v>J</v>
      </c>
      <c r="D679" s="1659">
        <v>7061</v>
      </c>
      <c r="E679" s="888" t="str">
        <f t="shared" si="241"/>
        <v>支付给职工以及为职工支付的现金</v>
      </c>
      <c r="F679" s="884">
        <f t="shared" si="258"/>
        <v>8360207.9299999997</v>
      </c>
      <c r="G679" s="885">
        <f>SUMIF(CFJE!$B:$B,$C679&amp;$D679&amp;"*",CFJE!$S:$S)</f>
        <v>0</v>
      </c>
      <c r="H679" s="885">
        <f>SUMIF(CFJE!$B:$B,$C679&amp;$D679&amp;"*",CFJE!$T:$T)</f>
        <v>0</v>
      </c>
      <c r="I679" s="913">
        <f t="shared" si="252"/>
        <v>8360207.9299999997</v>
      </c>
      <c r="J679" s="914">
        <f t="shared" si="253"/>
        <v>7799242.21</v>
      </c>
      <c r="K679" s="885"/>
      <c r="L679" s="885"/>
      <c r="M679" s="891">
        <f t="shared" si="254"/>
        <v>7799242.21</v>
      </c>
      <c r="N679" s="641"/>
      <c r="O679" s="641"/>
      <c r="P679" s="641"/>
      <c r="Q679" s="641"/>
      <c r="T679" s="3056">
        <v>7348</v>
      </c>
      <c r="U679" s="3063">
        <v>-2979289.28</v>
      </c>
    </row>
    <row r="680" spans="1:21" ht="18">
      <c r="A680" s="1648">
        <f t="shared" si="239"/>
        <v>0</v>
      </c>
      <c r="B680" s="1647">
        <f t="shared" si="240"/>
        <v>-1</v>
      </c>
      <c r="C680" s="1647" t="str">
        <f t="shared" si="237"/>
        <v>J</v>
      </c>
      <c r="D680" s="1659">
        <v>7071</v>
      </c>
      <c r="E680" s="888" t="str">
        <f t="shared" si="241"/>
        <v>支付的各项税费</v>
      </c>
      <c r="F680" s="884">
        <f t="shared" si="258"/>
        <v>3106865.8</v>
      </c>
      <c r="G680" s="885">
        <f>SUMIF(CFJE!$B:$B,$C680&amp;$D680&amp;"*",CFJE!$S:$S)</f>
        <v>0</v>
      </c>
      <c r="H680" s="885">
        <f>SUMIF(CFJE!$B:$B,$C680&amp;$D680&amp;"*",CFJE!$T:$T)</f>
        <v>0</v>
      </c>
      <c r="I680" s="913">
        <f t="shared" si="252"/>
        <v>3106865.8</v>
      </c>
      <c r="J680" s="914">
        <f t="shared" si="253"/>
        <v>3876417.5</v>
      </c>
      <c r="K680" s="885"/>
      <c r="L680" s="885"/>
      <c r="M680" s="891">
        <f t="shared" si="254"/>
        <v>3876417.5</v>
      </c>
      <c r="N680" s="641"/>
      <c r="O680" s="641"/>
      <c r="P680" s="641"/>
      <c r="Q680" s="641"/>
      <c r="T680" s="3056">
        <v>7349</v>
      </c>
      <c r="U680" s="3063">
        <v>3232013.12</v>
      </c>
    </row>
    <row r="681" spans="1:21" ht="18">
      <c r="A681" s="1648">
        <f t="shared" si="239"/>
        <v>0</v>
      </c>
      <c r="B681" s="1647">
        <f t="shared" si="240"/>
        <v>-1</v>
      </c>
      <c r="C681" s="1647" t="str">
        <f t="shared" si="237"/>
        <v>J</v>
      </c>
      <c r="D681" s="1659">
        <v>7096</v>
      </c>
      <c r="E681" s="888" t="str">
        <f t="shared" si="241"/>
        <v>支付其他与经营活动有关的现金</v>
      </c>
      <c r="F681" s="884">
        <f t="shared" si="258"/>
        <v>5764273.5599999996</v>
      </c>
      <c r="G681" s="885">
        <f>SUMIF(CFJE!$B:$B,$C681&amp;$D681&amp;"*",CFJE!$S:$S)</f>
        <v>0</v>
      </c>
      <c r="H681" s="885">
        <f>SUMIF(CFJE!$B:$B,$C681&amp;$D681&amp;"*",CFJE!$T:$T)</f>
        <v>0</v>
      </c>
      <c r="I681" s="913">
        <f t="shared" si="252"/>
        <v>5764273.5599999996</v>
      </c>
      <c r="J681" s="914">
        <f t="shared" si="253"/>
        <v>5868705.1299999999</v>
      </c>
      <c r="K681" s="885"/>
      <c r="L681" s="885"/>
      <c r="M681" s="891">
        <f t="shared" si="254"/>
        <v>5868705.1299999999</v>
      </c>
      <c r="N681" s="641"/>
      <c r="O681" s="641"/>
      <c r="P681" s="641"/>
      <c r="Q681" s="641"/>
      <c r="T681" s="3056">
        <v>7399</v>
      </c>
      <c r="U681" s="3063">
        <v>252723.84</v>
      </c>
    </row>
    <row r="682" spans="1:21" ht="18">
      <c r="A682" s="1648" t="str">
        <f t="shared" si="239"/>
        <v>＝</v>
      </c>
      <c r="B682" s="1647">
        <f t="shared" si="240"/>
        <v>0</v>
      </c>
      <c r="C682" s="1647">
        <f t="shared" si="237"/>
        <v>0</v>
      </c>
      <c r="D682" s="2186">
        <v>7098</v>
      </c>
      <c r="E682" s="2187" t="str">
        <f t="shared" si="241"/>
        <v>经营活动现金流出</v>
      </c>
      <c r="F682" s="884">
        <f t="shared" ref="F682:M682" si="261">SUM(F672:F681)</f>
        <v>36539739.079999998</v>
      </c>
      <c r="G682" s="885">
        <f t="shared" si="261"/>
        <v>0</v>
      </c>
      <c r="H682" s="885">
        <f t="shared" si="261"/>
        <v>0</v>
      </c>
      <c r="I682" s="913">
        <f t="shared" si="261"/>
        <v>36539739.079999998</v>
      </c>
      <c r="J682" s="914">
        <f t="shared" si="261"/>
        <v>39063020.899999999</v>
      </c>
      <c r="K682" s="885">
        <f t="shared" si="261"/>
        <v>0</v>
      </c>
      <c r="L682" s="885">
        <f t="shared" si="261"/>
        <v>0</v>
      </c>
      <c r="M682" s="891">
        <f t="shared" si="261"/>
        <v>39063020.899999999</v>
      </c>
      <c r="N682" s="641"/>
      <c r="O682" s="641"/>
      <c r="P682" s="641"/>
      <c r="Q682" s="641"/>
      <c r="T682" s="3056">
        <v>19</v>
      </c>
      <c r="U682" s="3063"/>
    </row>
    <row r="683" spans="1:21" ht="18">
      <c r="A683" s="1648" t="str">
        <f t="shared" si="239"/>
        <v>＝</v>
      </c>
      <c r="B683" s="1647">
        <f t="shared" si="240"/>
        <v>0</v>
      </c>
      <c r="C683" s="1647">
        <f t="shared" si="237"/>
        <v>0</v>
      </c>
      <c r="D683" s="2186">
        <v>7099</v>
      </c>
      <c r="E683" s="2187" t="str">
        <f t="shared" si="241"/>
        <v>经营活动产生的现金流量净额</v>
      </c>
      <c r="F683" s="884">
        <f t="shared" ref="F683:M683" si="262">SUM(F671,-F682)</f>
        <v>963447.92</v>
      </c>
      <c r="G683" s="919">
        <f>SUM(G671,G682)</f>
        <v>0</v>
      </c>
      <c r="H683" s="919">
        <f>SUM(H671,H682)</f>
        <v>0</v>
      </c>
      <c r="I683" s="913">
        <f t="shared" si="262"/>
        <v>963447.92</v>
      </c>
      <c r="J683" s="914">
        <f t="shared" si="262"/>
        <v>11322700.880000001</v>
      </c>
      <c r="K683" s="919">
        <f>SUM(K671,K682)</f>
        <v>0</v>
      </c>
      <c r="L683" s="919">
        <f>SUM(L671,L682)</f>
        <v>0</v>
      </c>
      <c r="M683" s="891">
        <f t="shared" si="262"/>
        <v>11322700.880000001</v>
      </c>
      <c r="N683" s="641"/>
      <c r="O683" s="641"/>
      <c r="P683" s="641"/>
      <c r="Q683" s="641"/>
      <c r="T683" s="3061">
        <v>1122.1231</v>
      </c>
      <c r="U683" s="3063">
        <v>-887769.2</v>
      </c>
    </row>
    <row r="684" spans="1:21" ht="18">
      <c r="A684" s="1648" t="str">
        <f t="shared" si="239"/>
        <v>：</v>
      </c>
      <c r="B684" s="1647">
        <f t="shared" si="240"/>
        <v>0</v>
      </c>
      <c r="C684" s="1647">
        <f t="shared" si="237"/>
        <v>0</v>
      </c>
      <c r="D684" s="2186">
        <v>7100</v>
      </c>
      <c r="E684" s="2187" t="str">
        <f t="shared" si="241"/>
        <v>投资活动现金流量项目</v>
      </c>
      <c r="F684" s="884"/>
      <c r="G684" s="885"/>
      <c r="H684" s="885"/>
      <c r="I684" s="913"/>
      <c r="J684" s="914"/>
      <c r="K684" s="885"/>
      <c r="L684" s="885"/>
      <c r="M684" s="891"/>
      <c r="N684" s="641"/>
      <c r="O684" s="641"/>
      <c r="P684" s="641"/>
      <c r="Q684" s="641"/>
      <c r="T684" s="3061">
        <v>1125.1231</v>
      </c>
      <c r="U684" s="3063">
        <v>0</v>
      </c>
    </row>
    <row r="685" spans="1:21" ht="18">
      <c r="A685" s="1648">
        <f t="shared" si="239"/>
        <v>0</v>
      </c>
      <c r="B685" s="1647">
        <f t="shared" si="240"/>
        <v>1</v>
      </c>
      <c r="C685" s="1647" t="str">
        <f t="shared" si="237"/>
        <v>J</v>
      </c>
      <c r="D685" s="1659">
        <v>7101</v>
      </c>
      <c r="E685" s="888" t="str">
        <f t="shared" si="241"/>
        <v>收回投资收到的现金</v>
      </c>
      <c r="F685" s="884">
        <f t="shared" ref="F685:F689" si="263">VLOOKUP($D685,Sheet_Precf,4,0)</f>
        <v>650000</v>
      </c>
      <c r="G685" s="885">
        <f>SUMIF(CFJE!$B:$B,$C685&amp;$D685&amp;"*",CFJE!$S:$S)</f>
        <v>0</v>
      </c>
      <c r="H685" s="885">
        <f>SUMIF(CFJE!$B:$B,$C685&amp;$D685&amp;"*",CFJE!$T:$T)</f>
        <v>0</v>
      </c>
      <c r="I685" s="913">
        <f t="shared" si="252"/>
        <v>650000</v>
      </c>
      <c r="J685" s="914">
        <f t="shared" si="253"/>
        <v>0</v>
      </c>
      <c r="K685" s="885"/>
      <c r="L685" s="885"/>
      <c r="M685" s="891">
        <f t="shared" si="254"/>
        <v>0</v>
      </c>
      <c r="N685" s="641"/>
      <c r="O685" s="641"/>
      <c r="P685" s="641"/>
      <c r="Q685" s="641"/>
      <c r="T685" s="3061">
        <v>1221.1231</v>
      </c>
      <c r="U685" s="3063">
        <v>0</v>
      </c>
    </row>
    <row r="686" spans="1:21" ht="18">
      <c r="A686" s="1648">
        <f t="shared" si="239"/>
        <v>0</v>
      </c>
      <c r="B686" s="1647">
        <f t="shared" si="240"/>
        <v>1</v>
      </c>
      <c r="C686" s="1647" t="str">
        <f t="shared" si="237"/>
        <v>J</v>
      </c>
      <c r="D686" s="1659">
        <v>7105</v>
      </c>
      <c r="E686" s="888" t="str">
        <f t="shared" si="241"/>
        <v>取得投资收益收到的现金</v>
      </c>
      <c r="F686" s="884">
        <f t="shared" si="263"/>
        <v>41851.06</v>
      </c>
      <c r="G686" s="885">
        <f>SUMIF(CFJE!$B:$B,$C686&amp;$D686&amp;"*",CFJE!$S:$S)</f>
        <v>0</v>
      </c>
      <c r="H686" s="885">
        <f>SUMIF(CFJE!$B:$B,$C686&amp;$D686&amp;"*",CFJE!$T:$T)</f>
        <v>0</v>
      </c>
      <c r="I686" s="913">
        <f t="shared" si="252"/>
        <v>41851.06</v>
      </c>
      <c r="J686" s="914">
        <f t="shared" si="253"/>
        <v>38200.720000000001</v>
      </c>
      <c r="K686" s="885"/>
      <c r="L686" s="885"/>
      <c r="M686" s="891">
        <f t="shared" si="254"/>
        <v>38200.720000000001</v>
      </c>
      <c r="N686" s="641"/>
      <c r="O686" s="641"/>
      <c r="P686" s="641"/>
      <c r="Q686" s="641"/>
      <c r="T686" s="3061">
        <v>1400.1470999999999</v>
      </c>
      <c r="U686" s="3063">
        <v>0</v>
      </c>
    </row>
    <row r="687" spans="1:21" ht="24">
      <c r="A687" s="1648">
        <f t="shared" si="239"/>
        <v>0</v>
      </c>
      <c r="B687" s="1647">
        <f t="shared" si="240"/>
        <v>1</v>
      </c>
      <c r="C687" s="1647" t="str">
        <f t="shared" si="237"/>
        <v>J</v>
      </c>
      <c r="D687" s="1659">
        <v>7111</v>
      </c>
      <c r="E687" s="888" t="str">
        <f t="shared" si="241"/>
        <v>处置固定资产无形资产长期资产收回的现金</v>
      </c>
      <c r="F687" s="884">
        <f t="shared" si="263"/>
        <v>0</v>
      </c>
      <c r="G687" s="885">
        <f>SUMIF(CFJE!$B:$B,$C687&amp;$D687&amp;"*",CFJE!$S:$S)</f>
        <v>0</v>
      </c>
      <c r="H687" s="885">
        <f>SUMIF(CFJE!$B:$B,$C687&amp;$D687&amp;"*",CFJE!$T:$T)</f>
        <v>0</v>
      </c>
      <c r="I687" s="913">
        <f t="shared" si="252"/>
        <v>0</v>
      </c>
      <c r="J687" s="914">
        <f t="shared" si="253"/>
        <v>456.04</v>
      </c>
      <c r="K687" s="885"/>
      <c r="L687" s="885"/>
      <c r="M687" s="891">
        <f t="shared" si="254"/>
        <v>456.04</v>
      </c>
      <c r="N687" s="641"/>
      <c r="O687" s="641"/>
      <c r="P687" s="641"/>
      <c r="Q687" s="641"/>
      <c r="T687" s="3061">
        <v>1503.1504</v>
      </c>
      <c r="U687" s="3063">
        <v>0</v>
      </c>
    </row>
    <row r="688" spans="1:21" ht="24">
      <c r="A688" s="1648">
        <f t="shared" si="239"/>
        <v>0</v>
      </c>
      <c r="B688" s="1647">
        <f t="shared" si="240"/>
        <v>1</v>
      </c>
      <c r="C688" s="1647" t="str">
        <f t="shared" si="237"/>
        <v>J</v>
      </c>
      <c r="D688" s="1659">
        <v>7121</v>
      </c>
      <c r="E688" s="888" t="str">
        <f t="shared" si="241"/>
        <v>处置子公司及其他营业单位收到的现金净额</v>
      </c>
      <c r="F688" s="884">
        <f t="shared" si="263"/>
        <v>0</v>
      </c>
      <c r="G688" s="885">
        <f>SUMIF(CFJE!$B:$B,$C688&amp;$D688&amp;"*",CFJE!$S:$S)</f>
        <v>0</v>
      </c>
      <c r="H688" s="885">
        <f>SUMIF(CFJE!$B:$B,$C688&amp;$D688&amp;"*",CFJE!$T:$T)</f>
        <v>0</v>
      </c>
      <c r="I688" s="913">
        <f t="shared" si="252"/>
        <v>0</v>
      </c>
      <c r="J688" s="914">
        <f t="shared" si="253"/>
        <v>0</v>
      </c>
      <c r="K688" s="885"/>
      <c r="L688" s="885"/>
      <c r="M688" s="891">
        <f t="shared" si="254"/>
        <v>0</v>
      </c>
      <c r="N688" s="641"/>
      <c r="O688" s="641"/>
      <c r="P688" s="641"/>
      <c r="Q688" s="641"/>
      <c r="T688" s="3061">
        <v>1501.1502</v>
      </c>
      <c r="U688" s="3063">
        <v>0</v>
      </c>
    </row>
    <row r="689" spans="1:21" ht="18">
      <c r="A689" s="1648">
        <f t="shared" si="239"/>
        <v>0</v>
      </c>
      <c r="B689" s="1647">
        <f t="shared" si="240"/>
        <v>1</v>
      </c>
      <c r="C689" s="1647" t="str">
        <f t="shared" si="237"/>
        <v>J</v>
      </c>
      <c r="D689" s="1659">
        <v>7146</v>
      </c>
      <c r="E689" s="888" t="str">
        <f t="shared" si="241"/>
        <v>收到其他与投资活动有关的现金</v>
      </c>
      <c r="F689" s="884">
        <f t="shared" si="263"/>
        <v>10464100</v>
      </c>
      <c r="G689" s="885">
        <f>SUMIF(CFJE!$B:$B,$C689&amp;$D689&amp;"*",CFJE!$S:$S)</f>
        <v>0</v>
      </c>
      <c r="H689" s="885">
        <f>SUMIF(CFJE!$B:$B,$C689&amp;$D689&amp;"*",CFJE!$T:$T)</f>
        <v>0</v>
      </c>
      <c r="I689" s="913">
        <f t="shared" si="252"/>
        <v>10464100</v>
      </c>
      <c r="J689" s="914">
        <f t="shared" si="253"/>
        <v>0</v>
      </c>
      <c r="K689" s="885"/>
      <c r="L689" s="885"/>
      <c r="M689" s="891">
        <f t="shared" si="254"/>
        <v>0</v>
      </c>
      <c r="N689" s="641"/>
      <c r="O689" s="641"/>
      <c r="P689" s="641"/>
      <c r="Q689" s="641"/>
      <c r="T689" s="3061">
        <v>1511.1512</v>
      </c>
      <c r="U689" s="3063">
        <v>0</v>
      </c>
    </row>
    <row r="690" spans="1:21" ht="18">
      <c r="A690" s="1648" t="str">
        <f t="shared" si="239"/>
        <v>＝</v>
      </c>
      <c r="B690" s="1647">
        <f t="shared" si="240"/>
        <v>0</v>
      </c>
      <c r="C690" s="1647">
        <f t="shared" si="237"/>
        <v>0</v>
      </c>
      <c r="D690" s="2186">
        <v>7148</v>
      </c>
      <c r="E690" s="2187" t="str">
        <f t="shared" si="241"/>
        <v>投资活动现金流入</v>
      </c>
      <c r="F690" s="884">
        <f t="shared" ref="F690:M690" si="264">SUM(F685:F689)</f>
        <v>11155951.060000001</v>
      </c>
      <c r="G690" s="885">
        <f t="shared" si="264"/>
        <v>0</v>
      </c>
      <c r="H690" s="885">
        <f t="shared" si="264"/>
        <v>0</v>
      </c>
      <c r="I690" s="913">
        <f t="shared" si="264"/>
        <v>11155951.060000001</v>
      </c>
      <c r="J690" s="914">
        <f t="shared" si="264"/>
        <v>38656.76</v>
      </c>
      <c r="K690" s="885">
        <f t="shared" si="264"/>
        <v>0</v>
      </c>
      <c r="L690" s="885">
        <f t="shared" si="264"/>
        <v>0</v>
      </c>
      <c r="M690" s="891">
        <f t="shared" si="264"/>
        <v>38656.76</v>
      </c>
      <c r="N690" s="641"/>
      <c r="O690" s="641"/>
      <c r="P690" s="641"/>
      <c r="Q690" s="641"/>
      <c r="T690" s="3061">
        <v>1521.1522</v>
      </c>
      <c r="U690" s="3063">
        <v>0</v>
      </c>
    </row>
    <row r="691" spans="1:21" ht="24">
      <c r="A691" s="1648">
        <f t="shared" si="239"/>
        <v>0</v>
      </c>
      <c r="B691" s="1647">
        <f t="shared" si="240"/>
        <v>-1</v>
      </c>
      <c r="C691" s="1647" t="str">
        <f t="shared" si="237"/>
        <v>J</v>
      </c>
      <c r="D691" s="1659">
        <v>7151</v>
      </c>
      <c r="E691" s="888" t="str">
        <f t="shared" si="241"/>
        <v>购置固定资产无形资产长期资产支付的现金</v>
      </c>
      <c r="F691" s="884">
        <f>VLOOKUP($D691,Sheet_Precf,4,0)</f>
        <v>493144.53</v>
      </c>
      <c r="G691" s="885">
        <f>SUMIF(CFJE!$B:$B,$C691&amp;$D691&amp;"*",CFJE!$S:$S)</f>
        <v>0</v>
      </c>
      <c r="H691" s="885">
        <f>SUMIF(CFJE!$B:$B,$C691&amp;$D691&amp;"*",CFJE!$T:$T)</f>
        <v>0</v>
      </c>
      <c r="I691" s="913">
        <f t="shared" ref="I691:I712" si="265">(B691*F691+G691-H691)*B691</f>
        <v>493144.53</v>
      </c>
      <c r="J691" s="914">
        <f t="shared" ref="J691:J712" si="266">VLOOKUP($D691,Sheet_Precf,5,0)</f>
        <v>2473925.15</v>
      </c>
      <c r="K691" s="885"/>
      <c r="L691" s="885"/>
      <c r="M691" s="891">
        <f t="shared" ref="M691:M712" si="267">($B691*J691+K691-L691)*$B691</f>
        <v>2473925.15</v>
      </c>
      <c r="N691" s="641"/>
      <c r="O691" s="641"/>
      <c r="P691" s="641"/>
      <c r="Q691" s="641"/>
      <c r="T691" s="3061">
        <v>1601.1603</v>
      </c>
      <c r="U691" s="3063">
        <v>0</v>
      </c>
    </row>
    <row r="692" spans="1:21" ht="18">
      <c r="A692" s="1648">
        <f t="shared" si="239"/>
        <v>0</v>
      </c>
      <c r="B692" s="1647">
        <f t="shared" si="240"/>
        <v>-1</v>
      </c>
      <c r="C692" s="1647" t="str">
        <f t="shared" si="237"/>
        <v>J</v>
      </c>
      <c r="D692" s="1659">
        <v>7161</v>
      </c>
      <c r="E692" s="888" t="str">
        <f t="shared" si="241"/>
        <v>投资支付的现金</v>
      </c>
      <c r="F692" s="884">
        <f>VLOOKUP($D692,Sheet_Precf,4,0)</f>
        <v>0</v>
      </c>
      <c r="G692" s="885">
        <f>SUMIF(CFJE!$B:$B,$C692&amp;$D692&amp;"*",CFJE!$S:$S)</f>
        <v>0</v>
      </c>
      <c r="H692" s="885">
        <f>SUMIF(CFJE!$B:$B,$C692&amp;$D692&amp;"*",CFJE!$T:$T)</f>
        <v>0</v>
      </c>
      <c r="I692" s="913">
        <f t="shared" si="265"/>
        <v>0</v>
      </c>
      <c r="J692" s="914">
        <f t="shared" si="266"/>
        <v>1850000</v>
      </c>
      <c r="K692" s="885"/>
      <c r="L692" s="885"/>
      <c r="M692" s="891">
        <f t="shared" si="267"/>
        <v>1850000</v>
      </c>
      <c r="N692" s="641"/>
      <c r="O692" s="641"/>
      <c r="P692" s="641"/>
      <c r="Q692" s="641"/>
      <c r="T692" s="3061">
        <v>1605.1608000000001</v>
      </c>
      <c r="U692" s="3063">
        <v>0</v>
      </c>
    </row>
    <row r="693" spans="1:21" ht="18">
      <c r="A693" s="1648" t="str">
        <f t="shared" si="239"/>
        <v>△</v>
      </c>
      <c r="B693" s="1647">
        <f t="shared" si="240"/>
        <v>-1</v>
      </c>
      <c r="C693" s="1647" t="str">
        <f t="shared" si="237"/>
        <v>J</v>
      </c>
      <c r="D693" s="1659">
        <v>7165</v>
      </c>
      <c r="E693" s="888" t="str">
        <f t="shared" si="241"/>
        <v>质押贷款净增加额</v>
      </c>
      <c r="F693" s="884">
        <f>VLOOKUP($D693,Sheet_Precf,4,0)</f>
        <v>0</v>
      </c>
      <c r="G693" s="885">
        <f>SUMIF(CFJE!$B:$B,$C693&amp;$D693&amp;"*",CFJE!$S:$S)</f>
        <v>0</v>
      </c>
      <c r="H693" s="885">
        <f>SUMIF(CFJE!$B:$B,$C693&amp;$D693&amp;"*",CFJE!$T:$T)</f>
        <v>0</v>
      </c>
      <c r="I693" s="913">
        <f t="shared" si="265"/>
        <v>0</v>
      </c>
      <c r="J693" s="914">
        <f t="shared" si="266"/>
        <v>0</v>
      </c>
      <c r="K693" s="885"/>
      <c r="L693" s="885"/>
      <c r="M693" s="891">
        <f t="shared" si="267"/>
        <v>0</v>
      </c>
      <c r="N693" s="641"/>
      <c r="O693" s="641"/>
      <c r="P693" s="641"/>
      <c r="Q693" s="641"/>
      <c r="T693" s="3061">
        <v>1604.1606999999999</v>
      </c>
      <c r="U693" s="3063">
        <v>0</v>
      </c>
    </row>
    <row r="694" spans="1:21" ht="24">
      <c r="A694" s="1648">
        <f t="shared" si="239"/>
        <v>0</v>
      </c>
      <c r="B694" s="1647">
        <f t="shared" si="240"/>
        <v>-1</v>
      </c>
      <c r="C694" s="1647" t="str">
        <f t="shared" si="237"/>
        <v>J</v>
      </c>
      <c r="D694" s="1659">
        <v>7171</v>
      </c>
      <c r="E694" s="888" t="str">
        <f t="shared" si="241"/>
        <v>取得子公司及其他营业单位支付的现金净额</v>
      </c>
      <c r="F694" s="884">
        <f>VLOOKUP($D694,Sheet_Precf,4,0)</f>
        <v>0</v>
      </c>
      <c r="G694" s="885">
        <f>SUMIF(CFJE!$B:$B,$C694&amp;$D694&amp;"*",CFJE!$S:$S)</f>
        <v>0</v>
      </c>
      <c r="H694" s="885">
        <f>SUMIF(CFJE!$B:$B,$C694&amp;$D694&amp;"*",CFJE!$T:$T)</f>
        <v>0</v>
      </c>
      <c r="I694" s="913">
        <f t="shared" si="265"/>
        <v>0</v>
      </c>
      <c r="J694" s="914">
        <f t="shared" si="266"/>
        <v>0</v>
      </c>
      <c r="K694" s="885"/>
      <c r="L694" s="885"/>
      <c r="M694" s="891">
        <f t="shared" si="267"/>
        <v>0</v>
      </c>
      <c r="N694" s="641"/>
      <c r="O694" s="641"/>
      <c r="P694" s="641"/>
      <c r="Q694" s="641"/>
      <c r="T694" s="3061">
        <v>1621.1623999999999</v>
      </c>
      <c r="U694" s="3063">
        <v>0</v>
      </c>
    </row>
    <row r="695" spans="1:21" ht="18">
      <c r="A695" s="1648">
        <f t="shared" si="239"/>
        <v>0</v>
      </c>
      <c r="B695" s="1647">
        <f t="shared" si="240"/>
        <v>-1</v>
      </c>
      <c r="C695" s="1647" t="str">
        <f t="shared" si="237"/>
        <v>J</v>
      </c>
      <c r="D695" s="1659">
        <v>7196</v>
      </c>
      <c r="E695" s="888" t="str">
        <f t="shared" si="241"/>
        <v>支付其他与投资活动有关的现金</v>
      </c>
      <c r="F695" s="884">
        <f>VLOOKUP($D695,Sheet_Precf,4,0)</f>
        <v>2900000</v>
      </c>
      <c r="G695" s="885">
        <f>SUMIF(CFJE!$B:$B,$C695&amp;$D695&amp;"*",CFJE!$S:$S)</f>
        <v>0</v>
      </c>
      <c r="H695" s="885">
        <f>SUMIF(CFJE!$B:$B,$C695&amp;$D695&amp;"*",CFJE!$T:$T)</f>
        <v>0</v>
      </c>
      <c r="I695" s="913">
        <f t="shared" si="265"/>
        <v>2900000</v>
      </c>
      <c r="J695" s="914">
        <f t="shared" si="266"/>
        <v>0</v>
      </c>
      <c r="K695" s="885"/>
      <c r="L695" s="885"/>
      <c r="M695" s="891">
        <f t="shared" si="267"/>
        <v>0</v>
      </c>
      <c r="N695" s="641"/>
      <c r="O695" s="641"/>
      <c r="P695" s="641"/>
      <c r="Q695" s="641"/>
      <c r="T695" s="3061">
        <v>1631.1632999999999</v>
      </c>
      <c r="U695" s="3063">
        <v>0</v>
      </c>
    </row>
    <row r="696" spans="1:21" ht="18">
      <c r="A696" s="1648" t="str">
        <f t="shared" si="239"/>
        <v>＝</v>
      </c>
      <c r="B696" s="1647">
        <f t="shared" si="240"/>
        <v>0</v>
      </c>
      <c r="C696" s="1647">
        <f t="shared" si="237"/>
        <v>0</v>
      </c>
      <c r="D696" s="2186">
        <v>7198</v>
      </c>
      <c r="E696" s="2187" t="str">
        <f t="shared" si="241"/>
        <v>投资活动现金流出</v>
      </c>
      <c r="F696" s="884">
        <f t="shared" ref="F696:M696" si="268">SUM(F691:F695)</f>
        <v>3393144.53</v>
      </c>
      <c r="G696" s="885">
        <f t="shared" si="268"/>
        <v>0</v>
      </c>
      <c r="H696" s="885">
        <f t="shared" si="268"/>
        <v>0</v>
      </c>
      <c r="I696" s="913">
        <f t="shared" si="268"/>
        <v>3393144.53</v>
      </c>
      <c r="J696" s="914">
        <f t="shared" si="268"/>
        <v>4323925.1500000004</v>
      </c>
      <c r="K696" s="885">
        <f t="shared" si="268"/>
        <v>0</v>
      </c>
      <c r="L696" s="885">
        <f t="shared" si="268"/>
        <v>0</v>
      </c>
      <c r="M696" s="891">
        <f t="shared" si="268"/>
        <v>4323925.1500000004</v>
      </c>
      <c r="N696" s="641"/>
      <c r="O696" s="641"/>
      <c r="P696" s="641"/>
      <c r="Q696" s="641"/>
      <c r="T696" s="3061">
        <v>1701.1703</v>
      </c>
      <c r="U696" s="3063">
        <v>0</v>
      </c>
    </row>
    <row r="697" spans="1:21" ht="18">
      <c r="A697" s="1648" t="str">
        <f t="shared" si="239"/>
        <v>＝</v>
      </c>
      <c r="B697" s="1647">
        <f t="shared" si="240"/>
        <v>0</v>
      </c>
      <c r="C697" s="1647">
        <f t="shared" si="237"/>
        <v>0</v>
      </c>
      <c r="D697" s="2186">
        <v>7199</v>
      </c>
      <c r="E697" s="2187" t="str">
        <f t="shared" si="241"/>
        <v>投资活动产生的现金流量净额</v>
      </c>
      <c r="F697" s="884">
        <f t="shared" ref="F697:M697" si="269">SUM(F690,-F696)</f>
        <v>7762806.5300000003</v>
      </c>
      <c r="G697" s="919">
        <f>SUM(G690,G696)</f>
        <v>0</v>
      </c>
      <c r="H697" s="919">
        <f>SUM(H690,H696)</f>
        <v>0</v>
      </c>
      <c r="I697" s="913">
        <f t="shared" si="269"/>
        <v>7762806.5300000003</v>
      </c>
      <c r="J697" s="914">
        <f t="shared" si="269"/>
        <v>-4285268.3899999997</v>
      </c>
      <c r="K697" s="919">
        <f>SUM(K690,K696)</f>
        <v>0</v>
      </c>
      <c r="L697" s="919">
        <f>SUM(L690,L696)</f>
        <v>0</v>
      </c>
      <c r="M697" s="891">
        <f t="shared" si="269"/>
        <v>-4285268.3899999997</v>
      </c>
      <c r="N697" s="641"/>
      <c r="O697" s="641"/>
      <c r="P697" s="641"/>
      <c r="Q697" s="641"/>
      <c r="T697" s="3061">
        <v>1711.1712</v>
      </c>
      <c r="U697" s="3063">
        <v>0</v>
      </c>
    </row>
    <row r="698" spans="1:21" ht="18">
      <c r="A698" s="1648" t="str">
        <f t="shared" si="239"/>
        <v>：</v>
      </c>
      <c r="B698" s="1647">
        <f t="shared" si="240"/>
        <v>0</v>
      </c>
      <c r="C698" s="1647">
        <f t="shared" si="237"/>
        <v>0</v>
      </c>
      <c r="D698" s="2186">
        <v>7200</v>
      </c>
      <c r="E698" s="2187" t="str">
        <f t="shared" si="241"/>
        <v>筹资活动现金流量项目</v>
      </c>
      <c r="F698" s="884"/>
      <c r="G698" s="885"/>
      <c r="H698" s="885"/>
      <c r="I698" s="913"/>
      <c r="J698" s="914"/>
      <c r="K698" s="885"/>
      <c r="L698" s="885"/>
      <c r="M698" s="891"/>
      <c r="N698" s="641"/>
      <c r="O698" s="641"/>
      <c r="P698" s="641"/>
      <c r="Q698" s="641"/>
      <c r="T698" s="3061">
        <v>1991.1992</v>
      </c>
      <c r="U698" s="3063">
        <v>0</v>
      </c>
    </row>
    <row r="699" spans="1:21" ht="18">
      <c r="A699" s="1648">
        <f t="shared" si="239"/>
        <v>0</v>
      </c>
      <c r="B699" s="1647">
        <f t="shared" si="240"/>
        <v>1</v>
      </c>
      <c r="C699" s="1647" t="str">
        <f t="shared" si="237"/>
        <v>J</v>
      </c>
      <c r="D699" s="1659">
        <v>7201</v>
      </c>
      <c r="E699" s="888" t="str">
        <f t="shared" si="241"/>
        <v>吸收投资收到的现金</v>
      </c>
      <c r="F699" s="884">
        <f t="shared" ref="F699:F702" si="270">VLOOKUP($D699,Sheet_Precf,4,0)</f>
        <v>0</v>
      </c>
      <c r="G699" s="885">
        <f>SUMIF(CFJE!$B:$B,$C699&amp;$D699&amp;"*",CFJE!$S:$S)</f>
        <v>0</v>
      </c>
      <c r="H699" s="885">
        <f>SUMIF(CFJE!$B:$B,$C699&amp;$D699&amp;"*",CFJE!$T:$T)</f>
        <v>0</v>
      </c>
      <c r="I699" s="913">
        <f t="shared" si="265"/>
        <v>0</v>
      </c>
      <c r="J699" s="914">
        <f t="shared" si="266"/>
        <v>0</v>
      </c>
      <c r="K699" s="885"/>
      <c r="L699" s="885"/>
      <c r="M699" s="891">
        <f t="shared" si="267"/>
        <v>0</v>
      </c>
      <c r="N699" s="641"/>
      <c r="O699" s="641"/>
      <c r="P699" s="641"/>
      <c r="Q699" s="641"/>
      <c r="T699" s="3061">
        <v>1991</v>
      </c>
      <c r="U699" s="3063">
        <v>-887769.2</v>
      </c>
    </row>
    <row r="700" spans="1:21" ht="24">
      <c r="A700" s="1648" t="str">
        <f t="shared" si="239"/>
        <v>※</v>
      </c>
      <c r="B700" s="1647">
        <f t="shared" si="240"/>
        <v>1</v>
      </c>
      <c r="C700" s="1647" t="str">
        <f t="shared" si="237"/>
        <v>J</v>
      </c>
      <c r="D700" s="1659">
        <v>7201.01</v>
      </c>
      <c r="E700" s="2196" t="str">
        <f t="shared" si="241"/>
        <v>子公司吸收少数股东投资收到的现金</v>
      </c>
      <c r="F700" s="884">
        <f t="shared" si="270"/>
        <v>0</v>
      </c>
      <c r="G700" s="885">
        <f>SUMIF(CFJE!$B:$B,$C700&amp;$D700&amp;"*",CFJE!$S:$S)</f>
        <v>0</v>
      </c>
      <c r="H700" s="885">
        <f>SUMIF(CFJE!$B:$B,$C700&amp;$D700&amp;"*",CFJE!$T:$T)</f>
        <v>0</v>
      </c>
      <c r="I700" s="913">
        <f t="shared" si="265"/>
        <v>0</v>
      </c>
      <c r="J700" s="914">
        <f t="shared" si="266"/>
        <v>0</v>
      </c>
      <c r="K700" s="885"/>
      <c r="L700" s="885"/>
      <c r="M700" s="891">
        <f t="shared" si="267"/>
        <v>0</v>
      </c>
      <c r="N700" s="641"/>
      <c r="O700" s="641"/>
      <c r="P700" s="641"/>
      <c r="Q700" s="641"/>
      <c r="T700" s="3061">
        <v>7500</v>
      </c>
      <c r="U700" s="3063"/>
    </row>
    <row r="701" spans="1:21" ht="18">
      <c r="A701" s="1648">
        <f t="shared" si="239"/>
        <v>0</v>
      </c>
      <c r="B701" s="1647">
        <f t="shared" si="240"/>
        <v>1</v>
      </c>
      <c r="C701" s="1647" t="str">
        <f t="shared" si="237"/>
        <v>J</v>
      </c>
      <c r="D701" s="1659">
        <v>7211</v>
      </c>
      <c r="E701" s="888" t="str">
        <f t="shared" si="241"/>
        <v>取得借款收到的现金</v>
      </c>
      <c r="F701" s="884">
        <f t="shared" si="270"/>
        <v>2000000</v>
      </c>
      <c r="G701" s="885">
        <f>SUMIF(CFJE!$B:$B,$C701&amp;$D701&amp;"*",CFJE!$S:$S)</f>
        <v>0</v>
      </c>
      <c r="H701" s="885">
        <f>SUMIF(CFJE!$B:$B,$C701&amp;$D701&amp;"*",CFJE!$T:$T)</f>
        <v>0</v>
      </c>
      <c r="I701" s="913">
        <f t="shared" si="265"/>
        <v>2000000</v>
      </c>
      <c r="J701" s="914">
        <f t="shared" si="266"/>
        <v>0</v>
      </c>
      <c r="K701" s="885"/>
      <c r="L701" s="885"/>
      <c r="M701" s="891">
        <f t="shared" si="267"/>
        <v>0</v>
      </c>
      <c r="N701" s="641"/>
      <c r="O701" s="641"/>
      <c r="P701" s="641"/>
      <c r="Q701" s="641"/>
      <c r="T701" s="3061">
        <v>7501</v>
      </c>
      <c r="U701" s="3063"/>
    </row>
    <row r="702" spans="1:21" ht="18">
      <c r="A702" s="1648">
        <f t="shared" si="239"/>
        <v>0</v>
      </c>
      <c r="B702" s="1647">
        <f t="shared" si="240"/>
        <v>1</v>
      </c>
      <c r="C702" s="1647" t="str">
        <f t="shared" si="237"/>
        <v>J</v>
      </c>
      <c r="D702" s="1659">
        <v>7246</v>
      </c>
      <c r="E702" s="888" t="str">
        <f t="shared" si="241"/>
        <v>收到其他与筹资活动有关的现金</v>
      </c>
      <c r="F702" s="884">
        <f t="shared" si="270"/>
        <v>0</v>
      </c>
      <c r="G702" s="885">
        <f>SUMIF(CFJE!$B:$B,$C702&amp;$D702&amp;"*",CFJE!$S:$S)</f>
        <v>0</v>
      </c>
      <c r="H702" s="885">
        <f>SUMIF(CFJE!$B:$B,$C702&amp;$D702&amp;"*",CFJE!$T:$T)</f>
        <v>0</v>
      </c>
      <c r="I702" s="913">
        <f t="shared" si="265"/>
        <v>0</v>
      </c>
      <c r="J702" s="914">
        <f t="shared" si="266"/>
        <v>0</v>
      </c>
      <c r="K702" s="885"/>
      <c r="L702" s="885"/>
      <c r="M702" s="891">
        <f t="shared" si="267"/>
        <v>0</v>
      </c>
      <c r="N702" s="641"/>
      <c r="O702" s="641"/>
      <c r="P702" s="641"/>
      <c r="Q702" s="641"/>
      <c r="T702" s="3061">
        <v>7502</v>
      </c>
      <c r="U702" s="3064">
        <v>520228.91</v>
      </c>
    </row>
    <row r="703" spans="1:21" ht="18">
      <c r="A703" s="1648" t="str">
        <f t="shared" si="239"/>
        <v>＝</v>
      </c>
      <c r="B703" s="1647">
        <f t="shared" si="240"/>
        <v>0</v>
      </c>
      <c r="C703" s="1647">
        <f t="shared" si="237"/>
        <v>0</v>
      </c>
      <c r="D703" s="2186">
        <v>7248</v>
      </c>
      <c r="E703" s="2187" t="str">
        <f t="shared" si="241"/>
        <v>筹资活动现金流入</v>
      </c>
      <c r="F703" s="884">
        <f t="shared" ref="F703:M703" si="271">SUM(F699,F701:F702)</f>
        <v>2000000</v>
      </c>
      <c r="G703" s="885">
        <f t="shared" si="271"/>
        <v>0</v>
      </c>
      <c r="H703" s="885">
        <f t="shared" si="271"/>
        <v>0</v>
      </c>
      <c r="I703" s="913">
        <f t="shared" si="271"/>
        <v>2000000</v>
      </c>
      <c r="J703" s="914">
        <f t="shared" si="271"/>
        <v>0</v>
      </c>
      <c r="K703" s="885">
        <f t="shared" si="271"/>
        <v>0</v>
      </c>
      <c r="L703" s="885">
        <f t="shared" si="271"/>
        <v>0</v>
      </c>
      <c r="M703" s="891">
        <f t="shared" si="271"/>
        <v>0</v>
      </c>
      <c r="N703" s="641"/>
      <c r="O703" s="641"/>
      <c r="P703" s="641"/>
      <c r="Q703" s="641"/>
      <c r="T703" s="3061">
        <v>7503</v>
      </c>
      <c r="U703" s="3064">
        <v>-198814.86</v>
      </c>
    </row>
    <row r="704" spans="1:21" ht="18">
      <c r="A704" s="1648">
        <f t="shared" si="239"/>
        <v>0</v>
      </c>
      <c r="B704" s="1647">
        <f t="shared" si="240"/>
        <v>-1</v>
      </c>
      <c r="C704" s="1647" t="str">
        <f t="shared" ref="C704:C764" si="272">VLOOKUP($D704,Sheet_Items,9,0)</f>
        <v>J</v>
      </c>
      <c r="D704" s="1659">
        <v>7251</v>
      </c>
      <c r="E704" s="888" t="str">
        <f t="shared" si="241"/>
        <v>偿还债务支付的现金</v>
      </c>
      <c r="F704" s="884">
        <f>VLOOKUP($D704,Sheet_Precf,4,0)</f>
        <v>0</v>
      </c>
      <c r="G704" s="885">
        <f>SUMIF(CFJE!$B:$B,$C704&amp;$D704&amp;"*",CFJE!$S:$S)</f>
        <v>0</v>
      </c>
      <c r="H704" s="885">
        <f>SUMIF(CFJE!$B:$B,$C704&amp;$D704&amp;"*",CFJE!$T:$T)</f>
        <v>0</v>
      </c>
      <c r="I704" s="913">
        <f t="shared" si="265"/>
        <v>0</v>
      </c>
      <c r="J704" s="914">
        <f t="shared" si="266"/>
        <v>10000000</v>
      </c>
      <c r="K704" s="885"/>
      <c r="L704" s="885"/>
      <c r="M704" s="891">
        <f t="shared" si="267"/>
        <v>10000000</v>
      </c>
      <c r="N704" s="641"/>
      <c r="O704" s="641"/>
      <c r="P704" s="641"/>
      <c r="Q704" s="641"/>
      <c r="T704" s="3061">
        <v>7505</v>
      </c>
      <c r="U704" s="3064">
        <v>2200407.69</v>
      </c>
    </row>
    <row r="705" spans="1:21" ht="18">
      <c r="A705" s="1648">
        <f t="shared" ref="A705:A764" si="273">VLOOKUP($D705,Sheet_Items,4,0)</f>
        <v>0</v>
      </c>
      <c r="B705" s="1647">
        <f t="shared" ref="B705:B764" si="274">VLOOKUP($D705,Sheet_Items,3,0)</f>
        <v>-1</v>
      </c>
      <c r="C705" s="1647" t="str">
        <f t="shared" si="272"/>
        <v>J</v>
      </c>
      <c r="D705" s="1659">
        <v>7261</v>
      </c>
      <c r="E705" s="888" t="str">
        <f t="shared" ref="E705:E764" si="275">VLOOKUP($D705,Sheet_Items,2,0)</f>
        <v>分配利润偿付利息支付的现金</v>
      </c>
      <c r="F705" s="884">
        <f>VLOOKUP($D705,Sheet_Precf,4,0)</f>
        <v>10499673.34</v>
      </c>
      <c r="G705" s="885">
        <f>SUMIF(CFJE!$B:$B,$C705&amp;$D705&amp;"*",CFJE!$S:$S)</f>
        <v>0</v>
      </c>
      <c r="H705" s="885">
        <f>SUMIF(CFJE!$B:$B,$C705&amp;$D705&amp;"*",CFJE!$T:$T)</f>
        <v>0</v>
      </c>
      <c r="I705" s="913">
        <f t="shared" si="265"/>
        <v>10499673.34</v>
      </c>
      <c r="J705" s="914">
        <f t="shared" si="266"/>
        <v>16721.77</v>
      </c>
      <c r="K705" s="885"/>
      <c r="L705" s="885"/>
      <c r="M705" s="891">
        <f t="shared" si="267"/>
        <v>16721.77</v>
      </c>
      <c r="N705" s="641"/>
      <c r="O705" s="641"/>
      <c r="P705" s="641"/>
      <c r="Q705" s="641"/>
      <c r="T705" s="3061">
        <v>7506</v>
      </c>
      <c r="U705" s="3064">
        <v>88666.19</v>
      </c>
    </row>
    <row r="706" spans="1:21" ht="18">
      <c r="A706" s="1648" t="str">
        <f t="shared" si="273"/>
        <v>※</v>
      </c>
      <c r="B706" s="1647">
        <f t="shared" si="274"/>
        <v>-1</v>
      </c>
      <c r="C706" s="1647" t="str">
        <f t="shared" si="272"/>
        <v>J</v>
      </c>
      <c r="D706" s="1659">
        <v>7261.01</v>
      </c>
      <c r="E706" s="2196" t="str">
        <f t="shared" si="275"/>
        <v>子公司支付少数股东的现金股利</v>
      </c>
      <c r="F706" s="884">
        <f>VLOOKUP($D706,Sheet_Precf,4,0)</f>
        <v>0</v>
      </c>
      <c r="G706" s="885">
        <f>SUMIF(CFJE!$B:$B,$C706&amp;$D706&amp;"*",CFJE!$S:$S)</f>
        <v>0</v>
      </c>
      <c r="H706" s="885">
        <f>SUMIF(CFJE!$B:$B,$C706&amp;$D706&amp;"*",CFJE!$T:$T)</f>
        <v>0</v>
      </c>
      <c r="I706" s="913">
        <f t="shared" si="265"/>
        <v>0</v>
      </c>
      <c r="J706" s="914">
        <f t="shared" si="266"/>
        <v>0</v>
      </c>
      <c r="K706" s="885"/>
      <c r="L706" s="885"/>
      <c r="M706" s="891">
        <f t="shared" si="267"/>
        <v>0</v>
      </c>
      <c r="N706" s="641"/>
      <c r="O706" s="641"/>
      <c r="P706" s="641"/>
      <c r="Q706" s="641"/>
      <c r="T706" s="3061">
        <v>7507</v>
      </c>
      <c r="U706" s="3064">
        <v>195194.75</v>
      </c>
    </row>
    <row r="707" spans="1:21" ht="18">
      <c r="A707" s="1648">
        <f t="shared" si="273"/>
        <v>0</v>
      </c>
      <c r="B707" s="1647">
        <f t="shared" si="274"/>
        <v>-1</v>
      </c>
      <c r="C707" s="1647" t="str">
        <f t="shared" si="272"/>
        <v>J</v>
      </c>
      <c r="D707" s="1659">
        <v>7296</v>
      </c>
      <c r="E707" s="888" t="str">
        <f t="shared" si="275"/>
        <v>支付其他与筹资活动有关的现金</v>
      </c>
      <c r="F707" s="884">
        <f>VLOOKUP($D707,Sheet_Precf,4,0)</f>
        <v>0</v>
      </c>
      <c r="G707" s="885">
        <f>SUMIF(CFJE!$B:$B,$C707&amp;$D707&amp;"*",CFJE!$S:$S)</f>
        <v>0</v>
      </c>
      <c r="H707" s="885">
        <f>SUMIF(CFJE!$B:$B,$C707&amp;$D707&amp;"*",CFJE!$T:$T)</f>
        <v>0</v>
      </c>
      <c r="I707" s="913">
        <f t="shared" si="265"/>
        <v>0</v>
      </c>
      <c r="J707" s="914">
        <f t="shared" si="266"/>
        <v>0</v>
      </c>
      <c r="K707" s="885"/>
      <c r="L707" s="885"/>
      <c r="M707" s="891">
        <f t="shared" si="267"/>
        <v>0</v>
      </c>
      <c r="N707" s="641"/>
      <c r="O707" s="641"/>
      <c r="P707" s="641"/>
      <c r="Q707" s="641"/>
      <c r="T707" s="3061">
        <v>7508</v>
      </c>
      <c r="U707" s="3064">
        <v>-456.04</v>
      </c>
    </row>
    <row r="708" spans="1:21" ht="18">
      <c r="A708" s="1648" t="str">
        <f t="shared" si="273"/>
        <v>＝</v>
      </c>
      <c r="B708" s="1647">
        <f t="shared" si="274"/>
        <v>0</v>
      </c>
      <c r="C708" s="1647">
        <f t="shared" si="272"/>
        <v>0</v>
      </c>
      <c r="D708" s="2186">
        <v>7298</v>
      </c>
      <c r="E708" s="2187" t="str">
        <f t="shared" si="275"/>
        <v>筹资活动现金流出</v>
      </c>
      <c r="F708" s="884">
        <f t="shared" ref="F708:M708" si="276">SUM(F704:F705,F707)</f>
        <v>10499673.34</v>
      </c>
      <c r="G708" s="885">
        <f t="shared" si="276"/>
        <v>0</v>
      </c>
      <c r="H708" s="885">
        <f t="shared" si="276"/>
        <v>0</v>
      </c>
      <c r="I708" s="913">
        <f t="shared" si="276"/>
        <v>10499673.34</v>
      </c>
      <c r="J708" s="914">
        <f t="shared" si="276"/>
        <v>10016721.77</v>
      </c>
      <c r="K708" s="885">
        <f t="shared" si="276"/>
        <v>0</v>
      </c>
      <c r="L708" s="885">
        <f t="shared" si="276"/>
        <v>0</v>
      </c>
      <c r="M708" s="891">
        <f t="shared" si="276"/>
        <v>10016721.77</v>
      </c>
      <c r="N708" s="641"/>
      <c r="O708" s="641"/>
      <c r="P708" s="641"/>
      <c r="Q708" s="641"/>
      <c r="T708" s="3061">
        <v>7509</v>
      </c>
      <c r="U708" s="3064">
        <v>0</v>
      </c>
    </row>
    <row r="709" spans="1:21" ht="18">
      <c r="A709" s="1648" t="str">
        <f t="shared" si="273"/>
        <v>＝</v>
      </c>
      <c r="B709" s="1647">
        <f t="shared" si="274"/>
        <v>0</v>
      </c>
      <c r="C709" s="1647">
        <f t="shared" si="272"/>
        <v>0</v>
      </c>
      <c r="D709" s="2186">
        <v>7299</v>
      </c>
      <c r="E709" s="2187" t="str">
        <f t="shared" si="275"/>
        <v>筹资活动产生的现金流量净额</v>
      </c>
      <c r="F709" s="884">
        <f>SUM(F703,-F708)</f>
        <v>-8499673.3399999999</v>
      </c>
      <c r="G709" s="919">
        <f>SUM(G703,G708)</f>
        <v>0</v>
      </c>
      <c r="H709" s="919">
        <f>SUM(H703,H708)</f>
        <v>0</v>
      </c>
      <c r="I709" s="913">
        <f>SUM(I703,-I708)</f>
        <v>-8499673.3399999999</v>
      </c>
      <c r="J709" s="914">
        <f>SUM(J703,-J708)</f>
        <v>-10016721.77</v>
      </c>
      <c r="K709" s="919">
        <f>SUM(K703,K708)</f>
        <v>0</v>
      </c>
      <c r="L709" s="919">
        <f>SUM(L703,L708)</f>
        <v>0</v>
      </c>
      <c r="M709" s="891">
        <f>SUM(M703,-M708)</f>
        <v>-10016721.77</v>
      </c>
      <c r="N709" s="641"/>
      <c r="O709" s="641"/>
      <c r="P709" s="641"/>
      <c r="Q709" s="641"/>
      <c r="T709" s="3061">
        <v>7510</v>
      </c>
      <c r="U709" s="3064">
        <v>0</v>
      </c>
    </row>
    <row r="710" spans="1:21" ht="18">
      <c r="A710" s="1648">
        <f t="shared" si="273"/>
        <v>0</v>
      </c>
      <c r="B710" s="1647">
        <f t="shared" si="274"/>
        <v>1</v>
      </c>
      <c r="C710" s="1647" t="str">
        <f t="shared" si="272"/>
        <v>J</v>
      </c>
      <c r="D710" s="1659">
        <v>7309</v>
      </c>
      <c r="E710" s="888" t="str">
        <f t="shared" si="275"/>
        <v>汇率变动对现金及现金等价物的影响</v>
      </c>
      <c r="F710" s="884">
        <f>VLOOKUP($D710,Sheet_Precf,4,0)</f>
        <v>0</v>
      </c>
      <c r="G710" s="885">
        <f>SUMIF(CFJE!$B:$B,$C710&amp;$D710&amp;"*",CFJE!$S:$S)</f>
        <v>0</v>
      </c>
      <c r="H710" s="885">
        <f>SUMIF(CFJE!$B:$B,$C710&amp;$D710&amp;"*",CFJE!$T:$T)</f>
        <v>0</v>
      </c>
      <c r="I710" s="913">
        <f t="shared" si="265"/>
        <v>0</v>
      </c>
      <c r="J710" s="914">
        <f t="shared" si="266"/>
        <v>0</v>
      </c>
      <c r="K710" s="885"/>
      <c r="L710" s="885"/>
      <c r="M710" s="891">
        <f t="shared" si="267"/>
        <v>0</v>
      </c>
      <c r="N710" s="641"/>
      <c r="O710" s="641"/>
      <c r="P710" s="641"/>
      <c r="Q710" s="641"/>
      <c r="T710" s="3061">
        <v>7511</v>
      </c>
      <c r="U710" s="3064">
        <v>0</v>
      </c>
    </row>
    <row r="711" spans="1:21" ht="18">
      <c r="A711" s="1648" t="str">
        <f t="shared" si="273"/>
        <v>＝</v>
      </c>
      <c r="B711" s="1647">
        <f t="shared" si="274"/>
        <v>0</v>
      </c>
      <c r="C711" s="1647">
        <f t="shared" si="272"/>
        <v>0</v>
      </c>
      <c r="D711" s="1659">
        <v>7348</v>
      </c>
      <c r="E711" s="888" t="str">
        <f t="shared" si="275"/>
        <v>现金及现金等价物净增加额</v>
      </c>
      <c r="F711" s="884">
        <f t="shared" ref="F711:M711" si="277">SUM(F683,F697,F709,F710)</f>
        <v>226581.11</v>
      </c>
      <c r="G711" s="885">
        <f t="shared" si="277"/>
        <v>0</v>
      </c>
      <c r="H711" s="885">
        <f t="shared" si="277"/>
        <v>0</v>
      </c>
      <c r="I711" s="913">
        <f t="shared" si="277"/>
        <v>226581.11</v>
      </c>
      <c r="J711" s="914">
        <f t="shared" si="277"/>
        <v>-2979289.28</v>
      </c>
      <c r="K711" s="885">
        <f t="shared" si="277"/>
        <v>0</v>
      </c>
      <c r="L711" s="885">
        <f t="shared" si="277"/>
        <v>0</v>
      </c>
      <c r="M711" s="891">
        <f t="shared" si="277"/>
        <v>-2979289.28</v>
      </c>
      <c r="N711" s="641"/>
      <c r="O711" s="641"/>
      <c r="P711" s="641"/>
      <c r="Q711" s="641"/>
      <c r="T711" s="3061">
        <v>7512</v>
      </c>
      <c r="U711" s="3064">
        <v>-38200.720000000001</v>
      </c>
    </row>
    <row r="712" spans="1:21" ht="18">
      <c r="A712" s="1648">
        <f t="shared" si="273"/>
        <v>0</v>
      </c>
      <c r="B712" s="1647">
        <f t="shared" si="274"/>
        <v>1</v>
      </c>
      <c r="C712" s="1647" t="str">
        <f t="shared" si="272"/>
        <v>J</v>
      </c>
      <c r="D712" s="1659">
        <v>7349</v>
      </c>
      <c r="E712" s="888" t="str">
        <f t="shared" si="275"/>
        <v>期初现金及现金等价物余额</v>
      </c>
      <c r="F712" s="884">
        <f>VLOOKUP($D712,Sheet_Precf,4,0)</f>
        <v>252723.84</v>
      </c>
      <c r="G712" s="918">
        <f>SUMIF(CFJE!$B:$B,$C712&amp;$D712&amp;"*",CFJE!$S:$S)</f>
        <v>0</v>
      </c>
      <c r="H712" s="918">
        <f>SUMIF(CFJE!$B:$B,$C712&amp;$D712&amp;"*",CFJE!$T:$T)</f>
        <v>0</v>
      </c>
      <c r="I712" s="913">
        <f t="shared" si="265"/>
        <v>252723.84</v>
      </c>
      <c r="J712" s="914">
        <f t="shared" si="266"/>
        <v>3232013.12</v>
      </c>
      <c r="K712" s="918"/>
      <c r="L712" s="918"/>
      <c r="M712" s="891">
        <f t="shared" si="267"/>
        <v>3232013.12</v>
      </c>
      <c r="N712" s="641"/>
      <c r="O712" s="641"/>
      <c r="P712" s="641"/>
      <c r="Q712" s="641"/>
      <c r="T712" s="3061">
        <v>7515</v>
      </c>
      <c r="U712" s="3064">
        <v>-485503.27</v>
      </c>
    </row>
    <row r="713" spans="1:21" ht="18">
      <c r="A713" s="1648" t="str">
        <f t="shared" si="273"/>
        <v>＝</v>
      </c>
      <c r="B713" s="1647">
        <f t="shared" si="274"/>
        <v>0</v>
      </c>
      <c r="C713" s="1647">
        <f t="shared" si="272"/>
        <v>0</v>
      </c>
      <c r="D713" s="1659">
        <v>7399</v>
      </c>
      <c r="E713" s="888" t="str">
        <f t="shared" si="275"/>
        <v>期末现金及现金等价物余额</v>
      </c>
      <c r="F713" s="884">
        <f t="shared" ref="F713:M713" si="278">SUM(F711,F712)</f>
        <v>479304.95</v>
      </c>
      <c r="G713" s="885">
        <f t="shared" si="278"/>
        <v>0</v>
      </c>
      <c r="H713" s="885">
        <f t="shared" si="278"/>
        <v>0</v>
      </c>
      <c r="I713" s="913">
        <f t="shared" si="278"/>
        <v>479304.95</v>
      </c>
      <c r="J713" s="914">
        <f t="shared" si="278"/>
        <v>252723.84</v>
      </c>
      <c r="K713" s="885">
        <f t="shared" si="278"/>
        <v>0</v>
      </c>
      <c r="L713" s="885">
        <f t="shared" si="278"/>
        <v>0</v>
      </c>
      <c r="M713" s="891">
        <f t="shared" si="278"/>
        <v>252723.84</v>
      </c>
      <c r="N713" s="641"/>
      <c r="O713" s="641"/>
      <c r="P713" s="641"/>
      <c r="Q713" s="641"/>
      <c r="T713" s="3061">
        <v>7516</v>
      </c>
      <c r="U713" s="3064">
        <v>0</v>
      </c>
    </row>
    <row r="714" spans="1:21" ht="18">
      <c r="A714" s="1648" t="str">
        <f>VLOOKUP($D714,Sheet_Items,4,0)</f>
        <v>△DEL</v>
      </c>
      <c r="B714" s="1647">
        <f>VLOOKUP($D714,Sheet_Items,3,0)</f>
        <v>1</v>
      </c>
      <c r="C714" s="1647">
        <f>VLOOKUP($D714,Sheet_Items,9,0)</f>
        <v>0</v>
      </c>
      <c r="D714" s="1659">
        <v>7021</v>
      </c>
      <c r="E714" s="888" t="str">
        <f>VLOOKUP($D714,Sheet_Items,2,0)</f>
        <v>处置交易性金融资产净增加额</v>
      </c>
      <c r="F714" s="884"/>
      <c r="G714" s="885"/>
      <c r="H714" s="885"/>
      <c r="I714" s="913"/>
      <c r="J714" s="914"/>
      <c r="K714" s="885"/>
      <c r="L714" s="885"/>
      <c r="M714" s="891"/>
      <c r="N714" s="641"/>
      <c r="O714" s="641"/>
      <c r="P714" s="641"/>
      <c r="Q714" s="641"/>
      <c r="T714" s="3061">
        <v>7517</v>
      </c>
      <c r="U714" s="3064">
        <v>2725020.2</v>
      </c>
    </row>
    <row r="715" spans="1:21" ht="18">
      <c r="A715" s="1648" t="str">
        <f>VLOOKUP($D715,Sheet_Items,4,0)</f>
        <v>△DEL</v>
      </c>
      <c r="B715" s="1647">
        <f>VLOOKUP($D715,Sheet_Items,3,0)</f>
        <v>1</v>
      </c>
      <c r="C715" s="1647">
        <f>VLOOKUP($D715,Sheet_Items,9,0)</f>
        <v>0</v>
      </c>
      <c r="D715" s="1659">
        <v>7221</v>
      </c>
      <c r="E715" s="888" t="str">
        <f>VLOOKUP($D715,Sheet_Items,2,0)</f>
        <v>发行债券收到的现金</v>
      </c>
      <c r="F715" s="884"/>
      <c r="G715" s="885"/>
      <c r="H715" s="885"/>
      <c r="I715" s="913"/>
      <c r="J715" s="914"/>
      <c r="K715" s="885"/>
      <c r="L715" s="885"/>
      <c r="M715" s="891"/>
      <c r="N715" s="641"/>
      <c r="O715" s="641"/>
      <c r="P715" s="641"/>
      <c r="Q715" s="641"/>
      <c r="T715" s="3061">
        <v>7518</v>
      </c>
      <c r="U715" s="3064">
        <v>4222149.83</v>
      </c>
    </row>
    <row r="716" spans="1:21" ht="18">
      <c r="A716" s="1648" t="str">
        <f>VLOOKUP($D716,Sheet_Items,4,0)</f>
        <v>※DEL</v>
      </c>
      <c r="B716" s="1647">
        <f>VLOOKUP($D716,Sheet_Items,3,0)</f>
        <v>-1</v>
      </c>
      <c r="C716" s="1647">
        <f>VLOOKUP($D716,Sheet_Items,9,0)</f>
        <v>0</v>
      </c>
      <c r="D716" s="1659">
        <v>7296.11</v>
      </c>
      <c r="E716" s="888" t="str">
        <f>VLOOKUP($D716,Sheet_Items,2,0)</f>
        <v>子公司减资支付给少数股东的现金</v>
      </c>
      <c r="F716" s="884"/>
      <c r="G716" s="885"/>
      <c r="H716" s="885"/>
      <c r="I716" s="913"/>
      <c r="J716" s="914"/>
      <c r="K716" s="885"/>
      <c r="L716" s="885"/>
      <c r="M716" s="891"/>
      <c r="N716" s="641"/>
      <c r="O716" s="641"/>
      <c r="P716" s="641"/>
      <c r="Q716" s="641"/>
      <c r="T716" s="3061">
        <v>7519</v>
      </c>
      <c r="U716" s="3064">
        <v>2094008.2</v>
      </c>
    </row>
    <row r="717" spans="1:21" ht="18">
      <c r="A717" s="1648" t="str">
        <f t="shared" si="273"/>
        <v>：</v>
      </c>
      <c r="B717" s="1647">
        <f t="shared" si="274"/>
        <v>0</v>
      </c>
      <c r="C717" s="1647">
        <f t="shared" si="272"/>
        <v>0</v>
      </c>
      <c r="D717" s="1659">
        <v>19</v>
      </c>
      <c r="E717" s="924" t="str">
        <f t="shared" si="275"/>
        <v>资产负债表补充资料：资产减值准备</v>
      </c>
      <c r="F717" s="884"/>
      <c r="G717" s="885"/>
      <c r="H717" s="885"/>
      <c r="I717" s="913"/>
      <c r="J717" s="914"/>
      <c r="K717" s="885"/>
      <c r="L717" s="885"/>
      <c r="M717" s="891"/>
      <c r="N717" s="641"/>
      <c r="O717" s="641"/>
      <c r="P717" s="641"/>
      <c r="Q717" s="641"/>
      <c r="T717" s="3061">
        <v>7523</v>
      </c>
      <c r="U717" s="3064">
        <v>0</v>
      </c>
    </row>
    <row r="718" spans="1:21" ht="18">
      <c r="A718" s="1648">
        <f t="shared" si="273"/>
        <v>0</v>
      </c>
      <c r="B718" s="1647">
        <f t="shared" si="274"/>
        <v>-1</v>
      </c>
      <c r="C718" s="1647" t="str">
        <f t="shared" si="272"/>
        <v>J</v>
      </c>
      <c r="D718" s="1659">
        <v>1122.1231</v>
      </c>
      <c r="E718" s="888" t="str">
        <f t="shared" si="275"/>
        <v>应收账款坏账准备</v>
      </c>
      <c r="F718" s="884">
        <f t="shared" ref="F718:F733" si="279">VLOOKUP($D718,Sheet_Prebs3,4,0)</f>
        <v>0</v>
      </c>
      <c r="G718" s="885">
        <f>SUMIF(AJE!$B:$B,$C718&amp;$D718&amp;"*",AJE!$O:$O)</f>
        <v>0</v>
      </c>
      <c r="H718" s="885">
        <f>SUMIF(AJE!$B:$B,$C718&amp;$D718&amp;"*",AJE!$P:$P)</f>
        <v>1772380.89</v>
      </c>
      <c r="I718" s="913">
        <f t="shared" ref="I718:I733" si="280">($B718*F718+G718-H718)*$B718</f>
        <v>1772380.89</v>
      </c>
      <c r="J718" s="914">
        <f t="shared" ref="J718:J733" si="281">VLOOKUP($D718,Sheet_Prebs3,5,0)</f>
        <v>0</v>
      </c>
      <c r="K718" s="885">
        <f>SUMIF('AJE1'!$B:$B,$C718&amp;$D718&amp;"*",'AJE1'!$O:$O)</f>
        <v>0</v>
      </c>
      <c r="L718" s="885">
        <f>SUMIF('AJE1'!$B:$B,$C718&amp;$D718&amp;"*",'AJE1'!$P:$P)</f>
        <v>0</v>
      </c>
      <c r="M718" s="891">
        <f t="shared" ref="M718:M733" si="282">($B718*J718+K718-L718)*$B718</f>
        <v>0</v>
      </c>
      <c r="N718" s="641"/>
      <c r="O718" s="641"/>
      <c r="P718" s="641"/>
      <c r="Q718" s="641"/>
      <c r="T718" s="3061">
        <v>7525</v>
      </c>
      <c r="U718" s="3063">
        <v>11322700.880000001</v>
      </c>
    </row>
    <row r="719" spans="1:21" ht="18">
      <c r="A719" s="1648">
        <f t="shared" si="273"/>
        <v>0</v>
      </c>
      <c r="B719" s="1647">
        <f t="shared" si="274"/>
        <v>-1</v>
      </c>
      <c r="C719" s="1647" t="str">
        <f t="shared" si="272"/>
        <v>J</v>
      </c>
      <c r="D719" s="1659">
        <v>1125.1231</v>
      </c>
      <c r="E719" s="888" t="str">
        <f t="shared" si="275"/>
        <v>预付款项坏账准备</v>
      </c>
      <c r="F719" s="884">
        <f t="shared" si="279"/>
        <v>0</v>
      </c>
      <c r="G719" s="885">
        <f>SUMIF(AJE!$B:$B,$C719&amp;$D719&amp;"*",AJE!$O:$O)</f>
        <v>0</v>
      </c>
      <c r="H719" s="885">
        <f>SUMIF(AJE!$B:$B,$C719&amp;$D719&amp;"*",AJE!$P:$P)</f>
        <v>0</v>
      </c>
      <c r="I719" s="913">
        <f t="shared" si="280"/>
        <v>0</v>
      </c>
      <c r="J719" s="914">
        <f t="shared" si="281"/>
        <v>0</v>
      </c>
      <c r="K719" s="885">
        <f>SUMIF('AJE1'!$B:$B,$C719&amp;$D719&amp;"*",'AJE1'!$O:$O)</f>
        <v>0</v>
      </c>
      <c r="L719" s="885">
        <f>SUMIF('AJE1'!$B:$B,$C719&amp;$D719&amp;"*",'AJE1'!$P:$P)</f>
        <v>0</v>
      </c>
      <c r="M719" s="891">
        <f t="shared" si="282"/>
        <v>0</v>
      </c>
      <c r="N719" s="641"/>
      <c r="O719" s="641"/>
      <c r="P719" s="641"/>
      <c r="Q719" s="641"/>
      <c r="T719" s="3061">
        <v>7526</v>
      </c>
      <c r="U719" s="3064"/>
    </row>
    <row r="720" spans="1:21" ht="18">
      <c r="A720" s="1648">
        <f t="shared" si="273"/>
        <v>0</v>
      </c>
      <c r="B720" s="1647">
        <f t="shared" si="274"/>
        <v>-1</v>
      </c>
      <c r="C720" s="1647" t="str">
        <f t="shared" si="272"/>
        <v>J</v>
      </c>
      <c r="D720" s="1659">
        <v>1221.1231</v>
      </c>
      <c r="E720" s="888" t="str">
        <f t="shared" si="275"/>
        <v>其他应收款坏账准备</v>
      </c>
      <c r="F720" s="884">
        <f t="shared" si="279"/>
        <v>0</v>
      </c>
      <c r="G720" s="1661">
        <f>SUMIF(AJE!$B:$B,$C720&amp;$D720&amp;"*",AJE!$O:$O)</f>
        <v>0</v>
      </c>
      <c r="H720" s="885">
        <f>SUMIF(AJE!$B:$B,$C720&amp;$D720&amp;"*",AJE!$P:$P)</f>
        <v>-28791.439999999999</v>
      </c>
      <c r="I720" s="913">
        <f t="shared" si="280"/>
        <v>-28791.439999999999</v>
      </c>
      <c r="J720" s="914">
        <f t="shared" si="281"/>
        <v>0</v>
      </c>
      <c r="K720" s="885">
        <f>SUMIF('AJE1'!$B:$B,$C720&amp;$D720&amp;"*",'AJE1'!$O:$O)</f>
        <v>0</v>
      </c>
      <c r="L720" s="885">
        <f>SUMIF('AJE1'!$B:$B,$C720&amp;$D720&amp;"*",'AJE1'!$P:$P)</f>
        <v>0</v>
      </c>
      <c r="M720" s="891">
        <f t="shared" si="282"/>
        <v>0</v>
      </c>
      <c r="N720" s="641"/>
      <c r="O720" s="641"/>
      <c r="P720" s="641"/>
      <c r="Q720" s="641"/>
      <c r="T720" s="3061">
        <v>7527</v>
      </c>
      <c r="U720" s="3064">
        <v>0</v>
      </c>
    </row>
    <row r="721" spans="1:21" ht="18">
      <c r="A721" s="1648">
        <f t="shared" si="273"/>
        <v>0</v>
      </c>
      <c r="B721" s="1647">
        <f t="shared" si="274"/>
        <v>-1</v>
      </c>
      <c r="C721" s="1647" t="str">
        <f t="shared" si="272"/>
        <v>J</v>
      </c>
      <c r="D721" s="1659">
        <v>1400.1470999999999</v>
      </c>
      <c r="E721" s="888" t="str">
        <f t="shared" si="275"/>
        <v>存货跌价准备</v>
      </c>
      <c r="F721" s="884">
        <f t="shared" si="279"/>
        <v>0</v>
      </c>
      <c r="G721" s="885">
        <f>SUMIF(AJE!$B:$B,$C721&amp;$D721&amp;"*",AJE!$O:$O)</f>
        <v>0</v>
      </c>
      <c r="H721" s="885">
        <f>SUMIF(AJE!$B:$B,$C721&amp;$D721&amp;"*",AJE!$P:$P)</f>
        <v>245676.38</v>
      </c>
      <c r="I721" s="913">
        <f t="shared" si="280"/>
        <v>245676.38</v>
      </c>
      <c r="J721" s="914">
        <f t="shared" si="281"/>
        <v>0</v>
      </c>
      <c r="K721" s="885">
        <f>SUMIF('AJE1'!$B:$B,$C721&amp;$D721&amp;"*",'AJE1'!$O:$O)</f>
        <v>0</v>
      </c>
      <c r="L721" s="885">
        <f>SUMIF('AJE1'!$B:$B,$C721&amp;$D721&amp;"*",'AJE1'!$P:$P)</f>
        <v>0</v>
      </c>
      <c r="M721" s="891">
        <f t="shared" si="282"/>
        <v>0</v>
      </c>
      <c r="N721" s="641"/>
      <c r="O721" s="641"/>
      <c r="P721" s="641"/>
      <c r="Q721" s="641"/>
      <c r="T721" s="3061">
        <v>7528</v>
      </c>
      <c r="U721" s="3064">
        <v>0</v>
      </c>
    </row>
    <row r="722" spans="1:21" ht="18">
      <c r="A722" s="1648">
        <f t="shared" si="273"/>
        <v>0</v>
      </c>
      <c r="B722" s="1647">
        <f t="shared" si="274"/>
        <v>-1</v>
      </c>
      <c r="C722" s="1647" t="str">
        <f t="shared" si="272"/>
        <v>J</v>
      </c>
      <c r="D722" s="1659">
        <v>1503.1504</v>
      </c>
      <c r="E722" s="888" t="str">
        <f t="shared" si="275"/>
        <v>可供出售金融资产减值准备</v>
      </c>
      <c r="F722" s="884">
        <f t="shared" si="279"/>
        <v>0</v>
      </c>
      <c r="G722" s="885">
        <f>SUMIF(AJE!$B:$B,$C722&amp;$D722&amp;"*",AJE!$O:$O)</f>
        <v>0</v>
      </c>
      <c r="H722" s="885">
        <f>SUMIF(AJE!$B:$B,$C722&amp;$D722&amp;"*",AJE!$P:$P)</f>
        <v>0</v>
      </c>
      <c r="I722" s="913">
        <f t="shared" si="280"/>
        <v>0</v>
      </c>
      <c r="J722" s="914">
        <f t="shared" si="281"/>
        <v>0</v>
      </c>
      <c r="K722" s="885">
        <f>SUMIF('AJE1'!$B:$B,$C722&amp;$D722&amp;"*",'AJE1'!$O:$O)</f>
        <v>0</v>
      </c>
      <c r="L722" s="885">
        <f>SUMIF('AJE1'!$B:$B,$C722&amp;$D722&amp;"*",'AJE1'!$P:$P)</f>
        <v>0</v>
      </c>
      <c r="M722" s="891">
        <f t="shared" si="282"/>
        <v>0</v>
      </c>
      <c r="N722" s="641"/>
      <c r="O722" s="641"/>
      <c r="P722" s="641"/>
      <c r="Q722" s="641"/>
      <c r="T722" s="3061">
        <v>7529</v>
      </c>
      <c r="U722" s="3064">
        <v>0</v>
      </c>
    </row>
    <row r="723" spans="1:21" ht="18">
      <c r="A723" s="1648">
        <f t="shared" si="273"/>
        <v>0</v>
      </c>
      <c r="B723" s="1647">
        <f t="shared" si="274"/>
        <v>-1</v>
      </c>
      <c r="C723" s="1647" t="str">
        <f t="shared" si="272"/>
        <v>J</v>
      </c>
      <c r="D723" s="1659">
        <v>1501.1502</v>
      </c>
      <c r="E723" s="888" t="str">
        <f t="shared" si="275"/>
        <v>持有至到期投资减值准备</v>
      </c>
      <c r="F723" s="884">
        <f t="shared" si="279"/>
        <v>0</v>
      </c>
      <c r="G723" s="885">
        <f>SUMIF(AJE!$B:$B,$C723&amp;$D723&amp;"*",AJE!$O:$O)</f>
        <v>0</v>
      </c>
      <c r="H723" s="885">
        <f>SUMIF(AJE!$B:$B,$C723&amp;$D723&amp;"*",AJE!$P:$P)</f>
        <v>0</v>
      </c>
      <c r="I723" s="913">
        <f t="shared" si="280"/>
        <v>0</v>
      </c>
      <c r="J723" s="914">
        <f t="shared" si="281"/>
        <v>0</v>
      </c>
      <c r="K723" s="885">
        <f>SUMIF('AJE1'!$B:$B,$C723&amp;$D723&amp;"*",'AJE1'!$O:$O)</f>
        <v>0</v>
      </c>
      <c r="L723" s="885">
        <f>SUMIF('AJE1'!$B:$B,$C723&amp;$D723&amp;"*",'AJE1'!$P:$P)</f>
        <v>0</v>
      </c>
      <c r="M723" s="891">
        <f t="shared" si="282"/>
        <v>0</v>
      </c>
      <c r="N723" s="641"/>
      <c r="O723" s="641"/>
      <c r="P723" s="641"/>
      <c r="Q723" s="641"/>
      <c r="T723" s="3061">
        <v>7533</v>
      </c>
      <c r="U723" s="3064"/>
    </row>
    <row r="724" spans="1:21" ht="18">
      <c r="A724" s="1648">
        <f t="shared" si="273"/>
        <v>0</v>
      </c>
      <c r="B724" s="1647">
        <f t="shared" si="274"/>
        <v>-1</v>
      </c>
      <c r="C724" s="1647" t="str">
        <f t="shared" si="272"/>
        <v>J</v>
      </c>
      <c r="D724" s="1659">
        <v>1511.1512</v>
      </c>
      <c r="E724" s="888" t="str">
        <f t="shared" si="275"/>
        <v>长期股权投资减值准备</v>
      </c>
      <c r="F724" s="884">
        <f t="shared" si="279"/>
        <v>0</v>
      </c>
      <c r="G724" s="885">
        <f>SUMIF(AJE!$B:$B,$C724&amp;$D724&amp;"*",AJE!$O:$O)</f>
        <v>0</v>
      </c>
      <c r="H724" s="885">
        <f>SUMIF(AJE!$B:$B,$C724&amp;$D724&amp;"*",AJE!$P:$P)</f>
        <v>0</v>
      </c>
      <c r="I724" s="913">
        <f t="shared" si="280"/>
        <v>0</v>
      </c>
      <c r="J724" s="914">
        <f t="shared" si="281"/>
        <v>0</v>
      </c>
      <c r="K724" s="885">
        <f>SUMIF('AJE1'!$B:$B,$C724&amp;$D724&amp;"*",'AJE1'!$O:$O)</f>
        <v>0</v>
      </c>
      <c r="L724" s="885">
        <f>SUMIF('AJE1'!$B:$B,$C724&amp;$D724&amp;"*",'AJE1'!$P:$P)</f>
        <v>0</v>
      </c>
      <c r="M724" s="891">
        <f t="shared" si="282"/>
        <v>0</v>
      </c>
      <c r="N724" s="641"/>
      <c r="O724" s="641"/>
      <c r="P724" s="641"/>
      <c r="Q724" s="641"/>
      <c r="T724" s="3061">
        <v>7535</v>
      </c>
      <c r="U724" s="3064">
        <v>252723.84</v>
      </c>
    </row>
    <row r="725" spans="1:21" ht="18">
      <c r="A725" s="1648">
        <f t="shared" si="273"/>
        <v>0</v>
      </c>
      <c r="B725" s="1647">
        <f t="shared" si="274"/>
        <v>-1</v>
      </c>
      <c r="C725" s="1647" t="str">
        <f t="shared" si="272"/>
        <v>J</v>
      </c>
      <c r="D725" s="1659">
        <v>1521.1522</v>
      </c>
      <c r="E725" s="888" t="str">
        <f t="shared" si="275"/>
        <v>投资性房地产减值准备</v>
      </c>
      <c r="F725" s="884">
        <f t="shared" si="279"/>
        <v>0</v>
      </c>
      <c r="G725" s="885">
        <f>SUMIF(AJE!$B:$B,$C725&amp;$D725&amp;"*",AJE!$O:$O)</f>
        <v>0</v>
      </c>
      <c r="H725" s="885">
        <f>SUMIF(AJE!$B:$B,$C725&amp;$D725&amp;"*",AJE!$P:$P)</f>
        <v>0</v>
      </c>
      <c r="I725" s="913">
        <f t="shared" si="280"/>
        <v>0</v>
      </c>
      <c r="J725" s="914">
        <f t="shared" si="281"/>
        <v>0</v>
      </c>
      <c r="K725" s="885">
        <f>SUMIF('AJE1'!$B:$B,$C725&amp;$D725&amp;"*",'AJE1'!$O:$O)</f>
        <v>0</v>
      </c>
      <c r="L725" s="885">
        <f>SUMIF('AJE1'!$B:$B,$C725&amp;$D725&amp;"*",'AJE1'!$P:$P)</f>
        <v>0</v>
      </c>
      <c r="M725" s="891">
        <f t="shared" si="282"/>
        <v>0</v>
      </c>
      <c r="N725" s="641"/>
      <c r="O725" s="641"/>
      <c r="P725" s="641"/>
      <c r="Q725" s="641"/>
      <c r="T725" s="3061">
        <v>7536</v>
      </c>
      <c r="U725" s="3064">
        <v>3232013.12</v>
      </c>
    </row>
    <row r="726" spans="1:21" ht="18">
      <c r="A726" s="1648">
        <f t="shared" si="273"/>
        <v>0</v>
      </c>
      <c r="B726" s="1647">
        <f t="shared" si="274"/>
        <v>-1</v>
      </c>
      <c r="C726" s="1647" t="str">
        <f t="shared" si="272"/>
        <v>J</v>
      </c>
      <c r="D726" s="1659">
        <v>1601.1603</v>
      </c>
      <c r="E726" s="888" t="str">
        <f t="shared" si="275"/>
        <v>固定资产减值准备</v>
      </c>
      <c r="F726" s="884">
        <f t="shared" si="279"/>
        <v>0</v>
      </c>
      <c r="G726" s="885">
        <f>SUMIF(AJE!$B:$B,$C726&amp;$D726&amp;"*",AJE!$O:$O)</f>
        <v>0</v>
      </c>
      <c r="H726" s="885">
        <f>SUMIF(AJE!$B:$B,$C726&amp;$D726&amp;"*",AJE!$P:$P)</f>
        <v>0</v>
      </c>
      <c r="I726" s="913">
        <f t="shared" si="280"/>
        <v>0</v>
      </c>
      <c r="J726" s="914">
        <f t="shared" si="281"/>
        <v>0</v>
      </c>
      <c r="K726" s="885">
        <f>SUMIF('AJE1'!$B:$B,$C726&amp;$D726&amp;"*",'AJE1'!$O:$O)</f>
        <v>0</v>
      </c>
      <c r="L726" s="885">
        <f>SUMIF('AJE1'!$B:$B,$C726&amp;$D726&amp;"*",'AJE1'!$P:$P)</f>
        <v>0</v>
      </c>
      <c r="M726" s="891">
        <f t="shared" si="282"/>
        <v>0</v>
      </c>
      <c r="N726" s="641"/>
      <c r="O726" s="641"/>
      <c r="P726" s="641"/>
      <c r="Q726" s="641"/>
      <c r="T726" s="3061">
        <v>7537</v>
      </c>
      <c r="U726" s="3064">
        <v>0</v>
      </c>
    </row>
    <row r="727" spans="1:21" ht="18">
      <c r="A727" s="1648">
        <f t="shared" si="273"/>
        <v>0</v>
      </c>
      <c r="B727" s="1647">
        <f t="shared" si="274"/>
        <v>-1</v>
      </c>
      <c r="C727" s="1647" t="str">
        <f t="shared" si="272"/>
        <v>J</v>
      </c>
      <c r="D727" s="1659">
        <v>1605.1608000000001</v>
      </c>
      <c r="E727" s="888" t="str">
        <f t="shared" si="275"/>
        <v>工程物资减值准备</v>
      </c>
      <c r="F727" s="884">
        <f t="shared" si="279"/>
        <v>0</v>
      </c>
      <c r="G727" s="885">
        <f>SUMIF(AJE!$B:$B,$C727&amp;$D727&amp;"*",AJE!$O:$O)</f>
        <v>0</v>
      </c>
      <c r="H727" s="885">
        <f>SUMIF(AJE!$B:$B,$C727&amp;$D727&amp;"*",AJE!$P:$P)</f>
        <v>0</v>
      </c>
      <c r="I727" s="913">
        <f t="shared" si="280"/>
        <v>0</v>
      </c>
      <c r="J727" s="914">
        <f t="shared" si="281"/>
        <v>0</v>
      </c>
      <c r="K727" s="885">
        <f>SUMIF('AJE1'!$B:$B,$C727&amp;$D727&amp;"*",'AJE1'!$O:$O)</f>
        <v>0</v>
      </c>
      <c r="L727" s="885">
        <f>SUMIF('AJE1'!$B:$B,$C727&amp;$D727&amp;"*",'AJE1'!$P:$P)</f>
        <v>0</v>
      </c>
      <c r="M727" s="891">
        <f t="shared" si="282"/>
        <v>0</v>
      </c>
      <c r="N727" s="641"/>
      <c r="O727" s="641"/>
      <c r="P727" s="641"/>
      <c r="Q727" s="641"/>
      <c r="T727" s="3061">
        <v>7538</v>
      </c>
      <c r="U727" s="3064">
        <v>0</v>
      </c>
    </row>
    <row r="728" spans="1:21" ht="18">
      <c r="A728" s="1648">
        <f t="shared" si="273"/>
        <v>0</v>
      </c>
      <c r="B728" s="1647">
        <f t="shared" si="274"/>
        <v>-1</v>
      </c>
      <c r="C728" s="1647" t="str">
        <f t="shared" si="272"/>
        <v>J</v>
      </c>
      <c r="D728" s="1659">
        <v>1604.1606999999999</v>
      </c>
      <c r="E728" s="888" t="str">
        <f t="shared" si="275"/>
        <v>在建工程减值准备</v>
      </c>
      <c r="F728" s="884">
        <f t="shared" si="279"/>
        <v>0</v>
      </c>
      <c r="G728" s="885">
        <f>SUMIF(AJE!$B:$B,$C728&amp;$D728&amp;"*",AJE!$O:$O)</f>
        <v>0</v>
      </c>
      <c r="H728" s="885">
        <f>SUMIF(AJE!$B:$B,$C728&amp;$D728&amp;"*",AJE!$P:$P)</f>
        <v>0</v>
      </c>
      <c r="I728" s="913">
        <f t="shared" si="280"/>
        <v>0</v>
      </c>
      <c r="J728" s="914">
        <f t="shared" si="281"/>
        <v>0</v>
      </c>
      <c r="K728" s="885">
        <f>SUMIF('AJE1'!$B:$B,$C728&amp;$D728&amp;"*",'AJE1'!$O:$O)</f>
        <v>0</v>
      </c>
      <c r="L728" s="885">
        <f>SUMIF('AJE1'!$B:$B,$C728&amp;$D728&amp;"*",'AJE1'!$P:$P)</f>
        <v>0</v>
      </c>
      <c r="M728" s="891">
        <f t="shared" si="282"/>
        <v>0</v>
      </c>
      <c r="N728" s="641"/>
      <c r="O728" s="641"/>
      <c r="P728" s="641"/>
      <c r="Q728" s="641"/>
      <c r="T728" s="3061">
        <v>7539</v>
      </c>
      <c r="U728" s="3063">
        <v>-2979289.28</v>
      </c>
    </row>
    <row r="729" spans="1:21" ht="18">
      <c r="A729" s="1648">
        <f t="shared" si="273"/>
        <v>0</v>
      </c>
      <c r="B729" s="1647">
        <f t="shared" si="274"/>
        <v>-1</v>
      </c>
      <c r="C729" s="1647" t="str">
        <f t="shared" si="272"/>
        <v>J</v>
      </c>
      <c r="D729" s="1659">
        <v>1621.1623999999999</v>
      </c>
      <c r="E729" s="888" t="str">
        <f t="shared" si="275"/>
        <v>生产性生物资产减值准备</v>
      </c>
      <c r="F729" s="884">
        <f t="shared" si="279"/>
        <v>0</v>
      </c>
      <c r="G729" s="885">
        <f>SUMIF(AJE!$B:$B,$C729&amp;$D729&amp;"*",AJE!$O:$O)</f>
        <v>0</v>
      </c>
      <c r="H729" s="885">
        <f>SUMIF(AJE!$B:$B,$C729&amp;$D729&amp;"*",AJE!$P:$P)</f>
        <v>0</v>
      </c>
      <c r="I729" s="913">
        <f t="shared" si="280"/>
        <v>0</v>
      </c>
      <c r="J729" s="914">
        <f t="shared" si="281"/>
        <v>0</v>
      </c>
      <c r="K729" s="885">
        <f>SUMIF('AJE1'!$B:$B,$C729&amp;$D729&amp;"*",'AJE1'!$O:$O)</f>
        <v>0</v>
      </c>
      <c r="L729" s="885">
        <f>SUMIF('AJE1'!$B:$B,$C729&amp;$D729&amp;"*",'AJE1'!$P:$P)</f>
        <v>0</v>
      </c>
      <c r="M729" s="891">
        <f t="shared" si="282"/>
        <v>0</v>
      </c>
      <c r="N729" s="641"/>
      <c r="O729" s="641"/>
      <c r="P729" s="641"/>
      <c r="Q729" s="641"/>
      <c r="T729" s="3061">
        <v>6829.5110000000004</v>
      </c>
      <c r="U729" s="3065">
        <v>0</v>
      </c>
    </row>
    <row r="730" spans="1:21" ht="18">
      <c r="A730" s="1648">
        <f t="shared" si="273"/>
        <v>0</v>
      </c>
      <c r="B730" s="1647">
        <f t="shared" si="274"/>
        <v>-1</v>
      </c>
      <c r="C730" s="1647" t="str">
        <f t="shared" si="272"/>
        <v>J</v>
      </c>
      <c r="D730" s="1659">
        <v>1631.1632999999999</v>
      </c>
      <c r="E730" s="888" t="str">
        <f t="shared" si="275"/>
        <v>油气资产减值准备</v>
      </c>
      <c r="F730" s="884">
        <f t="shared" si="279"/>
        <v>0</v>
      </c>
      <c r="G730" s="885">
        <f>SUMIF(AJE!$B:$B,$C730&amp;$D730&amp;"*",AJE!$O:$O)</f>
        <v>0</v>
      </c>
      <c r="H730" s="885">
        <f>SUMIF(AJE!$B:$B,$C730&amp;$D730&amp;"*",AJE!$P:$P)</f>
        <v>0</v>
      </c>
      <c r="I730" s="913">
        <f t="shared" si="280"/>
        <v>0</v>
      </c>
      <c r="J730" s="914">
        <f t="shared" si="281"/>
        <v>0</v>
      </c>
      <c r="K730" s="885">
        <f>SUMIF('AJE1'!$B:$B,$C730&amp;$D730&amp;"*",'AJE1'!$O:$O)</f>
        <v>0</v>
      </c>
      <c r="L730" s="885">
        <f>SUMIF('AJE1'!$B:$B,$C730&amp;$D730&amp;"*",'AJE1'!$P:$P)</f>
        <v>0</v>
      </c>
      <c r="M730" s="891">
        <f t="shared" si="282"/>
        <v>0</v>
      </c>
      <c r="N730" s="641"/>
      <c r="O730" s="641"/>
      <c r="P730" s="641"/>
      <c r="Q730" s="641"/>
      <c r="T730" s="3061">
        <v>6829.5119999999997</v>
      </c>
      <c r="U730" s="3065">
        <v>0</v>
      </c>
    </row>
    <row r="731" spans="1:21" ht="18">
      <c r="A731" s="1648">
        <f t="shared" si="273"/>
        <v>0</v>
      </c>
      <c r="B731" s="1647">
        <f t="shared" si="274"/>
        <v>-1</v>
      </c>
      <c r="C731" s="1647" t="str">
        <f t="shared" si="272"/>
        <v>J</v>
      </c>
      <c r="D731" s="1659">
        <v>1701.1703</v>
      </c>
      <c r="E731" s="888" t="str">
        <f t="shared" si="275"/>
        <v>无形资产减值准备</v>
      </c>
      <c r="F731" s="884">
        <f t="shared" si="279"/>
        <v>0</v>
      </c>
      <c r="G731" s="885">
        <f>SUMIF(AJE!$B:$B,$C731&amp;$D731&amp;"*",AJE!$O:$O)</f>
        <v>0</v>
      </c>
      <c r="H731" s="885">
        <f>SUMIF(AJE!$B:$B,$C731&amp;$D731&amp;"*",AJE!$P:$P)</f>
        <v>0</v>
      </c>
      <c r="I731" s="913">
        <f t="shared" si="280"/>
        <v>0</v>
      </c>
      <c r="J731" s="914">
        <f t="shared" si="281"/>
        <v>0</v>
      </c>
      <c r="K731" s="885">
        <f>SUMIF('AJE1'!$B:$B,$C731&amp;$D731&amp;"*",'AJE1'!$O:$O)</f>
        <v>0</v>
      </c>
      <c r="L731" s="885">
        <f>SUMIF('AJE1'!$B:$B,$C731&amp;$D731&amp;"*",'AJE1'!$P:$P)</f>
        <v>0</v>
      </c>
      <c r="M731" s="891">
        <f t="shared" si="282"/>
        <v>0</v>
      </c>
      <c r="N731" s="641"/>
      <c r="O731" s="641"/>
      <c r="P731" s="641"/>
      <c r="Q731" s="641"/>
      <c r="T731" s="3061">
        <v>6829.5190000000002</v>
      </c>
      <c r="U731" s="3065">
        <v>0</v>
      </c>
    </row>
    <row r="732" spans="1:21" ht="18">
      <c r="A732" s="1648">
        <f t="shared" si="273"/>
        <v>0</v>
      </c>
      <c r="B732" s="1647">
        <f t="shared" si="274"/>
        <v>-1</v>
      </c>
      <c r="C732" s="1647" t="str">
        <f t="shared" si="272"/>
        <v>J</v>
      </c>
      <c r="D732" s="1659">
        <v>1711.1712</v>
      </c>
      <c r="E732" s="888" t="str">
        <f t="shared" si="275"/>
        <v>商誉减值准备</v>
      </c>
      <c r="F732" s="884">
        <f t="shared" si="279"/>
        <v>0</v>
      </c>
      <c r="G732" s="885">
        <f>SUMIF(AJE!$B:$B,$C732&amp;$D732&amp;"*",AJE!$O:$O)</f>
        <v>0</v>
      </c>
      <c r="H732" s="885">
        <f>SUMIF(AJE!$B:$B,$C732&amp;$D732&amp;"*",AJE!$P:$P)</f>
        <v>0</v>
      </c>
      <c r="I732" s="913">
        <f t="shared" si="280"/>
        <v>0</v>
      </c>
      <c r="J732" s="914">
        <f t="shared" si="281"/>
        <v>0</v>
      </c>
      <c r="K732" s="885">
        <f>SUMIF('AJE1'!$B:$B,$C732&amp;$D732&amp;"*",'AJE1'!$O:$O)</f>
        <v>0</v>
      </c>
      <c r="L732" s="885">
        <f>SUMIF('AJE1'!$B:$B,$C732&amp;$D732&amp;"*",'AJE1'!$P:$P)</f>
        <v>0</v>
      </c>
      <c r="M732" s="891">
        <f t="shared" si="282"/>
        <v>0</v>
      </c>
      <c r="N732" s="641"/>
      <c r="O732" s="641"/>
      <c r="P732" s="641"/>
      <c r="Q732" s="641"/>
      <c r="T732" s="3061">
        <v>6829.5309999999999</v>
      </c>
      <c r="U732" s="3065">
        <v>0</v>
      </c>
    </row>
    <row r="733" spans="1:21" ht="18">
      <c r="A733" s="1648">
        <f t="shared" si="273"/>
        <v>0</v>
      </c>
      <c r="B733" s="1647">
        <f t="shared" si="274"/>
        <v>-1</v>
      </c>
      <c r="C733" s="1647">
        <f t="shared" si="272"/>
        <v>0</v>
      </c>
      <c r="D733" s="1659">
        <v>1991.1992</v>
      </c>
      <c r="E733" s="888" t="str">
        <f t="shared" si="275"/>
        <v>其他减值准备</v>
      </c>
      <c r="F733" s="884">
        <f t="shared" si="279"/>
        <v>0</v>
      </c>
      <c r="G733" s="885">
        <f>SUMIF(AJE!$B:$B,$C733&amp;$D733&amp;"*",AJE!$O:$O)</f>
        <v>0</v>
      </c>
      <c r="H733" s="885">
        <f>SUMIF(AJE!$B:$B,$C733&amp;$D733&amp;"*",AJE!$P:$P)</f>
        <v>0</v>
      </c>
      <c r="I733" s="913">
        <f t="shared" si="280"/>
        <v>0</v>
      </c>
      <c r="J733" s="914">
        <f t="shared" si="281"/>
        <v>0</v>
      </c>
      <c r="K733" s="885">
        <f>SUMIF('AJE1'!$B:$B,$C733&amp;$D733&amp;"*",'AJE1'!$O:$O)</f>
        <v>0</v>
      </c>
      <c r="L733" s="885">
        <f>SUMIF('AJE1'!$B:$B,$C733&amp;$D733&amp;"*",'AJE1'!$P:$P)</f>
        <v>0</v>
      </c>
      <c r="M733" s="891">
        <f t="shared" si="282"/>
        <v>0</v>
      </c>
      <c r="N733" s="641"/>
      <c r="O733" s="641"/>
      <c r="P733" s="641"/>
      <c r="Q733" s="641"/>
      <c r="T733" s="3061">
        <v>6829.5320000000002</v>
      </c>
      <c r="U733" s="3065">
        <v>0</v>
      </c>
    </row>
    <row r="734" spans="1:21" ht="18">
      <c r="A734" s="1648">
        <f t="shared" si="273"/>
        <v>0</v>
      </c>
      <c r="B734" s="1647">
        <f t="shared" si="274"/>
        <v>0</v>
      </c>
      <c r="C734" s="1647">
        <f t="shared" si="272"/>
        <v>0</v>
      </c>
      <c r="D734" s="1659">
        <v>1991</v>
      </c>
      <c r="E734" s="890" t="str">
        <f t="shared" si="275"/>
        <v>资产减值准备</v>
      </c>
      <c r="F734" s="884">
        <f t="shared" ref="F734:M734" si="283">SUM(F718:F733)</f>
        <v>0</v>
      </c>
      <c r="G734" s="885">
        <f t="shared" si="283"/>
        <v>0</v>
      </c>
      <c r="H734" s="885">
        <f t="shared" si="283"/>
        <v>1989265.83</v>
      </c>
      <c r="I734" s="913">
        <f t="shared" si="283"/>
        <v>1989265.83</v>
      </c>
      <c r="J734" s="914">
        <f t="shared" si="283"/>
        <v>0</v>
      </c>
      <c r="K734" s="885">
        <f t="shared" si="283"/>
        <v>0</v>
      </c>
      <c r="L734" s="885">
        <f t="shared" si="283"/>
        <v>0</v>
      </c>
      <c r="M734" s="891">
        <f t="shared" si="283"/>
        <v>0</v>
      </c>
      <c r="N734" s="641"/>
      <c r="O734" s="641"/>
      <c r="P734" s="641"/>
      <c r="Q734" s="641"/>
      <c r="T734" s="3061">
        <v>6829.5330000000004</v>
      </c>
      <c r="U734" s="3065">
        <v>0</v>
      </c>
    </row>
    <row r="735" spans="1:21" ht="18">
      <c r="A735" s="1648" t="str">
        <f t="shared" si="273"/>
        <v>：</v>
      </c>
      <c r="B735" s="1647">
        <f t="shared" si="274"/>
        <v>0</v>
      </c>
      <c r="C735" s="1647">
        <f t="shared" si="272"/>
        <v>0</v>
      </c>
      <c r="D735" s="1659">
        <v>7500</v>
      </c>
      <c r="E735" s="920" t="str">
        <f t="shared" si="275"/>
        <v>现金流量表补充资料</v>
      </c>
      <c r="F735" s="884"/>
      <c r="G735" s="925" t="s">
        <v>2658</v>
      </c>
      <c r="H735" s="926"/>
      <c r="I735" s="913"/>
      <c r="J735" s="914"/>
      <c r="K735" s="925" t="s">
        <v>2658</v>
      </c>
      <c r="L735" s="926"/>
      <c r="M735" s="891"/>
      <c r="N735" s="641"/>
      <c r="O735" s="641"/>
      <c r="P735" s="641"/>
      <c r="Q735" s="641"/>
      <c r="T735" s="3061">
        <v>6829.5339999999997</v>
      </c>
      <c r="U735" s="3065">
        <v>0</v>
      </c>
    </row>
    <row r="736" spans="1:21" ht="18">
      <c r="A736" s="1648" t="str">
        <f t="shared" si="273"/>
        <v>：</v>
      </c>
      <c r="B736" s="1647">
        <f t="shared" si="274"/>
        <v>0</v>
      </c>
      <c r="C736" s="1647">
        <f t="shared" si="272"/>
        <v>0</v>
      </c>
      <c r="D736" s="1659">
        <v>7501</v>
      </c>
      <c r="E736" s="888" t="str">
        <f t="shared" si="275"/>
        <v>将净利润调节为经营活动现金流量</v>
      </c>
      <c r="F736" s="884"/>
      <c r="G736" s="882" t="s">
        <v>2659</v>
      </c>
      <c r="H736" s="882" t="s">
        <v>2660</v>
      </c>
      <c r="I736" s="913"/>
      <c r="J736" s="914"/>
      <c r="K736" s="882" t="s">
        <v>2659</v>
      </c>
      <c r="L736" s="882" t="s">
        <v>2660</v>
      </c>
      <c r="M736" s="891"/>
      <c r="N736" s="641"/>
      <c r="O736" s="641"/>
      <c r="P736" s="641"/>
      <c r="Q736" s="641"/>
      <c r="T736" s="3061">
        <v>6829.5349999999999</v>
      </c>
      <c r="U736" s="3065">
        <v>0</v>
      </c>
    </row>
    <row r="737" spans="1:21" ht="18">
      <c r="A737" s="1648">
        <f t="shared" si="273"/>
        <v>0</v>
      </c>
      <c r="B737" s="1647">
        <f t="shared" si="274"/>
        <v>1</v>
      </c>
      <c r="C737" s="1647">
        <f t="shared" si="272"/>
        <v>0</v>
      </c>
      <c r="D737" s="1659">
        <v>7502</v>
      </c>
      <c r="E737" s="888" t="str">
        <f t="shared" si="275"/>
        <v>净利润金额</v>
      </c>
      <c r="F737" s="917">
        <f t="shared" ref="F737:F753" si="284">VLOOKUP($D737,Sheet_Precf7,4,0)</f>
        <v>-3349908.33</v>
      </c>
      <c r="G737" s="2787">
        <v>0</v>
      </c>
      <c r="H737" s="2787">
        <v>0</v>
      </c>
      <c r="I737" s="921">
        <f t="shared" ref="I737:I753" si="285">(B737*F737+G737-H737)*B737</f>
        <v>-3349908.33</v>
      </c>
      <c r="J737" s="922">
        <f t="shared" ref="J737:J753" si="286">VLOOKUP($D737,Sheet_Precf7,5,0)</f>
        <v>520228.91</v>
      </c>
      <c r="K737" s="2787">
        <v>0</v>
      </c>
      <c r="L737" s="2787">
        <v>0</v>
      </c>
      <c r="M737" s="923">
        <f t="shared" ref="M737:M753" si="287">($B737*J737+K737-L737)*$B737</f>
        <v>520228.91</v>
      </c>
      <c r="N737" s="641"/>
      <c r="O737" s="641"/>
      <c r="P737" s="641"/>
      <c r="Q737" s="641"/>
      <c r="T737" s="3061">
        <v>6829.5360000000001</v>
      </c>
      <c r="U737" s="3065">
        <v>0</v>
      </c>
    </row>
    <row r="738" spans="1:21" ht="18">
      <c r="A738" s="1648">
        <f t="shared" si="273"/>
        <v>0</v>
      </c>
      <c r="B738" s="1647">
        <f t="shared" si="274"/>
        <v>1</v>
      </c>
      <c r="C738" s="1647">
        <f t="shared" si="272"/>
        <v>0</v>
      </c>
      <c r="D738" s="1659">
        <v>7503</v>
      </c>
      <c r="E738" s="888" t="str">
        <f t="shared" si="275"/>
        <v>资产减值准备金额</v>
      </c>
      <c r="F738" s="917">
        <f t="shared" si="284"/>
        <v>864640.09</v>
      </c>
      <c r="G738" s="918"/>
      <c r="H738" s="918"/>
      <c r="I738" s="921">
        <f t="shared" si="285"/>
        <v>864640.09</v>
      </c>
      <c r="J738" s="922">
        <f t="shared" si="286"/>
        <v>-198814.86</v>
      </c>
      <c r="K738" s="918"/>
      <c r="L738" s="918"/>
      <c r="M738" s="923">
        <f t="shared" si="287"/>
        <v>-198814.86</v>
      </c>
      <c r="N738" s="641"/>
      <c r="O738" s="641"/>
      <c r="P738" s="641"/>
      <c r="Q738" s="641"/>
      <c r="T738" s="3061">
        <v>6829.5370000000003</v>
      </c>
      <c r="U738" s="3065">
        <v>0</v>
      </c>
    </row>
    <row r="739" spans="1:21" ht="18">
      <c r="A739" s="1648" t="str">
        <f>VLOOKUP($D739,Sheet_Items,4,0)</f>
        <v>_JR</v>
      </c>
      <c r="B739" s="1647">
        <f>VLOOKUP($D739,Sheet_Items,3,0)</f>
        <v>1</v>
      </c>
      <c r="C739" s="1647">
        <f>VLOOKUP($D739,Sheet_Items,9,0)</f>
        <v>0</v>
      </c>
      <c r="D739" s="1659">
        <v>7504</v>
      </c>
      <c r="E739" s="889" t="str">
        <f>VLOOKUP($D739,Sheet_Items,2,0)</f>
        <v>信用减值损失金额</v>
      </c>
      <c r="F739" s="917">
        <f t="shared" si="284"/>
        <v>1923898.24</v>
      </c>
      <c r="G739" s="918"/>
      <c r="H739" s="918"/>
      <c r="I739" s="921">
        <f t="shared" ref="I739" si="288">(B739*F739+G739-H739)*B739</f>
        <v>1923898.24</v>
      </c>
      <c r="J739" s="922">
        <f t="shared" si="286"/>
        <v>0</v>
      </c>
      <c r="K739" s="918"/>
      <c r="L739" s="918"/>
      <c r="M739" s="923">
        <f t="shared" ref="M739" si="289">($B739*J739+K739-L739)*$B739</f>
        <v>0</v>
      </c>
      <c r="N739" s="641"/>
      <c r="O739" s="641"/>
      <c r="P739" s="641"/>
      <c r="Q739" s="641"/>
      <c r="T739" s="3061">
        <v>6829.5389999999998</v>
      </c>
      <c r="U739" s="3065">
        <v>0</v>
      </c>
    </row>
    <row r="740" spans="1:21" ht="24">
      <c r="A740" s="1648">
        <f t="shared" si="273"/>
        <v>0</v>
      </c>
      <c r="B740" s="1647">
        <f t="shared" si="274"/>
        <v>1</v>
      </c>
      <c r="C740" s="1647">
        <f t="shared" si="272"/>
        <v>0</v>
      </c>
      <c r="D740" s="1659">
        <v>7505</v>
      </c>
      <c r="E740" s="888" t="str">
        <f t="shared" si="275"/>
        <v>固定资产折旧、油气资产折耗、生产性生物资产折旧</v>
      </c>
      <c r="F740" s="917">
        <f t="shared" si="284"/>
        <v>2332438.67</v>
      </c>
      <c r="G740" s="918"/>
      <c r="H740" s="918"/>
      <c r="I740" s="921">
        <f t="shared" si="285"/>
        <v>2332438.67</v>
      </c>
      <c r="J740" s="922">
        <f t="shared" si="286"/>
        <v>2200407.69</v>
      </c>
      <c r="K740" s="918"/>
      <c r="L740" s="918"/>
      <c r="M740" s="923">
        <f t="shared" si="287"/>
        <v>2200407.69</v>
      </c>
      <c r="N740" s="641"/>
      <c r="O740" s="641"/>
      <c r="P740" s="641"/>
      <c r="Q740" s="641"/>
    </row>
    <row r="741" spans="1:21" ht="18">
      <c r="A741" s="1648">
        <f t="shared" si="273"/>
        <v>0</v>
      </c>
      <c r="B741" s="1647">
        <f t="shared" si="274"/>
        <v>1</v>
      </c>
      <c r="C741" s="1647">
        <f t="shared" si="272"/>
        <v>0</v>
      </c>
      <c r="D741" s="1659">
        <v>7506</v>
      </c>
      <c r="E741" s="888" t="str">
        <f t="shared" si="275"/>
        <v>无形资产摊销</v>
      </c>
      <c r="F741" s="917">
        <f t="shared" si="284"/>
        <v>102441.89</v>
      </c>
      <c r="G741" s="918"/>
      <c r="H741" s="918"/>
      <c r="I741" s="921">
        <f t="shared" si="285"/>
        <v>102441.89</v>
      </c>
      <c r="J741" s="922">
        <f t="shared" si="286"/>
        <v>88666.19</v>
      </c>
      <c r="K741" s="918"/>
      <c r="L741" s="918"/>
      <c r="M741" s="923">
        <f t="shared" si="287"/>
        <v>88666.19</v>
      </c>
      <c r="N741" s="641"/>
      <c r="O741" s="641"/>
      <c r="P741" s="641"/>
      <c r="Q741" s="641"/>
    </row>
    <row r="742" spans="1:21" ht="18">
      <c r="A742" s="1648">
        <f t="shared" si="273"/>
        <v>0</v>
      </c>
      <c r="B742" s="1647">
        <f t="shared" si="274"/>
        <v>1</v>
      </c>
      <c r="C742" s="1647">
        <f t="shared" si="272"/>
        <v>0</v>
      </c>
      <c r="D742" s="1659">
        <v>7507</v>
      </c>
      <c r="E742" s="888" t="str">
        <f t="shared" si="275"/>
        <v>长期待摊费用摊销</v>
      </c>
      <c r="F742" s="917">
        <f t="shared" si="284"/>
        <v>297071.96999999997</v>
      </c>
      <c r="G742" s="918"/>
      <c r="H742" s="918"/>
      <c r="I742" s="921">
        <f t="shared" si="285"/>
        <v>297071.96999999997</v>
      </c>
      <c r="J742" s="922">
        <f t="shared" si="286"/>
        <v>195194.75</v>
      </c>
      <c r="K742" s="918"/>
      <c r="L742" s="918"/>
      <c r="M742" s="923">
        <f t="shared" si="287"/>
        <v>195194.75</v>
      </c>
      <c r="N742" s="641"/>
      <c r="O742" s="641"/>
      <c r="P742" s="641"/>
      <c r="Q742" s="641"/>
    </row>
    <row r="743" spans="1:21" ht="24">
      <c r="A743" s="1648">
        <f t="shared" si="273"/>
        <v>0</v>
      </c>
      <c r="B743" s="1647">
        <f t="shared" si="274"/>
        <v>1</v>
      </c>
      <c r="C743" s="1647">
        <f t="shared" si="272"/>
        <v>0</v>
      </c>
      <c r="D743" s="1659">
        <v>7508</v>
      </c>
      <c r="E743" s="888" t="str">
        <f t="shared" si="275"/>
        <v>处置固定资产、无形资产和其他长期资产的损失</v>
      </c>
      <c r="F743" s="917">
        <f t="shared" si="284"/>
        <v>0</v>
      </c>
      <c r="G743" s="918"/>
      <c r="H743" s="918"/>
      <c r="I743" s="921">
        <f t="shared" si="285"/>
        <v>0</v>
      </c>
      <c r="J743" s="922">
        <f t="shared" si="286"/>
        <v>-456.04</v>
      </c>
      <c r="K743" s="918"/>
      <c r="L743" s="918"/>
      <c r="M743" s="923">
        <f t="shared" si="287"/>
        <v>-456.04</v>
      </c>
      <c r="N743" s="641"/>
      <c r="O743" s="641"/>
      <c r="P743" s="641"/>
      <c r="Q743" s="641"/>
    </row>
    <row r="744" spans="1:21" ht="18">
      <c r="A744" s="1648">
        <f t="shared" si="273"/>
        <v>0</v>
      </c>
      <c r="B744" s="1647">
        <f t="shared" si="274"/>
        <v>1</v>
      </c>
      <c r="C744" s="1647">
        <f t="shared" si="272"/>
        <v>0</v>
      </c>
      <c r="D744" s="1659">
        <v>7509</v>
      </c>
      <c r="E744" s="888" t="str">
        <f t="shared" si="275"/>
        <v>固定资产报废损失</v>
      </c>
      <c r="F744" s="917">
        <f t="shared" si="284"/>
        <v>0</v>
      </c>
      <c r="G744" s="918"/>
      <c r="H744" s="918"/>
      <c r="I744" s="921">
        <f t="shared" si="285"/>
        <v>0</v>
      </c>
      <c r="J744" s="922">
        <f t="shared" si="286"/>
        <v>0</v>
      </c>
      <c r="K744" s="918"/>
      <c r="L744" s="918"/>
      <c r="M744" s="923">
        <f t="shared" si="287"/>
        <v>0</v>
      </c>
      <c r="N744" s="641"/>
      <c r="O744" s="641"/>
      <c r="P744" s="641"/>
      <c r="Q744" s="641"/>
    </row>
    <row r="745" spans="1:21" ht="18">
      <c r="A745" s="1648">
        <f t="shared" si="273"/>
        <v>0</v>
      </c>
      <c r="B745" s="1647">
        <f t="shared" si="274"/>
        <v>1</v>
      </c>
      <c r="C745" s="1647">
        <f t="shared" si="272"/>
        <v>0</v>
      </c>
      <c r="D745" s="1659">
        <v>7510</v>
      </c>
      <c r="E745" s="888" t="str">
        <f t="shared" si="275"/>
        <v>公允价值变动损失</v>
      </c>
      <c r="F745" s="917">
        <f t="shared" si="284"/>
        <v>0</v>
      </c>
      <c r="G745" s="918"/>
      <c r="H745" s="918"/>
      <c r="I745" s="921">
        <f t="shared" si="285"/>
        <v>0</v>
      </c>
      <c r="J745" s="922">
        <f t="shared" si="286"/>
        <v>0</v>
      </c>
      <c r="K745" s="918"/>
      <c r="L745" s="918"/>
      <c r="M745" s="923">
        <f t="shared" si="287"/>
        <v>0</v>
      </c>
      <c r="N745" s="641"/>
      <c r="O745" s="641"/>
      <c r="P745" s="641"/>
      <c r="Q745" s="641"/>
    </row>
    <row r="746" spans="1:21" ht="18">
      <c r="A746" s="1648">
        <f t="shared" si="273"/>
        <v>0</v>
      </c>
      <c r="B746" s="1647">
        <f t="shared" si="274"/>
        <v>1</v>
      </c>
      <c r="C746" s="1647">
        <f t="shared" si="272"/>
        <v>0</v>
      </c>
      <c r="D746" s="1659">
        <v>7511</v>
      </c>
      <c r="E746" s="888" t="str">
        <f t="shared" si="275"/>
        <v>财务费用金额</v>
      </c>
      <c r="F746" s="917">
        <f t="shared" si="284"/>
        <v>2968.82</v>
      </c>
      <c r="G746" s="918"/>
      <c r="H746" s="918"/>
      <c r="I746" s="921">
        <f t="shared" si="285"/>
        <v>2968.82</v>
      </c>
      <c r="J746" s="922">
        <f t="shared" si="286"/>
        <v>0</v>
      </c>
      <c r="K746" s="918"/>
      <c r="L746" s="918"/>
      <c r="M746" s="923">
        <f t="shared" si="287"/>
        <v>0</v>
      </c>
      <c r="N746" s="641"/>
      <c r="O746" s="641"/>
      <c r="P746" s="641"/>
      <c r="Q746" s="641"/>
    </row>
    <row r="747" spans="1:21" ht="18">
      <c r="A747" s="1648">
        <f t="shared" si="273"/>
        <v>0</v>
      </c>
      <c r="B747" s="1647">
        <f t="shared" si="274"/>
        <v>1</v>
      </c>
      <c r="C747" s="1647">
        <f t="shared" si="272"/>
        <v>0</v>
      </c>
      <c r="D747" s="1659">
        <v>7512</v>
      </c>
      <c r="E747" s="888" t="str">
        <f t="shared" si="275"/>
        <v>投资损失</v>
      </c>
      <c r="F747" s="917">
        <f t="shared" si="284"/>
        <v>-41851.06</v>
      </c>
      <c r="G747" s="918"/>
      <c r="H747" s="918"/>
      <c r="I747" s="921">
        <f t="shared" si="285"/>
        <v>-41851.06</v>
      </c>
      <c r="J747" s="922">
        <f t="shared" si="286"/>
        <v>-38200.720000000001</v>
      </c>
      <c r="K747" s="918"/>
      <c r="L747" s="918"/>
      <c r="M747" s="923">
        <f t="shared" si="287"/>
        <v>-38200.720000000001</v>
      </c>
      <c r="N747" s="641"/>
      <c r="O747" s="641"/>
      <c r="P747" s="641"/>
      <c r="Q747" s="641"/>
    </row>
    <row r="748" spans="1:21" ht="18">
      <c r="A748" s="1648">
        <f t="shared" si="273"/>
        <v>0</v>
      </c>
      <c r="B748" s="1647">
        <f t="shared" si="274"/>
        <v>1</v>
      </c>
      <c r="C748" s="1647">
        <f t="shared" si="272"/>
        <v>0</v>
      </c>
      <c r="D748" s="1659">
        <v>7515</v>
      </c>
      <c r="E748" s="888" t="str">
        <f t="shared" si="275"/>
        <v>递延所得税资产减少</v>
      </c>
      <c r="F748" s="917">
        <f t="shared" si="284"/>
        <v>-624649.18999999994</v>
      </c>
      <c r="G748" s="918"/>
      <c r="H748" s="918"/>
      <c r="I748" s="921">
        <f t="shared" si="285"/>
        <v>-624649.18999999994</v>
      </c>
      <c r="J748" s="922">
        <f t="shared" si="286"/>
        <v>-485503.27</v>
      </c>
      <c r="K748" s="918"/>
      <c r="L748" s="918"/>
      <c r="M748" s="923">
        <f t="shared" si="287"/>
        <v>-485503.27</v>
      </c>
      <c r="N748" s="641"/>
      <c r="O748" s="641"/>
      <c r="P748" s="641"/>
      <c r="Q748" s="641"/>
    </row>
    <row r="749" spans="1:21" ht="18">
      <c r="A749" s="1648">
        <f t="shared" si="273"/>
        <v>0</v>
      </c>
      <c r="B749" s="1647">
        <f t="shared" si="274"/>
        <v>1</v>
      </c>
      <c r="C749" s="1647">
        <f t="shared" si="272"/>
        <v>0</v>
      </c>
      <c r="D749" s="1659">
        <v>7516</v>
      </c>
      <c r="E749" s="888" t="str">
        <f t="shared" si="275"/>
        <v>递延所得税负债增加</v>
      </c>
      <c r="F749" s="917">
        <f t="shared" si="284"/>
        <v>0</v>
      </c>
      <c r="G749" s="918"/>
      <c r="H749" s="918"/>
      <c r="I749" s="921">
        <f t="shared" si="285"/>
        <v>0</v>
      </c>
      <c r="J749" s="922">
        <f t="shared" si="286"/>
        <v>0</v>
      </c>
      <c r="K749" s="918"/>
      <c r="L749" s="918"/>
      <c r="M749" s="923">
        <f t="shared" si="287"/>
        <v>0</v>
      </c>
      <c r="N749" s="641"/>
      <c r="O749" s="641"/>
      <c r="P749" s="641"/>
      <c r="Q749" s="641"/>
    </row>
    <row r="750" spans="1:21" ht="18">
      <c r="A750" s="1648">
        <f t="shared" si="273"/>
        <v>0</v>
      </c>
      <c r="B750" s="1647">
        <f t="shared" si="274"/>
        <v>1</v>
      </c>
      <c r="C750" s="1647">
        <f t="shared" si="272"/>
        <v>0</v>
      </c>
      <c r="D750" s="1659">
        <v>7517</v>
      </c>
      <c r="E750" s="888" t="str">
        <f t="shared" si="275"/>
        <v>存货的减少</v>
      </c>
      <c r="F750" s="917">
        <f t="shared" si="284"/>
        <v>-1471252.95</v>
      </c>
      <c r="G750" s="918"/>
      <c r="H750" s="918"/>
      <c r="I750" s="921">
        <f t="shared" si="285"/>
        <v>-1471252.95</v>
      </c>
      <c r="J750" s="922">
        <f t="shared" si="286"/>
        <v>2725020.2</v>
      </c>
      <c r="K750" s="918"/>
      <c r="L750" s="918"/>
      <c r="M750" s="923">
        <f t="shared" si="287"/>
        <v>2725020.2</v>
      </c>
      <c r="N750" s="641"/>
      <c r="O750" s="641"/>
      <c r="P750" s="641"/>
      <c r="Q750" s="641"/>
    </row>
    <row r="751" spans="1:21" ht="18">
      <c r="A751" s="1648">
        <f t="shared" si="273"/>
        <v>0</v>
      </c>
      <c r="B751" s="1647">
        <f t="shared" si="274"/>
        <v>1</v>
      </c>
      <c r="C751" s="1647">
        <f t="shared" si="272"/>
        <v>0</v>
      </c>
      <c r="D751" s="1659">
        <v>7518</v>
      </c>
      <c r="E751" s="888" t="str">
        <f t="shared" si="275"/>
        <v>经营性应收项目的减少</v>
      </c>
      <c r="F751" s="917">
        <f t="shared" si="284"/>
        <v>-2701456.75</v>
      </c>
      <c r="G751" s="918"/>
      <c r="H751" s="918"/>
      <c r="I751" s="921">
        <f t="shared" si="285"/>
        <v>-2701456.75</v>
      </c>
      <c r="J751" s="922">
        <f t="shared" si="286"/>
        <v>4222149.83</v>
      </c>
      <c r="K751" s="918"/>
      <c r="L751" s="918"/>
      <c r="M751" s="923">
        <f t="shared" si="287"/>
        <v>4222149.83</v>
      </c>
      <c r="N751" s="641"/>
      <c r="O751" s="641"/>
      <c r="P751" s="641"/>
      <c r="Q751" s="641"/>
    </row>
    <row r="752" spans="1:21" ht="18">
      <c r="A752" s="1648">
        <f t="shared" si="273"/>
        <v>0</v>
      </c>
      <c r="B752" s="1647">
        <f t="shared" si="274"/>
        <v>1</v>
      </c>
      <c r="C752" s="1647">
        <f t="shared" si="272"/>
        <v>0</v>
      </c>
      <c r="D752" s="1659">
        <v>7519</v>
      </c>
      <c r="E752" s="888" t="str">
        <f t="shared" si="275"/>
        <v>经营性应付项目的增加</v>
      </c>
      <c r="F752" s="917">
        <f t="shared" si="284"/>
        <v>3629106.52</v>
      </c>
      <c r="G752" s="918"/>
      <c r="H752" s="918"/>
      <c r="I752" s="921">
        <f t="shared" si="285"/>
        <v>3629106.52</v>
      </c>
      <c r="J752" s="922">
        <f t="shared" si="286"/>
        <v>2094008.2</v>
      </c>
      <c r="K752" s="918"/>
      <c r="L752" s="918"/>
      <c r="M752" s="923">
        <f t="shared" si="287"/>
        <v>2094008.2</v>
      </c>
      <c r="N752" s="641"/>
      <c r="O752" s="641"/>
      <c r="P752" s="641"/>
      <c r="Q752" s="641"/>
    </row>
    <row r="753" spans="1:17" ht="24">
      <c r="A753" s="1648">
        <f t="shared" si="273"/>
        <v>0</v>
      </c>
      <c r="B753" s="1647">
        <f t="shared" si="274"/>
        <v>1</v>
      </c>
      <c r="C753" s="1647">
        <f t="shared" si="272"/>
        <v>0</v>
      </c>
      <c r="D753" s="1659">
        <v>7523</v>
      </c>
      <c r="E753" s="888" t="str">
        <f t="shared" si="275"/>
        <v>其他将净利润调节为经营活动现金流量项目</v>
      </c>
      <c r="F753" s="917">
        <f t="shared" si="284"/>
        <v>0</v>
      </c>
      <c r="G753" s="918"/>
      <c r="H753" s="918"/>
      <c r="I753" s="921">
        <f t="shared" si="285"/>
        <v>0</v>
      </c>
      <c r="J753" s="922">
        <f t="shared" si="286"/>
        <v>0</v>
      </c>
      <c r="K753" s="918"/>
      <c r="L753" s="918"/>
      <c r="M753" s="923">
        <f t="shared" si="287"/>
        <v>0</v>
      </c>
      <c r="N753" s="641"/>
      <c r="O753" s="641"/>
      <c r="P753" s="641"/>
      <c r="Q753" s="641"/>
    </row>
    <row r="754" spans="1:17" ht="18">
      <c r="A754" s="1648" t="str">
        <f t="shared" si="273"/>
        <v>＝</v>
      </c>
      <c r="B754" s="1647">
        <f t="shared" si="274"/>
        <v>0</v>
      </c>
      <c r="C754" s="1647">
        <f t="shared" si="272"/>
        <v>0</v>
      </c>
      <c r="D754" s="2186">
        <v>7525</v>
      </c>
      <c r="E754" s="2187" t="str">
        <f t="shared" si="275"/>
        <v>经营活动产生的现金流量净额</v>
      </c>
      <c r="F754" s="884">
        <f>SUM(F737:F753)</f>
        <v>963447.92</v>
      </c>
      <c r="G754" s="885">
        <f t="shared" ref="G754:M754" si="290">SUM(G737:G753)</f>
        <v>0</v>
      </c>
      <c r="H754" s="885">
        <f t="shared" si="290"/>
        <v>0</v>
      </c>
      <c r="I754" s="913">
        <f t="shared" si="290"/>
        <v>963447.92</v>
      </c>
      <c r="J754" s="914">
        <f t="shared" si="290"/>
        <v>11322700.880000001</v>
      </c>
      <c r="K754" s="885">
        <f t="shared" si="290"/>
        <v>0</v>
      </c>
      <c r="L754" s="885">
        <f t="shared" si="290"/>
        <v>0</v>
      </c>
      <c r="M754" s="891">
        <f t="shared" si="290"/>
        <v>11322700.880000001</v>
      </c>
      <c r="N754" s="641"/>
      <c r="O754" s="641"/>
      <c r="P754" s="641"/>
      <c r="Q754" s="641"/>
    </row>
    <row r="755" spans="1:17" ht="24">
      <c r="A755" s="1648" t="str">
        <f t="shared" si="273"/>
        <v>：</v>
      </c>
      <c r="B755" s="1647">
        <f t="shared" si="274"/>
        <v>0</v>
      </c>
      <c r="C755" s="1647">
        <f t="shared" si="272"/>
        <v>0</v>
      </c>
      <c r="D755" s="1659">
        <v>7526</v>
      </c>
      <c r="E755" s="888" t="str">
        <f t="shared" si="275"/>
        <v>不涉及现金收支的重大投资和筹资活动</v>
      </c>
      <c r="F755" s="917"/>
      <c r="G755" s="918"/>
      <c r="H755" s="918"/>
      <c r="I755" s="921"/>
      <c r="J755" s="922"/>
      <c r="K755" s="918"/>
      <c r="L755" s="918"/>
      <c r="M755" s="923"/>
      <c r="N755" s="641"/>
      <c r="O755" s="641"/>
      <c r="P755" s="641"/>
      <c r="Q755" s="641"/>
    </row>
    <row r="756" spans="1:17" ht="18">
      <c r="A756" s="1648">
        <f t="shared" si="273"/>
        <v>0</v>
      </c>
      <c r="B756" s="1647">
        <f t="shared" si="274"/>
        <v>0</v>
      </c>
      <c r="C756" s="1647">
        <f t="shared" si="272"/>
        <v>0</v>
      </c>
      <c r="D756" s="1659">
        <v>7527</v>
      </c>
      <c r="E756" s="888" t="str">
        <f t="shared" si="275"/>
        <v>债务转为资本</v>
      </c>
      <c r="F756" s="917">
        <f>VLOOKUP($D756,Sheet_Precf7,4,0)</f>
        <v>0</v>
      </c>
      <c r="G756" s="918"/>
      <c r="H756" s="918"/>
      <c r="I756" s="921">
        <f>(B756*F756+G756-H756)*B756</f>
        <v>0</v>
      </c>
      <c r="J756" s="922">
        <f>VLOOKUP($D756,Sheet_Precf7,5,0)</f>
        <v>0</v>
      </c>
      <c r="K756" s="918"/>
      <c r="L756" s="918"/>
      <c r="M756" s="923">
        <f>($B756*J756+K756-L756)*$B756</f>
        <v>0</v>
      </c>
      <c r="N756" s="641"/>
      <c r="O756" s="641"/>
      <c r="P756" s="641"/>
      <c r="Q756" s="641"/>
    </row>
    <row r="757" spans="1:17" ht="18">
      <c r="A757" s="1648">
        <f t="shared" si="273"/>
        <v>0</v>
      </c>
      <c r="B757" s="1647">
        <f t="shared" si="274"/>
        <v>0</v>
      </c>
      <c r="C757" s="1647">
        <f t="shared" si="272"/>
        <v>0</v>
      </c>
      <c r="D757" s="1659">
        <v>7528</v>
      </c>
      <c r="E757" s="888" t="str">
        <f t="shared" si="275"/>
        <v>一年内到期的可转换公司债券</v>
      </c>
      <c r="F757" s="917">
        <f>VLOOKUP($D757,Sheet_Precf7,4,0)</f>
        <v>0</v>
      </c>
      <c r="G757" s="918"/>
      <c r="H757" s="918"/>
      <c r="I757" s="921">
        <f>(B757*F757+G757-H757)*B757</f>
        <v>0</v>
      </c>
      <c r="J757" s="922">
        <f>VLOOKUP($D757,Sheet_Precf7,5,0)</f>
        <v>0</v>
      </c>
      <c r="K757" s="918"/>
      <c r="L757" s="918"/>
      <c r="M757" s="923">
        <f>($B757*J757+K757-L757)*$B757</f>
        <v>0</v>
      </c>
      <c r="N757" s="641"/>
      <c r="O757" s="641"/>
      <c r="P757" s="641"/>
      <c r="Q757" s="641"/>
    </row>
    <row r="758" spans="1:17" ht="18">
      <c r="A758" s="1648">
        <f t="shared" si="273"/>
        <v>0</v>
      </c>
      <c r="B758" s="1647">
        <f t="shared" si="274"/>
        <v>0</v>
      </c>
      <c r="C758" s="1647">
        <f t="shared" si="272"/>
        <v>0</v>
      </c>
      <c r="D758" s="1659">
        <v>7529</v>
      </c>
      <c r="E758" s="888" t="str">
        <f t="shared" si="275"/>
        <v>融资租入固定资产</v>
      </c>
      <c r="F758" s="917">
        <f>VLOOKUP($D758,Sheet_Precf7,4,0)</f>
        <v>0</v>
      </c>
      <c r="G758" s="918"/>
      <c r="H758" s="918"/>
      <c r="I758" s="921">
        <f>(B758*F758+G758-H758)*B758</f>
        <v>0</v>
      </c>
      <c r="J758" s="922">
        <f>VLOOKUP($D758,Sheet_Precf7,5,0)</f>
        <v>0</v>
      </c>
      <c r="K758" s="918"/>
      <c r="L758" s="918"/>
      <c r="M758" s="923">
        <f>($B758*J758+K758-L758)*$B758</f>
        <v>0</v>
      </c>
      <c r="N758" s="641"/>
      <c r="O758" s="641"/>
      <c r="P758" s="641"/>
      <c r="Q758" s="641"/>
    </row>
    <row r="759" spans="1:17" ht="18">
      <c r="A759" s="1648" t="str">
        <f t="shared" si="273"/>
        <v>：</v>
      </c>
      <c r="B759" s="1647">
        <f t="shared" si="274"/>
        <v>0</v>
      </c>
      <c r="C759" s="1647">
        <f t="shared" si="272"/>
        <v>0</v>
      </c>
      <c r="D759" s="1659">
        <v>7533</v>
      </c>
      <c r="E759" s="888" t="str">
        <f t="shared" si="275"/>
        <v>现金及现金等价物净变动情况</v>
      </c>
      <c r="F759" s="917"/>
      <c r="G759" s="918"/>
      <c r="H759" s="918"/>
      <c r="I759" s="921"/>
      <c r="J759" s="922"/>
      <c r="K759" s="918"/>
      <c r="L759" s="918"/>
      <c r="M759" s="923"/>
      <c r="N759" s="641"/>
      <c r="O759" s="641"/>
      <c r="P759" s="641"/>
      <c r="Q759" s="641"/>
    </row>
    <row r="760" spans="1:17" ht="18">
      <c r="A760" s="1648">
        <f t="shared" si="273"/>
        <v>0</v>
      </c>
      <c r="B760" s="1647">
        <f t="shared" si="274"/>
        <v>1</v>
      </c>
      <c r="C760" s="1647">
        <f t="shared" si="272"/>
        <v>0</v>
      </c>
      <c r="D760" s="1659">
        <v>7535</v>
      </c>
      <c r="E760" s="888" t="str">
        <f t="shared" si="275"/>
        <v>现金的期末余额</v>
      </c>
      <c r="F760" s="917">
        <f>VLOOKUP($D760,Sheet_Precf7,4,0)</f>
        <v>479304.95</v>
      </c>
      <c r="G760" s="918"/>
      <c r="H760" s="918"/>
      <c r="I760" s="921">
        <f>(B760*F760+G760-H760)*B760</f>
        <v>479304.95</v>
      </c>
      <c r="J760" s="922">
        <f>VLOOKUP($D760,Sheet_Precf7,5,0)</f>
        <v>252723.84</v>
      </c>
      <c r="K760" s="918"/>
      <c r="L760" s="918"/>
      <c r="M760" s="923">
        <f>($B760*J760+K760-L760)*$B760</f>
        <v>252723.84</v>
      </c>
      <c r="N760" s="641"/>
      <c r="O760" s="641"/>
      <c r="P760" s="641"/>
      <c r="Q760" s="641"/>
    </row>
    <row r="761" spans="1:17" ht="18">
      <c r="A761" s="1648">
        <f t="shared" si="273"/>
        <v>0</v>
      </c>
      <c r="B761" s="1647">
        <f t="shared" si="274"/>
        <v>1</v>
      </c>
      <c r="C761" s="1647">
        <f t="shared" si="272"/>
        <v>0</v>
      </c>
      <c r="D761" s="1659">
        <v>7536</v>
      </c>
      <c r="E761" s="888" t="str">
        <f t="shared" si="275"/>
        <v>减：现金的年初余额</v>
      </c>
      <c r="F761" s="917">
        <f>VLOOKUP($D761,Sheet_Precf7,4,0)</f>
        <v>252723.84</v>
      </c>
      <c r="G761" s="918"/>
      <c r="H761" s="918"/>
      <c r="I761" s="921">
        <f>(B761*F761+G761-H761)*B761</f>
        <v>252723.84</v>
      </c>
      <c r="J761" s="922">
        <f>VLOOKUP($D761,Sheet_Precf7,5,0)</f>
        <v>3232013.12</v>
      </c>
      <c r="K761" s="918"/>
      <c r="L761" s="918"/>
      <c r="M761" s="923">
        <f>($B761*J761+K761-L761)*$B761</f>
        <v>3232013.12</v>
      </c>
      <c r="N761" s="641"/>
      <c r="O761" s="641"/>
      <c r="P761" s="641"/>
      <c r="Q761" s="641"/>
    </row>
    <row r="762" spans="1:17" ht="18">
      <c r="A762" s="1648">
        <f t="shared" si="273"/>
        <v>0</v>
      </c>
      <c r="B762" s="1647">
        <f t="shared" si="274"/>
        <v>1</v>
      </c>
      <c r="C762" s="1647">
        <f t="shared" si="272"/>
        <v>0</v>
      </c>
      <c r="D762" s="1659">
        <v>7537</v>
      </c>
      <c r="E762" s="888" t="str">
        <f t="shared" si="275"/>
        <v>加：现金等价物的期末余额</v>
      </c>
      <c r="F762" s="917">
        <f>VLOOKUP($D762,Sheet_Precf7,4,0)</f>
        <v>0</v>
      </c>
      <c r="G762" s="918"/>
      <c r="H762" s="918"/>
      <c r="I762" s="921">
        <f>(B762*F762+G762-H762)*B762</f>
        <v>0</v>
      </c>
      <c r="J762" s="922">
        <f>VLOOKUP($D762,Sheet_Precf7,5,0)</f>
        <v>0</v>
      </c>
      <c r="K762" s="918"/>
      <c r="L762" s="918"/>
      <c r="M762" s="923">
        <f>($B762*J762+K762-L762)*$B762</f>
        <v>0</v>
      </c>
      <c r="N762" s="641"/>
      <c r="O762" s="641"/>
      <c r="P762" s="641"/>
      <c r="Q762" s="641"/>
    </row>
    <row r="763" spans="1:17" ht="18">
      <c r="A763" s="1648">
        <f t="shared" si="273"/>
        <v>0</v>
      </c>
      <c r="B763" s="1647">
        <f t="shared" si="274"/>
        <v>1</v>
      </c>
      <c r="C763" s="1647">
        <f t="shared" si="272"/>
        <v>0</v>
      </c>
      <c r="D763" s="1659">
        <v>7538</v>
      </c>
      <c r="E763" s="888" t="str">
        <f t="shared" si="275"/>
        <v>减：现金等价物的年初余额</v>
      </c>
      <c r="F763" s="917">
        <f>VLOOKUP($D763,Sheet_Precf7,4,0)</f>
        <v>0</v>
      </c>
      <c r="G763" s="918"/>
      <c r="H763" s="918"/>
      <c r="I763" s="921">
        <f>(B763*F763+G763-H763)*B763</f>
        <v>0</v>
      </c>
      <c r="J763" s="922">
        <f>VLOOKUP($D763,Sheet_Precf7,5,0)</f>
        <v>0</v>
      </c>
      <c r="K763" s="918"/>
      <c r="L763" s="918"/>
      <c r="M763" s="923">
        <f>($B763*J763+K763-L763)*$B763</f>
        <v>0</v>
      </c>
      <c r="N763" s="641"/>
      <c r="O763" s="641"/>
      <c r="P763" s="641"/>
      <c r="Q763" s="641"/>
    </row>
    <row r="764" spans="1:17" ht="18">
      <c r="A764" s="1648" t="str">
        <f t="shared" si="273"/>
        <v>＝</v>
      </c>
      <c r="B764" s="1647">
        <f t="shared" si="274"/>
        <v>1</v>
      </c>
      <c r="C764" s="1647">
        <f t="shared" si="272"/>
        <v>0</v>
      </c>
      <c r="D764" s="2186">
        <v>7539</v>
      </c>
      <c r="E764" s="2187" t="str">
        <f t="shared" si="275"/>
        <v>现金及现金等价物净增加额</v>
      </c>
      <c r="F764" s="884">
        <f>SUM(F760,-F761,F762,-F763)</f>
        <v>226581.11</v>
      </c>
      <c r="G764" s="885">
        <f>SUM(G760:G763)</f>
        <v>0</v>
      </c>
      <c r="H764" s="885">
        <f>SUM(H760:H763)</f>
        <v>0</v>
      </c>
      <c r="I764" s="913">
        <f>SUM(I760,-I761,I762,-I763)</f>
        <v>226581.11</v>
      </c>
      <c r="J764" s="914">
        <f>SUM(J760,-J761,J762,-J763)</f>
        <v>-2979289.28</v>
      </c>
      <c r="K764" s="885">
        <f>SUM(K760:K763)</f>
        <v>0</v>
      </c>
      <c r="L764" s="885">
        <f>SUM(L760:L763)</f>
        <v>0</v>
      </c>
      <c r="M764" s="891">
        <f>SUM(M760,-M761,M762,-M763)</f>
        <v>-2979289.28</v>
      </c>
      <c r="N764" s="641"/>
      <c r="O764" s="641"/>
      <c r="P764" s="641"/>
      <c r="Q764" s="641"/>
    </row>
    <row r="765" spans="1:17" ht="24">
      <c r="A765" s="1648" t="str">
        <f t="shared" ref="A765:A781" si="291">VLOOKUP($D765,Sheet_Items,4,0)</f>
        <v>※</v>
      </c>
      <c r="B765" s="1647">
        <f t="shared" ref="B765:B781" si="292">VLOOKUP($D765,Sheet_Items,3,0)</f>
        <v>1</v>
      </c>
      <c r="C765" s="1647" t="str">
        <f t="shared" ref="C765:C781" si="293">VLOOKUP($D765,Sheet_Items,9,0)</f>
        <v>J</v>
      </c>
      <c r="D765" s="1659">
        <v>6829.5110000000004</v>
      </c>
      <c r="E765" s="927" t="str">
        <f t="shared" ref="E765:E781" si="294">VLOOKUP($D765,Sheet_Items,2,0)</f>
        <v>少数股东其他综合收益_重新计量设定受益计划变动额</v>
      </c>
      <c r="F765" s="928"/>
      <c r="G765" s="929">
        <f>SUMIF(AJE!$B:$B,$C765&amp;$D765&amp;"*",AJE!$O:$O)</f>
        <v>0</v>
      </c>
      <c r="H765" s="929">
        <f>SUMIF(AJE!$B:$B,$C765&amp;$D765&amp;"*",AJE!$P:$P)</f>
        <v>0</v>
      </c>
      <c r="I765" s="931">
        <f t="shared" ref="I765:I781" si="295">(B765*F765+G765-H765)*B765</f>
        <v>0</v>
      </c>
      <c r="J765" s="928"/>
      <c r="K765" s="929">
        <f>SUMIF('AJE1'!$B:$B,$C765&amp;$D765&amp;"*",'AJE1'!$O:$O)</f>
        <v>0</v>
      </c>
      <c r="L765" s="929">
        <f>SUMIF('AJE1'!$B:$B,$C765&amp;$D765&amp;"*",'AJE1'!$P:$P)</f>
        <v>0</v>
      </c>
      <c r="M765" s="931">
        <f t="shared" ref="M765:M781" si="296">($B765*J765+K765-L765)*$B765</f>
        <v>0</v>
      </c>
      <c r="N765" s="641"/>
      <c r="O765" s="641"/>
      <c r="P765" s="641"/>
      <c r="Q765" s="641"/>
    </row>
    <row r="766" spans="1:17" ht="24">
      <c r="A766" s="1648" t="str">
        <f t="shared" si="291"/>
        <v>※</v>
      </c>
      <c r="B766" s="1647">
        <f t="shared" si="292"/>
        <v>1</v>
      </c>
      <c r="C766" s="1647" t="str">
        <f t="shared" si="293"/>
        <v>J</v>
      </c>
      <c r="D766" s="1659">
        <v>6829.5119999999997</v>
      </c>
      <c r="E766" s="927" t="str">
        <f t="shared" si="294"/>
        <v>少数股东其他综合收益_权益法下不能转损益的其他综合收益</v>
      </c>
      <c r="F766" s="928"/>
      <c r="G766" s="929">
        <f>SUMIF(AJE!$B:$B,$C766&amp;$D766&amp;"*",AJE!$O:$O)</f>
        <v>0</v>
      </c>
      <c r="H766" s="929">
        <f>SUMIF(AJE!$B:$B,$C766&amp;$D766&amp;"*",AJE!$P:$P)</f>
        <v>0</v>
      </c>
      <c r="I766" s="931">
        <f t="shared" si="295"/>
        <v>0</v>
      </c>
      <c r="J766" s="928"/>
      <c r="K766" s="929">
        <f>SUMIF('AJE1'!$B:$B,$C766&amp;$D766&amp;"*",'AJE1'!$O:$O)</f>
        <v>0</v>
      </c>
      <c r="L766" s="929">
        <f>SUMIF('AJE1'!$B:$B,$C766&amp;$D766&amp;"*",'AJE1'!$P:$P)</f>
        <v>0</v>
      </c>
      <c r="M766" s="931">
        <f t="shared" si="296"/>
        <v>0</v>
      </c>
      <c r="N766" s="641"/>
      <c r="O766" s="641"/>
      <c r="P766" s="641"/>
      <c r="Q766" s="641"/>
    </row>
    <row r="767" spans="1:17" ht="24">
      <c r="A767" s="1648" t="str">
        <f>VLOOKUP($D767,Sheet_Items,4,0)</f>
        <v>※</v>
      </c>
      <c r="B767" s="1647">
        <f>VLOOKUP($D767,Sheet_Items,3,0)</f>
        <v>1</v>
      </c>
      <c r="C767" s="1647" t="str">
        <f>VLOOKUP($D767,Sheet_Items,9,0)</f>
        <v>J</v>
      </c>
      <c r="D767" s="1659">
        <v>6829.5190000000002</v>
      </c>
      <c r="E767" s="930" t="str">
        <f>VLOOKUP($D767,Sheet_Items,2,0)</f>
        <v>少数股东其他综合收益_其他以后不能重分类进损益的其他综合收益</v>
      </c>
      <c r="F767" s="928"/>
      <c r="G767" s="929">
        <f>SUMIF(AJE!$B:$B,$C767&amp;$D767&amp;"*",AJE!$O:$O)</f>
        <v>0</v>
      </c>
      <c r="H767" s="929">
        <f>SUMIF(AJE!$B:$B,$C767&amp;$D767&amp;"*",AJE!$P:$P)</f>
        <v>0</v>
      </c>
      <c r="I767" s="931">
        <f t="shared" ref="I767:I768" si="297">(B767*F767+G767-H767)*B767</f>
        <v>0</v>
      </c>
      <c r="J767" s="928"/>
      <c r="K767" s="929">
        <f>SUMIF('AJE1'!$B:$B,$C767&amp;$D767&amp;"*",'AJE1'!$O:$O)</f>
        <v>0</v>
      </c>
      <c r="L767" s="929">
        <f>SUMIF('AJE1'!$B:$B,$C767&amp;$D767&amp;"*",'AJE1'!$P:$P)</f>
        <v>0</v>
      </c>
      <c r="M767" s="931">
        <f t="shared" ref="M767:M768" si="298">($B767*J767+K767-L767)*$B767</f>
        <v>0</v>
      </c>
      <c r="N767" s="641"/>
      <c r="O767" s="641"/>
      <c r="P767" s="641"/>
      <c r="Q767" s="641"/>
    </row>
    <row r="768" spans="1:17" ht="24">
      <c r="A768" s="1648" t="str">
        <f>VLOOKUP($D768,Sheet_Items,4,0)</f>
        <v>※</v>
      </c>
      <c r="B768" s="1647">
        <f>VLOOKUP($D768,Sheet_Items,3,0)</f>
        <v>1</v>
      </c>
      <c r="C768" s="1647" t="str">
        <f>VLOOKUP($D768,Sheet_Items,9,0)</f>
        <v>J</v>
      </c>
      <c r="D768" s="1659">
        <v>6829.5309999999999</v>
      </c>
      <c r="E768" s="930" t="str">
        <f>VLOOKUP($D768,Sheet_Items,2,0)</f>
        <v>少数股东其他综合收益_权益法下可转损益的其他综合收益</v>
      </c>
      <c r="F768" s="928"/>
      <c r="G768" s="929">
        <f>SUMIF(AJE!$B:$B,$C768&amp;$D768&amp;"*",AJE!$O:$O)</f>
        <v>0</v>
      </c>
      <c r="H768" s="929">
        <f>SUMIF(AJE!$B:$B,$C768&amp;$D768&amp;"*",AJE!$P:$P)</f>
        <v>0</v>
      </c>
      <c r="I768" s="931">
        <f t="shared" si="297"/>
        <v>0</v>
      </c>
      <c r="J768" s="928"/>
      <c r="K768" s="929">
        <f>SUMIF('AJE1'!$B:$B,$C768&amp;$D768&amp;"*",'AJE1'!$O:$O)</f>
        <v>0</v>
      </c>
      <c r="L768" s="929">
        <f>SUMIF('AJE1'!$B:$B,$C768&amp;$D768&amp;"*",'AJE1'!$P:$P)</f>
        <v>0</v>
      </c>
      <c r="M768" s="931">
        <f t="shared" si="298"/>
        <v>0</v>
      </c>
      <c r="N768" s="641"/>
      <c r="O768" s="641"/>
      <c r="P768" s="641"/>
      <c r="Q768" s="641"/>
    </row>
    <row r="769" spans="1:17" ht="24">
      <c r="A769" s="1648" t="str">
        <f t="shared" si="291"/>
        <v>※JRH</v>
      </c>
      <c r="B769" s="1647">
        <f t="shared" si="292"/>
        <v>1</v>
      </c>
      <c r="C769" s="1647" t="str">
        <f t="shared" si="293"/>
        <v>J</v>
      </c>
      <c r="D769" s="1659">
        <v>6829.5320000000002</v>
      </c>
      <c r="E769" s="927" t="str">
        <f t="shared" si="294"/>
        <v>少数股东其他综合收益_可供出售金融资产公允价值变动损益</v>
      </c>
      <c r="F769" s="928"/>
      <c r="G769" s="929">
        <f>SUMIF(AJE!$B:$B,$C769&amp;$D769&amp;"*",AJE!$O:$O)</f>
        <v>0</v>
      </c>
      <c r="H769" s="929">
        <f>SUMIF(AJE!$B:$B,$C769&amp;$D769&amp;"*",AJE!$P:$P)</f>
        <v>0</v>
      </c>
      <c r="I769" s="931">
        <f t="shared" si="295"/>
        <v>0</v>
      </c>
      <c r="J769" s="928"/>
      <c r="K769" s="929">
        <f>SUMIF('AJE1'!$B:$B,$C769&amp;$D769&amp;"*",'AJE1'!$O:$O)</f>
        <v>0</v>
      </c>
      <c r="L769" s="929">
        <f>SUMIF('AJE1'!$B:$B,$C769&amp;$D769&amp;"*",'AJE1'!$P:$P)</f>
        <v>0</v>
      </c>
      <c r="M769" s="931">
        <f t="shared" si="296"/>
        <v>0</v>
      </c>
      <c r="N769" s="641"/>
      <c r="O769" s="641"/>
      <c r="P769" s="641"/>
      <c r="Q769" s="641"/>
    </row>
    <row r="770" spans="1:17" ht="24">
      <c r="A770" s="1648" t="str">
        <f t="shared" si="291"/>
        <v>※JRH</v>
      </c>
      <c r="B770" s="1647">
        <f t="shared" si="292"/>
        <v>1</v>
      </c>
      <c r="C770" s="1647" t="str">
        <f t="shared" si="293"/>
        <v>J</v>
      </c>
      <c r="D770" s="1659">
        <v>6829.5330000000004</v>
      </c>
      <c r="E770" s="927" t="str">
        <f t="shared" si="294"/>
        <v>少数股东其他综合收益_持有至到期投资重分类为可供出售金融资产损益</v>
      </c>
      <c r="F770" s="928"/>
      <c r="G770" s="929">
        <f>SUMIF(AJE!$B:$B,$C770&amp;$D770&amp;"*",AJE!$O:$O)</f>
        <v>0</v>
      </c>
      <c r="H770" s="929">
        <f>SUMIF(AJE!$B:$B,$C770&amp;$D770&amp;"*",AJE!$P:$P)</f>
        <v>0</v>
      </c>
      <c r="I770" s="931">
        <f t="shared" si="295"/>
        <v>0</v>
      </c>
      <c r="J770" s="928"/>
      <c r="K770" s="929">
        <f>SUMIF('AJE1'!$B:$B,$C770&amp;$D770&amp;"*",'AJE1'!$O:$O)</f>
        <v>0</v>
      </c>
      <c r="L770" s="929">
        <f>SUMIF('AJE1'!$B:$B,$C770&amp;$D770&amp;"*",'AJE1'!$P:$P)</f>
        <v>0</v>
      </c>
      <c r="M770" s="931">
        <f t="shared" si="296"/>
        <v>0</v>
      </c>
      <c r="N770" s="641"/>
      <c r="O770" s="641"/>
      <c r="P770" s="641"/>
      <c r="Q770" s="641"/>
    </row>
    <row r="771" spans="1:17" ht="24">
      <c r="A771" s="1648" t="str">
        <f t="shared" si="291"/>
        <v>※JRH</v>
      </c>
      <c r="B771" s="1647">
        <f t="shared" si="292"/>
        <v>1</v>
      </c>
      <c r="C771" s="1647" t="str">
        <f t="shared" si="293"/>
        <v>J</v>
      </c>
      <c r="D771" s="1659">
        <v>6829.5339999999997</v>
      </c>
      <c r="E771" s="927" t="str">
        <f t="shared" si="294"/>
        <v>少数股东其他综合收益_现金流量套期损益的有效部分</v>
      </c>
      <c r="F771" s="928"/>
      <c r="G771" s="929">
        <f>SUMIF(AJE!$B:$B,$C771&amp;$D771&amp;"*",AJE!$O:$O)</f>
        <v>0</v>
      </c>
      <c r="H771" s="929">
        <f>SUMIF(AJE!$B:$B,$C771&amp;$D771&amp;"*",AJE!$P:$P)</f>
        <v>0</v>
      </c>
      <c r="I771" s="931">
        <f t="shared" si="295"/>
        <v>0</v>
      </c>
      <c r="J771" s="928"/>
      <c r="K771" s="929">
        <f>SUMIF('AJE1'!$B:$B,$C771&amp;$D771&amp;"*",'AJE1'!$O:$O)</f>
        <v>0</v>
      </c>
      <c r="L771" s="929">
        <f>SUMIF('AJE1'!$B:$B,$C771&amp;$D771&amp;"*",'AJE1'!$P:$P)</f>
        <v>0</v>
      </c>
      <c r="M771" s="931">
        <f t="shared" si="296"/>
        <v>0</v>
      </c>
      <c r="N771" s="641"/>
      <c r="O771" s="641"/>
      <c r="P771" s="641"/>
      <c r="Q771" s="641"/>
    </row>
    <row r="772" spans="1:17" ht="24">
      <c r="A772" s="1648" t="str">
        <f t="shared" si="291"/>
        <v>※</v>
      </c>
      <c r="B772" s="1647">
        <f t="shared" si="292"/>
        <v>1</v>
      </c>
      <c r="C772" s="1647" t="str">
        <f t="shared" si="293"/>
        <v>J</v>
      </c>
      <c r="D772" s="1659">
        <v>6829.5349999999999</v>
      </c>
      <c r="E772" s="927" t="str">
        <f t="shared" si="294"/>
        <v>少数股东其他综合收益_外币财务报表折算差额</v>
      </c>
      <c r="F772" s="928"/>
      <c r="G772" s="929">
        <f>SUMIF(AJE!$B:$B,$C772&amp;$D772&amp;"*",AJE!$O:$O)</f>
        <v>0</v>
      </c>
      <c r="H772" s="929">
        <f>SUMIF(AJE!$B:$B,$C772&amp;$D772&amp;"*",AJE!$P:$P)</f>
        <v>0</v>
      </c>
      <c r="I772" s="931">
        <f t="shared" si="295"/>
        <v>0</v>
      </c>
      <c r="J772" s="928"/>
      <c r="K772" s="929">
        <f>SUMIF('AJE1'!$B:$B,$C772&amp;$D772&amp;"*",'AJE1'!$O:$O)</f>
        <v>0</v>
      </c>
      <c r="L772" s="929">
        <f>SUMIF('AJE1'!$B:$B,$C772&amp;$D772&amp;"*",'AJE1'!$P:$P)</f>
        <v>0</v>
      </c>
      <c r="M772" s="931">
        <f t="shared" si="296"/>
        <v>0</v>
      </c>
      <c r="N772" s="641"/>
      <c r="O772" s="641"/>
      <c r="P772" s="641"/>
      <c r="Q772" s="641"/>
    </row>
    <row r="773" spans="1:17" ht="48">
      <c r="A773" s="1648" t="str">
        <f t="shared" si="291"/>
        <v>※</v>
      </c>
      <c r="B773" s="1647">
        <f t="shared" si="292"/>
        <v>1</v>
      </c>
      <c r="C773" s="1647" t="str">
        <f t="shared" si="293"/>
        <v>J</v>
      </c>
      <c r="D773" s="1659">
        <v>6829.5360000000001</v>
      </c>
      <c r="E773" s="927" t="str">
        <f t="shared" si="294"/>
        <v>少数股东其他综合收益_自用房地产或作为存货的房地产转换为以公允价值计量的投资性房地产在转换日公允价值大于账面价值部分</v>
      </c>
      <c r="F773" s="928"/>
      <c r="G773" s="929">
        <f>SUMIF(AJE!$B:$B,$C773&amp;$D773&amp;"*",AJE!$O:$O)</f>
        <v>0</v>
      </c>
      <c r="H773" s="929">
        <f>SUMIF(AJE!$B:$B,$C773&amp;$D773&amp;"*",AJE!$P:$P)</f>
        <v>0</v>
      </c>
      <c r="I773" s="931">
        <f t="shared" si="295"/>
        <v>0</v>
      </c>
      <c r="J773" s="928"/>
      <c r="K773" s="929">
        <f>SUMIF('AJE1'!$B:$B,$C773&amp;$D773&amp;"*",'AJE1'!$O:$O)</f>
        <v>0</v>
      </c>
      <c r="L773" s="929">
        <f>SUMIF('AJE1'!$B:$B,$C773&amp;$D773&amp;"*",'AJE1'!$P:$P)</f>
        <v>0</v>
      </c>
      <c r="M773" s="931">
        <f t="shared" si="296"/>
        <v>0</v>
      </c>
      <c r="N773" s="641"/>
      <c r="O773" s="641"/>
      <c r="P773" s="641"/>
      <c r="Q773" s="641"/>
    </row>
    <row r="774" spans="1:17" ht="48">
      <c r="A774" s="1648" t="str">
        <f>VLOOKUP($D774,Sheet_Items,4,0)</f>
        <v>※</v>
      </c>
      <c r="B774" s="1647">
        <f>VLOOKUP($D774,Sheet_Items,3,0)</f>
        <v>1</v>
      </c>
      <c r="C774" s="1647" t="str">
        <f>VLOOKUP($D774,Sheet_Items,9,0)</f>
        <v>J</v>
      </c>
      <c r="D774" s="1659">
        <v>6829.5370000000003</v>
      </c>
      <c r="E774" s="930" t="str">
        <f>VLOOKUP($D774,Sheet_Items,2,0)</f>
        <v>少数股东其他综合收益_多次交易分步处置子公司股权构成一揽子交易的丧失控制权之前各次交易处置价款与对应净资产账面价值份额的差额</v>
      </c>
      <c r="F774" s="928"/>
      <c r="G774" s="929">
        <f>SUMIF(AJE!$B:$B,$C774&amp;$D774&amp;"*",AJE!$O:$O)</f>
        <v>0</v>
      </c>
      <c r="H774" s="929">
        <f>SUMIF(AJE!$B:$B,$C774&amp;$D774&amp;"*",AJE!$P:$P)</f>
        <v>0</v>
      </c>
      <c r="I774" s="931">
        <f t="shared" ref="I774:I777" si="299">(B774*F774+G774-H774)*B774</f>
        <v>0</v>
      </c>
      <c r="J774" s="928"/>
      <c r="K774" s="929">
        <f>SUMIF('AJE1'!$B:$B,$C774&amp;$D774&amp;"*",'AJE1'!$O:$O)</f>
        <v>0</v>
      </c>
      <c r="L774" s="929">
        <f>SUMIF('AJE1'!$B:$B,$C774&amp;$D774&amp;"*",'AJE1'!$P:$P)</f>
        <v>0</v>
      </c>
      <c r="M774" s="931">
        <f t="shared" ref="M774:M777" si="300">($B774*J774+K774-L774)*$B774</f>
        <v>0</v>
      </c>
      <c r="N774" s="641"/>
      <c r="O774" s="641"/>
      <c r="P774" s="641"/>
      <c r="Q774" s="641"/>
    </row>
    <row r="775" spans="1:17" ht="24">
      <c r="A775" s="1648" t="str">
        <f>VLOOKUP($D775,Sheet_Items,4,0)</f>
        <v>※</v>
      </c>
      <c r="B775" s="1647">
        <f>VLOOKUP($D775,Sheet_Items,3,0)</f>
        <v>1</v>
      </c>
      <c r="C775" s="1647" t="str">
        <f>VLOOKUP($D775,Sheet_Items,9,0)</f>
        <v>J</v>
      </c>
      <c r="D775" s="1659">
        <v>6829.5389999999998</v>
      </c>
      <c r="E775" s="930" t="str">
        <f>VLOOKUP($D775,Sheet_Items,2,0)</f>
        <v>少数股东其他综合收益_其他以后将重分类进损益的其他综合收益</v>
      </c>
      <c r="F775" s="928"/>
      <c r="G775" s="929">
        <f>SUMIF(AJE!$B:$B,$C775&amp;$D775&amp;"*",AJE!$O:$O)</f>
        <v>0</v>
      </c>
      <c r="H775" s="929">
        <f>SUMIF(AJE!$B:$B,$C775&amp;$D775&amp;"*",AJE!$P:$P)</f>
        <v>0</v>
      </c>
      <c r="I775" s="931">
        <f t="shared" si="299"/>
        <v>0</v>
      </c>
      <c r="J775" s="928"/>
      <c r="K775" s="929">
        <f>SUMIF('AJE1'!$B:$B,$C775&amp;$D775&amp;"*",'AJE1'!$O:$O)</f>
        <v>0</v>
      </c>
      <c r="L775" s="929">
        <f>SUMIF('AJE1'!$B:$B,$C775&amp;$D775&amp;"*",'AJE1'!$P:$P)</f>
        <v>0</v>
      </c>
      <c r="M775" s="931">
        <f t="shared" si="300"/>
        <v>0</v>
      </c>
      <c r="N775" s="641"/>
      <c r="O775" s="641"/>
      <c r="P775" s="641"/>
      <c r="Q775" s="641"/>
    </row>
    <row r="776" spans="1:17" ht="24">
      <c r="A776" s="1648" t="str">
        <f>VLOOKUP($D776,Sheet_Items,4,0)</f>
        <v>※_JR</v>
      </c>
      <c r="B776" s="1647">
        <f>VLOOKUP($D776,Sheet_Items,3,0)</f>
        <v>1</v>
      </c>
      <c r="C776" s="1647" t="str">
        <f>VLOOKUP($D776,Sheet_Items,9,0)</f>
        <v>J</v>
      </c>
      <c r="D776" s="1659" t="s">
        <v>981</v>
      </c>
      <c r="E776" s="930" t="str">
        <f>VLOOKUP($D776,Sheet_Items,2,0)</f>
        <v>少数股东其他综合收益_其他债权投资信用减值准备</v>
      </c>
      <c r="F776" s="928"/>
      <c r="G776" s="929">
        <f>SUMIF(AJE!$B:$B,$C776&amp;$D776&amp;"*",AJE!$O:$O)</f>
        <v>0</v>
      </c>
      <c r="H776" s="929">
        <f>SUMIF(AJE!$B:$B,$C776&amp;$D776&amp;"*",AJE!$P:$P)</f>
        <v>0</v>
      </c>
      <c r="I776" s="931">
        <f t="shared" si="299"/>
        <v>0</v>
      </c>
      <c r="J776" s="928"/>
      <c r="K776" s="929">
        <f>SUMIF('AJE1'!$B:$B,$C776&amp;$D776&amp;"*",'AJE1'!$O:$O)</f>
        <v>0</v>
      </c>
      <c r="L776" s="929">
        <f>SUMIF('AJE1'!$B:$B,$C776&amp;$D776&amp;"*",'AJE1'!$P:$P)</f>
        <v>0</v>
      </c>
      <c r="M776" s="931">
        <f t="shared" si="300"/>
        <v>0</v>
      </c>
      <c r="N776" s="641"/>
      <c r="O776" s="641"/>
      <c r="P776" s="641"/>
      <c r="Q776" s="641"/>
    </row>
    <row r="777" spans="1:17" ht="24">
      <c r="A777" s="1648" t="str">
        <f>VLOOKUP($D777,Sheet_Items,4,0)</f>
        <v>※_JR</v>
      </c>
      <c r="B777" s="1647">
        <f>VLOOKUP($D777,Sheet_Items,3,0)</f>
        <v>1</v>
      </c>
      <c r="C777" s="1647" t="str">
        <f>VLOOKUP($D777,Sheet_Items,9,0)</f>
        <v>J</v>
      </c>
      <c r="D777" s="1659" t="s">
        <v>987</v>
      </c>
      <c r="E777" s="930" t="str">
        <f>VLOOKUP($D777,Sheet_Items,2,0)</f>
        <v>少数股东其他综合收益_现金流量套期储备</v>
      </c>
      <c r="F777" s="928"/>
      <c r="G777" s="929">
        <f>SUMIF(AJE!$B:$B,$C777&amp;$D777&amp;"*",AJE!$O:$O)</f>
        <v>0</v>
      </c>
      <c r="H777" s="929">
        <f>SUMIF(AJE!$B:$B,$C777&amp;$D777&amp;"*",AJE!$P:$P)</f>
        <v>0</v>
      </c>
      <c r="I777" s="931">
        <f t="shared" si="299"/>
        <v>0</v>
      </c>
      <c r="J777" s="928"/>
      <c r="K777" s="929">
        <f>SUMIF('AJE1'!$B:$B,$C777&amp;$D777&amp;"*",'AJE1'!$O:$O)</f>
        <v>0</v>
      </c>
      <c r="L777" s="929">
        <f>SUMIF('AJE1'!$B:$B,$C777&amp;$D777&amp;"*",'AJE1'!$P:$P)</f>
        <v>0</v>
      </c>
      <c r="M777" s="931">
        <f t="shared" si="300"/>
        <v>0</v>
      </c>
      <c r="N777" s="641"/>
      <c r="O777" s="641"/>
      <c r="P777" s="641"/>
      <c r="Q777" s="641"/>
    </row>
    <row r="778" spans="1:17" ht="24">
      <c r="A778" s="1648" t="str">
        <f t="shared" si="291"/>
        <v>※</v>
      </c>
      <c r="B778" s="1647">
        <f t="shared" si="292"/>
        <v>1</v>
      </c>
      <c r="C778" s="1647" t="str">
        <f t="shared" si="293"/>
        <v>J</v>
      </c>
      <c r="D778" s="1659">
        <v>6829.5349999999999</v>
      </c>
      <c r="E778" s="927" t="str">
        <f t="shared" si="294"/>
        <v>少数股东其他综合收益_外币财务报表折算差额</v>
      </c>
      <c r="F778" s="928"/>
      <c r="G778" s="929">
        <f>SUMIF(AJE!$B:$B,$C778&amp;$D778&amp;"*",AJE!$O:$O)</f>
        <v>0</v>
      </c>
      <c r="H778" s="929">
        <f>SUMIF(AJE!$B:$B,$C778&amp;$D778&amp;"*",AJE!$P:$P)</f>
        <v>0</v>
      </c>
      <c r="I778" s="931">
        <f t="shared" si="295"/>
        <v>0</v>
      </c>
      <c r="J778" s="928"/>
      <c r="K778" s="929">
        <f>SUMIF('AJE1'!$B:$B,$C778&amp;$D778&amp;"*",'AJE1'!$O:$O)</f>
        <v>0</v>
      </c>
      <c r="L778" s="929">
        <f>SUMIF('AJE1'!$B:$B,$C778&amp;$D778&amp;"*",'AJE1'!$P:$P)</f>
        <v>0</v>
      </c>
      <c r="M778" s="931">
        <f t="shared" si="296"/>
        <v>0</v>
      </c>
      <c r="N778" s="641"/>
      <c r="O778" s="641"/>
      <c r="P778" s="641"/>
      <c r="Q778" s="641"/>
    </row>
    <row r="779" spans="1:17" ht="48">
      <c r="A779" s="1648" t="str">
        <f t="shared" si="291"/>
        <v>※</v>
      </c>
      <c r="B779" s="1647">
        <f t="shared" si="292"/>
        <v>1</v>
      </c>
      <c r="C779" s="1647" t="str">
        <f t="shared" si="293"/>
        <v>J</v>
      </c>
      <c r="D779" s="1659">
        <v>6829.5360000000001</v>
      </c>
      <c r="E779" s="927" t="str">
        <f t="shared" si="294"/>
        <v>少数股东其他综合收益_自用房地产或作为存货的房地产转换为以公允价值计量的投资性房地产在转换日公允价值大于账面价值部分</v>
      </c>
      <c r="F779" s="928"/>
      <c r="G779" s="929">
        <f>SUMIF(AJE!$B:$B,$C779&amp;$D779&amp;"*",AJE!$O:$O)</f>
        <v>0</v>
      </c>
      <c r="H779" s="929">
        <f>SUMIF(AJE!$B:$B,$C779&amp;$D779&amp;"*",AJE!$P:$P)</f>
        <v>0</v>
      </c>
      <c r="I779" s="931">
        <f t="shared" si="295"/>
        <v>0</v>
      </c>
      <c r="J779" s="928"/>
      <c r="K779" s="929">
        <f>SUMIF('AJE1'!$B:$B,$C779&amp;$D779&amp;"*",'AJE1'!$O:$O)</f>
        <v>0</v>
      </c>
      <c r="L779" s="929">
        <f>SUMIF('AJE1'!$B:$B,$C779&amp;$D779&amp;"*",'AJE1'!$P:$P)</f>
        <v>0</v>
      </c>
      <c r="M779" s="931">
        <f t="shared" si="296"/>
        <v>0</v>
      </c>
      <c r="N779" s="641"/>
      <c r="O779" s="641"/>
      <c r="P779" s="641"/>
      <c r="Q779" s="641"/>
    </row>
    <row r="780" spans="1:17" ht="48">
      <c r="A780" s="1648" t="str">
        <f t="shared" si="291"/>
        <v>※</v>
      </c>
      <c r="B780" s="1647">
        <f t="shared" si="292"/>
        <v>1</v>
      </c>
      <c r="C780" s="1647" t="str">
        <f t="shared" si="293"/>
        <v>J</v>
      </c>
      <c r="D780" s="1659">
        <v>6829.5370000000003</v>
      </c>
      <c r="E780" s="927" t="str">
        <f t="shared" si="294"/>
        <v>少数股东其他综合收益_多次交易分步处置子公司股权构成一揽子交易的丧失控制权之前各次交易处置价款与对应净资产账面价值份额的差额</v>
      </c>
      <c r="F780" s="928"/>
      <c r="G780" s="929">
        <f>SUMIF(AJE!$B:$B,$C780&amp;$D780&amp;"*",AJE!$O:$O)</f>
        <v>0</v>
      </c>
      <c r="H780" s="929">
        <f>SUMIF(AJE!$B:$B,$C780&amp;$D780&amp;"*",AJE!$P:$P)</f>
        <v>0</v>
      </c>
      <c r="I780" s="931">
        <f t="shared" si="295"/>
        <v>0</v>
      </c>
      <c r="J780" s="928"/>
      <c r="K780" s="929">
        <f>SUMIF('AJE1'!$B:$B,$C780&amp;$D780&amp;"*",'AJE1'!$O:$O)</f>
        <v>0</v>
      </c>
      <c r="L780" s="929">
        <f>SUMIF('AJE1'!$B:$B,$C780&amp;$D780&amp;"*",'AJE1'!$P:$P)</f>
        <v>0</v>
      </c>
      <c r="M780" s="931">
        <f t="shared" si="296"/>
        <v>0</v>
      </c>
      <c r="N780" s="641"/>
      <c r="O780" s="641"/>
      <c r="P780" s="641"/>
      <c r="Q780" s="641"/>
    </row>
    <row r="781" spans="1:17" ht="24">
      <c r="A781" s="1648" t="str">
        <f t="shared" si="291"/>
        <v>※</v>
      </c>
      <c r="B781" s="1647">
        <f t="shared" si="292"/>
        <v>1</v>
      </c>
      <c r="C781" s="1647" t="str">
        <f t="shared" si="293"/>
        <v>J</v>
      </c>
      <c r="D781" s="1659">
        <v>6829.5389999999998</v>
      </c>
      <c r="E781" s="927" t="str">
        <f t="shared" si="294"/>
        <v>少数股东其他综合收益_其他以后将重分类进损益的其他综合收益</v>
      </c>
      <c r="F781" s="928"/>
      <c r="G781" s="929">
        <f>SUMIF(AJE!$B:$B,$C781&amp;$D781&amp;"*",AJE!$O:$O)</f>
        <v>0</v>
      </c>
      <c r="H781" s="929">
        <f>SUMIF(AJE!$B:$B,$C781&amp;$D781&amp;"*",AJE!$P:$P)</f>
        <v>0</v>
      </c>
      <c r="I781" s="931">
        <f t="shared" si="295"/>
        <v>0</v>
      </c>
      <c r="J781" s="928"/>
      <c r="K781" s="929">
        <f>SUMIF('AJE1'!$B:$B,$C781&amp;$D781&amp;"*",'AJE1'!$O:$O)</f>
        <v>0</v>
      </c>
      <c r="L781" s="929">
        <f>SUMIF('AJE1'!$B:$B,$C781&amp;$D781&amp;"*",'AJE1'!$P:$P)</f>
        <v>0</v>
      </c>
      <c r="M781" s="931">
        <f t="shared" si="296"/>
        <v>0</v>
      </c>
      <c r="N781" s="641"/>
      <c r="O781" s="641"/>
      <c r="P781" s="641"/>
      <c r="Q781" s="641"/>
    </row>
    <row r="784" spans="1:17" ht="15">
      <c r="A784" s="1649" t="s">
        <v>2565</v>
      </c>
      <c r="D784" s="932"/>
      <c r="E784" s="933" t="s">
        <v>2661</v>
      </c>
      <c r="F784" s="934" t="str">
        <f>$F$7</f>
        <v>本期</v>
      </c>
      <c r="G784" s="935"/>
      <c r="H784" s="936"/>
      <c r="I784" s="946" t="str">
        <f>$F$7</f>
        <v>本期</v>
      </c>
      <c r="J784" s="947" t="str">
        <f>$J$7</f>
        <v>上期</v>
      </c>
      <c r="K784" s="936"/>
      <c r="L784" s="936"/>
      <c r="M784" s="948" t="str">
        <f>$J$7</f>
        <v>上期</v>
      </c>
    </row>
    <row r="785" spans="1:13" ht="12.75">
      <c r="A785" s="1649" t="s">
        <v>2565</v>
      </c>
      <c r="D785" s="932"/>
      <c r="E785" s="937" t="s">
        <v>47</v>
      </c>
      <c r="F785" s="938" t="str">
        <f>F$8</f>
        <v>调整前金额</v>
      </c>
      <c r="G785" s="939"/>
      <c r="H785" s="939"/>
      <c r="I785" s="949" t="str">
        <f>I$8</f>
        <v>调整后金额</v>
      </c>
      <c r="J785" s="950" t="str">
        <f>J$8</f>
        <v>调整前金额</v>
      </c>
      <c r="K785" s="939"/>
      <c r="L785" s="939"/>
      <c r="M785" s="951" t="str">
        <f>M$8</f>
        <v>调整后金额</v>
      </c>
    </row>
    <row r="786" spans="1:13" ht="18">
      <c r="A786" s="1650" t="s">
        <v>2565</v>
      </c>
      <c r="D786" s="932" t="s">
        <v>428</v>
      </c>
      <c r="E786" s="940" t="str">
        <f>E64</f>
        <v>资产</v>
      </c>
      <c r="F786" s="2198">
        <f ca="1">HYPERLINK("#'"&amp;$G$1&amp;"'!"&amp;ADDRESS(ROW(TB!F64),COLUMN(TB!F64),4),F64)</f>
        <v>63138219.909999996</v>
      </c>
      <c r="G786" s="737"/>
      <c r="H786" s="737"/>
      <c r="I786" s="2199">
        <f ca="1">HYPERLINK("#'"&amp;$G$1&amp;"'!"&amp;ADDRESS(ROW(TB!I64),COLUMN(TB!I64),4),I64)</f>
        <v>59310285.469999999</v>
      </c>
      <c r="J786" s="2198">
        <f ca="1">HYPERLINK("#'"&amp;$G$1&amp;"'!"&amp;ADDRESS(ROW(TB!J64),COLUMN(TB!J64),4),J64)</f>
        <v>59007107.990000002</v>
      </c>
      <c r="K786" s="734"/>
      <c r="L786" s="734"/>
      <c r="M786" s="2200">
        <f ca="1">HYPERLINK("#'"&amp;$G$1&amp;"'!"&amp;ADDRESS(ROW(TB!M64),COLUMN(TB!M64),4),M64)</f>
        <v>59007107.990000002</v>
      </c>
    </row>
    <row r="787" spans="1:13" ht="18">
      <c r="A787" s="1650" t="s">
        <v>2565</v>
      </c>
      <c r="D787" s="932" t="s">
        <v>428</v>
      </c>
      <c r="E787" s="941" t="str">
        <f>E125</f>
        <v>负债和所有者权益</v>
      </c>
      <c r="F787" s="2201">
        <f ca="1">HYPERLINK("#'"&amp;$G$1&amp;"'!"&amp;ADDRESS(ROW(TB!F125),COLUMN(TB!F125),4),F125)</f>
        <v>63138219.909999996</v>
      </c>
      <c r="G787" s="737"/>
      <c r="H787" s="737"/>
      <c r="I787" s="2202">
        <f ca="1">HYPERLINK("#'"&amp;$G$1&amp;"'!"&amp;ADDRESS(ROW(TB!I125),COLUMN(TB!I125),4),I125)</f>
        <v>59310285.469999999</v>
      </c>
      <c r="J787" s="2201">
        <f ca="1">HYPERLINK("#'"&amp;$G$1&amp;"'!"&amp;ADDRESS(ROW(TB!J125),COLUMN(TB!J125),4),J125)</f>
        <v>59007107.990000002</v>
      </c>
      <c r="K787" s="737"/>
      <c r="L787" s="737"/>
      <c r="M787" s="2203">
        <f ca="1">HYPERLINK("#'"&amp;$G$1&amp;"'!"&amp;ADDRESS(ROW(TB!M125),COLUMN(TB!M125),4),M125)</f>
        <v>59007107.990000002</v>
      </c>
    </row>
    <row r="788" spans="1:13" ht="18">
      <c r="A788" s="1650" t="s">
        <v>2565</v>
      </c>
      <c r="D788" s="932"/>
      <c r="E788" s="942" t="s">
        <v>2580</v>
      </c>
      <c r="F788" s="943">
        <f ca="1">ROUND(F786-F787,2)</f>
        <v>0</v>
      </c>
      <c r="G788" s="737"/>
      <c r="H788" s="737"/>
      <c r="I788" s="952">
        <f ca="1">ROUND(I786-I787,2)</f>
        <v>0</v>
      </c>
      <c r="J788" s="943">
        <f ca="1">ROUND(J786-J787,2)</f>
        <v>0</v>
      </c>
      <c r="K788" s="737"/>
      <c r="L788" s="737"/>
      <c r="M788" s="953">
        <f ca="1">ROUND(M786-M787,2)</f>
        <v>0</v>
      </c>
    </row>
    <row r="789" spans="1:13" ht="18">
      <c r="A789" s="1650" t="s">
        <v>2565</v>
      </c>
      <c r="D789" s="932"/>
      <c r="E789" s="944"/>
      <c r="F789" s="945" t="str">
        <f ca="1">IF(F788=0,"√","×")</f>
        <v>√</v>
      </c>
      <c r="G789" s="641"/>
      <c r="H789" s="641"/>
      <c r="I789" s="954" t="str">
        <f ca="1">IF(I788=0,"√","×")</f>
        <v>√</v>
      </c>
      <c r="J789" s="945" t="str">
        <f ca="1">IF(J788=0,"√","×")</f>
        <v>√</v>
      </c>
      <c r="K789" s="641"/>
      <c r="L789" s="641"/>
      <c r="M789" s="955" t="str">
        <f ca="1">IF(M788=0,"√","×")</f>
        <v>√</v>
      </c>
    </row>
    <row r="790" spans="1:13" ht="18">
      <c r="A790" s="1650" t="s">
        <v>2565</v>
      </c>
      <c r="D790" s="932" t="s">
        <v>441</v>
      </c>
      <c r="E790" s="940" t="str">
        <f>E163</f>
        <v>净利润</v>
      </c>
      <c r="F790" s="2204">
        <f ca="1">HYPERLINK("#'"&amp;$G$1&amp;"'!"&amp;ADDRESS(ROW(TB!F163),COLUMN(TB!F163),4),F163)</f>
        <v>80463.97</v>
      </c>
      <c r="G790" s="737"/>
      <c r="H790" s="737"/>
      <c r="I790" s="2199">
        <f ca="1">HYPERLINK("#'"&amp;$G$1&amp;"'!"&amp;ADDRESS(ROW(TB!I163),COLUMN(TB!I163),4),I163)</f>
        <v>-3349908.33</v>
      </c>
      <c r="J790" s="2204">
        <f ca="1">HYPERLINK("#'"&amp;$G$1&amp;"'!"&amp;ADDRESS(ROW(TB!J163),COLUMN(TB!J163),4),J163)</f>
        <v>520228.91</v>
      </c>
      <c r="K790" s="737"/>
      <c r="L790" s="737"/>
      <c r="M790" s="2200">
        <f ca="1">HYPERLINK("#'"&amp;$G$1&amp;"'!"&amp;ADDRESS(ROW(TB!M163),COLUMN(TB!M163),4),M163)</f>
        <v>520228.91</v>
      </c>
    </row>
    <row r="791" spans="1:13" ht="18">
      <c r="A791" s="1650" t="s">
        <v>2565</v>
      </c>
      <c r="D791" s="932" t="s">
        <v>441</v>
      </c>
      <c r="E791" s="941" t="str">
        <f>E169</f>
        <v>归属于母公司所有者的净利润</v>
      </c>
      <c r="F791" s="2204">
        <f ca="1">HYPERLINK("#'"&amp;$G$1&amp;"'!"&amp;ADDRESS(ROW(TB!F169),COLUMN(TB!F169),4),F169)</f>
        <v>80463.97</v>
      </c>
      <c r="G791" s="737"/>
      <c r="H791" s="737"/>
      <c r="I791" s="2199">
        <f ca="1">HYPERLINK("#'"&amp;$G$1&amp;"'!"&amp;ADDRESS(ROW(TB!I169),COLUMN(TB!I169),4),I169)</f>
        <v>-3349908.33</v>
      </c>
      <c r="J791" s="2204">
        <f ca="1">HYPERLINK("#'"&amp;$G$1&amp;"'!"&amp;ADDRESS(ROW(TB!J169),COLUMN(TB!J169),4),J169)</f>
        <v>520228.91</v>
      </c>
      <c r="K791" s="737"/>
      <c r="L791" s="737"/>
      <c r="M791" s="2200">
        <f ca="1">HYPERLINK("#'"&amp;$G$1&amp;"'!"&amp;ADDRESS(ROW(TB!M169),COLUMN(TB!M169),4),M169)</f>
        <v>520228.91</v>
      </c>
    </row>
    <row r="792" spans="1:13" ht="18">
      <c r="A792" s="1650" t="s">
        <v>2565</v>
      </c>
      <c r="D792" s="932" t="s">
        <v>441</v>
      </c>
      <c r="E792" s="941" t="str">
        <f>E168</f>
        <v>少数股东损益</v>
      </c>
      <c r="F792" s="2204">
        <f ca="1">HYPERLINK("#'"&amp;$G$1&amp;"'!"&amp;ADDRESS(ROW(TB!F168),COLUMN(TB!F168),4),F168)</f>
        <v>0</v>
      </c>
      <c r="G792" s="737"/>
      <c r="H792" s="737"/>
      <c r="I792" s="2202">
        <f ca="1">HYPERLINK("#'"&amp;$G$1&amp;"'!"&amp;ADDRESS(ROW(TB!I168),COLUMN(TB!I168),4),I168)</f>
        <v>0</v>
      </c>
      <c r="J792" s="2201">
        <f ca="1">HYPERLINK("#'"&amp;$G$1&amp;"'!"&amp;ADDRESS(ROW(TB!J168),COLUMN(TB!J168),4),J168)</f>
        <v>0</v>
      </c>
      <c r="K792" s="737"/>
      <c r="L792" s="737"/>
      <c r="M792" s="2200">
        <f ca="1">HYPERLINK("#'"&amp;$G$1&amp;"'!"&amp;ADDRESS(ROW(TB!M168),COLUMN(TB!M168),4),M168)</f>
        <v>0</v>
      </c>
    </row>
    <row r="793" spans="1:13" ht="18">
      <c r="A793" s="1650" t="s">
        <v>2565</v>
      </c>
      <c r="D793" s="932"/>
      <c r="E793" s="942" t="s">
        <v>2580</v>
      </c>
      <c r="F793" s="943">
        <f ca="1">ROUND(F790-F791-F792,2)</f>
        <v>0</v>
      </c>
      <c r="G793" s="737"/>
      <c r="H793" s="737"/>
      <c r="I793" s="952">
        <f ca="1">ROUND(I790-I791-I792,2)</f>
        <v>0</v>
      </c>
      <c r="J793" s="943">
        <f ca="1">ROUND(J790-J791-J792,2)</f>
        <v>0</v>
      </c>
      <c r="K793" s="737"/>
      <c r="L793" s="737"/>
      <c r="M793" s="953">
        <f ca="1">ROUND(M790-M791-M792,2)</f>
        <v>0</v>
      </c>
    </row>
    <row r="794" spans="1:13" ht="18.75" thickTop="1">
      <c r="A794" s="1650" t="s">
        <v>2565</v>
      </c>
      <c r="D794" s="932"/>
      <c r="E794" s="944"/>
      <c r="F794" s="945" t="str">
        <f ca="1">IF(F793=0,"√","×")</f>
        <v>√</v>
      </c>
      <c r="G794" s="641"/>
      <c r="H794" s="641"/>
      <c r="I794" s="954" t="str">
        <f ca="1">IF(I793=0,"√","×")</f>
        <v>√</v>
      </c>
      <c r="J794" s="945" t="str">
        <f ca="1">IF(J793=0,"√","×")</f>
        <v>√</v>
      </c>
      <c r="K794" s="641"/>
      <c r="L794" s="641"/>
      <c r="M794" s="955" t="str">
        <f ca="1">IF(M793=0,"√","×")</f>
        <v>√</v>
      </c>
    </row>
    <row r="795" spans="1:13" ht="18">
      <c r="A795" s="1650" t="s">
        <v>2565</v>
      </c>
      <c r="D795" s="932" t="s">
        <v>441</v>
      </c>
      <c r="E795" s="940" t="str">
        <f>E163</f>
        <v>净利润</v>
      </c>
      <c r="F795" s="2204">
        <f ca="1">HYPERLINK("#'"&amp;$G$1&amp;"'!"&amp;ADDRESS(ROW(TB!F163),COLUMN(TB!F163),4),F163)</f>
        <v>80463.97</v>
      </c>
      <c r="G795" s="737"/>
      <c r="H795" s="737"/>
      <c r="I795" s="2199"/>
      <c r="J795" s="2204">
        <f ca="1">HYPERLINK("#'"&amp;$G$1&amp;"'!"&amp;ADDRESS(ROW(TB!J163),COLUMN(TB!J163),4),J163)</f>
        <v>520228.91</v>
      </c>
      <c r="K795" s="737"/>
      <c r="L795" s="737"/>
      <c r="M795" s="2200"/>
    </row>
    <row r="796" spans="1:13" ht="18">
      <c r="A796" s="1650" t="s">
        <v>2565</v>
      </c>
      <c r="D796" s="932" t="s">
        <v>441</v>
      </c>
      <c r="E796" s="941" t="str">
        <f>E165</f>
        <v>持续经营净利润</v>
      </c>
      <c r="F796" s="2204">
        <f ca="1">HYPERLINK("#'"&amp;$G$1&amp;"'!"&amp;ADDRESS(ROW(TB!F165),COLUMN(TB!F165),4),F165)</f>
        <v>80463.97</v>
      </c>
      <c r="G796" s="737"/>
      <c r="H796" s="737"/>
      <c r="I796" s="2199"/>
      <c r="J796" s="2204">
        <f ca="1">HYPERLINK("#'"&amp;$G$1&amp;"'!"&amp;ADDRESS(ROW(TB!J165),COLUMN(TB!J165),4),J165)</f>
        <v>520228.91</v>
      </c>
      <c r="K796" s="737"/>
      <c r="L796" s="737"/>
      <c r="M796" s="2200"/>
    </row>
    <row r="797" spans="1:13" ht="18">
      <c r="A797" s="1650" t="s">
        <v>2565</v>
      </c>
      <c r="D797" s="932" t="s">
        <v>441</v>
      </c>
      <c r="E797" s="941" t="str">
        <f>E166</f>
        <v>终止经营净利润</v>
      </c>
      <c r="F797" s="2204">
        <f ca="1">HYPERLINK("#'"&amp;$G$1&amp;"'!"&amp;ADDRESS(ROW(TB!F166),COLUMN(TB!F166),4),F166)</f>
        <v>0</v>
      </c>
      <c r="G797" s="737"/>
      <c r="H797" s="737"/>
      <c r="I797" s="2202"/>
      <c r="J797" s="2201">
        <f ca="1">HYPERLINK("#'"&amp;$G$1&amp;"'!"&amp;ADDRESS(ROW(TB!J166),COLUMN(TB!J166),4),J166)</f>
        <v>0</v>
      </c>
      <c r="K797" s="737"/>
      <c r="L797" s="737"/>
      <c r="M797" s="2200"/>
    </row>
    <row r="798" spans="1:13" ht="18.75" thickBot="1">
      <c r="A798" s="1650" t="s">
        <v>2565</v>
      </c>
      <c r="D798" s="932"/>
      <c r="E798" s="942" t="s">
        <v>2580</v>
      </c>
      <c r="F798" s="943">
        <f ca="1">ROUND(F795-F796-F797,2)</f>
        <v>0</v>
      </c>
      <c r="G798" s="737"/>
      <c r="H798" s="737"/>
      <c r="I798" s="952">
        <f>ROUND(I795-I796-I797,2)</f>
        <v>0</v>
      </c>
      <c r="J798" s="943">
        <f ca="1">ROUND(J795-J796-J797,2)</f>
        <v>0</v>
      </c>
      <c r="K798" s="737"/>
      <c r="L798" s="737"/>
      <c r="M798" s="953">
        <f>ROUND(M795-M796-M797,2)</f>
        <v>0</v>
      </c>
    </row>
    <row r="799" spans="1:13" ht="18.75" thickTop="1">
      <c r="A799" s="1650" t="s">
        <v>2565</v>
      </c>
      <c r="D799" s="932"/>
      <c r="E799" s="944"/>
      <c r="F799" s="945" t="str">
        <f ca="1">IF(F798=0,"√","×")</f>
        <v>√</v>
      </c>
      <c r="G799" s="641"/>
      <c r="H799" s="641"/>
      <c r="I799" s="954" t="str">
        <f>IF(I798=0,"√","×")</f>
        <v>√</v>
      </c>
      <c r="J799" s="945" t="str">
        <f ca="1">IF(J798=0,"√","×")</f>
        <v>√</v>
      </c>
      <c r="K799" s="641"/>
      <c r="L799" s="641"/>
      <c r="M799" s="955" t="str">
        <f>IF(M798=0,"√","×")</f>
        <v>√</v>
      </c>
    </row>
    <row r="800" spans="1:13" ht="18">
      <c r="A800" s="1650" t="s">
        <v>2565</v>
      </c>
      <c r="D800" s="932" t="s">
        <v>441</v>
      </c>
      <c r="E800" s="940" t="str">
        <f t="shared" ref="E800:E802" si="301">E192</f>
        <v>综合收益总额</v>
      </c>
      <c r="F800" s="2204">
        <f ca="1">HYPERLINK("#'"&amp;$G$1&amp;"'!"&amp;ADDRESS(ROW(TB!F192),COLUMN(TB!F192),4),F192)</f>
        <v>80463.97</v>
      </c>
      <c r="G800" s="737"/>
      <c r="H800" s="737"/>
      <c r="I800" s="2199">
        <f ca="1">HYPERLINK("#'"&amp;$G$1&amp;"'!"&amp;ADDRESS(ROW(TB!I192),COLUMN(TB!I192),4),I192)</f>
        <v>-3349908.33</v>
      </c>
      <c r="J800" s="2204">
        <f ca="1">HYPERLINK("#'"&amp;$G$1&amp;"'!"&amp;ADDRESS(ROW(TB!J192),COLUMN(TB!J192),4),J192)</f>
        <v>520228.91</v>
      </c>
      <c r="K800" s="737"/>
      <c r="L800" s="737"/>
      <c r="M800" s="2200">
        <f ca="1">HYPERLINK("#'"&amp;$G$1&amp;"'!"&amp;ADDRESS(ROW(TB!M192),COLUMN(TB!M192),4),M192)</f>
        <v>520228.91</v>
      </c>
    </row>
    <row r="801" spans="1:13" ht="24">
      <c r="A801" s="1650" t="s">
        <v>2565</v>
      </c>
      <c r="D801" s="932" t="s">
        <v>441</v>
      </c>
      <c r="E801" s="941" t="str">
        <f t="shared" si="301"/>
        <v>归属于母公司所有者的综合收益总额</v>
      </c>
      <c r="F801" s="2204">
        <f ca="1">HYPERLINK("#'"&amp;$G$1&amp;"'!"&amp;ADDRESS(ROW(TB!F193),COLUMN(TB!F193),4),F193)</f>
        <v>80463.97</v>
      </c>
      <c r="G801" s="737"/>
      <c r="H801" s="737"/>
      <c r="I801" s="2199">
        <f ca="1">HYPERLINK("#'"&amp;$G$1&amp;"'!"&amp;ADDRESS(ROW(TB!I193),COLUMN(TB!I193),4),I193)</f>
        <v>-3349908.33</v>
      </c>
      <c r="J801" s="2204">
        <f ca="1">HYPERLINK("#'"&amp;$G$1&amp;"'!"&amp;ADDRESS(ROW(TB!J193),COLUMN(TB!J193),4),J193)</f>
        <v>520228.91</v>
      </c>
      <c r="K801" s="737"/>
      <c r="L801" s="737"/>
      <c r="M801" s="2200">
        <f ca="1">HYPERLINK("#'"&amp;$G$1&amp;"'!"&amp;ADDRESS(ROW(TB!M193),COLUMN(TB!M193),4),M193)</f>
        <v>520228.91</v>
      </c>
    </row>
    <row r="802" spans="1:13" ht="18">
      <c r="A802" s="1650" t="s">
        <v>2565</v>
      </c>
      <c r="D802" s="932" t="s">
        <v>441</v>
      </c>
      <c r="E802" s="941" t="str">
        <f t="shared" si="301"/>
        <v>归属于少数股东的综合收益总额</v>
      </c>
      <c r="F802" s="2204">
        <f ca="1">HYPERLINK("#'"&amp;$G$1&amp;"'!"&amp;ADDRESS(ROW(TB!F194),COLUMN(TB!F194),4),F194)</f>
        <v>0</v>
      </c>
      <c r="G802" s="737"/>
      <c r="H802" s="737"/>
      <c r="I802" s="2202">
        <f ca="1">HYPERLINK("#'"&amp;$G$1&amp;"'!"&amp;ADDRESS(ROW(TB!I194),COLUMN(TB!I194),4),I194)</f>
        <v>0</v>
      </c>
      <c r="J802" s="2204">
        <f ca="1">HYPERLINK("#'"&amp;$G$1&amp;"'!"&amp;ADDRESS(ROW(TB!J194),COLUMN(TB!J194),4),J194)</f>
        <v>0</v>
      </c>
      <c r="K802" s="737"/>
      <c r="L802" s="737"/>
      <c r="M802" s="2200">
        <f ca="1">HYPERLINK("#'"&amp;$G$1&amp;"'!"&amp;ADDRESS(ROW(TB!M194),COLUMN(TB!M194),4),M194)</f>
        <v>0</v>
      </c>
    </row>
    <row r="803" spans="1:13" ht="18">
      <c r="A803" s="1650" t="s">
        <v>2565</v>
      </c>
      <c r="D803" s="932"/>
      <c r="E803" s="942" t="s">
        <v>2580</v>
      </c>
      <c r="F803" s="943">
        <f ca="1">ROUND(F800-F801-F802,2)</f>
        <v>0</v>
      </c>
      <c r="G803" s="737"/>
      <c r="H803" s="737"/>
      <c r="I803" s="952">
        <f ca="1">ROUND(I800-I801-I802,2)</f>
        <v>0</v>
      </c>
      <c r="J803" s="943">
        <f ca="1">ROUND(J800-J801-J802,2)</f>
        <v>0</v>
      </c>
      <c r="K803" s="737"/>
      <c r="L803" s="737"/>
      <c r="M803" s="953">
        <f ca="1">ROUND(M800-M801-M802,2)</f>
        <v>0</v>
      </c>
    </row>
    <row r="804" spans="1:13" ht="18">
      <c r="A804" s="1650" t="s">
        <v>2565</v>
      </c>
      <c r="D804" s="932"/>
      <c r="E804" s="944"/>
      <c r="F804" s="945" t="str">
        <f ca="1">IF(F803=0,"√","×")</f>
        <v>√</v>
      </c>
      <c r="G804" s="641"/>
      <c r="H804" s="641"/>
      <c r="I804" s="954" t="str">
        <f ca="1">IF(I803=0,"√","×")</f>
        <v>√</v>
      </c>
      <c r="J804" s="945" t="str">
        <f ca="1">IF(J803=0,"√","×")</f>
        <v>√</v>
      </c>
      <c r="K804" s="641"/>
      <c r="L804" s="641"/>
      <c r="M804" s="955" t="str">
        <f ca="1">IF(M803=0,"√","×")</f>
        <v>√</v>
      </c>
    </row>
    <row r="805" spans="1:13" ht="18">
      <c r="A805" s="1650" t="s">
        <v>2565</v>
      </c>
      <c r="D805" s="932" t="s">
        <v>441</v>
      </c>
      <c r="E805" s="940" t="str">
        <f>E169</f>
        <v>归属于母公司所有者的净利润</v>
      </c>
      <c r="F805" s="2204">
        <f ca="1">HYPERLINK("#'"&amp;$G$1&amp;"'!"&amp;ADDRESS(ROW(TB!F169),COLUMN(TB!F169),4),F169)</f>
        <v>80463.97</v>
      </c>
      <c r="G805" s="737"/>
      <c r="H805" s="737"/>
      <c r="I805" s="2199">
        <f ca="1">HYPERLINK("#'"&amp;$G$1&amp;"'!"&amp;ADDRESS(ROW(TB!I169),COLUMN(TB!I169),4),I169)</f>
        <v>-3349908.33</v>
      </c>
      <c r="J805" s="2204">
        <f ca="1">HYPERLINK("#'"&amp;$G$1&amp;"'!"&amp;ADDRESS(ROW(TB!J169),COLUMN(TB!J169),4),J169)</f>
        <v>520228.91</v>
      </c>
      <c r="K805" s="737"/>
      <c r="L805" s="737"/>
      <c r="M805" s="2200">
        <f ca="1">HYPERLINK("#'"&amp;$G$1&amp;"'!"&amp;ADDRESS(ROW(TB!M169),COLUMN(TB!M169),4),M169)</f>
        <v>520228.91</v>
      </c>
    </row>
    <row r="806" spans="1:13" ht="24">
      <c r="A806" s="1650" t="s">
        <v>2565</v>
      </c>
      <c r="D806" s="932" t="s">
        <v>442</v>
      </c>
      <c r="E806" s="941" t="str">
        <f>E567</f>
        <v>未分配利润_综合收益总额增加权益</v>
      </c>
      <c r="F806" s="2204">
        <f ca="1">HYPERLINK("#'"&amp;$G$1&amp;"'!"&amp;ADDRESS(ROW(TB!F567),COLUMN(TB!F567),4),F567)</f>
        <v>80463.97</v>
      </c>
      <c r="G806" s="737"/>
      <c r="H806" s="737"/>
      <c r="I806" s="2202">
        <f ca="1">HYPERLINK("#'"&amp;$G$1&amp;"'!"&amp;ADDRESS(ROW(TB!I567),COLUMN(TB!I567),4),I567)</f>
        <v>-3349908.33</v>
      </c>
      <c r="J806" s="2204">
        <f ca="1">HYPERLINK("#'"&amp;$G$1&amp;"'!"&amp;ADDRESS(ROW(TB!J567),COLUMN(TB!J567),4),J567)</f>
        <v>520228.91</v>
      </c>
      <c r="K806" s="737"/>
      <c r="L806" s="737"/>
      <c r="M806" s="2200">
        <f ca="1">HYPERLINK("#'"&amp;$G$1&amp;"'!"&amp;ADDRESS(ROW(TB!M567),COLUMN(TB!M567),4),M567)</f>
        <v>520228.91</v>
      </c>
    </row>
    <row r="807" spans="1:13" ht="18">
      <c r="A807" s="1650" t="s">
        <v>2565</v>
      </c>
      <c r="D807" s="932"/>
      <c r="E807" s="942" t="s">
        <v>2580</v>
      </c>
      <c r="F807" s="943">
        <f ca="1">ROUND(F805-F806,2)</f>
        <v>0</v>
      </c>
      <c r="G807" s="737"/>
      <c r="H807" s="737"/>
      <c r="I807" s="952">
        <f ca="1">ROUND(I805-I806,2)</f>
        <v>0</v>
      </c>
      <c r="J807" s="943">
        <f ca="1">ROUND(J805-J806,2)</f>
        <v>0</v>
      </c>
      <c r="K807" s="737"/>
      <c r="L807" s="737"/>
      <c r="M807" s="953">
        <f ca="1">ROUND(M805-M806,2)</f>
        <v>0</v>
      </c>
    </row>
    <row r="808" spans="1:13" ht="18">
      <c r="A808" s="1650" t="s">
        <v>2565</v>
      </c>
      <c r="D808" s="932"/>
      <c r="E808" s="944"/>
      <c r="F808" s="945" t="str">
        <f ca="1">IF(F807=0,"√","×")</f>
        <v>√</v>
      </c>
      <c r="G808" s="641"/>
      <c r="H808" s="641"/>
      <c r="I808" s="954" t="str">
        <f ca="1">IF(I807=0,"√","×")</f>
        <v>√</v>
      </c>
      <c r="J808" s="945" t="str">
        <f ca="1">IF(J807=0,"√","×")</f>
        <v>√</v>
      </c>
      <c r="K808" s="641"/>
      <c r="L808" s="641"/>
      <c r="M808" s="955" t="str">
        <f ca="1">IF(M807=0,"√","×")</f>
        <v>√</v>
      </c>
    </row>
    <row r="809" spans="1:13" ht="24">
      <c r="A809" s="1650" t="s">
        <v>2565</v>
      </c>
      <c r="D809" s="932" t="s">
        <v>441</v>
      </c>
      <c r="E809" s="940" t="str">
        <f>E171</f>
        <v>归属于母公司所有者的其他综合收益的税后净额</v>
      </c>
      <c r="F809" s="2204">
        <f ca="1">HYPERLINK("#'"&amp;$G$1&amp;"'!"&amp;ADDRESS(ROW(TB!F171),COLUMN(TB!F171),4),F171)</f>
        <v>0</v>
      </c>
      <c r="G809" s="737"/>
      <c r="H809" s="737"/>
      <c r="I809" s="2199">
        <f ca="1">HYPERLINK("#'"&amp;$G$1&amp;"'!"&amp;ADDRESS(ROW(TB!I171),COLUMN(TB!I171),4),I171)</f>
        <v>0</v>
      </c>
      <c r="J809" s="2204">
        <f ca="1">HYPERLINK("#'"&amp;$G$1&amp;"'!"&amp;ADDRESS(ROW(TB!J171),COLUMN(TB!J171),4),J171)</f>
        <v>0</v>
      </c>
      <c r="K809" s="737"/>
      <c r="L809" s="737"/>
      <c r="M809" s="2200">
        <f ca="1">HYPERLINK("#'"&amp;$G$1&amp;"'!"&amp;ADDRESS(ROW(TB!M171),COLUMN(TB!M171),4),M171)</f>
        <v>0</v>
      </c>
    </row>
    <row r="810" spans="1:13" ht="24">
      <c r="A810" s="1650" t="s">
        <v>2565</v>
      </c>
      <c r="D810" s="932" t="s">
        <v>442</v>
      </c>
      <c r="E810" s="941" t="str">
        <f>E435</f>
        <v>其他综合收益_综合收益总额增加权益</v>
      </c>
      <c r="F810" s="2204">
        <f ca="1">HYPERLINK("#'"&amp;$G$1&amp;"'!"&amp;ADDRESS(ROW(TB!F435),COLUMN(TB!F435),4),F435)</f>
        <v>0</v>
      </c>
      <c r="G810" s="737"/>
      <c r="H810" s="737"/>
      <c r="I810" s="2202">
        <f ca="1">HYPERLINK("#'"&amp;$G$1&amp;"'!"&amp;ADDRESS(ROW(TB!I435),COLUMN(TB!I435),4),I435)</f>
        <v>0</v>
      </c>
      <c r="J810" s="2204">
        <f ca="1">HYPERLINK("#'"&amp;$G$1&amp;"'!"&amp;ADDRESS(ROW(TB!J435),COLUMN(TB!J435),4),J435)</f>
        <v>0</v>
      </c>
      <c r="K810" s="737"/>
      <c r="L810" s="737"/>
      <c r="M810" s="2200">
        <f ca="1">HYPERLINK("#'"&amp;$G$1&amp;"'!"&amp;ADDRESS(ROW(TB!M435),COLUMN(TB!M435),4),M435)</f>
        <v>0</v>
      </c>
    </row>
    <row r="811" spans="1:13" ht="18">
      <c r="A811" s="1650" t="s">
        <v>2565</v>
      </c>
      <c r="D811" s="932"/>
      <c r="E811" s="942" t="s">
        <v>2580</v>
      </c>
      <c r="F811" s="943">
        <f ca="1">ROUND(F809-F810,2)</f>
        <v>0</v>
      </c>
      <c r="G811" s="737"/>
      <c r="H811" s="737"/>
      <c r="I811" s="952">
        <f ca="1">ROUND(I809-I810,2)</f>
        <v>0</v>
      </c>
      <c r="J811" s="943">
        <f ca="1">ROUND(J809-J810,2)</f>
        <v>0</v>
      </c>
      <c r="K811" s="737"/>
      <c r="L811" s="737"/>
      <c r="M811" s="953">
        <f ca="1">ROUND(M809-M810,2)</f>
        <v>0</v>
      </c>
    </row>
    <row r="812" spans="1:13" ht="18">
      <c r="A812" s="1650" t="s">
        <v>2565</v>
      </c>
      <c r="D812" s="932"/>
      <c r="E812" s="944"/>
      <c r="F812" s="945" t="str">
        <f ca="1">IF(F811=0,"√","×")</f>
        <v>√</v>
      </c>
      <c r="G812" s="641"/>
      <c r="H812" s="641"/>
      <c r="I812" s="954" t="str">
        <f ca="1">IF(I811=0,"√","×")</f>
        <v>√</v>
      </c>
      <c r="J812" s="945" t="str">
        <f ca="1">IF(J811=0,"√","×")</f>
        <v>√</v>
      </c>
      <c r="K812" s="641"/>
      <c r="L812" s="641"/>
      <c r="M812" s="955" t="str">
        <f ca="1">IF(M811=0,"√","×")</f>
        <v>√</v>
      </c>
    </row>
    <row r="813" spans="1:13" ht="18">
      <c r="A813" s="1650" t="s">
        <v>2565</v>
      </c>
      <c r="D813" s="932" t="s">
        <v>441</v>
      </c>
      <c r="E813" s="940" t="str">
        <f>E192</f>
        <v>综合收益总额</v>
      </c>
      <c r="F813" s="2204">
        <f ca="1">HYPERLINK("#'"&amp;$G$1&amp;"'!"&amp;ADDRESS(ROW(TB!F192),COLUMN(TB!F192),4),F192)</f>
        <v>80463.97</v>
      </c>
      <c r="G813" s="737"/>
      <c r="H813" s="737"/>
      <c r="I813" s="2199">
        <f ca="1">HYPERLINK("#'"&amp;$G$1&amp;"'!"&amp;ADDRESS(ROW(TB!I192),COLUMN(TB!I192),4),I192)</f>
        <v>-3349908.33</v>
      </c>
      <c r="J813" s="2204">
        <f ca="1">HYPERLINK("#'"&amp;$G$1&amp;"'!"&amp;ADDRESS(ROW(TB!J192),COLUMN(TB!J192),4),J192)</f>
        <v>520228.91</v>
      </c>
      <c r="K813" s="737"/>
      <c r="L813" s="737"/>
      <c r="M813" s="2200">
        <f ca="1">HYPERLINK("#'"&amp;$G$1&amp;"'!"&amp;ADDRESS(ROW(TB!M192),COLUMN(TB!M192),4),M192)</f>
        <v>520228.91</v>
      </c>
    </row>
    <row r="814" spans="1:13" ht="24">
      <c r="A814" s="1650" t="s">
        <v>2565</v>
      </c>
      <c r="D814" s="932" t="s">
        <v>442</v>
      </c>
      <c r="E814" s="941" t="str">
        <f>E212</f>
        <v>所有者权益_综合收益总额增加权益</v>
      </c>
      <c r="F814" s="2204">
        <f ca="1">HYPERLINK("#'"&amp;$G$1&amp;"'!"&amp;ADDRESS(ROW(TB!F212),COLUMN(TB!F212),4),F212)</f>
        <v>80463.97</v>
      </c>
      <c r="G814" s="737"/>
      <c r="H814" s="737"/>
      <c r="I814" s="2202">
        <f ca="1">HYPERLINK("#'"&amp;$G$1&amp;"'!"&amp;ADDRESS(ROW(TB!I212),COLUMN(TB!I212),4),I212)</f>
        <v>-3349908.33</v>
      </c>
      <c r="J814" s="2204">
        <f ca="1">HYPERLINK("#'"&amp;$G$1&amp;"'!"&amp;ADDRESS(ROW(TB!J212),COLUMN(TB!J212),4),J212)</f>
        <v>520228.91</v>
      </c>
      <c r="K814" s="737"/>
      <c r="L814" s="737"/>
      <c r="M814" s="2200">
        <f ca="1">HYPERLINK("#'"&amp;$G$1&amp;"'!"&amp;ADDRESS(ROW(TB!M212),COLUMN(TB!M212),4),M212)</f>
        <v>520228.91</v>
      </c>
    </row>
    <row r="815" spans="1:13" ht="18">
      <c r="A815" s="1650" t="s">
        <v>2565</v>
      </c>
      <c r="D815" s="932"/>
      <c r="E815" s="942" t="s">
        <v>2580</v>
      </c>
      <c r="F815" s="943">
        <f ca="1">ROUND(F813-F814,2)</f>
        <v>0</v>
      </c>
      <c r="G815" s="737"/>
      <c r="H815" s="737"/>
      <c r="I815" s="952">
        <f ca="1">ROUND(I813-I814,2)</f>
        <v>0</v>
      </c>
      <c r="J815" s="943">
        <f ca="1">ROUND(J813-J814,2)</f>
        <v>0</v>
      </c>
      <c r="K815" s="737"/>
      <c r="L815" s="737"/>
      <c r="M815" s="953">
        <f ca="1">ROUND(M813-M814,2)</f>
        <v>0</v>
      </c>
    </row>
    <row r="816" spans="1:13" ht="18">
      <c r="A816" s="1650" t="s">
        <v>2565</v>
      </c>
      <c r="D816" s="932"/>
      <c r="E816" s="944"/>
      <c r="F816" s="945" t="str">
        <f ca="1">IF(F815=0,"√","×")</f>
        <v>√</v>
      </c>
      <c r="G816" s="641"/>
      <c r="H816" s="641"/>
      <c r="I816" s="954" t="str">
        <f ca="1">IF(I815=0,"√","×")</f>
        <v>√</v>
      </c>
      <c r="J816" s="945" t="str">
        <f ca="1">IF(J815=0,"√","×")</f>
        <v>√</v>
      </c>
      <c r="K816" s="641"/>
      <c r="L816" s="641"/>
      <c r="M816" s="955" t="str">
        <f ca="1">IF(M815=0,"√","×")</f>
        <v>√</v>
      </c>
    </row>
    <row r="817" spans="1:13" ht="18">
      <c r="A817" s="1650" t="s">
        <v>2565</v>
      </c>
      <c r="D817" s="932" t="s">
        <v>441</v>
      </c>
      <c r="E817" s="940" t="str">
        <f>E194</f>
        <v>归属于少数股东的综合收益总额</v>
      </c>
      <c r="F817" s="2204">
        <f ca="1">HYPERLINK("#'"&amp;$G$1&amp;"'!"&amp;ADDRESS(ROW(TB!F194),COLUMN(TB!F194),4),F194)</f>
        <v>0</v>
      </c>
      <c r="G817" s="737"/>
      <c r="H817" s="737"/>
      <c r="I817" s="2199">
        <f ca="1">HYPERLINK("#'"&amp;$G$1&amp;"'!"&amp;ADDRESS(ROW(TB!I194),COLUMN(TB!I194),4),I194)</f>
        <v>0</v>
      </c>
      <c r="J817" s="2204">
        <f ca="1">HYPERLINK("#'"&amp;$G$1&amp;"'!"&amp;ADDRESS(ROW(TB!J194),COLUMN(TB!J194),4),J194)</f>
        <v>0</v>
      </c>
      <c r="K817" s="737"/>
      <c r="L817" s="737"/>
      <c r="M817" s="2200">
        <f ca="1">HYPERLINK("#'"&amp;$G$1&amp;"'!"&amp;ADDRESS(ROW(TB!M194),COLUMN(TB!M194),4),M194)</f>
        <v>0</v>
      </c>
    </row>
    <row r="818" spans="1:13" ht="24">
      <c r="A818" s="1650" t="s">
        <v>2565</v>
      </c>
      <c r="D818" s="932" t="s">
        <v>442</v>
      </c>
      <c r="E818" s="941" t="str">
        <f>E633</f>
        <v>少数股东权益_综合收益总额增加权益</v>
      </c>
      <c r="F818" s="2204">
        <f ca="1">HYPERLINK("#'"&amp;$G$1&amp;"'!"&amp;ADDRESS(ROW(TB!F633),COLUMN(TB!F633),4),F633)</f>
        <v>0</v>
      </c>
      <c r="G818" s="737"/>
      <c r="H818" s="737"/>
      <c r="I818" s="2202">
        <f ca="1">HYPERLINK("#'"&amp;$G$1&amp;"'!"&amp;ADDRESS(ROW(TB!I633),COLUMN(TB!I633),4),I633)</f>
        <v>0</v>
      </c>
      <c r="J818" s="2204">
        <f ca="1">HYPERLINK("#'"&amp;$G$1&amp;"'!"&amp;ADDRESS(ROW(TB!J633),COLUMN(TB!J633),4),J633)</f>
        <v>0</v>
      </c>
      <c r="K818" s="737"/>
      <c r="L818" s="737"/>
      <c r="M818" s="2200">
        <f ca="1">HYPERLINK("#'"&amp;$G$1&amp;"'!"&amp;ADDRESS(ROW(TB!M633),COLUMN(TB!M633),4),M633)</f>
        <v>0</v>
      </c>
    </row>
    <row r="819" spans="1:13" ht="18">
      <c r="A819" s="1650" t="s">
        <v>2565</v>
      </c>
      <c r="D819" s="932"/>
      <c r="E819" s="942" t="s">
        <v>2580</v>
      </c>
      <c r="F819" s="943">
        <f ca="1">ROUND(F817-F818,2)</f>
        <v>0</v>
      </c>
      <c r="G819" s="737"/>
      <c r="H819" s="737"/>
      <c r="I819" s="952">
        <f ca="1">ROUND(I817-I818,2)</f>
        <v>0</v>
      </c>
      <c r="J819" s="943">
        <f ca="1">ROUND(J817-J818,2)</f>
        <v>0</v>
      </c>
      <c r="K819" s="737"/>
      <c r="L819" s="737"/>
      <c r="M819" s="953">
        <f ca="1">ROUND(M817-M818,2)</f>
        <v>0</v>
      </c>
    </row>
    <row r="820" spans="1:13" ht="18">
      <c r="A820" s="1650" t="s">
        <v>2565</v>
      </c>
      <c r="D820" s="932"/>
      <c r="E820" s="944"/>
      <c r="F820" s="945" t="str">
        <f ca="1">IF(F819=0,"√","×")</f>
        <v>√</v>
      </c>
      <c r="G820" s="641"/>
      <c r="H820" s="641"/>
      <c r="I820" s="954" t="str">
        <f ca="1">IF(I819=0,"√","×")</f>
        <v>√</v>
      </c>
      <c r="J820" s="945" t="str">
        <f ca="1">IF(J819=0,"√","×")</f>
        <v>√</v>
      </c>
      <c r="K820" s="641"/>
      <c r="L820" s="641"/>
      <c r="M820" s="955" t="str">
        <f ca="1">IF(M819=0,"√","×")</f>
        <v>√</v>
      </c>
    </row>
    <row r="821" spans="1:13" ht="18">
      <c r="A821" s="1650" t="s">
        <v>2565</v>
      </c>
      <c r="D821" s="932" t="s">
        <v>441</v>
      </c>
      <c r="E821" s="940" t="str">
        <f>E163</f>
        <v>净利润</v>
      </c>
      <c r="F821" s="2204">
        <f ca="1">HYPERLINK("#'"&amp;$G$1&amp;"'!"&amp;ADDRESS(ROW(TB!F163),COLUMN(TB!F163),4),F163)</f>
        <v>80463.97</v>
      </c>
      <c r="G821" s="737"/>
      <c r="H821" s="737"/>
      <c r="I821" s="2199">
        <f ca="1">HYPERLINK("#'"&amp;$G$1&amp;"'!"&amp;ADDRESS(ROW(TB!I163),COLUMN(TB!I163),4),I163)</f>
        <v>-3349908.33</v>
      </c>
      <c r="J821" s="2204">
        <f ca="1">HYPERLINK("#'"&amp;$G$1&amp;"'!"&amp;ADDRESS(ROW(TB!J163),COLUMN(TB!J163),4),J163)</f>
        <v>520228.91</v>
      </c>
      <c r="K821" s="737"/>
      <c r="L821" s="737"/>
      <c r="M821" s="2200">
        <f ca="1">HYPERLINK("#'"&amp;$G$1&amp;"'!"&amp;ADDRESS(ROW(TB!M163),COLUMN(TB!M163),4),M163)</f>
        <v>520228.91</v>
      </c>
    </row>
    <row r="822" spans="1:13" ht="18">
      <c r="A822" s="1650" t="s">
        <v>2565</v>
      </c>
      <c r="D822" s="932" t="s">
        <v>578</v>
      </c>
      <c r="E822" s="941" t="str">
        <f>E737</f>
        <v>净利润金额</v>
      </c>
      <c r="F822" s="2204">
        <f ca="1">HYPERLINK("#'"&amp;$G$1&amp;"'!"&amp;ADDRESS(ROW(TB!F737),COLUMN(TB!F737),4),F737)</f>
        <v>-3349908.33</v>
      </c>
      <c r="G822" s="737"/>
      <c r="H822" s="737"/>
      <c r="I822" s="2202">
        <f ca="1">HYPERLINK("#'"&amp;$G$1&amp;"'!"&amp;ADDRESS(ROW(TB!I737),COLUMN(TB!I737),4),I737)</f>
        <v>-3349908.33</v>
      </c>
      <c r="J822" s="2204">
        <f ca="1">HYPERLINK("#'"&amp;$G$1&amp;"'!"&amp;ADDRESS(ROW(TB!J737),COLUMN(TB!J737),4),J737)</f>
        <v>520228.91</v>
      </c>
      <c r="K822" s="737"/>
      <c r="L822" s="737"/>
      <c r="M822" s="2200">
        <f ca="1">HYPERLINK("#'"&amp;$G$1&amp;"'!"&amp;ADDRESS(ROW(TB!M737),COLUMN(TB!M737),4),M737)</f>
        <v>520228.91</v>
      </c>
    </row>
    <row r="823" spans="1:13" ht="18">
      <c r="A823" s="1650" t="s">
        <v>2565</v>
      </c>
      <c r="D823" s="932"/>
      <c r="E823" s="942" t="s">
        <v>2580</v>
      </c>
      <c r="F823" s="943">
        <f ca="1">ROUND(F821-F822,2)</f>
        <v>3430372.3</v>
      </c>
      <c r="G823" s="737"/>
      <c r="H823" s="737"/>
      <c r="I823" s="952">
        <f ca="1">ROUND(I821-I822,2)</f>
        <v>0</v>
      </c>
      <c r="J823" s="943">
        <f ca="1">ROUND(J821-J822,2)</f>
        <v>0</v>
      </c>
      <c r="K823" s="737"/>
      <c r="L823" s="737"/>
      <c r="M823" s="953">
        <f ca="1">ROUND(M821-M822,2)</f>
        <v>0</v>
      </c>
    </row>
    <row r="824" spans="1:13" ht="18">
      <c r="A824" s="1650" t="s">
        <v>2565</v>
      </c>
      <c r="D824" s="932"/>
      <c r="E824" s="944"/>
      <c r="F824" s="945" t="str">
        <f ca="1">IF(F823=0,"√","×")</f>
        <v>×</v>
      </c>
      <c r="G824" s="641"/>
      <c r="H824" s="641"/>
      <c r="I824" s="954" t="str">
        <f ca="1">IF(I823=0,"√","×")</f>
        <v>√</v>
      </c>
      <c r="J824" s="945" t="str">
        <f ca="1">IF(J823=0,"√","×")</f>
        <v>√</v>
      </c>
      <c r="K824" s="641"/>
      <c r="L824" s="641"/>
      <c r="M824" s="955" t="str">
        <f ca="1">IF(M823=0,"√","×")</f>
        <v>√</v>
      </c>
    </row>
    <row r="825" spans="1:13" ht="18">
      <c r="A825" s="1650" t="s">
        <v>2565</v>
      </c>
      <c r="D825" s="932" t="s">
        <v>578</v>
      </c>
      <c r="E825" s="940" t="str">
        <f>E683</f>
        <v>经营活动产生的现金流量净额</v>
      </c>
      <c r="F825" s="2204">
        <f ca="1">HYPERLINK("#'"&amp;$G$1&amp;"'!"&amp;ADDRESS(ROW(TB!F683),COLUMN(TB!F683),4),F683)</f>
        <v>963447.92</v>
      </c>
      <c r="G825" s="737"/>
      <c r="H825" s="737"/>
      <c r="I825" s="2199">
        <f ca="1">HYPERLINK("#'"&amp;$G$1&amp;"'!"&amp;ADDRESS(ROW(TB!I683),COLUMN(TB!I683),4),I683)</f>
        <v>963447.92</v>
      </c>
      <c r="J825" s="2204">
        <f ca="1">HYPERLINK("#'"&amp;$G$1&amp;"'!"&amp;ADDRESS(ROW(TB!J683),COLUMN(TB!J683),4),J683)</f>
        <v>11322700.880000001</v>
      </c>
      <c r="K825" s="737"/>
      <c r="L825" s="737"/>
      <c r="M825" s="2200">
        <f ca="1">HYPERLINK("#'"&amp;$G$1&amp;"'!"&amp;ADDRESS(ROW(TB!M683),COLUMN(TB!M683),4),M683)</f>
        <v>11322700.880000001</v>
      </c>
    </row>
    <row r="826" spans="1:13" ht="18">
      <c r="A826" s="1650" t="s">
        <v>2565</v>
      </c>
      <c r="D826" s="932" t="s">
        <v>578</v>
      </c>
      <c r="E826" s="941" t="str">
        <f>E754</f>
        <v>经营活动产生的现金流量净额</v>
      </c>
      <c r="F826" s="2204">
        <f ca="1">HYPERLINK("#'"&amp;$G$1&amp;"'!"&amp;ADDRESS(ROW(TB!F754),COLUMN(TB!F754),4),F754)</f>
        <v>963447.92</v>
      </c>
      <c r="G826" s="737"/>
      <c r="H826" s="737"/>
      <c r="I826" s="2202">
        <f ca="1">HYPERLINK("#'"&amp;$G$1&amp;"'!"&amp;ADDRESS(ROW(TB!I754),COLUMN(TB!I754),4),I754)</f>
        <v>963447.92</v>
      </c>
      <c r="J826" s="2204">
        <f ca="1">HYPERLINK("#'"&amp;$G$1&amp;"'!"&amp;ADDRESS(ROW(TB!J754),COLUMN(TB!J754),4),J754)</f>
        <v>11322700.880000001</v>
      </c>
      <c r="K826" s="737"/>
      <c r="L826" s="737"/>
      <c r="M826" s="2200">
        <f ca="1">HYPERLINK("#'"&amp;$G$1&amp;"'!"&amp;ADDRESS(ROW(TB!M754),COLUMN(TB!M754),4),M754)</f>
        <v>11322700.880000001</v>
      </c>
    </row>
    <row r="827" spans="1:13" ht="18">
      <c r="A827" s="1650" t="s">
        <v>2565</v>
      </c>
      <c r="D827" s="932"/>
      <c r="E827" s="942" t="s">
        <v>2580</v>
      </c>
      <c r="F827" s="943">
        <f ca="1">ROUND(F825-F826,2)</f>
        <v>0</v>
      </c>
      <c r="G827" s="737"/>
      <c r="H827" s="737"/>
      <c r="I827" s="952">
        <f ca="1">ROUND(I825-I826,2)</f>
        <v>0</v>
      </c>
      <c r="J827" s="943">
        <f ca="1">ROUND(J825-J826,2)</f>
        <v>0</v>
      </c>
      <c r="K827" s="737"/>
      <c r="L827" s="737"/>
      <c r="M827" s="953">
        <f ca="1">ROUND(M825-M826,2)</f>
        <v>0</v>
      </c>
    </row>
    <row r="828" spans="1:13" ht="18">
      <c r="A828" s="1650" t="s">
        <v>2565</v>
      </c>
      <c r="D828" s="932"/>
      <c r="E828" s="944"/>
      <c r="F828" s="945" t="str">
        <f ca="1">IF(F827=0,"√","×")</f>
        <v>√</v>
      </c>
      <c r="G828" s="641"/>
      <c r="H828" s="641"/>
      <c r="I828" s="954" t="str">
        <f ca="1">IF(I827=0,"√","×")</f>
        <v>√</v>
      </c>
      <c r="J828" s="945" t="str">
        <f ca="1">IF(J827=0,"√","×")</f>
        <v>√</v>
      </c>
      <c r="K828" s="641"/>
      <c r="L828" s="641"/>
      <c r="M828" s="955" t="str">
        <f ca="1">IF(M827=0,"√","×")</f>
        <v>√</v>
      </c>
    </row>
    <row r="829" spans="1:13" ht="18">
      <c r="A829" s="1650" t="s">
        <v>2565</v>
      </c>
      <c r="D829" s="932" t="s">
        <v>578</v>
      </c>
      <c r="E829" s="940" t="str">
        <f>E711</f>
        <v>现金及现金等价物净增加额</v>
      </c>
      <c r="F829" s="2204">
        <f ca="1">HYPERLINK("#'"&amp;$G$1&amp;"'!"&amp;ADDRESS(ROW(TB!F711),COLUMN(TB!F711),4),F711)</f>
        <v>226581.11</v>
      </c>
      <c r="G829" s="737"/>
      <c r="H829" s="737"/>
      <c r="I829" s="2199">
        <f ca="1">HYPERLINK("#'"&amp;$G$1&amp;"'!"&amp;ADDRESS(ROW(TB!I711),COLUMN(TB!I711),4),I711)</f>
        <v>226581.11</v>
      </c>
      <c r="J829" s="2204">
        <f ca="1">HYPERLINK("#'"&amp;$G$1&amp;"'!"&amp;ADDRESS(ROW(TB!J711),COLUMN(TB!J711),4),J711)</f>
        <v>-2979289.28</v>
      </c>
      <c r="K829" s="737"/>
      <c r="L829" s="737"/>
      <c r="M829" s="2200">
        <f ca="1">HYPERLINK("#'"&amp;$G$1&amp;"'!"&amp;ADDRESS(ROW(TB!M711),COLUMN(TB!M711),4),M711)</f>
        <v>-2979289.28</v>
      </c>
    </row>
    <row r="830" spans="1:13" ht="18">
      <c r="A830" s="1650" t="s">
        <v>2565</v>
      </c>
      <c r="D830" s="932" t="s">
        <v>578</v>
      </c>
      <c r="E830" s="941" t="str">
        <f>E764</f>
        <v>现金及现金等价物净增加额</v>
      </c>
      <c r="F830" s="2204">
        <f ca="1">HYPERLINK("#'"&amp;$G$1&amp;"'!"&amp;ADDRESS(ROW(TB!F764),COLUMN(TB!F764),4),F764)</f>
        <v>226581.11</v>
      </c>
      <c r="G830" s="737"/>
      <c r="H830" s="737"/>
      <c r="I830" s="2202">
        <f ca="1">HYPERLINK("#'"&amp;$G$1&amp;"'!"&amp;ADDRESS(ROW(TB!I764),COLUMN(TB!I764),4),I764)</f>
        <v>226581.11</v>
      </c>
      <c r="J830" s="2204">
        <f ca="1">HYPERLINK("#'"&amp;$G$1&amp;"'!"&amp;ADDRESS(ROW(TB!J764),COLUMN(TB!J764),4),J764)</f>
        <v>-2979289.28</v>
      </c>
      <c r="K830" s="737"/>
      <c r="L830" s="737"/>
      <c r="M830" s="2200">
        <f ca="1">HYPERLINK("#'"&amp;$G$1&amp;"'!"&amp;ADDRESS(ROW(TB!M764),COLUMN(TB!M764),4),M764)</f>
        <v>-2979289.28</v>
      </c>
    </row>
    <row r="831" spans="1:13" ht="18">
      <c r="A831" s="1650" t="s">
        <v>2565</v>
      </c>
      <c r="D831" s="932"/>
      <c r="E831" s="942" t="s">
        <v>2580</v>
      </c>
      <c r="F831" s="943">
        <f ca="1">ROUND(F829-F830,2)</f>
        <v>0</v>
      </c>
      <c r="G831" s="737"/>
      <c r="H831" s="737"/>
      <c r="I831" s="952">
        <f ca="1">ROUND(I829-I830,2)</f>
        <v>0</v>
      </c>
      <c r="J831" s="943">
        <f ca="1">ROUND(J829-J830,2)</f>
        <v>0</v>
      </c>
      <c r="K831" s="737"/>
      <c r="L831" s="737"/>
      <c r="M831" s="953">
        <f ca="1">ROUND(M829-M830,2)</f>
        <v>0</v>
      </c>
    </row>
    <row r="832" spans="1:13" ht="18">
      <c r="A832" s="1650" t="s">
        <v>2565</v>
      </c>
      <c r="D832" s="932"/>
      <c r="E832" s="944"/>
      <c r="F832" s="945" t="str">
        <f ca="1">IF(F831=0,"√","×")</f>
        <v>√</v>
      </c>
      <c r="G832" s="641"/>
      <c r="H832" s="641"/>
      <c r="I832" s="954" t="str">
        <f ca="1">IF(I831=0,"√","×")</f>
        <v>√</v>
      </c>
      <c r="J832" s="945" t="str">
        <f ca="1">IF(J831=0,"√","×")</f>
        <v>√</v>
      </c>
      <c r="K832" s="641"/>
      <c r="L832" s="641"/>
      <c r="M832" s="955" t="str">
        <f ca="1">IF(M831=0,"√","×")</f>
        <v>√</v>
      </c>
    </row>
    <row r="833" spans="1:13" ht="18">
      <c r="A833" s="1650" t="s">
        <v>2565</v>
      </c>
      <c r="D833" s="932" t="s">
        <v>428</v>
      </c>
      <c r="E833" s="940" t="str">
        <f>E111</f>
        <v>实收资本</v>
      </c>
      <c r="F833" s="2204">
        <f ca="1">HYPERLINK("#'"&amp;$G$1&amp;"'!"&amp;ADDRESS(ROW(TB!F111),COLUMN(TB!F111),4),F111)</f>
        <v>30000000</v>
      </c>
      <c r="G833" s="737"/>
      <c r="H833" s="737"/>
      <c r="I833" s="2199">
        <f ca="1">HYPERLINK("#'"&amp;$G$1&amp;"'!"&amp;ADDRESS(ROW(TB!I111),COLUMN(TB!I111),4),I111)</f>
        <v>30000000</v>
      </c>
      <c r="J833" s="2204">
        <f ca="1">HYPERLINK("#'"&amp;$G$1&amp;"'!"&amp;ADDRESS(ROW(TB!J111),COLUMN(TB!J111),4),J111)</f>
        <v>30000000</v>
      </c>
      <c r="K833" s="737"/>
      <c r="L833" s="737"/>
      <c r="M833" s="2200">
        <f ca="1">HYPERLINK("#'"&amp;$G$1&amp;"'!"&amp;ADDRESS(ROW(TB!M111),COLUMN(TB!M111),4),M111)</f>
        <v>30000000</v>
      </c>
    </row>
    <row r="834" spans="1:13" ht="18">
      <c r="A834" s="1650" t="s">
        <v>2565</v>
      </c>
      <c r="D834" s="932" t="s">
        <v>442</v>
      </c>
      <c r="E834" s="941" t="str">
        <f>E267</f>
        <v>实收资本_本期期末余额</v>
      </c>
      <c r="F834" s="2204">
        <f ca="1">HYPERLINK("#'"&amp;$G$1&amp;"'!"&amp;ADDRESS(ROW(TB!F267),COLUMN(TB!F267),4),F267)</f>
        <v>30000000</v>
      </c>
      <c r="G834" s="737"/>
      <c r="H834" s="737"/>
      <c r="I834" s="2202">
        <f ca="1">HYPERLINK("#'"&amp;$G$1&amp;"'!"&amp;ADDRESS(ROW(TB!I267),COLUMN(TB!I267),4),I267)</f>
        <v>30000000</v>
      </c>
      <c r="J834" s="2204">
        <f ca="1">HYPERLINK("#'"&amp;$G$1&amp;"'!"&amp;ADDRESS(ROW(TB!J267),COLUMN(TB!J267),4),J267)</f>
        <v>30000000</v>
      </c>
      <c r="K834" s="737"/>
      <c r="L834" s="737"/>
      <c r="M834" s="2200">
        <f ca="1">HYPERLINK("#'"&amp;$G$1&amp;"'!"&amp;ADDRESS(ROW(TB!M267),COLUMN(TB!M267),4),M267)</f>
        <v>30000000</v>
      </c>
    </row>
    <row r="835" spans="1:13" ht="18">
      <c r="A835" s="1650" t="s">
        <v>2565</v>
      </c>
      <c r="D835" s="932"/>
      <c r="E835" s="942" t="s">
        <v>2580</v>
      </c>
      <c r="F835" s="943">
        <f ca="1">ROUND(F833-F834,2)</f>
        <v>0</v>
      </c>
      <c r="G835" s="737"/>
      <c r="H835" s="737"/>
      <c r="I835" s="952">
        <f ca="1">ROUND(I833-I834,2)</f>
        <v>0</v>
      </c>
      <c r="J835" s="943">
        <f ca="1">ROUND(J833-J834,2)</f>
        <v>0</v>
      </c>
      <c r="K835" s="737"/>
      <c r="L835" s="737"/>
      <c r="M835" s="953">
        <f ca="1">ROUND(M833-M834,2)</f>
        <v>0</v>
      </c>
    </row>
    <row r="836" spans="1:13" ht="18">
      <c r="A836" s="1650" t="s">
        <v>2565</v>
      </c>
      <c r="D836" s="932"/>
      <c r="E836" s="944"/>
      <c r="F836" s="945" t="str">
        <f ca="1">IF(F835=0,"√","×")</f>
        <v>√</v>
      </c>
      <c r="G836" s="641"/>
      <c r="H836" s="641"/>
      <c r="I836" s="954" t="str">
        <f ca="1">IF(I835=0,"√","×")</f>
        <v>√</v>
      </c>
      <c r="J836" s="945" t="str">
        <f ca="1">IF(J835=0,"√","×")</f>
        <v>√</v>
      </c>
      <c r="K836" s="641"/>
      <c r="L836" s="641"/>
      <c r="M836" s="955" t="str">
        <f ca="1">IF(M835=0,"√","×")</f>
        <v>√</v>
      </c>
    </row>
    <row r="837" spans="1:13" ht="18">
      <c r="A837" s="1650" t="s">
        <v>2565</v>
      </c>
      <c r="D837" s="932" t="s">
        <v>428</v>
      </c>
      <c r="E837" s="940" t="str">
        <f>E113</f>
        <v>其他权益工具_优先股</v>
      </c>
      <c r="F837" s="2204">
        <f ca="1">HYPERLINK("#'"&amp;$G$1&amp;"'!"&amp;ADDRESS(ROW(TB!F113),COLUMN(TB!F113),4),F113)</f>
        <v>0</v>
      </c>
      <c r="G837" s="737"/>
      <c r="H837" s="737"/>
      <c r="I837" s="2199">
        <f ca="1">HYPERLINK("#'"&amp;$G$1&amp;"'!"&amp;ADDRESS(ROW(TB!I113),COLUMN(TB!I113),4),I113)</f>
        <v>0</v>
      </c>
      <c r="J837" s="2204">
        <f ca="1">HYPERLINK("#'"&amp;$G$1&amp;"'!"&amp;ADDRESS(ROW(TB!J113),COLUMN(TB!J113),4),J113)</f>
        <v>0</v>
      </c>
      <c r="K837" s="737"/>
      <c r="L837" s="737"/>
      <c r="M837" s="2200">
        <f ca="1">HYPERLINK("#'"&amp;$G$1&amp;"'!"&amp;ADDRESS(ROW(TB!M113),COLUMN(TB!M113),4),M113)</f>
        <v>0</v>
      </c>
    </row>
    <row r="838" spans="1:13" ht="24">
      <c r="A838" s="1650" t="s">
        <v>2565</v>
      </c>
      <c r="D838" s="932" t="s">
        <v>442</v>
      </c>
      <c r="E838" s="941" t="str">
        <f>E298</f>
        <v>其他权益工具（优先股）_本期期末余额</v>
      </c>
      <c r="F838" s="2204">
        <f ca="1">HYPERLINK("#'"&amp;$G$1&amp;"'!"&amp;ADDRESS(ROW(TB!F298),COLUMN(TB!F298),4),F298)</f>
        <v>0</v>
      </c>
      <c r="G838" s="737"/>
      <c r="H838" s="737"/>
      <c r="I838" s="2202">
        <f ca="1">HYPERLINK("#'"&amp;$G$1&amp;"'!"&amp;ADDRESS(ROW(TB!I298),COLUMN(TB!I298),4),I298)</f>
        <v>0</v>
      </c>
      <c r="J838" s="2204">
        <f ca="1">HYPERLINK("#'"&amp;$G$1&amp;"'!"&amp;ADDRESS(ROW(TB!J298),COLUMN(TB!J298),4),J298)</f>
        <v>0</v>
      </c>
      <c r="K838" s="737"/>
      <c r="L838" s="737"/>
      <c r="M838" s="2200">
        <f ca="1">HYPERLINK("#'"&amp;$G$1&amp;"'!"&amp;ADDRESS(ROW(TB!M298),COLUMN(TB!M298),4),M298)</f>
        <v>0</v>
      </c>
    </row>
    <row r="839" spans="1:13" ht="18">
      <c r="A839" s="1650" t="s">
        <v>2565</v>
      </c>
      <c r="D839" s="932"/>
      <c r="E839" s="942" t="s">
        <v>2580</v>
      </c>
      <c r="F839" s="943">
        <f ca="1">ROUND(F837-F838,2)</f>
        <v>0</v>
      </c>
      <c r="G839" s="737"/>
      <c r="H839" s="737"/>
      <c r="I839" s="952">
        <f ca="1">ROUND(I837-I838,2)</f>
        <v>0</v>
      </c>
      <c r="J839" s="943">
        <f ca="1">ROUND(J837-J838,2)</f>
        <v>0</v>
      </c>
      <c r="K839" s="737"/>
      <c r="L839" s="737"/>
      <c r="M839" s="953">
        <f ca="1">ROUND(M837-M838,2)</f>
        <v>0</v>
      </c>
    </row>
    <row r="840" spans="1:13" ht="18">
      <c r="A840" s="1650" t="s">
        <v>2565</v>
      </c>
      <c r="D840" s="932"/>
      <c r="E840" s="944"/>
      <c r="F840" s="945" t="str">
        <f ca="1">IF(F839=0,"√","×")</f>
        <v>√</v>
      </c>
      <c r="G840" s="641"/>
      <c r="H840" s="641"/>
      <c r="I840" s="954" t="str">
        <f ca="1">IF(I839=0,"√","×")</f>
        <v>√</v>
      </c>
      <c r="J840" s="945" t="str">
        <f ca="1">IF(J839=0,"√","×")</f>
        <v>√</v>
      </c>
      <c r="K840" s="641"/>
      <c r="L840" s="641"/>
      <c r="M840" s="955" t="str">
        <f ca="1">IF(M839=0,"√","×")</f>
        <v>√</v>
      </c>
    </row>
    <row r="841" spans="1:13" ht="18">
      <c r="A841" s="1650" t="s">
        <v>2565</v>
      </c>
      <c r="D841" s="932" t="s">
        <v>428</v>
      </c>
      <c r="E841" s="940" t="str">
        <f>E114</f>
        <v>其他权益工具_永续债</v>
      </c>
      <c r="F841" s="2204">
        <f ca="1">HYPERLINK("#'"&amp;$G$1&amp;"'!"&amp;ADDRESS(ROW(TB!F114),COLUMN(TB!F114),4),F114)</f>
        <v>0</v>
      </c>
      <c r="G841" s="737"/>
      <c r="H841" s="737"/>
      <c r="I841" s="2199">
        <f ca="1">HYPERLINK("#'"&amp;$G$1&amp;"'!"&amp;ADDRESS(ROW(TB!I114),COLUMN(TB!I114),4),I114)</f>
        <v>0</v>
      </c>
      <c r="J841" s="2204">
        <f ca="1">HYPERLINK("#'"&amp;$G$1&amp;"'!"&amp;ADDRESS(ROW(TB!J114),COLUMN(TB!J114),4),J114)</f>
        <v>0</v>
      </c>
      <c r="K841" s="737"/>
      <c r="L841" s="737"/>
      <c r="M841" s="2200">
        <f ca="1">HYPERLINK("#'"&amp;$G$1&amp;"'!"&amp;ADDRESS(ROW(TB!M114),COLUMN(TB!M114),4),M114)</f>
        <v>0</v>
      </c>
    </row>
    <row r="842" spans="1:13" ht="24">
      <c r="A842" s="1650" t="s">
        <v>2565</v>
      </c>
      <c r="D842" s="932" t="s">
        <v>442</v>
      </c>
      <c r="E842" s="941" t="str">
        <f>E329</f>
        <v>其他权益工具（永续债）_本期期末余额</v>
      </c>
      <c r="F842" s="2204">
        <f ca="1">HYPERLINK("#'"&amp;$G$1&amp;"'!"&amp;ADDRESS(ROW(TB!F329),COLUMN(TB!F329),4),F329)</f>
        <v>0</v>
      </c>
      <c r="G842" s="737"/>
      <c r="H842" s="737"/>
      <c r="I842" s="2202">
        <f ca="1">HYPERLINK("#'"&amp;$G$1&amp;"'!"&amp;ADDRESS(ROW(TB!I329),COLUMN(TB!I329),4),I329)</f>
        <v>0</v>
      </c>
      <c r="J842" s="2204">
        <f ca="1">HYPERLINK("#'"&amp;$G$1&amp;"'!"&amp;ADDRESS(ROW(TB!J329),COLUMN(TB!J329),4),J329)</f>
        <v>0</v>
      </c>
      <c r="K842" s="737"/>
      <c r="L842" s="737"/>
      <c r="M842" s="2200">
        <f ca="1">HYPERLINK("#'"&amp;$G$1&amp;"'!"&amp;ADDRESS(ROW(TB!M329),COLUMN(TB!M329),4),M329)</f>
        <v>0</v>
      </c>
    </row>
    <row r="843" spans="1:13" ht="18">
      <c r="A843" s="1650" t="s">
        <v>2565</v>
      </c>
      <c r="D843" s="956"/>
      <c r="E843" s="942" t="s">
        <v>2580</v>
      </c>
      <c r="F843" s="943">
        <f ca="1">ROUND(F841-F842,2)</f>
        <v>0</v>
      </c>
      <c r="G843" s="737"/>
      <c r="H843" s="737"/>
      <c r="I843" s="952">
        <f ca="1">ROUND(I841-I842,2)</f>
        <v>0</v>
      </c>
      <c r="J843" s="943">
        <f ca="1">ROUND(J841-J842,2)</f>
        <v>0</v>
      </c>
      <c r="K843" s="737"/>
      <c r="L843" s="737"/>
      <c r="M843" s="953">
        <f ca="1">ROUND(M841-M842,2)</f>
        <v>0</v>
      </c>
    </row>
    <row r="844" spans="1:13" ht="18">
      <c r="A844" s="1650" t="s">
        <v>2565</v>
      </c>
      <c r="D844" s="956"/>
      <c r="E844" s="944"/>
      <c r="F844" s="945" t="str">
        <f ca="1">IF(F843=0,"√","×")</f>
        <v>√</v>
      </c>
      <c r="G844" s="641"/>
      <c r="H844" s="641"/>
      <c r="I844" s="954" t="str">
        <f ca="1">IF(I843=0,"√","×")</f>
        <v>√</v>
      </c>
      <c r="J844" s="945" t="str">
        <f ca="1">IF(J843=0,"√","×")</f>
        <v>√</v>
      </c>
      <c r="K844" s="641"/>
      <c r="L844" s="641"/>
      <c r="M844" s="955" t="str">
        <f ca="1">IF(M843=0,"√","×")</f>
        <v>√</v>
      </c>
    </row>
    <row r="845" spans="1:13" ht="18">
      <c r="A845" s="1650" t="s">
        <v>2565</v>
      </c>
      <c r="D845" s="932" t="s">
        <v>428</v>
      </c>
      <c r="E845" s="940" t="str">
        <f>E115</f>
        <v>资本公积</v>
      </c>
      <c r="F845" s="2204">
        <f ca="1">HYPERLINK("#'"&amp;$G$1&amp;"'!"&amp;ADDRESS(ROW(TB!F115),COLUMN(TB!F115),4),F115)</f>
        <v>10464100</v>
      </c>
      <c r="G845" s="737"/>
      <c r="H845" s="737"/>
      <c r="I845" s="2199">
        <f ca="1">HYPERLINK("#'"&amp;$G$1&amp;"'!"&amp;ADDRESS(ROW(TB!I115),COLUMN(TB!I115),4),I115)</f>
        <v>10464100</v>
      </c>
      <c r="J845" s="2204">
        <f ca="1">HYPERLINK("#'"&amp;$G$1&amp;"'!"&amp;ADDRESS(ROW(TB!J115),COLUMN(TB!J115),4),J115)</f>
        <v>0</v>
      </c>
      <c r="K845" s="737"/>
      <c r="L845" s="737"/>
      <c r="M845" s="2200">
        <f ca="1">HYPERLINK("#'"&amp;$G$1&amp;"'!"&amp;ADDRESS(ROW(TB!M115),COLUMN(TB!M115),4),M115)</f>
        <v>0</v>
      </c>
    </row>
    <row r="846" spans="1:13" ht="18">
      <c r="A846" s="1650" t="s">
        <v>2565</v>
      </c>
      <c r="D846" s="932" t="s">
        <v>442</v>
      </c>
      <c r="E846" s="941" t="str">
        <f>E393</f>
        <v>资本公积_本期期末余额</v>
      </c>
      <c r="F846" s="2204">
        <f ca="1">HYPERLINK("#'"&amp;$G$1&amp;"'!"&amp;ADDRESS(ROW(TB!F393),COLUMN(TB!F393),4),F393)</f>
        <v>10464100</v>
      </c>
      <c r="G846" s="737"/>
      <c r="H846" s="737"/>
      <c r="I846" s="2202">
        <f ca="1">HYPERLINK("#'"&amp;$G$1&amp;"'!"&amp;ADDRESS(ROW(TB!I393),COLUMN(TB!I393),4),I393)</f>
        <v>10464100</v>
      </c>
      <c r="J846" s="2204">
        <f ca="1">HYPERLINK("#'"&amp;$G$1&amp;"'!"&amp;ADDRESS(ROW(TB!J393),COLUMN(TB!J393),4),J393)</f>
        <v>0</v>
      </c>
      <c r="K846" s="737"/>
      <c r="L846" s="737"/>
      <c r="M846" s="2200">
        <f ca="1">HYPERLINK("#'"&amp;$G$1&amp;"'!"&amp;ADDRESS(ROW(TB!M393),COLUMN(TB!M393),4),M393)</f>
        <v>0</v>
      </c>
    </row>
    <row r="847" spans="1:13" ht="18">
      <c r="A847" s="1650" t="s">
        <v>2565</v>
      </c>
      <c r="D847" s="957"/>
      <c r="E847" s="942" t="s">
        <v>2580</v>
      </c>
      <c r="F847" s="943">
        <f ca="1">ROUND(F845-F846,2)</f>
        <v>0</v>
      </c>
      <c r="G847" s="737"/>
      <c r="H847" s="737"/>
      <c r="I847" s="952">
        <f ca="1">ROUND(I845-I846,2)</f>
        <v>0</v>
      </c>
      <c r="J847" s="943">
        <f ca="1">ROUND(J845-J846,2)</f>
        <v>0</v>
      </c>
      <c r="K847" s="737"/>
      <c r="L847" s="737"/>
      <c r="M847" s="953">
        <f ca="1">ROUND(M845-M846,2)</f>
        <v>0</v>
      </c>
    </row>
    <row r="848" spans="1:13" ht="18">
      <c r="A848" s="1650" t="s">
        <v>2565</v>
      </c>
      <c r="D848" s="957"/>
      <c r="E848" s="944"/>
      <c r="F848" s="945" t="str">
        <f ca="1">IF(F847=0,"√","×")</f>
        <v>√</v>
      </c>
      <c r="G848" s="641"/>
      <c r="H848" s="641"/>
      <c r="I848" s="954" t="str">
        <f ca="1">IF(I847=0,"√","×")</f>
        <v>√</v>
      </c>
      <c r="J848" s="945" t="str">
        <f ca="1">IF(J847=0,"√","×")</f>
        <v>√</v>
      </c>
      <c r="K848" s="641"/>
      <c r="L848" s="641"/>
      <c r="M848" s="955" t="str">
        <f ca="1">IF(M847=0,"√","×")</f>
        <v>√</v>
      </c>
    </row>
    <row r="849" spans="1:13" ht="18">
      <c r="A849" s="1650" t="s">
        <v>2565</v>
      </c>
      <c r="D849" s="932" t="s">
        <v>428</v>
      </c>
      <c r="E849" s="940" t="str">
        <f>E116</f>
        <v>库存股</v>
      </c>
      <c r="F849" s="2204">
        <f ca="1">HYPERLINK("#'"&amp;$G$1&amp;"'!"&amp;ADDRESS(ROW(TB!F116),COLUMN(TB!F116),4),F116)</f>
        <v>0</v>
      </c>
      <c r="G849" s="737"/>
      <c r="H849" s="737"/>
      <c r="I849" s="2199">
        <f ca="1">HYPERLINK("#'"&amp;$G$1&amp;"'!"&amp;ADDRESS(ROW(TB!I116),COLUMN(TB!I116),4),I116)</f>
        <v>0</v>
      </c>
      <c r="J849" s="2204">
        <f ca="1">HYPERLINK("#'"&amp;$G$1&amp;"'!"&amp;ADDRESS(ROW(TB!J116),COLUMN(TB!J116),4),J116)</f>
        <v>0</v>
      </c>
      <c r="K849" s="737"/>
      <c r="L849" s="737"/>
      <c r="M849" s="2200">
        <f ca="1">HYPERLINK("#'"&amp;$G$1&amp;"'!"&amp;ADDRESS(ROW(TB!M116),COLUMN(TB!M116),4),M116)</f>
        <v>0</v>
      </c>
    </row>
    <row r="850" spans="1:13" ht="18">
      <c r="A850" s="1650" t="s">
        <v>2565</v>
      </c>
      <c r="D850" s="932" t="s">
        <v>442</v>
      </c>
      <c r="E850" s="941" t="str">
        <f>E426</f>
        <v>库存股_本期期末余额</v>
      </c>
      <c r="F850" s="2204">
        <f ca="1">HYPERLINK("#'"&amp;$G$1&amp;"'!"&amp;ADDRESS(ROW(TB!F426),COLUMN(TB!F426),4),F426)</f>
        <v>0</v>
      </c>
      <c r="G850" s="737"/>
      <c r="H850" s="737"/>
      <c r="I850" s="2202">
        <f ca="1">HYPERLINK("#'"&amp;$G$1&amp;"'!"&amp;ADDRESS(ROW(TB!I426),COLUMN(TB!I426),4),I426)</f>
        <v>0</v>
      </c>
      <c r="J850" s="2204">
        <f ca="1">HYPERLINK("#'"&amp;$G$1&amp;"'!"&amp;ADDRESS(ROW(TB!J426),COLUMN(TB!J426),4),J426)</f>
        <v>0</v>
      </c>
      <c r="K850" s="737"/>
      <c r="L850" s="737"/>
      <c r="M850" s="2200">
        <f ca="1">HYPERLINK("#'"&amp;$G$1&amp;"'!"&amp;ADDRESS(ROW(TB!M426),COLUMN(TB!M426),4),M426)</f>
        <v>0</v>
      </c>
    </row>
    <row r="851" spans="1:13" ht="18">
      <c r="A851" s="1650" t="s">
        <v>2565</v>
      </c>
      <c r="D851" s="957"/>
      <c r="E851" s="942" t="s">
        <v>2580</v>
      </c>
      <c r="F851" s="943">
        <f ca="1">ROUND(F849-F850,2)</f>
        <v>0</v>
      </c>
      <c r="G851" s="737"/>
      <c r="H851" s="737"/>
      <c r="I851" s="952">
        <f ca="1">ROUND(I849-I850,2)</f>
        <v>0</v>
      </c>
      <c r="J851" s="943">
        <f ca="1">ROUND(J849-J850,2)</f>
        <v>0</v>
      </c>
      <c r="K851" s="737"/>
      <c r="L851" s="737"/>
      <c r="M851" s="953">
        <f ca="1">ROUND(M849-M850,2)</f>
        <v>0</v>
      </c>
    </row>
    <row r="852" spans="1:13" ht="18">
      <c r="A852" s="1650" t="s">
        <v>2565</v>
      </c>
      <c r="D852" s="957"/>
      <c r="E852" s="944"/>
      <c r="F852" s="945" t="str">
        <f ca="1">IF(F851=0,"√","×")</f>
        <v>√</v>
      </c>
      <c r="G852" s="641"/>
      <c r="H852" s="641"/>
      <c r="I852" s="954" t="str">
        <f ca="1">IF(I851=0,"√","×")</f>
        <v>√</v>
      </c>
      <c r="J852" s="945" t="str">
        <f ca="1">IF(J851=0,"√","×")</f>
        <v>√</v>
      </c>
      <c r="K852" s="641"/>
      <c r="L852" s="641"/>
      <c r="M852" s="955" t="str">
        <f ca="1">IF(M851=0,"√","×")</f>
        <v>√</v>
      </c>
    </row>
    <row r="853" spans="1:13" ht="18">
      <c r="A853" s="1650" t="s">
        <v>2565</v>
      </c>
      <c r="D853" s="932" t="s">
        <v>428</v>
      </c>
      <c r="E853" s="940" t="str">
        <f>E117</f>
        <v>其他综合收益</v>
      </c>
      <c r="F853" s="2204">
        <f ca="1">HYPERLINK("#'"&amp;$G$1&amp;"'!"&amp;ADDRESS(ROW(TB!F117),COLUMN(TB!F117),4),F117)</f>
        <v>0</v>
      </c>
      <c r="G853" s="737"/>
      <c r="H853" s="737"/>
      <c r="I853" s="2199">
        <f ca="1">HYPERLINK("#'"&amp;$G$1&amp;"'!"&amp;ADDRESS(ROW(TB!I117),COLUMN(TB!I117),4),I117)</f>
        <v>0</v>
      </c>
      <c r="J853" s="2204">
        <f ca="1">HYPERLINK("#'"&amp;$G$1&amp;"'!"&amp;ADDRESS(ROW(TB!J117),COLUMN(TB!J117),4),J117)</f>
        <v>0</v>
      </c>
      <c r="K853" s="737"/>
      <c r="L853" s="737"/>
      <c r="M853" s="2200">
        <f ca="1">HYPERLINK("#'"&amp;$G$1&amp;"'!"&amp;ADDRESS(ROW(TB!M117),COLUMN(TB!M117),4),M117)</f>
        <v>0</v>
      </c>
    </row>
    <row r="854" spans="1:13" ht="18">
      <c r="A854" s="1650" t="s">
        <v>2565</v>
      </c>
      <c r="D854" s="932" t="s">
        <v>442</v>
      </c>
      <c r="E854" s="941" t="str">
        <f>E457</f>
        <v>其他综合收益_本期期末余额</v>
      </c>
      <c r="F854" s="2204">
        <f ca="1">HYPERLINK("#'"&amp;$G$1&amp;"'!"&amp;ADDRESS(ROW(TB!F457),COLUMN(TB!F457),4),F457)</f>
        <v>0</v>
      </c>
      <c r="G854" s="737"/>
      <c r="H854" s="737"/>
      <c r="I854" s="2202">
        <f ca="1">HYPERLINK("#'"&amp;$G$1&amp;"'!"&amp;ADDRESS(ROW(TB!I457),COLUMN(TB!I457),4),I457)</f>
        <v>0</v>
      </c>
      <c r="J854" s="2204">
        <f ca="1">HYPERLINK("#'"&amp;$G$1&amp;"'!"&amp;ADDRESS(ROW(TB!J457),COLUMN(TB!J457),4),J457)</f>
        <v>0</v>
      </c>
      <c r="K854" s="737"/>
      <c r="L854" s="737"/>
      <c r="M854" s="2200">
        <f ca="1">HYPERLINK("#'"&amp;$G$1&amp;"'!"&amp;ADDRESS(ROW(TB!M457),COLUMN(TB!M457),4),M457)</f>
        <v>0</v>
      </c>
    </row>
    <row r="855" spans="1:13" ht="18">
      <c r="A855" s="1650" t="s">
        <v>2565</v>
      </c>
      <c r="D855" s="957"/>
      <c r="E855" s="942" t="s">
        <v>2580</v>
      </c>
      <c r="F855" s="943">
        <f ca="1">ROUND(F853-F854,2)</f>
        <v>0</v>
      </c>
      <c r="G855" s="737"/>
      <c r="H855" s="737"/>
      <c r="I855" s="952">
        <f ca="1">ROUND(I853-I854,2)</f>
        <v>0</v>
      </c>
      <c r="J855" s="943">
        <f ca="1">ROUND(J853-J854,2)</f>
        <v>0</v>
      </c>
      <c r="K855" s="737"/>
      <c r="L855" s="737"/>
      <c r="M855" s="953">
        <f ca="1">ROUND(M853-M854,2)</f>
        <v>0</v>
      </c>
    </row>
    <row r="856" spans="1:13" ht="18">
      <c r="A856" s="1650" t="s">
        <v>2565</v>
      </c>
      <c r="D856" s="957"/>
      <c r="E856" s="944"/>
      <c r="F856" s="945" t="str">
        <f ca="1">IF(F855=0,"√","×")</f>
        <v>√</v>
      </c>
      <c r="G856" s="641"/>
      <c r="H856" s="641"/>
      <c r="I856" s="954" t="str">
        <f ca="1">IF(I855=0,"√","×")</f>
        <v>√</v>
      </c>
      <c r="J856" s="945" t="str">
        <f ca="1">IF(J855=0,"√","×")</f>
        <v>√</v>
      </c>
      <c r="K856" s="641"/>
      <c r="L856" s="641"/>
      <c r="M856" s="955" t="str">
        <f ca="1">IF(M855=0,"√","×")</f>
        <v>√</v>
      </c>
    </row>
    <row r="857" spans="1:13" ht="18">
      <c r="A857" s="1650" t="s">
        <v>2565</v>
      </c>
      <c r="D857" s="932" t="s">
        <v>428</v>
      </c>
      <c r="E857" s="940" t="str">
        <f>E118</f>
        <v>专项储备</v>
      </c>
      <c r="F857" s="2204">
        <f ca="1">HYPERLINK("#'"&amp;$G$1&amp;"'!"&amp;ADDRESS(ROW(TB!F118),COLUMN(TB!F118),4),F118)</f>
        <v>0</v>
      </c>
      <c r="G857" s="737"/>
      <c r="H857" s="737"/>
      <c r="I857" s="2199">
        <f ca="1">HYPERLINK("#'"&amp;$G$1&amp;"'!"&amp;ADDRESS(ROW(TB!I118),COLUMN(TB!I118),4),I118)</f>
        <v>0</v>
      </c>
      <c r="J857" s="2204">
        <f ca="1">HYPERLINK("#'"&amp;$G$1&amp;"'!"&amp;ADDRESS(ROW(TB!J118),COLUMN(TB!J118),4),J118)</f>
        <v>0</v>
      </c>
      <c r="K857" s="737"/>
      <c r="L857" s="737"/>
      <c r="M857" s="2200">
        <f ca="1">HYPERLINK("#'"&amp;$G$1&amp;"'!"&amp;ADDRESS(ROW(TB!M118),COLUMN(TB!M118),4),M118)</f>
        <v>0</v>
      </c>
    </row>
    <row r="858" spans="1:13" ht="18">
      <c r="A858" s="1650" t="s">
        <v>2565</v>
      </c>
      <c r="D858" s="932" t="s">
        <v>442</v>
      </c>
      <c r="E858" s="941" t="str">
        <f>E490</f>
        <v>专项储备_本期期末余额</v>
      </c>
      <c r="F858" s="2204">
        <f ca="1">HYPERLINK("#'"&amp;$G$1&amp;"'!"&amp;ADDRESS(ROW(TB!F490),COLUMN(TB!F490),4),F490)</f>
        <v>0</v>
      </c>
      <c r="G858" s="737"/>
      <c r="H858" s="737"/>
      <c r="I858" s="2202">
        <f ca="1">HYPERLINK("#'"&amp;$G$1&amp;"'!"&amp;ADDRESS(ROW(TB!I490),COLUMN(TB!I490),4),I490)</f>
        <v>0</v>
      </c>
      <c r="J858" s="2204">
        <f ca="1">HYPERLINK("#'"&amp;$G$1&amp;"'!"&amp;ADDRESS(ROW(TB!J490),COLUMN(TB!J490),4),J490)</f>
        <v>0</v>
      </c>
      <c r="K858" s="737"/>
      <c r="L858" s="737"/>
      <c r="M858" s="2200">
        <f ca="1">HYPERLINK("#'"&amp;$G$1&amp;"'!"&amp;ADDRESS(ROW(TB!M490),COLUMN(TB!M490),4),M490)</f>
        <v>0</v>
      </c>
    </row>
    <row r="859" spans="1:13" ht="18">
      <c r="A859" s="1650" t="s">
        <v>2565</v>
      </c>
      <c r="D859" s="957"/>
      <c r="E859" s="942" t="s">
        <v>2580</v>
      </c>
      <c r="F859" s="943">
        <f ca="1">ROUND(F857-F858,2)</f>
        <v>0</v>
      </c>
      <c r="G859" s="737"/>
      <c r="H859" s="737"/>
      <c r="I859" s="952">
        <f ca="1">ROUND(I857-I858,2)</f>
        <v>0</v>
      </c>
      <c r="J859" s="943">
        <f ca="1">ROUND(J857-J858,2)</f>
        <v>0</v>
      </c>
      <c r="K859" s="737"/>
      <c r="L859" s="737"/>
      <c r="M859" s="953">
        <f ca="1">ROUND(M857-M858,2)</f>
        <v>0</v>
      </c>
    </row>
    <row r="860" spans="1:13" ht="18">
      <c r="A860" s="1650" t="s">
        <v>2565</v>
      </c>
      <c r="D860" s="957"/>
      <c r="E860" s="944"/>
      <c r="F860" s="945" t="str">
        <f ca="1">IF(F859=0,"√","×")</f>
        <v>√</v>
      </c>
      <c r="G860" s="641"/>
      <c r="H860" s="641"/>
      <c r="I860" s="954" t="str">
        <f ca="1">IF(I859=0,"√","×")</f>
        <v>√</v>
      </c>
      <c r="J860" s="945" t="str">
        <f ca="1">IF(J859=0,"√","×")</f>
        <v>√</v>
      </c>
      <c r="K860" s="641"/>
      <c r="L860" s="641"/>
      <c r="M860" s="955" t="str">
        <f ca="1">IF(M859=0,"√","×")</f>
        <v>√</v>
      </c>
    </row>
    <row r="861" spans="1:13" ht="18">
      <c r="A861" s="1650" t="s">
        <v>2565</v>
      </c>
      <c r="D861" s="932" t="s">
        <v>428</v>
      </c>
      <c r="E861" s="940" t="str">
        <f>E119</f>
        <v>盈余公积</v>
      </c>
      <c r="F861" s="2204">
        <f ca="1">HYPERLINK("#'"&amp;$G$1&amp;"'!"&amp;ADDRESS(ROW(TB!F119),COLUMN(TB!F119),4),F119)</f>
        <v>1484894.62</v>
      </c>
      <c r="G861" s="737"/>
      <c r="H861" s="737"/>
      <c r="I861" s="2199">
        <f ca="1">HYPERLINK("#'"&amp;$G$1&amp;"'!"&amp;ADDRESS(ROW(TB!I119),COLUMN(TB!I119),4),I119)</f>
        <v>1484894.62</v>
      </c>
      <c r="J861" s="2204">
        <f ca="1">HYPERLINK("#'"&amp;$G$1&amp;"'!"&amp;ADDRESS(ROW(TB!J119),COLUMN(TB!J119),4),J119)</f>
        <v>1476848.22</v>
      </c>
      <c r="K861" s="737"/>
      <c r="L861" s="737"/>
      <c r="M861" s="2200">
        <f ca="1">HYPERLINK("#'"&amp;$G$1&amp;"'!"&amp;ADDRESS(ROW(TB!M119),COLUMN(TB!M119),4),M119)</f>
        <v>1476848.22</v>
      </c>
    </row>
    <row r="862" spans="1:13" ht="18">
      <c r="A862" s="1650" t="s">
        <v>2565</v>
      </c>
      <c r="D862" s="932" t="s">
        <v>442</v>
      </c>
      <c r="E862" s="941" t="str">
        <f>E523</f>
        <v>盈余公积_本期期末余额</v>
      </c>
      <c r="F862" s="2204">
        <f ca="1">HYPERLINK("#'"&amp;$G$1&amp;"'!"&amp;ADDRESS(ROW(TB!F523),COLUMN(TB!F523),4),F523)</f>
        <v>1484894.62</v>
      </c>
      <c r="G862" s="737"/>
      <c r="H862" s="737"/>
      <c r="I862" s="2202">
        <f ca="1">HYPERLINK("#'"&amp;$G$1&amp;"'!"&amp;ADDRESS(ROW(TB!I523),COLUMN(TB!I523),4),I523)</f>
        <v>1484894.62</v>
      </c>
      <c r="J862" s="2204">
        <f ca="1">HYPERLINK("#'"&amp;$G$1&amp;"'!"&amp;ADDRESS(ROW(TB!J523),COLUMN(TB!J523),4),J523)</f>
        <v>1476848.22</v>
      </c>
      <c r="K862" s="737"/>
      <c r="L862" s="737"/>
      <c r="M862" s="2200">
        <f ca="1">HYPERLINK("#'"&amp;$G$1&amp;"'!"&amp;ADDRESS(ROW(TB!M523),COLUMN(TB!M523),4),M523)</f>
        <v>1476848.22</v>
      </c>
    </row>
    <row r="863" spans="1:13" ht="18">
      <c r="A863" s="1650" t="s">
        <v>2565</v>
      </c>
      <c r="D863" s="957"/>
      <c r="E863" s="942" t="s">
        <v>2580</v>
      </c>
      <c r="F863" s="943">
        <f ca="1">ROUND(F861-F862,2)</f>
        <v>0</v>
      </c>
      <c r="G863" s="737"/>
      <c r="H863" s="737"/>
      <c r="I863" s="952">
        <f ca="1">ROUND(I861-I862,2)</f>
        <v>0</v>
      </c>
      <c r="J863" s="943">
        <f ca="1">ROUND(J861-J862,2)</f>
        <v>0</v>
      </c>
      <c r="K863" s="737"/>
      <c r="L863" s="737"/>
      <c r="M863" s="953">
        <f ca="1">ROUND(M861-M862,2)</f>
        <v>0</v>
      </c>
    </row>
    <row r="864" spans="1:13" ht="18">
      <c r="A864" s="1650" t="s">
        <v>2565</v>
      </c>
      <c r="D864" s="957"/>
      <c r="E864" s="944"/>
      <c r="F864" s="945" t="str">
        <f ca="1">IF(F863=0,"√","×")</f>
        <v>√</v>
      </c>
      <c r="G864" s="641"/>
      <c r="H864" s="641"/>
      <c r="I864" s="954" t="str">
        <f ca="1">IF(I863=0,"√","×")</f>
        <v>√</v>
      </c>
      <c r="J864" s="945" t="str">
        <f ca="1">IF(J863=0,"√","×")</f>
        <v>√</v>
      </c>
      <c r="K864" s="641"/>
      <c r="L864" s="641"/>
      <c r="M864" s="955" t="str">
        <f ca="1">IF(M863=0,"√","×")</f>
        <v>√</v>
      </c>
    </row>
    <row r="865" spans="1:13" ht="18">
      <c r="A865" s="1650" t="s">
        <v>2565</v>
      </c>
      <c r="D865" s="932" t="s">
        <v>428</v>
      </c>
      <c r="E865" s="940" t="str">
        <f>E120</f>
        <v>一般风险准备</v>
      </c>
      <c r="F865" s="2204">
        <f ca="1">HYPERLINK("#'"&amp;$G$1&amp;"'!"&amp;ADDRESS(ROW(TB!F120),COLUMN(TB!F120),4),F120)</f>
        <v>0</v>
      </c>
      <c r="G865" s="737"/>
      <c r="H865" s="737"/>
      <c r="I865" s="2199">
        <f ca="1">HYPERLINK("#'"&amp;$G$1&amp;"'!"&amp;ADDRESS(ROW(TB!I120),COLUMN(TB!I120),4),I120)</f>
        <v>0</v>
      </c>
      <c r="J865" s="2204">
        <f ca="1">HYPERLINK("#'"&amp;$G$1&amp;"'!"&amp;ADDRESS(ROW(TB!J120),COLUMN(TB!J120),4),J120)</f>
        <v>0</v>
      </c>
      <c r="K865" s="737"/>
      <c r="L865" s="737"/>
      <c r="M865" s="2200">
        <f ca="1">HYPERLINK("#'"&amp;$G$1&amp;"'!"&amp;ADDRESS(ROW(TB!M120),COLUMN(TB!M120),4),M120)</f>
        <v>0</v>
      </c>
    </row>
    <row r="866" spans="1:13" ht="18">
      <c r="A866" s="1650" t="s">
        <v>2565</v>
      </c>
      <c r="D866" s="932" t="s">
        <v>442</v>
      </c>
      <c r="E866" s="941" t="str">
        <f>E556</f>
        <v>一般风险准备_本期期末余额</v>
      </c>
      <c r="F866" s="2204">
        <f ca="1">HYPERLINK("#'"&amp;$G$1&amp;"'!"&amp;ADDRESS(ROW(TB!F556),COLUMN(TB!F556),4),F556)</f>
        <v>0</v>
      </c>
      <c r="G866" s="737"/>
      <c r="H866" s="737"/>
      <c r="I866" s="2202">
        <f ca="1">HYPERLINK("#'"&amp;$G$1&amp;"'!"&amp;ADDRESS(ROW(TB!I556),COLUMN(TB!I556),4),I556)</f>
        <v>0</v>
      </c>
      <c r="J866" s="2204">
        <f ca="1">HYPERLINK("#'"&amp;$G$1&amp;"'!"&amp;ADDRESS(ROW(TB!J556),COLUMN(TB!J556),4),J556)</f>
        <v>0</v>
      </c>
      <c r="K866" s="737"/>
      <c r="L866" s="737"/>
      <c r="M866" s="2200">
        <f ca="1">HYPERLINK("#'"&amp;$G$1&amp;"'!"&amp;ADDRESS(ROW(TB!M556),COLUMN(TB!M556),4),M556)</f>
        <v>0</v>
      </c>
    </row>
    <row r="867" spans="1:13" ht="18">
      <c r="A867" s="1650" t="s">
        <v>2565</v>
      </c>
      <c r="D867" s="957"/>
      <c r="E867" s="942" t="s">
        <v>2580</v>
      </c>
      <c r="F867" s="943">
        <f ca="1">ROUND(F865-F866,2)</f>
        <v>0</v>
      </c>
      <c r="G867" s="737"/>
      <c r="H867" s="737"/>
      <c r="I867" s="952">
        <f ca="1">ROUND(I865-I866,2)</f>
        <v>0</v>
      </c>
      <c r="J867" s="943">
        <f ca="1">ROUND(J865-J866,2)</f>
        <v>0</v>
      </c>
      <c r="K867" s="737"/>
      <c r="L867" s="737"/>
      <c r="M867" s="953">
        <f ca="1">ROUND(M865-M866,2)</f>
        <v>0</v>
      </c>
    </row>
    <row r="868" spans="1:13" ht="18">
      <c r="A868" s="1650" t="s">
        <v>2565</v>
      </c>
      <c r="D868" s="957"/>
      <c r="E868" s="944"/>
      <c r="F868" s="945" t="str">
        <f ca="1">IF(F867=0,"√","×")</f>
        <v>√</v>
      </c>
      <c r="G868" s="641"/>
      <c r="H868" s="641"/>
      <c r="I868" s="954" t="str">
        <f ca="1">IF(I867=0,"√","×")</f>
        <v>√</v>
      </c>
      <c r="J868" s="945" t="str">
        <f ca="1">IF(J867=0,"√","×")</f>
        <v>√</v>
      </c>
      <c r="K868" s="641"/>
      <c r="L868" s="641"/>
      <c r="M868" s="955" t="str">
        <f ca="1">IF(M867=0,"√","×")</f>
        <v>√</v>
      </c>
    </row>
    <row r="869" spans="1:13" ht="18">
      <c r="A869" s="1650" t="s">
        <v>2565</v>
      </c>
      <c r="D869" s="932" t="s">
        <v>428</v>
      </c>
      <c r="E869" s="940" t="str">
        <f>E121</f>
        <v>未分配利润</v>
      </c>
      <c r="F869" s="2204">
        <f ca="1">HYPERLINK("#'"&amp;$G$1&amp;"'!"&amp;ADDRESS(ROW(TB!F121),COLUMN(TB!F121),4),F121)</f>
        <v>2899951.46</v>
      </c>
      <c r="G869" s="737"/>
      <c r="H869" s="737"/>
      <c r="I869" s="2199">
        <f ca="1">HYPERLINK("#'"&amp;$G$1&amp;"'!"&amp;ADDRESS(ROW(TB!I121),COLUMN(TB!I121),4),I121)</f>
        <v>-787982.98</v>
      </c>
      <c r="J869" s="2204">
        <f ca="1">HYPERLINK("#'"&amp;$G$1&amp;"'!"&amp;ADDRESS(ROW(TB!J121),COLUMN(TB!J121),4),J121)</f>
        <v>13291633.890000001</v>
      </c>
      <c r="K869" s="737"/>
      <c r="L869" s="737"/>
      <c r="M869" s="2200">
        <f ca="1">HYPERLINK("#'"&amp;$G$1&amp;"'!"&amp;ADDRESS(ROW(TB!M121),COLUMN(TB!M121),4),M121)</f>
        <v>13291633.890000001</v>
      </c>
    </row>
    <row r="870" spans="1:13" ht="18">
      <c r="A870" s="1650" t="s">
        <v>2565</v>
      </c>
      <c r="D870" s="932" t="s">
        <v>442</v>
      </c>
      <c r="E870" s="941" t="str">
        <f>E589</f>
        <v>未分配利润_本期期末余额</v>
      </c>
      <c r="F870" s="2204">
        <f ca="1">HYPERLINK("#'"&amp;$G$1&amp;"'!"&amp;ADDRESS(ROW(TB!F589),COLUMN(TB!F589),4),F589)</f>
        <v>2899951.46</v>
      </c>
      <c r="G870" s="737"/>
      <c r="H870" s="737"/>
      <c r="I870" s="2202">
        <f ca="1">HYPERLINK("#'"&amp;$G$1&amp;"'!"&amp;ADDRESS(ROW(TB!I589),COLUMN(TB!I589),4),I589)</f>
        <v>-787982.98</v>
      </c>
      <c r="J870" s="2204">
        <f ca="1">HYPERLINK("#'"&amp;$G$1&amp;"'!"&amp;ADDRESS(ROW(TB!J589),COLUMN(TB!J589),4),J589)</f>
        <v>13291633.890000001</v>
      </c>
      <c r="K870" s="737"/>
      <c r="L870" s="737"/>
      <c r="M870" s="2200">
        <f ca="1">HYPERLINK("#'"&amp;$G$1&amp;"'!"&amp;ADDRESS(ROW(TB!M589),COLUMN(TB!M589),4),M589)</f>
        <v>13291633.890000001</v>
      </c>
    </row>
    <row r="871" spans="1:13" ht="18">
      <c r="A871" s="1650" t="s">
        <v>2565</v>
      </c>
      <c r="D871" s="957"/>
      <c r="E871" s="942" t="s">
        <v>2580</v>
      </c>
      <c r="F871" s="943">
        <f ca="1">ROUND(F869-F870,2)</f>
        <v>0</v>
      </c>
      <c r="G871" s="737"/>
      <c r="H871" s="737"/>
      <c r="I871" s="952">
        <f ca="1">ROUND(I869-I870,2)</f>
        <v>0</v>
      </c>
      <c r="J871" s="943">
        <f ca="1">ROUND(J869-J870,2)</f>
        <v>0</v>
      </c>
      <c r="K871" s="737"/>
      <c r="L871" s="737"/>
      <c r="M871" s="953">
        <f ca="1">ROUND(M869-M870,2)</f>
        <v>0</v>
      </c>
    </row>
    <row r="872" spans="1:13" ht="18">
      <c r="A872" s="1650" t="s">
        <v>2565</v>
      </c>
      <c r="D872" s="957"/>
      <c r="E872" s="944"/>
      <c r="F872" s="945" t="str">
        <f ca="1">IF(F871=0,"√","×")</f>
        <v>√</v>
      </c>
      <c r="G872" s="641"/>
      <c r="H872" s="641"/>
      <c r="I872" s="954" t="str">
        <f ca="1">IF(I871=0,"√","×")</f>
        <v>√</v>
      </c>
      <c r="J872" s="945" t="str">
        <f ca="1">IF(J871=0,"√","×")</f>
        <v>√</v>
      </c>
      <c r="K872" s="641"/>
      <c r="L872" s="641"/>
      <c r="M872" s="955" t="str">
        <f ca="1">IF(M871=0,"√","×")</f>
        <v>√</v>
      </c>
    </row>
    <row r="873" spans="1:13" ht="18">
      <c r="A873" s="1650" t="s">
        <v>2565</v>
      </c>
      <c r="D873" s="932" t="s">
        <v>428</v>
      </c>
      <c r="E873" s="940" t="str">
        <f>E123</f>
        <v>少数股东权益</v>
      </c>
      <c r="F873" s="2204">
        <f ca="1">HYPERLINK("#'"&amp;$G$1&amp;"'!"&amp;ADDRESS(ROW(TB!F123),COLUMN(TB!F123),4),F123)</f>
        <v>0</v>
      </c>
      <c r="G873" s="737"/>
      <c r="H873" s="737"/>
      <c r="I873" s="2199">
        <f ca="1">HYPERLINK("#'"&amp;$G$1&amp;"'!"&amp;ADDRESS(ROW(TB!I123),COLUMN(TB!I123),4),I123)</f>
        <v>0</v>
      </c>
      <c r="J873" s="2204">
        <f ca="1">HYPERLINK("#'"&amp;$G$1&amp;"'!"&amp;ADDRESS(ROW(TB!J123),COLUMN(TB!J123),4),J123)</f>
        <v>0</v>
      </c>
      <c r="K873" s="737"/>
      <c r="L873" s="737"/>
      <c r="M873" s="2200">
        <f ca="1">HYPERLINK("#'"&amp;$G$1&amp;"'!"&amp;ADDRESS(ROW(TB!M123),COLUMN(TB!M123),4),M123)</f>
        <v>0</v>
      </c>
    </row>
    <row r="874" spans="1:13" ht="18">
      <c r="A874" s="1650" t="s">
        <v>2565</v>
      </c>
      <c r="D874" s="932" t="s">
        <v>442</v>
      </c>
      <c r="E874" s="941" t="str">
        <f>E655</f>
        <v>少数股东权益_本期期末余额</v>
      </c>
      <c r="F874" s="2204">
        <f ca="1">HYPERLINK("#'"&amp;$G$1&amp;"'!"&amp;ADDRESS(ROW(TB!F655),COLUMN(TB!F655),4),F655)</f>
        <v>0</v>
      </c>
      <c r="G874" s="737"/>
      <c r="H874" s="737"/>
      <c r="I874" s="2202">
        <f ca="1">HYPERLINK("#'"&amp;$G$1&amp;"'!"&amp;ADDRESS(ROW(TB!I655),COLUMN(TB!I655),4),I655)</f>
        <v>0</v>
      </c>
      <c r="J874" s="2204">
        <f ca="1">HYPERLINK("#'"&amp;$G$1&amp;"'!"&amp;ADDRESS(ROW(TB!J655),COLUMN(TB!J655),4),J655)</f>
        <v>0</v>
      </c>
      <c r="K874" s="737"/>
      <c r="L874" s="737"/>
      <c r="M874" s="2200">
        <f ca="1">HYPERLINK("#'"&amp;$G$1&amp;"'!"&amp;ADDRESS(ROW(TB!M655),COLUMN(TB!M655),4),M655)</f>
        <v>0</v>
      </c>
    </row>
    <row r="875" spans="1:13" ht="18">
      <c r="A875" s="1650" t="s">
        <v>2565</v>
      </c>
      <c r="D875" s="957"/>
      <c r="E875" s="942" t="s">
        <v>2580</v>
      </c>
      <c r="F875" s="943">
        <f ca="1">ROUND(F873-F874,2)</f>
        <v>0</v>
      </c>
      <c r="G875" s="737"/>
      <c r="H875" s="737"/>
      <c r="I875" s="952">
        <f ca="1">ROUND(I873-I874,2)</f>
        <v>0</v>
      </c>
      <c r="J875" s="943">
        <f ca="1">ROUND(J873-J874,2)</f>
        <v>0</v>
      </c>
      <c r="K875" s="737"/>
      <c r="L875" s="737"/>
      <c r="M875" s="953">
        <f ca="1">ROUND(M873-M874,2)</f>
        <v>0</v>
      </c>
    </row>
    <row r="876" spans="1:13" ht="18">
      <c r="A876" s="1650" t="s">
        <v>2565</v>
      </c>
      <c r="D876" s="957"/>
      <c r="E876" s="944"/>
      <c r="F876" s="945" t="str">
        <f ca="1">IF(F875=0,"√","×")</f>
        <v>√</v>
      </c>
      <c r="G876" s="641"/>
      <c r="H876" s="641"/>
      <c r="I876" s="954" t="str">
        <f ca="1">IF(I875=0,"√","×")</f>
        <v>√</v>
      </c>
      <c r="J876" s="945" t="str">
        <f ca="1">IF(J875=0,"√","×")</f>
        <v>√</v>
      </c>
      <c r="K876" s="641"/>
      <c r="L876" s="641"/>
      <c r="M876" s="955" t="str">
        <f ca="1">IF(M875=0,"√","×")</f>
        <v>√</v>
      </c>
    </row>
    <row r="877" spans="1:13" ht="18">
      <c r="A877" s="1650" t="s">
        <v>2565</v>
      </c>
      <c r="D877" s="957"/>
      <c r="E877" s="958" t="s">
        <v>2572</v>
      </c>
      <c r="F877" s="959">
        <f ca="1">SUMIF($E$786:$E$876,"差       异",F786:F876)</f>
        <v>3430372.3</v>
      </c>
      <c r="G877" s="960"/>
      <c r="H877" s="960"/>
      <c r="I877" s="961">
        <f ca="1">SUMIF($E$786:$E$876,"差       异",I786:I876)</f>
        <v>0</v>
      </c>
      <c r="J877" s="959">
        <f ca="1">SUMIF($E$786:$E$876,"差       异",J786:J876)</f>
        <v>0</v>
      </c>
      <c r="K877" s="960"/>
      <c r="L877" s="960"/>
      <c r="M877" s="962">
        <f ca="1">SUMIF($E$786:$E$876,"差       异",M786:M876)</f>
        <v>0</v>
      </c>
    </row>
  </sheetData>
  <sheetProtection algorithmName="SHA-512" hashValue="dAlQdoqbwSTsO1bvfQLyKEhT+5pgOixrgzZN7T9FEITLCfYeSBDD0N0VALvqa9TcIVul3hPJnzxmWP+N4qA9GQ==" saltValue="LIp8DX+x1xzvInjD8HeDGQ==" spinCount="100000" sheet="1" scenarios="1" formatCells="0" autoFilter="0"/>
  <phoneticPr fontId="163" type="noConversion"/>
  <conditionalFormatting sqref="E9:E10">
    <cfRule type="expression" dxfId="67" priority="93" stopIfTrue="1">
      <formula>$A9="："</formula>
    </cfRule>
    <cfRule type="expression" dxfId="66" priority="94" stopIfTrue="1">
      <formula>$A9="＝"</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65" priority="92" stopIfTrue="1" operator="notEqual">
      <formula>0</formula>
    </cfRule>
  </conditionalFormatting>
  <conditionalFormatting sqref="F788 I788:J788 M788 F793 M793 I793:J793 F803 M803 I803:J803 F807 M807 F811 M811 F815 F819 F823 F827 F831 F835 I807:J807 I811:J811 F839 F843 F847 F851 F855 F859 F863 F867 F871 F875 M815 M819 M823 M827 M831 M835 M839 M843 M847 M851 M855 M859 M863 M867 M871 M875 I815:J815 I819:J819 I823:J823 I827:J827 I831:J831 I835:J835 I839:J839 I843:J843 I847:J847 I851:J851 I855:J855 I859:J859 I863:J863 I867:J867 I871:J871 I875:J875 F877:M877">
    <cfRule type="cellIs" dxfId="64" priority="3" stopIfTrue="1" operator="notEqual">
      <formula>0</formula>
    </cfRule>
  </conditionalFormatting>
  <conditionalFormatting sqref="F798 M798 I798:J798">
    <cfRule type="cellIs" dxfId="63" priority="2" stopIfTrue="1" operator="notEqual">
      <formula>0</formula>
    </cfRule>
  </conditionalFormatting>
  <conditionalFormatting sqref="F798 M798 I798:J798">
    <cfRule type="cellIs" dxfId="62" priority="1" stopIfTrue="1" operator="notEqual">
      <formula>0</formula>
    </cfRule>
  </conditionalFormatting>
  <dataValidations count="2">
    <dataValidation type="list" showDropDown="1" showErrorMessage="1" errorTitle="REAL" error="该单元格不能填写，显示为‘—’。" sqref="G737:H737">
      <formula1>"—"</formula1>
    </dataValidation>
    <dataValidation type="list" showDropDown="1" showErrorMessage="1" errorTitle="REAL" error="该单元格不能填写，显示为‘—’。" sqref="K737:L737">
      <formula1>"—"</formula1>
    </dataValidation>
  </dataValidations>
  <pageMargins left="0.78740157480314998" right="0" top="0.98425196850393704" bottom="0.98425196850393704" header="0.511811023622047" footer="0.511811023622047"/>
  <pageSetup paperSize="9" orientation="landscape" blackAndWhite="1"/>
  <headerFooter alignWithMargins="0"/>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sheetPr>
  <dimension ref="A1:X50"/>
  <sheetViews>
    <sheetView workbookViewId="0">
      <selection activeCell="H6245" sqref="H6245"/>
    </sheetView>
  </sheetViews>
  <sheetFormatPr defaultColWidth="9.140625" defaultRowHeight="12"/>
  <cols>
    <col min="1" max="1" width="0.140625" style="2754" customWidth="1"/>
    <col min="2" max="2" width="7.7109375" style="637" customWidth="1"/>
    <col min="3" max="7" width="0.140625" style="2754" customWidth="1"/>
    <col min="8" max="8" width="5.42578125" style="1" customWidth="1"/>
    <col min="9" max="9" width="6.28515625" style="1" customWidth="1"/>
    <col min="10" max="10" width="5.85546875" style="1" customWidth="1"/>
    <col min="11" max="11" width="28.7109375" style="1" customWidth="1"/>
    <col min="12" max="12" width="12.7109375" style="1" customWidth="1"/>
    <col min="13" max="13" width="10.7109375" style="1" customWidth="1"/>
    <col min="14" max="14" width="12.7109375" style="1" customWidth="1"/>
    <col min="15" max="16" width="14.7109375" style="1" customWidth="1"/>
    <col min="17" max="17" width="7.5703125" style="1" customWidth="1"/>
    <col min="18" max="18" width="25" style="1" customWidth="1"/>
    <col min="19" max="20" width="14.7109375" style="1" customWidth="1"/>
    <col min="21" max="16384" width="9.140625" style="1"/>
  </cols>
  <sheetData>
    <row r="1" spans="1:24" s="637" customFormat="1" ht="0.75" customHeight="1">
      <c r="A1" s="2749"/>
      <c r="B1" s="642"/>
      <c r="C1" s="2749"/>
      <c r="D1" s="2749"/>
      <c r="E1" s="2749"/>
      <c r="F1" s="2749"/>
      <c r="G1" s="2749"/>
      <c r="H1" s="642"/>
      <c r="I1" s="642"/>
      <c r="J1" s="642"/>
      <c r="K1" s="642"/>
      <c r="L1" s="642"/>
      <c r="M1" s="642"/>
      <c r="N1" s="642"/>
      <c r="O1" s="642"/>
      <c r="P1" s="642"/>
      <c r="Q1" s="642"/>
      <c r="R1" s="642"/>
      <c r="S1" s="642"/>
      <c r="T1" s="642"/>
      <c r="U1" s="720"/>
      <c r="V1" s="720"/>
      <c r="W1" s="720"/>
      <c r="X1" s="720"/>
    </row>
    <row r="2" spans="1:24" s="637" customFormat="1" ht="0.75" customHeight="1">
      <c r="A2" s="2749"/>
      <c r="B2" s="642"/>
      <c r="C2" s="2749"/>
      <c r="D2" s="2749"/>
      <c r="E2" s="2749"/>
      <c r="F2" s="2749"/>
      <c r="G2" s="2749"/>
      <c r="H2" s="642"/>
      <c r="I2" s="642"/>
      <c r="J2" s="642"/>
      <c r="K2" s="642"/>
      <c r="L2" s="642"/>
      <c r="M2" s="642"/>
      <c r="N2" s="642"/>
      <c r="O2" s="642"/>
      <c r="P2" s="642"/>
      <c r="Q2" s="642"/>
      <c r="R2" s="642"/>
      <c r="S2" s="642"/>
      <c r="T2" s="642"/>
      <c r="U2" s="720"/>
      <c r="V2" s="720"/>
      <c r="W2" s="720"/>
      <c r="X2" s="720"/>
    </row>
    <row r="3" spans="1:24"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IF($O3&lt;&gt;"","+",IF($P3&lt;&gt;"","-",""))</f>
        <v/>
      </c>
      <c r="K3" s="642"/>
      <c r="L3" s="642"/>
      <c r="M3" s="642"/>
      <c r="N3" s="642" t="str">
        <f>IF($K3="","",IF(VALUE(MID($C3,3,1))&lt;5,"流入","流出"))</f>
        <v/>
      </c>
      <c r="O3" s="642"/>
      <c r="P3" s="642"/>
      <c r="Q3" s="642" t="str">
        <f>IF(K3="","","BI")</f>
        <v/>
      </c>
      <c r="R3" s="642" t="str">
        <f>IF(COUNTBLANK(I3:Q3)=COLUMNS(I3:Q3),"",IF(AND(I3="",J3="",K3=""),"请输入...",IF(AND(J3&lt;&gt;"",J3&lt;&gt;"+",J3&lt;&gt;"-",K3&lt;&gt;""),"请在下一行输入报表项目！",IF(AND(K3&lt;&gt;"",O3="",P3=""),"请输入金额！",IF(AND(K3="",N3&amp;O3&amp;P3&lt;&gt;""),"请输入报表项目！",IF(AND(O3&lt;&gt;"",P3&lt;&gt;""),"同时对两个方向进行调整？",""))))))</f>
        <v/>
      </c>
      <c r="S3" s="642" t="str">
        <f>IF($N3="流入",$O3,IF($N3="流出",$P3,""))</f>
        <v/>
      </c>
      <c r="T3" s="642" t="str">
        <f>IF($N3="流入",$P3,IF($N3="流出",$O3,""))</f>
        <v/>
      </c>
      <c r="U3" s="720"/>
      <c r="V3" s="720"/>
      <c r="W3" s="720"/>
      <c r="X3" s="720"/>
    </row>
    <row r="4" spans="1:24" s="638" customFormat="1" ht="15" customHeight="1">
      <c r="A4" s="2750"/>
      <c r="B4" s="644"/>
      <c r="C4" s="2755"/>
      <c r="D4" s="2755"/>
      <c r="E4" s="2755"/>
      <c r="F4" s="2755">
        <f>LARGE(I8:I40,1)</f>
        <v>0</v>
      </c>
      <c r="G4" s="2750"/>
      <c r="H4" s="645"/>
      <c r="I4" s="661" t="s">
        <v>2520</v>
      </c>
      <c r="J4" s="662" t="str">
        <f>Lead!$C$5</f>
        <v>福建省力菲克药业有限公司</v>
      </c>
      <c r="K4" s="663"/>
      <c r="L4" s="664"/>
      <c r="M4" s="665" t="s">
        <v>2521</v>
      </c>
      <c r="N4" s="666"/>
      <c r="O4" s="667" t="s">
        <v>2501</v>
      </c>
      <c r="P4" s="668" t="str">
        <f>IF(R41="平衡!","",R41)</f>
        <v/>
      </c>
      <c r="Q4" s="723"/>
      <c r="R4" s="645"/>
      <c r="S4" s="645"/>
      <c r="T4" s="645"/>
      <c r="U4" s="743"/>
      <c r="V4" s="743"/>
      <c r="W4" s="743"/>
      <c r="X4" s="743"/>
    </row>
    <row r="5" spans="1:24" s="639" customFormat="1" ht="15" customHeight="1">
      <c r="A5" s="2751"/>
      <c r="B5" s="644"/>
      <c r="C5" s="2755"/>
      <c r="D5" s="2755"/>
      <c r="E5" s="2755"/>
      <c r="F5" s="2755"/>
      <c r="G5" s="2750"/>
      <c r="H5" s="646"/>
      <c r="I5" s="661" t="s">
        <v>2522</v>
      </c>
      <c r="J5" s="814" t="s">
        <v>2700</v>
      </c>
      <c r="K5" s="670"/>
      <c r="L5" s="671" t="s">
        <v>2450</v>
      </c>
      <c r="M5" s="672" t="str">
        <f>Lead!$E$9</f>
        <v>孙健</v>
      </c>
      <c r="N5" s="673"/>
      <c r="O5" s="674">
        <f>Lead!$F$9</f>
        <v>43864</v>
      </c>
      <c r="P5" s="675" t="s">
        <v>6591</v>
      </c>
      <c r="Q5" s="725"/>
      <c r="R5" s="645"/>
      <c r="S5" s="646"/>
      <c r="T5" s="646"/>
      <c r="U5" s="727"/>
      <c r="V5" s="727"/>
      <c r="W5" s="727"/>
      <c r="X5" s="727"/>
    </row>
    <row r="6" spans="1:24" s="639" customFormat="1" ht="15" customHeight="1">
      <c r="A6" s="2751"/>
      <c r="B6" s="644"/>
      <c r="C6" s="2755"/>
      <c r="D6" s="2755"/>
      <c r="E6" s="2755"/>
      <c r="F6" s="2755"/>
      <c r="G6" s="2750"/>
      <c r="H6" s="646"/>
      <c r="I6" s="661" t="s">
        <v>2436</v>
      </c>
      <c r="J6" s="676" t="str">
        <f>Lead!$F$7</f>
        <v>2019年度</v>
      </c>
      <c r="K6" s="670"/>
      <c r="L6" s="671" t="s">
        <v>2457</v>
      </c>
      <c r="M6" s="677">
        <f>Lead!$E$10</f>
        <v>0</v>
      </c>
      <c r="N6" s="678"/>
      <c r="O6" s="674">
        <f>Lead!$F$10</f>
        <v>0</v>
      </c>
      <c r="P6" s="675" t="s">
        <v>2525</v>
      </c>
      <c r="Q6" s="726"/>
      <c r="R6" s="645"/>
      <c r="S6" s="646"/>
      <c r="T6" s="646"/>
      <c r="U6" s="727"/>
      <c r="V6" s="727"/>
      <c r="W6" s="727"/>
      <c r="X6" s="727"/>
    </row>
    <row r="7" spans="1:24" s="639" customFormat="1" ht="9.75" customHeight="1">
      <c r="A7" s="2751"/>
      <c r="B7" s="644"/>
      <c r="C7" s="2755"/>
      <c r="D7" s="2755"/>
      <c r="E7" s="2755"/>
      <c r="F7" s="2755"/>
      <c r="G7" s="2756"/>
      <c r="H7" s="647"/>
      <c r="I7" s="647"/>
      <c r="J7" s="646"/>
      <c r="K7" s="646"/>
      <c r="L7" s="679"/>
      <c r="M7" s="680"/>
      <c r="N7" s="681"/>
      <c r="O7" s="682"/>
      <c r="P7" s="683"/>
      <c r="Q7" s="646"/>
      <c r="R7" s="645"/>
      <c r="S7" s="646"/>
      <c r="T7" s="646"/>
      <c r="U7" s="727"/>
      <c r="V7" s="727"/>
      <c r="W7" s="727"/>
      <c r="X7" s="727"/>
    </row>
    <row r="8" spans="1:24" ht="32.25" customHeight="1">
      <c r="A8" s="2749"/>
      <c r="B8" s="2778" t="s">
        <v>6599</v>
      </c>
      <c r="C8" s="2757" t="s">
        <v>2526</v>
      </c>
      <c r="D8" s="2757" t="s">
        <v>2665</v>
      </c>
      <c r="E8" s="2757" t="s">
        <v>2666</v>
      </c>
      <c r="F8" s="2757" t="s">
        <v>2667</v>
      </c>
      <c r="G8" s="2758" t="s">
        <v>2436</v>
      </c>
      <c r="H8" s="648" t="s">
        <v>2668</v>
      </c>
      <c r="I8" s="648" t="s">
        <v>2528</v>
      </c>
      <c r="J8" s="684" t="s">
        <v>2669</v>
      </c>
      <c r="K8" s="684" t="s">
        <v>2529</v>
      </c>
      <c r="L8" s="684" t="s">
        <v>2542</v>
      </c>
      <c r="M8" s="684" t="s">
        <v>2547</v>
      </c>
      <c r="N8" s="684" t="s">
        <v>2701</v>
      </c>
      <c r="O8" s="684" t="s">
        <v>2702</v>
      </c>
      <c r="P8" s="728" t="s">
        <v>2703</v>
      </c>
      <c r="Q8" s="728" t="s">
        <v>2650</v>
      </c>
      <c r="R8" s="831" t="s">
        <v>2687</v>
      </c>
      <c r="S8" s="832" t="s">
        <v>2674</v>
      </c>
      <c r="T8" s="832" t="s">
        <v>2675</v>
      </c>
      <c r="U8" s="641"/>
      <c r="V8" s="641"/>
      <c r="W8" s="641"/>
      <c r="X8" s="641"/>
    </row>
    <row r="9" spans="1:24"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810"/>
      <c r="I9" s="779">
        <v>0</v>
      </c>
      <c r="J9" s="688"/>
      <c r="K9" s="689"/>
      <c r="L9" s="689"/>
      <c r="M9" s="689"/>
      <c r="N9" s="151" t="str">
        <f>IF($K9="","",IF(VALUE(MID($C9,3,1))&lt;5,"流入","流出"))</f>
        <v/>
      </c>
      <c r="O9" s="211"/>
      <c r="P9" s="212"/>
      <c r="Q9" s="731" t="str">
        <f>IF(K9="","","BI")</f>
        <v/>
      </c>
      <c r="R9" s="833" t="str">
        <f>IF(COUNTBLANK(I9:Q9)=COLUMNS(I9:Q9),"",IF(AND(I9="",J9="",K9=""),"请输入...",IF(AND(J9&lt;&gt;"",J9&lt;&gt;"+",J9&lt;&gt;"-",K9&lt;&gt;""),"请在下一行输入报表项目！",IF(AND(K9&lt;&gt;"",O9="",P9=""),"请输入金额！",IF(AND(K9="",N9&amp;O9&amp;P9&lt;&gt;""),"请输入报表项目！",IF(AND(O9&lt;&gt;"",P9&lt;&gt;""),"同时对两个方向进行调整？",""))))))</f>
        <v/>
      </c>
      <c r="S9" s="834" t="str">
        <f>IF($N9="流入",$O9,IF($N9="流出",$P9,""))</f>
        <v/>
      </c>
      <c r="T9" s="834" t="str">
        <f>IF($N9="流入",$P9,IF($N9="流出",$O9,""))</f>
        <v/>
      </c>
      <c r="U9" s="641"/>
      <c r="V9" s="641"/>
      <c r="W9" s="641"/>
      <c r="X9" s="641"/>
    </row>
    <row r="10" spans="1:24" ht="18">
      <c r="A10" s="2752"/>
      <c r="B10" s="2779" t="str">
        <f>IF($K10="","","J"&amp;$C10)</f>
        <v/>
      </c>
      <c r="C10" s="2749" t="str">
        <f t="shared" si="0"/>
        <v/>
      </c>
      <c r="D10" s="2749" t="str">
        <f t="shared" si="1"/>
        <v/>
      </c>
      <c r="E10" s="2749" t="str">
        <f t="shared" si="2"/>
        <v/>
      </c>
      <c r="F10" s="2749">
        <f t="shared" si="3"/>
        <v>2E-3</v>
      </c>
      <c r="G10" s="2759" t="str">
        <f t="shared" ref="G10:G38" si="4">IF(TRIM($J10&amp;$K10&amp;$O10&amp;$P10)="","","本期")</f>
        <v/>
      </c>
      <c r="H10" s="650"/>
      <c r="I10" s="691"/>
      <c r="J10" s="692" t="str">
        <f>IF($O10&lt;&gt;"","+",IF($P10&lt;&gt;"","-",""))</f>
        <v/>
      </c>
      <c r="K10" s="689"/>
      <c r="L10" s="693"/>
      <c r="M10" s="689"/>
      <c r="N10" s="151" t="str">
        <f t="shared" ref="N10:N38" si="5">IF($K10="","",IF(VALUE(MID($C10,3,1))&lt;5,"流入","流出"))</f>
        <v/>
      </c>
      <c r="O10" s="193"/>
      <c r="P10" s="215"/>
      <c r="Q10" s="735" t="str">
        <f t="shared" ref="Q10:Q38" si="6">IF(K10="","","BI")</f>
        <v/>
      </c>
      <c r="R10" s="833" t="str">
        <f t="shared" ref="R10:R38" si="7">IF(COUNTBLANK(I10:Q10)=COLUMNS(I10:Q10),"",IF(AND(I10="",J10="",K10=""),"请输入...",IF(AND(J10&lt;&gt;"",J10&lt;&gt;"+",J10&lt;&gt;"-",K10&lt;&gt;""),"请在下一行输入报表项目！",IF(AND(K10&lt;&gt;"",O10="",P10=""),"请输入金额！",IF(AND(K10="",N10&amp;O10&amp;P10&lt;&gt;""),"请输入报表项目！",IF(AND(O10&lt;&gt;"",P10&lt;&gt;""),"同时对两个方向进行调整？",""))))))</f>
        <v/>
      </c>
      <c r="S10" s="835" t="str">
        <f>IF($N10="流入",$O10,IF($N10="流出",$P10,""))</f>
        <v/>
      </c>
      <c r="T10" s="835" t="str">
        <f>IF($N10="流入",$P10,IF($N10="流出",$O10,""))</f>
        <v/>
      </c>
      <c r="U10" s="641"/>
      <c r="V10" s="641"/>
      <c r="W10" s="641"/>
      <c r="X10" s="641"/>
    </row>
    <row r="11" spans="1:24" ht="18">
      <c r="A11" s="2752"/>
      <c r="B11" s="2779" t="str">
        <f t="shared" ref="B11:B38" si="8">IF($K11="","","J"&amp;$C11)</f>
        <v/>
      </c>
      <c r="C11" s="2749" t="str">
        <f t="shared" si="0"/>
        <v/>
      </c>
      <c r="D11" s="2749" t="str">
        <f t="shared" si="1"/>
        <v/>
      </c>
      <c r="E11" s="2749" t="str">
        <f t="shared" si="2"/>
        <v/>
      </c>
      <c r="F11" s="2749">
        <f t="shared" si="3"/>
        <v>3.0000000000000001E-3</v>
      </c>
      <c r="G11" s="2759" t="str">
        <f t="shared" si="4"/>
        <v/>
      </c>
      <c r="H11" s="650"/>
      <c r="I11" s="691"/>
      <c r="J11" s="692" t="str">
        <f t="shared" ref="J11:J38" si="9">IF($O11&lt;&gt;"","+",IF($P11&lt;&gt;"","-",""))</f>
        <v/>
      </c>
      <c r="K11" s="689"/>
      <c r="L11" s="693"/>
      <c r="M11" s="689"/>
      <c r="N11" s="151" t="str">
        <f t="shared" si="5"/>
        <v/>
      </c>
      <c r="O11" s="193"/>
      <c r="P11" s="215"/>
      <c r="Q11" s="735" t="str">
        <f t="shared" si="6"/>
        <v/>
      </c>
      <c r="R11" s="833" t="str">
        <f t="shared" si="7"/>
        <v/>
      </c>
      <c r="S11" s="835" t="str">
        <f t="shared" ref="S11:S38" si="10">IF($N11="流入",$O11,IF($N11="流出",$P11,""))</f>
        <v/>
      </c>
      <c r="T11" s="835" t="str">
        <f t="shared" ref="T11:T38" si="11">IF($N11="流入",$P11,IF($N11="流出",$O11,""))</f>
        <v/>
      </c>
      <c r="U11" s="641"/>
      <c r="V11" s="641"/>
      <c r="W11" s="641"/>
      <c r="X11" s="641"/>
    </row>
    <row r="12" spans="1:24" ht="18">
      <c r="A12" s="2752"/>
      <c r="B12" s="2779" t="str">
        <f t="shared" si="8"/>
        <v/>
      </c>
      <c r="C12" s="2749" t="str">
        <f t="shared" si="0"/>
        <v/>
      </c>
      <c r="D12" s="2749" t="str">
        <f t="shared" si="1"/>
        <v/>
      </c>
      <c r="E12" s="2749" t="str">
        <f t="shared" si="2"/>
        <v/>
      </c>
      <c r="F12" s="2749">
        <f t="shared" si="3"/>
        <v>4.0000000000000001E-3</v>
      </c>
      <c r="G12" s="2759" t="str">
        <f t="shared" si="4"/>
        <v/>
      </c>
      <c r="H12" s="650"/>
      <c r="I12" s="691"/>
      <c r="J12" s="692" t="str">
        <f t="shared" si="9"/>
        <v/>
      </c>
      <c r="K12" s="689"/>
      <c r="L12" s="693"/>
      <c r="M12" s="689"/>
      <c r="N12" s="151" t="str">
        <f t="shared" si="5"/>
        <v/>
      </c>
      <c r="O12" s="193"/>
      <c r="P12" s="215"/>
      <c r="Q12" s="735" t="str">
        <f t="shared" si="6"/>
        <v/>
      </c>
      <c r="R12" s="833" t="str">
        <f t="shared" si="7"/>
        <v/>
      </c>
      <c r="S12" s="835" t="str">
        <f t="shared" si="10"/>
        <v/>
      </c>
      <c r="T12" s="835" t="str">
        <f t="shared" si="11"/>
        <v/>
      </c>
      <c r="U12" s="641"/>
      <c r="V12" s="641"/>
      <c r="W12" s="641"/>
      <c r="X12" s="641"/>
    </row>
    <row r="13" spans="1:24" ht="18">
      <c r="A13" s="2752"/>
      <c r="B13" s="2779" t="str">
        <f t="shared" si="8"/>
        <v/>
      </c>
      <c r="C13" s="2749" t="str">
        <f t="shared" si="0"/>
        <v/>
      </c>
      <c r="D13" s="2749" t="str">
        <f t="shared" si="1"/>
        <v/>
      </c>
      <c r="E13" s="2749" t="str">
        <f t="shared" si="2"/>
        <v/>
      </c>
      <c r="F13" s="2749">
        <f t="shared" si="3"/>
        <v>5.0000000000000001E-3</v>
      </c>
      <c r="G13" s="2759" t="str">
        <f t="shared" si="4"/>
        <v/>
      </c>
      <c r="H13" s="650"/>
      <c r="I13" s="691"/>
      <c r="J13" s="692" t="str">
        <f t="shared" si="9"/>
        <v/>
      </c>
      <c r="K13" s="689"/>
      <c r="L13" s="693"/>
      <c r="M13" s="689"/>
      <c r="N13" s="151" t="str">
        <f t="shared" si="5"/>
        <v/>
      </c>
      <c r="O13" s="193"/>
      <c r="P13" s="215"/>
      <c r="Q13" s="735" t="str">
        <f t="shared" si="6"/>
        <v/>
      </c>
      <c r="R13" s="833" t="str">
        <f t="shared" si="7"/>
        <v/>
      </c>
      <c r="S13" s="835" t="str">
        <f t="shared" si="10"/>
        <v/>
      </c>
      <c r="T13" s="835" t="str">
        <f t="shared" si="11"/>
        <v/>
      </c>
      <c r="U13" s="641"/>
      <c r="V13" s="641"/>
      <c r="W13" s="641"/>
      <c r="X13" s="641"/>
    </row>
    <row r="14" spans="1:24" ht="18">
      <c r="A14" s="2752"/>
      <c r="B14" s="2779" t="str">
        <f t="shared" si="8"/>
        <v/>
      </c>
      <c r="C14" s="2749" t="str">
        <f t="shared" si="0"/>
        <v/>
      </c>
      <c r="D14" s="2749" t="str">
        <f t="shared" si="1"/>
        <v/>
      </c>
      <c r="E14" s="2749" t="str">
        <f t="shared" si="2"/>
        <v/>
      </c>
      <c r="F14" s="2749">
        <f t="shared" si="3"/>
        <v>6.0000000000000001E-3</v>
      </c>
      <c r="G14" s="2759" t="str">
        <f t="shared" si="4"/>
        <v/>
      </c>
      <c r="H14" s="650"/>
      <c r="I14" s="691"/>
      <c r="J14" s="692" t="str">
        <f t="shared" si="9"/>
        <v/>
      </c>
      <c r="K14" s="689"/>
      <c r="L14" s="693"/>
      <c r="M14" s="689"/>
      <c r="N14" s="151" t="str">
        <f t="shared" si="5"/>
        <v/>
      </c>
      <c r="O14" s="193"/>
      <c r="P14" s="215"/>
      <c r="Q14" s="735" t="str">
        <f t="shared" si="6"/>
        <v/>
      </c>
      <c r="R14" s="833" t="str">
        <f t="shared" si="7"/>
        <v/>
      </c>
      <c r="S14" s="835" t="str">
        <f t="shared" si="10"/>
        <v/>
      </c>
      <c r="T14" s="835" t="str">
        <f t="shared" si="11"/>
        <v/>
      </c>
      <c r="U14" s="641"/>
      <c r="V14" s="641"/>
      <c r="W14" s="641"/>
      <c r="X14" s="641"/>
    </row>
    <row r="15" spans="1:24" ht="18">
      <c r="A15" s="2752"/>
      <c r="B15" s="2779" t="str">
        <f t="shared" si="8"/>
        <v/>
      </c>
      <c r="C15" s="2749" t="str">
        <f t="shared" si="0"/>
        <v/>
      </c>
      <c r="D15" s="2749" t="str">
        <f t="shared" si="1"/>
        <v/>
      </c>
      <c r="E15" s="2749" t="str">
        <f t="shared" si="2"/>
        <v/>
      </c>
      <c r="F15" s="2749">
        <f t="shared" si="3"/>
        <v>7.0000000000000001E-3</v>
      </c>
      <c r="G15" s="2759" t="str">
        <f t="shared" si="4"/>
        <v/>
      </c>
      <c r="H15" s="650"/>
      <c r="I15" s="691"/>
      <c r="J15" s="692" t="str">
        <f t="shared" si="9"/>
        <v/>
      </c>
      <c r="K15" s="689"/>
      <c r="L15" s="693"/>
      <c r="M15" s="689"/>
      <c r="N15" s="151" t="str">
        <f t="shared" si="5"/>
        <v/>
      </c>
      <c r="O15" s="193"/>
      <c r="P15" s="215"/>
      <c r="Q15" s="735" t="str">
        <f t="shared" si="6"/>
        <v/>
      </c>
      <c r="R15" s="833" t="str">
        <f t="shared" si="7"/>
        <v/>
      </c>
      <c r="S15" s="835" t="str">
        <f t="shared" si="10"/>
        <v/>
      </c>
      <c r="T15" s="835" t="str">
        <f t="shared" si="11"/>
        <v/>
      </c>
      <c r="U15" s="641"/>
      <c r="V15" s="641"/>
      <c r="W15" s="641"/>
      <c r="X15" s="641"/>
    </row>
    <row r="16" spans="1:24" ht="18">
      <c r="A16" s="2752"/>
      <c r="B16" s="2779" t="str">
        <f t="shared" si="8"/>
        <v/>
      </c>
      <c r="C16" s="2749" t="str">
        <f t="shared" si="0"/>
        <v/>
      </c>
      <c r="D16" s="2749" t="str">
        <f t="shared" si="1"/>
        <v/>
      </c>
      <c r="E16" s="2749" t="str">
        <f t="shared" si="2"/>
        <v/>
      </c>
      <c r="F16" s="2749">
        <f t="shared" si="3"/>
        <v>8.0000000000000002E-3</v>
      </c>
      <c r="G16" s="2759" t="str">
        <f t="shared" si="4"/>
        <v/>
      </c>
      <c r="H16" s="650"/>
      <c r="I16" s="691"/>
      <c r="J16" s="692" t="str">
        <f t="shared" si="9"/>
        <v/>
      </c>
      <c r="K16" s="689"/>
      <c r="L16" s="693"/>
      <c r="M16" s="689"/>
      <c r="N16" s="151" t="str">
        <f t="shared" si="5"/>
        <v/>
      </c>
      <c r="O16" s="193"/>
      <c r="P16" s="215"/>
      <c r="Q16" s="735" t="str">
        <f t="shared" si="6"/>
        <v/>
      </c>
      <c r="R16" s="833" t="str">
        <f t="shared" si="7"/>
        <v/>
      </c>
      <c r="S16" s="835" t="str">
        <f t="shared" si="10"/>
        <v/>
      </c>
      <c r="T16" s="835" t="str">
        <f t="shared" si="11"/>
        <v/>
      </c>
      <c r="U16" s="641"/>
      <c r="V16" s="641"/>
      <c r="W16" s="641"/>
      <c r="X16" s="641"/>
    </row>
    <row r="17" spans="1:24" ht="18">
      <c r="A17" s="2752"/>
      <c r="B17" s="2779" t="str">
        <f t="shared" si="8"/>
        <v/>
      </c>
      <c r="C17" s="2749" t="str">
        <f t="shared" si="0"/>
        <v/>
      </c>
      <c r="D17" s="2749" t="str">
        <f t="shared" si="1"/>
        <v/>
      </c>
      <c r="E17" s="2749" t="str">
        <f t="shared" si="2"/>
        <v/>
      </c>
      <c r="F17" s="2749">
        <f t="shared" si="3"/>
        <v>8.9999999999999993E-3</v>
      </c>
      <c r="G17" s="2759" t="str">
        <f t="shared" si="4"/>
        <v/>
      </c>
      <c r="H17" s="650"/>
      <c r="I17" s="691"/>
      <c r="J17" s="692" t="str">
        <f t="shared" si="9"/>
        <v/>
      </c>
      <c r="K17" s="689"/>
      <c r="L17" s="693"/>
      <c r="M17" s="689"/>
      <c r="N17" s="151" t="str">
        <f t="shared" si="5"/>
        <v/>
      </c>
      <c r="O17" s="193"/>
      <c r="P17" s="215"/>
      <c r="Q17" s="735" t="str">
        <f t="shared" si="6"/>
        <v/>
      </c>
      <c r="R17" s="833" t="str">
        <f t="shared" si="7"/>
        <v/>
      </c>
      <c r="S17" s="835" t="str">
        <f t="shared" si="10"/>
        <v/>
      </c>
      <c r="T17" s="835" t="str">
        <f t="shared" si="11"/>
        <v/>
      </c>
      <c r="U17" s="641"/>
      <c r="V17" s="641"/>
      <c r="W17" s="641"/>
      <c r="X17" s="641"/>
    </row>
    <row r="18" spans="1:24" ht="18">
      <c r="A18" s="2752"/>
      <c r="B18" s="2779" t="str">
        <f t="shared" si="8"/>
        <v/>
      </c>
      <c r="C18" s="2749" t="str">
        <f t="shared" si="0"/>
        <v/>
      </c>
      <c r="D18" s="2749" t="str">
        <f t="shared" si="1"/>
        <v/>
      </c>
      <c r="E18" s="2749" t="str">
        <f t="shared" si="2"/>
        <v/>
      </c>
      <c r="F18" s="2749">
        <f t="shared" si="3"/>
        <v>0.01</v>
      </c>
      <c r="G18" s="2759" t="str">
        <f t="shared" si="4"/>
        <v/>
      </c>
      <c r="H18" s="650"/>
      <c r="I18" s="691"/>
      <c r="J18" s="692" t="str">
        <f t="shared" si="9"/>
        <v/>
      </c>
      <c r="K18" s="689"/>
      <c r="L18" s="693"/>
      <c r="M18" s="689"/>
      <c r="N18" s="151" t="str">
        <f t="shared" si="5"/>
        <v/>
      </c>
      <c r="O18" s="193"/>
      <c r="P18" s="215"/>
      <c r="Q18" s="735" t="str">
        <f t="shared" si="6"/>
        <v/>
      </c>
      <c r="R18" s="833" t="str">
        <f t="shared" si="7"/>
        <v/>
      </c>
      <c r="S18" s="835" t="str">
        <f t="shared" si="10"/>
        <v/>
      </c>
      <c r="T18" s="835" t="str">
        <f t="shared" si="11"/>
        <v/>
      </c>
      <c r="U18" s="641"/>
      <c r="V18" s="641"/>
      <c r="W18" s="641"/>
      <c r="X18" s="641"/>
    </row>
    <row r="19" spans="1:24" ht="18">
      <c r="A19" s="2752"/>
      <c r="B19" s="2779" t="str">
        <f t="shared" si="8"/>
        <v/>
      </c>
      <c r="C19" s="2749" t="str">
        <f t="shared" si="0"/>
        <v/>
      </c>
      <c r="D19" s="2749" t="str">
        <f t="shared" si="1"/>
        <v/>
      </c>
      <c r="E19" s="2749" t="str">
        <f t="shared" si="2"/>
        <v/>
      </c>
      <c r="F19" s="2749">
        <f t="shared" si="3"/>
        <v>1.0999999999999999E-2</v>
      </c>
      <c r="G19" s="2759" t="str">
        <f t="shared" si="4"/>
        <v/>
      </c>
      <c r="H19" s="650"/>
      <c r="I19" s="691"/>
      <c r="J19" s="692" t="str">
        <f t="shared" si="9"/>
        <v/>
      </c>
      <c r="K19" s="689"/>
      <c r="L19" s="693"/>
      <c r="M19" s="689"/>
      <c r="N19" s="151" t="str">
        <f t="shared" si="5"/>
        <v/>
      </c>
      <c r="O19" s="193"/>
      <c r="P19" s="215"/>
      <c r="Q19" s="735" t="str">
        <f t="shared" si="6"/>
        <v/>
      </c>
      <c r="R19" s="833" t="str">
        <f t="shared" si="7"/>
        <v/>
      </c>
      <c r="S19" s="835" t="str">
        <f t="shared" si="10"/>
        <v/>
      </c>
      <c r="T19" s="835" t="str">
        <f t="shared" si="11"/>
        <v/>
      </c>
      <c r="U19" s="641"/>
      <c r="V19" s="641"/>
      <c r="W19" s="641"/>
      <c r="X19" s="641"/>
    </row>
    <row r="20" spans="1:24" ht="18">
      <c r="A20" s="2752"/>
      <c r="B20" s="2779" t="str">
        <f t="shared" si="8"/>
        <v/>
      </c>
      <c r="C20" s="2749" t="str">
        <f t="shared" si="0"/>
        <v/>
      </c>
      <c r="D20" s="2749" t="str">
        <f t="shared" si="1"/>
        <v/>
      </c>
      <c r="E20" s="2749" t="str">
        <f t="shared" si="2"/>
        <v/>
      </c>
      <c r="F20" s="2749">
        <f t="shared" si="3"/>
        <v>1.2E-2</v>
      </c>
      <c r="G20" s="2759" t="str">
        <f t="shared" si="4"/>
        <v/>
      </c>
      <c r="H20" s="650"/>
      <c r="I20" s="691"/>
      <c r="J20" s="692" t="str">
        <f t="shared" si="9"/>
        <v/>
      </c>
      <c r="K20" s="689"/>
      <c r="L20" s="693"/>
      <c r="M20" s="689"/>
      <c r="N20" s="151" t="str">
        <f t="shared" si="5"/>
        <v/>
      </c>
      <c r="O20" s="193"/>
      <c r="P20" s="215"/>
      <c r="Q20" s="735" t="str">
        <f t="shared" si="6"/>
        <v/>
      </c>
      <c r="R20" s="833" t="str">
        <f t="shared" si="7"/>
        <v/>
      </c>
      <c r="S20" s="835" t="str">
        <f t="shared" si="10"/>
        <v/>
      </c>
      <c r="T20" s="835" t="str">
        <f t="shared" si="11"/>
        <v/>
      </c>
      <c r="U20" s="641"/>
      <c r="V20" s="641"/>
      <c r="W20" s="641"/>
      <c r="X20" s="641"/>
    </row>
    <row r="21" spans="1:24" ht="18">
      <c r="A21" s="2752"/>
      <c r="B21" s="2779" t="str">
        <f t="shared" si="8"/>
        <v/>
      </c>
      <c r="C21" s="2749" t="str">
        <f t="shared" si="0"/>
        <v/>
      </c>
      <c r="D21" s="2749" t="str">
        <f t="shared" si="1"/>
        <v/>
      </c>
      <c r="E21" s="2749" t="str">
        <f t="shared" si="2"/>
        <v/>
      </c>
      <c r="F21" s="2749">
        <f t="shared" si="3"/>
        <v>1.2999999999999999E-2</v>
      </c>
      <c r="G21" s="2759" t="str">
        <f t="shared" si="4"/>
        <v/>
      </c>
      <c r="H21" s="650"/>
      <c r="I21" s="691"/>
      <c r="J21" s="692" t="str">
        <f t="shared" si="9"/>
        <v/>
      </c>
      <c r="K21" s="689"/>
      <c r="L21" s="693"/>
      <c r="M21" s="689"/>
      <c r="N21" s="151" t="str">
        <f t="shared" si="5"/>
        <v/>
      </c>
      <c r="O21" s="193"/>
      <c r="P21" s="215"/>
      <c r="Q21" s="735" t="str">
        <f t="shared" si="6"/>
        <v/>
      </c>
      <c r="R21" s="833" t="str">
        <f t="shared" si="7"/>
        <v/>
      </c>
      <c r="S21" s="835" t="str">
        <f t="shared" si="10"/>
        <v/>
      </c>
      <c r="T21" s="835" t="str">
        <f t="shared" si="11"/>
        <v/>
      </c>
      <c r="U21" s="641"/>
      <c r="V21" s="641"/>
      <c r="W21" s="641"/>
      <c r="X21" s="641"/>
    </row>
    <row r="22" spans="1:24" ht="18">
      <c r="A22" s="2752"/>
      <c r="B22" s="2779" t="str">
        <f>IF($K22="","","J"&amp;$C22)</f>
        <v/>
      </c>
      <c r="C22" s="2749" t="str">
        <f t="shared" si="0"/>
        <v/>
      </c>
      <c r="D22" s="2749" t="str">
        <f t="shared" si="1"/>
        <v/>
      </c>
      <c r="E22" s="2749" t="str">
        <f t="shared" si="2"/>
        <v/>
      </c>
      <c r="F22" s="2749">
        <f t="shared" si="3"/>
        <v>1.4E-2</v>
      </c>
      <c r="G22" s="2759" t="str">
        <f t="shared" si="4"/>
        <v/>
      </c>
      <c r="H22" s="650"/>
      <c r="I22" s="691"/>
      <c r="J22" s="692" t="str">
        <f t="shared" si="9"/>
        <v/>
      </c>
      <c r="K22" s="689"/>
      <c r="L22" s="693"/>
      <c r="M22" s="689"/>
      <c r="N22" s="151" t="str">
        <f t="shared" si="5"/>
        <v/>
      </c>
      <c r="O22" s="193"/>
      <c r="P22" s="215"/>
      <c r="Q22" s="735" t="str">
        <f t="shared" si="6"/>
        <v/>
      </c>
      <c r="R22" s="833" t="str">
        <f t="shared" si="7"/>
        <v/>
      </c>
      <c r="S22" s="835" t="str">
        <f t="shared" si="10"/>
        <v/>
      </c>
      <c r="T22" s="835" t="str">
        <f t="shared" si="11"/>
        <v/>
      </c>
      <c r="U22" s="641"/>
      <c r="V22" s="641"/>
      <c r="W22" s="641"/>
      <c r="X22" s="641"/>
    </row>
    <row r="23" spans="1:24" ht="18">
      <c r="A23" s="2752"/>
      <c r="B23" s="2779" t="str">
        <f t="shared" si="8"/>
        <v/>
      </c>
      <c r="C23" s="2749" t="str">
        <f t="shared" si="0"/>
        <v/>
      </c>
      <c r="D23" s="2749" t="str">
        <f t="shared" si="1"/>
        <v/>
      </c>
      <c r="E23" s="2749" t="str">
        <f t="shared" si="2"/>
        <v/>
      </c>
      <c r="F23" s="2749">
        <f t="shared" si="3"/>
        <v>1.4999999999999999E-2</v>
      </c>
      <c r="G23" s="2759" t="str">
        <f t="shared" si="4"/>
        <v/>
      </c>
      <c r="H23" s="650"/>
      <c r="I23" s="691"/>
      <c r="J23" s="692" t="str">
        <f t="shared" si="9"/>
        <v/>
      </c>
      <c r="K23" s="689"/>
      <c r="L23" s="693"/>
      <c r="M23" s="689"/>
      <c r="N23" s="151" t="str">
        <f t="shared" si="5"/>
        <v/>
      </c>
      <c r="O23" s="193"/>
      <c r="P23" s="215"/>
      <c r="Q23" s="735" t="str">
        <f t="shared" si="6"/>
        <v/>
      </c>
      <c r="R23" s="833" t="str">
        <f t="shared" si="7"/>
        <v/>
      </c>
      <c r="S23" s="835" t="str">
        <f t="shared" si="10"/>
        <v/>
      </c>
      <c r="T23" s="835" t="str">
        <f t="shared" si="11"/>
        <v/>
      </c>
      <c r="U23" s="641"/>
      <c r="V23" s="641"/>
      <c r="W23" s="641"/>
      <c r="X23" s="641"/>
    </row>
    <row r="24" spans="1:24" ht="18">
      <c r="A24" s="2752"/>
      <c r="B24" s="2779" t="str">
        <f t="shared" si="8"/>
        <v/>
      </c>
      <c r="C24" s="2749" t="str">
        <f t="shared" si="0"/>
        <v/>
      </c>
      <c r="D24" s="2749" t="str">
        <f t="shared" si="1"/>
        <v/>
      </c>
      <c r="E24" s="2749" t="str">
        <f t="shared" si="2"/>
        <v/>
      </c>
      <c r="F24" s="2749">
        <f t="shared" si="3"/>
        <v>1.6E-2</v>
      </c>
      <c r="G24" s="2759" t="str">
        <f t="shared" si="4"/>
        <v/>
      </c>
      <c r="H24" s="650"/>
      <c r="I24" s="691"/>
      <c r="J24" s="692" t="str">
        <f t="shared" si="9"/>
        <v/>
      </c>
      <c r="K24" s="689"/>
      <c r="L24" s="693"/>
      <c r="M24" s="689"/>
      <c r="N24" s="151" t="str">
        <f t="shared" si="5"/>
        <v/>
      </c>
      <c r="O24" s="193"/>
      <c r="P24" s="215"/>
      <c r="Q24" s="735" t="str">
        <f t="shared" si="6"/>
        <v/>
      </c>
      <c r="R24" s="833" t="str">
        <f t="shared" si="7"/>
        <v/>
      </c>
      <c r="S24" s="835" t="str">
        <f t="shared" si="10"/>
        <v/>
      </c>
      <c r="T24" s="835" t="str">
        <f t="shared" si="11"/>
        <v/>
      </c>
      <c r="U24" s="641"/>
      <c r="V24" s="641"/>
      <c r="W24" s="641"/>
      <c r="X24" s="641"/>
    </row>
    <row r="25" spans="1:24" ht="18">
      <c r="A25" s="2752"/>
      <c r="B25" s="2779" t="str">
        <f t="shared" si="8"/>
        <v/>
      </c>
      <c r="C25" s="2749" t="str">
        <f t="shared" si="0"/>
        <v/>
      </c>
      <c r="D25" s="2749" t="str">
        <f t="shared" si="1"/>
        <v/>
      </c>
      <c r="E25" s="2749" t="str">
        <f t="shared" si="2"/>
        <v/>
      </c>
      <c r="F25" s="2749">
        <f t="shared" si="3"/>
        <v>1.7000000000000001E-2</v>
      </c>
      <c r="G25" s="2759" t="str">
        <f t="shared" si="4"/>
        <v/>
      </c>
      <c r="H25" s="650"/>
      <c r="I25" s="691"/>
      <c r="J25" s="692" t="str">
        <f t="shared" si="9"/>
        <v/>
      </c>
      <c r="K25" s="689"/>
      <c r="L25" s="693"/>
      <c r="M25" s="689"/>
      <c r="N25" s="151" t="str">
        <f t="shared" si="5"/>
        <v/>
      </c>
      <c r="O25" s="193"/>
      <c r="P25" s="215"/>
      <c r="Q25" s="735" t="str">
        <f t="shared" si="6"/>
        <v/>
      </c>
      <c r="R25" s="833" t="str">
        <f t="shared" si="7"/>
        <v/>
      </c>
      <c r="S25" s="835" t="str">
        <f t="shared" si="10"/>
        <v/>
      </c>
      <c r="T25" s="835" t="str">
        <f t="shared" si="11"/>
        <v/>
      </c>
      <c r="U25" s="641"/>
      <c r="V25" s="641"/>
      <c r="W25" s="641"/>
      <c r="X25" s="641"/>
    </row>
    <row r="26" spans="1:24" ht="18">
      <c r="A26" s="2752"/>
      <c r="B26" s="2779" t="str">
        <f t="shared" si="8"/>
        <v/>
      </c>
      <c r="C26" s="2749" t="str">
        <f t="shared" si="0"/>
        <v/>
      </c>
      <c r="D26" s="2749" t="str">
        <f t="shared" si="1"/>
        <v/>
      </c>
      <c r="E26" s="2749" t="str">
        <f t="shared" si="2"/>
        <v/>
      </c>
      <c r="F26" s="2749">
        <f t="shared" si="3"/>
        <v>1.7999999999999999E-2</v>
      </c>
      <c r="G26" s="2759" t="str">
        <f t="shared" si="4"/>
        <v/>
      </c>
      <c r="H26" s="650"/>
      <c r="I26" s="691"/>
      <c r="J26" s="692" t="str">
        <f t="shared" si="9"/>
        <v/>
      </c>
      <c r="K26" s="689"/>
      <c r="L26" s="693"/>
      <c r="M26" s="689"/>
      <c r="N26" s="151" t="str">
        <f t="shared" si="5"/>
        <v/>
      </c>
      <c r="O26" s="193"/>
      <c r="P26" s="215"/>
      <c r="Q26" s="735" t="str">
        <f t="shared" si="6"/>
        <v/>
      </c>
      <c r="R26" s="833" t="str">
        <f t="shared" si="7"/>
        <v/>
      </c>
      <c r="S26" s="835" t="str">
        <f t="shared" si="10"/>
        <v/>
      </c>
      <c r="T26" s="835" t="str">
        <f t="shared" si="11"/>
        <v/>
      </c>
      <c r="U26" s="641"/>
      <c r="V26" s="641"/>
      <c r="W26" s="641"/>
      <c r="X26" s="641"/>
    </row>
    <row r="27" spans="1:24" ht="18">
      <c r="A27" s="2752"/>
      <c r="B27" s="2779" t="str">
        <f t="shared" si="8"/>
        <v/>
      </c>
      <c r="C27" s="2749" t="str">
        <f t="shared" si="0"/>
        <v/>
      </c>
      <c r="D27" s="2749" t="str">
        <f t="shared" si="1"/>
        <v/>
      </c>
      <c r="E27" s="2749" t="str">
        <f t="shared" si="2"/>
        <v/>
      </c>
      <c r="F27" s="2749">
        <f t="shared" si="3"/>
        <v>1.9E-2</v>
      </c>
      <c r="G27" s="2759" t="str">
        <f t="shared" si="4"/>
        <v/>
      </c>
      <c r="H27" s="650"/>
      <c r="I27" s="691"/>
      <c r="J27" s="692" t="str">
        <f t="shared" si="9"/>
        <v/>
      </c>
      <c r="K27" s="689"/>
      <c r="L27" s="693"/>
      <c r="M27" s="689"/>
      <c r="N27" s="151" t="str">
        <f t="shared" si="5"/>
        <v/>
      </c>
      <c r="O27" s="193"/>
      <c r="P27" s="215"/>
      <c r="Q27" s="735" t="str">
        <f t="shared" si="6"/>
        <v/>
      </c>
      <c r="R27" s="833" t="str">
        <f t="shared" si="7"/>
        <v/>
      </c>
      <c r="S27" s="835" t="str">
        <f t="shared" si="10"/>
        <v/>
      </c>
      <c r="T27" s="835" t="str">
        <f t="shared" si="11"/>
        <v/>
      </c>
      <c r="U27" s="641"/>
      <c r="V27" s="641"/>
      <c r="W27" s="641"/>
      <c r="X27" s="641"/>
    </row>
    <row r="28" spans="1:24" ht="18">
      <c r="A28" s="2752"/>
      <c r="B28" s="2779" t="str">
        <f t="shared" si="8"/>
        <v/>
      </c>
      <c r="C28" s="2749" t="str">
        <f t="shared" si="0"/>
        <v/>
      </c>
      <c r="D28" s="2749" t="str">
        <f t="shared" si="1"/>
        <v/>
      </c>
      <c r="E28" s="2749" t="str">
        <f t="shared" si="2"/>
        <v/>
      </c>
      <c r="F28" s="2749">
        <f t="shared" si="3"/>
        <v>0.02</v>
      </c>
      <c r="G28" s="2759" t="str">
        <f t="shared" si="4"/>
        <v/>
      </c>
      <c r="H28" s="650"/>
      <c r="I28" s="691"/>
      <c r="J28" s="692" t="str">
        <f t="shared" si="9"/>
        <v/>
      </c>
      <c r="K28" s="689"/>
      <c r="L28" s="693"/>
      <c r="M28" s="689"/>
      <c r="N28" s="151" t="str">
        <f t="shared" si="5"/>
        <v/>
      </c>
      <c r="O28" s="193"/>
      <c r="P28" s="215"/>
      <c r="Q28" s="735" t="str">
        <f t="shared" si="6"/>
        <v/>
      </c>
      <c r="R28" s="833" t="str">
        <f t="shared" si="7"/>
        <v/>
      </c>
      <c r="S28" s="835" t="str">
        <f t="shared" si="10"/>
        <v/>
      </c>
      <c r="T28" s="835" t="str">
        <f t="shared" si="11"/>
        <v/>
      </c>
      <c r="U28" s="641"/>
      <c r="V28" s="641"/>
      <c r="W28" s="641"/>
      <c r="X28" s="641"/>
    </row>
    <row r="29" spans="1:24" ht="18">
      <c r="A29" s="2752"/>
      <c r="B29" s="2779" t="str">
        <f t="shared" si="8"/>
        <v/>
      </c>
      <c r="C29" s="2749" t="str">
        <f t="shared" si="0"/>
        <v/>
      </c>
      <c r="D29" s="2749" t="str">
        <f t="shared" si="1"/>
        <v/>
      </c>
      <c r="E29" s="2749" t="str">
        <f t="shared" si="2"/>
        <v/>
      </c>
      <c r="F29" s="2749">
        <f t="shared" si="3"/>
        <v>2.1000000000000001E-2</v>
      </c>
      <c r="G29" s="2759" t="str">
        <f t="shared" si="4"/>
        <v/>
      </c>
      <c r="H29" s="650"/>
      <c r="I29" s="691"/>
      <c r="J29" s="692" t="str">
        <f t="shared" si="9"/>
        <v/>
      </c>
      <c r="K29" s="689"/>
      <c r="L29" s="693"/>
      <c r="M29" s="689"/>
      <c r="N29" s="151" t="str">
        <f t="shared" si="5"/>
        <v/>
      </c>
      <c r="O29" s="193"/>
      <c r="P29" s="215"/>
      <c r="Q29" s="735" t="str">
        <f t="shared" si="6"/>
        <v/>
      </c>
      <c r="R29" s="833" t="str">
        <f t="shared" si="7"/>
        <v/>
      </c>
      <c r="S29" s="835" t="str">
        <f t="shared" si="10"/>
        <v/>
      </c>
      <c r="T29" s="835" t="str">
        <f t="shared" si="11"/>
        <v/>
      </c>
      <c r="U29" s="641"/>
      <c r="V29" s="641"/>
      <c r="W29" s="641"/>
      <c r="X29" s="641"/>
    </row>
    <row r="30" spans="1:24" ht="18">
      <c r="A30" s="2752"/>
      <c r="B30" s="2779" t="str">
        <f t="shared" si="8"/>
        <v/>
      </c>
      <c r="C30" s="2749" t="str">
        <f t="shared" si="0"/>
        <v/>
      </c>
      <c r="D30" s="2749" t="str">
        <f t="shared" si="1"/>
        <v/>
      </c>
      <c r="E30" s="2749" t="str">
        <f t="shared" si="2"/>
        <v/>
      </c>
      <c r="F30" s="2749">
        <f t="shared" si="3"/>
        <v>2.1999999999999999E-2</v>
      </c>
      <c r="G30" s="2759" t="str">
        <f t="shared" si="4"/>
        <v/>
      </c>
      <c r="H30" s="650"/>
      <c r="I30" s="691"/>
      <c r="J30" s="692" t="str">
        <f t="shared" si="9"/>
        <v/>
      </c>
      <c r="K30" s="689"/>
      <c r="L30" s="693"/>
      <c r="M30" s="689"/>
      <c r="N30" s="151" t="str">
        <f t="shared" si="5"/>
        <v/>
      </c>
      <c r="O30" s="193"/>
      <c r="P30" s="215"/>
      <c r="Q30" s="735" t="str">
        <f t="shared" si="6"/>
        <v/>
      </c>
      <c r="R30" s="833" t="str">
        <f t="shared" si="7"/>
        <v/>
      </c>
      <c r="S30" s="835" t="str">
        <f t="shared" si="10"/>
        <v/>
      </c>
      <c r="T30" s="835" t="str">
        <f t="shared" si="11"/>
        <v/>
      </c>
      <c r="U30" s="641"/>
      <c r="V30" s="641"/>
      <c r="W30" s="641"/>
      <c r="X30" s="641"/>
    </row>
    <row r="31" spans="1:24" ht="18">
      <c r="A31" s="2752"/>
      <c r="B31" s="2779" t="str">
        <f t="shared" si="8"/>
        <v/>
      </c>
      <c r="C31" s="2749" t="str">
        <f t="shared" si="0"/>
        <v/>
      </c>
      <c r="D31" s="2749" t="str">
        <f t="shared" si="1"/>
        <v/>
      </c>
      <c r="E31" s="2749" t="str">
        <f t="shared" si="2"/>
        <v/>
      </c>
      <c r="F31" s="2749">
        <f t="shared" si="3"/>
        <v>2.3E-2</v>
      </c>
      <c r="G31" s="2759" t="str">
        <f t="shared" si="4"/>
        <v/>
      </c>
      <c r="H31" s="650"/>
      <c r="I31" s="691"/>
      <c r="J31" s="692" t="str">
        <f t="shared" si="9"/>
        <v/>
      </c>
      <c r="K31" s="689"/>
      <c r="L31" s="693"/>
      <c r="M31" s="689"/>
      <c r="N31" s="151" t="str">
        <f t="shared" si="5"/>
        <v/>
      </c>
      <c r="O31" s="193"/>
      <c r="P31" s="215"/>
      <c r="Q31" s="735" t="str">
        <f t="shared" si="6"/>
        <v/>
      </c>
      <c r="R31" s="833" t="str">
        <f t="shared" si="7"/>
        <v/>
      </c>
      <c r="S31" s="835" t="str">
        <f t="shared" si="10"/>
        <v/>
      </c>
      <c r="T31" s="835" t="str">
        <f t="shared" si="11"/>
        <v/>
      </c>
      <c r="U31" s="641"/>
      <c r="V31" s="641"/>
      <c r="W31" s="641"/>
      <c r="X31" s="641"/>
    </row>
    <row r="32" spans="1:24" ht="18">
      <c r="A32" s="2752"/>
      <c r="B32" s="2779" t="str">
        <f>IF($K32="","","J"&amp;$C32)</f>
        <v/>
      </c>
      <c r="C32" s="2749" t="str">
        <f t="shared" si="0"/>
        <v/>
      </c>
      <c r="D32" s="2749" t="str">
        <f t="shared" si="1"/>
        <v/>
      </c>
      <c r="E32" s="2749" t="str">
        <f t="shared" si="2"/>
        <v/>
      </c>
      <c r="F32" s="2749">
        <f t="shared" si="3"/>
        <v>2.4E-2</v>
      </c>
      <c r="G32" s="2759" t="str">
        <f t="shared" si="4"/>
        <v/>
      </c>
      <c r="H32" s="650"/>
      <c r="I32" s="691"/>
      <c r="J32" s="692" t="str">
        <f t="shared" si="9"/>
        <v/>
      </c>
      <c r="K32" s="689"/>
      <c r="L32" s="693"/>
      <c r="M32" s="689"/>
      <c r="N32" s="151" t="str">
        <f t="shared" si="5"/>
        <v/>
      </c>
      <c r="O32" s="193"/>
      <c r="P32" s="215"/>
      <c r="Q32" s="735" t="str">
        <f t="shared" si="6"/>
        <v/>
      </c>
      <c r="R32" s="833" t="str">
        <f t="shared" si="7"/>
        <v/>
      </c>
      <c r="S32" s="835" t="str">
        <f t="shared" si="10"/>
        <v/>
      </c>
      <c r="T32" s="835" t="str">
        <f t="shared" si="11"/>
        <v/>
      </c>
      <c r="U32" s="641"/>
      <c r="V32" s="641"/>
      <c r="W32" s="641"/>
      <c r="X32" s="641"/>
    </row>
    <row r="33" spans="1:24" ht="18">
      <c r="A33" s="2752"/>
      <c r="B33" s="2779" t="str">
        <f t="shared" si="8"/>
        <v/>
      </c>
      <c r="C33" s="2749" t="str">
        <f t="shared" si="0"/>
        <v/>
      </c>
      <c r="D33" s="2749" t="str">
        <f t="shared" si="1"/>
        <v/>
      </c>
      <c r="E33" s="2749" t="str">
        <f t="shared" si="2"/>
        <v/>
      </c>
      <c r="F33" s="2749">
        <f t="shared" si="3"/>
        <v>2.5000000000000001E-2</v>
      </c>
      <c r="G33" s="2759" t="str">
        <f t="shared" si="4"/>
        <v/>
      </c>
      <c r="H33" s="650"/>
      <c r="I33" s="691"/>
      <c r="J33" s="692" t="str">
        <f t="shared" si="9"/>
        <v/>
      </c>
      <c r="K33" s="689"/>
      <c r="L33" s="693"/>
      <c r="M33" s="689"/>
      <c r="N33" s="151" t="str">
        <f t="shared" si="5"/>
        <v/>
      </c>
      <c r="O33" s="193"/>
      <c r="P33" s="215"/>
      <c r="Q33" s="735" t="str">
        <f t="shared" si="6"/>
        <v/>
      </c>
      <c r="R33" s="833" t="str">
        <f t="shared" si="7"/>
        <v/>
      </c>
      <c r="S33" s="835" t="str">
        <f t="shared" si="10"/>
        <v/>
      </c>
      <c r="T33" s="835" t="str">
        <f t="shared" si="11"/>
        <v/>
      </c>
      <c r="U33" s="641"/>
      <c r="V33" s="641"/>
      <c r="W33" s="641"/>
      <c r="X33" s="641"/>
    </row>
    <row r="34" spans="1:24" ht="18">
      <c r="A34" s="2752"/>
      <c r="B34" s="2779" t="str">
        <f t="shared" si="8"/>
        <v/>
      </c>
      <c r="C34" s="2749" t="str">
        <f t="shared" si="0"/>
        <v/>
      </c>
      <c r="D34" s="2749" t="str">
        <f t="shared" si="1"/>
        <v/>
      </c>
      <c r="E34" s="2749" t="str">
        <f t="shared" si="2"/>
        <v/>
      </c>
      <c r="F34" s="2749">
        <f t="shared" si="3"/>
        <v>2.5999999999999999E-2</v>
      </c>
      <c r="G34" s="2759" t="str">
        <f t="shared" si="4"/>
        <v/>
      </c>
      <c r="H34" s="650"/>
      <c r="I34" s="691"/>
      <c r="J34" s="692" t="str">
        <f t="shared" si="9"/>
        <v/>
      </c>
      <c r="K34" s="689"/>
      <c r="L34" s="693"/>
      <c r="M34" s="689"/>
      <c r="N34" s="151" t="str">
        <f t="shared" si="5"/>
        <v/>
      </c>
      <c r="O34" s="193"/>
      <c r="P34" s="215"/>
      <c r="Q34" s="735" t="str">
        <f t="shared" si="6"/>
        <v/>
      </c>
      <c r="R34" s="833" t="str">
        <f t="shared" si="7"/>
        <v/>
      </c>
      <c r="S34" s="835" t="str">
        <f t="shared" si="10"/>
        <v/>
      </c>
      <c r="T34" s="835" t="str">
        <f t="shared" si="11"/>
        <v/>
      </c>
      <c r="U34" s="641"/>
      <c r="V34" s="641"/>
      <c r="W34" s="641"/>
      <c r="X34" s="641"/>
    </row>
    <row r="35" spans="1:24" ht="18">
      <c r="A35" s="2752"/>
      <c r="B35" s="2779" t="str">
        <f t="shared" si="8"/>
        <v/>
      </c>
      <c r="C35" s="2749" t="str">
        <f t="shared" si="0"/>
        <v/>
      </c>
      <c r="D35" s="2749" t="str">
        <f t="shared" si="1"/>
        <v/>
      </c>
      <c r="E35" s="2749" t="str">
        <f t="shared" si="2"/>
        <v/>
      </c>
      <c r="F35" s="2749">
        <f t="shared" si="3"/>
        <v>2.7E-2</v>
      </c>
      <c r="G35" s="2759" t="str">
        <f t="shared" si="4"/>
        <v/>
      </c>
      <c r="H35" s="650"/>
      <c r="I35" s="691"/>
      <c r="J35" s="692" t="str">
        <f t="shared" si="9"/>
        <v/>
      </c>
      <c r="K35" s="689"/>
      <c r="L35" s="693"/>
      <c r="M35" s="689"/>
      <c r="N35" s="151" t="str">
        <f t="shared" si="5"/>
        <v/>
      </c>
      <c r="O35" s="193"/>
      <c r="P35" s="215"/>
      <c r="Q35" s="735" t="str">
        <f t="shared" si="6"/>
        <v/>
      </c>
      <c r="R35" s="833" t="str">
        <f t="shared" si="7"/>
        <v/>
      </c>
      <c r="S35" s="835" t="str">
        <f t="shared" si="10"/>
        <v/>
      </c>
      <c r="T35" s="835" t="str">
        <f t="shared" si="11"/>
        <v/>
      </c>
      <c r="U35" s="641"/>
      <c r="V35" s="641"/>
      <c r="W35" s="641"/>
      <c r="X35" s="641"/>
    </row>
    <row r="36" spans="1:24" ht="18">
      <c r="A36" s="2752"/>
      <c r="B36" s="2779" t="str">
        <f t="shared" si="8"/>
        <v/>
      </c>
      <c r="C36" s="2749" t="str">
        <f t="shared" si="0"/>
        <v/>
      </c>
      <c r="D36" s="2749" t="str">
        <f t="shared" si="1"/>
        <v/>
      </c>
      <c r="E36" s="2749" t="str">
        <f t="shared" si="2"/>
        <v/>
      </c>
      <c r="F36" s="2749">
        <f t="shared" si="3"/>
        <v>2.8000000000000001E-2</v>
      </c>
      <c r="G36" s="2759" t="str">
        <f t="shared" si="4"/>
        <v/>
      </c>
      <c r="H36" s="650"/>
      <c r="I36" s="691"/>
      <c r="J36" s="692" t="str">
        <f t="shared" si="9"/>
        <v/>
      </c>
      <c r="K36" s="689"/>
      <c r="L36" s="693"/>
      <c r="M36" s="689"/>
      <c r="N36" s="151" t="str">
        <f t="shared" si="5"/>
        <v/>
      </c>
      <c r="O36" s="193"/>
      <c r="P36" s="215"/>
      <c r="Q36" s="735" t="str">
        <f t="shared" si="6"/>
        <v/>
      </c>
      <c r="R36" s="833" t="str">
        <f t="shared" si="7"/>
        <v/>
      </c>
      <c r="S36" s="835" t="str">
        <f t="shared" si="10"/>
        <v/>
      </c>
      <c r="T36" s="835" t="str">
        <f t="shared" si="11"/>
        <v/>
      </c>
      <c r="U36" s="641"/>
      <c r="V36" s="641"/>
      <c r="W36" s="641"/>
      <c r="X36" s="641"/>
    </row>
    <row r="37" spans="1:24" ht="18">
      <c r="A37" s="2752"/>
      <c r="B37" s="2779" t="str">
        <f t="shared" si="8"/>
        <v/>
      </c>
      <c r="C37" s="2749" t="str">
        <f t="shared" si="0"/>
        <v/>
      </c>
      <c r="D37" s="2749" t="str">
        <f t="shared" si="1"/>
        <v/>
      </c>
      <c r="E37" s="2749" t="str">
        <f t="shared" si="2"/>
        <v/>
      </c>
      <c r="F37" s="2749">
        <f t="shared" si="3"/>
        <v>2.9000000000000001E-2</v>
      </c>
      <c r="G37" s="2759" t="str">
        <f t="shared" si="4"/>
        <v/>
      </c>
      <c r="H37" s="650"/>
      <c r="I37" s="691"/>
      <c r="J37" s="692" t="str">
        <f t="shared" si="9"/>
        <v/>
      </c>
      <c r="K37" s="689"/>
      <c r="L37" s="693"/>
      <c r="M37" s="689"/>
      <c r="N37" s="151" t="str">
        <f t="shared" si="5"/>
        <v/>
      </c>
      <c r="O37" s="193"/>
      <c r="P37" s="215"/>
      <c r="Q37" s="735" t="str">
        <f t="shared" si="6"/>
        <v/>
      </c>
      <c r="R37" s="833" t="str">
        <f t="shared" si="7"/>
        <v/>
      </c>
      <c r="S37" s="835" t="str">
        <f t="shared" si="10"/>
        <v/>
      </c>
      <c r="T37" s="835" t="str">
        <f t="shared" si="11"/>
        <v/>
      </c>
      <c r="U37" s="641"/>
      <c r="V37" s="641"/>
      <c r="W37" s="641"/>
      <c r="X37" s="641"/>
    </row>
    <row r="38" spans="1:24" ht="18">
      <c r="A38" s="2752"/>
      <c r="B38" s="2779" t="str">
        <f t="shared" si="8"/>
        <v/>
      </c>
      <c r="C38" s="2749" t="str">
        <f t="shared" si="0"/>
        <v/>
      </c>
      <c r="D38" s="2749" t="str">
        <f t="shared" si="1"/>
        <v/>
      </c>
      <c r="E38" s="2749" t="str">
        <f t="shared" si="2"/>
        <v/>
      </c>
      <c r="F38" s="2749">
        <f t="shared" si="3"/>
        <v>0.03</v>
      </c>
      <c r="G38" s="2759" t="str">
        <f t="shared" si="4"/>
        <v/>
      </c>
      <c r="H38" s="651"/>
      <c r="I38" s="694"/>
      <c r="J38" s="692" t="str">
        <f t="shared" si="9"/>
        <v/>
      </c>
      <c r="K38" s="689"/>
      <c r="L38" s="815"/>
      <c r="M38" s="815"/>
      <c r="N38" s="816" t="str">
        <f t="shared" si="5"/>
        <v/>
      </c>
      <c r="O38" s="199"/>
      <c r="P38" s="218"/>
      <c r="Q38" s="738" t="str">
        <f t="shared" si="6"/>
        <v/>
      </c>
      <c r="R38" s="833" t="str">
        <f t="shared" si="7"/>
        <v/>
      </c>
      <c r="S38" s="835" t="str">
        <f t="shared" si="10"/>
        <v/>
      </c>
      <c r="T38" s="835" t="str">
        <f t="shared" si="11"/>
        <v/>
      </c>
      <c r="U38" s="641"/>
      <c r="V38" s="641"/>
      <c r="W38" s="641"/>
      <c r="X38" s="641"/>
    </row>
    <row r="39" spans="1:24" s="640" customFormat="1" ht="18" customHeight="1">
      <c r="A39" s="2753" t="s">
        <v>2688</v>
      </c>
      <c r="B39" s="2782"/>
      <c r="C39" s="2760"/>
      <c r="D39" s="2761"/>
      <c r="E39" s="2761"/>
      <c r="F39" s="2761"/>
      <c r="G39" s="2762"/>
      <c r="H39" s="811"/>
      <c r="I39" s="817"/>
      <c r="J39" s="818" t="s">
        <v>2704</v>
      </c>
      <c r="K39" s="811"/>
      <c r="L39" s="811"/>
      <c r="M39" s="811"/>
      <c r="N39" s="819"/>
      <c r="O39" s="820">
        <f>SUMIF(INDEX($N:$N,ROW($N$8)+1):INDEX($N:$N,ROW()-1),"流入",INDEX(O:O,ROW(O$8)+1):cellAbove)</f>
        <v>0</v>
      </c>
      <c r="P39" s="821">
        <f>SUMIF(INDEX($N:$N,ROW($N$8)+1):INDEX($N:$N,ROW()-1),"流入",INDEX(P:P,ROW(P$8)+1):cellAbove)</f>
        <v>0</v>
      </c>
      <c r="Q39" s="811"/>
      <c r="R39" s="836"/>
      <c r="S39" s="837"/>
      <c r="T39" s="837"/>
      <c r="U39" s="747"/>
      <c r="V39" s="747"/>
      <c r="W39" s="747"/>
      <c r="X39" s="747"/>
    </row>
    <row r="40" spans="1:24" s="640" customFormat="1" ht="18" customHeight="1">
      <c r="A40" s="2783"/>
      <c r="B40" s="653"/>
      <c r="C40" s="2760"/>
      <c r="D40" s="2761"/>
      <c r="E40" s="2761"/>
      <c r="F40" s="2761"/>
      <c r="G40" s="2762"/>
      <c r="H40" s="812"/>
      <c r="I40" s="822"/>
      <c r="J40" s="823" t="s">
        <v>2705</v>
      </c>
      <c r="K40" s="812"/>
      <c r="L40" s="812"/>
      <c r="M40" s="812"/>
      <c r="N40" s="824"/>
      <c r="O40" s="825">
        <f>SUMIF(INDEX($N:$N,ROW($N$8)+1):INDEX($N:$N,ROW()-2),"流出",INDEX(O:O,ROW(O$8)+1):INDEX(O:O,ROW()-2))</f>
        <v>0</v>
      </c>
      <c r="P40" s="826">
        <f>SUMIF(INDEX($N:$N,ROW($N$8)+1):INDEX($N:$N,ROW()-2),"流出",INDEX(P:P,ROW(P$8)+1):INDEX(P:P,ROW()-2))</f>
        <v>0</v>
      </c>
      <c r="Q40" s="812"/>
      <c r="R40" s="838"/>
      <c r="S40" s="839"/>
      <c r="T40" s="839"/>
      <c r="U40" s="747"/>
      <c r="V40" s="747"/>
      <c r="W40" s="747"/>
      <c r="X40" s="747"/>
    </row>
    <row r="41" spans="1:24" s="640" customFormat="1" ht="18" customHeight="1">
      <c r="A41" s="2783"/>
      <c r="B41" s="653"/>
      <c r="C41" s="2760"/>
      <c r="D41" s="2761"/>
      <c r="E41" s="2761"/>
      <c r="F41" s="2761"/>
      <c r="G41" s="2762"/>
      <c r="H41" s="813"/>
      <c r="I41" s="827"/>
      <c r="J41" s="828" t="s">
        <v>2706</v>
      </c>
      <c r="K41" s="813"/>
      <c r="L41" s="813"/>
      <c r="M41" s="813"/>
      <c r="N41" s="829"/>
      <c r="O41" s="830">
        <f>O39-O40</f>
        <v>0</v>
      </c>
      <c r="P41" s="830">
        <f>P39-P40</f>
        <v>0</v>
      </c>
      <c r="Q41" s="813"/>
      <c r="R41" s="840" t="str">
        <f>IF(AND($O$39=0,$O$40=0,$P$39=0,$P$40=0),"",IF(ROUND($O$41-$P$41,2)=0,"平衡!","相差："&amp;(TEXT($O$41-$P$41,"#,0.00"))))</f>
        <v/>
      </c>
      <c r="S41" s="841">
        <f>SUM((INDEX(S:S,ROW(S$8)+1):cellAbove))</f>
        <v>0</v>
      </c>
      <c r="T41" s="841">
        <f>SUM((INDEX(T:T,ROW(T$8)+1):cellAbove))</f>
        <v>0</v>
      </c>
      <c r="U41" s="747"/>
      <c r="V41" s="747"/>
      <c r="W41" s="747"/>
      <c r="X41" s="747"/>
    </row>
    <row r="42" spans="1:24">
      <c r="A42" s="2749"/>
      <c r="B42" s="642"/>
      <c r="C42" s="2749"/>
      <c r="D42" s="2749"/>
      <c r="E42" s="2749"/>
      <c r="F42" s="2749"/>
      <c r="G42" s="2763"/>
      <c r="H42" s="641"/>
      <c r="I42" s="641"/>
      <c r="J42" s="641"/>
      <c r="K42" s="641"/>
      <c r="L42" s="641"/>
      <c r="M42" s="641"/>
      <c r="N42" s="641"/>
      <c r="O42" s="641"/>
      <c r="P42" s="641"/>
      <c r="Q42" s="641"/>
      <c r="R42" s="833"/>
      <c r="S42" s="833"/>
      <c r="T42" s="833"/>
    </row>
    <row r="43" spans="1:24" ht="18" customHeight="1">
      <c r="A43" s="2749"/>
      <c r="B43" s="642"/>
      <c r="C43" s="2749"/>
      <c r="D43" s="2749"/>
      <c r="E43" s="2749"/>
      <c r="F43" s="2749"/>
      <c r="G43" s="2749"/>
      <c r="H43" s="656"/>
      <c r="I43" s="704" t="s">
        <v>2690</v>
      </c>
      <c r="J43" s="705"/>
      <c r="K43" s="705"/>
      <c r="L43" s="706"/>
      <c r="M43" s="706"/>
      <c r="N43" s="705"/>
      <c r="O43" s="705"/>
      <c r="P43" s="707"/>
      <c r="Q43" s="709"/>
      <c r="R43" s="641"/>
    </row>
    <row r="44" spans="1:24" ht="18" customHeight="1">
      <c r="A44" s="2749"/>
      <c r="B44" s="642"/>
      <c r="C44" s="2749"/>
      <c r="D44" s="2749"/>
      <c r="E44" s="2749"/>
      <c r="F44" s="2749"/>
      <c r="G44" s="2764"/>
      <c r="H44" s="657"/>
      <c r="I44" s="708"/>
      <c r="J44" s="709"/>
      <c r="K44" s="186"/>
      <c r="L44" s="710"/>
      <c r="M44" s="710"/>
      <c r="N44" s="186"/>
      <c r="O44" s="186"/>
      <c r="P44" s="711"/>
      <c r="Q44" s="709"/>
      <c r="R44" s="641"/>
    </row>
    <row r="45" spans="1:24" ht="18" customHeight="1">
      <c r="A45" s="2749"/>
      <c r="B45" s="642"/>
      <c r="C45" s="2749"/>
      <c r="D45" s="2749"/>
      <c r="E45" s="2749"/>
      <c r="F45" s="2749"/>
      <c r="G45" s="2749"/>
      <c r="H45" s="656"/>
      <c r="I45" s="712" t="s">
        <v>2691</v>
      </c>
      <c r="J45" s="709"/>
      <c r="K45" s="709"/>
      <c r="L45" s="713" t="s">
        <v>2692</v>
      </c>
      <c r="M45" s="713"/>
      <c r="N45" s="709"/>
      <c r="O45" s="709"/>
      <c r="P45" s="657"/>
      <c r="Q45" s="709"/>
      <c r="R45" s="641"/>
    </row>
    <row r="46" spans="1:24" ht="18" customHeight="1">
      <c r="A46" s="2749"/>
      <c r="B46" s="642"/>
      <c r="C46" s="2749"/>
      <c r="D46" s="2749"/>
      <c r="E46" s="2749"/>
      <c r="F46" s="2749"/>
      <c r="G46" s="2749"/>
      <c r="H46" s="658"/>
      <c r="I46" s="714" t="s">
        <v>2693</v>
      </c>
      <c r="J46" s="709"/>
      <c r="K46" s="709"/>
      <c r="L46" s="715" t="s">
        <v>2694</v>
      </c>
      <c r="M46" s="715"/>
      <c r="N46" s="709"/>
      <c r="O46" s="715" t="s">
        <v>2695</v>
      </c>
      <c r="P46" s="657"/>
      <c r="Q46" s="709"/>
      <c r="R46" s="641"/>
    </row>
    <row r="47" spans="1:24" ht="18" customHeight="1">
      <c r="A47" s="2749"/>
      <c r="B47" s="642"/>
      <c r="C47" s="2749"/>
      <c r="D47" s="2749"/>
      <c r="E47" s="2749"/>
      <c r="F47" s="2749"/>
      <c r="G47" s="2763"/>
      <c r="H47" s="657"/>
      <c r="I47" s="716"/>
      <c r="J47" s="717"/>
      <c r="K47" s="717" t="s">
        <v>2696</v>
      </c>
      <c r="L47" s="718" t="s">
        <v>2697</v>
      </c>
      <c r="M47" s="718"/>
      <c r="N47" s="717"/>
      <c r="O47" s="718" t="s">
        <v>2697</v>
      </c>
      <c r="P47" s="719"/>
      <c r="Q47" s="709"/>
      <c r="R47" s="641"/>
    </row>
    <row r="48" spans="1:24">
      <c r="A48" s="2749"/>
      <c r="B48" s="642"/>
      <c r="C48" s="2749"/>
      <c r="D48" s="2749"/>
      <c r="E48" s="2749"/>
      <c r="F48" s="2749"/>
      <c r="G48" s="2749"/>
      <c r="H48" s="659"/>
      <c r="I48" s="659" t="s">
        <v>2698</v>
      </c>
      <c r="J48" s="641"/>
      <c r="K48" s="641"/>
      <c r="L48" s="641"/>
      <c r="M48" s="641"/>
      <c r="N48" s="641"/>
      <c r="O48" s="641"/>
      <c r="P48" s="641"/>
      <c r="Q48" s="641"/>
      <c r="R48" s="641"/>
    </row>
    <row r="49" spans="1:18">
      <c r="A49" s="2749"/>
      <c r="B49" s="642"/>
      <c r="C49" s="2749"/>
      <c r="D49" s="2749"/>
      <c r="E49" s="2749"/>
      <c r="F49" s="2749"/>
      <c r="G49" s="2749"/>
      <c r="H49" s="660"/>
      <c r="I49" s="660" t="s">
        <v>2699</v>
      </c>
      <c r="J49" s="641"/>
      <c r="K49" s="641"/>
      <c r="L49" s="641"/>
      <c r="M49" s="641"/>
      <c r="N49" s="641"/>
      <c r="O49" s="641"/>
      <c r="P49" s="641"/>
      <c r="Q49" s="641"/>
      <c r="R49" s="641"/>
    </row>
    <row r="50" spans="1:18">
      <c r="G50" s="2784"/>
    </row>
  </sheetData>
  <sheetProtection password="94A0" sheet="1" scenarios="1" formatCells="0" autoFilter="0"/>
  <autoFilter ref="B8:Q41"/>
  <phoneticPr fontId="163" type="noConversion"/>
  <conditionalFormatting sqref="P4:Q4">
    <cfRule type="expression" dxfId="61" priority="2" stopIfTrue="1">
      <formula>$P4&lt;&gt;""</formula>
    </cfRule>
  </conditionalFormatting>
  <conditionalFormatting sqref="R9:R38">
    <cfRule type="expression" dxfId="60" priority="9" stopIfTrue="1">
      <formula>R9&lt;&gt;""</formula>
    </cfRule>
  </conditionalFormatting>
  <conditionalFormatting sqref="B9:B38">
    <cfRule type="expression" dxfId="59" priority="1">
      <formula>ISERROR($B9)</formula>
    </cfRule>
  </conditionalFormatting>
  <dataValidations count="8">
    <dataValidation type="decimal" showInputMessage="1" showErrorMessage="1" errorTitle="WPE" error="请输入数值！" prompt="增加金额" sqref="O9:O38">
      <formula1>-922337203685477</formula1>
      <formula2>922337203685477</formula2>
    </dataValidation>
    <dataValidation type="list" showDropDown="1" showInputMessage="1" showErrorMessage="1" error="分录表末行属性值FLend，不能更改!" prompt="A列请勿输入" sqref="A39:A41">
      <formula1>"FLend"</formula1>
    </dataValidation>
    <dataValidation allowBlank="1" showInputMessage="1" showErrorMessage="1" prompt="请输入建议调整的会计科目名称" sqref="L10:M38"/>
    <dataValidation type="decimal" showInputMessage="1" showErrorMessage="1" errorTitle="WPE" error="请输入数值！" prompt="减少金额" sqref="P9:P38">
      <formula1>-922337203685477</formula1>
      <formula2>922337203685477</formula2>
    </dataValidation>
    <dataValidation type="list" allowBlank="1" showInputMessage="1" showErrorMessage="1" prompt="输入报表项目后，WPE自动判断类别" sqref="N10:N38">
      <formula1>"流入,流出"</formula1>
    </dataValidation>
    <dataValidation type="list" showInputMessage="1" showErrorMessage="1" errorTitle="WPE" error="请输入下拉框列表中的报表项目名称，否则将无法过入试算表" prompt="左列有摘要信息时，请在下一行输入，以使摘要完整显示" sqref="K9:K38">
      <formula1>OFFSET(ACCT_AJE2,0,0,COUNTA(ACCT_AJE2),1)</formula1>
    </dataValidation>
    <dataValidation type="list" showInputMessage="1" showErrorMessage="1" errorTitle="WPE" error="请选择分录类型！" prompt="CFJE 现金流量表调整分录" sqref="H9:H38">
      <formula1>"CFJE"</formula1>
    </dataValidation>
    <dataValidation type="list" allowBlank="1" showInputMessage="1" prompt="输入金额后，WPE自动判断方向" sqref="J10:J38">
      <formula1>"+,-"</formula1>
    </dataValidation>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H194"/>
  <sheetViews>
    <sheetView workbookViewId="0">
      <selection activeCell="H6245" sqref="H6245"/>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28.710937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16" style="1" customWidth="1"/>
    <col min="21" max="21" width="6.140625" style="1" customWidth="1"/>
    <col min="22" max="22" width="9.7109375" style="1" customWidth="1"/>
    <col min="23" max="23" width="12.7109375" style="1" customWidth="1"/>
    <col min="24" max="24" width="9.7109375" style="1" customWidth="1"/>
    <col min="25" max="25" width="15.7109375" style="1" customWidth="1"/>
    <col min="26"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2"/>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2"/>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IF(TRIM($J3&amp;$K3&amp;$O3&amp;$P3)="","","本期")</f>
        <v/>
      </c>
      <c r="H3" s="642"/>
      <c r="I3" s="642"/>
      <c r="J3" s="642" t="str">
        <f>IF($O3&lt;&gt;"","借",IF($P3&lt;&gt;"","贷",""))</f>
        <v/>
      </c>
      <c r="K3" s="642"/>
      <c r="L3" s="642"/>
      <c r="M3" s="642"/>
      <c r="N3" s="642"/>
      <c r="O3" s="642"/>
      <c r="P3" s="642"/>
      <c r="Q3" s="642"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2"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749"/>
      <c r="I4" s="754" t="s">
        <v>2520</v>
      </c>
      <c r="J4" s="755" t="str">
        <f>Lead!$C$5</f>
        <v>福建省力菲克药业有限公司</v>
      </c>
      <c r="K4" s="756"/>
      <c r="L4" s="757"/>
      <c r="M4" s="758" t="s">
        <v>2521</v>
      </c>
      <c r="N4" s="759"/>
      <c r="O4" s="760" t="s">
        <v>2501</v>
      </c>
      <c r="P4" s="761" t="str">
        <f>IF(AE40="借贷平衡!","",AE40)</f>
        <v/>
      </c>
      <c r="Q4" s="807"/>
      <c r="R4" s="723"/>
      <c r="S4" s="724"/>
      <c r="T4" s="723"/>
      <c r="U4" s="723"/>
      <c r="V4" s="723"/>
      <c r="W4" s="723"/>
      <c r="X4" s="723"/>
      <c r="Y4" s="723"/>
      <c r="Z4" s="723"/>
      <c r="AA4" s="2766"/>
      <c r="AB4" s="2766"/>
      <c r="AC4" s="2767"/>
      <c r="AD4" s="2767"/>
      <c r="AE4" s="645"/>
      <c r="AF4" s="743"/>
    </row>
    <row r="5" spans="1:32" s="639" customFormat="1" ht="15" customHeight="1">
      <c r="A5" s="2751"/>
      <c r="B5" s="644"/>
      <c r="C5" s="2755"/>
      <c r="D5" s="2755"/>
      <c r="E5" s="2755"/>
      <c r="F5" s="2755"/>
      <c r="G5" s="2750"/>
      <c r="H5" s="749"/>
      <c r="I5" s="754" t="s">
        <v>2522</v>
      </c>
      <c r="J5" s="762" t="s">
        <v>2707</v>
      </c>
      <c r="K5" s="763"/>
      <c r="L5" s="764" t="s">
        <v>2450</v>
      </c>
      <c r="M5" s="765" t="str">
        <f>Lead!$E$9</f>
        <v>孙健</v>
      </c>
      <c r="N5" s="766"/>
      <c r="O5" s="674">
        <f>Lead!$F$9</f>
        <v>43864</v>
      </c>
      <c r="P5" s="767" t="s">
        <v>2708</v>
      </c>
      <c r="Q5" s="1453" t="s">
        <v>6592</v>
      </c>
      <c r="R5" s="725"/>
      <c r="S5" s="725"/>
      <c r="T5" s="725"/>
      <c r="U5" s="725"/>
      <c r="V5" s="725"/>
      <c r="W5" s="725"/>
      <c r="X5" s="725"/>
      <c r="Y5" s="725"/>
      <c r="Z5" s="725"/>
      <c r="AA5" s="2768"/>
      <c r="AB5" s="2768"/>
      <c r="AC5" s="2769"/>
      <c r="AD5" s="2769"/>
      <c r="AE5" s="645"/>
      <c r="AF5" s="727"/>
    </row>
    <row r="6" spans="1:32" s="639" customFormat="1" ht="15" customHeight="1">
      <c r="A6" s="2751"/>
      <c r="B6" s="644"/>
      <c r="C6" s="2755"/>
      <c r="D6" s="2755"/>
      <c r="E6" s="2755"/>
      <c r="F6" s="2755"/>
      <c r="G6" s="2750"/>
      <c r="H6" s="749"/>
      <c r="I6" s="754" t="s">
        <v>2436</v>
      </c>
      <c r="J6" s="768" t="str">
        <f>Lead!$F$7</f>
        <v>2019年度</v>
      </c>
      <c r="K6" s="763"/>
      <c r="L6" s="764" t="s">
        <v>2457</v>
      </c>
      <c r="M6" s="769">
        <f>Lead!$E$10</f>
        <v>0</v>
      </c>
      <c r="N6" s="770"/>
      <c r="O6" s="674">
        <f>Lead!$F$10</f>
        <v>0</v>
      </c>
      <c r="P6" s="767" t="s">
        <v>2525</v>
      </c>
      <c r="Q6" s="808"/>
      <c r="R6" s="726"/>
      <c r="S6" s="726"/>
      <c r="T6" s="726"/>
      <c r="U6" s="726"/>
      <c r="V6" s="726"/>
      <c r="W6" s="726"/>
      <c r="X6" s="726"/>
      <c r="Y6" s="726"/>
      <c r="Z6" s="726"/>
      <c r="AA6" s="2770"/>
      <c r="AB6" s="2770"/>
      <c r="AC6" s="2769"/>
      <c r="AD6" s="2769"/>
      <c r="AE6" s="645"/>
      <c r="AF6" s="727"/>
    </row>
    <row r="7" spans="1:32" s="639" customFormat="1" ht="9.75" customHeight="1">
      <c r="A7" s="2751"/>
      <c r="B7" s="644"/>
      <c r="C7" s="2755"/>
      <c r="D7" s="2755"/>
      <c r="E7" s="2755"/>
      <c r="F7" s="2755"/>
      <c r="G7" s="2756"/>
      <c r="H7" s="750"/>
      <c r="I7" s="771"/>
      <c r="J7" s="772"/>
      <c r="K7" s="772"/>
      <c r="L7" s="773"/>
      <c r="M7" s="750"/>
      <c r="N7" s="774"/>
      <c r="O7" s="775"/>
      <c r="P7" s="776"/>
      <c r="Q7" s="772"/>
      <c r="R7" s="646"/>
      <c r="S7" s="727"/>
      <c r="T7" s="646"/>
      <c r="U7" s="646"/>
      <c r="V7" s="646"/>
      <c r="W7" s="646"/>
      <c r="X7" s="646"/>
      <c r="Y7" s="646"/>
      <c r="Z7" s="646"/>
      <c r="AA7" s="2751"/>
      <c r="AB7" s="2751"/>
      <c r="AC7" s="2769"/>
      <c r="AD7" s="2769"/>
      <c r="AE7" s="645"/>
      <c r="AF7" s="727"/>
    </row>
    <row r="8" spans="1:32" ht="32.25" customHeight="1">
      <c r="A8" s="2749"/>
      <c r="B8" s="2778" t="s">
        <v>6599</v>
      </c>
      <c r="C8" s="2757" t="s">
        <v>2526</v>
      </c>
      <c r="D8" s="2757" t="s">
        <v>2665</v>
      </c>
      <c r="E8" s="2757" t="s">
        <v>2666</v>
      </c>
      <c r="F8" s="2757" t="s">
        <v>2667</v>
      </c>
      <c r="G8" s="2758" t="s">
        <v>2436</v>
      </c>
      <c r="H8" s="751" t="s">
        <v>2668</v>
      </c>
      <c r="I8" s="751" t="s">
        <v>2528</v>
      </c>
      <c r="J8" s="777" t="s">
        <v>2669</v>
      </c>
      <c r="K8" s="777" t="s">
        <v>2529</v>
      </c>
      <c r="L8" s="777" t="s">
        <v>2709</v>
      </c>
      <c r="M8" s="777" t="s">
        <v>2542</v>
      </c>
      <c r="N8" s="777" t="s">
        <v>2547</v>
      </c>
      <c r="O8" s="777" t="s">
        <v>2710</v>
      </c>
      <c r="P8" s="778" t="s">
        <v>2711</v>
      </c>
      <c r="Q8" s="778" t="s">
        <v>2650</v>
      </c>
      <c r="R8" s="729" t="s">
        <v>2676</v>
      </c>
      <c r="S8" s="730" t="s">
        <v>2505</v>
      </c>
      <c r="T8" s="809" t="s">
        <v>2712</v>
      </c>
      <c r="U8" s="729" t="s">
        <v>2678</v>
      </c>
      <c r="V8" s="729" t="s">
        <v>2458</v>
      </c>
      <c r="W8" s="729" t="s">
        <v>2679</v>
      </c>
      <c r="X8" s="729" t="s">
        <v>2680</v>
      </c>
      <c r="Y8" s="729" t="s">
        <v>6794</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IF(TRIM($J9&amp;$K9&amp;$O9&amp;$P9)="","","本期")</f>
        <v/>
      </c>
      <c r="H9" s="752"/>
      <c r="I9" s="779">
        <v>0</v>
      </c>
      <c r="J9" s="688"/>
      <c r="K9" s="689"/>
      <c r="L9" s="689"/>
      <c r="M9" s="689"/>
      <c r="N9" s="689"/>
      <c r="O9" s="211"/>
      <c r="P9" s="212"/>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1"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IF(TRIM($J10&amp;$K10&amp;$O10&amp;$P10)="","","本期")</f>
        <v/>
      </c>
      <c r="H10" s="752"/>
      <c r="I10" s="691"/>
      <c r="J10" s="692" t="str">
        <f t="shared" ref="J10:J38" si="10">IF($O10&lt;&gt;"","借",IF($P10&lt;&gt;"","贷",""))</f>
        <v/>
      </c>
      <c r="K10" s="693"/>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1"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752"/>
      <c r="I11" s="691"/>
      <c r="J11" s="692" t="str">
        <f t="shared" si="10"/>
        <v/>
      </c>
      <c r="K11" s="693"/>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1"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752"/>
      <c r="I12" s="691"/>
      <c r="J12" s="692" t="str">
        <f t="shared" si="10"/>
        <v/>
      </c>
      <c r="K12" s="693"/>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1"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752"/>
      <c r="I13" s="691"/>
      <c r="J13" s="692" t="str">
        <f t="shared" si="10"/>
        <v/>
      </c>
      <c r="K13" s="693"/>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1"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752"/>
      <c r="I14" s="691"/>
      <c r="J14" s="692" t="str">
        <f t="shared" si="10"/>
        <v/>
      </c>
      <c r="K14" s="693"/>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1"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752"/>
      <c r="I15" s="691"/>
      <c r="J15" s="692" t="str">
        <f t="shared" si="10"/>
        <v/>
      </c>
      <c r="K15" s="693"/>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1"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752"/>
      <c r="I16" s="691"/>
      <c r="J16" s="692" t="str">
        <f t="shared" si="10"/>
        <v/>
      </c>
      <c r="K16" s="693"/>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1"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752"/>
      <c r="I17" s="691"/>
      <c r="J17" s="692" t="str">
        <f t="shared" si="10"/>
        <v/>
      </c>
      <c r="K17" s="693"/>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1"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752"/>
      <c r="I18" s="691"/>
      <c r="J18" s="692" t="str">
        <f t="shared" si="10"/>
        <v/>
      </c>
      <c r="K18" s="693"/>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1"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752"/>
      <c r="I19" s="691"/>
      <c r="J19" s="692" t="str">
        <f t="shared" si="10"/>
        <v/>
      </c>
      <c r="K19" s="693"/>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1" t="str">
        <f t="shared" si="8"/>
        <v/>
      </c>
      <c r="AF19" s="641"/>
    </row>
    <row r="20" spans="1:32" ht="18">
      <c r="A20" s="2752"/>
      <c r="B20" s="2779" t="str">
        <f>IF($K20="","","J"&amp;$C20)</f>
        <v/>
      </c>
      <c r="C20" s="2749" t="str">
        <f t="shared" si="0"/>
        <v/>
      </c>
      <c r="D20" s="2749" t="str">
        <f t="shared" si="1"/>
        <v/>
      </c>
      <c r="E20" s="2749" t="str">
        <f t="shared" si="2"/>
        <v/>
      </c>
      <c r="F20" s="2749">
        <f t="shared" si="3"/>
        <v>1.2E-2</v>
      </c>
      <c r="G20" s="2759" t="str">
        <f t="shared" si="9"/>
        <v/>
      </c>
      <c r="H20" s="752"/>
      <c r="I20" s="691"/>
      <c r="J20" s="692" t="str">
        <f t="shared" si="10"/>
        <v/>
      </c>
      <c r="K20" s="693"/>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1" t="str">
        <f t="shared" si="8"/>
        <v/>
      </c>
      <c r="AF20" s="641"/>
    </row>
    <row r="21" spans="1:32" ht="18">
      <c r="A21" s="2752"/>
      <c r="B21" s="2779" t="str">
        <f t="shared" si="11"/>
        <v/>
      </c>
      <c r="C21" s="2749" t="str">
        <f t="shared" si="0"/>
        <v/>
      </c>
      <c r="D21" s="2749" t="str">
        <f t="shared" si="1"/>
        <v/>
      </c>
      <c r="E21" s="2749" t="str">
        <f t="shared" si="2"/>
        <v/>
      </c>
      <c r="F21" s="2749">
        <f t="shared" si="3"/>
        <v>1.2999999999999999E-2</v>
      </c>
      <c r="G21" s="2759" t="str">
        <f t="shared" si="9"/>
        <v/>
      </c>
      <c r="H21" s="752"/>
      <c r="I21" s="691"/>
      <c r="J21" s="692" t="str">
        <f t="shared" si="10"/>
        <v/>
      </c>
      <c r="K21" s="693"/>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1"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752"/>
      <c r="I22" s="691"/>
      <c r="J22" s="692" t="str">
        <f t="shared" si="10"/>
        <v/>
      </c>
      <c r="K22" s="693"/>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1"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752"/>
      <c r="I23" s="691"/>
      <c r="J23" s="692" t="str">
        <f t="shared" si="10"/>
        <v/>
      </c>
      <c r="K23" s="693"/>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1"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752"/>
      <c r="I24" s="691"/>
      <c r="J24" s="692" t="str">
        <f t="shared" si="10"/>
        <v/>
      </c>
      <c r="K24" s="693"/>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1"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752"/>
      <c r="I25" s="691"/>
      <c r="J25" s="692" t="str">
        <f t="shared" si="10"/>
        <v/>
      </c>
      <c r="K25" s="693"/>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1"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752"/>
      <c r="I26" s="691"/>
      <c r="J26" s="692" t="str">
        <f t="shared" si="10"/>
        <v/>
      </c>
      <c r="K26" s="693"/>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1" t="str">
        <f t="shared" si="8"/>
        <v/>
      </c>
      <c r="AF26" s="641"/>
    </row>
    <row r="27" spans="1:32" ht="18">
      <c r="A27" s="2752"/>
      <c r="B27" s="2779" t="str">
        <f>IF($K27="","","J"&amp;$C27)</f>
        <v/>
      </c>
      <c r="C27" s="2749" t="str">
        <f t="shared" si="0"/>
        <v/>
      </c>
      <c r="D27" s="2749" t="str">
        <f t="shared" si="1"/>
        <v/>
      </c>
      <c r="E27" s="2749" t="str">
        <f t="shared" si="2"/>
        <v/>
      </c>
      <c r="F27" s="2749">
        <f t="shared" si="3"/>
        <v>1.9E-2</v>
      </c>
      <c r="G27" s="2759" t="str">
        <f t="shared" si="9"/>
        <v/>
      </c>
      <c r="H27" s="752"/>
      <c r="I27" s="691"/>
      <c r="J27" s="692" t="str">
        <f t="shared" si="10"/>
        <v/>
      </c>
      <c r="K27" s="693"/>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1"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752"/>
      <c r="I28" s="691"/>
      <c r="J28" s="692" t="str">
        <f t="shared" si="10"/>
        <v/>
      </c>
      <c r="K28" s="693"/>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1"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752"/>
      <c r="I29" s="691"/>
      <c r="J29" s="692" t="str">
        <f t="shared" si="10"/>
        <v/>
      </c>
      <c r="K29" s="693"/>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1" t="str">
        <f t="shared" si="8"/>
        <v/>
      </c>
      <c r="AF29" s="641"/>
    </row>
    <row r="30" spans="1:32" ht="18">
      <c r="A30" s="2752"/>
      <c r="B30" s="2779" t="str">
        <f t="shared" si="11"/>
        <v/>
      </c>
      <c r="C30" s="2749" t="str">
        <f t="shared" si="0"/>
        <v/>
      </c>
      <c r="D30" s="2749" t="str">
        <f t="shared" si="1"/>
        <v/>
      </c>
      <c r="E30" s="2749" t="str">
        <f t="shared" si="2"/>
        <v/>
      </c>
      <c r="F30" s="2749">
        <f t="shared" si="3"/>
        <v>2.1999999999999999E-2</v>
      </c>
      <c r="G30" s="2759" t="str">
        <f t="shared" si="9"/>
        <v/>
      </c>
      <c r="H30" s="752"/>
      <c r="I30" s="691"/>
      <c r="J30" s="692" t="str">
        <f t="shared" si="10"/>
        <v/>
      </c>
      <c r="K30" s="693"/>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1"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752"/>
      <c r="I31" s="691"/>
      <c r="J31" s="692" t="str">
        <f t="shared" si="10"/>
        <v/>
      </c>
      <c r="K31" s="693"/>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1"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752"/>
      <c r="I32" s="691"/>
      <c r="J32" s="692" t="str">
        <f t="shared" si="10"/>
        <v/>
      </c>
      <c r="K32" s="693"/>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1"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752"/>
      <c r="I33" s="691"/>
      <c r="J33" s="692" t="str">
        <f t="shared" si="10"/>
        <v/>
      </c>
      <c r="K33" s="693"/>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1"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752"/>
      <c r="I34" s="691"/>
      <c r="J34" s="692" t="str">
        <f t="shared" si="10"/>
        <v/>
      </c>
      <c r="K34" s="693"/>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1" t="str">
        <f t="shared" si="8"/>
        <v/>
      </c>
      <c r="AF34" s="641"/>
    </row>
    <row r="35" spans="1:34" ht="18">
      <c r="A35" s="2752"/>
      <c r="B35" s="2779" t="str">
        <f>IF($K35="","","J"&amp;$C35)</f>
        <v/>
      </c>
      <c r="C35" s="2749" t="str">
        <f t="shared" si="0"/>
        <v/>
      </c>
      <c r="D35" s="2749" t="str">
        <f t="shared" si="1"/>
        <v/>
      </c>
      <c r="E35" s="2749" t="str">
        <f t="shared" si="2"/>
        <v/>
      </c>
      <c r="F35" s="2749">
        <f t="shared" si="3"/>
        <v>2.7E-2</v>
      </c>
      <c r="G35" s="2759" t="str">
        <f t="shared" si="9"/>
        <v/>
      </c>
      <c r="H35" s="752"/>
      <c r="I35" s="691"/>
      <c r="J35" s="692" t="str">
        <f t="shared" si="10"/>
        <v/>
      </c>
      <c r="K35" s="693"/>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1"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752"/>
      <c r="I36" s="691"/>
      <c r="J36" s="692" t="str">
        <f t="shared" si="10"/>
        <v/>
      </c>
      <c r="K36" s="693"/>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1"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752"/>
      <c r="I37" s="691"/>
      <c r="J37" s="692" t="str">
        <f t="shared" si="10"/>
        <v/>
      </c>
      <c r="K37" s="693"/>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1"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752"/>
      <c r="I38" s="780"/>
      <c r="J38" s="692" t="str">
        <f t="shared" si="10"/>
        <v/>
      </c>
      <c r="K38" s="695"/>
      <c r="L38" s="695"/>
      <c r="M38" s="695"/>
      <c r="N38" s="695"/>
      <c r="O38" s="196"/>
      <c r="P38" s="216"/>
      <c r="Q38" s="738" t="str">
        <f t="shared" si="4"/>
        <v/>
      </c>
      <c r="R38" s="732" t="str">
        <f t="shared" si="5"/>
        <v/>
      </c>
      <c r="S38" s="732"/>
      <c r="T38" s="732"/>
      <c r="U38" s="732"/>
      <c r="V38" s="732"/>
      <c r="W38" s="734"/>
      <c r="X38" s="732"/>
      <c r="Y38" s="732"/>
      <c r="Z38" s="732"/>
      <c r="AA38" s="2772"/>
      <c r="AB38" s="2772"/>
      <c r="AC38" s="2785">
        <f t="shared" si="6"/>
        <v>0</v>
      </c>
      <c r="AD38" s="2785">
        <f t="shared" si="7"/>
        <v>0</v>
      </c>
      <c r="AE38" s="1" t="str">
        <f t="shared" si="8"/>
        <v/>
      </c>
      <c r="AF38" s="641"/>
    </row>
    <row r="39" spans="1:34" ht="18" hidden="1">
      <c r="A39" s="2752"/>
      <c r="B39" s="2779"/>
      <c r="C39" s="2749"/>
      <c r="D39" s="2749"/>
      <c r="E39" s="2749"/>
      <c r="F39" s="2749"/>
      <c r="G39" s="2759"/>
      <c r="H39" s="752"/>
      <c r="I39" s="696"/>
      <c r="J39" s="697"/>
      <c r="K39" s="231"/>
      <c r="L39" s="231"/>
      <c r="M39" s="231"/>
      <c r="N39" s="231"/>
      <c r="O39" s="698"/>
      <c r="P39" s="698"/>
      <c r="Q39" s="739"/>
      <c r="R39" s="740"/>
      <c r="S39" s="732"/>
      <c r="T39" s="740"/>
      <c r="U39" s="740"/>
      <c r="V39" s="740"/>
      <c r="W39" s="741"/>
      <c r="X39" s="740"/>
      <c r="Y39" s="740"/>
      <c r="Z39" s="740"/>
      <c r="AA39" s="2772"/>
      <c r="AB39" s="2772"/>
      <c r="AC39" s="2774"/>
      <c r="AD39" s="2774"/>
      <c r="AF39" s="641"/>
    </row>
    <row r="40" spans="1:34" s="640" customFormat="1" ht="18" customHeight="1" thickBot="1">
      <c r="A40" s="2753" t="s">
        <v>2688</v>
      </c>
      <c r="B40" s="2782"/>
      <c r="C40" s="2760"/>
      <c r="D40" s="2761"/>
      <c r="E40" s="2761"/>
      <c r="F40" s="2761"/>
      <c r="G40" s="2762"/>
      <c r="H40" s="736"/>
      <c r="I40" s="781"/>
      <c r="J40" s="782" t="s">
        <v>2713</v>
      </c>
      <c r="K40" s="783"/>
      <c r="L40" s="783"/>
      <c r="M40" s="784"/>
      <c r="N40" s="784"/>
      <c r="O40" s="785">
        <f>SUBTOTAL(109,(INDEX(O:O,ROW(O$8)+1):cellAbove))</f>
        <v>0</v>
      </c>
      <c r="P40" s="786">
        <f>SUBTOTAL(109,(INDEX(P:P,ROW(P$8)+1):cellAbove))</f>
        <v>0</v>
      </c>
      <c r="Q40" s="783"/>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3.5" thickTop="1">
      <c r="A41" s="2749"/>
      <c r="B41" s="642"/>
      <c r="C41" s="2749"/>
      <c r="D41" s="2749"/>
      <c r="E41" s="2749"/>
      <c r="F41" s="2749"/>
      <c r="G41" s="2763"/>
      <c r="H41" s="753"/>
      <c r="R41" s="740"/>
      <c r="S41" s="732"/>
      <c r="T41" s="740"/>
      <c r="U41" s="740"/>
      <c r="V41" s="740"/>
      <c r="W41" s="740"/>
      <c r="X41" s="740"/>
      <c r="Y41" s="641"/>
      <c r="Z41" s="641"/>
      <c r="AA41" s="2765"/>
      <c r="AB41" s="2765"/>
    </row>
    <row r="42" spans="1:34" ht="18" customHeight="1">
      <c r="A42" s="2749"/>
      <c r="B42" s="642"/>
      <c r="C42" s="2749"/>
      <c r="D42" s="2749"/>
      <c r="E42" s="2749"/>
      <c r="F42" s="2749"/>
      <c r="G42" s="2763"/>
      <c r="H42" s="753"/>
      <c r="J42" s="787" t="s">
        <v>2714</v>
      </c>
      <c r="K42" s="788"/>
      <c r="L42" s="788"/>
      <c r="M42" s="788"/>
      <c r="N42" s="788"/>
      <c r="O42" s="788"/>
      <c r="P42" s="789"/>
      <c r="Q42" s="753"/>
      <c r="R42" s="740"/>
      <c r="S42" s="732"/>
      <c r="T42" s="740"/>
      <c r="U42" s="740"/>
      <c r="V42" s="740"/>
      <c r="W42" s="740"/>
      <c r="X42" s="740"/>
      <c r="Y42" s="709"/>
      <c r="Z42" s="709"/>
      <c r="AA42" s="2777"/>
      <c r="AB42" s="2777"/>
    </row>
    <row r="43" spans="1:34" ht="18" customHeight="1">
      <c r="A43" s="2749"/>
      <c r="B43" s="642"/>
      <c r="C43" s="2749"/>
      <c r="D43" s="2749"/>
      <c r="E43" s="2749"/>
      <c r="F43" s="2749"/>
      <c r="G43" s="2763"/>
      <c r="H43" s="753"/>
      <c r="J43" s="790"/>
      <c r="K43" s="791" t="s">
        <v>47</v>
      </c>
      <c r="L43" s="792" t="s">
        <v>2715</v>
      </c>
      <c r="M43" s="793" t="s">
        <v>2716</v>
      </c>
      <c r="N43" s="794"/>
      <c r="O43" s="794" t="s">
        <v>2717</v>
      </c>
      <c r="P43" s="795"/>
      <c r="Q43" s="753"/>
      <c r="R43" s="740"/>
      <c r="S43" s="732"/>
      <c r="T43" s="740"/>
      <c r="U43" s="740"/>
      <c r="V43" s="740"/>
      <c r="W43" s="740"/>
      <c r="X43" s="740"/>
      <c r="Y43" s="709"/>
      <c r="Z43" s="709"/>
      <c r="AA43" s="2777"/>
      <c r="AB43" s="2777"/>
    </row>
    <row r="44" spans="1:34" ht="18" customHeight="1">
      <c r="A44" s="2749"/>
      <c r="B44" s="642"/>
      <c r="C44" s="2749"/>
      <c r="D44" s="2749"/>
      <c r="E44" s="2749"/>
      <c r="F44" s="2749"/>
      <c r="G44" s="2763"/>
      <c r="H44" s="753"/>
      <c r="J44" s="790">
        <v>1</v>
      </c>
      <c r="K44" s="753" t="s">
        <v>2718</v>
      </c>
      <c r="L44" s="796"/>
      <c r="M44" s="3585"/>
      <c r="N44" s="3586"/>
      <c r="O44" s="797"/>
      <c r="P44" s="795"/>
      <c r="Q44" s="753"/>
      <c r="R44" s="740"/>
      <c r="S44" s="732"/>
      <c r="T44" s="740"/>
      <c r="U44" s="740"/>
      <c r="V44" s="740"/>
      <c r="W44" s="740"/>
      <c r="X44" s="740"/>
      <c r="Y44" s="709"/>
      <c r="Z44" s="709"/>
      <c r="AA44" s="2777"/>
      <c r="AB44" s="2777"/>
    </row>
    <row r="45" spans="1:34" ht="18" customHeight="1">
      <c r="A45" s="2749"/>
      <c r="B45" s="642"/>
      <c r="C45" s="2749"/>
      <c r="D45" s="2749"/>
      <c r="E45" s="2749"/>
      <c r="F45" s="2749"/>
      <c r="G45" s="2763"/>
      <c r="H45" s="753"/>
      <c r="J45" s="790">
        <v>2</v>
      </c>
      <c r="K45" s="753" t="s">
        <v>2719</v>
      </c>
      <c r="L45" s="798"/>
      <c r="M45" s="3587"/>
      <c r="N45" s="3588"/>
      <c r="O45" s="799"/>
      <c r="P45" s="795"/>
      <c r="Q45" s="753"/>
      <c r="R45" s="740"/>
      <c r="S45" s="732"/>
      <c r="T45" s="740"/>
      <c r="U45" s="740"/>
      <c r="V45" s="740"/>
      <c r="W45" s="740"/>
      <c r="X45" s="740"/>
      <c r="Y45" s="709"/>
      <c r="Z45" s="709"/>
      <c r="AA45" s="2777"/>
      <c r="AB45" s="2777"/>
    </row>
    <row r="46" spans="1:34" ht="18" customHeight="1">
      <c r="A46" s="2749"/>
      <c r="B46" s="642"/>
      <c r="C46" s="2749"/>
      <c r="D46" s="2749"/>
      <c r="E46" s="2749"/>
      <c r="F46" s="2749"/>
      <c r="G46" s="2763"/>
      <c r="H46" s="753"/>
      <c r="J46" s="790">
        <v>3</v>
      </c>
      <c r="K46" s="753" t="s">
        <v>2720</v>
      </c>
      <c r="L46" s="798"/>
      <c r="M46" s="3587"/>
      <c r="N46" s="3588"/>
      <c r="O46" s="799"/>
      <c r="P46" s="795"/>
      <c r="Q46" s="753"/>
      <c r="R46" s="740"/>
      <c r="S46" s="732"/>
      <c r="T46" s="740"/>
      <c r="U46" s="740"/>
      <c r="V46" s="740"/>
      <c r="W46" s="740"/>
      <c r="X46" s="740"/>
      <c r="Y46" s="709"/>
      <c r="Z46" s="709"/>
      <c r="AA46" s="2777"/>
      <c r="AB46" s="2777"/>
    </row>
    <row r="47" spans="1:34" ht="18" customHeight="1">
      <c r="A47" s="2749"/>
      <c r="B47" s="642"/>
      <c r="C47" s="2749"/>
      <c r="D47" s="2749"/>
      <c r="E47" s="2749"/>
      <c r="F47" s="2749"/>
      <c r="G47" s="2763"/>
      <c r="H47" s="753"/>
      <c r="J47" s="790">
        <v>4</v>
      </c>
      <c r="K47" s="753" t="s">
        <v>2721</v>
      </c>
      <c r="L47" s="798"/>
      <c r="M47" s="3587"/>
      <c r="N47" s="3588"/>
      <c r="O47" s="799"/>
      <c r="P47" s="795"/>
      <c r="Q47" s="753"/>
      <c r="R47" s="740"/>
      <c r="S47" s="732"/>
      <c r="T47" s="740"/>
      <c r="U47" s="740"/>
      <c r="V47" s="740"/>
      <c r="W47" s="740"/>
      <c r="X47" s="740"/>
      <c r="Y47" s="709"/>
      <c r="Z47" s="709"/>
      <c r="AA47" s="2777"/>
      <c r="AB47" s="2777"/>
    </row>
    <row r="48" spans="1:34" ht="18" customHeight="1">
      <c r="A48" s="2749"/>
      <c r="B48" s="642"/>
      <c r="C48" s="2749"/>
      <c r="D48" s="2749"/>
      <c r="E48" s="2749"/>
      <c r="F48" s="2749"/>
      <c r="G48" s="2763"/>
      <c r="H48" s="753"/>
      <c r="J48" s="790">
        <v>5</v>
      </c>
      <c r="K48" s="753" t="s">
        <v>2722</v>
      </c>
      <c r="L48" s="798"/>
      <c r="M48" s="3587"/>
      <c r="N48" s="3588"/>
      <c r="O48" s="799"/>
      <c r="P48" s="795"/>
      <c r="Q48" s="753"/>
      <c r="R48" s="740"/>
      <c r="S48" s="732"/>
      <c r="T48" s="740"/>
      <c r="U48" s="740"/>
      <c r="V48" s="740"/>
      <c r="W48" s="740"/>
      <c r="X48" s="740"/>
      <c r="Y48" s="709"/>
      <c r="Z48" s="709"/>
      <c r="AA48" s="2777"/>
      <c r="AB48" s="2777"/>
    </row>
    <row r="49" spans="1:28" ht="18" customHeight="1">
      <c r="A49" s="2749"/>
      <c r="B49" s="642"/>
      <c r="C49" s="2749"/>
      <c r="D49" s="2749"/>
      <c r="E49" s="2749"/>
      <c r="F49" s="2749"/>
      <c r="G49" s="2763"/>
      <c r="H49" s="753"/>
      <c r="J49" s="790">
        <v>6</v>
      </c>
      <c r="K49" s="753" t="s">
        <v>871</v>
      </c>
      <c r="L49" s="800"/>
      <c r="M49" s="3583"/>
      <c r="N49" s="3584"/>
      <c r="O49" s="801"/>
      <c r="P49" s="795"/>
      <c r="Q49" s="753"/>
      <c r="R49" s="740"/>
      <c r="S49" s="732"/>
      <c r="T49" s="740"/>
      <c r="U49" s="740"/>
      <c r="V49" s="740"/>
      <c r="W49" s="740"/>
      <c r="X49" s="740"/>
      <c r="Y49" s="641"/>
      <c r="Z49" s="641"/>
      <c r="AA49" s="2765"/>
      <c r="AB49" s="2765"/>
    </row>
    <row r="50" spans="1:28" ht="18" customHeight="1">
      <c r="A50" s="2749"/>
      <c r="B50" s="642"/>
      <c r="C50" s="2749"/>
      <c r="D50" s="2749"/>
      <c r="E50" s="2749"/>
      <c r="F50" s="2749"/>
      <c r="G50" s="2763"/>
      <c r="H50" s="753"/>
      <c r="J50" s="802" t="s">
        <v>2691</v>
      </c>
      <c r="K50" s="753"/>
      <c r="L50" s="753"/>
      <c r="M50" s="753"/>
      <c r="N50" s="753"/>
      <c r="O50" s="753"/>
      <c r="P50" s="795"/>
      <c r="Q50" s="753"/>
      <c r="R50" s="740"/>
      <c r="S50" s="736"/>
      <c r="T50" s="740"/>
      <c r="U50" s="740"/>
      <c r="V50" s="740"/>
      <c r="W50" s="740"/>
      <c r="X50" s="740"/>
      <c r="Y50" s="641"/>
      <c r="Z50" s="641"/>
      <c r="AA50" s="2765"/>
      <c r="AB50" s="2765"/>
    </row>
    <row r="51" spans="1:28" ht="18" customHeight="1">
      <c r="A51" s="2749"/>
      <c r="B51" s="642"/>
      <c r="C51" s="2749"/>
      <c r="D51" s="2749"/>
      <c r="E51" s="2749"/>
      <c r="F51" s="2749"/>
      <c r="G51" s="2763"/>
      <c r="H51" s="753"/>
      <c r="J51" s="803"/>
      <c r="K51" s="804" t="s">
        <v>2723</v>
      </c>
      <c r="L51" s="805"/>
      <c r="M51" s="805"/>
      <c r="N51" s="805"/>
      <c r="O51" s="805"/>
      <c r="P51" s="806"/>
      <c r="Q51" s="753"/>
      <c r="R51" s="740"/>
      <c r="T51" s="740"/>
      <c r="U51" s="740"/>
      <c r="V51" s="740"/>
      <c r="W51" s="740"/>
      <c r="X51" s="740"/>
    </row>
    <row r="52" spans="1:28" ht="18" customHeight="1">
      <c r="G52" s="2784"/>
      <c r="H52" s="753"/>
      <c r="R52" s="742"/>
      <c r="S52" s="732"/>
      <c r="T52" s="742"/>
      <c r="U52" s="742"/>
      <c r="V52" s="742"/>
      <c r="W52" s="742"/>
      <c r="X52" s="742"/>
    </row>
    <row r="53" spans="1:28" ht="18" customHeight="1">
      <c r="R53" s="641"/>
      <c r="S53" s="732"/>
      <c r="T53" s="641"/>
      <c r="U53" s="641"/>
      <c r="V53" s="641"/>
      <c r="W53" s="641"/>
      <c r="X53" s="641"/>
    </row>
    <row r="54" spans="1:28" ht="18" customHeight="1">
      <c r="R54" s="740"/>
      <c r="S54" s="732"/>
      <c r="T54" s="740"/>
      <c r="U54" s="740"/>
      <c r="V54" s="740"/>
      <c r="W54" s="740"/>
      <c r="X54" s="740"/>
    </row>
    <row r="55" spans="1:28" ht="12.75">
      <c r="R55" s="740"/>
      <c r="S55" s="732"/>
      <c r="T55" s="740"/>
      <c r="U55" s="740"/>
      <c r="V55" s="740"/>
      <c r="W55" s="740"/>
      <c r="X55" s="740"/>
    </row>
    <row r="56" spans="1:28" ht="12.75">
      <c r="R56" s="740"/>
      <c r="S56" s="732"/>
      <c r="T56" s="740"/>
      <c r="U56" s="740"/>
      <c r="V56" s="740"/>
      <c r="W56" s="740"/>
      <c r="X56" s="740"/>
    </row>
    <row r="57" spans="1:28" ht="12.75">
      <c r="R57" s="740"/>
      <c r="S57" s="732"/>
      <c r="T57" s="740"/>
      <c r="U57" s="740"/>
      <c r="V57" s="740"/>
      <c r="W57" s="740"/>
      <c r="X57" s="740"/>
    </row>
    <row r="58" spans="1:28" ht="12.75">
      <c r="R58" s="740"/>
      <c r="S58" s="732"/>
      <c r="T58" s="740"/>
      <c r="U58" s="740"/>
      <c r="V58" s="740"/>
      <c r="W58" s="740"/>
      <c r="X58" s="740"/>
    </row>
    <row r="59" spans="1:28" ht="12.75">
      <c r="R59" s="740"/>
      <c r="S59" s="732"/>
      <c r="T59" s="740"/>
      <c r="U59" s="740"/>
      <c r="V59" s="740"/>
      <c r="W59" s="740"/>
      <c r="X59" s="740"/>
    </row>
    <row r="60" spans="1:28" ht="12.75">
      <c r="R60" s="740"/>
      <c r="S60" s="732"/>
      <c r="T60" s="740"/>
      <c r="U60" s="740"/>
      <c r="V60" s="740"/>
      <c r="W60" s="740"/>
      <c r="X60" s="740"/>
    </row>
    <row r="61" spans="1:28" ht="12.75">
      <c r="R61" s="740"/>
      <c r="S61" s="732"/>
      <c r="T61" s="740"/>
      <c r="U61" s="740"/>
      <c r="V61" s="740"/>
      <c r="W61" s="740"/>
      <c r="X61" s="740"/>
    </row>
    <row r="62" spans="1:28" ht="12.75">
      <c r="R62" s="740"/>
      <c r="S62" s="732"/>
      <c r="T62" s="740"/>
      <c r="U62" s="740"/>
      <c r="V62" s="740"/>
      <c r="W62" s="740"/>
      <c r="X62" s="740"/>
    </row>
    <row r="63" spans="1:28" ht="12.75">
      <c r="R63" s="740"/>
      <c r="S63" s="732"/>
      <c r="T63" s="740"/>
      <c r="U63" s="740"/>
      <c r="V63" s="740"/>
      <c r="W63" s="740"/>
      <c r="X63" s="740"/>
    </row>
    <row r="64" spans="1:28"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ht="12.75">
      <c r="R72" s="740"/>
      <c r="S72" s="736"/>
      <c r="T72" s="740"/>
      <c r="U72" s="740"/>
      <c r="V72" s="740"/>
      <c r="W72" s="740"/>
      <c r="X72" s="740"/>
    </row>
    <row r="73" spans="18:24" ht="12.75">
      <c r="R73" s="740"/>
      <c r="T73" s="740"/>
      <c r="U73" s="740"/>
      <c r="V73" s="740"/>
      <c r="W73" s="740"/>
      <c r="X73" s="740"/>
    </row>
    <row r="74" spans="18:24" ht="12.75">
      <c r="R74" s="742"/>
      <c r="S74" s="732"/>
      <c r="T74" s="742"/>
      <c r="U74" s="742"/>
      <c r="V74" s="742"/>
      <c r="W74" s="742"/>
      <c r="X74" s="742"/>
    </row>
    <row r="75" spans="18:24" ht="12.75">
      <c r="R75" s="641"/>
      <c r="S75" s="732"/>
      <c r="T75" s="641"/>
      <c r="U75" s="641"/>
      <c r="V75" s="641"/>
      <c r="W75" s="641"/>
      <c r="X75" s="641"/>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ht="12.75">
      <c r="R94" s="740"/>
      <c r="S94" s="736"/>
      <c r="T94" s="740"/>
      <c r="U94" s="740"/>
      <c r="V94" s="740"/>
      <c r="W94" s="740"/>
      <c r="X94" s="740"/>
    </row>
    <row r="95" spans="18:24" ht="12.75">
      <c r="R95" s="740"/>
      <c r="T95" s="740"/>
      <c r="U95" s="740"/>
      <c r="V95" s="740"/>
      <c r="W95" s="740"/>
      <c r="X95" s="740"/>
    </row>
    <row r="96" spans="18:24" ht="12.75">
      <c r="R96" s="742"/>
      <c r="S96" s="732"/>
      <c r="T96" s="742"/>
      <c r="U96" s="742"/>
      <c r="V96" s="742"/>
      <c r="W96" s="742"/>
      <c r="X96" s="742"/>
    </row>
    <row r="97" spans="18:24" ht="12.75">
      <c r="R97" s="641"/>
      <c r="S97" s="732"/>
      <c r="T97" s="641"/>
      <c r="U97" s="641"/>
      <c r="V97" s="641"/>
      <c r="W97" s="641"/>
      <c r="X97" s="641"/>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ht="12.75">
      <c r="R116" s="740"/>
      <c r="S116" s="736"/>
      <c r="T116" s="740"/>
      <c r="U116" s="740"/>
      <c r="V116" s="740"/>
      <c r="W116" s="740"/>
      <c r="X116" s="740"/>
    </row>
    <row r="117" spans="18:24" ht="12.75">
      <c r="R117" s="740"/>
      <c r="T117" s="740"/>
      <c r="U117" s="740"/>
      <c r="V117" s="740"/>
      <c r="W117" s="740"/>
      <c r="X117" s="740"/>
    </row>
    <row r="118" spans="18:24" ht="12.75">
      <c r="R118" s="742"/>
      <c r="S118" s="732"/>
      <c r="T118" s="742"/>
      <c r="U118" s="742"/>
      <c r="V118" s="742"/>
      <c r="W118" s="742"/>
      <c r="X118" s="742"/>
    </row>
    <row r="119" spans="18:24" ht="12.75">
      <c r="R119" s="641"/>
      <c r="S119" s="732"/>
      <c r="T119" s="641"/>
      <c r="U119" s="641"/>
      <c r="V119" s="641"/>
      <c r="W119" s="641"/>
      <c r="X119" s="641"/>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ht="12.75">
      <c r="R138" s="740"/>
      <c r="S138" s="736"/>
      <c r="T138" s="740"/>
      <c r="U138" s="740"/>
      <c r="V138" s="740"/>
      <c r="W138" s="740"/>
      <c r="X138" s="740"/>
    </row>
    <row r="139" spans="18:24" ht="12.75">
      <c r="R139" s="740"/>
      <c r="T139" s="740"/>
      <c r="U139" s="740"/>
      <c r="V139" s="740"/>
      <c r="W139" s="740"/>
      <c r="X139" s="740"/>
    </row>
    <row r="140" spans="18:24" ht="12.75">
      <c r="R140" s="742"/>
      <c r="S140" s="732"/>
      <c r="T140" s="742"/>
      <c r="U140" s="742"/>
      <c r="V140" s="742"/>
      <c r="W140" s="742"/>
      <c r="X140" s="742"/>
    </row>
    <row r="141" spans="18:24" ht="12.75">
      <c r="R141" s="641"/>
      <c r="S141" s="732"/>
      <c r="T141" s="641"/>
      <c r="U141" s="641"/>
      <c r="V141" s="641"/>
      <c r="W141" s="641"/>
      <c r="X141" s="641"/>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ht="12.75">
      <c r="R160" s="740"/>
      <c r="S160" s="736"/>
      <c r="T160" s="740"/>
      <c r="U160" s="740"/>
      <c r="V160" s="740"/>
      <c r="W160" s="740"/>
      <c r="X160" s="740"/>
    </row>
    <row r="161" spans="18:24" ht="12.75">
      <c r="R161" s="740"/>
      <c r="T161" s="740"/>
      <c r="U161" s="740"/>
      <c r="V161" s="740"/>
      <c r="W161" s="740"/>
      <c r="X161" s="740"/>
    </row>
    <row r="162" spans="18:24" ht="12.75">
      <c r="R162" s="742"/>
      <c r="S162" s="732"/>
      <c r="T162" s="742"/>
      <c r="U162" s="742"/>
      <c r="V162" s="742"/>
      <c r="W162" s="742"/>
      <c r="X162" s="742"/>
    </row>
    <row r="163" spans="18:24" ht="12.75">
      <c r="R163" s="641"/>
      <c r="S163" s="732"/>
      <c r="T163" s="641"/>
      <c r="U163" s="641"/>
      <c r="V163" s="641"/>
      <c r="W163" s="641"/>
      <c r="X163" s="641"/>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ht="12.75">
      <c r="R182" s="740"/>
      <c r="S182" s="736"/>
      <c r="T182" s="740"/>
      <c r="U182" s="740"/>
      <c r="V182" s="740"/>
      <c r="W182" s="740"/>
      <c r="X182" s="740"/>
    </row>
    <row r="183" spans="18:24" ht="12.75">
      <c r="R183" s="740"/>
      <c r="T183" s="740"/>
      <c r="U183" s="740"/>
      <c r="V183" s="740"/>
      <c r="W183" s="740"/>
      <c r="X183" s="740"/>
    </row>
    <row r="184" spans="18:24">
      <c r="R184" s="742"/>
      <c r="S184" s="709"/>
      <c r="T184" s="742"/>
      <c r="U184" s="742"/>
      <c r="V184" s="742"/>
      <c r="W184" s="742"/>
      <c r="X184" s="742"/>
    </row>
    <row r="185" spans="18:24">
      <c r="R185" s="641"/>
      <c r="S185" s="709"/>
      <c r="T185" s="641"/>
      <c r="U185" s="641"/>
      <c r="V185" s="641"/>
      <c r="W185" s="641"/>
      <c r="X185" s="641"/>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709"/>
      <c r="T191" s="709"/>
      <c r="U191" s="709"/>
      <c r="V191" s="709"/>
      <c r="W191" s="709"/>
      <c r="X191" s="709"/>
    </row>
    <row r="192" spans="18:24">
      <c r="R192" s="709"/>
      <c r="T192" s="709"/>
      <c r="U192" s="709"/>
      <c r="V192" s="709"/>
      <c r="W192" s="709"/>
      <c r="X192" s="709"/>
    </row>
    <row r="193" spans="18:24">
      <c r="R193" s="641"/>
      <c r="T193" s="641"/>
      <c r="U193" s="641"/>
      <c r="V193" s="641"/>
      <c r="W193" s="641"/>
      <c r="X193" s="641"/>
    </row>
    <row r="194" spans="18:24">
      <c r="R194" s="641"/>
      <c r="T194" s="641"/>
      <c r="U194" s="641"/>
      <c r="V194" s="641"/>
      <c r="W194" s="641"/>
      <c r="X194" s="641"/>
    </row>
  </sheetData>
  <sheetProtection algorithmName="SHA-512" hashValue="GnwYqhY1tZ9Zuu4Ynbo03Rr+ozsPsv5u5PFiyJWkWdFWr+f1B9mZxZnXrD48oXpUbxUwvbkJ76QD+wChuqC1MQ==" saltValue="AWgyVs9MqVT4p4v7fHR00g==" spinCount="100000" sheet="1" scenarios="1" formatCells="0" autoFilter="0"/>
  <autoFilter ref="A8:AE38"/>
  <mergeCells count="6">
    <mergeCell ref="M49:N49"/>
    <mergeCell ref="M44:N44"/>
    <mergeCell ref="M45:N45"/>
    <mergeCell ref="M46:N46"/>
    <mergeCell ref="M47:N47"/>
    <mergeCell ref="M48:N48"/>
  </mergeCells>
  <phoneticPr fontId="163" type="noConversion"/>
  <conditionalFormatting sqref="P4:Q4">
    <cfRule type="expression" dxfId="58" priority="2" stopIfTrue="1">
      <formula>$P4&lt;&gt;""</formula>
    </cfRule>
  </conditionalFormatting>
  <conditionalFormatting sqref="AE9:AE39">
    <cfRule type="expression" dxfId="57" priority="5" stopIfTrue="1">
      <formula>AE9&lt;&gt;""</formula>
    </cfRule>
  </conditionalFormatting>
  <conditionalFormatting sqref="B9:B38">
    <cfRule type="expression" dxfId="56" priority="1">
      <formula>ISERROR($B9)</formula>
    </cfRule>
  </conditionalFormatting>
  <dataValidations count="11">
    <dataValidation type="list" allowBlank="1" showInputMessage="1" showErrorMessage="1" sqref="R9">
      <formula1>Sheet_AcctClass</formula1>
    </dataValidation>
    <dataValidation type="list" showDropDown="1" showInputMessage="1" showErrorMessage="1" error="分录表末行属性值FLend，不能更改!" prompt="A列请勿输入" sqref="A40">
      <formula1>"FLend"</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借方金额" sqref="O9:O39">
      <formula1>-99999999999.99</formula1>
      <formula2>99999999999.99</formula2>
    </dataValidation>
    <dataValidation type="list" showInputMessage="1" showErrorMessage="1" errorTitle="WPE" error="请选择分录类型！" prompt="UJE 未调整分录" sqref="H9:H39">
      <formula1>"UJE"</formula1>
    </dataValidation>
    <dataValidation type="list" allowBlank="1" showInputMessage="1" showErrorMessage="1" sqref="U9:U38">
      <formula1>Sheet_MisstaCause</formula1>
    </dataValidation>
    <dataValidation type="list" allowBlank="1" showInputMessage="1" prompt="输入金额后，WPE自动判断方向" sqref="J10:J39">
      <formula1>"借,贷"</formula1>
    </dataValidation>
    <dataValidation type="decimal" showInputMessage="1" showErrorMessage="1" errorTitle="WPE" error="请输入数值！" prompt="贷方金额" sqref="P9:P39">
      <formula1>-99999999999.99</formula1>
      <formula2>99999999999.99</formula2>
    </dataValidation>
    <dataValidation type="list" allowBlank="1" showInputMessage="1" showErrorMessage="1" sqref="T9:T38">
      <formula1>Sheet_UncorMistaType</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pageSetUpPr autoPageBreaks="0"/>
  </sheetPr>
  <dimension ref="A1:AH192"/>
  <sheetViews>
    <sheetView workbookViewId="0">
      <selection activeCell="H6245" sqref="H6245"/>
    </sheetView>
  </sheetViews>
  <sheetFormatPr defaultColWidth="9.140625" defaultRowHeight="12"/>
  <cols>
    <col min="1" max="1" width="0.140625" style="2754" customWidth="1"/>
    <col min="2" max="2" width="7.7109375" style="637" customWidth="1"/>
    <col min="3" max="7" width="0.140625" style="2754" customWidth="1"/>
    <col min="8" max="8" width="4.5703125" style="1" customWidth="1"/>
    <col min="9" max="9" width="6.28515625" style="1" customWidth="1"/>
    <col min="10" max="10" width="5.85546875" style="1" customWidth="1"/>
    <col min="11" max="11" width="33.28515625" style="1" customWidth="1"/>
    <col min="12" max="12" width="17.7109375" style="1" customWidth="1"/>
    <col min="13" max="13" width="9.7109375" style="1" customWidth="1"/>
    <col min="14" max="14" width="8.7109375" style="1" customWidth="1"/>
    <col min="15" max="16" width="14.7109375" style="1" customWidth="1"/>
    <col min="17" max="17" width="7.5703125" style="1" customWidth="1"/>
    <col min="18" max="18" width="7.42578125" style="1" customWidth="1"/>
    <col min="19" max="19" width="8.140625" style="641" customWidth="1"/>
    <col min="20" max="20" width="9.7109375" style="1" customWidth="1"/>
    <col min="21" max="21" width="6.140625" style="1" customWidth="1"/>
    <col min="22" max="22" width="9.7109375" style="1" customWidth="1"/>
    <col min="23" max="23" width="12.7109375" style="1" customWidth="1"/>
    <col min="24" max="26" width="9.7109375" style="1" customWidth="1"/>
    <col min="27" max="30" width="0.140625" style="2754" customWidth="1"/>
    <col min="31" max="31" width="25" style="1" customWidth="1"/>
    <col min="32" max="16384" width="9.140625" style="1"/>
  </cols>
  <sheetData>
    <row r="1" spans="1:32" s="637" customFormat="1" ht="0.75" customHeight="1">
      <c r="A1" s="2749"/>
      <c r="B1" s="642"/>
      <c r="C1" s="2749"/>
      <c r="D1" s="2749"/>
      <c r="E1" s="2749"/>
      <c r="F1" s="2749"/>
      <c r="G1" s="2749"/>
      <c r="H1" s="642"/>
      <c r="I1" s="642"/>
      <c r="J1" s="642"/>
      <c r="K1" s="642"/>
      <c r="L1" s="642"/>
      <c r="M1" s="642"/>
      <c r="N1" s="642"/>
      <c r="O1" s="642"/>
      <c r="P1" s="642"/>
      <c r="Q1" s="642"/>
      <c r="R1" s="642"/>
      <c r="S1" s="720"/>
      <c r="T1" s="642"/>
      <c r="U1" s="642"/>
      <c r="V1" s="642"/>
      <c r="W1" s="642"/>
      <c r="X1" s="642"/>
      <c r="Y1" s="642"/>
      <c r="Z1" s="642"/>
      <c r="AA1" s="2749"/>
      <c r="AB1" s="2749"/>
      <c r="AC1" s="2765"/>
      <c r="AD1" s="2765"/>
      <c r="AE1" s="643"/>
      <c r="AF1" s="720"/>
    </row>
    <row r="2" spans="1:32" s="637" customFormat="1" ht="0.75" customHeight="1">
      <c r="A2" s="2749"/>
      <c r="B2" s="642"/>
      <c r="C2" s="2749"/>
      <c r="D2" s="2749"/>
      <c r="E2" s="2749"/>
      <c r="F2" s="2749"/>
      <c r="G2" s="2749"/>
      <c r="H2" s="642"/>
      <c r="I2" s="642"/>
      <c r="J2" s="642"/>
      <c r="K2" s="642"/>
      <c r="L2" s="642"/>
      <c r="M2" s="642"/>
      <c r="N2" s="642"/>
      <c r="O2" s="642"/>
      <c r="P2" s="642"/>
      <c r="Q2" s="642"/>
      <c r="R2" s="642"/>
      <c r="S2" s="720"/>
      <c r="T2" s="642"/>
      <c r="U2" s="642"/>
      <c r="V2" s="642"/>
      <c r="W2" s="642"/>
      <c r="X2" s="642"/>
      <c r="Y2" s="642"/>
      <c r="Z2" s="642"/>
      <c r="AA2" s="2749"/>
      <c r="AB2" s="2749"/>
      <c r="AC2" s="2765"/>
      <c r="AD2" s="2765"/>
      <c r="AE2" s="643"/>
      <c r="AF2" s="720"/>
    </row>
    <row r="3" spans="1:32" s="637" customFormat="1" ht="0.75" customHeight="1">
      <c r="A3" s="2749"/>
      <c r="B3" s="642" t="str">
        <f>IF($K3="","","J"&amp;$C3)</f>
        <v/>
      </c>
      <c r="C3" s="2749" t="str">
        <f>IF($K3="","",VLOOKUP($K3,Sheet_Items2,7,0))</f>
        <v/>
      </c>
      <c r="D3" s="2749" t="str">
        <f>IF($O3&amp;$P3&lt;&gt;"",cellAbove,INDEX($J:$J,ROW()))&amp;""</f>
        <v/>
      </c>
      <c r="E3" s="2749" t="str">
        <f>IF($O3&amp;$P3&lt;&gt;"",cellAbove,INDEX($I:$I,ROW()))&amp;""</f>
        <v/>
      </c>
      <c r="F3" s="2749" t="e">
        <f>VALUE(IF(E3="",E2&amp;"."&amp;TEXT((ROW()-8),"000"),E3&amp;"."&amp;TEXT((ROW()-8),"000")))</f>
        <v>#VALUE!</v>
      </c>
      <c r="G3" s="2749" t="str">
        <f>IF(TRIM($J3&amp;$K3&amp;$O3&amp;$P3)="","","前1期")</f>
        <v/>
      </c>
      <c r="H3" s="643"/>
      <c r="I3" s="642"/>
      <c r="J3" s="643" t="str">
        <f>IF($O3&lt;&gt;"","借",IF($P3&lt;&gt;"","贷",""))</f>
        <v/>
      </c>
      <c r="K3" s="642"/>
      <c r="L3" s="642"/>
      <c r="M3" s="642"/>
      <c r="N3" s="642"/>
      <c r="O3" s="642"/>
      <c r="P3" s="642"/>
      <c r="Q3" s="643" t="str">
        <f>IF(ISERROR(VLOOKUP(VALUE(MID($C3,1,4)),Sheet_Items,5,0)),"",VLOOKUP(VALUE(MID($C3,1,4)),Sheet_Items,5,0))</f>
        <v/>
      </c>
      <c r="R3" s="721" t="str">
        <f>LEFT(C3,1)</f>
        <v/>
      </c>
      <c r="S3" s="722"/>
      <c r="T3" s="642"/>
      <c r="U3" s="642"/>
      <c r="V3" s="642"/>
      <c r="W3" s="642"/>
      <c r="X3" s="642"/>
      <c r="Y3" s="642"/>
      <c r="Z3" s="642"/>
      <c r="AA3" s="2749"/>
      <c r="AB3" s="2749"/>
      <c r="AC3" s="2765">
        <f>IF(O3&gt;0,O3,IF(P3&lt;0,-P3,0))</f>
        <v>0</v>
      </c>
      <c r="AD3" s="2765">
        <f>IF(P3&gt;0,P3,IF(O3&lt;0,-O3,0))</f>
        <v>0</v>
      </c>
      <c r="AE3" s="643" t="str">
        <f>IF(COUNTBLANK(I3:Q3)=COLUMNS(I3:Q3),"",IF(H3="","请选择分录类型！",IF(AND(I3="",J3="",K3=""),"请输入...",IF(AND(J3&lt;&gt;"",J3&lt;&gt;"借",J3&lt;&gt;"贷",K3&lt;&gt;""),"请在下一行输入报表项目！",IF(AND(K3&lt;&gt;"",O3="",P3=""),"请输入金额！",IF(AND(K3="",L3&amp;M3&amp;O3&amp;P3&lt;&gt;""),"请输入报表项目！",IF(AND(O3&lt;&gt;"",P3&lt;&gt;""),"借贷通吃？","")))))))</f>
        <v/>
      </c>
      <c r="AF3" s="720"/>
    </row>
    <row r="4" spans="1:32" s="638" customFormat="1" ht="15" customHeight="1">
      <c r="A4" s="2750"/>
      <c r="B4" s="644"/>
      <c r="C4" s="2755"/>
      <c r="D4" s="2755"/>
      <c r="E4" s="2755"/>
      <c r="F4" s="2755">
        <f>LARGE(I8:I40,1)</f>
        <v>0</v>
      </c>
      <c r="G4" s="2750"/>
      <c r="H4" s="645"/>
      <c r="I4" s="661" t="s">
        <v>2520</v>
      </c>
      <c r="J4" s="662" t="str">
        <f>Lead!$C$5</f>
        <v>福建省力菲克药业有限公司</v>
      </c>
      <c r="K4" s="663"/>
      <c r="L4" s="664"/>
      <c r="M4" s="665" t="s">
        <v>2521</v>
      </c>
      <c r="N4" s="666"/>
      <c r="O4" s="667" t="s">
        <v>2501</v>
      </c>
      <c r="P4" s="668" t="str">
        <f>IF(AE40="借贷平衡!","",AE40)</f>
        <v/>
      </c>
      <c r="Q4" s="723"/>
      <c r="R4" s="723"/>
      <c r="S4" s="724"/>
      <c r="T4" s="723"/>
      <c r="U4" s="723"/>
      <c r="V4" s="723"/>
      <c r="W4" s="723"/>
      <c r="X4" s="723"/>
      <c r="Y4" s="723"/>
      <c r="Z4" s="723"/>
      <c r="AA4" s="2766"/>
      <c r="AB4" s="2766"/>
      <c r="AC4" s="2767"/>
      <c r="AD4" s="2767"/>
      <c r="AE4" s="744"/>
      <c r="AF4" s="743"/>
    </row>
    <row r="5" spans="1:32" s="639" customFormat="1" ht="15" customHeight="1">
      <c r="A5" s="2751"/>
      <c r="B5" s="644"/>
      <c r="C5" s="2755"/>
      <c r="D5" s="2755"/>
      <c r="E5" s="2755"/>
      <c r="F5" s="2755"/>
      <c r="G5" s="2750"/>
      <c r="H5" s="646"/>
      <c r="I5" s="661" t="s">
        <v>2522</v>
      </c>
      <c r="J5" s="669" t="s">
        <v>2724</v>
      </c>
      <c r="K5" s="670"/>
      <c r="L5" s="671" t="s">
        <v>2450</v>
      </c>
      <c r="M5" s="672" t="str">
        <f>Lead!$E$9</f>
        <v>孙健</v>
      </c>
      <c r="N5" s="673"/>
      <c r="O5" s="674">
        <f>Lead!$F$9</f>
        <v>43864</v>
      </c>
      <c r="P5" s="675" t="s">
        <v>6591</v>
      </c>
      <c r="Q5" s="725"/>
      <c r="R5" s="725"/>
      <c r="S5" s="725"/>
      <c r="T5" s="725"/>
      <c r="U5" s="725"/>
      <c r="V5" s="725"/>
      <c r="W5" s="725"/>
      <c r="X5" s="725"/>
      <c r="Y5" s="725"/>
      <c r="Z5" s="725"/>
      <c r="AA5" s="2768"/>
      <c r="AB5" s="2768"/>
      <c r="AC5" s="2769"/>
      <c r="AD5" s="2769"/>
      <c r="AE5" s="744"/>
      <c r="AF5" s="727"/>
    </row>
    <row r="6" spans="1:32" s="639" customFormat="1" ht="15" customHeight="1">
      <c r="A6" s="2751"/>
      <c r="B6" s="644"/>
      <c r="C6" s="2755"/>
      <c r="D6" s="2755"/>
      <c r="E6" s="2755"/>
      <c r="F6" s="2755"/>
      <c r="G6" s="2750"/>
      <c r="H6" s="646"/>
      <c r="I6" s="661" t="s">
        <v>2436</v>
      </c>
      <c r="J6" s="676" t="str">
        <f>Lead!$F$8</f>
        <v>2018年度</v>
      </c>
      <c r="K6" s="670"/>
      <c r="L6" s="671" t="s">
        <v>2457</v>
      </c>
      <c r="M6" s="677">
        <f>Lead!$E$10</f>
        <v>0</v>
      </c>
      <c r="N6" s="678"/>
      <c r="O6" s="674">
        <f>Lead!$F$10</f>
        <v>0</v>
      </c>
      <c r="P6" s="675" t="s">
        <v>2525</v>
      </c>
      <c r="Q6" s="726"/>
      <c r="R6" s="726"/>
      <c r="S6" s="726"/>
      <c r="T6" s="726"/>
      <c r="U6" s="726"/>
      <c r="V6" s="726"/>
      <c r="W6" s="726"/>
      <c r="X6" s="726"/>
      <c r="Y6" s="726"/>
      <c r="Z6" s="726"/>
      <c r="AA6" s="2770"/>
      <c r="AB6" s="2770"/>
      <c r="AC6" s="2769"/>
      <c r="AD6" s="2769"/>
      <c r="AE6" s="744"/>
      <c r="AF6" s="727"/>
    </row>
    <row r="7" spans="1:32" s="639" customFormat="1" ht="9.75" customHeight="1">
      <c r="A7" s="2751"/>
      <c r="B7" s="644"/>
      <c r="C7" s="2755"/>
      <c r="D7" s="2755"/>
      <c r="E7" s="2755"/>
      <c r="F7" s="2755"/>
      <c r="G7" s="2756"/>
      <c r="H7" s="647"/>
      <c r="I7" s="647"/>
      <c r="J7" s="646"/>
      <c r="K7" s="646"/>
      <c r="L7" s="679"/>
      <c r="M7" s="680"/>
      <c r="N7" s="681"/>
      <c r="O7" s="682"/>
      <c r="P7" s="683"/>
      <c r="Q7" s="646"/>
      <c r="R7" s="646"/>
      <c r="S7" s="727"/>
      <c r="T7" s="646"/>
      <c r="U7" s="646"/>
      <c r="V7" s="646"/>
      <c r="W7" s="646"/>
      <c r="X7" s="646"/>
      <c r="Y7" s="646"/>
      <c r="Z7" s="646"/>
      <c r="AA7" s="2751"/>
      <c r="AB7" s="2751"/>
      <c r="AC7" s="2769"/>
      <c r="AD7" s="2769"/>
      <c r="AE7" s="744"/>
      <c r="AF7" s="727"/>
    </row>
    <row r="8" spans="1:32" ht="32.25" customHeight="1">
      <c r="A8" s="2749"/>
      <c r="B8" s="2778" t="s">
        <v>6599</v>
      </c>
      <c r="C8" s="2757" t="s">
        <v>2526</v>
      </c>
      <c r="D8" s="2757" t="s">
        <v>2665</v>
      </c>
      <c r="E8" s="2757" t="s">
        <v>2666</v>
      </c>
      <c r="F8" s="2757" t="s">
        <v>2667</v>
      </c>
      <c r="G8" s="2758" t="s">
        <v>2436</v>
      </c>
      <c r="H8" s="648" t="s">
        <v>2668</v>
      </c>
      <c r="I8" s="648" t="s">
        <v>2528</v>
      </c>
      <c r="J8" s="684" t="s">
        <v>2669</v>
      </c>
      <c r="K8" s="684" t="s">
        <v>2670</v>
      </c>
      <c r="L8" s="684" t="s">
        <v>2671</v>
      </c>
      <c r="M8" s="684" t="s">
        <v>2672</v>
      </c>
      <c r="N8" s="684" t="s">
        <v>2673</v>
      </c>
      <c r="O8" s="685" t="s">
        <v>2674</v>
      </c>
      <c r="P8" s="686" t="s">
        <v>2675</v>
      </c>
      <c r="Q8" s="728" t="s">
        <v>2650</v>
      </c>
      <c r="R8" s="729" t="s">
        <v>2676</v>
      </c>
      <c r="S8" s="730" t="s">
        <v>2505</v>
      </c>
      <c r="T8" s="729" t="s">
        <v>2677</v>
      </c>
      <c r="U8" s="729" t="s">
        <v>2678</v>
      </c>
      <c r="V8" s="729" t="s">
        <v>2458</v>
      </c>
      <c r="W8" s="729" t="s">
        <v>2679</v>
      </c>
      <c r="X8" s="729" t="s">
        <v>2680</v>
      </c>
      <c r="Y8" s="729" t="s">
        <v>2681</v>
      </c>
      <c r="Z8" s="729" t="s">
        <v>2682</v>
      </c>
      <c r="AA8" s="2771" t="s">
        <v>2683</v>
      </c>
      <c r="AB8" s="2771" t="s">
        <v>2684</v>
      </c>
      <c r="AC8" s="2771" t="s">
        <v>2685</v>
      </c>
      <c r="AD8" s="2771" t="s">
        <v>2686</v>
      </c>
      <c r="AE8" s="729" t="s">
        <v>2687</v>
      </c>
      <c r="AF8" s="641"/>
    </row>
    <row r="9" spans="1:32" ht="18">
      <c r="A9" s="2752"/>
      <c r="B9" s="2779" t="str">
        <f>IF($K9="","","J"&amp;$C9)</f>
        <v/>
      </c>
      <c r="C9" s="2749" t="str">
        <f t="shared" ref="C9:C38" si="0">IF($K9="","",VLOOKUP($K9,Sheet_Items2,7,0))</f>
        <v/>
      </c>
      <c r="D9" s="2749" t="str">
        <f t="shared" ref="D9:D38" si="1">IF($O9&amp;$P9&lt;&gt;"",cellAbove,INDEX($J:$J,ROW()))&amp;""</f>
        <v/>
      </c>
      <c r="E9" s="2749" t="str">
        <f t="shared" ref="E9:E38" si="2">IF($O9&amp;$P9&lt;&gt;"",cellAbove,INDEX($I:$I,ROW()))&amp;""</f>
        <v>0</v>
      </c>
      <c r="F9" s="2749">
        <f t="shared" ref="F9:F38" si="3">VALUE(IF(E9="",E8&amp;"."&amp;TEXT((ROW()-8),"000"),E9&amp;"."&amp;TEXT((ROW()-8),"000")))</f>
        <v>1E-3</v>
      </c>
      <c r="G9" s="2759" t="str">
        <f>IF(TRIM($J9&amp;$K9&amp;$O9&amp;$P9)="","","上期")</f>
        <v/>
      </c>
      <c r="H9" s="649"/>
      <c r="I9" s="687">
        <v>0</v>
      </c>
      <c r="J9" s="688"/>
      <c r="K9" s="689"/>
      <c r="L9" s="689"/>
      <c r="M9" s="689"/>
      <c r="N9" s="689"/>
      <c r="O9" s="211"/>
      <c r="P9" s="690"/>
      <c r="Q9" s="731" t="str">
        <f t="shared" ref="Q9:Q38" si="4">IF(ISERROR(VLOOKUP(VALUE(MID($C9,1,4)),Sheet_Items,5,0)),"",VLOOKUP(VALUE(MID($C9,1,4)),Sheet_Items,5,0))</f>
        <v/>
      </c>
      <c r="R9" s="732" t="str">
        <f t="shared" ref="R9:R38" si="5">LEFT(C9,1)</f>
        <v/>
      </c>
      <c r="S9" s="733"/>
      <c r="T9" s="732"/>
      <c r="U9" s="732"/>
      <c r="V9" s="732"/>
      <c r="W9" s="734"/>
      <c r="X9" s="732"/>
      <c r="Y9" s="732"/>
      <c r="Z9" s="732"/>
      <c r="AA9" s="2772"/>
      <c r="AB9" s="2772"/>
      <c r="AC9" s="2785">
        <f t="shared" ref="AC9:AC38" si="6">IF(O9&gt;0,O9,IF(P9&lt;0,-P9,0))</f>
        <v>0</v>
      </c>
      <c r="AD9" s="2785">
        <f t="shared" ref="AD9:AD38" si="7">IF(P9&gt;0,P9,IF(O9&lt;0,-O9,0))</f>
        <v>0</v>
      </c>
      <c r="AE9" s="745" t="str">
        <f t="shared" ref="AE9:AE38" si="8">IF(COUNTBLANK(I9:Q9)=COLUMNS(I9:Q9),"",IF(AND(I9="",J9="",K9=""),"请输入...",IF(AND(J9&lt;&gt;"",J9&lt;&gt;"借",J9&lt;&gt;"贷",K9&lt;&gt;""),"请在下一行输入报表项目！",IF(AND(K9&lt;&gt;"",O9="",P9=""),"请输入金额！",IF(AND(K9="",L9&amp;M9&amp;O9&amp;P9&lt;&gt;""),"请输入报表项目！",IF(AND(O9&lt;&gt;"",P9&lt;&gt;""),"借贷通吃？",""))))))</f>
        <v/>
      </c>
      <c r="AF9" s="641"/>
    </row>
    <row r="10" spans="1:32" ht="18">
      <c r="A10" s="2752"/>
      <c r="B10" s="2779" t="str">
        <f>IF($K10="","","J"&amp;$C10)</f>
        <v/>
      </c>
      <c r="C10" s="2749" t="str">
        <f t="shared" si="0"/>
        <v/>
      </c>
      <c r="D10" s="2749" t="str">
        <f t="shared" si="1"/>
        <v/>
      </c>
      <c r="E10" s="2749" t="str">
        <f t="shared" si="2"/>
        <v/>
      </c>
      <c r="F10" s="2749">
        <f t="shared" si="3"/>
        <v>2E-3</v>
      </c>
      <c r="G10" s="2759" t="str">
        <f t="shared" ref="G10:G38" si="9">IF(TRIM($J10&amp;$K10&amp;$O10&amp;$P10)="","","上期")</f>
        <v/>
      </c>
      <c r="H10" s="650"/>
      <c r="I10" s="691"/>
      <c r="J10" s="692" t="str">
        <f t="shared" ref="J10:J38" si="10">IF($O10&lt;&gt;"","借",IF($P10&lt;&gt;"","贷",""))</f>
        <v/>
      </c>
      <c r="K10" s="689"/>
      <c r="L10" s="693"/>
      <c r="M10" s="693"/>
      <c r="N10" s="693"/>
      <c r="O10" s="193"/>
      <c r="P10" s="215"/>
      <c r="Q10" s="735" t="str">
        <f t="shared" si="4"/>
        <v/>
      </c>
      <c r="R10" s="732" t="str">
        <f t="shared" si="5"/>
        <v/>
      </c>
      <c r="S10" s="732"/>
      <c r="T10" s="732"/>
      <c r="U10" s="732"/>
      <c r="V10" s="732"/>
      <c r="W10" s="734"/>
      <c r="X10" s="732"/>
      <c r="Y10" s="732"/>
      <c r="Z10" s="732"/>
      <c r="AA10" s="2772"/>
      <c r="AB10" s="2772"/>
      <c r="AC10" s="2785">
        <f t="shared" si="6"/>
        <v>0</v>
      </c>
      <c r="AD10" s="2785">
        <f t="shared" si="7"/>
        <v>0</v>
      </c>
      <c r="AE10" s="745" t="str">
        <f t="shared" si="8"/>
        <v/>
      </c>
      <c r="AF10" s="641"/>
    </row>
    <row r="11" spans="1:32" ht="18">
      <c r="A11" s="2752"/>
      <c r="B11" s="2779" t="str">
        <f t="shared" ref="B11:B38" si="11">IF($K11="","","J"&amp;$C11)</f>
        <v/>
      </c>
      <c r="C11" s="2749" t="str">
        <f t="shared" si="0"/>
        <v/>
      </c>
      <c r="D11" s="2749" t="str">
        <f t="shared" si="1"/>
        <v/>
      </c>
      <c r="E11" s="2749" t="str">
        <f t="shared" si="2"/>
        <v/>
      </c>
      <c r="F11" s="2749">
        <f t="shared" si="3"/>
        <v>3.0000000000000001E-3</v>
      </c>
      <c r="G11" s="2759" t="str">
        <f t="shared" si="9"/>
        <v/>
      </c>
      <c r="H11" s="650"/>
      <c r="I11" s="691"/>
      <c r="J11" s="692" t="str">
        <f t="shared" si="10"/>
        <v/>
      </c>
      <c r="K11" s="689"/>
      <c r="L11" s="693"/>
      <c r="M11" s="693"/>
      <c r="N11" s="693"/>
      <c r="O11" s="193"/>
      <c r="P11" s="215"/>
      <c r="Q11" s="735" t="str">
        <f t="shared" si="4"/>
        <v/>
      </c>
      <c r="R11" s="732" t="str">
        <f t="shared" si="5"/>
        <v/>
      </c>
      <c r="S11" s="732"/>
      <c r="T11" s="732"/>
      <c r="U11" s="732"/>
      <c r="V11" s="732"/>
      <c r="W11" s="734"/>
      <c r="X11" s="732"/>
      <c r="Y11" s="732"/>
      <c r="Z11" s="732"/>
      <c r="AA11" s="2772"/>
      <c r="AB11" s="2772"/>
      <c r="AC11" s="2785">
        <f t="shared" si="6"/>
        <v>0</v>
      </c>
      <c r="AD11" s="2785">
        <f t="shared" si="7"/>
        <v>0</v>
      </c>
      <c r="AE11" s="745" t="str">
        <f t="shared" si="8"/>
        <v/>
      </c>
      <c r="AF11" s="641"/>
    </row>
    <row r="12" spans="1:32" ht="18">
      <c r="A12" s="2752"/>
      <c r="B12" s="2779" t="str">
        <f t="shared" si="11"/>
        <v/>
      </c>
      <c r="C12" s="2749" t="str">
        <f t="shared" si="0"/>
        <v/>
      </c>
      <c r="D12" s="2749" t="str">
        <f t="shared" si="1"/>
        <v/>
      </c>
      <c r="E12" s="2749" t="str">
        <f t="shared" si="2"/>
        <v/>
      </c>
      <c r="F12" s="2749">
        <f t="shared" si="3"/>
        <v>4.0000000000000001E-3</v>
      </c>
      <c r="G12" s="2759" t="str">
        <f t="shared" si="9"/>
        <v/>
      </c>
      <c r="H12" s="650"/>
      <c r="I12" s="691"/>
      <c r="J12" s="692" t="str">
        <f t="shared" si="10"/>
        <v/>
      </c>
      <c r="K12" s="689"/>
      <c r="L12" s="693"/>
      <c r="M12" s="693"/>
      <c r="N12" s="693"/>
      <c r="O12" s="193"/>
      <c r="P12" s="215"/>
      <c r="Q12" s="735" t="str">
        <f t="shared" si="4"/>
        <v/>
      </c>
      <c r="R12" s="732" t="str">
        <f t="shared" si="5"/>
        <v/>
      </c>
      <c r="S12" s="732"/>
      <c r="T12" s="732"/>
      <c r="U12" s="732"/>
      <c r="V12" s="732"/>
      <c r="W12" s="734"/>
      <c r="X12" s="732"/>
      <c r="Y12" s="732"/>
      <c r="Z12" s="732"/>
      <c r="AA12" s="2772"/>
      <c r="AB12" s="2772"/>
      <c r="AC12" s="2785">
        <f t="shared" si="6"/>
        <v>0</v>
      </c>
      <c r="AD12" s="2785">
        <f t="shared" si="7"/>
        <v>0</v>
      </c>
      <c r="AE12" s="745" t="str">
        <f t="shared" si="8"/>
        <v/>
      </c>
      <c r="AF12" s="641"/>
    </row>
    <row r="13" spans="1:32" ht="18">
      <c r="A13" s="2752"/>
      <c r="B13" s="2779" t="str">
        <f t="shared" si="11"/>
        <v/>
      </c>
      <c r="C13" s="2749" t="str">
        <f t="shared" si="0"/>
        <v/>
      </c>
      <c r="D13" s="2749" t="str">
        <f t="shared" si="1"/>
        <v/>
      </c>
      <c r="E13" s="2749" t="str">
        <f t="shared" si="2"/>
        <v/>
      </c>
      <c r="F13" s="2749">
        <f t="shared" si="3"/>
        <v>5.0000000000000001E-3</v>
      </c>
      <c r="G13" s="2759" t="str">
        <f t="shared" si="9"/>
        <v/>
      </c>
      <c r="H13" s="650"/>
      <c r="I13" s="691"/>
      <c r="J13" s="692" t="str">
        <f t="shared" si="10"/>
        <v/>
      </c>
      <c r="K13" s="689"/>
      <c r="L13" s="693"/>
      <c r="M13" s="693"/>
      <c r="N13" s="693"/>
      <c r="O13" s="193"/>
      <c r="P13" s="215"/>
      <c r="Q13" s="735" t="str">
        <f t="shared" si="4"/>
        <v/>
      </c>
      <c r="R13" s="732" t="str">
        <f t="shared" si="5"/>
        <v/>
      </c>
      <c r="S13" s="732"/>
      <c r="T13" s="732"/>
      <c r="U13" s="732"/>
      <c r="V13" s="732"/>
      <c r="W13" s="734"/>
      <c r="X13" s="732"/>
      <c r="Y13" s="732"/>
      <c r="Z13" s="732"/>
      <c r="AA13" s="2772"/>
      <c r="AB13" s="2772"/>
      <c r="AC13" s="2785">
        <f t="shared" si="6"/>
        <v>0</v>
      </c>
      <c r="AD13" s="2785">
        <f t="shared" si="7"/>
        <v>0</v>
      </c>
      <c r="AE13" s="745" t="str">
        <f t="shared" si="8"/>
        <v/>
      </c>
      <c r="AF13" s="641"/>
    </row>
    <row r="14" spans="1:32" ht="18">
      <c r="A14" s="2752"/>
      <c r="B14" s="2779" t="str">
        <f t="shared" si="11"/>
        <v/>
      </c>
      <c r="C14" s="2749" t="str">
        <f t="shared" si="0"/>
        <v/>
      </c>
      <c r="D14" s="2749" t="str">
        <f t="shared" si="1"/>
        <v/>
      </c>
      <c r="E14" s="2749" t="str">
        <f t="shared" si="2"/>
        <v/>
      </c>
      <c r="F14" s="2749">
        <f t="shared" si="3"/>
        <v>6.0000000000000001E-3</v>
      </c>
      <c r="G14" s="2759" t="str">
        <f t="shared" si="9"/>
        <v/>
      </c>
      <c r="H14" s="650"/>
      <c r="I14" s="691"/>
      <c r="J14" s="692" t="str">
        <f t="shared" si="10"/>
        <v/>
      </c>
      <c r="K14" s="689"/>
      <c r="L14" s="693"/>
      <c r="M14" s="693"/>
      <c r="N14" s="693"/>
      <c r="O14" s="193"/>
      <c r="P14" s="215"/>
      <c r="Q14" s="735" t="str">
        <f t="shared" si="4"/>
        <v/>
      </c>
      <c r="R14" s="732" t="str">
        <f t="shared" si="5"/>
        <v/>
      </c>
      <c r="S14" s="732"/>
      <c r="T14" s="732"/>
      <c r="U14" s="732"/>
      <c r="V14" s="732"/>
      <c r="W14" s="734"/>
      <c r="X14" s="732"/>
      <c r="Y14" s="732"/>
      <c r="Z14" s="732"/>
      <c r="AA14" s="2772"/>
      <c r="AB14" s="2772"/>
      <c r="AC14" s="2785">
        <f t="shared" si="6"/>
        <v>0</v>
      </c>
      <c r="AD14" s="2785">
        <f t="shared" si="7"/>
        <v>0</v>
      </c>
      <c r="AE14" s="745" t="str">
        <f t="shared" si="8"/>
        <v/>
      </c>
      <c r="AF14" s="641"/>
    </row>
    <row r="15" spans="1:32" ht="18">
      <c r="A15" s="2752"/>
      <c r="B15" s="2779" t="str">
        <f t="shared" si="11"/>
        <v/>
      </c>
      <c r="C15" s="2749" t="str">
        <f t="shared" si="0"/>
        <v/>
      </c>
      <c r="D15" s="2749" t="str">
        <f t="shared" si="1"/>
        <v/>
      </c>
      <c r="E15" s="2749" t="str">
        <f t="shared" si="2"/>
        <v/>
      </c>
      <c r="F15" s="2749">
        <f t="shared" si="3"/>
        <v>7.0000000000000001E-3</v>
      </c>
      <c r="G15" s="2759" t="str">
        <f t="shared" si="9"/>
        <v/>
      </c>
      <c r="H15" s="650"/>
      <c r="I15" s="691"/>
      <c r="J15" s="692" t="str">
        <f t="shared" si="10"/>
        <v/>
      </c>
      <c r="K15" s="689"/>
      <c r="L15" s="693"/>
      <c r="M15" s="693"/>
      <c r="N15" s="693"/>
      <c r="O15" s="193"/>
      <c r="P15" s="215"/>
      <c r="Q15" s="735" t="str">
        <f t="shared" si="4"/>
        <v/>
      </c>
      <c r="R15" s="732" t="str">
        <f t="shared" si="5"/>
        <v/>
      </c>
      <c r="S15" s="732"/>
      <c r="T15" s="732"/>
      <c r="U15" s="732"/>
      <c r="V15" s="732"/>
      <c r="W15" s="734"/>
      <c r="X15" s="732"/>
      <c r="Y15" s="732"/>
      <c r="Z15" s="732"/>
      <c r="AA15" s="2772"/>
      <c r="AB15" s="2772"/>
      <c r="AC15" s="2785">
        <f t="shared" si="6"/>
        <v>0</v>
      </c>
      <c r="AD15" s="2785">
        <f t="shared" si="7"/>
        <v>0</v>
      </c>
      <c r="AE15" s="745" t="str">
        <f t="shared" si="8"/>
        <v/>
      </c>
      <c r="AF15" s="641"/>
    </row>
    <row r="16" spans="1:32" ht="18">
      <c r="A16" s="2752"/>
      <c r="B16" s="2779" t="str">
        <f t="shared" si="11"/>
        <v/>
      </c>
      <c r="C16" s="2749" t="str">
        <f t="shared" si="0"/>
        <v/>
      </c>
      <c r="D16" s="2749" t="str">
        <f t="shared" si="1"/>
        <v/>
      </c>
      <c r="E16" s="2749" t="str">
        <f t="shared" si="2"/>
        <v/>
      </c>
      <c r="F16" s="2749">
        <f t="shared" si="3"/>
        <v>8.0000000000000002E-3</v>
      </c>
      <c r="G16" s="2759" t="str">
        <f t="shared" si="9"/>
        <v/>
      </c>
      <c r="H16" s="650"/>
      <c r="I16" s="691"/>
      <c r="J16" s="692" t="str">
        <f t="shared" si="10"/>
        <v/>
      </c>
      <c r="K16" s="689"/>
      <c r="L16" s="693"/>
      <c r="M16" s="693"/>
      <c r="N16" s="693"/>
      <c r="O16" s="193"/>
      <c r="P16" s="215"/>
      <c r="Q16" s="735" t="str">
        <f t="shared" si="4"/>
        <v/>
      </c>
      <c r="R16" s="732" t="str">
        <f t="shared" si="5"/>
        <v/>
      </c>
      <c r="S16" s="732"/>
      <c r="T16" s="732"/>
      <c r="U16" s="732"/>
      <c r="V16" s="732"/>
      <c r="W16" s="734"/>
      <c r="X16" s="732"/>
      <c r="Y16" s="732"/>
      <c r="Z16" s="732"/>
      <c r="AA16" s="2772"/>
      <c r="AB16" s="2772"/>
      <c r="AC16" s="2785">
        <f t="shared" si="6"/>
        <v>0</v>
      </c>
      <c r="AD16" s="2785">
        <f t="shared" si="7"/>
        <v>0</v>
      </c>
      <c r="AE16" s="745" t="str">
        <f t="shared" si="8"/>
        <v/>
      </c>
      <c r="AF16" s="641"/>
    </row>
    <row r="17" spans="1:32" ht="18">
      <c r="A17" s="2752"/>
      <c r="B17" s="2779" t="str">
        <f t="shared" si="11"/>
        <v/>
      </c>
      <c r="C17" s="2749" t="str">
        <f t="shared" si="0"/>
        <v/>
      </c>
      <c r="D17" s="2749" t="str">
        <f t="shared" si="1"/>
        <v/>
      </c>
      <c r="E17" s="2749" t="str">
        <f t="shared" si="2"/>
        <v/>
      </c>
      <c r="F17" s="2749">
        <f t="shared" si="3"/>
        <v>8.9999999999999993E-3</v>
      </c>
      <c r="G17" s="2759" t="str">
        <f t="shared" si="9"/>
        <v/>
      </c>
      <c r="H17" s="650"/>
      <c r="I17" s="691"/>
      <c r="J17" s="692" t="str">
        <f t="shared" si="10"/>
        <v/>
      </c>
      <c r="K17" s="689"/>
      <c r="L17" s="693"/>
      <c r="M17" s="693"/>
      <c r="N17" s="693"/>
      <c r="O17" s="193"/>
      <c r="P17" s="215"/>
      <c r="Q17" s="735" t="str">
        <f t="shared" si="4"/>
        <v/>
      </c>
      <c r="R17" s="732" t="str">
        <f t="shared" si="5"/>
        <v/>
      </c>
      <c r="S17" s="732"/>
      <c r="T17" s="732"/>
      <c r="U17" s="732"/>
      <c r="V17" s="732"/>
      <c r="W17" s="734"/>
      <c r="X17" s="732"/>
      <c r="Y17" s="732"/>
      <c r="Z17" s="732"/>
      <c r="AA17" s="2772"/>
      <c r="AB17" s="2772"/>
      <c r="AC17" s="2785">
        <f t="shared" si="6"/>
        <v>0</v>
      </c>
      <c r="AD17" s="2785">
        <f t="shared" si="7"/>
        <v>0</v>
      </c>
      <c r="AE17" s="745" t="str">
        <f t="shared" si="8"/>
        <v/>
      </c>
      <c r="AF17" s="641"/>
    </row>
    <row r="18" spans="1:32" ht="18">
      <c r="A18" s="2752"/>
      <c r="B18" s="2779" t="str">
        <f t="shared" si="11"/>
        <v/>
      </c>
      <c r="C18" s="2749" t="str">
        <f t="shared" si="0"/>
        <v/>
      </c>
      <c r="D18" s="2749" t="str">
        <f t="shared" si="1"/>
        <v/>
      </c>
      <c r="E18" s="2749" t="str">
        <f t="shared" si="2"/>
        <v/>
      </c>
      <c r="F18" s="2749">
        <f t="shared" si="3"/>
        <v>0.01</v>
      </c>
      <c r="G18" s="2759" t="str">
        <f t="shared" si="9"/>
        <v/>
      </c>
      <c r="H18" s="650"/>
      <c r="I18" s="691"/>
      <c r="J18" s="692" t="str">
        <f t="shared" si="10"/>
        <v/>
      </c>
      <c r="K18" s="689"/>
      <c r="L18" s="693"/>
      <c r="M18" s="693"/>
      <c r="N18" s="693"/>
      <c r="O18" s="193"/>
      <c r="P18" s="215"/>
      <c r="Q18" s="735" t="str">
        <f t="shared" si="4"/>
        <v/>
      </c>
      <c r="R18" s="732" t="str">
        <f t="shared" si="5"/>
        <v/>
      </c>
      <c r="S18" s="732"/>
      <c r="T18" s="732"/>
      <c r="U18" s="732"/>
      <c r="V18" s="732"/>
      <c r="W18" s="734"/>
      <c r="X18" s="732"/>
      <c r="Y18" s="732"/>
      <c r="Z18" s="732"/>
      <c r="AA18" s="2772"/>
      <c r="AB18" s="2772"/>
      <c r="AC18" s="2785">
        <f t="shared" si="6"/>
        <v>0</v>
      </c>
      <c r="AD18" s="2785">
        <f t="shared" si="7"/>
        <v>0</v>
      </c>
      <c r="AE18" s="745" t="str">
        <f t="shared" si="8"/>
        <v/>
      </c>
      <c r="AF18" s="641"/>
    </row>
    <row r="19" spans="1:32" ht="18">
      <c r="A19" s="2752"/>
      <c r="B19" s="2779" t="str">
        <f t="shared" si="11"/>
        <v/>
      </c>
      <c r="C19" s="2749" t="str">
        <f t="shared" si="0"/>
        <v/>
      </c>
      <c r="D19" s="2749" t="str">
        <f t="shared" si="1"/>
        <v/>
      </c>
      <c r="E19" s="2749" t="str">
        <f t="shared" si="2"/>
        <v/>
      </c>
      <c r="F19" s="2749">
        <f t="shared" si="3"/>
        <v>1.0999999999999999E-2</v>
      </c>
      <c r="G19" s="2759" t="str">
        <f t="shared" si="9"/>
        <v/>
      </c>
      <c r="H19" s="650"/>
      <c r="I19" s="691"/>
      <c r="J19" s="692" t="str">
        <f t="shared" si="10"/>
        <v/>
      </c>
      <c r="K19" s="689"/>
      <c r="L19" s="693"/>
      <c r="M19" s="693"/>
      <c r="N19" s="693"/>
      <c r="O19" s="193"/>
      <c r="P19" s="215"/>
      <c r="Q19" s="735" t="str">
        <f t="shared" si="4"/>
        <v/>
      </c>
      <c r="R19" s="732" t="str">
        <f t="shared" si="5"/>
        <v/>
      </c>
      <c r="S19" s="732"/>
      <c r="T19" s="732"/>
      <c r="U19" s="732"/>
      <c r="V19" s="732"/>
      <c r="W19" s="734"/>
      <c r="X19" s="732"/>
      <c r="Y19" s="732"/>
      <c r="Z19" s="732"/>
      <c r="AA19" s="2772"/>
      <c r="AB19" s="2772"/>
      <c r="AC19" s="2785">
        <f t="shared" si="6"/>
        <v>0</v>
      </c>
      <c r="AD19" s="2785">
        <f t="shared" si="7"/>
        <v>0</v>
      </c>
      <c r="AE19" s="745" t="str">
        <f t="shared" si="8"/>
        <v/>
      </c>
      <c r="AF19" s="641"/>
    </row>
    <row r="20" spans="1:32" ht="18">
      <c r="A20" s="2752"/>
      <c r="B20" s="2779" t="str">
        <f t="shared" si="11"/>
        <v/>
      </c>
      <c r="C20" s="2749" t="str">
        <f t="shared" si="0"/>
        <v/>
      </c>
      <c r="D20" s="2749" t="str">
        <f t="shared" si="1"/>
        <v/>
      </c>
      <c r="E20" s="2749" t="str">
        <f t="shared" si="2"/>
        <v/>
      </c>
      <c r="F20" s="2749">
        <f t="shared" si="3"/>
        <v>1.2E-2</v>
      </c>
      <c r="G20" s="2759" t="str">
        <f t="shared" si="9"/>
        <v/>
      </c>
      <c r="H20" s="650"/>
      <c r="I20" s="691"/>
      <c r="J20" s="692" t="str">
        <f t="shared" si="10"/>
        <v/>
      </c>
      <c r="K20" s="689"/>
      <c r="L20" s="693"/>
      <c r="M20" s="693"/>
      <c r="N20" s="693"/>
      <c r="O20" s="193"/>
      <c r="P20" s="215"/>
      <c r="Q20" s="735" t="str">
        <f t="shared" si="4"/>
        <v/>
      </c>
      <c r="R20" s="732" t="str">
        <f t="shared" si="5"/>
        <v/>
      </c>
      <c r="S20" s="732"/>
      <c r="T20" s="732"/>
      <c r="U20" s="732"/>
      <c r="V20" s="732"/>
      <c r="W20" s="734"/>
      <c r="X20" s="732"/>
      <c r="Y20" s="732"/>
      <c r="Z20" s="732"/>
      <c r="AA20" s="2772"/>
      <c r="AB20" s="2772"/>
      <c r="AC20" s="2785">
        <f t="shared" si="6"/>
        <v>0</v>
      </c>
      <c r="AD20" s="2785">
        <f t="shared" si="7"/>
        <v>0</v>
      </c>
      <c r="AE20" s="745" t="str">
        <f t="shared" si="8"/>
        <v/>
      </c>
      <c r="AF20" s="641"/>
    </row>
    <row r="21" spans="1:32" ht="18">
      <c r="A21" s="2752"/>
      <c r="B21" s="2779" t="str">
        <f>IF($K21="","","J"&amp;$C21)</f>
        <v/>
      </c>
      <c r="C21" s="2749" t="str">
        <f t="shared" si="0"/>
        <v/>
      </c>
      <c r="D21" s="2749" t="str">
        <f t="shared" si="1"/>
        <v/>
      </c>
      <c r="E21" s="2749" t="str">
        <f t="shared" si="2"/>
        <v/>
      </c>
      <c r="F21" s="2749">
        <f t="shared" si="3"/>
        <v>1.2999999999999999E-2</v>
      </c>
      <c r="G21" s="2759" t="str">
        <f t="shared" si="9"/>
        <v/>
      </c>
      <c r="H21" s="650"/>
      <c r="I21" s="691"/>
      <c r="J21" s="692" t="str">
        <f t="shared" si="10"/>
        <v/>
      </c>
      <c r="K21" s="689"/>
      <c r="L21" s="693"/>
      <c r="M21" s="693"/>
      <c r="N21" s="693"/>
      <c r="O21" s="193"/>
      <c r="P21" s="215"/>
      <c r="Q21" s="735" t="str">
        <f t="shared" si="4"/>
        <v/>
      </c>
      <c r="R21" s="732" t="str">
        <f t="shared" si="5"/>
        <v/>
      </c>
      <c r="S21" s="732"/>
      <c r="T21" s="732"/>
      <c r="U21" s="732"/>
      <c r="V21" s="732"/>
      <c r="W21" s="734"/>
      <c r="X21" s="732"/>
      <c r="Y21" s="732"/>
      <c r="Z21" s="732"/>
      <c r="AA21" s="2772"/>
      <c r="AB21" s="2772"/>
      <c r="AC21" s="2785">
        <f t="shared" si="6"/>
        <v>0</v>
      </c>
      <c r="AD21" s="2785">
        <f t="shared" si="7"/>
        <v>0</v>
      </c>
      <c r="AE21" s="745" t="str">
        <f t="shared" si="8"/>
        <v/>
      </c>
      <c r="AF21" s="641"/>
    </row>
    <row r="22" spans="1:32" ht="18">
      <c r="A22" s="2752"/>
      <c r="B22" s="2779" t="str">
        <f t="shared" si="11"/>
        <v/>
      </c>
      <c r="C22" s="2749" t="str">
        <f t="shared" si="0"/>
        <v/>
      </c>
      <c r="D22" s="2749" t="str">
        <f t="shared" si="1"/>
        <v/>
      </c>
      <c r="E22" s="2749" t="str">
        <f t="shared" si="2"/>
        <v/>
      </c>
      <c r="F22" s="2749">
        <f t="shared" si="3"/>
        <v>1.4E-2</v>
      </c>
      <c r="G22" s="2759" t="str">
        <f t="shared" si="9"/>
        <v/>
      </c>
      <c r="H22" s="650"/>
      <c r="I22" s="691"/>
      <c r="J22" s="692" t="str">
        <f t="shared" si="10"/>
        <v/>
      </c>
      <c r="K22" s="689"/>
      <c r="L22" s="693"/>
      <c r="M22" s="693"/>
      <c r="N22" s="693"/>
      <c r="O22" s="193"/>
      <c r="P22" s="215"/>
      <c r="Q22" s="735" t="str">
        <f t="shared" si="4"/>
        <v/>
      </c>
      <c r="R22" s="732" t="str">
        <f t="shared" si="5"/>
        <v/>
      </c>
      <c r="S22" s="732"/>
      <c r="T22" s="732"/>
      <c r="U22" s="732"/>
      <c r="V22" s="732"/>
      <c r="W22" s="734"/>
      <c r="X22" s="732"/>
      <c r="Y22" s="732"/>
      <c r="Z22" s="732"/>
      <c r="AA22" s="2772"/>
      <c r="AB22" s="2772"/>
      <c r="AC22" s="2785">
        <f t="shared" si="6"/>
        <v>0</v>
      </c>
      <c r="AD22" s="2785">
        <f t="shared" si="7"/>
        <v>0</v>
      </c>
      <c r="AE22" s="745" t="str">
        <f t="shared" si="8"/>
        <v/>
      </c>
      <c r="AF22" s="641"/>
    </row>
    <row r="23" spans="1:32" ht="18">
      <c r="A23" s="2752"/>
      <c r="B23" s="2779" t="str">
        <f t="shared" si="11"/>
        <v/>
      </c>
      <c r="C23" s="2749" t="str">
        <f t="shared" si="0"/>
        <v/>
      </c>
      <c r="D23" s="2749" t="str">
        <f t="shared" si="1"/>
        <v/>
      </c>
      <c r="E23" s="2749" t="str">
        <f t="shared" si="2"/>
        <v/>
      </c>
      <c r="F23" s="2749">
        <f t="shared" si="3"/>
        <v>1.4999999999999999E-2</v>
      </c>
      <c r="G23" s="2759" t="str">
        <f t="shared" si="9"/>
        <v/>
      </c>
      <c r="H23" s="650"/>
      <c r="I23" s="691"/>
      <c r="J23" s="692" t="str">
        <f t="shared" si="10"/>
        <v/>
      </c>
      <c r="K23" s="689"/>
      <c r="L23" s="693"/>
      <c r="M23" s="693"/>
      <c r="N23" s="693"/>
      <c r="O23" s="193"/>
      <c r="P23" s="215"/>
      <c r="Q23" s="735" t="str">
        <f t="shared" si="4"/>
        <v/>
      </c>
      <c r="R23" s="732" t="str">
        <f t="shared" si="5"/>
        <v/>
      </c>
      <c r="S23" s="732"/>
      <c r="T23" s="732"/>
      <c r="U23" s="732"/>
      <c r="V23" s="732"/>
      <c r="W23" s="734"/>
      <c r="X23" s="732"/>
      <c r="Y23" s="732"/>
      <c r="Z23" s="732"/>
      <c r="AA23" s="2772"/>
      <c r="AB23" s="2772"/>
      <c r="AC23" s="2785">
        <f t="shared" si="6"/>
        <v>0</v>
      </c>
      <c r="AD23" s="2785">
        <f t="shared" si="7"/>
        <v>0</v>
      </c>
      <c r="AE23" s="745" t="str">
        <f t="shared" si="8"/>
        <v/>
      </c>
      <c r="AF23" s="641"/>
    </row>
    <row r="24" spans="1:32" ht="18">
      <c r="A24" s="2752"/>
      <c r="B24" s="2779" t="str">
        <f t="shared" si="11"/>
        <v/>
      </c>
      <c r="C24" s="2749" t="str">
        <f t="shared" si="0"/>
        <v/>
      </c>
      <c r="D24" s="2749" t="str">
        <f t="shared" si="1"/>
        <v/>
      </c>
      <c r="E24" s="2749" t="str">
        <f t="shared" si="2"/>
        <v/>
      </c>
      <c r="F24" s="2749">
        <f t="shared" si="3"/>
        <v>1.6E-2</v>
      </c>
      <c r="G24" s="2759" t="str">
        <f t="shared" si="9"/>
        <v/>
      </c>
      <c r="H24" s="650"/>
      <c r="I24" s="691"/>
      <c r="J24" s="692" t="str">
        <f t="shared" si="10"/>
        <v/>
      </c>
      <c r="K24" s="689"/>
      <c r="L24" s="693"/>
      <c r="M24" s="693"/>
      <c r="N24" s="693"/>
      <c r="O24" s="193"/>
      <c r="P24" s="215"/>
      <c r="Q24" s="735" t="str">
        <f t="shared" si="4"/>
        <v/>
      </c>
      <c r="R24" s="732" t="str">
        <f t="shared" si="5"/>
        <v/>
      </c>
      <c r="S24" s="732"/>
      <c r="T24" s="732"/>
      <c r="U24" s="732"/>
      <c r="V24" s="732"/>
      <c r="W24" s="734"/>
      <c r="X24" s="732"/>
      <c r="Y24" s="732"/>
      <c r="Z24" s="732"/>
      <c r="AA24" s="2772"/>
      <c r="AB24" s="2772"/>
      <c r="AC24" s="2785">
        <f t="shared" si="6"/>
        <v>0</v>
      </c>
      <c r="AD24" s="2785">
        <f t="shared" si="7"/>
        <v>0</v>
      </c>
      <c r="AE24" s="745" t="str">
        <f t="shared" si="8"/>
        <v/>
      </c>
      <c r="AF24" s="641"/>
    </row>
    <row r="25" spans="1:32" ht="18">
      <c r="A25" s="2752"/>
      <c r="B25" s="2779" t="str">
        <f t="shared" si="11"/>
        <v/>
      </c>
      <c r="C25" s="2749" t="str">
        <f t="shared" si="0"/>
        <v/>
      </c>
      <c r="D25" s="2749" t="str">
        <f t="shared" si="1"/>
        <v/>
      </c>
      <c r="E25" s="2749" t="str">
        <f t="shared" si="2"/>
        <v/>
      </c>
      <c r="F25" s="2749">
        <f t="shared" si="3"/>
        <v>1.7000000000000001E-2</v>
      </c>
      <c r="G25" s="2759" t="str">
        <f t="shared" si="9"/>
        <v/>
      </c>
      <c r="H25" s="650"/>
      <c r="I25" s="691"/>
      <c r="J25" s="692" t="str">
        <f t="shared" si="10"/>
        <v/>
      </c>
      <c r="K25" s="689"/>
      <c r="L25" s="693"/>
      <c r="M25" s="693"/>
      <c r="N25" s="693"/>
      <c r="O25" s="193"/>
      <c r="P25" s="215"/>
      <c r="Q25" s="735" t="str">
        <f t="shared" si="4"/>
        <v/>
      </c>
      <c r="R25" s="732" t="str">
        <f t="shared" si="5"/>
        <v/>
      </c>
      <c r="S25" s="732"/>
      <c r="T25" s="732"/>
      <c r="U25" s="732"/>
      <c r="V25" s="732"/>
      <c r="W25" s="734"/>
      <c r="X25" s="732"/>
      <c r="Y25" s="732"/>
      <c r="Z25" s="732"/>
      <c r="AA25" s="2772"/>
      <c r="AB25" s="2772"/>
      <c r="AC25" s="2785">
        <f t="shared" si="6"/>
        <v>0</v>
      </c>
      <c r="AD25" s="2785">
        <f t="shared" si="7"/>
        <v>0</v>
      </c>
      <c r="AE25" s="745" t="str">
        <f t="shared" si="8"/>
        <v/>
      </c>
      <c r="AF25" s="641"/>
    </row>
    <row r="26" spans="1:32" ht="18">
      <c r="A26" s="2752"/>
      <c r="B26" s="2779" t="str">
        <f t="shared" si="11"/>
        <v/>
      </c>
      <c r="C26" s="2749" t="str">
        <f t="shared" si="0"/>
        <v/>
      </c>
      <c r="D26" s="2749" t="str">
        <f t="shared" si="1"/>
        <v/>
      </c>
      <c r="E26" s="2749" t="str">
        <f t="shared" si="2"/>
        <v/>
      </c>
      <c r="F26" s="2749">
        <f t="shared" si="3"/>
        <v>1.7999999999999999E-2</v>
      </c>
      <c r="G26" s="2759" t="str">
        <f t="shared" si="9"/>
        <v/>
      </c>
      <c r="H26" s="650"/>
      <c r="I26" s="691"/>
      <c r="J26" s="692" t="str">
        <f t="shared" si="10"/>
        <v/>
      </c>
      <c r="K26" s="689"/>
      <c r="L26" s="693"/>
      <c r="M26" s="693"/>
      <c r="N26" s="693"/>
      <c r="O26" s="193"/>
      <c r="P26" s="215"/>
      <c r="Q26" s="735" t="str">
        <f t="shared" si="4"/>
        <v/>
      </c>
      <c r="R26" s="732" t="str">
        <f t="shared" si="5"/>
        <v/>
      </c>
      <c r="S26" s="732"/>
      <c r="T26" s="732"/>
      <c r="U26" s="732"/>
      <c r="V26" s="732"/>
      <c r="W26" s="734"/>
      <c r="X26" s="732"/>
      <c r="Y26" s="732"/>
      <c r="Z26" s="732"/>
      <c r="AA26" s="2772"/>
      <c r="AB26" s="2772"/>
      <c r="AC26" s="2785">
        <f t="shared" si="6"/>
        <v>0</v>
      </c>
      <c r="AD26" s="2785">
        <f t="shared" si="7"/>
        <v>0</v>
      </c>
      <c r="AE26" s="745" t="str">
        <f t="shared" si="8"/>
        <v/>
      </c>
      <c r="AF26" s="641"/>
    </row>
    <row r="27" spans="1:32" ht="18">
      <c r="A27" s="2752"/>
      <c r="B27" s="2779" t="str">
        <f t="shared" si="11"/>
        <v/>
      </c>
      <c r="C27" s="2749" t="str">
        <f t="shared" si="0"/>
        <v/>
      </c>
      <c r="D27" s="2749" t="str">
        <f t="shared" si="1"/>
        <v/>
      </c>
      <c r="E27" s="2749" t="str">
        <f t="shared" si="2"/>
        <v/>
      </c>
      <c r="F27" s="2749">
        <f t="shared" si="3"/>
        <v>1.9E-2</v>
      </c>
      <c r="G27" s="2759" t="str">
        <f t="shared" si="9"/>
        <v/>
      </c>
      <c r="H27" s="650"/>
      <c r="I27" s="691"/>
      <c r="J27" s="692" t="str">
        <f t="shared" si="10"/>
        <v/>
      </c>
      <c r="K27" s="689"/>
      <c r="L27" s="693"/>
      <c r="M27" s="693"/>
      <c r="N27" s="693"/>
      <c r="O27" s="193"/>
      <c r="P27" s="215"/>
      <c r="Q27" s="735" t="str">
        <f t="shared" si="4"/>
        <v/>
      </c>
      <c r="R27" s="732" t="str">
        <f t="shared" si="5"/>
        <v/>
      </c>
      <c r="S27" s="732"/>
      <c r="T27" s="732"/>
      <c r="U27" s="732"/>
      <c r="V27" s="732"/>
      <c r="W27" s="734"/>
      <c r="X27" s="732"/>
      <c r="Y27" s="732"/>
      <c r="Z27" s="732"/>
      <c r="AA27" s="2772"/>
      <c r="AB27" s="2772"/>
      <c r="AC27" s="2785">
        <f t="shared" si="6"/>
        <v>0</v>
      </c>
      <c r="AD27" s="2785">
        <f t="shared" si="7"/>
        <v>0</v>
      </c>
      <c r="AE27" s="745" t="str">
        <f t="shared" si="8"/>
        <v/>
      </c>
      <c r="AF27" s="641"/>
    </row>
    <row r="28" spans="1:32" ht="18">
      <c r="A28" s="2752"/>
      <c r="B28" s="2779" t="str">
        <f t="shared" si="11"/>
        <v/>
      </c>
      <c r="C28" s="2749" t="str">
        <f t="shared" si="0"/>
        <v/>
      </c>
      <c r="D28" s="2749" t="str">
        <f t="shared" si="1"/>
        <v/>
      </c>
      <c r="E28" s="2749" t="str">
        <f t="shared" si="2"/>
        <v/>
      </c>
      <c r="F28" s="2749">
        <f t="shared" si="3"/>
        <v>0.02</v>
      </c>
      <c r="G28" s="2759" t="str">
        <f t="shared" si="9"/>
        <v/>
      </c>
      <c r="H28" s="650"/>
      <c r="I28" s="691"/>
      <c r="J28" s="692" t="str">
        <f t="shared" si="10"/>
        <v/>
      </c>
      <c r="K28" s="689"/>
      <c r="L28" s="693"/>
      <c r="M28" s="693"/>
      <c r="N28" s="693"/>
      <c r="O28" s="193"/>
      <c r="P28" s="215"/>
      <c r="Q28" s="735" t="str">
        <f t="shared" si="4"/>
        <v/>
      </c>
      <c r="R28" s="732" t="str">
        <f t="shared" si="5"/>
        <v/>
      </c>
      <c r="S28" s="732"/>
      <c r="T28" s="732"/>
      <c r="U28" s="732"/>
      <c r="V28" s="732"/>
      <c r="W28" s="734"/>
      <c r="X28" s="732"/>
      <c r="Y28" s="732"/>
      <c r="Z28" s="732"/>
      <c r="AA28" s="2772"/>
      <c r="AB28" s="2772"/>
      <c r="AC28" s="2785">
        <f t="shared" si="6"/>
        <v>0</v>
      </c>
      <c r="AD28" s="2785">
        <f t="shared" si="7"/>
        <v>0</v>
      </c>
      <c r="AE28" s="745" t="str">
        <f t="shared" si="8"/>
        <v/>
      </c>
      <c r="AF28" s="641"/>
    </row>
    <row r="29" spans="1:32" ht="18">
      <c r="A29" s="2752"/>
      <c r="B29" s="2779" t="str">
        <f t="shared" si="11"/>
        <v/>
      </c>
      <c r="C29" s="2749" t="str">
        <f t="shared" si="0"/>
        <v/>
      </c>
      <c r="D29" s="2749" t="str">
        <f t="shared" si="1"/>
        <v/>
      </c>
      <c r="E29" s="2749" t="str">
        <f t="shared" si="2"/>
        <v/>
      </c>
      <c r="F29" s="2749">
        <f t="shared" si="3"/>
        <v>2.1000000000000001E-2</v>
      </c>
      <c r="G29" s="2759" t="str">
        <f t="shared" si="9"/>
        <v/>
      </c>
      <c r="H29" s="650"/>
      <c r="I29" s="691"/>
      <c r="J29" s="692" t="str">
        <f t="shared" si="10"/>
        <v/>
      </c>
      <c r="K29" s="689"/>
      <c r="L29" s="693"/>
      <c r="M29" s="693"/>
      <c r="N29" s="693"/>
      <c r="O29" s="193"/>
      <c r="P29" s="215"/>
      <c r="Q29" s="735" t="str">
        <f t="shared" si="4"/>
        <v/>
      </c>
      <c r="R29" s="736" t="str">
        <f t="shared" si="5"/>
        <v/>
      </c>
      <c r="S29" s="736"/>
      <c r="T29" s="736"/>
      <c r="U29" s="736"/>
      <c r="V29" s="736"/>
      <c r="W29" s="734"/>
      <c r="X29" s="736"/>
      <c r="Y29" s="732"/>
      <c r="Z29" s="732"/>
      <c r="AA29" s="2772"/>
      <c r="AB29" s="2772"/>
      <c r="AC29" s="2785">
        <f t="shared" si="6"/>
        <v>0</v>
      </c>
      <c r="AD29" s="2785">
        <f t="shared" si="7"/>
        <v>0</v>
      </c>
      <c r="AE29" s="745" t="str">
        <f t="shared" si="8"/>
        <v/>
      </c>
      <c r="AF29" s="641"/>
    </row>
    <row r="30" spans="1:32" ht="18">
      <c r="A30" s="2752"/>
      <c r="B30" s="2779" t="str">
        <f>IF($K30="","","J"&amp;$C30)</f>
        <v/>
      </c>
      <c r="C30" s="2749" t="str">
        <f t="shared" si="0"/>
        <v/>
      </c>
      <c r="D30" s="2749" t="str">
        <f t="shared" si="1"/>
        <v/>
      </c>
      <c r="E30" s="2749" t="str">
        <f t="shared" si="2"/>
        <v/>
      </c>
      <c r="F30" s="2749">
        <f t="shared" si="3"/>
        <v>2.1999999999999999E-2</v>
      </c>
      <c r="G30" s="2759" t="str">
        <f t="shared" si="9"/>
        <v/>
      </c>
      <c r="H30" s="650"/>
      <c r="I30" s="691"/>
      <c r="J30" s="692" t="str">
        <f t="shared" si="10"/>
        <v/>
      </c>
      <c r="K30" s="689"/>
      <c r="L30" s="693"/>
      <c r="M30" s="693"/>
      <c r="N30" s="693"/>
      <c r="O30" s="193"/>
      <c r="P30" s="215"/>
      <c r="Q30" s="735" t="str">
        <f t="shared" si="4"/>
        <v/>
      </c>
      <c r="R30" s="641" t="str">
        <f t="shared" si="5"/>
        <v/>
      </c>
      <c r="T30" s="641"/>
      <c r="U30" s="641"/>
      <c r="V30" s="641"/>
      <c r="W30" s="737"/>
      <c r="X30" s="641"/>
      <c r="Y30" s="732"/>
      <c r="Z30" s="732"/>
      <c r="AA30" s="2772"/>
      <c r="AB30" s="2772"/>
      <c r="AC30" s="2785">
        <f t="shared" si="6"/>
        <v>0</v>
      </c>
      <c r="AD30" s="2785">
        <f t="shared" si="7"/>
        <v>0</v>
      </c>
      <c r="AE30" s="745" t="str">
        <f t="shared" si="8"/>
        <v/>
      </c>
      <c r="AF30" s="641"/>
    </row>
    <row r="31" spans="1:32" ht="18">
      <c r="A31" s="2752"/>
      <c r="B31" s="2779" t="str">
        <f t="shared" si="11"/>
        <v/>
      </c>
      <c r="C31" s="2749" t="str">
        <f t="shared" si="0"/>
        <v/>
      </c>
      <c r="D31" s="2749" t="str">
        <f t="shared" si="1"/>
        <v/>
      </c>
      <c r="E31" s="2749" t="str">
        <f t="shared" si="2"/>
        <v/>
      </c>
      <c r="F31" s="2749">
        <f t="shared" si="3"/>
        <v>2.3E-2</v>
      </c>
      <c r="G31" s="2759" t="str">
        <f t="shared" si="9"/>
        <v/>
      </c>
      <c r="H31" s="650"/>
      <c r="I31" s="691"/>
      <c r="J31" s="692" t="str">
        <f t="shared" si="10"/>
        <v/>
      </c>
      <c r="K31" s="689"/>
      <c r="L31" s="693"/>
      <c r="M31" s="693"/>
      <c r="N31" s="693"/>
      <c r="O31" s="193"/>
      <c r="P31" s="215"/>
      <c r="Q31" s="735" t="str">
        <f t="shared" si="4"/>
        <v/>
      </c>
      <c r="R31" s="732" t="str">
        <f t="shared" si="5"/>
        <v/>
      </c>
      <c r="S31" s="732"/>
      <c r="T31" s="732"/>
      <c r="U31" s="732"/>
      <c r="V31" s="732"/>
      <c r="W31" s="734"/>
      <c r="X31" s="732"/>
      <c r="Y31" s="732"/>
      <c r="Z31" s="732"/>
      <c r="AA31" s="2772"/>
      <c r="AB31" s="2772"/>
      <c r="AC31" s="2785">
        <f t="shared" si="6"/>
        <v>0</v>
      </c>
      <c r="AD31" s="2785">
        <f t="shared" si="7"/>
        <v>0</v>
      </c>
      <c r="AE31" s="745" t="str">
        <f t="shared" si="8"/>
        <v/>
      </c>
      <c r="AF31" s="641"/>
    </row>
    <row r="32" spans="1:32" ht="18">
      <c r="A32" s="2752"/>
      <c r="B32" s="2779" t="str">
        <f t="shared" si="11"/>
        <v/>
      </c>
      <c r="C32" s="2749" t="str">
        <f t="shared" si="0"/>
        <v/>
      </c>
      <c r="D32" s="2749" t="str">
        <f t="shared" si="1"/>
        <v/>
      </c>
      <c r="E32" s="2749" t="str">
        <f t="shared" si="2"/>
        <v/>
      </c>
      <c r="F32" s="2749">
        <f t="shared" si="3"/>
        <v>2.4E-2</v>
      </c>
      <c r="G32" s="2759" t="str">
        <f t="shared" si="9"/>
        <v/>
      </c>
      <c r="H32" s="650"/>
      <c r="I32" s="691"/>
      <c r="J32" s="692" t="str">
        <f t="shared" si="10"/>
        <v/>
      </c>
      <c r="K32" s="689"/>
      <c r="L32" s="693"/>
      <c r="M32" s="693"/>
      <c r="N32" s="693"/>
      <c r="O32" s="193"/>
      <c r="P32" s="215"/>
      <c r="Q32" s="735" t="str">
        <f t="shared" si="4"/>
        <v/>
      </c>
      <c r="R32" s="732" t="str">
        <f t="shared" si="5"/>
        <v/>
      </c>
      <c r="S32" s="732"/>
      <c r="T32" s="732"/>
      <c r="U32" s="732"/>
      <c r="V32" s="732"/>
      <c r="W32" s="734"/>
      <c r="X32" s="732"/>
      <c r="Y32" s="732"/>
      <c r="Z32" s="732"/>
      <c r="AA32" s="2772"/>
      <c r="AB32" s="2772"/>
      <c r="AC32" s="2785">
        <f t="shared" si="6"/>
        <v>0</v>
      </c>
      <c r="AD32" s="2785">
        <f t="shared" si="7"/>
        <v>0</v>
      </c>
      <c r="AE32" s="745" t="str">
        <f t="shared" si="8"/>
        <v/>
      </c>
      <c r="AF32" s="641"/>
    </row>
    <row r="33" spans="1:34" ht="18">
      <c r="A33" s="2752"/>
      <c r="B33" s="2779" t="str">
        <f t="shared" si="11"/>
        <v/>
      </c>
      <c r="C33" s="2749" t="str">
        <f t="shared" si="0"/>
        <v/>
      </c>
      <c r="D33" s="2749" t="str">
        <f t="shared" si="1"/>
        <v/>
      </c>
      <c r="E33" s="2749" t="str">
        <f t="shared" si="2"/>
        <v/>
      </c>
      <c r="F33" s="2749">
        <f t="shared" si="3"/>
        <v>2.5000000000000001E-2</v>
      </c>
      <c r="G33" s="2759" t="str">
        <f t="shared" si="9"/>
        <v/>
      </c>
      <c r="H33" s="650"/>
      <c r="I33" s="691"/>
      <c r="J33" s="692" t="str">
        <f t="shared" si="10"/>
        <v/>
      </c>
      <c r="K33" s="689"/>
      <c r="L33" s="693"/>
      <c r="M33" s="693"/>
      <c r="N33" s="693"/>
      <c r="O33" s="193"/>
      <c r="P33" s="215"/>
      <c r="Q33" s="735" t="str">
        <f t="shared" si="4"/>
        <v/>
      </c>
      <c r="R33" s="732" t="str">
        <f t="shared" si="5"/>
        <v/>
      </c>
      <c r="S33" s="732"/>
      <c r="T33" s="732"/>
      <c r="U33" s="732"/>
      <c r="V33" s="732"/>
      <c r="W33" s="734"/>
      <c r="X33" s="732"/>
      <c r="Y33" s="732"/>
      <c r="Z33" s="732"/>
      <c r="AA33" s="2772"/>
      <c r="AB33" s="2772"/>
      <c r="AC33" s="2785">
        <f t="shared" si="6"/>
        <v>0</v>
      </c>
      <c r="AD33" s="2785">
        <f t="shared" si="7"/>
        <v>0</v>
      </c>
      <c r="AE33" s="745" t="str">
        <f t="shared" si="8"/>
        <v/>
      </c>
      <c r="AF33" s="641"/>
    </row>
    <row r="34" spans="1:34" ht="18">
      <c r="A34" s="2752"/>
      <c r="B34" s="2779" t="str">
        <f t="shared" si="11"/>
        <v/>
      </c>
      <c r="C34" s="2749" t="str">
        <f t="shared" si="0"/>
        <v/>
      </c>
      <c r="D34" s="2749" t="str">
        <f t="shared" si="1"/>
        <v/>
      </c>
      <c r="E34" s="2749" t="str">
        <f t="shared" si="2"/>
        <v/>
      </c>
      <c r="F34" s="2749">
        <f t="shared" si="3"/>
        <v>2.5999999999999999E-2</v>
      </c>
      <c r="G34" s="2759" t="str">
        <f t="shared" si="9"/>
        <v/>
      </c>
      <c r="H34" s="650"/>
      <c r="I34" s="691"/>
      <c r="J34" s="692" t="str">
        <f t="shared" si="10"/>
        <v/>
      </c>
      <c r="K34" s="689"/>
      <c r="L34" s="693"/>
      <c r="M34" s="693"/>
      <c r="N34" s="693"/>
      <c r="O34" s="193"/>
      <c r="P34" s="215"/>
      <c r="Q34" s="735" t="str">
        <f t="shared" si="4"/>
        <v/>
      </c>
      <c r="R34" s="732" t="str">
        <f t="shared" si="5"/>
        <v/>
      </c>
      <c r="S34" s="732"/>
      <c r="T34" s="732"/>
      <c r="U34" s="732"/>
      <c r="V34" s="732"/>
      <c r="W34" s="734"/>
      <c r="X34" s="732"/>
      <c r="Y34" s="732"/>
      <c r="Z34" s="732"/>
      <c r="AA34" s="2772"/>
      <c r="AB34" s="2772"/>
      <c r="AC34" s="2785">
        <f t="shared" si="6"/>
        <v>0</v>
      </c>
      <c r="AD34" s="2785">
        <f t="shared" si="7"/>
        <v>0</v>
      </c>
      <c r="AE34" s="745" t="str">
        <f t="shared" si="8"/>
        <v/>
      </c>
      <c r="AF34" s="641"/>
    </row>
    <row r="35" spans="1:34" ht="18">
      <c r="A35" s="2752"/>
      <c r="B35" s="2779" t="str">
        <f t="shared" si="11"/>
        <v/>
      </c>
      <c r="C35" s="2749" t="str">
        <f t="shared" si="0"/>
        <v/>
      </c>
      <c r="D35" s="2749" t="str">
        <f t="shared" si="1"/>
        <v/>
      </c>
      <c r="E35" s="2749" t="str">
        <f t="shared" si="2"/>
        <v/>
      </c>
      <c r="F35" s="2749">
        <f t="shared" si="3"/>
        <v>2.7E-2</v>
      </c>
      <c r="G35" s="2759" t="str">
        <f t="shared" si="9"/>
        <v/>
      </c>
      <c r="H35" s="650"/>
      <c r="I35" s="691"/>
      <c r="J35" s="692" t="str">
        <f t="shared" si="10"/>
        <v/>
      </c>
      <c r="K35" s="689"/>
      <c r="L35" s="693"/>
      <c r="M35" s="693"/>
      <c r="N35" s="693"/>
      <c r="O35" s="193"/>
      <c r="P35" s="215"/>
      <c r="Q35" s="735" t="str">
        <f t="shared" si="4"/>
        <v/>
      </c>
      <c r="R35" s="732" t="str">
        <f t="shared" si="5"/>
        <v/>
      </c>
      <c r="S35" s="732"/>
      <c r="T35" s="732"/>
      <c r="U35" s="732"/>
      <c r="V35" s="732"/>
      <c r="W35" s="734"/>
      <c r="X35" s="732"/>
      <c r="Y35" s="732"/>
      <c r="Z35" s="732"/>
      <c r="AA35" s="2772"/>
      <c r="AB35" s="2772"/>
      <c r="AC35" s="2785">
        <f t="shared" si="6"/>
        <v>0</v>
      </c>
      <c r="AD35" s="2785">
        <f t="shared" si="7"/>
        <v>0</v>
      </c>
      <c r="AE35" s="745" t="str">
        <f t="shared" si="8"/>
        <v/>
      </c>
      <c r="AF35" s="641"/>
    </row>
    <row r="36" spans="1:34" ht="18">
      <c r="A36" s="2752"/>
      <c r="B36" s="2779" t="str">
        <f t="shared" si="11"/>
        <v/>
      </c>
      <c r="C36" s="2749" t="str">
        <f t="shared" si="0"/>
        <v/>
      </c>
      <c r="D36" s="2749" t="str">
        <f t="shared" si="1"/>
        <v/>
      </c>
      <c r="E36" s="2749" t="str">
        <f t="shared" si="2"/>
        <v/>
      </c>
      <c r="F36" s="2749">
        <f t="shared" si="3"/>
        <v>2.8000000000000001E-2</v>
      </c>
      <c r="G36" s="2759" t="str">
        <f t="shared" si="9"/>
        <v/>
      </c>
      <c r="H36" s="650"/>
      <c r="I36" s="691"/>
      <c r="J36" s="692" t="str">
        <f t="shared" si="10"/>
        <v/>
      </c>
      <c r="K36" s="689"/>
      <c r="L36" s="693"/>
      <c r="M36" s="693"/>
      <c r="N36" s="693"/>
      <c r="O36" s="193"/>
      <c r="P36" s="215"/>
      <c r="Q36" s="735" t="str">
        <f t="shared" si="4"/>
        <v/>
      </c>
      <c r="R36" s="732" t="str">
        <f t="shared" si="5"/>
        <v/>
      </c>
      <c r="S36" s="732"/>
      <c r="T36" s="732"/>
      <c r="U36" s="732"/>
      <c r="V36" s="732"/>
      <c r="W36" s="734"/>
      <c r="X36" s="732"/>
      <c r="Y36" s="732"/>
      <c r="Z36" s="732"/>
      <c r="AA36" s="2772"/>
      <c r="AB36" s="2772"/>
      <c r="AC36" s="2785">
        <f t="shared" si="6"/>
        <v>0</v>
      </c>
      <c r="AD36" s="2785">
        <f t="shared" si="7"/>
        <v>0</v>
      </c>
      <c r="AE36" s="745" t="str">
        <f t="shared" si="8"/>
        <v/>
      </c>
      <c r="AF36" s="641"/>
    </row>
    <row r="37" spans="1:34" ht="18">
      <c r="A37" s="2752"/>
      <c r="B37" s="2779" t="str">
        <f t="shared" si="11"/>
        <v/>
      </c>
      <c r="C37" s="2749" t="str">
        <f t="shared" si="0"/>
        <v/>
      </c>
      <c r="D37" s="2749" t="str">
        <f t="shared" si="1"/>
        <v/>
      </c>
      <c r="E37" s="2749" t="str">
        <f t="shared" si="2"/>
        <v/>
      </c>
      <c r="F37" s="2749">
        <f t="shared" si="3"/>
        <v>2.9000000000000001E-2</v>
      </c>
      <c r="G37" s="2759" t="str">
        <f t="shared" si="9"/>
        <v/>
      </c>
      <c r="H37" s="650"/>
      <c r="I37" s="691"/>
      <c r="J37" s="692" t="str">
        <f t="shared" si="10"/>
        <v/>
      </c>
      <c r="K37" s="689"/>
      <c r="L37" s="693"/>
      <c r="M37" s="693"/>
      <c r="N37" s="693"/>
      <c r="O37" s="193"/>
      <c r="P37" s="215"/>
      <c r="Q37" s="735" t="str">
        <f t="shared" si="4"/>
        <v/>
      </c>
      <c r="R37" s="732" t="str">
        <f t="shared" si="5"/>
        <v/>
      </c>
      <c r="S37" s="732"/>
      <c r="T37" s="732"/>
      <c r="U37" s="732"/>
      <c r="V37" s="732"/>
      <c r="W37" s="734"/>
      <c r="X37" s="732"/>
      <c r="Y37" s="732"/>
      <c r="Z37" s="732"/>
      <c r="AA37" s="2772"/>
      <c r="AB37" s="2772"/>
      <c r="AC37" s="2785">
        <f t="shared" si="6"/>
        <v>0</v>
      </c>
      <c r="AD37" s="2785">
        <f t="shared" si="7"/>
        <v>0</v>
      </c>
      <c r="AE37" s="745" t="str">
        <f t="shared" si="8"/>
        <v/>
      </c>
      <c r="AF37" s="641"/>
    </row>
    <row r="38" spans="1:34" ht="18">
      <c r="A38" s="2752"/>
      <c r="B38" s="2779" t="str">
        <f t="shared" si="11"/>
        <v/>
      </c>
      <c r="C38" s="2749" t="str">
        <f t="shared" si="0"/>
        <v/>
      </c>
      <c r="D38" s="2749" t="str">
        <f t="shared" si="1"/>
        <v/>
      </c>
      <c r="E38" s="2749" t="str">
        <f t="shared" si="2"/>
        <v/>
      </c>
      <c r="F38" s="2749">
        <f t="shared" si="3"/>
        <v>0.03</v>
      </c>
      <c r="G38" s="2759" t="str">
        <f t="shared" si="9"/>
        <v/>
      </c>
      <c r="H38" s="651"/>
      <c r="I38" s="694"/>
      <c r="J38" s="692" t="str">
        <f t="shared" si="10"/>
        <v/>
      </c>
      <c r="K38" s="689"/>
      <c r="L38" s="695"/>
      <c r="M38" s="695"/>
      <c r="N38" s="695"/>
      <c r="O38" s="196"/>
      <c r="P38" s="218"/>
      <c r="Q38" s="738" t="str">
        <f t="shared" si="4"/>
        <v/>
      </c>
      <c r="R38" s="732" t="str">
        <f t="shared" si="5"/>
        <v/>
      </c>
      <c r="S38" s="732"/>
      <c r="T38" s="732"/>
      <c r="U38" s="732"/>
      <c r="V38" s="732"/>
      <c r="W38" s="734"/>
      <c r="X38" s="732"/>
      <c r="Y38" s="732"/>
      <c r="Z38" s="732"/>
      <c r="AA38" s="2772"/>
      <c r="AB38" s="2772"/>
      <c r="AC38" s="2785">
        <f t="shared" si="6"/>
        <v>0</v>
      </c>
      <c r="AD38" s="2785">
        <f t="shared" si="7"/>
        <v>0</v>
      </c>
      <c r="AE38" s="745" t="str">
        <f t="shared" si="8"/>
        <v/>
      </c>
      <c r="AF38" s="641"/>
    </row>
    <row r="39" spans="1:34" ht="18" hidden="1">
      <c r="A39" s="2752"/>
      <c r="B39" s="2779"/>
      <c r="C39" s="2749"/>
      <c r="D39" s="2749"/>
      <c r="E39" s="2749"/>
      <c r="F39" s="2749"/>
      <c r="G39" s="2759"/>
      <c r="H39" s="652"/>
      <c r="I39" s="696"/>
      <c r="J39" s="697"/>
      <c r="K39" s="231"/>
      <c r="L39" s="231"/>
      <c r="M39" s="231"/>
      <c r="N39" s="231"/>
      <c r="O39" s="698"/>
      <c r="P39" s="698"/>
      <c r="Q39" s="739"/>
      <c r="R39" s="740"/>
      <c r="S39" s="732"/>
      <c r="T39" s="740"/>
      <c r="U39" s="740"/>
      <c r="V39" s="740"/>
      <c r="W39" s="741"/>
      <c r="X39" s="740"/>
      <c r="Y39" s="740"/>
      <c r="Z39" s="740"/>
      <c r="AA39" s="2772"/>
      <c r="AB39" s="2772"/>
      <c r="AC39" s="2774"/>
      <c r="AD39" s="2774"/>
      <c r="AE39" s="745"/>
      <c r="AF39" s="641"/>
    </row>
    <row r="40" spans="1:34" s="640" customFormat="1" ht="18" customHeight="1">
      <c r="A40" s="2753" t="s">
        <v>2688</v>
      </c>
      <c r="B40" s="2782"/>
      <c r="C40" s="2760"/>
      <c r="D40" s="2761"/>
      <c r="E40" s="2761"/>
      <c r="F40" s="2761"/>
      <c r="G40" s="2762"/>
      <c r="H40" s="654"/>
      <c r="I40" s="699"/>
      <c r="J40" s="700" t="s">
        <v>2689</v>
      </c>
      <c r="K40" s="654"/>
      <c r="L40" s="654"/>
      <c r="M40" s="701"/>
      <c r="N40" s="701"/>
      <c r="O40" s="702">
        <f>SUBTOTAL(109,(INDEX(O:O,ROW(O$8)+1):cellAbove))</f>
        <v>0</v>
      </c>
      <c r="P40" s="703">
        <f>SUBTOTAL(109,(INDEX(P:P,ROW(P$8)+1):cellAbove))</f>
        <v>0</v>
      </c>
      <c r="Q40" s="654"/>
      <c r="R40" s="740"/>
      <c r="S40" s="732"/>
      <c r="T40" s="740"/>
      <c r="U40" s="740"/>
      <c r="V40" s="740"/>
      <c r="W40" s="741"/>
      <c r="X40" s="740"/>
      <c r="Y40" s="742"/>
      <c r="Z40" s="742"/>
      <c r="AA40" s="2775"/>
      <c r="AB40" s="2775"/>
      <c r="AC40" s="2776"/>
      <c r="AD40" s="2776"/>
      <c r="AE40" s="746" t="str">
        <f>IF(AND(O40=0,P40=0),"",IF(ROUND(O40-P40,2)=0,"借贷平衡!","借贷相差："&amp;(TEXT(O40-P40,"#,0.00"))))</f>
        <v/>
      </c>
      <c r="AF40" s="747"/>
      <c r="AG40" s="748"/>
      <c r="AH40" s="748"/>
    </row>
    <row r="41" spans="1:34" ht="12.75">
      <c r="A41" s="2749"/>
      <c r="B41" s="642"/>
      <c r="C41" s="2749"/>
      <c r="D41" s="2749"/>
      <c r="E41" s="2749"/>
      <c r="F41" s="2749"/>
      <c r="G41" s="2763"/>
      <c r="H41" s="641"/>
      <c r="I41" s="641"/>
      <c r="J41" s="641"/>
      <c r="K41" s="641"/>
      <c r="L41" s="641"/>
      <c r="M41" s="641"/>
      <c r="N41" s="641"/>
      <c r="O41" s="641"/>
      <c r="P41" s="641"/>
      <c r="Q41" s="641"/>
      <c r="R41" s="740"/>
      <c r="S41" s="732"/>
      <c r="T41" s="740"/>
      <c r="U41" s="740"/>
      <c r="V41" s="740"/>
      <c r="W41" s="740"/>
      <c r="X41" s="740"/>
      <c r="Y41" s="641"/>
      <c r="Z41" s="641"/>
      <c r="AA41" s="2765"/>
      <c r="AB41" s="2765"/>
      <c r="AE41" s="745"/>
    </row>
    <row r="42" spans="1:34" ht="18" customHeight="1">
      <c r="A42" s="2749"/>
      <c r="B42" s="642"/>
      <c r="C42" s="2749"/>
      <c r="D42" s="2749"/>
      <c r="E42" s="2749"/>
      <c r="F42" s="2749"/>
      <c r="G42" s="2749"/>
      <c r="H42" s="656"/>
      <c r="I42" s="704" t="s">
        <v>2690</v>
      </c>
      <c r="J42" s="705"/>
      <c r="K42" s="705"/>
      <c r="L42" s="706"/>
      <c r="M42" s="705"/>
      <c r="N42" s="705"/>
      <c r="O42" s="705"/>
      <c r="P42" s="707"/>
      <c r="Q42" s="709"/>
      <c r="R42" s="740"/>
      <c r="S42" s="732"/>
      <c r="T42" s="740"/>
      <c r="U42" s="740"/>
      <c r="V42" s="740"/>
      <c r="W42" s="740"/>
      <c r="X42" s="740"/>
      <c r="Y42" s="709"/>
      <c r="Z42" s="709"/>
      <c r="AA42" s="2777"/>
      <c r="AB42" s="2777"/>
      <c r="AE42" s="641"/>
    </row>
    <row r="43" spans="1:34" ht="18" customHeight="1">
      <c r="A43" s="2749"/>
      <c r="B43" s="642"/>
      <c r="C43" s="2749"/>
      <c r="D43" s="2749"/>
      <c r="E43" s="2749"/>
      <c r="F43" s="2749"/>
      <c r="G43" s="2764"/>
      <c r="H43" s="657"/>
      <c r="I43" s="708"/>
      <c r="J43" s="709"/>
      <c r="K43" s="186"/>
      <c r="L43" s="710"/>
      <c r="M43" s="186"/>
      <c r="N43" s="186"/>
      <c r="O43" s="186"/>
      <c r="P43" s="711"/>
      <c r="Q43" s="709"/>
      <c r="R43" s="740"/>
      <c r="S43" s="732"/>
      <c r="T43" s="740"/>
      <c r="U43" s="740"/>
      <c r="V43" s="740"/>
      <c r="W43" s="740"/>
      <c r="X43" s="740"/>
      <c r="Y43" s="709"/>
      <c r="Z43" s="709"/>
      <c r="AA43" s="2777"/>
      <c r="AB43" s="2777"/>
      <c r="AE43" s="641"/>
    </row>
    <row r="44" spans="1:34" ht="18" customHeight="1">
      <c r="A44" s="2749"/>
      <c r="B44" s="642"/>
      <c r="C44" s="2749"/>
      <c r="D44" s="2749"/>
      <c r="E44" s="2749"/>
      <c r="F44" s="2749"/>
      <c r="G44" s="2749"/>
      <c r="H44" s="656"/>
      <c r="I44" s="712" t="s">
        <v>2691</v>
      </c>
      <c r="J44" s="709"/>
      <c r="K44" s="709"/>
      <c r="L44" s="713" t="s">
        <v>2692</v>
      </c>
      <c r="M44" s="709"/>
      <c r="N44" s="709"/>
      <c r="O44" s="709"/>
      <c r="P44" s="657"/>
      <c r="Q44" s="709"/>
      <c r="R44" s="740"/>
      <c r="S44" s="732"/>
      <c r="T44" s="740"/>
      <c r="U44" s="740"/>
      <c r="V44" s="740"/>
      <c r="W44" s="740"/>
      <c r="X44" s="740"/>
      <c r="Y44" s="709"/>
      <c r="Z44" s="709"/>
      <c r="AA44" s="2777"/>
      <c r="AB44" s="2777"/>
      <c r="AE44" s="641"/>
    </row>
    <row r="45" spans="1:34" ht="18" customHeight="1">
      <c r="A45" s="2749"/>
      <c r="B45" s="642"/>
      <c r="C45" s="2749"/>
      <c r="D45" s="2749"/>
      <c r="E45" s="2749"/>
      <c r="F45" s="2749"/>
      <c r="G45" s="2749"/>
      <c r="H45" s="658"/>
      <c r="I45" s="714" t="s">
        <v>2693</v>
      </c>
      <c r="J45" s="709"/>
      <c r="K45" s="709"/>
      <c r="L45" s="715" t="s">
        <v>2694</v>
      </c>
      <c r="M45" s="709"/>
      <c r="N45" s="709"/>
      <c r="O45" s="715" t="s">
        <v>2695</v>
      </c>
      <c r="P45" s="657"/>
      <c r="Q45" s="709"/>
      <c r="R45" s="740"/>
      <c r="S45" s="732"/>
      <c r="T45" s="740"/>
      <c r="U45" s="740"/>
      <c r="V45" s="740"/>
      <c r="W45" s="740"/>
      <c r="X45" s="740"/>
      <c r="Y45" s="709"/>
      <c r="Z45" s="709"/>
      <c r="AA45" s="2777"/>
      <c r="AB45" s="2777"/>
      <c r="AE45" s="641"/>
    </row>
    <row r="46" spans="1:34" ht="18" customHeight="1">
      <c r="A46" s="2749"/>
      <c r="B46" s="642"/>
      <c r="C46" s="2749"/>
      <c r="D46" s="2749"/>
      <c r="E46" s="2749"/>
      <c r="F46" s="2749"/>
      <c r="G46" s="2763"/>
      <c r="H46" s="657"/>
      <c r="I46" s="716"/>
      <c r="J46" s="717"/>
      <c r="K46" s="717" t="s">
        <v>2696</v>
      </c>
      <c r="L46" s="718" t="s">
        <v>2697</v>
      </c>
      <c r="M46" s="717"/>
      <c r="N46" s="717"/>
      <c r="O46" s="718" t="s">
        <v>2697</v>
      </c>
      <c r="P46" s="719"/>
      <c r="Q46" s="709"/>
      <c r="R46" s="740"/>
      <c r="S46" s="732"/>
      <c r="T46" s="740"/>
      <c r="U46" s="740"/>
      <c r="V46" s="740"/>
      <c r="W46" s="740"/>
      <c r="X46" s="740"/>
      <c r="Y46" s="709"/>
      <c r="Z46" s="709"/>
      <c r="AA46" s="2777"/>
      <c r="AB46" s="2777"/>
      <c r="AE46" s="641"/>
    </row>
    <row r="47" spans="1:34" ht="12.75">
      <c r="A47" s="2749"/>
      <c r="B47" s="642"/>
      <c r="C47" s="2749"/>
      <c r="D47" s="2749"/>
      <c r="E47" s="2749"/>
      <c r="F47" s="2749"/>
      <c r="G47" s="2749"/>
      <c r="H47" s="659"/>
      <c r="I47" s="659" t="s">
        <v>2698</v>
      </c>
      <c r="J47" s="641"/>
      <c r="K47" s="641"/>
      <c r="L47" s="641"/>
      <c r="M47" s="641"/>
      <c r="N47" s="641"/>
      <c r="O47" s="641"/>
      <c r="P47" s="641"/>
      <c r="Q47" s="641"/>
      <c r="R47" s="740"/>
      <c r="S47" s="732"/>
      <c r="T47" s="740"/>
      <c r="U47" s="740"/>
      <c r="V47" s="740"/>
      <c r="W47" s="740"/>
      <c r="X47" s="740"/>
      <c r="Y47" s="641"/>
      <c r="Z47" s="641"/>
      <c r="AA47" s="2765"/>
      <c r="AB47" s="2765"/>
      <c r="AE47" s="641"/>
    </row>
    <row r="48" spans="1:34" ht="12.75">
      <c r="A48" s="2749"/>
      <c r="B48" s="642"/>
      <c r="C48" s="2749"/>
      <c r="D48" s="2749"/>
      <c r="E48" s="2749"/>
      <c r="F48" s="2749"/>
      <c r="G48" s="2749"/>
      <c r="H48" s="660"/>
      <c r="I48" s="660" t="s">
        <v>2699</v>
      </c>
      <c r="J48" s="641"/>
      <c r="K48" s="641"/>
      <c r="L48" s="641"/>
      <c r="M48" s="641"/>
      <c r="N48" s="641"/>
      <c r="O48" s="641"/>
      <c r="P48" s="641"/>
      <c r="Q48" s="641"/>
      <c r="R48" s="740"/>
      <c r="S48" s="732"/>
      <c r="T48" s="740"/>
      <c r="U48" s="740"/>
      <c r="V48" s="740"/>
      <c r="W48" s="740"/>
      <c r="X48" s="740"/>
      <c r="Y48" s="641"/>
      <c r="Z48" s="641"/>
      <c r="AA48" s="2765"/>
      <c r="AB48" s="2765"/>
      <c r="AE48" s="641"/>
    </row>
    <row r="49" spans="7:24" ht="12.75">
      <c r="G49" s="2784"/>
      <c r="R49" s="740"/>
      <c r="S49" s="732"/>
      <c r="T49" s="740"/>
      <c r="U49" s="740"/>
      <c r="V49" s="740"/>
      <c r="W49" s="740"/>
      <c r="X49" s="740"/>
    </row>
    <row r="50" spans="7:24">
      <c r="R50" s="742"/>
      <c r="S50" s="736"/>
      <c r="T50" s="742"/>
      <c r="U50" s="742"/>
      <c r="V50" s="742"/>
      <c r="W50" s="742"/>
      <c r="X50" s="742"/>
    </row>
    <row r="51" spans="7:24">
      <c r="R51" s="641"/>
      <c r="T51" s="641"/>
      <c r="U51" s="641"/>
      <c r="V51" s="641"/>
      <c r="W51" s="641"/>
      <c r="X51" s="641"/>
    </row>
    <row r="52" spans="7:24" ht="12.75">
      <c r="R52" s="740"/>
      <c r="S52" s="732"/>
      <c r="T52" s="740"/>
      <c r="U52" s="740"/>
      <c r="V52" s="740"/>
      <c r="W52" s="740"/>
      <c r="X52" s="740"/>
    </row>
    <row r="53" spans="7:24" ht="12.75">
      <c r="R53" s="740"/>
      <c r="S53" s="732"/>
      <c r="T53" s="740"/>
      <c r="U53" s="740"/>
      <c r="V53" s="740"/>
      <c r="W53" s="740"/>
      <c r="X53" s="740"/>
    </row>
    <row r="54" spans="7:24" ht="12.75">
      <c r="R54" s="740"/>
      <c r="S54" s="732"/>
      <c r="T54" s="740"/>
      <c r="U54" s="740"/>
      <c r="V54" s="740"/>
      <c r="W54" s="740"/>
      <c r="X54" s="740"/>
    </row>
    <row r="55" spans="7:24" ht="12.75">
      <c r="R55" s="740"/>
      <c r="S55" s="732"/>
      <c r="T55" s="740"/>
      <c r="U55" s="740"/>
      <c r="V55" s="740"/>
      <c r="W55" s="740"/>
      <c r="X55" s="740"/>
    </row>
    <row r="56" spans="7:24" ht="12.75">
      <c r="R56" s="740"/>
      <c r="S56" s="732"/>
      <c r="T56" s="740"/>
      <c r="U56" s="740"/>
      <c r="V56" s="740"/>
      <c r="W56" s="740"/>
      <c r="X56" s="740"/>
    </row>
    <row r="57" spans="7:24" ht="12.75">
      <c r="R57" s="740"/>
      <c r="S57" s="732"/>
      <c r="T57" s="740"/>
      <c r="U57" s="740"/>
      <c r="V57" s="740"/>
      <c r="W57" s="740"/>
      <c r="X57" s="740"/>
    </row>
    <row r="58" spans="7:24" ht="12.75">
      <c r="R58" s="740"/>
      <c r="S58" s="732"/>
      <c r="T58" s="740"/>
      <c r="U58" s="740"/>
      <c r="V58" s="740"/>
      <c r="W58" s="740"/>
      <c r="X58" s="740"/>
    </row>
    <row r="59" spans="7:24" ht="12.75">
      <c r="R59" s="740"/>
      <c r="S59" s="732"/>
      <c r="T59" s="740"/>
      <c r="U59" s="740"/>
      <c r="V59" s="740"/>
      <c r="W59" s="740"/>
      <c r="X59" s="740"/>
    </row>
    <row r="60" spans="7:24" ht="12.75">
      <c r="R60" s="740"/>
      <c r="S60" s="732"/>
      <c r="T60" s="740"/>
      <c r="U60" s="740"/>
      <c r="V60" s="740"/>
      <c r="W60" s="740"/>
      <c r="X60" s="740"/>
    </row>
    <row r="61" spans="7:24" ht="12.75">
      <c r="R61" s="740"/>
      <c r="S61" s="732"/>
      <c r="T61" s="740"/>
      <c r="U61" s="740"/>
      <c r="V61" s="740"/>
      <c r="W61" s="740"/>
      <c r="X61" s="740"/>
    </row>
    <row r="62" spans="7:24" ht="12.75">
      <c r="R62" s="740"/>
      <c r="S62" s="732"/>
      <c r="T62" s="740"/>
      <c r="U62" s="740"/>
      <c r="V62" s="740"/>
      <c r="W62" s="740"/>
      <c r="X62" s="740"/>
    </row>
    <row r="63" spans="7:24" ht="12.75">
      <c r="R63" s="740"/>
      <c r="S63" s="732"/>
      <c r="T63" s="740"/>
      <c r="U63" s="740"/>
      <c r="V63" s="740"/>
      <c r="W63" s="740"/>
      <c r="X63" s="740"/>
    </row>
    <row r="64" spans="7:24" ht="12.75">
      <c r="R64" s="740"/>
      <c r="S64" s="732"/>
      <c r="T64" s="740"/>
      <c r="U64" s="740"/>
      <c r="V64" s="740"/>
      <c r="W64" s="740"/>
      <c r="X64" s="740"/>
    </row>
    <row r="65" spans="18:24" ht="12.75">
      <c r="R65" s="740"/>
      <c r="S65" s="732"/>
      <c r="T65" s="740"/>
      <c r="U65" s="740"/>
      <c r="V65" s="740"/>
      <c r="W65" s="740"/>
      <c r="X65" s="740"/>
    </row>
    <row r="66" spans="18:24" ht="12.75">
      <c r="R66" s="740"/>
      <c r="S66" s="732"/>
      <c r="T66" s="740"/>
      <c r="U66" s="740"/>
      <c r="V66" s="740"/>
      <c r="W66" s="740"/>
      <c r="X66" s="740"/>
    </row>
    <row r="67" spans="18:24" ht="12.75">
      <c r="R67" s="740"/>
      <c r="S67" s="732"/>
      <c r="T67" s="740"/>
      <c r="U67" s="740"/>
      <c r="V67" s="740"/>
      <c r="W67" s="740"/>
      <c r="X67" s="740"/>
    </row>
    <row r="68" spans="18:24" ht="12.75">
      <c r="R68" s="740"/>
      <c r="S68" s="732"/>
      <c r="T68" s="740"/>
      <c r="U68" s="740"/>
      <c r="V68" s="740"/>
      <c r="W68" s="740"/>
      <c r="X68" s="740"/>
    </row>
    <row r="69" spans="18:24" ht="12.75">
      <c r="R69" s="740"/>
      <c r="S69" s="732"/>
      <c r="T69" s="740"/>
      <c r="U69" s="740"/>
      <c r="V69" s="740"/>
      <c r="W69" s="740"/>
      <c r="X69" s="740"/>
    </row>
    <row r="70" spans="18:24" ht="12.75">
      <c r="R70" s="740"/>
      <c r="S70" s="732"/>
      <c r="T70" s="740"/>
      <c r="U70" s="740"/>
      <c r="V70" s="740"/>
      <c r="W70" s="740"/>
      <c r="X70" s="740"/>
    </row>
    <row r="71" spans="18:24" ht="12.75">
      <c r="R71" s="740"/>
      <c r="S71" s="732"/>
      <c r="T71" s="740"/>
      <c r="U71" s="740"/>
      <c r="V71" s="740"/>
      <c r="W71" s="740"/>
      <c r="X71" s="740"/>
    </row>
    <row r="72" spans="18:24">
      <c r="R72" s="742"/>
      <c r="S72" s="736"/>
      <c r="T72" s="742"/>
      <c r="U72" s="742"/>
      <c r="V72" s="742"/>
      <c r="W72" s="742"/>
      <c r="X72" s="742"/>
    </row>
    <row r="73" spans="18:24">
      <c r="R73" s="641"/>
      <c r="T73" s="641"/>
      <c r="U73" s="641"/>
      <c r="V73" s="641"/>
      <c r="W73" s="641"/>
      <c r="X73" s="641"/>
    </row>
    <row r="74" spans="18:24" ht="12.75">
      <c r="R74" s="740"/>
      <c r="S74" s="732"/>
      <c r="T74" s="740"/>
      <c r="U74" s="740"/>
      <c r="V74" s="740"/>
      <c r="W74" s="740"/>
      <c r="X74" s="740"/>
    </row>
    <row r="75" spans="18:24" ht="12.75">
      <c r="R75" s="740"/>
      <c r="S75" s="732"/>
      <c r="T75" s="740"/>
      <c r="U75" s="740"/>
      <c r="V75" s="740"/>
      <c r="W75" s="740"/>
      <c r="X75" s="740"/>
    </row>
    <row r="76" spans="18:24" ht="12.75">
      <c r="R76" s="740"/>
      <c r="S76" s="732"/>
      <c r="T76" s="740"/>
      <c r="U76" s="740"/>
      <c r="V76" s="740"/>
      <c r="W76" s="740"/>
      <c r="X76" s="740"/>
    </row>
    <row r="77" spans="18:24" ht="12.75">
      <c r="R77" s="740"/>
      <c r="S77" s="732"/>
      <c r="T77" s="740"/>
      <c r="U77" s="740"/>
      <c r="V77" s="740"/>
      <c r="W77" s="740"/>
      <c r="X77" s="740"/>
    </row>
    <row r="78" spans="18:24" ht="12.75">
      <c r="R78" s="740"/>
      <c r="S78" s="732"/>
      <c r="T78" s="740"/>
      <c r="U78" s="740"/>
      <c r="V78" s="740"/>
      <c r="W78" s="740"/>
      <c r="X78" s="740"/>
    </row>
    <row r="79" spans="18:24" ht="12.75">
      <c r="R79" s="740"/>
      <c r="S79" s="732"/>
      <c r="T79" s="740"/>
      <c r="U79" s="740"/>
      <c r="V79" s="740"/>
      <c r="W79" s="740"/>
      <c r="X79" s="740"/>
    </row>
    <row r="80" spans="18:24" ht="12.75">
      <c r="R80" s="740"/>
      <c r="S80" s="732"/>
      <c r="T80" s="740"/>
      <c r="U80" s="740"/>
      <c r="V80" s="740"/>
      <c r="W80" s="740"/>
      <c r="X80" s="740"/>
    </row>
    <row r="81" spans="18:24" ht="12.75">
      <c r="R81" s="740"/>
      <c r="S81" s="732"/>
      <c r="T81" s="740"/>
      <c r="U81" s="740"/>
      <c r="V81" s="740"/>
      <c r="W81" s="740"/>
      <c r="X81" s="740"/>
    </row>
    <row r="82" spans="18:24" ht="12.75">
      <c r="R82" s="740"/>
      <c r="S82" s="732"/>
      <c r="T82" s="740"/>
      <c r="U82" s="740"/>
      <c r="V82" s="740"/>
      <c r="W82" s="740"/>
      <c r="X82" s="740"/>
    </row>
    <row r="83" spans="18:24" ht="12.75">
      <c r="R83" s="740"/>
      <c r="S83" s="732"/>
      <c r="T83" s="740"/>
      <c r="U83" s="740"/>
      <c r="V83" s="740"/>
      <c r="W83" s="740"/>
      <c r="X83" s="740"/>
    </row>
    <row r="84" spans="18:24" ht="12.75">
      <c r="R84" s="740"/>
      <c r="S84" s="732"/>
      <c r="T84" s="740"/>
      <c r="U84" s="740"/>
      <c r="V84" s="740"/>
      <c r="W84" s="740"/>
      <c r="X84" s="740"/>
    </row>
    <row r="85" spans="18:24" ht="12.75">
      <c r="R85" s="740"/>
      <c r="S85" s="732"/>
      <c r="T85" s="740"/>
      <c r="U85" s="740"/>
      <c r="V85" s="740"/>
      <c r="W85" s="740"/>
      <c r="X85" s="740"/>
    </row>
    <row r="86" spans="18:24" ht="12.75">
      <c r="R86" s="740"/>
      <c r="S86" s="732"/>
      <c r="T86" s="740"/>
      <c r="U86" s="740"/>
      <c r="V86" s="740"/>
      <c r="W86" s="740"/>
      <c r="X86" s="740"/>
    </row>
    <row r="87" spans="18:24" ht="12.75">
      <c r="R87" s="740"/>
      <c r="S87" s="732"/>
      <c r="T87" s="740"/>
      <c r="U87" s="740"/>
      <c r="V87" s="740"/>
      <c r="W87" s="740"/>
      <c r="X87" s="740"/>
    </row>
    <row r="88" spans="18:24" ht="12.75">
      <c r="R88" s="740"/>
      <c r="S88" s="732"/>
      <c r="T88" s="740"/>
      <c r="U88" s="740"/>
      <c r="V88" s="740"/>
      <c r="W88" s="740"/>
      <c r="X88" s="740"/>
    </row>
    <row r="89" spans="18:24" ht="12.75">
      <c r="R89" s="740"/>
      <c r="S89" s="732"/>
      <c r="T89" s="740"/>
      <c r="U89" s="740"/>
      <c r="V89" s="740"/>
      <c r="W89" s="740"/>
      <c r="X89" s="740"/>
    </row>
    <row r="90" spans="18:24" ht="12.75">
      <c r="R90" s="740"/>
      <c r="S90" s="732"/>
      <c r="T90" s="740"/>
      <c r="U90" s="740"/>
      <c r="V90" s="740"/>
      <c r="W90" s="740"/>
      <c r="X90" s="740"/>
    </row>
    <row r="91" spans="18:24" ht="12.75">
      <c r="R91" s="740"/>
      <c r="S91" s="732"/>
      <c r="T91" s="740"/>
      <c r="U91" s="740"/>
      <c r="V91" s="740"/>
      <c r="W91" s="740"/>
      <c r="X91" s="740"/>
    </row>
    <row r="92" spans="18:24" ht="12.75">
      <c r="R92" s="740"/>
      <c r="S92" s="732"/>
      <c r="T92" s="740"/>
      <c r="U92" s="740"/>
      <c r="V92" s="740"/>
      <c r="W92" s="740"/>
      <c r="X92" s="740"/>
    </row>
    <row r="93" spans="18:24" ht="12.75">
      <c r="R93" s="740"/>
      <c r="S93" s="732"/>
      <c r="T93" s="740"/>
      <c r="U93" s="740"/>
      <c r="V93" s="740"/>
      <c r="W93" s="740"/>
      <c r="X93" s="740"/>
    </row>
    <row r="94" spans="18:24">
      <c r="R94" s="742"/>
      <c r="S94" s="736"/>
      <c r="T94" s="742"/>
      <c r="U94" s="742"/>
      <c r="V94" s="742"/>
      <c r="W94" s="742"/>
      <c r="X94" s="742"/>
    </row>
    <row r="95" spans="18:24">
      <c r="R95" s="641"/>
      <c r="T95" s="641"/>
      <c r="U95" s="641"/>
      <c r="V95" s="641"/>
      <c r="W95" s="641"/>
      <c r="X95" s="641"/>
    </row>
    <row r="96" spans="18:24" ht="12.75">
      <c r="R96" s="740"/>
      <c r="S96" s="732"/>
      <c r="T96" s="740"/>
      <c r="U96" s="740"/>
      <c r="V96" s="740"/>
      <c r="W96" s="740"/>
      <c r="X96" s="740"/>
    </row>
    <row r="97" spans="18:24" ht="12.75">
      <c r="R97" s="740"/>
      <c r="S97" s="732"/>
      <c r="T97" s="740"/>
      <c r="U97" s="740"/>
      <c r="V97" s="740"/>
      <c r="W97" s="740"/>
      <c r="X97" s="740"/>
    </row>
    <row r="98" spans="18:24" ht="12.75">
      <c r="R98" s="740"/>
      <c r="S98" s="732"/>
      <c r="T98" s="740"/>
      <c r="U98" s="740"/>
      <c r="V98" s="740"/>
      <c r="W98" s="740"/>
      <c r="X98" s="740"/>
    </row>
    <row r="99" spans="18:24" ht="12.75">
      <c r="R99" s="740"/>
      <c r="S99" s="732"/>
      <c r="T99" s="740"/>
      <c r="U99" s="740"/>
      <c r="V99" s="740"/>
      <c r="W99" s="740"/>
      <c r="X99" s="740"/>
    </row>
    <row r="100" spans="18:24" ht="12.75">
      <c r="R100" s="740"/>
      <c r="S100" s="732"/>
      <c r="T100" s="740"/>
      <c r="U100" s="740"/>
      <c r="V100" s="740"/>
      <c r="W100" s="740"/>
      <c r="X100" s="740"/>
    </row>
    <row r="101" spans="18:24" ht="12.75">
      <c r="R101" s="740"/>
      <c r="S101" s="732"/>
      <c r="T101" s="740"/>
      <c r="U101" s="740"/>
      <c r="V101" s="740"/>
      <c r="W101" s="740"/>
      <c r="X101" s="740"/>
    </row>
    <row r="102" spans="18:24" ht="12.75">
      <c r="R102" s="740"/>
      <c r="S102" s="732"/>
      <c r="T102" s="740"/>
      <c r="U102" s="740"/>
      <c r="V102" s="740"/>
      <c r="W102" s="740"/>
      <c r="X102" s="740"/>
    </row>
    <row r="103" spans="18:24" ht="12.75">
      <c r="R103" s="740"/>
      <c r="S103" s="732"/>
      <c r="T103" s="740"/>
      <c r="U103" s="740"/>
      <c r="V103" s="740"/>
      <c r="W103" s="740"/>
      <c r="X103" s="740"/>
    </row>
    <row r="104" spans="18:24" ht="12.75">
      <c r="R104" s="740"/>
      <c r="S104" s="732"/>
      <c r="T104" s="740"/>
      <c r="U104" s="740"/>
      <c r="V104" s="740"/>
      <c r="W104" s="740"/>
      <c r="X104" s="740"/>
    </row>
    <row r="105" spans="18:24" ht="12.75">
      <c r="R105" s="740"/>
      <c r="S105" s="732"/>
      <c r="T105" s="740"/>
      <c r="U105" s="740"/>
      <c r="V105" s="740"/>
      <c r="W105" s="740"/>
      <c r="X105" s="740"/>
    </row>
    <row r="106" spans="18:24" ht="12.75">
      <c r="R106" s="740"/>
      <c r="S106" s="732"/>
      <c r="T106" s="740"/>
      <c r="U106" s="740"/>
      <c r="V106" s="740"/>
      <c r="W106" s="740"/>
      <c r="X106" s="740"/>
    </row>
    <row r="107" spans="18:24" ht="12.75">
      <c r="R107" s="740"/>
      <c r="S107" s="732"/>
      <c r="T107" s="740"/>
      <c r="U107" s="740"/>
      <c r="V107" s="740"/>
      <c r="W107" s="740"/>
      <c r="X107" s="740"/>
    </row>
    <row r="108" spans="18:24" ht="12.75">
      <c r="R108" s="740"/>
      <c r="S108" s="732"/>
      <c r="T108" s="740"/>
      <c r="U108" s="740"/>
      <c r="V108" s="740"/>
      <c r="W108" s="740"/>
      <c r="X108" s="740"/>
    </row>
    <row r="109" spans="18:24" ht="12.75">
      <c r="R109" s="740"/>
      <c r="S109" s="732"/>
      <c r="T109" s="740"/>
      <c r="U109" s="740"/>
      <c r="V109" s="740"/>
      <c r="W109" s="740"/>
      <c r="X109" s="740"/>
    </row>
    <row r="110" spans="18:24" ht="12.75">
      <c r="R110" s="740"/>
      <c r="S110" s="732"/>
      <c r="T110" s="740"/>
      <c r="U110" s="740"/>
      <c r="V110" s="740"/>
      <c r="W110" s="740"/>
      <c r="X110" s="740"/>
    </row>
    <row r="111" spans="18:24" ht="12.75">
      <c r="R111" s="740"/>
      <c r="S111" s="732"/>
      <c r="T111" s="740"/>
      <c r="U111" s="740"/>
      <c r="V111" s="740"/>
      <c r="W111" s="740"/>
      <c r="X111" s="740"/>
    </row>
    <row r="112" spans="18:24" ht="12.75">
      <c r="R112" s="740"/>
      <c r="S112" s="732"/>
      <c r="T112" s="740"/>
      <c r="U112" s="740"/>
      <c r="V112" s="740"/>
      <c r="W112" s="740"/>
      <c r="X112" s="740"/>
    </row>
    <row r="113" spans="18:24" ht="12.75">
      <c r="R113" s="740"/>
      <c r="S113" s="732"/>
      <c r="T113" s="740"/>
      <c r="U113" s="740"/>
      <c r="V113" s="740"/>
      <c r="W113" s="740"/>
      <c r="X113" s="740"/>
    </row>
    <row r="114" spans="18:24" ht="12.75">
      <c r="R114" s="740"/>
      <c r="S114" s="732"/>
      <c r="T114" s="740"/>
      <c r="U114" s="740"/>
      <c r="V114" s="740"/>
      <c r="W114" s="740"/>
      <c r="X114" s="740"/>
    </row>
    <row r="115" spans="18:24" ht="12.75">
      <c r="R115" s="740"/>
      <c r="S115" s="732"/>
      <c r="T115" s="740"/>
      <c r="U115" s="740"/>
      <c r="V115" s="740"/>
      <c r="W115" s="740"/>
      <c r="X115" s="740"/>
    </row>
    <row r="116" spans="18:24">
      <c r="R116" s="742"/>
      <c r="S116" s="736"/>
      <c r="T116" s="742"/>
      <c r="U116" s="742"/>
      <c r="V116" s="742"/>
      <c r="W116" s="742"/>
      <c r="X116" s="742"/>
    </row>
    <row r="117" spans="18:24">
      <c r="R117" s="641"/>
      <c r="T117" s="641"/>
      <c r="U117" s="641"/>
      <c r="V117" s="641"/>
      <c r="W117" s="641"/>
      <c r="X117" s="641"/>
    </row>
    <row r="118" spans="18:24" ht="12.75">
      <c r="R118" s="740"/>
      <c r="S118" s="732"/>
      <c r="T118" s="740"/>
      <c r="U118" s="740"/>
      <c r="V118" s="740"/>
      <c r="W118" s="740"/>
      <c r="X118" s="740"/>
    </row>
    <row r="119" spans="18:24" ht="12.75">
      <c r="R119" s="740"/>
      <c r="S119" s="732"/>
      <c r="T119" s="740"/>
      <c r="U119" s="740"/>
      <c r="V119" s="740"/>
      <c r="W119" s="740"/>
      <c r="X119" s="740"/>
    </row>
    <row r="120" spans="18:24" ht="12.75">
      <c r="R120" s="740"/>
      <c r="S120" s="732"/>
      <c r="T120" s="740"/>
      <c r="U120" s="740"/>
      <c r="V120" s="740"/>
      <c r="W120" s="740"/>
      <c r="X120" s="740"/>
    </row>
    <row r="121" spans="18:24" ht="12.75">
      <c r="R121" s="740"/>
      <c r="S121" s="732"/>
      <c r="T121" s="740"/>
      <c r="U121" s="740"/>
      <c r="V121" s="740"/>
      <c r="W121" s="740"/>
      <c r="X121" s="740"/>
    </row>
    <row r="122" spans="18:24" ht="12.75">
      <c r="R122" s="740"/>
      <c r="S122" s="732"/>
      <c r="T122" s="740"/>
      <c r="U122" s="740"/>
      <c r="V122" s="740"/>
      <c r="W122" s="740"/>
      <c r="X122" s="740"/>
    </row>
    <row r="123" spans="18:24" ht="12.75">
      <c r="R123" s="740"/>
      <c r="S123" s="732"/>
      <c r="T123" s="740"/>
      <c r="U123" s="740"/>
      <c r="V123" s="740"/>
      <c r="W123" s="740"/>
      <c r="X123" s="740"/>
    </row>
    <row r="124" spans="18:24" ht="12.75">
      <c r="R124" s="740"/>
      <c r="S124" s="732"/>
      <c r="T124" s="740"/>
      <c r="U124" s="740"/>
      <c r="V124" s="740"/>
      <c r="W124" s="740"/>
      <c r="X124" s="740"/>
    </row>
    <row r="125" spans="18:24" ht="12.75">
      <c r="R125" s="740"/>
      <c r="S125" s="732"/>
      <c r="T125" s="740"/>
      <c r="U125" s="740"/>
      <c r="V125" s="740"/>
      <c r="W125" s="740"/>
      <c r="X125" s="740"/>
    </row>
    <row r="126" spans="18:24" ht="12.75">
      <c r="R126" s="740"/>
      <c r="S126" s="732"/>
      <c r="T126" s="740"/>
      <c r="U126" s="740"/>
      <c r="V126" s="740"/>
      <c r="W126" s="740"/>
      <c r="X126" s="740"/>
    </row>
    <row r="127" spans="18:24" ht="12.75">
      <c r="R127" s="740"/>
      <c r="S127" s="732"/>
      <c r="T127" s="740"/>
      <c r="U127" s="740"/>
      <c r="V127" s="740"/>
      <c r="W127" s="740"/>
      <c r="X127" s="740"/>
    </row>
    <row r="128" spans="18:24" ht="12.75">
      <c r="R128" s="740"/>
      <c r="S128" s="732"/>
      <c r="T128" s="740"/>
      <c r="U128" s="740"/>
      <c r="V128" s="740"/>
      <c r="W128" s="740"/>
      <c r="X128" s="740"/>
    </row>
    <row r="129" spans="18:24" ht="12.75">
      <c r="R129" s="740"/>
      <c r="S129" s="732"/>
      <c r="T129" s="740"/>
      <c r="U129" s="740"/>
      <c r="V129" s="740"/>
      <c r="W129" s="740"/>
      <c r="X129" s="740"/>
    </row>
    <row r="130" spans="18:24" ht="12.75">
      <c r="R130" s="740"/>
      <c r="S130" s="732"/>
      <c r="T130" s="740"/>
      <c r="U130" s="740"/>
      <c r="V130" s="740"/>
      <c r="W130" s="740"/>
      <c r="X130" s="740"/>
    </row>
    <row r="131" spans="18:24" ht="12.75">
      <c r="R131" s="740"/>
      <c r="S131" s="732"/>
      <c r="T131" s="740"/>
      <c r="U131" s="740"/>
      <c r="V131" s="740"/>
      <c r="W131" s="740"/>
      <c r="X131" s="740"/>
    </row>
    <row r="132" spans="18:24" ht="12.75">
      <c r="R132" s="740"/>
      <c r="S132" s="732"/>
      <c r="T132" s="740"/>
      <c r="U132" s="740"/>
      <c r="V132" s="740"/>
      <c r="W132" s="740"/>
      <c r="X132" s="740"/>
    </row>
    <row r="133" spans="18:24" ht="12.75">
      <c r="R133" s="740"/>
      <c r="S133" s="732"/>
      <c r="T133" s="740"/>
      <c r="U133" s="740"/>
      <c r="V133" s="740"/>
      <c r="W133" s="740"/>
      <c r="X133" s="740"/>
    </row>
    <row r="134" spans="18:24" ht="12.75">
      <c r="R134" s="740"/>
      <c r="S134" s="732"/>
      <c r="T134" s="740"/>
      <c r="U134" s="740"/>
      <c r="V134" s="740"/>
      <c r="W134" s="740"/>
      <c r="X134" s="740"/>
    </row>
    <row r="135" spans="18:24" ht="12.75">
      <c r="R135" s="740"/>
      <c r="S135" s="732"/>
      <c r="T135" s="740"/>
      <c r="U135" s="740"/>
      <c r="V135" s="740"/>
      <c r="W135" s="740"/>
      <c r="X135" s="740"/>
    </row>
    <row r="136" spans="18:24" ht="12.75">
      <c r="R136" s="740"/>
      <c r="S136" s="732"/>
      <c r="T136" s="740"/>
      <c r="U136" s="740"/>
      <c r="V136" s="740"/>
      <c r="W136" s="740"/>
      <c r="X136" s="740"/>
    </row>
    <row r="137" spans="18:24" ht="12.75">
      <c r="R137" s="740"/>
      <c r="S137" s="732"/>
      <c r="T137" s="740"/>
      <c r="U137" s="740"/>
      <c r="V137" s="740"/>
      <c r="W137" s="740"/>
      <c r="X137" s="740"/>
    </row>
    <row r="138" spans="18:24">
      <c r="R138" s="742"/>
      <c r="S138" s="736"/>
      <c r="T138" s="742"/>
      <c r="U138" s="742"/>
      <c r="V138" s="742"/>
      <c r="W138" s="742"/>
      <c r="X138" s="742"/>
    </row>
    <row r="139" spans="18:24">
      <c r="R139" s="641"/>
      <c r="T139" s="641"/>
      <c r="U139" s="641"/>
      <c r="V139" s="641"/>
      <c r="W139" s="641"/>
      <c r="X139" s="641"/>
    </row>
    <row r="140" spans="18:24" ht="12.75">
      <c r="R140" s="740"/>
      <c r="S140" s="732"/>
      <c r="T140" s="740"/>
      <c r="U140" s="740"/>
      <c r="V140" s="740"/>
      <c r="W140" s="740"/>
      <c r="X140" s="740"/>
    </row>
    <row r="141" spans="18:24" ht="12.75">
      <c r="R141" s="740"/>
      <c r="S141" s="732"/>
      <c r="T141" s="740"/>
      <c r="U141" s="740"/>
      <c r="V141" s="740"/>
      <c r="W141" s="740"/>
      <c r="X141" s="740"/>
    </row>
    <row r="142" spans="18:24" ht="12.75">
      <c r="R142" s="740"/>
      <c r="S142" s="732"/>
      <c r="T142" s="740"/>
      <c r="U142" s="740"/>
      <c r="V142" s="740"/>
      <c r="W142" s="740"/>
      <c r="X142" s="740"/>
    </row>
    <row r="143" spans="18:24" ht="12.75">
      <c r="R143" s="740"/>
      <c r="S143" s="732"/>
      <c r="T143" s="740"/>
      <c r="U143" s="740"/>
      <c r="V143" s="740"/>
      <c r="W143" s="740"/>
      <c r="X143" s="740"/>
    </row>
    <row r="144" spans="18:24" ht="12.75">
      <c r="R144" s="740"/>
      <c r="S144" s="732"/>
      <c r="T144" s="740"/>
      <c r="U144" s="740"/>
      <c r="V144" s="740"/>
      <c r="W144" s="740"/>
      <c r="X144" s="740"/>
    </row>
    <row r="145" spans="18:24" ht="12.75">
      <c r="R145" s="740"/>
      <c r="S145" s="732"/>
      <c r="T145" s="740"/>
      <c r="U145" s="740"/>
      <c r="V145" s="740"/>
      <c r="W145" s="740"/>
      <c r="X145" s="740"/>
    </row>
    <row r="146" spans="18:24" ht="12.75">
      <c r="R146" s="740"/>
      <c r="S146" s="732"/>
      <c r="T146" s="740"/>
      <c r="U146" s="740"/>
      <c r="V146" s="740"/>
      <c r="W146" s="740"/>
      <c r="X146" s="740"/>
    </row>
    <row r="147" spans="18:24" ht="12.75">
      <c r="R147" s="740"/>
      <c r="S147" s="732"/>
      <c r="T147" s="740"/>
      <c r="U147" s="740"/>
      <c r="V147" s="740"/>
      <c r="W147" s="740"/>
      <c r="X147" s="740"/>
    </row>
    <row r="148" spans="18:24" ht="12.75">
      <c r="R148" s="740"/>
      <c r="S148" s="732"/>
      <c r="T148" s="740"/>
      <c r="U148" s="740"/>
      <c r="V148" s="740"/>
      <c r="W148" s="740"/>
      <c r="X148" s="740"/>
    </row>
    <row r="149" spans="18:24" ht="12.75">
      <c r="R149" s="740"/>
      <c r="S149" s="732"/>
      <c r="T149" s="740"/>
      <c r="U149" s="740"/>
      <c r="V149" s="740"/>
      <c r="W149" s="740"/>
      <c r="X149" s="740"/>
    </row>
    <row r="150" spans="18:24" ht="12.75">
      <c r="R150" s="740"/>
      <c r="S150" s="732"/>
      <c r="T150" s="740"/>
      <c r="U150" s="740"/>
      <c r="V150" s="740"/>
      <c r="W150" s="740"/>
      <c r="X150" s="740"/>
    </row>
    <row r="151" spans="18:24" ht="12.75">
      <c r="R151" s="740"/>
      <c r="S151" s="732"/>
      <c r="T151" s="740"/>
      <c r="U151" s="740"/>
      <c r="V151" s="740"/>
      <c r="W151" s="740"/>
      <c r="X151" s="740"/>
    </row>
    <row r="152" spans="18:24" ht="12.75">
      <c r="R152" s="740"/>
      <c r="S152" s="732"/>
      <c r="T152" s="740"/>
      <c r="U152" s="740"/>
      <c r="V152" s="740"/>
      <c r="W152" s="740"/>
      <c r="X152" s="740"/>
    </row>
    <row r="153" spans="18:24" ht="12.75">
      <c r="R153" s="740"/>
      <c r="S153" s="732"/>
      <c r="T153" s="740"/>
      <c r="U153" s="740"/>
      <c r="V153" s="740"/>
      <c r="W153" s="740"/>
      <c r="X153" s="740"/>
    </row>
    <row r="154" spans="18:24" ht="12.75">
      <c r="R154" s="740"/>
      <c r="S154" s="732"/>
      <c r="T154" s="740"/>
      <c r="U154" s="740"/>
      <c r="V154" s="740"/>
      <c r="W154" s="740"/>
      <c r="X154" s="740"/>
    </row>
    <row r="155" spans="18:24" ht="12.75">
      <c r="R155" s="740"/>
      <c r="S155" s="732"/>
      <c r="T155" s="740"/>
      <c r="U155" s="740"/>
      <c r="V155" s="740"/>
      <c r="W155" s="740"/>
      <c r="X155" s="740"/>
    </row>
    <row r="156" spans="18:24" ht="12.75">
      <c r="R156" s="740"/>
      <c r="S156" s="732"/>
      <c r="T156" s="740"/>
      <c r="U156" s="740"/>
      <c r="V156" s="740"/>
      <c r="W156" s="740"/>
      <c r="X156" s="740"/>
    </row>
    <row r="157" spans="18:24" ht="12.75">
      <c r="R157" s="740"/>
      <c r="S157" s="732"/>
      <c r="T157" s="740"/>
      <c r="U157" s="740"/>
      <c r="V157" s="740"/>
      <c r="W157" s="740"/>
      <c r="X157" s="740"/>
    </row>
    <row r="158" spans="18:24" ht="12.75">
      <c r="R158" s="740"/>
      <c r="S158" s="732"/>
      <c r="T158" s="740"/>
      <c r="U158" s="740"/>
      <c r="V158" s="740"/>
      <c r="W158" s="740"/>
      <c r="X158" s="740"/>
    </row>
    <row r="159" spans="18:24" ht="12.75">
      <c r="R159" s="740"/>
      <c r="S159" s="732"/>
      <c r="T159" s="740"/>
      <c r="U159" s="740"/>
      <c r="V159" s="740"/>
      <c r="W159" s="740"/>
      <c r="X159" s="740"/>
    </row>
    <row r="160" spans="18:24">
      <c r="R160" s="742"/>
      <c r="S160" s="736"/>
      <c r="T160" s="742"/>
      <c r="U160" s="742"/>
      <c r="V160" s="742"/>
      <c r="W160" s="742"/>
      <c r="X160" s="742"/>
    </row>
    <row r="161" spans="18:24">
      <c r="R161" s="641"/>
      <c r="T161" s="641"/>
      <c r="U161" s="641"/>
      <c r="V161" s="641"/>
      <c r="W161" s="641"/>
      <c r="X161" s="641"/>
    </row>
    <row r="162" spans="18:24" ht="12.75">
      <c r="R162" s="740"/>
      <c r="S162" s="732"/>
      <c r="T162" s="740"/>
      <c r="U162" s="740"/>
      <c r="V162" s="740"/>
      <c r="W162" s="740"/>
      <c r="X162" s="740"/>
    </row>
    <row r="163" spans="18:24" ht="12.75">
      <c r="R163" s="740"/>
      <c r="S163" s="732"/>
      <c r="T163" s="740"/>
      <c r="U163" s="740"/>
      <c r="V163" s="740"/>
      <c r="W163" s="740"/>
      <c r="X163" s="740"/>
    </row>
    <row r="164" spans="18:24" ht="12.75">
      <c r="R164" s="740"/>
      <c r="S164" s="732"/>
      <c r="T164" s="740"/>
      <c r="U164" s="740"/>
      <c r="V164" s="740"/>
      <c r="W164" s="740"/>
      <c r="X164" s="740"/>
    </row>
    <row r="165" spans="18:24" ht="12.75">
      <c r="R165" s="740"/>
      <c r="S165" s="732"/>
      <c r="T165" s="740"/>
      <c r="U165" s="740"/>
      <c r="V165" s="740"/>
      <c r="W165" s="740"/>
      <c r="X165" s="740"/>
    </row>
    <row r="166" spans="18:24" ht="12.75">
      <c r="R166" s="740"/>
      <c r="S166" s="732"/>
      <c r="T166" s="740"/>
      <c r="U166" s="740"/>
      <c r="V166" s="740"/>
      <c r="W166" s="740"/>
      <c r="X166" s="740"/>
    </row>
    <row r="167" spans="18:24" ht="12.75">
      <c r="R167" s="740"/>
      <c r="S167" s="732"/>
      <c r="T167" s="740"/>
      <c r="U167" s="740"/>
      <c r="V167" s="740"/>
      <c r="W167" s="740"/>
      <c r="X167" s="740"/>
    </row>
    <row r="168" spans="18:24" ht="12.75">
      <c r="R168" s="740"/>
      <c r="S168" s="732"/>
      <c r="T168" s="740"/>
      <c r="U168" s="740"/>
      <c r="V168" s="740"/>
      <c r="W168" s="740"/>
      <c r="X168" s="740"/>
    </row>
    <row r="169" spans="18:24" ht="12.75">
      <c r="R169" s="740"/>
      <c r="S169" s="732"/>
      <c r="T169" s="740"/>
      <c r="U169" s="740"/>
      <c r="V169" s="740"/>
      <c r="W169" s="740"/>
      <c r="X169" s="740"/>
    </row>
    <row r="170" spans="18:24" ht="12.75">
      <c r="R170" s="740"/>
      <c r="S170" s="732"/>
      <c r="T170" s="740"/>
      <c r="U170" s="740"/>
      <c r="V170" s="740"/>
      <c r="W170" s="740"/>
      <c r="X170" s="740"/>
    </row>
    <row r="171" spans="18:24" ht="12.75">
      <c r="R171" s="740"/>
      <c r="S171" s="732"/>
      <c r="T171" s="740"/>
      <c r="U171" s="740"/>
      <c r="V171" s="740"/>
      <c r="W171" s="740"/>
      <c r="X171" s="740"/>
    </row>
    <row r="172" spans="18:24" ht="12.75">
      <c r="R172" s="740"/>
      <c r="S172" s="732"/>
      <c r="T172" s="740"/>
      <c r="U172" s="740"/>
      <c r="V172" s="740"/>
      <c r="W172" s="740"/>
      <c r="X172" s="740"/>
    </row>
    <row r="173" spans="18:24" ht="12.75">
      <c r="R173" s="740"/>
      <c r="S173" s="732"/>
      <c r="T173" s="740"/>
      <c r="U173" s="740"/>
      <c r="V173" s="740"/>
      <c r="W173" s="740"/>
      <c r="X173" s="740"/>
    </row>
    <row r="174" spans="18:24" ht="12.75">
      <c r="R174" s="740"/>
      <c r="S174" s="732"/>
      <c r="T174" s="740"/>
      <c r="U174" s="740"/>
      <c r="V174" s="740"/>
      <c r="W174" s="740"/>
      <c r="X174" s="740"/>
    </row>
    <row r="175" spans="18:24" ht="12.75">
      <c r="R175" s="740"/>
      <c r="S175" s="732"/>
      <c r="T175" s="740"/>
      <c r="U175" s="740"/>
      <c r="V175" s="740"/>
      <c r="W175" s="740"/>
      <c r="X175" s="740"/>
    </row>
    <row r="176" spans="18:24" ht="12.75">
      <c r="R176" s="740"/>
      <c r="S176" s="732"/>
      <c r="T176" s="740"/>
      <c r="U176" s="740"/>
      <c r="V176" s="740"/>
      <c r="W176" s="740"/>
      <c r="X176" s="740"/>
    </row>
    <row r="177" spans="18:24" ht="12.75">
      <c r="R177" s="740"/>
      <c r="S177" s="732"/>
      <c r="T177" s="740"/>
      <c r="U177" s="740"/>
      <c r="V177" s="740"/>
      <c r="W177" s="740"/>
      <c r="X177" s="740"/>
    </row>
    <row r="178" spans="18:24" ht="12.75">
      <c r="R178" s="740"/>
      <c r="S178" s="732"/>
      <c r="T178" s="740"/>
      <c r="U178" s="740"/>
      <c r="V178" s="740"/>
      <c r="W178" s="740"/>
      <c r="X178" s="740"/>
    </row>
    <row r="179" spans="18:24" ht="12.75">
      <c r="R179" s="740"/>
      <c r="S179" s="732"/>
      <c r="T179" s="740"/>
      <c r="U179" s="740"/>
      <c r="V179" s="740"/>
      <c r="W179" s="740"/>
      <c r="X179" s="740"/>
    </row>
    <row r="180" spans="18:24" ht="12.75">
      <c r="R180" s="740"/>
      <c r="S180" s="732"/>
      <c r="T180" s="740"/>
      <c r="U180" s="740"/>
      <c r="V180" s="740"/>
      <c r="W180" s="740"/>
      <c r="X180" s="740"/>
    </row>
    <row r="181" spans="18:24" ht="12.75">
      <c r="R181" s="740"/>
      <c r="S181" s="732"/>
      <c r="T181" s="740"/>
      <c r="U181" s="740"/>
      <c r="V181" s="740"/>
      <c r="W181" s="740"/>
      <c r="X181" s="740"/>
    </row>
    <row r="182" spans="18:24">
      <c r="R182" s="742"/>
      <c r="S182" s="736"/>
      <c r="T182" s="742"/>
      <c r="U182" s="742"/>
      <c r="V182" s="742"/>
      <c r="W182" s="742"/>
      <c r="X182" s="742"/>
    </row>
    <row r="183" spans="18:24">
      <c r="R183" s="641"/>
      <c r="T183" s="641"/>
      <c r="U183" s="641"/>
      <c r="V183" s="641"/>
      <c r="W183" s="641"/>
      <c r="X183" s="641"/>
    </row>
    <row r="184" spans="18:24">
      <c r="R184" s="709"/>
      <c r="S184" s="709"/>
      <c r="T184" s="709"/>
      <c r="U184" s="709"/>
      <c r="V184" s="709"/>
      <c r="W184" s="709"/>
      <c r="X184" s="709"/>
    </row>
    <row r="185" spans="18:24">
      <c r="R185" s="709"/>
      <c r="S185" s="709"/>
      <c r="T185" s="709"/>
      <c r="U185" s="709"/>
      <c r="V185" s="709"/>
      <c r="W185" s="709"/>
      <c r="X185" s="709"/>
    </row>
    <row r="186" spans="18:24">
      <c r="R186" s="709"/>
      <c r="S186" s="709"/>
      <c r="T186" s="709"/>
      <c r="U186" s="709"/>
      <c r="V186" s="709"/>
      <c r="W186" s="709"/>
      <c r="X186" s="709"/>
    </row>
    <row r="187" spans="18:24">
      <c r="R187" s="709"/>
      <c r="S187" s="709"/>
      <c r="T187" s="709"/>
      <c r="U187" s="709"/>
      <c r="V187" s="709"/>
      <c r="W187" s="709"/>
      <c r="X187" s="709"/>
    </row>
    <row r="188" spans="18:24">
      <c r="R188" s="709"/>
      <c r="S188" s="709"/>
      <c r="T188" s="709"/>
      <c r="U188" s="709"/>
      <c r="V188" s="709"/>
      <c r="W188" s="709"/>
      <c r="X188" s="709"/>
    </row>
    <row r="189" spans="18:24">
      <c r="R189" s="709"/>
      <c r="S189" s="709"/>
      <c r="T189" s="709"/>
      <c r="U189" s="709"/>
      <c r="V189" s="709"/>
      <c r="W189" s="709"/>
      <c r="X189" s="709"/>
    </row>
    <row r="190" spans="18:24">
      <c r="R190" s="709"/>
      <c r="S190" s="709"/>
      <c r="T190" s="709"/>
      <c r="U190" s="709"/>
      <c r="V190" s="709"/>
      <c r="W190" s="709"/>
      <c r="X190" s="709"/>
    </row>
    <row r="191" spans="18:24">
      <c r="R191" s="641"/>
      <c r="T191" s="641"/>
      <c r="U191" s="641"/>
      <c r="V191" s="641"/>
      <c r="W191" s="641"/>
      <c r="X191" s="641"/>
    </row>
    <row r="192" spans="18:24">
      <c r="R192" s="641"/>
      <c r="T192" s="641"/>
      <c r="U192" s="641"/>
      <c r="V192" s="641"/>
      <c r="W192" s="641"/>
      <c r="X192" s="641"/>
    </row>
  </sheetData>
  <sheetProtection password="94A0" sheet="1" scenarios="1" formatCells="0" autoFilter="0"/>
  <autoFilter ref="A8:AE38"/>
  <phoneticPr fontId="163" type="noConversion"/>
  <conditionalFormatting sqref="P4:Q4">
    <cfRule type="expression" dxfId="55" priority="2" stopIfTrue="1">
      <formula>$P4&lt;&gt;""</formula>
    </cfRule>
  </conditionalFormatting>
  <conditionalFormatting sqref="AE9:AE39">
    <cfRule type="expression" dxfId="54" priority="11" stopIfTrue="1">
      <formula>AE9&lt;&gt;""</formula>
    </cfRule>
  </conditionalFormatting>
  <conditionalFormatting sqref="B9:B38">
    <cfRule type="expression" dxfId="53" priority="1">
      <formula>ISERROR($B9)</formula>
    </cfRule>
  </conditionalFormatting>
  <dataValidations count="14">
    <dataValidation type="list" allowBlank="1" showInputMessage="1" showErrorMessage="1" sqref="R9">
      <formula1>Sheet_AcctClass</formula1>
    </dataValidation>
    <dataValidation type="decimal" showInputMessage="1" showErrorMessage="1" errorTitle="WPE" error="请输入数值！" prompt="借方金额" sqref="O39">
      <formula1>-922337203685477</formula1>
      <formula2>922337203685477</formula2>
    </dataValidation>
    <dataValidation type="decimal" showInputMessage="1" showErrorMessage="1" errorTitle="WPE" error="请输入数值！" prompt="前期贷方金额" sqref="P9:P38">
      <formula1>-922337203685477</formula1>
      <formula2>922337203685477</formula2>
    </dataValidation>
    <dataValidation type="list" showDropDown="1" showInputMessage="1" showErrorMessage="1" error="分录表末行属性值FLend，不能更改!" prompt="A列请勿输入" sqref="A40">
      <formula1>"FLend"</formula1>
    </dataValidation>
    <dataValidation type="decimal" showInputMessage="1" showErrorMessage="1" errorTitle="WPE" error="请输入数值！" prompt="贷方金额" sqref="P39">
      <formula1>-922337203685477</formula1>
      <formula2>922337203685477</formula2>
    </dataValidation>
    <dataValidation type="list" showInputMessage="1" showErrorMessage="1" errorTitle="WPE" error="请选择分录类型！" prompt="AJE 调整分录_x000a_RJE 重分类分录" sqref="H9:H39">
      <formula1>"AJE,RJE"</formula1>
    </dataValidation>
    <dataValidation type="list" allowBlank="1" showInputMessage="1" prompt="输入金额后，WPE自动判断方向" sqref="J10:J39">
      <formula1>"借,贷"</formula1>
    </dataValidation>
    <dataValidation type="list" showInputMessage="1" showErrorMessage="1" errorTitle="WPE" error="请输入下拉框列表中的报表项目名称，否则将无法过入试算表" prompt="左列有摘要信息时，请在下一行输入，以使摘要完整显示" sqref="K9:K39">
      <formula1>OFFSET(ACCT_AJE1,0,0,COUNTA(ACCT_AJE1),1)</formula1>
    </dataValidation>
    <dataValidation type="decimal" showInputMessage="1" showErrorMessage="1" errorTitle="WPE" error="请输入数值！" prompt="前期借方金额" sqref="O9:O38">
      <formula1>-922337203685477</formula1>
      <formula2>922337203685477</formula2>
    </dataValidation>
    <dataValidation type="list" allowBlank="1" showInputMessage="1" showErrorMessage="1" sqref="T9:T38">
      <formula1>Sheet_MisstaType</formula1>
    </dataValidation>
    <dataValidation type="list" allowBlank="1" showInputMessage="1" showErrorMessage="1" sqref="U9:U38">
      <formula1>Sheet_MisstaCause</formula1>
    </dataValidation>
    <dataValidation type="list" sqref="Y9:Y39">
      <formula1>OFFSET(Sheet_AjeSatus,0,0,COUNTA(Sheet_AjeSatus),1)</formula1>
    </dataValidation>
    <dataValidation type="list" sqref="Z9:Z39">
      <formula1>OFFSET(Sheet_AjeProof,0,0,COUNTA(Sheet_AjeProof),1)</formula1>
    </dataValidation>
    <dataValidation allowBlank="1" showInputMessage="1" showErrorMessage="1" prompt="请输入建议调整的会计科目名称" sqref="L9:N39"/>
  </dataValidations>
  <pageMargins left="0.78740157480314998" right="0" top="0.39370078740157499" bottom="0.39370078740157499" header="0.511811023622047" footer="0.511811023622047"/>
  <pageSetup paperSize="9" scale="90" orientation="portrait" blackAndWhite="1"/>
  <headerFooter alignWithMargins="0"/>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fitToPage="1"/>
  </sheetPr>
  <dimension ref="A1:P75"/>
  <sheetViews>
    <sheetView showZeros="0" workbookViewId="0">
      <selection activeCell="F7" sqref="F7"/>
    </sheetView>
  </sheetViews>
  <sheetFormatPr defaultRowHeight="12"/>
  <cols>
    <col min="1" max="4" width="0.140625" style="2797" customWidth="1"/>
    <col min="5" max="5" width="35.7109375" style="1665" customWidth="1"/>
    <col min="6" max="6" width="8.7109375" style="1665" customWidth="1"/>
    <col min="7" max="8" width="18.7109375" style="1665" customWidth="1"/>
    <col min="9" max="9" width="35.7109375" style="1665" customWidth="1"/>
    <col min="10" max="10" width="8.7109375" style="1665" customWidth="1"/>
    <col min="11" max="12" width="18.7109375" style="1665" customWidth="1"/>
    <col min="13" max="13" width="15.7109375" style="1665" customWidth="1"/>
    <col min="14" max="256" width="9.140625" style="1665"/>
    <col min="257" max="260" width="0.140625" style="1665" customWidth="1"/>
    <col min="261" max="261" width="35.7109375" style="1665" customWidth="1"/>
    <col min="262" max="262" width="8.7109375" style="1665" customWidth="1"/>
    <col min="263" max="264" width="18.7109375" style="1665" customWidth="1"/>
    <col min="265" max="265" width="35.7109375" style="1665" customWidth="1"/>
    <col min="266" max="266" width="8.7109375" style="1665" customWidth="1"/>
    <col min="267" max="268" width="18.7109375" style="1665" customWidth="1"/>
    <col min="269" max="269" width="15.7109375" style="1665" customWidth="1"/>
    <col min="270" max="512" width="9.140625" style="1665"/>
    <col min="513" max="516" width="0.140625" style="1665" customWidth="1"/>
    <col min="517" max="517" width="35.7109375" style="1665" customWidth="1"/>
    <col min="518" max="518" width="8.7109375" style="1665" customWidth="1"/>
    <col min="519" max="520" width="18.7109375" style="1665" customWidth="1"/>
    <col min="521" max="521" width="35.7109375" style="1665" customWidth="1"/>
    <col min="522" max="522" width="8.7109375" style="1665" customWidth="1"/>
    <col min="523" max="524" width="18.7109375" style="1665" customWidth="1"/>
    <col min="525" max="525" width="15.7109375" style="1665" customWidth="1"/>
    <col min="526" max="768" width="9.140625" style="1665"/>
    <col min="769" max="772" width="0.140625" style="1665" customWidth="1"/>
    <col min="773" max="773" width="35.7109375" style="1665" customWidth="1"/>
    <col min="774" max="774" width="8.7109375" style="1665" customWidth="1"/>
    <col min="775" max="776" width="18.7109375" style="1665" customWidth="1"/>
    <col min="777" max="777" width="35.7109375" style="1665" customWidth="1"/>
    <col min="778" max="778" width="8.7109375" style="1665" customWidth="1"/>
    <col min="779" max="780" width="18.7109375" style="1665" customWidth="1"/>
    <col min="781" max="781" width="15.7109375" style="1665" customWidth="1"/>
    <col min="782" max="1024" width="9.140625" style="1665"/>
    <col min="1025" max="1028" width="0.140625" style="1665" customWidth="1"/>
    <col min="1029" max="1029" width="35.7109375" style="1665" customWidth="1"/>
    <col min="1030" max="1030" width="8.7109375" style="1665" customWidth="1"/>
    <col min="1031" max="1032" width="18.7109375" style="1665" customWidth="1"/>
    <col min="1033" max="1033" width="35.7109375" style="1665" customWidth="1"/>
    <col min="1034" max="1034" width="8.7109375" style="1665" customWidth="1"/>
    <col min="1035" max="1036" width="18.7109375" style="1665" customWidth="1"/>
    <col min="1037" max="1037" width="15.7109375" style="1665" customWidth="1"/>
    <col min="1038" max="1280" width="9.140625" style="1665"/>
    <col min="1281" max="1284" width="0.140625" style="1665" customWidth="1"/>
    <col min="1285" max="1285" width="35.7109375" style="1665" customWidth="1"/>
    <col min="1286" max="1286" width="8.7109375" style="1665" customWidth="1"/>
    <col min="1287" max="1288" width="18.7109375" style="1665" customWidth="1"/>
    <col min="1289" max="1289" width="35.7109375" style="1665" customWidth="1"/>
    <col min="1290" max="1290" width="8.7109375" style="1665" customWidth="1"/>
    <col min="1291" max="1292" width="18.7109375" style="1665" customWidth="1"/>
    <col min="1293" max="1293" width="15.7109375" style="1665" customWidth="1"/>
    <col min="1294" max="1536" width="9.140625" style="1665"/>
    <col min="1537" max="1540" width="0.140625" style="1665" customWidth="1"/>
    <col min="1541" max="1541" width="35.7109375" style="1665" customWidth="1"/>
    <col min="1542" max="1542" width="8.7109375" style="1665" customWidth="1"/>
    <col min="1543" max="1544" width="18.7109375" style="1665" customWidth="1"/>
    <col min="1545" max="1545" width="35.7109375" style="1665" customWidth="1"/>
    <col min="1546" max="1546" width="8.7109375" style="1665" customWidth="1"/>
    <col min="1547" max="1548" width="18.7109375" style="1665" customWidth="1"/>
    <col min="1549" max="1549" width="15.7109375" style="1665" customWidth="1"/>
    <col min="1550" max="1792" width="9.140625" style="1665"/>
    <col min="1793" max="1796" width="0.140625" style="1665" customWidth="1"/>
    <col min="1797" max="1797" width="35.7109375" style="1665" customWidth="1"/>
    <col min="1798" max="1798" width="8.7109375" style="1665" customWidth="1"/>
    <col min="1799" max="1800" width="18.7109375" style="1665" customWidth="1"/>
    <col min="1801" max="1801" width="35.7109375" style="1665" customWidth="1"/>
    <col min="1802" max="1802" width="8.7109375" style="1665" customWidth="1"/>
    <col min="1803" max="1804" width="18.7109375" style="1665" customWidth="1"/>
    <col min="1805" max="1805" width="15.7109375" style="1665" customWidth="1"/>
    <col min="1806" max="2048" width="9.140625" style="1665"/>
    <col min="2049" max="2052" width="0.140625" style="1665" customWidth="1"/>
    <col min="2053" max="2053" width="35.7109375" style="1665" customWidth="1"/>
    <col min="2054" max="2054" width="8.7109375" style="1665" customWidth="1"/>
    <col min="2055" max="2056" width="18.7109375" style="1665" customWidth="1"/>
    <col min="2057" max="2057" width="35.7109375" style="1665" customWidth="1"/>
    <col min="2058" max="2058" width="8.7109375" style="1665" customWidth="1"/>
    <col min="2059" max="2060" width="18.7109375" style="1665" customWidth="1"/>
    <col min="2061" max="2061" width="15.7109375" style="1665" customWidth="1"/>
    <col min="2062" max="2304" width="9.140625" style="1665"/>
    <col min="2305" max="2308" width="0.140625" style="1665" customWidth="1"/>
    <col min="2309" max="2309" width="35.7109375" style="1665" customWidth="1"/>
    <col min="2310" max="2310" width="8.7109375" style="1665" customWidth="1"/>
    <col min="2311" max="2312" width="18.7109375" style="1665" customWidth="1"/>
    <col min="2313" max="2313" width="35.7109375" style="1665" customWidth="1"/>
    <col min="2314" max="2314" width="8.7109375" style="1665" customWidth="1"/>
    <col min="2315" max="2316" width="18.7109375" style="1665" customWidth="1"/>
    <col min="2317" max="2317" width="15.7109375" style="1665" customWidth="1"/>
    <col min="2318" max="2560" width="9.140625" style="1665"/>
    <col min="2561" max="2564" width="0.140625" style="1665" customWidth="1"/>
    <col min="2565" max="2565" width="35.7109375" style="1665" customWidth="1"/>
    <col min="2566" max="2566" width="8.7109375" style="1665" customWidth="1"/>
    <col min="2567" max="2568" width="18.7109375" style="1665" customWidth="1"/>
    <col min="2569" max="2569" width="35.7109375" style="1665" customWidth="1"/>
    <col min="2570" max="2570" width="8.7109375" style="1665" customWidth="1"/>
    <col min="2571" max="2572" width="18.7109375" style="1665" customWidth="1"/>
    <col min="2573" max="2573" width="15.7109375" style="1665" customWidth="1"/>
    <col min="2574" max="2816" width="9.140625" style="1665"/>
    <col min="2817" max="2820" width="0.140625" style="1665" customWidth="1"/>
    <col min="2821" max="2821" width="35.7109375" style="1665" customWidth="1"/>
    <col min="2822" max="2822" width="8.7109375" style="1665" customWidth="1"/>
    <col min="2823" max="2824" width="18.7109375" style="1665" customWidth="1"/>
    <col min="2825" max="2825" width="35.7109375" style="1665" customWidth="1"/>
    <col min="2826" max="2826" width="8.7109375" style="1665" customWidth="1"/>
    <col min="2827" max="2828" width="18.7109375" style="1665" customWidth="1"/>
    <col min="2829" max="2829" width="15.7109375" style="1665" customWidth="1"/>
    <col min="2830" max="3072" width="9.140625" style="1665"/>
    <col min="3073" max="3076" width="0.140625" style="1665" customWidth="1"/>
    <col min="3077" max="3077" width="35.7109375" style="1665" customWidth="1"/>
    <col min="3078" max="3078" width="8.7109375" style="1665" customWidth="1"/>
    <col min="3079" max="3080" width="18.7109375" style="1665" customWidth="1"/>
    <col min="3081" max="3081" width="35.7109375" style="1665" customWidth="1"/>
    <col min="3082" max="3082" width="8.7109375" style="1665" customWidth="1"/>
    <col min="3083" max="3084" width="18.7109375" style="1665" customWidth="1"/>
    <col min="3085" max="3085" width="15.7109375" style="1665" customWidth="1"/>
    <col min="3086" max="3328" width="9.140625" style="1665"/>
    <col min="3329" max="3332" width="0.140625" style="1665" customWidth="1"/>
    <col min="3333" max="3333" width="35.7109375" style="1665" customWidth="1"/>
    <col min="3334" max="3334" width="8.7109375" style="1665" customWidth="1"/>
    <col min="3335" max="3336" width="18.7109375" style="1665" customWidth="1"/>
    <col min="3337" max="3337" width="35.7109375" style="1665" customWidth="1"/>
    <col min="3338" max="3338" width="8.7109375" style="1665" customWidth="1"/>
    <col min="3339" max="3340" width="18.7109375" style="1665" customWidth="1"/>
    <col min="3341" max="3341" width="15.7109375" style="1665" customWidth="1"/>
    <col min="3342" max="3584" width="9.140625" style="1665"/>
    <col min="3585" max="3588" width="0.140625" style="1665" customWidth="1"/>
    <col min="3589" max="3589" width="35.7109375" style="1665" customWidth="1"/>
    <col min="3590" max="3590" width="8.7109375" style="1665" customWidth="1"/>
    <col min="3591" max="3592" width="18.7109375" style="1665" customWidth="1"/>
    <col min="3593" max="3593" width="35.7109375" style="1665" customWidth="1"/>
    <col min="3594" max="3594" width="8.7109375" style="1665" customWidth="1"/>
    <col min="3595" max="3596" width="18.7109375" style="1665" customWidth="1"/>
    <col min="3597" max="3597" width="15.7109375" style="1665" customWidth="1"/>
    <col min="3598" max="3840" width="9.140625" style="1665"/>
    <col min="3841" max="3844" width="0.140625" style="1665" customWidth="1"/>
    <col min="3845" max="3845" width="35.7109375" style="1665" customWidth="1"/>
    <col min="3846" max="3846" width="8.7109375" style="1665" customWidth="1"/>
    <col min="3847" max="3848" width="18.7109375" style="1665" customWidth="1"/>
    <col min="3849" max="3849" width="35.7109375" style="1665" customWidth="1"/>
    <col min="3850" max="3850" width="8.7109375" style="1665" customWidth="1"/>
    <col min="3851" max="3852" width="18.7109375" style="1665" customWidth="1"/>
    <col min="3853" max="3853" width="15.7109375" style="1665" customWidth="1"/>
    <col min="3854" max="4096" width="9.140625" style="1665"/>
    <col min="4097" max="4100" width="0.140625" style="1665" customWidth="1"/>
    <col min="4101" max="4101" width="35.7109375" style="1665" customWidth="1"/>
    <col min="4102" max="4102" width="8.7109375" style="1665" customWidth="1"/>
    <col min="4103" max="4104" width="18.7109375" style="1665" customWidth="1"/>
    <col min="4105" max="4105" width="35.7109375" style="1665" customWidth="1"/>
    <col min="4106" max="4106" width="8.7109375" style="1665" customWidth="1"/>
    <col min="4107" max="4108" width="18.7109375" style="1665" customWidth="1"/>
    <col min="4109" max="4109" width="15.7109375" style="1665" customWidth="1"/>
    <col min="4110" max="4352" width="9.140625" style="1665"/>
    <col min="4353" max="4356" width="0.140625" style="1665" customWidth="1"/>
    <col min="4357" max="4357" width="35.7109375" style="1665" customWidth="1"/>
    <col min="4358" max="4358" width="8.7109375" style="1665" customWidth="1"/>
    <col min="4359" max="4360" width="18.7109375" style="1665" customWidth="1"/>
    <col min="4361" max="4361" width="35.7109375" style="1665" customWidth="1"/>
    <col min="4362" max="4362" width="8.7109375" style="1665" customWidth="1"/>
    <col min="4363" max="4364" width="18.7109375" style="1665" customWidth="1"/>
    <col min="4365" max="4365" width="15.7109375" style="1665" customWidth="1"/>
    <col min="4366" max="4608" width="9.140625" style="1665"/>
    <col min="4609" max="4612" width="0.140625" style="1665" customWidth="1"/>
    <col min="4613" max="4613" width="35.7109375" style="1665" customWidth="1"/>
    <col min="4614" max="4614" width="8.7109375" style="1665" customWidth="1"/>
    <col min="4615" max="4616" width="18.7109375" style="1665" customWidth="1"/>
    <col min="4617" max="4617" width="35.7109375" style="1665" customWidth="1"/>
    <col min="4618" max="4618" width="8.7109375" style="1665" customWidth="1"/>
    <col min="4619" max="4620" width="18.7109375" style="1665" customWidth="1"/>
    <col min="4621" max="4621" width="15.7109375" style="1665" customWidth="1"/>
    <col min="4622" max="4864" width="9.140625" style="1665"/>
    <col min="4865" max="4868" width="0.140625" style="1665" customWidth="1"/>
    <col min="4869" max="4869" width="35.7109375" style="1665" customWidth="1"/>
    <col min="4870" max="4870" width="8.7109375" style="1665" customWidth="1"/>
    <col min="4871" max="4872" width="18.7109375" style="1665" customWidth="1"/>
    <col min="4873" max="4873" width="35.7109375" style="1665" customWidth="1"/>
    <col min="4874" max="4874" width="8.7109375" style="1665" customWidth="1"/>
    <col min="4875" max="4876" width="18.7109375" style="1665" customWidth="1"/>
    <col min="4877" max="4877" width="15.7109375" style="1665" customWidth="1"/>
    <col min="4878" max="5120" width="9.140625" style="1665"/>
    <col min="5121" max="5124" width="0.140625" style="1665" customWidth="1"/>
    <col min="5125" max="5125" width="35.7109375" style="1665" customWidth="1"/>
    <col min="5126" max="5126" width="8.7109375" style="1665" customWidth="1"/>
    <col min="5127" max="5128" width="18.7109375" style="1665" customWidth="1"/>
    <col min="5129" max="5129" width="35.7109375" style="1665" customWidth="1"/>
    <col min="5130" max="5130" width="8.7109375" style="1665" customWidth="1"/>
    <col min="5131" max="5132" width="18.7109375" style="1665" customWidth="1"/>
    <col min="5133" max="5133" width="15.7109375" style="1665" customWidth="1"/>
    <col min="5134" max="5376" width="9.140625" style="1665"/>
    <col min="5377" max="5380" width="0.140625" style="1665" customWidth="1"/>
    <col min="5381" max="5381" width="35.7109375" style="1665" customWidth="1"/>
    <col min="5382" max="5382" width="8.7109375" style="1665" customWidth="1"/>
    <col min="5383" max="5384" width="18.7109375" style="1665" customWidth="1"/>
    <col min="5385" max="5385" width="35.7109375" style="1665" customWidth="1"/>
    <col min="5386" max="5386" width="8.7109375" style="1665" customWidth="1"/>
    <col min="5387" max="5388" width="18.7109375" style="1665" customWidth="1"/>
    <col min="5389" max="5389" width="15.7109375" style="1665" customWidth="1"/>
    <col min="5390" max="5632" width="9.140625" style="1665"/>
    <col min="5633" max="5636" width="0.140625" style="1665" customWidth="1"/>
    <col min="5637" max="5637" width="35.7109375" style="1665" customWidth="1"/>
    <col min="5638" max="5638" width="8.7109375" style="1665" customWidth="1"/>
    <col min="5639" max="5640" width="18.7109375" style="1665" customWidth="1"/>
    <col min="5641" max="5641" width="35.7109375" style="1665" customWidth="1"/>
    <col min="5642" max="5642" width="8.7109375" style="1665" customWidth="1"/>
    <col min="5643" max="5644" width="18.7109375" style="1665" customWidth="1"/>
    <col min="5645" max="5645" width="15.7109375" style="1665" customWidth="1"/>
    <col min="5646" max="5888" width="9.140625" style="1665"/>
    <col min="5889" max="5892" width="0.140625" style="1665" customWidth="1"/>
    <col min="5893" max="5893" width="35.7109375" style="1665" customWidth="1"/>
    <col min="5894" max="5894" width="8.7109375" style="1665" customWidth="1"/>
    <col min="5895" max="5896" width="18.7109375" style="1665" customWidth="1"/>
    <col min="5897" max="5897" width="35.7109375" style="1665" customWidth="1"/>
    <col min="5898" max="5898" width="8.7109375" style="1665" customWidth="1"/>
    <col min="5899" max="5900" width="18.7109375" style="1665" customWidth="1"/>
    <col min="5901" max="5901" width="15.7109375" style="1665" customWidth="1"/>
    <col min="5902" max="6144" width="9.140625" style="1665"/>
    <col min="6145" max="6148" width="0.140625" style="1665" customWidth="1"/>
    <col min="6149" max="6149" width="35.7109375" style="1665" customWidth="1"/>
    <col min="6150" max="6150" width="8.7109375" style="1665" customWidth="1"/>
    <col min="6151" max="6152" width="18.7109375" style="1665" customWidth="1"/>
    <col min="6153" max="6153" width="35.7109375" style="1665" customWidth="1"/>
    <col min="6154" max="6154" width="8.7109375" style="1665" customWidth="1"/>
    <col min="6155" max="6156" width="18.7109375" style="1665" customWidth="1"/>
    <col min="6157" max="6157" width="15.7109375" style="1665" customWidth="1"/>
    <col min="6158" max="6400" width="9.140625" style="1665"/>
    <col min="6401" max="6404" width="0.140625" style="1665" customWidth="1"/>
    <col min="6405" max="6405" width="35.7109375" style="1665" customWidth="1"/>
    <col min="6406" max="6406" width="8.7109375" style="1665" customWidth="1"/>
    <col min="6407" max="6408" width="18.7109375" style="1665" customWidth="1"/>
    <col min="6409" max="6409" width="35.7109375" style="1665" customWidth="1"/>
    <col min="6410" max="6410" width="8.7109375" style="1665" customWidth="1"/>
    <col min="6411" max="6412" width="18.7109375" style="1665" customWidth="1"/>
    <col min="6413" max="6413" width="15.7109375" style="1665" customWidth="1"/>
    <col min="6414" max="6656" width="9.140625" style="1665"/>
    <col min="6657" max="6660" width="0.140625" style="1665" customWidth="1"/>
    <col min="6661" max="6661" width="35.7109375" style="1665" customWidth="1"/>
    <col min="6662" max="6662" width="8.7109375" style="1665" customWidth="1"/>
    <col min="6663" max="6664" width="18.7109375" style="1665" customWidth="1"/>
    <col min="6665" max="6665" width="35.7109375" style="1665" customWidth="1"/>
    <col min="6666" max="6666" width="8.7109375" style="1665" customWidth="1"/>
    <col min="6667" max="6668" width="18.7109375" style="1665" customWidth="1"/>
    <col min="6669" max="6669" width="15.7109375" style="1665" customWidth="1"/>
    <col min="6670" max="6912" width="9.140625" style="1665"/>
    <col min="6913" max="6916" width="0.140625" style="1665" customWidth="1"/>
    <col min="6917" max="6917" width="35.7109375" style="1665" customWidth="1"/>
    <col min="6918" max="6918" width="8.7109375" style="1665" customWidth="1"/>
    <col min="6919" max="6920" width="18.7109375" style="1665" customWidth="1"/>
    <col min="6921" max="6921" width="35.7109375" style="1665" customWidth="1"/>
    <col min="6922" max="6922" width="8.7109375" style="1665" customWidth="1"/>
    <col min="6923" max="6924" width="18.7109375" style="1665" customWidth="1"/>
    <col min="6925" max="6925" width="15.7109375" style="1665" customWidth="1"/>
    <col min="6926" max="7168" width="9.140625" style="1665"/>
    <col min="7169" max="7172" width="0.140625" style="1665" customWidth="1"/>
    <col min="7173" max="7173" width="35.7109375" style="1665" customWidth="1"/>
    <col min="7174" max="7174" width="8.7109375" style="1665" customWidth="1"/>
    <col min="7175" max="7176" width="18.7109375" style="1665" customWidth="1"/>
    <col min="7177" max="7177" width="35.7109375" style="1665" customWidth="1"/>
    <col min="7178" max="7178" width="8.7109375" style="1665" customWidth="1"/>
    <col min="7179" max="7180" width="18.7109375" style="1665" customWidth="1"/>
    <col min="7181" max="7181" width="15.7109375" style="1665" customWidth="1"/>
    <col min="7182" max="7424" width="9.140625" style="1665"/>
    <col min="7425" max="7428" width="0.140625" style="1665" customWidth="1"/>
    <col min="7429" max="7429" width="35.7109375" style="1665" customWidth="1"/>
    <col min="7430" max="7430" width="8.7109375" style="1665" customWidth="1"/>
    <col min="7431" max="7432" width="18.7109375" style="1665" customWidth="1"/>
    <col min="7433" max="7433" width="35.7109375" style="1665" customWidth="1"/>
    <col min="7434" max="7434" width="8.7109375" style="1665" customWidth="1"/>
    <col min="7435" max="7436" width="18.7109375" style="1665" customWidth="1"/>
    <col min="7437" max="7437" width="15.7109375" style="1665" customWidth="1"/>
    <col min="7438" max="7680" width="9.140625" style="1665"/>
    <col min="7681" max="7684" width="0.140625" style="1665" customWidth="1"/>
    <col min="7685" max="7685" width="35.7109375" style="1665" customWidth="1"/>
    <col min="7686" max="7686" width="8.7109375" style="1665" customWidth="1"/>
    <col min="7687" max="7688" width="18.7109375" style="1665" customWidth="1"/>
    <col min="7689" max="7689" width="35.7109375" style="1665" customWidth="1"/>
    <col min="7690" max="7690" width="8.7109375" style="1665" customWidth="1"/>
    <col min="7691" max="7692" width="18.7109375" style="1665" customWidth="1"/>
    <col min="7693" max="7693" width="15.7109375" style="1665" customWidth="1"/>
    <col min="7694" max="7936" width="9.140625" style="1665"/>
    <col min="7937" max="7940" width="0.140625" style="1665" customWidth="1"/>
    <col min="7941" max="7941" width="35.7109375" style="1665" customWidth="1"/>
    <col min="7942" max="7942" width="8.7109375" style="1665" customWidth="1"/>
    <col min="7943" max="7944" width="18.7109375" style="1665" customWidth="1"/>
    <col min="7945" max="7945" width="35.7109375" style="1665" customWidth="1"/>
    <col min="7946" max="7946" width="8.7109375" style="1665" customWidth="1"/>
    <col min="7947" max="7948" width="18.7109375" style="1665" customWidth="1"/>
    <col min="7949" max="7949" width="15.7109375" style="1665" customWidth="1"/>
    <col min="7950" max="8192" width="9.140625" style="1665"/>
    <col min="8193" max="8196" width="0.140625" style="1665" customWidth="1"/>
    <col min="8197" max="8197" width="35.7109375" style="1665" customWidth="1"/>
    <col min="8198" max="8198" width="8.7109375" style="1665" customWidth="1"/>
    <col min="8199" max="8200" width="18.7109375" style="1665" customWidth="1"/>
    <col min="8201" max="8201" width="35.7109375" style="1665" customWidth="1"/>
    <col min="8202" max="8202" width="8.7109375" style="1665" customWidth="1"/>
    <col min="8203" max="8204" width="18.7109375" style="1665" customWidth="1"/>
    <col min="8205" max="8205" width="15.7109375" style="1665" customWidth="1"/>
    <col min="8206" max="8448" width="9.140625" style="1665"/>
    <col min="8449" max="8452" width="0.140625" style="1665" customWidth="1"/>
    <col min="8453" max="8453" width="35.7109375" style="1665" customWidth="1"/>
    <col min="8454" max="8454" width="8.7109375" style="1665" customWidth="1"/>
    <col min="8455" max="8456" width="18.7109375" style="1665" customWidth="1"/>
    <col min="8457" max="8457" width="35.7109375" style="1665" customWidth="1"/>
    <col min="8458" max="8458" width="8.7109375" style="1665" customWidth="1"/>
    <col min="8459" max="8460" width="18.7109375" style="1665" customWidth="1"/>
    <col min="8461" max="8461" width="15.7109375" style="1665" customWidth="1"/>
    <col min="8462" max="8704" width="9.140625" style="1665"/>
    <col min="8705" max="8708" width="0.140625" style="1665" customWidth="1"/>
    <col min="8709" max="8709" width="35.7109375" style="1665" customWidth="1"/>
    <col min="8710" max="8710" width="8.7109375" style="1665" customWidth="1"/>
    <col min="8711" max="8712" width="18.7109375" style="1665" customWidth="1"/>
    <col min="8713" max="8713" width="35.7109375" style="1665" customWidth="1"/>
    <col min="8714" max="8714" width="8.7109375" style="1665" customWidth="1"/>
    <col min="8715" max="8716" width="18.7109375" style="1665" customWidth="1"/>
    <col min="8717" max="8717" width="15.7109375" style="1665" customWidth="1"/>
    <col min="8718" max="8960" width="9.140625" style="1665"/>
    <col min="8961" max="8964" width="0.140625" style="1665" customWidth="1"/>
    <col min="8965" max="8965" width="35.7109375" style="1665" customWidth="1"/>
    <col min="8966" max="8966" width="8.7109375" style="1665" customWidth="1"/>
    <col min="8967" max="8968" width="18.7109375" style="1665" customWidth="1"/>
    <col min="8969" max="8969" width="35.7109375" style="1665" customWidth="1"/>
    <col min="8970" max="8970" width="8.7109375" style="1665" customWidth="1"/>
    <col min="8971" max="8972" width="18.7109375" style="1665" customWidth="1"/>
    <col min="8973" max="8973" width="15.7109375" style="1665" customWidth="1"/>
    <col min="8974" max="9216" width="9.140625" style="1665"/>
    <col min="9217" max="9220" width="0.140625" style="1665" customWidth="1"/>
    <col min="9221" max="9221" width="35.7109375" style="1665" customWidth="1"/>
    <col min="9222" max="9222" width="8.7109375" style="1665" customWidth="1"/>
    <col min="9223" max="9224" width="18.7109375" style="1665" customWidth="1"/>
    <col min="9225" max="9225" width="35.7109375" style="1665" customWidth="1"/>
    <col min="9226" max="9226" width="8.7109375" style="1665" customWidth="1"/>
    <col min="9227" max="9228" width="18.7109375" style="1665" customWidth="1"/>
    <col min="9229" max="9229" width="15.7109375" style="1665" customWidth="1"/>
    <col min="9230" max="9472" width="9.140625" style="1665"/>
    <col min="9473" max="9476" width="0.140625" style="1665" customWidth="1"/>
    <col min="9477" max="9477" width="35.7109375" style="1665" customWidth="1"/>
    <col min="9478" max="9478" width="8.7109375" style="1665" customWidth="1"/>
    <col min="9479" max="9480" width="18.7109375" style="1665" customWidth="1"/>
    <col min="9481" max="9481" width="35.7109375" style="1665" customWidth="1"/>
    <col min="9482" max="9482" width="8.7109375" style="1665" customWidth="1"/>
    <col min="9483" max="9484" width="18.7109375" style="1665" customWidth="1"/>
    <col min="9485" max="9485" width="15.7109375" style="1665" customWidth="1"/>
    <col min="9486" max="9728" width="9.140625" style="1665"/>
    <col min="9729" max="9732" width="0.140625" style="1665" customWidth="1"/>
    <col min="9733" max="9733" width="35.7109375" style="1665" customWidth="1"/>
    <col min="9734" max="9734" width="8.7109375" style="1665" customWidth="1"/>
    <col min="9735" max="9736" width="18.7109375" style="1665" customWidth="1"/>
    <col min="9737" max="9737" width="35.7109375" style="1665" customWidth="1"/>
    <col min="9738" max="9738" width="8.7109375" style="1665" customWidth="1"/>
    <col min="9739" max="9740" width="18.7109375" style="1665" customWidth="1"/>
    <col min="9741" max="9741" width="15.7109375" style="1665" customWidth="1"/>
    <col min="9742" max="9984" width="9.140625" style="1665"/>
    <col min="9985" max="9988" width="0.140625" style="1665" customWidth="1"/>
    <col min="9989" max="9989" width="35.7109375" style="1665" customWidth="1"/>
    <col min="9990" max="9990" width="8.7109375" style="1665" customWidth="1"/>
    <col min="9991" max="9992" width="18.7109375" style="1665" customWidth="1"/>
    <col min="9993" max="9993" width="35.7109375" style="1665" customWidth="1"/>
    <col min="9994" max="9994" width="8.7109375" style="1665" customWidth="1"/>
    <col min="9995" max="9996" width="18.7109375" style="1665" customWidth="1"/>
    <col min="9997" max="9997" width="15.7109375" style="1665" customWidth="1"/>
    <col min="9998" max="10240" width="9.140625" style="1665"/>
    <col min="10241" max="10244" width="0.140625" style="1665" customWidth="1"/>
    <col min="10245" max="10245" width="35.7109375" style="1665" customWidth="1"/>
    <col min="10246" max="10246" width="8.7109375" style="1665" customWidth="1"/>
    <col min="10247" max="10248" width="18.7109375" style="1665" customWidth="1"/>
    <col min="10249" max="10249" width="35.7109375" style="1665" customWidth="1"/>
    <col min="10250" max="10250" width="8.7109375" style="1665" customWidth="1"/>
    <col min="10251" max="10252" width="18.7109375" style="1665" customWidth="1"/>
    <col min="10253" max="10253" width="15.7109375" style="1665" customWidth="1"/>
    <col min="10254" max="10496" width="9.140625" style="1665"/>
    <col min="10497" max="10500" width="0.140625" style="1665" customWidth="1"/>
    <col min="10501" max="10501" width="35.7109375" style="1665" customWidth="1"/>
    <col min="10502" max="10502" width="8.7109375" style="1665" customWidth="1"/>
    <col min="10503" max="10504" width="18.7109375" style="1665" customWidth="1"/>
    <col min="10505" max="10505" width="35.7109375" style="1665" customWidth="1"/>
    <col min="10506" max="10506" width="8.7109375" style="1665" customWidth="1"/>
    <col min="10507" max="10508" width="18.7109375" style="1665" customWidth="1"/>
    <col min="10509" max="10509" width="15.7109375" style="1665" customWidth="1"/>
    <col min="10510" max="10752" width="9.140625" style="1665"/>
    <col min="10753" max="10756" width="0.140625" style="1665" customWidth="1"/>
    <col min="10757" max="10757" width="35.7109375" style="1665" customWidth="1"/>
    <col min="10758" max="10758" width="8.7109375" style="1665" customWidth="1"/>
    <col min="10759" max="10760" width="18.7109375" style="1665" customWidth="1"/>
    <col min="10761" max="10761" width="35.7109375" style="1665" customWidth="1"/>
    <col min="10762" max="10762" width="8.7109375" style="1665" customWidth="1"/>
    <col min="10763" max="10764" width="18.7109375" style="1665" customWidth="1"/>
    <col min="10765" max="10765" width="15.7109375" style="1665" customWidth="1"/>
    <col min="10766" max="11008" width="9.140625" style="1665"/>
    <col min="11009" max="11012" width="0.140625" style="1665" customWidth="1"/>
    <col min="11013" max="11013" width="35.7109375" style="1665" customWidth="1"/>
    <col min="11014" max="11014" width="8.7109375" style="1665" customWidth="1"/>
    <col min="11015" max="11016" width="18.7109375" style="1665" customWidth="1"/>
    <col min="11017" max="11017" width="35.7109375" style="1665" customWidth="1"/>
    <col min="11018" max="11018" width="8.7109375" style="1665" customWidth="1"/>
    <col min="11019" max="11020" width="18.7109375" style="1665" customWidth="1"/>
    <col min="11021" max="11021" width="15.7109375" style="1665" customWidth="1"/>
    <col min="11022" max="11264" width="9.140625" style="1665"/>
    <col min="11265" max="11268" width="0.140625" style="1665" customWidth="1"/>
    <col min="11269" max="11269" width="35.7109375" style="1665" customWidth="1"/>
    <col min="11270" max="11270" width="8.7109375" style="1665" customWidth="1"/>
    <col min="11271" max="11272" width="18.7109375" style="1665" customWidth="1"/>
    <col min="11273" max="11273" width="35.7109375" style="1665" customWidth="1"/>
    <col min="11274" max="11274" width="8.7109375" style="1665" customWidth="1"/>
    <col min="11275" max="11276" width="18.7109375" style="1665" customWidth="1"/>
    <col min="11277" max="11277" width="15.7109375" style="1665" customWidth="1"/>
    <col min="11278" max="11520" width="9.140625" style="1665"/>
    <col min="11521" max="11524" width="0.140625" style="1665" customWidth="1"/>
    <col min="11525" max="11525" width="35.7109375" style="1665" customWidth="1"/>
    <col min="11526" max="11526" width="8.7109375" style="1665" customWidth="1"/>
    <col min="11527" max="11528" width="18.7109375" style="1665" customWidth="1"/>
    <col min="11529" max="11529" width="35.7109375" style="1665" customWidth="1"/>
    <col min="11530" max="11530" width="8.7109375" style="1665" customWidth="1"/>
    <col min="11531" max="11532" width="18.7109375" style="1665" customWidth="1"/>
    <col min="11533" max="11533" width="15.7109375" style="1665" customWidth="1"/>
    <col min="11534" max="11776" width="9.140625" style="1665"/>
    <col min="11777" max="11780" width="0.140625" style="1665" customWidth="1"/>
    <col min="11781" max="11781" width="35.7109375" style="1665" customWidth="1"/>
    <col min="11782" max="11782" width="8.7109375" style="1665" customWidth="1"/>
    <col min="11783" max="11784" width="18.7109375" style="1665" customWidth="1"/>
    <col min="11785" max="11785" width="35.7109375" style="1665" customWidth="1"/>
    <col min="11786" max="11786" width="8.7109375" style="1665" customWidth="1"/>
    <col min="11787" max="11788" width="18.7109375" style="1665" customWidth="1"/>
    <col min="11789" max="11789" width="15.7109375" style="1665" customWidth="1"/>
    <col min="11790" max="12032" width="9.140625" style="1665"/>
    <col min="12033" max="12036" width="0.140625" style="1665" customWidth="1"/>
    <col min="12037" max="12037" width="35.7109375" style="1665" customWidth="1"/>
    <col min="12038" max="12038" width="8.7109375" style="1665" customWidth="1"/>
    <col min="12039" max="12040" width="18.7109375" style="1665" customWidth="1"/>
    <col min="12041" max="12041" width="35.7109375" style="1665" customWidth="1"/>
    <col min="12042" max="12042" width="8.7109375" style="1665" customWidth="1"/>
    <col min="12043" max="12044" width="18.7109375" style="1665" customWidth="1"/>
    <col min="12045" max="12045" width="15.7109375" style="1665" customWidth="1"/>
    <col min="12046" max="12288" width="9.140625" style="1665"/>
    <col min="12289" max="12292" width="0.140625" style="1665" customWidth="1"/>
    <col min="12293" max="12293" width="35.7109375" style="1665" customWidth="1"/>
    <col min="12294" max="12294" width="8.7109375" style="1665" customWidth="1"/>
    <col min="12295" max="12296" width="18.7109375" style="1665" customWidth="1"/>
    <col min="12297" max="12297" width="35.7109375" style="1665" customWidth="1"/>
    <col min="12298" max="12298" width="8.7109375" style="1665" customWidth="1"/>
    <col min="12299" max="12300" width="18.7109375" style="1665" customWidth="1"/>
    <col min="12301" max="12301" width="15.7109375" style="1665" customWidth="1"/>
    <col min="12302" max="12544" width="9.140625" style="1665"/>
    <col min="12545" max="12548" width="0.140625" style="1665" customWidth="1"/>
    <col min="12549" max="12549" width="35.7109375" style="1665" customWidth="1"/>
    <col min="12550" max="12550" width="8.7109375" style="1665" customWidth="1"/>
    <col min="12551" max="12552" width="18.7109375" style="1665" customWidth="1"/>
    <col min="12553" max="12553" width="35.7109375" style="1665" customWidth="1"/>
    <col min="12554" max="12554" width="8.7109375" style="1665" customWidth="1"/>
    <col min="12555" max="12556" width="18.7109375" style="1665" customWidth="1"/>
    <col min="12557" max="12557" width="15.7109375" style="1665" customWidth="1"/>
    <col min="12558" max="12800" width="9.140625" style="1665"/>
    <col min="12801" max="12804" width="0.140625" style="1665" customWidth="1"/>
    <col min="12805" max="12805" width="35.7109375" style="1665" customWidth="1"/>
    <col min="12806" max="12806" width="8.7109375" style="1665" customWidth="1"/>
    <col min="12807" max="12808" width="18.7109375" style="1665" customWidth="1"/>
    <col min="12809" max="12809" width="35.7109375" style="1665" customWidth="1"/>
    <col min="12810" max="12810" width="8.7109375" style="1665" customWidth="1"/>
    <col min="12811" max="12812" width="18.7109375" style="1665" customWidth="1"/>
    <col min="12813" max="12813" width="15.7109375" style="1665" customWidth="1"/>
    <col min="12814" max="13056" width="9.140625" style="1665"/>
    <col min="13057" max="13060" width="0.140625" style="1665" customWidth="1"/>
    <col min="13061" max="13061" width="35.7109375" style="1665" customWidth="1"/>
    <col min="13062" max="13062" width="8.7109375" style="1665" customWidth="1"/>
    <col min="13063" max="13064" width="18.7109375" style="1665" customWidth="1"/>
    <col min="13065" max="13065" width="35.7109375" style="1665" customWidth="1"/>
    <col min="13066" max="13066" width="8.7109375" style="1665" customWidth="1"/>
    <col min="13067" max="13068" width="18.7109375" style="1665" customWidth="1"/>
    <col min="13069" max="13069" width="15.7109375" style="1665" customWidth="1"/>
    <col min="13070" max="13312" width="9.140625" style="1665"/>
    <col min="13313" max="13316" width="0.140625" style="1665" customWidth="1"/>
    <col min="13317" max="13317" width="35.7109375" style="1665" customWidth="1"/>
    <col min="13318" max="13318" width="8.7109375" style="1665" customWidth="1"/>
    <col min="13319" max="13320" width="18.7109375" style="1665" customWidth="1"/>
    <col min="13321" max="13321" width="35.7109375" style="1665" customWidth="1"/>
    <col min="13322" max="13322" width="8.7109375" style="1665" customWidth="1"/>
    <col min="13323" max="13324" width="18.7109375" style="1665" customWidth="1"/>
    <col min="13325" max="13325" width="15.7109375" style="1665" customWidth="1"/>
    <col min="13326" max="13568" width="9.140625" style="1665"/>
    <col min="13569" max="13572" width="0.140625" style="1665" customWidth="1"/>
    <col min="13573" max="13573" width="35.7109375" style="1665" customWidth="1"/>
    <col min="13574" max="13574" width="8.7109375" style="1665" customWidth="1"/>
    <col min="13575" max="13576" width="18.7109375" style="1665" customWidth="1"/>
    <col min="13577" max="13577" width="35.7109375" style="1665" customWidth="1"/>
    <col min="13578" max="13578" width="8.7109375" style="1665" customWidth="1"/>
    <col min="13579" max="13580" width="18.7109375" style="1665" customWidth="1"/>
    <col min="13581" max="13581" width="15.7109375" style="1665" customWidth="1"/>
    <col min="13582" max="13824" width="9.140625" style="1665"/>
    <col min="13825" max="13828" width="0.140625" style="1665" customWidth="1"/>
    <col min="13829" max="13829" width="35.7109375" style="1665" customWidth="1"/>
    <col min="13830" max="13830" width="8.7109375" style="1665" customWidth="1"/>
    <col min="13831" max="13832" width="18.7109375" style="1665" customWidth="1"/>
    <col min="13833" max="13833" width="35.7109375" style="1665" customWidth="1"/>
    <col min="13834" max="13834" width="8.7109375" style="1665" customWidth="1"/>
    <col min="13835" max="13836" width="18.7109375" style="1665" customWidth="1"/>
    <col min="13837" max="13837" width="15.7109375" style="1665" customWidth="1"/>
    <col min="13838" max="14080" width="9.140625" style="1665"/>
    <col min="14081" max="14084" width="0.140625" style="1665" customWidth="1"/>
    <col min="14085" max="14085" width="35.7109375" style="1665" customWidth="1"/>
    <col min="14086" max="14086" width="8.7109375" style="1665" customWidth="1"/>
    <col min="14087" max="14088" width="18.7109375" style="1665" customWidth="1"/>
    <col min="14089" max="14089" width="35.7109375" style="1665" customWidth="1"/>
    <col min="14090" max="14090" width="8.7109375" style="1665" customWidth="1"/>
    <col min="14091" max="14092" width="18.7109375" style="1665" customWidth="1"/>
    <col min="14093" max="14093" width="15.7109375" style="1665" customWidth="1"/>
    <col min="14094" max="14336" width="9.140625" style="1665"/>
    <col min="14337" max="14340" width="0.140625" style="1665" customWidth="1"/>
    <col min="14341" max="14341" width="35.7109375" style="1665" customWidth="1"/>
    <col min="14342" max="14342" width="8.7109375" style="1665" customWidth="1"/>
    <col min="14343" max="14344" width="18.7109375" style="1665" customWidth="1"/>
    <col min="14345" max="14345" width="35.7109375" style="1665" customWidth="1"/>
    <col min="14346" max="14346" width="8.7109375" style="1665" customWidth="1"/>
    <col min="14347" max="14348" width="18.7109375" style="1665" customWidth="1"/>
    <col min="14349" max="14349" width="15.7109375" style="1665" customWidth="1"/>
    <col min="14350" max="14592" width="9.140625" style="1665"/>
    <col min="14593" max="14596" width="0.140625" style="1665" customWidth="1"/>
    <col min="14597" max="14597" width="35.7109375" style="1665" customWidth="1"/>
    <col min="14598" max="14598" width="8.7109375" style="1665" customWidth="1"/>
    <col min="14599" max="14600" width="18.7109375" style="1665" customWidth="1"/>
    <col min="14601" max="14601" width="35.7109375" style="1665" customWidth="1"/>
    <col min="14602" max="14602" width="8.7109375" style="1665" customWidth="1"/>
    <col min="14603" max="14604" width="18.7109375" style="1665" customWidth="1"/>
    <col min="14605" max="14605" width="15.7109375" style="1665" customWidth="1"/>
    <col min="14606" max="14848" width="9.140625" style="1665"/>
    <col min="14849" max="14852" width="0.140625" style="1665" customWidth="1"/>
    <col min="14853" max="14853" width="35.7109375" style="1665" customWidth="1"/>
    <col min="14854" max="14854" width="8.7109375" style="1665" customWidth="1"/>
    <col min="14855" max="14856" width="18.7109375" style="1665" customWidth="1"/>
    <col min="14857" max="14857" width="35.7109375" style="1665" customWidth="1"/>
    <col min="14858" max="14858" width="8.7109375" style="1665" customWidth="1"/>
    <col min="14859" max="14860" width="18.7109375" style="1665" customWidth="1"/>
    <col min="14861" max="14861" width="15.7109375" style="1665" customWidth="1"/>
    <col min="14862" max="15104" width="9.140625" style="1665"/>
    <col min="15105" max="15108" width="0.140625" style="1665" customWidth="1"/>
    <col min="15109" max="15109" width="35.7109375" style="1665" customWidth="1"/>
    <col min="15110" max="15110" width="8.7109375" style="1665" customWidth="1"/>
    <col min="15111" max="15112" width="18.7109375" style="1665" customWidth="1"/>
    <col min="15113" max="15113" width="35.7109375" style="1665" customWidth="1"/>
    <col min="15114" max="15114" width="8.7109375" style="1665" customWidth="1"/>
    <col min="15115" max="15116" width="18.7109375" style="1665" customWidth="1"/>
    <col min="15117" max="15117" width="15.7109375" style="1665" customWidth="1"/>
    <col min="15118" max="15360" width="9.140625" style="1665"/>
    <col min="15361" max="15364" width="0.140625" style="1665" customWidth="1"/>
    <col min="15365" max="15365" width="35.7109375" style="1665" customWidth="1"/>
    <col min="15366" max="15366" width="8.7109375" style="1665" customWidth="1"/>
    <col min="15367" max="15368" width="18.7109375" style="1665" customWidth="1"/>
    <col min="15369" max="15369" width="35.7109375" style="1665" customWidth="1"/>
    <col min="15370" max="15370" width="8.7109375" style="1665" customWidth="1"/>
    <col min="15371" max="15372" width="18.7109375" style="1665" customWidth="1"/>
    <col min="15373" max="15373" width="15.7109375" style="1665" customWidth="1"/>
    <col min="15374" max="15616" width="9.140625" style="1665"/>
    <col min="15617" max="15620" width="0.140625" style="1665" customWidth="1"/>
    <col min="15621" max="15621" width="35.7109375" style="1665" customWidth="1"/>
    <col min="15622" max="15622" width="8.7109375" style="1665" customWidth="1"/>
    <col min="15623" max="15624" width="18.7109375" style="1665" customWidth="1"/>
    <col min="15625" max="15625" width="35.7109375" style="1665" customWidth="1"/>
    <col min="15626" max="15626" width="8.7109375" style="1665" customWidth="1"/>
    <col min="15627" max="15628" width="18.7109375" style="1665" customWidth="1"/>
    <col min="15629" max="15629" width="15.7109375" style="1665" customWidth="1"/>
    <col min="15630" max="15872" width="9.140625" style="1665"/>
    <col min="15873" max="15876" width="0.140625" style="1665" customWidth="1"/>
    <col min="15877" max="15877" width="35.7109375" style="1665" customWidth="1"/>
    <col min="15878" max="15878" width="8.7109375" style="1665" customWidth="1"/>
    <col min="15879" max="15880" width="18.7109375" style="1665" customWidth="1"/>
    <col min="15881" max="15881" width="35.7109375" style="1665" customWidth="1"/>
    <col min="15882" max="15882" width="8.7109375" style="1665" customWidth="1"/>
    <col min="15883" max="15884" width="18.7109375" style="1665" customWidth="1"/>
    <col min="15885" max="15885" width="15.7109375" style="1665" customWidth="1"/>
    <col min="15886" max="16128" width="9.140625" style="1665"/>
    <col min="16129" max="16132" width="0.140625" style="1665" customWidth="1"/>
    <col min="16133" max="16133" width="35.7109375" style="1665" customWidth="1"/>
    <col min="16134" max="16134" width="8.7109375" style="1665" customWidth="1"/>
    <col min="16135" max="16136" width="18.7109375" style="1665" customWidth="1"/>
    <col min="16137" max="16137" width="35.7109375" style="1665" customWidth="1"/>
    <col min="16138" max="16138" width="8.7109375" style="1665" customWidth="1"/>
    <col min="16139" max="16140" width="18.7109375" style="1665" customWidth="1"/>
    <col min="16141" max="16141" width="15.7109375" style="1665" customWidth="1"/>
    <col min="16142" max="16384" width="9.140625" style="1665"/>
  </cols>
  <sheetData>
    <row r="1" spans="1:16">
      <c r="A1" s="2840"/>
      <c r="B1" s="2840"/>
      <c r="C1" s="2840"/>
      <c r="D1" s="2840"/>
      <c r="E1" s="1662"/>
      <c r="F1" s="1662"/>
      <c r="G1" s="1662"/>
      <c r="H1" s="1662"/>
      <c r="I1" s="1663"/>
      <c r="J1" s="1662"/>
      <c r="K1" s="1662"/>
      <c r="L1" s="1662"/>
      <c r="M1" s="1664"/>
      <c r="N1" s="1664"/>
      <c r="O1" s="1664"/>
      <c r="P1" s="1664"/>
    </row>
    <row r="2" spans="1:16" ht="24.95" customHeight="1">
      <c r="A2" s="2840"/>
      <c r="B2" s="2840"/>
      <c r="C2" s="2840"/>
      <c r="D2" s="2840"/>
      <c r="E2" s="3559" t="s">
        <v>5807</v>
      </c>
      <c r="F2" s="3559"/>
      <c r="G2" s="3559"/>
      <c r="H2" s="3559"/>
      <c r="I2" s="3559"/>
      <c r="J2" s="3559"/>
      <c r="K2" s="3559"/>
      <c r="L2" s="3559"/>
      <c r="M2" s="1664"/>
      <c r="N2" s="1664"/>
      <c r="O2" s="1664"/>
      <c r="P2" s="1664"/>
    </row>
    <row r="3" spans="1:16" ht="27" customHeight="1">
      <c r="A3" s="2840"/>
      <c r="B3" s="2840"/>
      <c r="C3" s="2840"/>
      <c r="D3" s="2840"/>
      <c r="E3" s="3558" t="str">
        <f>TEXT(Lead!$F$5,"yyyy 年 mm 月 dd 日")</f>
        <v>2019 年 12 月 31 日</v>
      </c>
      <c r="F3" s="3558"/>
      <c r="G3" s="3558"/>
      <c r="H3" s="3558"/>
      <c r="I3" s="3558"/>
      <c r="J3" s="3558"/>
      <c r="K3" s="3558"/>
      <c r="L3" s="3558"/>
      <c r="M3" s="1664"/>
      <c r="N3" s="1664"/>
      <c r="O3" s="1664"/>
      <c r="P3" s="1664"/>
    </row>
    <row r="4" spans="1:16" ht="6" customHeight="1">
      <c r="A4" s="2840"/>
      <c r="B4" s="2840"/>
      <c r="C4" s="2840"/>
      <c r="D4" s="2840"/>
      <c r="E4" s="1666"/>
      <c r="F4" s="1666"/>
      <c r="G4" s="1666"/>
      <c r="H4" s="1666"/>
      <c r="I4" s="1666"/>
      <c r="J4" s="1666"/>
      <c r="K4" s="1666"/>
      <c r="L4" s="1667"/>
      <c r="M4" s="1664"/>
      <c r="N4" s="1664"/>
      <c r="O4" s="1664"/>
      <c r="P4" s="1664"/>
    </row>
    <row r="5" spans="1:16" ht="15.95" customHeight="1" thickBot="1">
      <c r="A5" s="2840"/>
      <c r="B5" s="2840"/>
      <c r="C5" s="2840"/>
      <c r="D5" s="2840"/>
      <c r="E5" s="2038" t="str">
        <f>Lead!$B$5&amp;"："&amp;Lead!$C$5</f>
        <v>编制单位：福建省力菲克药业有限公司</v>
      </c>
      <c r="F5" s="2039"/>
      <c r="G5" s="2039"/>
      <c r="H5" s="2039"/>
      <c r="I5" s="2039"/>
      <c r="J5" s="2039"/>
      <c r="K5" s="2039" t="s">
        <v>5750</v>
      </c>
      <c r="L5" s="2039" t="s">
        <v>5751</v>
      </c>
      <c r="M5" s="1664"/>
      <c r="N5" s="1664"/>
      <c r="O5" s="1664"/>
      <c r="P5" s="1664"/>
    </row>
    <row r="6" spans="1:16" ht="21" customHeight="1">
      <c r="A6" s="2870" t="s">
        <v>6635</v>
      </c>
      <c r="B6" s="2870" t="s">
        <v>2557</v>
      </c>
      <c r="C6" s="2870" t="s">
        <v>6636</v>
      </c>
      <c r="D6" s="2870" t="s">
        <v>2562</v>
      </c>
      <c r="E6" s="2120" t="s">
        <v>5134</v>
      </c>
      <c r="F6" s="2121" t="s">
        <v>5847</v>
      </c>
      <c r="G6" s="2121" t="str">
        <f>TEXT(Lead!$F$5,"yyyy年m月d日")</f>
        <v>2019年12月31日</v>
      </c>
      <c r="H6" s="2121" t="str">
        <f>TEXT(Lead!$F$6,"yyyy年m月d日")</f>
        <v>2018年12月31日</v>
      </c>
      <c r="I6" s="2122" t="s">
        <v>5134</v>
      </c>
      <c r="J6" s="2121" t="s">
        <v>5847</v>
      </c>
      <c r="K6" s="2121" t="str">
        <f>TEXT(Lead!$F$5,"yyyy年m月d日")</f>
        <v>2019年12月31日</v>
      </c>
      <c r="L6" s="2144" t="str">
        <f>TEXT(Lead!$F$6,"yyyy年m月d日")</f>
        <v>2018年12月31日</v>
      </c>
      <c r="M6" s="1668"/>
      <c r="N6" s="1664"/>
      <c r="O6" s="1664"/>
      <c r="P6" s="1664"/>
    </row>
    <row r="7" spans="1:16" ht="21" customHeight="1">
      <c r="A7" s="2842" t="str">
        <f t="shared" ref="A7:A59" si="0">IF($C7="","",VLOOKUP($C7,Sheet_Items,4,0))</f>
        <v>：</v>
      </c>
      <c r="B7" s="2842" t="str">
        <f t="shared" ref="B7:B59" si="1">IF($D7="","",VLOOKUP($D7,Sheet_Items,4,0))</f>
        <v>：</v>
      </c>
      <c r="C7" s="2871">
        <v>1000</v>
      </c>
      <c r="D7" s="2872">
        <v>2000</v>
      </c>
      <c r="E7" s="2123" t="str">
        <f t="shared" ref="E7:E30" si="2">IF($C7="","",VLOOKUP($C7,Sheet_Items,6,0))</f>
        <v>流动资产：</v>
      </c>
      <c r="F7" s="2124"/>
      <c r="G7" s="2125"/>
      <c r="H7" s="2126"/>
      <c r="I7" s="2127" t="str">
        <f t="shared" ref="I7:I45" si="3">IF($D7="","",VLOOKUP($D7,Sheet_Items,6,0))</f>
        <v>流动负债：</v>
      </c>
      <c r="J7" s="2124"/>
      <c r="K7" s="2125"/>
      <c r="L7" s="2128"/>
      <c r="M7" s="1668"/>
      <c r="N7" s="1664"/>
      <c r="O7" s="1664"/>
      <c r="P7" s="1664"/>
    </row>
    <row r="8" spans="1:16" ht="21" customHeight="1">
      <c r="A8" s="2842">
        <f t="shared" si="0"/>
        <v>0</v>
      </c>
      <c r="B8" s="2842">
        <f t="shared" si="1"/>
        <v>0</v>
      </c>
      <c r="C8" s="2873">
        <v>1015</v>
      </c>
      <c r="D8" s="2874">
        <v>2001</v>
      </c>
      <c r="E8" s="2129" t="str">
        <f t="shared" si="2"/>
        <v>货币资金</v>
      </c>
      <c r="F8" s="2124"/>
      <c r="G8" s="2125">
        <f t="shared" ref="G8:G30" si="4">IF($C8="","",VLOOKUP($C8,Sheet_Trialbal,6,0))</f>
        <v>479304.95</v>
      </c>
      <c r="H8" s="2126">
        <f t="shared" ref="H8:H30" si="5">IF($C8="","",VLOOKUP($C8,Sheet_Trialbal,10,0))</f>
        <v>252723.84</v>
      </c>
      <c r="I8" s="2130" t="str">
        <f t="shared" si="3"/>
        <v>短期借款</v>
      </c>
      <c r="J8" s="2124"/>
      <c r="K8" s="2125">
        <f t="shared" ref="K8:K30" si="6">IF($D8="","",VLOOKUP($D8,Sheet_Trialbal,6,0))</f>
        <v>2002968.82</v>
      </c>
      <c r="L8" s="2128">
        <f t="shared" ref="L8:L30" si="7">IF($D8="","",VLOOKUP($D8,Sheet_Trialbal,10,0))</f>
        <v>0</v>
      </c>
      <c r="M8" s="1668"/>
      <c r="N8" s="1664"/>
      <c r="O8" s="1664"/>
      <c r="P8" s="1664"/>
    </row>
    <row r="9" spans="1:16" ht="21" customHeight="1">
      <c r="A9" s="2842" t="str">
        <f t="shared" si="0"/>
        <v>△</v>
      </c>
      <c r="B9" s="2842" t="str">
        <f t="shared" si="1"/>
        <v>△</v>
      </c>
      <c r="C9" s="2873">
        <v>1021</v>
      </c>
      <c r="D9" s="2874">
        <v>2004</v>
      </c>
      <c r="E9" s="2129" t="str">
        <f t="shared" si="2"/>
        <v>结算备付金</v>
      </c>
      <c r="F9" s="2124"/>
      <c r="G9" s="2125">
        <f t="shared" si="4"/>
        <v>0</v>
      </c>
      <c r="H9" s="2126">
        <f t="shared" si="5"/>
        <v>0</v>
      </c>
      <c r="I9" s="2130" t="str">
        <f t="shared" si="3"/>
        <v>向中央银行借款</v>
      </c>
      <c r="J9" s="2124"/>
      <c r="K9" s="2125">
        <f t="shared" si="6"/>
        <v>0</v>
      </c>
      <c r="L9" s="2128">
        <f t="shared" si="7"/>
        <v>0</v>
      </c>
      <c r="M9" s="1668"/>
      <c r="N9" s="1664"/>
      <c r="O9" s="1664"/>
      <c r="P9" s="1664"/>
    </row>
    <row r="10" spans="1:16" ht="21" customHeight="1">
      <c r="A10" s="2842" t="str">
        <f t="shared" si="0"/>
        <v>△</v>
      </c>
      <c r="B10" s="2842" t="str">
        <f t="shared" si="1"/>
        <v>△</v>
      </c>
      <c r="C10" s="2873">
        <v>1302</v>
      </c>
      <c r="D10" s="2874">
        <v>2003</v>
      </c>
      <c r="E10" s="2129" t="str">
        <f t="shared" si="2"/>
        <v>拆出资金</v>
      </c>
      <c r="F10" s="2124"/>
      <c r="G10" s="2125">
        <f t="shared" si="4"/>
        <v>0</v>
      </c>
      <c r="H10" s="2126">
        <f t="shared" si="5"/>
        <v>0</v>
      </c>
      <c r="I10" s="2130" t="str">
        <f t="shared" si="3"/>
        <v>拆入资金</v>
      </c>
      <c r="J10" s="2124"/>
      <c r="K10" s="2125">
        <f t="shared" si="6"/>
        <v>0</v>
      </c>
      <c r="L10" s="2128">
        <f t="shared" si="7"/>
        <v>0</v>
      </c>
      <c r="M10" s="1668"/>
      <c r="N10" s="1664"/>
      <c r="O10" s="1664"/>
      <c r="P10" s="1664"/>
    </row>
    <row r="11" spans="1:16" ht="21" customHeight="1">
      <c r="A11" s="2842" t="str">
        <f t="shared" si="0"/>
        <v>_JR</v>
      </c>
      <c r="B11" s="2842" t="str">
        <f t="shared" si="1"/>
        <v>_JR</v>
      </c>
      <c r="C11" s="2873">
        <v>1102</v>
      </c>
      <c r="D11" s="2874">
        <v>2102</v>
      </c>
      <c r="E11" s="2129" t="str">
        <f t="shared" si="2"/>
        <v>交易性金融资产</v>
      </c>
      <c r="F11" s="2124"/>
      <c r="G11" s="2125">
        <f t="shared" si="4"/>
        <v>0</v>
      </c>
      <c r="H11" s="2126">
        <f t="shared" si="5"/>
        <v>0</v>
      </c>
      <c r="I11" s="2130" t="str">
        <f t="shared" si="3"/>
        <v>交易性金融负债</v>
      </c>
      <c r="J11" s="2124"/>
      <c r="K11" s="2125">
        <f t="shared" si="6"/>
        <v>0</v>
      </c>
      <c r="L11" s="2128">
        <f t="shared" si="7"/>
        <v>0</v>
      </c>
      <c r="M11" s="1668"/>
      <c r="N11" s="1664"/>
      <c r="O11" s="1664"/>
      <c r="P11" s="1664"/>
    </row>
    <row r="12" spans="1:16" s="850" customFormat="1" ht="27.75" customHeight="1">
      <c r="A12" s="2842" t="str">
        <f t="shared" si="0"/>
        <v>JRH</v>
      </c>
      <c r="B12" s="2842" t="str">
        <f t="shared" si="1"/>
        <v>JRH</v>
      </c>
      <c r="C12" s="2873">
        <v>1101</v>
      </c>
      <c r="D12" s="2874">
        <v>2101</v>
      </c>
      <c r="E12" s="2129" t="str">
        <f t="shared" si="2"/>
        <v>以公允价值计量且其变动计入当期损益的金融资产</v>
      </c>
      <c r="F12" s="2124"/>
      <c r="G12" s="2125">
        <f t="shared" si="4"/>
        <v>0</v>
      </c>
      <c r="H12" s="2126">
        <f t="shared" si="5"/>
        <v>0</v>
      </c>
      <c r="I12" s="2130" t="str">
        <f t="shared" si="3"/>
        <v>以公允价值计量且其变动计入当期损益的金融负债</v>
      </c>
      <c r="J12" s="2124"/>
      <c r="K12" s="2125">
        <f t="shared" si="6"/>
        <v>0</v>
      </c>
      <c r="L12" s="2128">
        <f t="shared" si="7"/>
        <v>0</v>
      </c>
      <c r="M12" s="852"/>
      <c r="N12" s="852"/>
      <c r="O12" s="852"/>
      <c r="P12" s="852"/>
    </row>
    <row r="13" spans="1:16" ht="21" customHeight="1">
      <c r="A13" s="2842" t="str">
        <f t="shared" si="0"/>
        <v>Ｘ</v>
      </c>
      <c r="B13" s="2842" t="str">
        <f t="shared" si="1"/>
        <v>Ｘ</v>
      </c>
      <c r="C13" s="2873">
        <v>1115</v>
      </c>
      <c r="D13" s="2874">
        <v>2115</v>
      </c>
      <c r="E13" s="2129" t="str">
        <f t="shared" si="2"/>
        <v>衍生金融资产</v>
      </c>
      <c r="F13" s="2124"/>
      <c r="G13" s="2125">
        <f t="shared" si="4"/>
        <v>0</v>
      </c>
      <c r="H13" s="2126">
        <f t="shared" si="5"/>
        <v>0</v>
      </c>
      <c r="I13" s="2130" t="str">
        <f t="shared" si="3"/>
        <v>衍生金融负债</v>
      </c>
      <c r="J13" s="2124"/>
      <c r="K13" s="2125">
        <f t="shared" si="6"/>
        <v>0</v>
      </c>
      <c r="L13" s="2128">
        <f t="shared" si="7"/>
        <v>0</v>
      </c>
      <c r="M13" s="1668"/>
      <c r="N13" s="1664"/>
      <c r="O13" s="1664"/>
      <c r="P13" s="1664"/>
    </row>
    <row r="14" spans="1:16" ht="21" customHeight="1">
      <c r="A14" s="2842">
        <f t="shared" si="0"/>
        <v>0</v>
      </c>
      <c r="B14" s="2842">
        <f t="shared" si="1"/>
        <v>0</v>
      </c>
      <c r="C14" s="2873">
        <v>1121</v>
      </c>
      <c r="D14" s="2874">
        <v>2201</v>
      </c>
      <c r="E14" s="2129" t="str">
        <f t="shared" si="2"/>
        <v>应收票据</v>
      </c>
      <c r="F14" s="2124"/>
      <c r="G14" s="2125">
        <f t="shared" si="4"/>
        <v>0</v>
      </c>
      <c r="H14" s="2126">
        <f t="shared" si="5"/>
        <v>0</v>
      </c>
      <c r="I14" s="2130" t="str">
        <f t="shared" si="3"/>
        <v>应付票据</v>
      </c>
      <c r="J14" s="2124"/>
      <c r="K14" s="2125">
        <f t="shared" si="6"/>
        <v>0</v>
      </c>
      <c r="L14" s="2128">
        <f t="shared" si="7"/>
        <v>0</v>
      </c>
      <c r="M14" s="1668"/>
      <c r="N14" s="1664"/>
      <c r="O14" s="1664"/>
      <c r="P14" s="1664"/>
    </row>
    <row r="15" spans="1:16" ht="21" customHeight="1">
      <c r="A15" s="2842">
        <f t="shared" si="0"/>
        <v>0</v>
      </c>
      <c r="B15" s="2842">
        <f t="shared" si="1"/>
        <v>0</v>
      </c>
      <c r="C15" s="2873">
        <v>1122</v>
      </c>
      <c r="D15" s="2874">
        <v>2202</v>
      </c>
      <c r="E15" s="2129" t="str">
        <f t="shared" si="2"/>
        <v>应收账款</v>
      </c>
      <c r="F15" s="2124"/>
      <c r="G15" s="2125">
        <f t="shared" si="4"/>
        <v>15482120.279999999</v>
      </c>
      <c r="H15" s="2126">
        <f t="shared" si="5"/>
        <v>15914214.57</v>
      </c>
      <c r="I15" s="2130" t="str">
        <f t="shared" si="3"/>
        <v>应付账款</v>
      </c>
      <c r="J15" s="2124"/>
      <c r="K15" s="2125">
        <f t="shared" si="6"/>
        <v>11123454.48</v>
      </c>
      <c r="L15" s="2128">
        <f t="shared" si="7"/>
        <v>8476287.8300000001</v>
      </c>
      <c r="M15" s="1668"/>
      <c r="N15" s="1664"/>
      <c r="O15" s="1664"/>
      <c r="P15" s="1664"/>
    </row>
    <row r="16" spans="1:16" ht="21" customHeight="1">
      <c r="A16" s="2842" t="str">
        <f t="shared" si="0"/>
        <v>_JR</v>
      </c>
      <c r="B16" s="2842">
        <f t="shared" si="1"/>
        <v>0</v>
      </c>
      <c r="C16" s="2873">
        <v>1124</v>
      </c>
      <c r="D16" s="2874">
        <v>2205</v>
      </c>
      <c r="E16" s="2129" t="str">
        <f t="shared" si="2"/>
        <v>应收款项融资</v>
      </c>
      <c r="F16" s="2124"/>
      <c r="G16" s="2125">
        <f t="shared" si="4"/>
        <v>279569.36</v>
      </c>
      <c r="H16" s="2126">
        <f t="shared" si="5"/>
        <v>0</v>
      </c>
      <c r="I16" s="2130" t="str">
        <f t="shared" si="3"/>
        <v>预收款项</v>
      </c>
      <c r="J16" s="2124"/>
      <c r="K16" s="2125">
        <f t="shared" si="6"/>
        <v>2360727.0299999998</v>
      </c>
      <c r="L16" s="2128">
        <f t="shared" si="7"/>
        <v>2229809.83</v>
      </c>
      <c r="M16" s="1668"/>
      <c r="N16" s="1664"/>
      <c r="O16" s="1664"/>
      <c r="P16" s="1664"/>
    </row>
    <row r="17" spans="1:16" ht="21" customHeight="1">
      <c r="A17" s="2842">
        <f t="shared" si="0"/>
        <v>0</v>
      </c>
      <c r="B17" s="2842" t="str">
        <f t="shared" si="1"/>
        <v>△</v>
      </c>
      <c r="C17" s="2873">
        <v>1125</v>
      </c>
      <c r="D17" s="2874">
        <v>2111</v>
      </c>
      <c r="E17" s="2129" t="str">
        <f t="shared" si="2"/>
        <v>预付款项</v>
      </c>
      <c r="F17" s="2124"/>
      <c r="G17" s="2125">
        <f t="shared" si="4"/>
        <v>815153.11</v>
      </c>
      <c r="H17" s="2126">
        <f t="shared" si="5"/>
        <v>916036.19</v>
      </c>
      <c r="I17" s="2130" t="str">
        <f t="shared" si="3"/>
        <v>卖出回购金融资产款</v>
      </c>
      <c r="J17" s="2124"/>
      <c r="K17" s="2125">
        <f t="shared" si="6"/>
        <v>0</v>
      </c>
      <c r="L17" s="2128">
        <f t="shared" si="7"/>
        <v>0</v>
      </c>
      <c r="M17" s="1668"/>
      <c r="N17" s="1664"/>
      <c r="O17" s="1664"/>
      <c r="P17" s="1664"/>
    </row>
    <row r="18" spans="1:16" ht="21" customHeight="1">
      <c r="A18" s="2842" t="str">
        <f t="shared" si="0"/>
        <v>△</v>
      </c>
      <c r="B18" s="2842" t="str">
        <f t="shared" si="1"/>
        <v>△</v>
      </c>
      <c r="C18" s="2873">
        <v>1127</v>
      </c>
      <c r="D18" s="2874">
        <v>2010</v>
      </c>
      <c r="E18" s="2129" t="str">
        <f t="shared" si="2"/>
        <v>应收保费</v>
      </c>
      <c r="F18" s="2124"/>
      <c r="G18" s="2125">
        <f t="shared" si="4"/>
        <v>0</v>
      </c>
      <c r="H18" s="2126">
        <f t="shared" si="5"/>
        <v>0</v>
      </c>
      <c r="I18" s="2130" t="str">
        <f t="shared" si="3"/>
        <v>吸收存款及同业存放</v>
      </c>
      <c r="J18" s="2124"/>
      <c r="K18" s="2125">
        <f t="shared" si="6"/>
        <v>0</v>
      </c>
      <c r="L18" s="2128">
        <f t="shared" si="7"/>
        <v>0</v>
      </c>
      <c r="M18" s="1668"/>
      <c r="N18" s="1664"/>
      <c r="O18" s="1664"/>
      <c r="P18" s="1664"/>
    </row>
    <row r="19" spans="1:16" ht="21" customHeight="1">
      <c r="A19" s="2842" t="str">
        <f t="shared" si="0"/>
        <v>△</v>
      </c>
      <c r="B19" s="2842" t="str">
        <f t="shared" si="1"/>
        <v>△</v>
      </c>
      <c r="C19" s="2873">
        <v>1211</v>
      </c>
      <c r="D19" s="2874">
        <v>2311</v>
      </c>
      <c r="E19" s="2129" t="str">
        <f t="shared" si="2"/>
        <v>应收分保账款</v>
      </c>
      <c r="F19" s="2124"/>
      <c r="G19" s="2125">
        <f t="shared" si="4"/>
        <v>0</v>
      </c>
      <c r="H19" s="2126">
        <f t="shared" si="5"/>
        <v>0</v>
      </c>
      <c r="I19" s="2130" t="str">
        <f t="shared" si="3"/>
        <v>代理买卖证券款</v>
      </c>
      <c r="J19" s="2124"/>
      <c r="K19" s="2125">
        <f t="shared" si="6"/>
        <v>0</v>
      </c>
      <c r="L19" s="2128">
        <f t="shared" si="7"/>
        <v>0</v>
      </c>
      <c r="M19" s="1668"/>
      <c r="N19" s="1664"/>
      <c r="O19" s="1664"/>
      <c r="P19" s="1664"/>
    </row>
    <row r="20" spans="1:16" ht="21" customHeight="1">
      <c r="A20" s="2842" t="str">
        <f t="shared" si="0"/>
        <v>△</v>
      </c>
      <c r="B20" s="2842" t="str">
        <f t="shared" si="1"/>
        <v>△</v>
      </c>
      <c r="C20" s="2873">
        <v>1212</v>
      </c>
      <c r="D20" s="2874">
        <v>2312</v>
      </c>
      <c r="E20" s="2129" t="str">
        <f t="shared" si="2"/>
        <v>应收分保合同准备金</v>
      </c>
      <c r="F20" s="2124"/>
      <c r="G20" s="2125">
        <f t="shared" si="4"/>
        <v>0</v>
      </c>
      <c r="H20" s="2126">
        <f t="shared" si="5"/>
        <v>0</v>
      </c>
      <c r="I20" s="2130" t="str">
        <f t="shared" si="3"/>
        <v>代理承销证券款</v>
      </c>
      <c r="J20" s="2124"/>
      <c r="K20" s="2125">
        <f t="shared" si="6"/>
        <v>0</v>
      </c>
      <c r="L20" s="2128">
        <f t="shared" si="7"/>
        <v>0</v>
      </c>
      <c r="M20" s="1668"/>
      <c r="N20" s="1664"/>
      <c r="O20" s="1664"/>
      <c r="P20" s="1664"/>
    </row>
    <row r="21" spans="1:16" ht="21" customHeight="1">
      <c r="A21" s="2842">
        <f t="shared" si="0"/>
        <v>0</v>
      </c>
      <c r="B21" s="2842">
        <f t="shared" si="1"/>
        <v>0</v>
      </c>
      <c r="C21" s="2873">
        <v>1220</v>
      </c>
      <c r="D21" s="2874">
        <v>2211</v>
      </c>
      <c r="E21" s="2129" t="str">
        <f t="shared" si="2"/>
        <v>其他应收款</v>
      </c>
      <c r="F21" s="2124"/>
      <c r="G21" s="2125">
        <f t="shared" si="4"/>
        <v>2208147.21</v>
      </c>
      <c r="H21" s="2126">
        <f t="shared" si="5"/>
        <v>328019.46999999997</v>
      </c>
      <c r="I21" s="2130" t="str">
        <f t="shared" si="3"/>
        <v>应付职工薪酬</v>
      </c>
      <c r="J21" s="2124"/>
      <c r="K21" s="2125">
        <f t="shared" si="6"/>
        <v>1058561.81</v>
      </c>
      <c r="L21" s="2128">
        <f t="shared" si="7"/>
        <v>974467.27</v>
      </c>
      <c r="M21" s="1668"/>
      <c r="N21" s="1664"/>
      <c r="O21" s="1664"/>
      <c r="P21" s="1664"/>
    </row>
    <row r="22" spans="1:16" ht="21" customHeight="1">
      <c r="A22" s="2842">
        <f t="shared" si="0"/>
        <v>0</v>
      </c>
      <c r="B22" s="2842">
        <f t="shared" si="1"/>
        <v>0</v>
      </c>
      <c r="C22" s="2873">
        <v>1132</v>
      </c>
      <c r="D22" s="2874">
        <v>2221</v>
      </c>
      <c r="E22" s="2129" t="str">
        <f t="shared" si="2"/>
        <v>其中：应收利息</v>
      </c>
      <c r="F22" s="2124"/>
      <c r="G22" s="2125">
        <f t="shared" si="4"/>
        <v>0</v>
      </c>
      <c r="H22" s="2126">
        <f t="shared" si="5"/>
        <v>0</v>
      </c>
      <c r="I22" s="2130" t="str">
        <f t="shared" si="3"/>
        <v>应交税费</v>
      </c>
      <c r="J22" s="2124"/>
      <c r="K22" s="2125">
        <f t="shared" si="6"/>
        <v>507471.64</v>
      </c>
      <c r="L22" s="2128">
        <f t="shared" si="7"/>
        <v>487153.95</v>
      </c>
      <c r="M22" s="1668"/>
      <c r="N22" s="1664"/>
      <c r="O22" s="1664"/>
      <c r="P22" s="1664"/>
    </row>
    <row r="23" spans="1:16" ht="21" customHeight="1">
      <c r="A23" s="2842">
        <f t="shared" si="0"/>
        <v>0</v>
      </c>
      <c r="B23" s="2842">
        <f t="shared" si="1"/>
        <v>0</v>
      </c>
      <c r="C23" s="2873">
        <v>1131</v>
      </c>
      <c r="D23" s="2874">
        <v>2246</v>
      </c>
      <c r="E23" s="2131" t="str">
        <f t="shared" si="2"/>
        <v>应收股利</v>
      </c>
      <c r="F23" s="2124"/>
      <c r="G23" s="2125">
        <f t="shared" si="4"/>
        <v>0</v>
      </c>
      <c r="H23" s="2126">
        <f t="shared" si="5"/>
        <v>0</v>
      </c>
      <c r="I23" s="2130" t="str">
        <f t="shared" si="3"/>
        <v>其他应付款</v>
      </c>
      <c r="J23" s="2124"/>
      <c r="K23" s="2125">
        <f t="shared" si="6"/>
        <v>1096090.05</v>
      </c>
      <c r="L23" s="2128">
        <f t="shared" si="7"/>
        <v>2070907</v>
      </c>
      <c r="M23" s="1668"/>
      <c r="N23" s="1664"/>
      <c r="O23" s="1664"/>
      <c r="P23" s="1664"/>
    </row>
    <row r="24" spans="1:16" ht="21" customHeight="1">
      <c r="A24" s="2842" t="str">
        <f t="shared" si="0"/>
        <v>△</v>
      </c>
      <c r="B24" s="2842">
        <f t="shared" si="1"/>
        <v>0</v>
      </c>
      <c r="C24" s="2873">
        <v>1111</v>
      </c>
      <c r="D24" s="2874">
        <v>2231</v>
      </c>
      <c r="E24" s="2129" t="str">
        <f t="shared" si="2"/>
        <v>买入返售金融资产</v>
      </c>
      <c r="F24" s="2124"/>
      <c r="G24" s="2125">
        <f t="shared" si="4"/>
        <v>0</v>
      </c>
      <c r="H24" s="2126">
        <f t="shared" si="5"/>
        <v>0</v>
      </c>
      <c r="I24" s="2130" t="str">
        <f t="shared" si="3"/>
        <v>其中：应付利息</v>
      </c>
      <c r="J24" s="2124"/>
      <c r="K24" s="2125">
        <f t="shared" si="6"/>
        <v>0</v>
      </c>
      <c r="L24" s="2128">
        <f t="shared" si="7"/>
        <v>0</v>
      </c>
      <c r="M24" s="1668"/>
      <c r="N24" s="1664"/>
      <c r="O24" s="1664"/>
      <c r="P24" s="1664"/>
    </row>
    <row r="25" spans="1:16" ht="21" customHeight="1">
      <c r="A25" s="2842">
        <f t="shared" si="0"/>
        <v>0</v>
      </c>
      <c r="B25" s="2842">
        <f t="shared" si="1"/>
        <v>0</v>
      </c>
      <c r="C25" s="2873">
        <v>1400</v>
      </c>
      <c r="D25" s="2874">
        <v>2232</v>
      </c>
      <c r="E25" s="2129" t="str">
        <f t="shared" si="2"/>
        <v>存货</v>
      </c>
      <c r="F25" s="2124"/>
      <c r="G25" s="2125">
        <f t="shared" si="4"/>
        <v>13979569.91</v>
      </c>
      <c r="H25" s="2126">
        <f t="shared" si="5"/>
        <v>12739599.279999999</v>
      </c>
      <c r="I25" s="2132" t="str">
        <f t="shared" si="3"/>
        <v>应付股利</v>
      </c>
      <c r="J25" s="2124"/>
      <c r="K25" s="2125">
        <f t="shared" si="6"/>
        <v>0</v>
      </c>
      <c r="L25" s="2128">
        <f t="shared" si="7"/>
        <v>0</v>
      </c>
      <c r="M25" s="1668"/>
      <c r="N25" s="1664"/>
      <c r="O25" s="1664"/>
      <c r="P25" s="1664"/>
    </row>
    <row r="26" spans="1:16" ht="21" customHeight="1">
      <c r="A26" s="2842" t="str">
        <f t="shared" si="0"/>
        <v>Ｘ</v>
      </c>
      <c r="B26" s="2842" t="str">
        <f t="shared" si="1"/>
        <v>△</v>
      </c>
      <c r="C26" s="2873">
        <v>1315</v>
      </c>
      <c r="D26" s="2874">
        <v>2240</v>
      </c>
      <c r="E26" s="2129" t="str">
        <f t="shared" si="2"/>
        <v>持有待售资产</v>
      </c>
      <c r="F26" s="2124"/>
      <c r="G26" s="2125">
        <f t="shared" si="4"/>
        <v>0</v>
      </c>
      <c r="H26" s="2126">
        <f t="shared" si="5"/>
        <v>0</v>
      </c>
      <c r="I26" s="2130" t="str">
        <f t="shared" si="3"/>
        <v>应付手续费及佣金</v>
      </c>
      <c r="J26" s="2124"/>
      <c r="K26" s="2125">
        <f t="shared" si="6"/>
        <v>0</v>
      </c>
      <c r="L26" s="2128">
        <f t="shared" si="7"/>
        <v>0</v>
      </c>
      <c r="M26" s="1668"/>
      <c r="N26" s="1664"/>
      <c r="O26" s="1664"/>
      <c r="P26" s="1664"/>
    </row>
    <row r="27" spans="1:16" ht="21" customHeight="1">
      <c r="A27" s="2842">
        <f t="shared" si="0"/>
        <v>0</v>
      </c>
      <c r="B27" s="2842" t="str">
        <f t="shared" si="1"/>
        <v>△</v>
      </c>
      <c r="C27" s="2873">
        <v>1495</v>
      </c>
      <c r="D27" s="2874">
        <v>2261</v>
      </c>
      <c r="E27" s="2129" t="str">
        <f t="shared" si="2"/>
        <v>一年内到期的非流动资产</v>
      </c>
      <c r="F27" s="2124"/>
      <c r="G27" s="2125">
        <f t="shared" si="4"/>
        <v>0</v>
      </c>
      <c r="H27" s="2126">
        <f t="shared" si="5"/>
        <v>0</v>
      </c>
      <c r="I27" s="2130" t="str">
        <f t="shared" si="3"/>
        <v>应付分保账款</v>
      </c>
      <c r="J27" s="2124"/>
      <c r="K27" s="2125">
        <f t="shared" si="6"/>
        <v>0</v>
      </c>
      <c r="L27" s="2128">
        <f t="shared" si="7"/>
        <v>0</v>
      </c>
      <c r="M27" s="1668"/>
      <c r="N27" s="1664"/>
      <c r="O27" s="1664"/>
      <c r="P27" s="1664"/>
    </row>
    <row r="28" spans="1:16" ht="21" customHeight="1">
      <c r="A28" s="2842">
        <f t="shared" si="0"/>
        <v>0</v>
      </c>
      <c r="B28" s="2842" t="str">
        <f t="shared" si="1"/>
        <v>Ｘ</v>
      </c>
      <c r="C28" s="2873">
        <v>1496</v>
      </c>
      <c r="D28" s="2874">
        <v>2315</v>
      </c>
      <c r="E28" s="2129" t="str">
        <f t="shared" si="2"/>
        <v>其他流动资产</v>
      </c>
      <c r="F28" s="2124"/>
      <c r="G28" s="2125">
        <f t="shared" si="4"/>
        <v>1690423.37</v>
      </c>
      <c r="H28" s="2126">
        <f t="shared" si="5"/>
        <v>2233000.7799999998</v>
      </c>
      <c r="I28" s="2130" t="str">
        <f t="shared" si="3"/>
        <v>持有待售负债</v>
      </c>
      <c r="J28" s="2124"/>
      <c r="K28" s="2125">
        <f t="shared" si="6"/>
        <v>0</v>
      </c>
      <c r="L28" s="2128">
        <f t="shared" si="7"/>
        <v>0</v>
      </c>
      <c r="M28" s="1668"/>
      <c r="N28" s="1664"/>
      <c r="O28" s="1664"/>
      <c r="P28" s="1664"/>
    </row>
    <row r="29" spans="1:16" ht="21" customHeight="1">
      <c r="A29" s="2842" t="str">
        <f t="shared" si="0"/>
        <v/>
      </c>
      <c r="B29" s="2842">
        <f t="shared" si="1"/>
        <v>0</v>
      </c>
      <c r="C29" s="2873"/>
      <c r="D29" s="2874">
        <v>2395</v>
      </c>
      <c r="E29" s="2129" t="str">
        <f t="shared" si="2"/>
        <v/>
      </c>
      <c r="F29" s="2124"/>
      <c r="G29" s="2125" t="str">
        <f t="shared" si="4"/>
        <v/>
      </c>
      <c r="H29" s="2126" t="str">
        <f t="shared" si="5"/>
        <v/>
      </c>
      <c r="I29" s="2130" t="str">
        <f t="shared" si="3"/>
        <v>一年内到期的非流动负债</v>
      </c>
      <c r="J29" s="2124"/>
      <c r="K29" s="2125">
        <f t="shared" si="6"/>
        <v>0</v>
      </c>
      <c r="L29" s="2128">
        <f t="shared" si="7"/>
        <v>0</v>
      </c>
      <c r="M29" s="1668"/>
      <c r="N29" s="1664"/>
      <c r="O29" s="1664"/>
      <c r="P29" s="1664"/>
    </row>
    <row r="30" spans="1:16" ht="21" customHeight="1">
      <c r="A30" s="2842" t="str">
        <f t="shared" si="0"/>
        <v/>
      </c>
      <c r="B30" s="2842">
        <f t="shared" si="1"/>
        <v>0</v>
      </c>
      <c r="C30" s="2871"/>
      <c r="D30" s="2874">
        <v>2396</v>
      </c>
      <c r="E30" s="2129" t="str">
        <f t="shared" si="2"/>
        <v/>
      </c>
      <c r="F30" s="2124"/>
      <c r="G30" s="2125" t="str">
        <f t="shared" si="4"/>
        <v/>
      </c>
      <c r="H30" s="2126" t="str">
        <f t="shared" si="5"/>
        <v/>
      </c>
      <c r="I30" s="2130" t="str">
        <f t="shared" si="3"/>
        <v>其他流动负债</v>
      </c>
      <c r="J30" s="2124"/>
      <c r="K30" s="2125">
        <f t="shared" si="6"/>
        <v>0</v>
      </c>
      <c r="L30" s="2128">
        <f t="shared" si="7"/>
        <v>0</v>
      </c>
      <c r="M30" s="1668"/>
      <c r="N30" s="1664"/>
      <c r="O30" s="1664"/>
      <c r="P30" s="1664"/>
    </row>
    <row r="31" spans="1:16" ht="21" customHeight="1">
      <c r="A31" s="2842" t="str">
        <f t="shared" si="0"/>
        <v>＝</v>
      </c>
      <c r="B31" s="2842" t="str">
        <f t="shared" si="1"/>
        <v>＝</v>
      </c>
      <c r="C31" s="2871">
        <v>1498</v>
      </c>
      <c r="D31" s="2872">
        <v>2498</v>
      </c>
      <c r="E31" s="2133" t="str">
        <f t="shared" ref="E31:E57" si="8">IF($C31="","",VLOOKUP($C31,Sheet_Items,6,0))</f>
        <v>流动资产合计</v>
      </c>
      <c r="F31" s="2124"/>
      <c r="G31" s="2125">
        <f>SUM(G8:G30)-SUM(G22,G23)</f>
        <v>34934288.189999998</v>
      </c>
      <c r="H31" s="2126">
        <f>SUM(H8:H30)-SUM(H22,H23)</f>
        <v>32383594.129999999</v>
      </c>
      <c r="I31" s="2134" t="str">
        <f t="shared" si="3"/>
        <v>流动负债合计</v>
      </c>
      <c r="J31" s="2124"/>
      <c r="K31" s="2125">
        <f>SUM(K8:K30)-SUM(K24,K25)</f>
        <v>18149273.829999998</v>
      </c>
      <c r="L31" s="2128">
        <f>SUM(L8:L30)-SUM(L24,L25)</f>
        <v>14238625.880000001</v>
      </c>
      <c r="M31" s="1668"/>
      <c r="N31" s="1664"/>
      <c r="O31" s="1664"/>
      <c r="P31" s="1664"/>
    </row>
    <row r="32" spans="1:16" ht="21" customHeight="1">
      <c r="A32" s="2842" t="str">
        <f t="shared" si="0"/>
        <v>：</v>
      </c>
      <c r="B32" s="2842" t="str">
        <f t="shared" si="1"/>
        <v>：</v>
      </c>
      <c r="C32" s="2873">
        <v>1500</v>
      </c>
      <c r="D32" s="2874">
        <v>2500</v>
      </c>
      <c r="E32" s="2123" t="str">
        <f t="shared" si="8"/>
        <v>非流动资产：</v>
      </c>
      <c r="F32" s="2124"/>
      <c r="G32" s="2125"/>
      <c r="H32" s="2126"/>
      <c r="I32" s="2127" t="str">
        <f t="shared" si="3"/>
        <v>非流动负债：</v>
      </c>
      <c r="J32" s="2124"/>
      <c r="K32" s="2125"/>
      <c r="L32" s="2128"/>
      <c r="M32" s="1668"/>
      <c r="N32" s="1664"/>
      <c r="O32" s="1664"/>
      <c r="P32" s="1664"/>
    </row>
    <row r="33" spans="1:16" ht="21" customHeight="1">
      <c r="A33" s="2842" t="str">
        <f t="shared" si="0"/>
        <v>△</v>
      </c>
      <c r="B33" s="2842" t="str">
        <f t="shared" si="1"/>
        <v>△</v>
      </c>
      <c r="C33" s="2873">
        <v>1600</v>
      </c>
      <c r="D33" s="2874">
        <v>2310</v>
      </c>
      <c r="E33" s="2129" t="str">
        <f t="shared" si="8"/>
        <v>发放贷款和垫款</v>
      </c>
      <c r="F33" s="2124"/>
      <c r="G33" s="2125">
        <f t="shared" ref="G33:G57" si="9">IF($C33="","",VLOOKUP($C33,Sheet_Trialbal,6,0))</f>
        <v>0</v>
      </c>
      <c r="H33" s="2126">
        <f t="shared" ref="H33:H57" si="10">IF($C33="","",VLOOKUP($C33,Sheet_Trialbal,10,0))</f>
        <v>0</v>
      </c>
      <c r="I33" s="2130" t="str">
        <f t="shared" si="3"/>
        <v>保险合同准备金</v>
      </c>
      <c r="J33" s="2124"/>
      <c r="K33" s="2125">
        <f t="shared" ref="K33:K43" si="11">IF($D33="","",VLOOKUP($D33,Sheet_Trialbal,6,0))</f>
        <v>0</v>
      </c>
      <c r="L33" s="2128">
        <f t="shared" ref="L33:L43" si="12">IF($D33="","",VLOOKUP($D33,Sheet_Trialbal,10,0))</f>
        <v>0</v>
      </c>
      <c r="M33" s="1668"/>
      <c r="N33" s="1664"/>
      <c r="O33" s="1664"/>
      <c r="P33" s="1664"/>
    </row>
    <row r="34" spans="1:16" ht="21" customHeight="1">
      <c r="A34" s="2842" t="str">
        <f t="shared" si="0"/>
        <v>_JR</v>
      </c>
      <c r="B34" s="2842">
        <f t="shared" si="1"/>
        <v>0</v>
      </c>
      <c r="C34" s="2873">
        <v>1505</v>
      </c>
      <c r="D34" s="2874">
        <v>2501</v>
      </c>
      <c r="E34" s="2129" t="str">
        <f t="shared" si="8"/>
        <v>债权投资</v>
      </c>
      <c r="F34" s="2124"/>
      <c r="G34" s="2125">
        <f t="shared" si="9"/>
        <v>0</v>
      </c>
      <c r="H34" s="2126">
        <f t="shared" si="10"/>
        <v>0</v>
      </c>
      <c r="I34" s="2130" t="str">
        <f t="shared" si="3"/>
        <v>长期借款</v>
      </c>
      <c r="J34" s="2124"/>
      <c r="K34" s="2125">
        <f t="shared" si="11"/>
        <v>0</v>
      </c>
      <c r="L34" s="2128">
        <f t="shared" si="12"/>
        <v>0</v>
      </c>
      <c r="M34" s="1668"/>
      <c r="N34" s="1664"/>
      <c r="O34" s="1664"/>
      <c r="P34" s="1664"/>
    </row>
    <row r="35" spans="1:16" ht="21" customHeight="1">
      <c r="A35" s="2842" t="str">
        <f t="shared" si="0"/>
        <v>JRH</v>
      </c>
      <c r="B35" s="2842">
        <f t="shared" si="1"/>
        <v>0</v>
      </c>
      <c r="C35" s="2873">
        <v>1503</v>
      </c>
      <c r="D35" s="2874">
        <v>2502</v>
      </c>
      <c r="E35" s="2129" t="str">
        <f t="shared" si="8"/>
        <v>可供出售金融资产</v>
      </c>
      <c r="F35" s="2124"/>
      <c r="G35" s="2125">
        <f t="shared" si="9"/>
        <v>0</v>
      </c>
      <c r="H35" s="2126">
        <f t="shared" si="10"/>
        <v>0</v>
      </c>
      <c r="I35" s="2130" t="str">
        <f t="shared" si="3"/>
        <v>应付债券</v>
      </c>
      <c r="J35" s="2124"/>
      <c r="K35" s="2125">
        <f t="shared" si="11"/>
        <v>0</v>
      </c>
      <c r="L35" s="2128">
        <f t="shared" si="12"/>
        <v>0</v>
      </c>
      <c r="M35" s="1668"/>
      <c r="N35" s="1664"/>
      <c r="O35" s="1664"/>
      <c r="P35" s="1664"/>
    </row>
    <row r="36" spans="1:16" ht="21" customHeight="1">
      <c r="A36" s="2842" t="str">
        <f t="shared" si="0"/>
        <v>_JR</v>
      </c>
      <c r="B36" s="2842" t="str">
        <f t="shared" si="1"/>
        <v>OEI</v>
      </c>
      <c r="C36" s="2873">
        <v>1508</v>
      </c>
      <c r="D36" s="2874">
        <v>2502.11</v>
      </c>
      <c r="E36" s="2129" t="str">
        <f t="shared" si="8"/>
        <v>其他债权投资</v>
      </c>
      <c r="F36" s="2124"/>
      <c r="G36" s="2125">
        <f t="shared" si="9"/>
        <v>0</v>
      </c>
      <c r="H36" s="2126">
        <f t="shared" si="10"/>
        <v>0</v>
      </c>
      <c r="I36" s="2130" t="str">
        <f t="shared" si="3"/>
        <v>其中：优先股</v>
      </c>
      <c r="J36" s="2124"/>
      <c r="K36" s="2125">
        <f t="shared" si="11"/>
        <v>0</v>
      </c>
      <c r="L36" s="2128">
        <f t="shared" si="12"/>
        <v>0</v>
      </c>
      <c r="M36" s="1668"/>
      <c r="N36" s="1664"/>
      <c r="O36" s="1664"/>
      <c r="P36" s="1664"/>
    </row>
    <row r="37" spans="1:16" ht="21" customHeight="1">
      <c r="A37" s="2842" t="str">
        <f t="shared" si="0"/>
        <v>JRH</v>
      </c>
      <c r="B37" s="2842" t="str">
        <f t="shared" si="1"/>
        <v>OEI</v>
      </c>
      <c r="C37" s="2873">
        <v>1501</v>
      </c>
      <c r="D37" s="2874">
        <v>2502.31</v>
      </c>
      <c r="E37" s="2129" t="str">
        <f t="shared" si="8"/>
        <v>持有至到期投资</v>
      </c>
      <c r="F37" s="2124"/>
      <c r="G37" s="2125">
        <f t="shared" si="9"/>
        <v>0</v>
      </c>
      <c r="H37" s="2126">
        <f t="shared" si="10"/>
        <v>0</v>
      </c>
      <c r="I37" s="2132" t="str">
        <f t="shared" si="3"/>
        <v>永续债</v>
      </c>
      <c r="J37" s="2124"/>
      <c r="K37" s="2125">
        <f t="shared" si="11"/>
        <v>0</v>
      </c>
      <c r="L37" s="2128">
        <f t="shared" si="12"/>
        <v>0</v>
      </c>
      <c r="M37" s="1668"/>
      <c r="N37" s="1664"/>
      <c r="O37" s="1664"/>
      <c r="P37" s="1664"/>
    </row>
    <row r="38" spans="1:16" ht="21" customHeight="1">
      <c r="A38" s="2842">
        <f t="shared" si="0"/>
        <v>0</v>
      </c>
      <c r="B38" s="2842">
        <f t="shared" si="1"/>
        <v>0</v>
      </c>
      <c r="C38" s="2873">
        <v>1531</v>
      </c>
      <c r="D38" s="2874">
        <v>2706</v>
      </c>
      <c r="E38" s="2129" t="str">
        <f t="shared" si="8"/>
        <v>长期应收款</v>
      </c>
      <c r="F38" s="2124"/>
      <c r="G38" s="2125">
        <f t="shared" si="9"/>
        <v>0</v>
      </c>
      <c r="H38" s="2126">
        <f t="shared" si="10"/>
        <v>0</v>
      </c>
      <c r="I38" s="2130" t="str">
        <f t="shared" si="3"/>
        <v>长期应付款</v>
      </c>
      <c r="J38" s="2124"/>
      <c r="K38" s="2125">
        <f t="shared" si="11"/>
        <v>0</v>
      </c>
      <c r="L38" s="2128">
        <f t="shared" si="12"/>
        <v>0</v>
      </c>
      <c r="M38" s="1668"/>
      <c r="N38" s="1664"/>
      <c r="O38" s="1664"/>
      <c r="P38" s="1664"/>
    </row>
    <row r="39" spans="1:16" ht="21" customHeight="1">
      <c r="A39" s="2842">
        <f t="shared" si="0"/>
        <v>0</v>
      </c>
      <c r="B39" s="2842">
        <f t="shared" si="1"/>
        <v>0</v>
      </c>
      <c r="C39" s="2873">
        <v>1511</v>
      </c>
      <c r="D39" s="2874">
        <v>2715</v>
      </c>
      <c r="E39" s="2129" t="str">
        <f t="shared" si="8"/>
        <v>长期股权投资</v>
      </c>
      <c r="F39" s="2124"/>
      <c r="G39" s="2125">
        <f t="shared" si="9"/>
        <v>0</v>
      </c>
      <c r="H39" s="2126">
        <f t="shared" si="10"/>
        <v>0</v>
      </c>
      <c r="I39" s="2130" t="str">
        <f t="shared" si="3"/>
        <v>长期应付职工薪酬</v>
      </c>
      <c r="J39" s="2124"/>
      <c r="K39" s="2125">
        <f t="shared" si="11"/>
        <v>0</v>
      </c>
      <c r="L39" s="2128">
        <f t="shared" si="12"/>
        <v>0</v>
      </c>
      <c r="M39" s="1668"/>
      <c r="N39" s="1664"/>
      <c r="O39" s="1664"/>
      <c r="P39" s="1664"/>
    </row>
    <row r="40" spans="1:16" ht="21" customHeight="1">
      <c r="A40" s="2842" t="str">
        <f t="shared" si="0"/>
        <v>_JR</v>
      </c>
      <c r="B40" s="2842">
        <f t="shared" si="1"/>
        <v>0</v>
      </c>
      <c r="C40" s="2873">
        <v>1538</v>
      </c>
      <c r="D40" s="2874">
        <v>2801</v>
      </c>
      <c r="E40" s="2129" t="str">
        <f t="shared" si="8"/>
        <v>其他权益工具投资</v>
      </c>
      <c r="F40" s="2124"/>
      <c r="G40" s="2125">
        <f t="shared" si="9"/>
        <v>0</v>
      </c>
      <c r="H40" s="2126">
        <f t="shared" si="10"/>
        <v>0</v>
      </c>
      <c r="I40" s="2130" t="str">
        <f t="shared" si="3"/>
        <v>预计负债</v>
      </c>
      <c r="J40" s="2124"/>
      <c r="K40" s="2125">
        <f t="shared" si="11"/>
        <v>0</v>
      </c>
      <c r="L40" s="2128">
        <f t="shared" si="12"/>
        <v>0</v>
      </c>
      <c r="M40" s="1668"/>
      <c r="N40" s="1664"/>
      <c r="O40" s="1664"/>
      <c r="P40" s="1664"/>
    </row>
    <row r="41" spans="1:16" ht="21" customHeight="1">
      <c r="A41" s="2842" t="str">
        <f t="shared" si="0"/>
        <v>_JR</v>
      </c>
      <c r="B41" s="2842">
        <f t="shared" si="1"/>
        <v>0</v>
      </c>
      <c r="C41" s="2873">
        <v>1539</v>
      </c>
      <c r="D41" s="2874">
        <v>2401</v>
      </c>
      <c r="E41" s="2129" t="str">
        <f t="shared" si="8"/>
        <v>其他非流动金融资产</v>
      </c>
      <c r="F41" s="2124"/>
      <c r="G41" s="2125">
        <f t="shared" si="9"/>
        <v>0</v>
      </c>
      <c r="H41" s="2126">
        <f t="shared" si="10"/>
        <v>0</v>
      </c>
      <c r="I41" s="2130" t="str">
        <f t="shared" si="3"/>
        <v>递延收益</v>
      </c>
      <c r="J41" s="2124"/>
      <c r="K41" s="2125">
        <f t="shared" si="11"/>
        <v>0</v>
      </c>
      <c r="L41" s="2128">
        <f t="shared" si="12"/>
        <v>0</v>
      </c>
      <c r="M41" s="1668"/>
      <c r="N41" s="1664"/>
      <c r="O41" s="1664"/>
      <c r="P41" s="1664"/>
    </row>
    <row r="42" spans="1:16" ht="21" customHeight="1">
      <c r="A42" s="2842">
        <f t="shared" si="0"/>
        <v>0</v>
      </c>
      <c r="B42" s="2842">
        <f t="shared" si="1"/>
        <v>0</v>
      </c>
      <c r="C42" s="2873">
        <v>1521</v>
      </c>
      <c r="D42" s="2874">
        <v>2901</v>
      </c>
      <c r="E42" s="2129" t="str">
        <f t="shared" si="8"/>
        <v>投资性房地产</v>
      </c>
      <c r="F42" s="2124"/>
      <c r="G42" s="2125">
        <f t="shared" si="9"/>
        <v>0</v>
      </c>
      <c r="H42" s="2126">
        <f t="shared" si="10"/>
        <v>0</v>
      </c>
      <c r="I42" s="2130" t="str">
        <f t="shared" si="3"/>
        <v>递延所得税负债</v>
      </c>
      <c r="J42" s="2124"/>
      <c r="K42" s="2125">
        <f t="shared" si="11"/>
        <v>0</v>
      </c>
      <c r="L42" s="2128">
        <f t="shared" si="12"/>
        <v>0</v>
      </c>
      <c r="M42" s="1668"/>
      <c r="N42" s="1664"/>
      <c r="O42" s="1664"/>
      <c r="P42" s="1664"/>
    </row>
    <row r="43" spans="1:16" ht="21" customHeight="1">
      <c r="A43" s="2842">
        <f t="shared" si="0"/>
        <v>0</v>
      </c>
      <c r="B43" s="2842">
        <f t="shared" si="1"/>
        <v>0</v>
      </c>
      <c r="C43" s="2873">
        <v>1611</v>
      </c>
      <c r="D43" s="2874">
        <v>2996</v>
      </c>
      <c r="E43" s="2129" t="str">
        <f t="shared" si="8"/>
        <v>固定资产</v>
      </c>
      <c r="F43" s="2124"/>
      <c r="G43" s="2125">
        <f t="shared" si="9"/>
        <v>18818300.170000002</v>
      </c>
      <c r="H43" s="2126">
        <f t="shared" si="10"/>
        <v>20288571.73</v>
      </c>
      <c r="I43" s="2130" t="str">
        <f t="shared" si="3"/>
        <v>其他非流动负债</v>
      </c>
      <c r="J43" s="2124"/>
      <c r="K43" s="2125">
        <f t="shared" si="11"/>
        <v>0</v>
      </c>
      <c r="L43" s="2128">
        <f t="shared" si="12"/>
        <v>0</v>
      </c>
      <c r="M43" s="1668"/>
      <c r="N43" s="1664"/>
      <c r="O43" s="1664"/>
      <c r="P43" s="1664"/>
    </row>
    <row r="44" spans="1:16" ht="21" customHeight="1">
      <c r="A44" s="2842">
        <f t="shared" si="0"/>
        <v>0</v>
      </c>
      <c r="B44" s="2842" t="str">
        <f t="shared" si="1"/>
        <v>＝</v>
      </c>
      <c r="C44" s="2873">
        <v>1616</v>
      </c>
      <c r="D44" s="2874">
        <v>2998</v>
      </c>
      <c r="E44" s="2129" t="str">
        <f t="shared" si="8"/>
        <v>在建工程</v>
      </c>
      <c r="F44" s="2124"/>
      <c r="G44" s="2125">
        <f t="shared" si="9"/>
        <v>0</v>
      </c>
      <c r="H44" s="2126">
        <f t="shared" si="10"/>
        <v>41650</v>
      </c>
      <c r="I44" s="2134" t="str">
        <f t="shared" si="3"/>
        <v>非流动负债合计</v>
      </c>
      <c r="J44" s="2124"/>
      <c r="K44" s="2125">
        <f>SUM(K33:K43)-SUM(K36,K37)</f>
        <v>0</v>
      </c>
      <c r="L44" s="2128">
        <f>SUM(L33:L43)-SUM(L36,L37)</f>
        <v>0</v>
      </c>
      <c r="M44" s="1668"/>
      <c r="N44" s="1664"/>
      <c r="O44" s="1664"/>
      <c r="P44" s="1664"/>
    </row>
    <row r="45" spans="1:16" ht="21" customHeight="1">
      <c r="A45" s="2842">
        <f t="shared" si="0"/>
        <v>0</v>
      </c>
      <c r="B45" s="2842" t="str">
        <f t="shared" si="1"/>
        <v>＝</v>
      </c>
      <c r="C45" s="2873">
        <v>1621</v>
      </c>
      <c r="D45" s="2874">
        <v>2999</v>
      </c>
      <c r="E45" s="2129" t="str">
        <f t="shared" si="8"/>
        <v>生产性生物资产</v>
      </c>
      <c r="F45" s="2124"/>
      <c r="G45" s="2125">
        <f t="shared" si="9"/>
        <v>0</v>
      </c>
      <c r="H45" s="2126">
        <f t="shared" si="10"/>
        <v>0</v>
      </c>
      <c r="I45" s="2134" t="str">
        <f t="shared" si="3"/>
        <v>负债合计</v>
      </c>
      <c r="J45" s="2124"/>
      <c r="K45" s="2125">
        <f>SUM(K31,K44)</f>
        <v>18149273.829999998</v>
      </c>
      <c r="L45" s="2128">
        <f>SUM(L31,L44)</f>
        <v>14238625.880000001</v>
      </c>
      <c r="M45" s="1668"/>
      <c r="N45" s="1664"/>
      <c r="O45" s="1664"/>
      <c r="P45" s="1664"/>
    </row>
    <row r="46" spans="1:16" ht="21" customHeight="1">
      <c r="A46" s="2842">
        <f t="shared" si="0"/>
        <v>0</v>
      </c>
      <c r="B46" s="2842" t="str">
        <f t="shared" si="1"/>
        <v>：</v>
      </c>
      <c r="C46" s="2873">
        <v>1631</v>
      </c>
      <c r="D46" s="2872">
        <v>4000</v>
      </c>
      <c r="E46" s="2129" t="str">
        <f t="shared" si="8"/>
        <v>油气资产</v>
      </c>
      <c r="F46" s="2124"/>
      <c r="G46" s="2125">
        <f t="shared" si="9"/>
        <v>0</v>
      </c>
      <c r="H46" s="2126">
        <f t="shared" si="10"/>
        <v>0</v>
      </c>
      <c r="I46" s="2135" t="str">
        <f>IF($D46="","",VLOOKUP($D46,Sheet_Items,6,0))</f>
        <v>所有者权益：</v>
      </c>
      <c r="J46" s="2124"/>
      <c r="K46" s="2125">
        <f t="shared" ref="K46:K57" si="13">IF($D46="","",VLOOKUP($D46,Sheet_Trialbal,6,0))</f>
        <v>0</v>
      </c>
      <c r="L46" s="2128">
        <f t="shared" ref="L46:L57" si="14">IF($D46="","",VLOOKUP($D46,Sheet_Trialbal,10,0))</f>
        <v>0</v>
      </c>
      <c r="M46" s="1668"/>
      <c r="N46" s="1664"/>
      <c r="O46" s="1664"/>
      <c r="P46" s="1664"/>
    </row>
    <row r="47" spans="1:16" ht="21" customHeight="1">
      <c r="A47" s="2842">
        <f t="shared" si="0"/>
        <v>0</v>
      </c>
      <c r="B47" s="2842">
        <f t="shared" si="1"/>
        <v>0</v>
      </c>
      <c r="C47" s="2873">
        <v>1701</v>
      </c>
      <c r="D47" s="2872">
        <v>4001</v>
      </c>
      <c r="E47" s="2129" t="str">
        <f t="shared" si="8"/>
        <v>无形资产</v>
      </c>
      <c r="F47" s="2124"/>
      <c r="G47" s="2125">
        <f t="shared" si="9"/>
        <v>1951607.86</v>
      </c>
      <c r="H47" s="2126">
        <f t="shared" si="10"/>
        <v>1820271.51</v>
      </c>
      <c r="I47" s="2136" t="str">
        <f>IF($D47="","",VLOOKUP($D47,Sheet_Items,6,0))</f>
        <v>股本</v>
      </c>
      <c r="J47" s="2124"/>
      <c r="K47" s="2125">
        <f t="shared" si="13"/>
        <v>30000000</v>
      </c>
      <c r="L47" s="2128">
        <f t="shared" si="14"/>
        <v>30000000</v>
      </c>
      <c r="M47" s="1668"/>
      <c r="N47" s="1664"/>
      <c r="O47" s="1664"/>
      <c r="P47" s="1664"/>
    </row>
    <row r="48" spans="1:16" ht="21" customHeight="1">
      <c r="A48" s="2842">
        <f t="shared" si="0"/>
        <v>0</v>
      </c>
      <c r="B48" s="2842" t="str">
        <f t="shared" si="1"/>
        <v>OEI</v>
      </c>
      <c r="C48" s="2873">
        <v>1700</v>
      </c>
      <c r="D48" s="2872">
        <v>4015</v>
      </c>
      <c r="E48" s="2129" t="str">
        <f t="shared" si="8"/>
        <v>开发支出</v>
      </c>
      <c r="F48" s="2124"/>
      <c r="G48" s="2125">
        <f t="shared" si="9"/>
        <v>1467375.43</v>
      </c>
      <c r="H48" s="2126">
        <f t="shared" si="10"/>
        <v>2369218.02</v>
      </c>
      <c r="I48" s="2136" t="str">
        <f t="shared" ref="I48:I57" si="15">IF($D48="","",VLOOKUP($D48,Sheet_Items,7,0))</f>
        <v>其他权益工具</v>
      </c>
      <c r="J48" s="2124"/>
      <c r="K48" s="2125">
        <f t="shared" si="13"/>
        <v>0</v>
      </c>
      <c r="L48" s="2128">
        <f t="shared" si="14"/>
        <v>0</v>
      </c>
      <c r="M48" s="1668"/>
      <c r="N48" s="1664"/>
      <c r="O48" s="1664"/>
      <c r="P48" s="1664"/>
    </row>
    <row r="49" spans="1:16" ht="21" customHeight="1">
      <c r="A49" s="2842">
        <f t="shared" si="0"/>
        <v>0</v>
      </c>
      <c r="B49" s="2842" t="str">
        <f t="shared" si="1"/>
        <v>OEI</v>
      </c>
      <c r="C49" s="2873">
        <v>1711</v>
      </c>
      <c r="D49" s="2875">
        <v>4015.11</v>
      </c>
      <c r="E49" s="2129" t="str">
        <f t="shared" si="8"/>
        <v>商誉</v>
      </c>
      <c r="F49" s="2124"/>
      <c r="G49" s="2125">
        <f t="shared" si="9"/>
        <v>0</v>
      </c>
      <c r="H49" s="2126">
        <f t="shared" si="10"/>
        <v>0</v>
      </c>
      <c r="I49" s="2136" t="str">
        <f t="shared" si="15"/>
        <v>其中：优先股</v>
      </c>
      <c r="J49" s="2124"/>
      <c r="K49" s="2126">
        <f t="shared" si="13"/>
        <v>0</v>
      </c>
      <c r="L49" s="2128">
        <f t="shared" si="14"/>
        <v>0</v>
      </c>
      <c r="M49" s="1668"/>
      <c r="N49" s="1664"/>
      <c r="O49" s="1664"/>
      <c r="P49" s="1664"/>
    </row>
    <row r="50" spans="1:16" ht="21" customHeight="1">
      <c r="A50" s="2842">
        <f t="shared" si="0"/>
        <v>0</v>
      </c>
      <c r="B50" s="2842" t="str">
        <f t="shared" si="1"/>
        <v>OEI</v>
      </c>
      <c r="C50" s="2873">
        <v>1801</v>
      </c>
      <c r="D50" s="2875">
        <v>4015.31</v>
      </c>
      <c r="E50" s="2129" t="str">
        <f t="shared" si="8"/>
        <v>长期待摊费用</v>
      </c>
      <c r="F50" s="2124"/>
      <c r="G50" s="2125">
        <f t="shared" si="9"/>
        <v>233942.48</v>
      </c>
      <c r="H50" s="2126">
        <f t="shared" si="10"/>
        <v>395514.45</v>
      </c>
      <c r="I50" s="2137" t="str">
        <f t="shared" si="15"/>
        <v>永续债</v>
      </c>
      <c r="J50" s="2124"/>
      <c r="K50" s="2126">
        <f t="shared" si="13"/>
        <v>0</v>
      </c>
      <c r="L50" s="2128">
        <f t="shared" si="14"/>
        <v>0</v>
      </c>
      <c r="M50" s="1668"/>
      <c r="N50" s="1664"/>
      <c r="O50" s="1664"/>
      <c r="P50" s="1664"/>
    </row>
    <row r="51" spans="1:16" ht="21" customHeight="1">
      <c r="A51" s="2842">
        <f t="shared" si="0"/>
        <v>0</v>
      </c>
      <c r="B51" s="2842">
        <f t="shared" si="1"/>
        <v>0</v>
      </c>
      <c r="C51" s="2871">
        <v>1811</v>
      </c>
      <c r="D51" s="2872">
        <v>4002</v>
      </c>
      <c r="E51" s="2129" t="str">
        <f t="shared" si="8"/>
        <v>递延所得税资产</v>
      </c>
      <c r="F51" s="2124"/>
      <c r="G51" s="2125">
        <f t="shared" si="9"/>
        <v>1809801.34</v>
      </c>
      <c r="H51" s="2126">
        <f t="shared" si="10"/>
        <v>1185152.1499999999</v>
      </c>
      <c r="I51" s="2130" t="str">
        <f t="shared" si="15"/>
        <v>资本公积</v>
      </c>
      <c r="J51" s="2124"/>
      <c r="K51" s="2125">
        <f t="shared" si="13"/>
        <v>10464100</v>
      </c>
      <c r="L51" s="2128">
        <f t="shared" si="14"/>
        <v>0</v>
      </c>
      <c r="M51" s="1668"/>
      <c r="N51" s="1664"/>
      <c r="O51" s="1664"/>
      <c r="P51" s="1664"/>
    </row>
    <row r="52" spans="1:16" ht="21" customHeight="1">
      <c r="A52" s="2842">
        <f t="shared" si="0"/>
        <v>0</v>
      </c>
      <c r="B52" s="2842">
        <f t="shared" si="1"/>
        <v>0</v>
      </c>
      <c r="C52" s="2871">
        <v>1996</v>
      </c>
      <c r="D52" s="2872">
        <v>4201</v>
      </c>
      <c r="E52" s="2129" t="str">
        <f t="shared" si="8"/>
        <v>其他非流动资产</v>
      </c>
      <c r="F52" s="2124"/>
      <c r="G52" s="2125">
        <f t="shared" si="9"/>
        <v>94970</v>
      </c>
      <c r="H52" s="2126">
        <f t="shared" si="10"/>
        <v>523136</v>
      </c>
      <c r="I52" s="2130" t="str">
        <f t="shared" si="15"/>
        <v>减：库存股</v>
      </c>
      <c r="J52" s="2124"/>
      <c r="K52" s="2125">
        <f t="shared" si="13"/>
        <v>0</v>
      </c>
      <c r="L52" s="2128">
        <f t="shared" si="14"/>
        <v>0</v>
      </c>
      <c r="M52" s="1668"/>
      <c r="N52" s="1664"/>
      <c r="O52" s="1664"/>
      <c r="P52" s="1664"/>
    </row>
    <row r="53" spans="1:16" ht="21" customHeight="1">
      <c r="A53" s="2842" t="str">
        <f t="shared" si="0"/>
        <v/>
      </c>
      <c r="B53" s="2842">
        <f t="shared" si="1"/>
        <v>0</v>
      </c>
      <c r="C53" s="2871"/>
      <c r="D53" s="2872">
        <v>4215</v>
      </c>
      <c r="E53" s="2129" t="str">
        <f t="shared" si="8"/>
        <v/>
      </c>
      <c r="F53" s="2124"/>
      <c r="G53" s="2125" t="str">
        <f t="shared" si="9"/>
        <v/>
      </c>
      <c r="H53" s="2126" t="str">
        <f t="shared" si="10"/>
        <v/>
      </c>
      <c r="I53" s="2130" t="str">
        <f t="shared" si="15"/>
        <v>其他综合收益</v>
      </c>
      <c r="J53" s="2124"/>
      <c r="K53" s="2125">
        <f t="shared" si="13"/>
        <v>0</v>
      </c>
      <c r="L53" s="2128">
        <f t="shared" si="14"/>
        <v>0</v>
      </c>
      <c r="M53" s="1668"/>
      <c r="N53" s="1664"/>
      <c r="O53" s="1664"/>
      <c r="P53" s="1664"/>
    </row>
    <row r="54" spans="1:16" ht="21" customHeight="1">
      <c r="A54" s="2842" t="str">
        <f t="shared" si="0"/>
        <v/>
      </c>
      <c r="B54" s="2842">
        <f t="shared" si="1"/>
        <v>0</v>
      </c>
      <c r="C54" s="2871"/>
      <c r="D54" s="2872">
        <v>4301</v>
      </c>
      <c r="E54" s="2129" t="str">
        <f t="shared" si="8"/>
        <v/>
      </c>
      <c r="F54" s="2124"/>
      <c r="G54" s="2125" t="str">
        <f t="shared" si="9"/>
        <v/>
      </c>
      <c r="H54" s="2126" t="str">
        <f t="shared" si="10"/>
        <v/>
      </c>
      <c r="I54" s="2130" t="str">
        <f t="shared" si="15"/>
        <v>专项储备</v>
      </c>
      <c r="J54" s="2124"/>
      <c r="K54" s="2125">
        <f t="shared" si="13"/>
        <v>0</v>
      </c>
      <c r="L54" s="2128">
        <f t="shared" si="14"/>
        <v>0</v>
      </c>
      <c r="M54" s="1668"/>
      <c r="N54" s="1664"/>
      <c r="O54" s="1664"/>
      <c r="P54" s="1664"/>
    </row>
    <row r="55" spans="1:16" ht="21" customHeight="1">
      <c r="A55" s="2842" t="str">
        <f t="shared" si="0"/>
        <v/>
      </c>
      <c r="B55" s="2842">
        <f t="shared" si="1"/>
        <v>0</v>
      </c>
      <c r="C55" s="2871"/>
      <c r="D55" s="2872">
        <v>4101</v>
      </c>
      <c r="E55" s="2129" t="str">
        <f t="shared" si="8"/>
        <v/>
      </c>
      <c r="F55" s="2124"/>
      <c r="G55" s="2125" t="str">
        <f t="shared" si="9"/>
        <v/>
      </c>
      <c r="H55" s="2126" t="str">
        <f t="shared" si="10"/>
        <v/>
      </c>
      <c r="I55" s="2130" t="str">
        <f t="shared" si="15"/>
        <v>盈余公积</v>
      </c>
      <c r="J55" s="2124"/>
      <c r="K55" s="2125">
        <f t="shared" si="13"/>
        <v>1484894.62</v>
      </c>
      <c r="L55" s="2128">
        <f t="shared" si="14"/>
        <v>1476848.22</v>
      </c>
      <c r="M55" s="1668"/>
      <c r="N55" s="1664"/>
      <c r="O55" s="1664"/>
      <c r="P55" s="1664"/>
    </row>
    <row r="56" spans="1:16" ht="21" customHeight="1">
      <c r="A56" s="2842" t="str">
        <f t="shared" si="0"/>
        <v/>
      </c>
      <c r="B56" s="2842">
        <f t="shared" si="1"/>
        <v>0</v>
      </c>
      <c r="C56" s="2871"/>
      <c r="D56" s="2872">
        <v>4102</v>
      </c>
      <c r="E56" s="2129" t="str">
        <f t="shared" si="8"/>
        <v/>
      </c>
      <c r="F56" s="2124"/>
      <c r="G56" s="2125" t="str">
        <f t="shared" si="9"/>
        <v/>
      </c>
      <c r="H56" s="2126" t="str">
        <f t="shared" si="10"/>
        <v/>
      </c>
      <c r="I56" s="2130" t="str">
        <f t="shared" si="15"/>
        <v>一般风险准备</v>
      </c>
      <c r="J56" s="2124"/>
      <c r="K56" s="2125">
        <f t="shared" si="13"/>
        <v>0</v>
      </c>
      <c r="L56" s="2128">
        <f t="shared" si="14"/>
        <v>0</v>
      </c>
      <c r="M56" s="1668"/>
      <c r="N56" s="1664"/>
      <c r="O56" s="1664"/>
      <c r="P56" s="1664"/>
    </row>
    <row r="57" spans="1:16" ht="21" customHeight="1">
      <c r="A57" s="2842" t="str">
        <f t="shared" si="0"/>
        <v/>
      </c>
      <c r="B57" s="2842">
        <f t="shared" si="1"/>
        <v>0</v>
      </c>
      <c r="C57" s="2871"/>
      <c r="D57" s="2872">
        <v>4200</v>
      </c>
      <c r="E57" s="2129" t="str">
        <f t="shared" si="8"/>
        <v/>
      </c>
      <c r="F57" s="2124"/>
      <c r="G57" s="2125" t="str">
        <f t="shared" si="9"/>
        <v/>
      </c>
      <c r="H57" s="2126" t="str">
        <f t="shared" si="10"/>
        <v/>
      </c>
      <c r="I57" s="2130" t="str">
        <f t="shared" si="15"/>
        <v>未分配利润</v>
      </c>
      <c r="J57" s="2124"/>
      <c r="K57" s="2125">
        <f t="shared" si="13"/>
        <v>-787982.98</v>
      </c>
      <c r="L57" s="2128">
        <f t="shared" si="14"/>
        <v>13291633.890000001</v>
      </c>
      <c r="M57" s="1668"/>
      <c r="N57" s="1664"/>
      <c r="O57" s="1664"/>
      <c r="P57" s="1664"/>
    </row>
    <row r="58" spans="1:16" ht="21" customHeight="1">
      <c r="A58" s="2842" t="str">
        <f t="shared" si="0"/>
        <v>＝</v>
      </c>
      <c r="B58" s="2842" t="str">
        <f t="shared" si="1"/>
        <v>＝</v>
      </c>
      <c r="C58" s="2871">
        <v>1998</v>
      </c>
      <c r="D58" s="2872">
        <v>4999</v>
      </c>
      <c r="E58" s="2133" t="str">
        <f>IF($C58="","",VLOOKUP($C58,Sheet_Items,6,0))</f>
        <v>非流动资产合计</v>
      </c>
      <c r="F58" s="2124"/>
      <c r="G58" s="2125">
        <f>SUM(G33:G57)</f>
        <v>24375997.280000001</v>
      </c>
      <c r="H58" s="2126">
        <f>SUM(H33:H57)</f>
        <v>26623513.859999999</v>
      </c>
      <c r="I58" s="2138" t="str">
        <f>IF($D58="","",VLOOKUP($D58,Sheet_Items,6,0))</f>
        <v>所有者权益合计</v>
      </c>
      <c r="J58" s="2124"/>
      <c r="K58" s="2125">
        <f>SUM(K47:K48,K51,-K52,K53:K57)</f>
        <v>41161011.640000001</v>
      </c>
      <c r="L58" s="2128">
        <f>SUM(L47:L48,L51,-L52,L53:L57)</f>
        <v>44768482.109999999</v>
      </c>
      <c r="M58" s="1668"/>
      <c r="N58" s="1664"/>
      <c r="O58" s="1664"/>
      <c r="P58" s="1664"/>
    </row>
    <row r="59" spans="1:16" ht="18.75" thickBot="1">
      <c r="A59" s="2842" t="str">
        <f t="shared" si="0"/>
        <v>＝</v>
      </c>
      <c r="B59" s="2842" t="str">
        <f t="shared" si="1"/>
        <v>＝</v>
      </c>
      <c r="C59" s="2871">
        <v>1999</v>
      </c>
      <c r="D59" s="2872">
        <v>5000</v>
      </c>
      <c r="E59" s="2895" t="str">
        <f>IF($C59="","",VLOOKUP($C59,Sheet_Items,6,0))</f>
        <v>资产总计</v>
      </c>
      <c r="F59" s="2139"/>
      <c r="G59" s="2140">
        <f>SUM(G31,G58)</f>
        <v>59310285.469999999</v>
      </c>
      <c r="H59" s="2141">
        <f>SUM(H31,H58)</f>
        <v>59007107.990000002</v>
      </c>
      <c r="I59" s="2142" t="str">
        <f>IF($D59="","",VLOOKUP($D59,Sheet_Items,6,0))</f>
        <v>负债和所有者权益总计</v>
      </c>
      <c r="J59" s="2139"/>
      <c r="K59" s="2140">
        <f>SUM(K45,K58)</f>
        <v>59310285.469999999</v>
      </c>
      <c r="L59" s="2143">
        <f>SUM(L45,L58)</f>
        <v>59007107.990000002</v>
      </c>
      <c r="M59" s="1668"/>
      <c r="N59" s="1664"/>
      <c r="O59" s="1664"/>
      <c r="P59" s="1664"/>
    </row>
    <row r="60" spans="1:16" ht="18">
      <c r="A60" s="2870"/>
      <c r="B60" s="2870"/>
      <c r="C60" s="2876"/>
      <c r="D60" s="2876"/>
      <c r="E60" s="2014" t="str">
        <f>"法定代表人："&amp;Lead!$C$8</f>
        <v>法定代表人：</v>
      </c>
      <c r="F60" s="2119"/>
      <c r="G60" s="2119"/>
      <c r="H60" s="2119" t="str">
        <f>Lead!$B$9&amp;"："&amp;Lead!$C$9</f>
        <v>主管会计工作负责人：</v>
      </c>
      <c r="I60" s="2119"/>
      <c r="J60" s="2119"/>
      <c r="K60" s="2119" t="str">
        <f>Lead!$B$10&amp;"："&amp;Lead!$C$10</f>
        <v>会计机构负责人：</v>
      </c>
      <c r="L60" s="2119"/>
      <c r="M60" s="1668"/>
    </row>
    <row r="61" spans="1:16" ht="20.100000000000001" customHeight="1">
      <c r="A61" s="2870"/>
      <c r="B61" s="2870"/>
      <c r="C61" s="2870"/>
      <c r="D61" s="2870"/>
      <c r="E61" s="1668"/>
      <c r="F61" s="1668"/>
      <c r="G61" s="1668"/>
      <c r="H61" s="1668"/>
      <c r="I61" s="1668"/>
      <c r="J61" s="1668"/>
      <c r="K61" s="1669"/>
      <c r="L61" s="1669"/>
      <c r="M61" s="1668"/>
      <c r="N61" s="1664"/>
      <c r="O61" s="1664"/>
      <c r="P61" s="1664"/>
    </row>
    <row r="62" spans="1:16" ht="18.75" customHeight="1">
      <c r="A62" s="2870"/>
      <c r="B62" s="2870"/>
      <c r="C62" s="2870"/>
      <c r="D62" s="2870"/>
      <c r="E62" s="1668"/>
      <c r="F62" s="1668"/>
      <c r="G62" s="1668"/>
      <c r="H62" s="1668"/>
      <c r="I62" s="1668"/>
      <c r="J62" s="1668"/>
      <c r="K62" s="1668"/>
      <c r="L62" s="1668"/>
      <c r="M62" s="1668"/>
      <c r="N62" s="1664"/>
      <c r="O62" s="1664"/>
      <c r="P62" s="1664"/>
    </row>
    <row r="63" spans="1:16">
      <c r="A63" s="2870"/>
      <c r="B63" s="2870"/>
      <c r="C63" s="2870"/>
      <c r="D63" s="2870"/>
      <c r="E63" s="1668"/>
      <c r="F63" s="1668"/>
      <c r="G63" s="1668"/>
      <c r="H63" s="1668"/>
      <c r="I63" s="1668"/>
      <c r="J63" s="1668"/>
      <c r="K63" s="1668"/>
      <c r="L63" s="1668"/>
      <c r="M63" s="1668"/>
      <c r="N63" s="1664"/>
      <c r="O63" s="1664"/>
      <c r="P63" s="1664"/>
    </row>
    <row r="64" spans="1:16" ht="15">
      <c r="A64" s="2870" t="s">
        <v>2565</v>
      </c>
      <c r="B64" s="2870"/>
      <c r="C64" s="2870"/>
      <c r="D64" s="2870"/>
      <c r="E64" s="1670" t="s">
        <v>5752</v>
      </c>
      <c r="F64" s="1671"/>
      <c r="G64" s="1672"/>
      <c r="H64" s="1672"/>
      <c r="I64" s="1672"/>
      <c r="J64" s="1672"/>
      <c r="K64" s="1672"/>
      <c r="L64" s="1673"/>
      <c r="M64" s="1674"/>
      <c r="N64" s="1664"/>
      <c r="O64" s="1664"/>
      <c r="P64" s="1664"/>
    </row>
    <row r="65" spans="1:16" ht="17.25">
      <c r="A65" s="2870" t="s">
        <v>2565</v>
      </c>
      <c r="B65" s="2870"/>
      <c r="C65" s="2870"/>
      <c r="D65" s="2870"/>
      <c r="E65" s="1675" t="s">
        <v>5753</v>
      </c>
      <c r="F65" s="1672"/>
      <c r="G65" s="1672"/>
      <c r="H65" s="1672" t="s">
        <v>5754</v>
      </c>
      <c r="I65" s="1672" t="s">
        <v>5755</v>
      </c>
      <c r="J65" s="1676"/>
      <c r="K65" s="1672" t="s">
        <v>5756</v>
      </c>
      <c r="L65" s="1677" t="s">
        <v>2550</v>
      </c>
      <c r="M65" s="1674"/>
      <c r="N65" s="1664"/>
      <c r="O65" s="1664"/>
      <c r="P65" s="1664"/>
    </row>
    <row r="66" spans="1:16" ht="18">
      <c r="A66" s="2877" t="s">
        <v>2565</v>
      </c>
      <c r="B66" s="2870"/>
      <c r="C66" s="2870"/>
      <c r="D66" s="2870"/>
      <c r="E66" s="1678" t="s">
        <v>5757</v>
      </c>
      <c r="F66" s="1679"/>
      <c r="G66" s="1680"/>
      <c r="H66" s="1681"/>
      <c r="I66" s="1682"/>
      <c r="J66" s="1680"/>
      <c r="K66" s="1683"/>
      <c r="L66" s="1684"/>
      <c r="M66" s="1674"/>
      <c r="N66" s="1664"/>
      <c r="O66" s="1664"/>
      <c r="P66" s="1664"/>
    </row>
    <row r="67" spans="1:16" ht="18">
      <c r="A67" s="2877" t="s">
        <v>2565</v>
      </c>
      <c r="B67" s="2870"/>
      <c r="C67" s="2870"/>
      <c r="D67" s="2870"/>
      <c r="E67" s="1685" t="str">
        <f>$G$6</f>
        <v>2019年12月31日</v>
      </c>
      <c r="F67" s="1686"/>
      <c r="G67" s="1687"/>
      <c r="H67" s="1688"/>
      <c r="I67" s="1688"/>
      <c r="J67" s="1687"/>
      <c r="K67" s="1689"/>
      <c r="L67" s="1690"/>
      <c r="M67" s="853"/>
      <c r="N67" s="1664"/>
      <c r="O67" s="1664"/>
      <c r="P67" s="1664"/>
    </row>
    <row r="68" spans="1:16" ht="18">
      <c r="A68" s="2877" t="s">
        <v>2565</v>
      </c>
      <c r="B68" s="2870"/>
      <c r="C68" s="2870"/>
      <c r="D68" s="2870"/>
      <c r="E68" s="1691" t="str">
        <f>E59</f>
        <v>资产总计</v>
      </c>
      <c r="F68" s="1692"/>
      <c r="G68" s="1687"/>
      <c r="H68" s="1693">
        <f>G59</f>
        <v>59310285.469999999</v>
      </c>
      <c r="I68" s="1688" t="str">
        <f>I59</f>
        <v>负债和所有者权益总计</v>
      </c>
      <c r="J68" s="1687"/>
      <c r="K68" s="1694">
        <f>K59</f>
        <v>59310285.469999999</v>
      </c>
      <c r="L68" s="1695">
        <f>ROUND(H68-K68,2)</f>
        <v>0</v>
      </c>
      <c r="M68" s="1696" t="str">
        <f>IF(L68=0,"√","×")</f>
        <v>√</v>
      </c>
      <c r="N68" s="1664"/>
      <c r="O68" s="1664"/>
      <c r="P68" s="1664"/>
    </row>
    <row r="69" spans="1:16" ht="18">
      <c r="A69" s="2877" t="s">
        <v>2565</v>
      </c>
      <c r="B69" s="2870"/>
      <c r="C69" s="2870"/>
      <c r="D69" s="2870"/>
      <c r="E69" s="1697" t="str">
        <f>$H$6</f>
        <v>2018年12月31日</v>
      </c>
      <c r="F69" s="1698"/>
      <c r="G69" s="1687"/>
      <c r="H69" s="1688"/>
      <c r="I69" s="1688"/>
      <c r="J69" s="1687"/>
      <c r="K69" s="1689"/>
      <c r="L69" s="1690"/>
      <c r="M69" s="1699"/>
    </row>
    <row r="70" spans="1:16" ht="18.75" thickBot="1">
      <c r="A70" s="2877" t="s">
        <v>2565</v>
      </c>
      <c r="B70" s="2870"/>
      <c r="C70" s="2870"/>
      <c r="D70" s="2870"/>
      <c r="E70" s="1700" t="str">
        <f>E59</f>
        <v>资产总计</v>
      </c>
      <c r="F70" s="1701"/>
      <c r="G70" s="1702"/>
      <c r="H70" s="1703">
        <f>H59</f>
        <v>59007107.990000002</v>
      </c>
      <c r="I70" s="1704" t="str">
        <f>I59</f>
        <v>负债和所有者权益总计</v>
      </c>
      <c r="J70" s="1702"/>
      <c r="K70" s="1705">
        <f>L59</f>
        <v>59007107.990000002</v>
      </c>
      <c r="L70" s="1706">
        <f>ROUND(H70-K70,2)</f>
        <v>0</v>
      </c>
      <c r="M70" s="1696" t="str">
        <f>IF(L70=0,"√","×")</f>
        <v>√</v>
      </c>
      <c r="N70" s="1664"/>
      <c r="O70" s="1664"/>
      <c r="P70" s="1664"/>
    </row>
    <row r="71" spans="1:16">
      <c r="E71" s="1664"/>
      <c r="F71" s="1664"/>
      <c r="G71" s="1664"/>
      <c r="H71" s="1664"/>
      <c r="I71" s="1664"/>
      <c r="J71" s="1664"/>
      <c r="K71" s="1664"/>
      <c r="L71" s="1664"/>
    </row>
    <row r="72" spans="1:16">
      <c r="E72" s="1664"/>
      <c r="F72" s="1664"/>
      <c r="G72" s="1664"/>
      <c r="H72" s="1664"/>
      <c r="I72" s="1664"/>
      <c r="J72" s="1664"/>
      <c r="K72" s="1664"/>
      <c r="L72" s="1664"/>
    </row>
    <row r="73" spans="1:16">
      <c r="E73" s="1664"/>
      <c r="F73" s="1664"/>
      <c r="G73" s="1664"/>
      <c r="H73" s="1664"/>
      <c r="I73" s="1664"/>
      <c r="J73" s="1664"/>
      <c r="K73" s="1664"/>
      <c r="L73" s="1664"/>
    </row>
    <row r="74" spans="1:16">
      <c r="E74" s="1664"/>
      <c r="F74" s="1664"/>
      <c r="G74" s="1664"/>
      <c r="H74" s="1664"/>
      <c r="I74" s="1664"/>
      <c r="J74" s="1664"/>
      <c r="K74" s="1664"/>
      <c r="L74" s="1664"/>
    </row>
    <row r="75" spans="1:16">
      <c r="E75" s="1664"/>
      <c r="F75" s="1664"/>
      <c r="G75" s="1664"/>
      <c r="H75" s="1664"/>
      <c r="I75" s="1664"/>
      <c r="J75" s="1664"/>
      <c r="K75" s="1664"/>
      <c r="L75" s="1664"/>
    </row>
  </sheetData>
  <sheetProtection password="94A0" sheet="1" scenarios="1" formatCells="0" autoFilter="0"/>
  <mergeCells count="2">
    <mergeCell ref="E2:L2"/>
    <mergeCell ref="E3:L3"/>
  </mergeCells>
  <phoneticPr fontId="163" type="noConversion"/>
  <conditionalFormatting sqref="E65:F65">
    <cfRule type="expression" dxfId="52" priority="18" stopIfTrue="1">
      <formula>#REF!=TRUE</formula>
    </cfRule>
  </conditionalFormatting>
  <conditionalFormatting sqref="L69 L67 L71">
    <cfRule type="cellIs" dxfId="51" priority="17" stopIfTrue="1" operator="notEqual">
      <formula>0</formula>
    </cfRule>
  </conditionalFormatting>
  <conditionalFormatting sqref="E64:F64">
    <cfRule type="expression" dxfId="50" priority="16" stopIfTrue="1">
      <formula>#REF!=TRUE</formula>
    </cfRule>
  </conditionalFormatting>
  <conditionalFormatting sqref="L68 L66 L70">
    <cfRule type="cellIs" dxfId="49" priority="15" stopIfTrue="1" operator="notEqual">
      <formula>0</formula>
    </cfRule>
  </conditionalFormatting>
  <conditionalFormatting sqref="E64:F64">
    <cfRule type="expression" dxfId="48" priority="14" stopIfTrue="1">
      <formula>#REF!=TRUE</formula>
    </cfRule>
  </conditionalFormatting>
  <conditionalFormatting sqref="L68 L66 L70">
    <cfRule type="cellIs" dxfId="47" priority="13" stopIfTrue="1" operator="notEqual">
      <formula>0</formula>
    </cfRule>
  </conditionalFormatting>
  <conditionalFormatting sqref="L69 L67">
    <cfRule type="cellIs" dxfId="46" priority="12" stopIfTrue="1" operator="notEqual">
      <formula>0</formula>
    </cfRule>
  </conditionalFormatting>
  <conditionalFormatting sqref="L68 L70">
    <cfRule type="cellIs" dxfId="45" priority="11" stopIfTrue="1" operator="notEqual">
      <formula>0</formula>
    </cfRule>
  </conditionalFormatting>
  <conditionalFormatting sqref="L68 L70">
    <cfRule type="cellIs" dxfId="44" priority="10" stopIfTrue="1" operator="notEqual">
      <formula>0</formula>
    </cfRule>
  </conditionalFormatting>
  <conditionalFormatting sqref="E65:F65">
    <cfRule type="expression" dxfId="43" priority="9" stopIfTrue="1">
      <formula>#REF!=TRUE</formula>
    </cfRule>
  </conditionalFormatting>
  <conditionalFormatting sqref="L69 L67">
    <cfRule type="cellIs" dxfId="42" priority="8" stopIfTrue="1" operator="notEqual">
      <formula>0</formula>
    </cfRule>
  </conditionalFormatting>
  <conditionalFormatting sqref="E64:F64">
    <cfRule type="expression" dxfId="41" priority="7" stopIfTrue="1">
      <formula>#REF!=TRUE</formula>
    </cfRule>
  </conditionalFormatting>
  <conditionalFormatting sqref="L68 L66 L70">
    <cfRule type="cellIs" dxfId="40" priority="6" stopIfTrue="1" operator="notEqual">
      <formula>0</formula>
    </cfRule>
  </conditionalFormatting>
  <conditionalFormatting sqref="E64:F64">
    <cfRule type="expression" dxfId="39" priority="5" stopIfTrue="1">
      <formula>#REF!=TRUE</formula>
    </cfRule>
  </conditionalFormatting>
  <conditionalFormatting sqref="L68 L66 L70">
    <cfRule type="cellIs" dxfId="38" priority="4" stopIfTrue="1" operator="notEqual">
      <formula>0</formula>
    </cfRule>
  </conditionalFormatting>
  <conditionalFormatting sqref="L69 L67">
    <cfRule type="cellIs" dxfId="37" priority="3" stopIfTrue="1" operator="notEqual">
      <formula>0</formula>
    </cfRule>
  </conditionalFormatting>
  <conditionalFormatting sqref="L68 L70">
    <cfRule type="cellIs" dxfId="36" priority="2" stopIfTrue="1" operator="notEqual">
      <formula>0</formula>
    </cfRule>
  </conditionalFormatting>
  <conditionalFormatting sqref="L68 L70">
    <cfRule type="cellIs" dxfId="35" priority="1" stopIfTrue="1" operator="notEqual">
      <formula>0</formula>
    </cfRule>
  </conditionalFormatting>
  <dataValidations count="1">
    <dataValidation type="list" allowBlank="1" showInputMessage="1" showErrorMessage="1" sqref="M66 JI66 TE66 ADA66 AMW66 AWS66 BGO66 BQK66 CAG66 CKC66 CTY66 DDU66 DNQ66 DXM66 EHI66 ERE66 FBA66 FKW66 FUS66 GEO66 GOK66 GYG66 HIC66 HRY66 IBU66 ILQ66 IVM66 JFI66 JPE66 JZA66 KIW66 KSS66 LCO66 LMK66 LWG66 MGC66 MPY66 MZU66 NJQ66 NTM66 ODI66 ONE66 OXA66 PGW66 PQS66 QAO66 QKK66 QUG66 REC66 RNY66 RXU66 SHQ66 SRM66 TBI66 TLE66 TVA66 UEW66 UOS66 UYO66 VIK66 VSG66 WCC66 WLY66 WVU66 M65602 JI65602 TE65602 ADA65602 AMW65602 AWS65602 BGO65602 BQK65602 CAG65602 CKC65602 CTY65602 DDU65602 DNQ65602 DXM65602 EHI65602 ERE65602 FBA65602 FKW65602 FUS65602 GEO65602 GOK65602 GYG65602 HIC65602 HRY65602 IBU65602 ILQ65602 IVM65602 JFI65602 JPE65602 JZA65602 KIW65602 KSS65602 LCO65602 LMK65602 LWG65602 MGC65602 MPY65602 MZU65602 NJQ65602 NTM65602 ODI65602 ONE65602 OXA65602 PGW65602 PQS65602 QAO65602 QKK65602 QUG65602 REC65602 RNY65602 RXU65602 SHQ65602 SRM65602 TBI65602 TLE65602 TVA65602 UEW65602 UOS65602 UYO65602 VIK65602 VSG65602 WCC65602 WLY65602 WVU65602 M131138 JI131138 TE131138 ADA131138 AMW131138 AWS131138 BGO131138 BQK131138 CAG131138 CKC131138 CTY131138 DDU131138 DNQ131138 DXM131138 EHI131138 ERE131138 FBA131138 FKW131138 FUS131138 GEO131138 GOK131138 GYG131138 HIC131138 HRY131138 IBU131138 ILQ131138 IVM131138 JFI131138 JPE131138 JZA131138 KIW131138 KSS131138 LCO131138 LMK131138 LWG131138 MGC131138 MPY131138 MZU131138 NJQ131138 NTM131138 ODI131138 ONE131138 OXA131138 PGW131138 PQS131138 QAO131138 QKK131138 QUG131138 REC131138 RNY131138 RXU131138 SHQ131138 SRM131138 TBI131138 TLE131138 TVA131138 UEW131138 UOS131138 UYO131138 VIK131138 VSG131138 WCC131138 WLY131138 WVU131138 M196674 JI196674 TE196674 ADA196674 AMW196674 AWS196674 BGO196674 BQK196674 CAG196674 CKC196674 CTY196674 DDU196674 DNQ196674 DXM196674 EHI196674 ERE196674 FBA196674 FKW196674 FUS196674 GEO196674 GOK196674 GYG196674 HIC196674 HRY196674 IBU196674 ILQ196674 IVM196674 JFI196674 JPE196674 JZA196674 KIW196674 KSS196674 LCO196674 LMK196674 LWG196674 MGC196674 MPY196674 MZU196674 NJQ196674 NTM196674 ODI196674 ONE196674 OXA196674 PGW196674 PQS196674 QAO196674 QKK196674 QUG196674 REC196674 RNY196674 RXU196674 SHQ196674 SRM196674 TBI196674 TLE196674 TVA196674 UEW196674 UOS196674 UYO196674 VIK196674 VSG196674 WCC196674 WLY196674 WVU196674 M262210 JI262210 TE262210 ADA262210 AMW262210 AWS262210 BGO262210 BQK262210 CAG262210 CKC262210 CTY262210 DDU262210 DNQ262210 DXM262210 EHI262210 ERE262210 FBA262210 FKW262210 FUS262210 GEO262210 GOK262210 GYG262210 HIC262210 HRY262210 IBU262210 ILQ262210 IVM262210 JFI262210 JPE262210 JZA262210 KIW262210 KSS262210 LCO262210 LMK262210 LWG262210 MGC262210 MPY262210 MZU262210 NJQ262210 NTM262210 ODI262210 ONE262210 OXA262210 PGW262210 PQS262210 QAO262210 QKK262210 QUG262210 REC262210 RNY262210 RXU262210 SHQ262210 SRM262210 TBI262210 TLE262210 TVA262210 UEW262210 UOS262210 UYO262210 VIK262210 VSG262210 WCC262210 WLY262210 WVU262210 M327746 JI327746 TE327746 ADA327746 AMW327746 AWS327746 BGO327746 BQK327746 CAG327746 CKC327746 CTY327746 DDU327746 DNQ327746 DXM327746 EHI327746 ERE327746 FBA327746 FKW327746 FUS327746 GEO327746 GOK327746 GYG327746 HIC327746 HRY327746 IBU327746 ILQ327746 IVM327746 JFI327746 JPE327746 JZA327746 KIW327746 KSS327746 LCO327746 LMK327746 LWG327746 MGC327746 MPY327746 MZU327746 NJQ327746 NTM327746 ODI327746 ONE327746 OXA327746 PGW327746 PQS327746 QAO327746 QKK327746 QUG327746 REC327746 RNY327746 RXU327746 SHQ327746 SRM327746 TBI327746 TLE327746 TVA327746 UEW327746 UOS327746 UYO327746 VIK327746 VSG327746 WCC327746 WLY327746 WVU327746 M393282 JI393282 TE393282 ADA393282 AMW393282 AWS393282 BGO393282 BQK393282 CAG393282 CKC393282 CTY393282 DDU393282 DNQ393282 DXM393282 EHI393282 ERE393282 FBA393282 FKW393282 FUS393282 GEO393282 GOK393282 GYG393282 HIC393282 HRY393282 IBU393282 ILQ393282 IVM393282 JFI393282 JPE393282 JZA393282 KIW393282 KSS393282 LCO393282 LMK393282 LWG393282 MGC393282 MPY393282 MZU393282 NJQ393282 NTM393282 ODI393282 ONE393282 OXA393282 PGW393282 PQS393282 QAO393282 QKK393282 QUG393282 REC393282 RNY393282 RXU393282 SHQ393282 SRM393282 TBI393282 TLE393282 TVA393282 UEW393282 UOS393282 UYO393282 VIK393282 VSG393282 WCC393282 WLY393282 WVU393282 M458818 JI458818 TE458818 ADA458818 AMW458818 AWS458818 BGO458818 BQK458818 CAG458818 CKC458818 CTY458818 DDU458818 DNQ458818 DXM458818 EHI458818 ERE458818 FBA458818 FKW458818 FUS458818 GEO458818 GOK458818 GYG458818 HIC458818 HRY458818 IBU458818 ILQ458818 IVM458818 JFI458818 JPE458818 JZA458818 KIW458818 KSS458818 LCO458818 LMK458818 LWG458818 MGC458818 MPY458818 MZU458818 NJQ458818 NTM458818 ODI458818 ONE458818 OXA458818 PGW458818 PQS458818 QAO458818 QKK458818 QUG458818 REC458818 RNY458818 RXU458818 SHQ458818 SRM458818 TBI458818 TLE458818 TVA458818 UEW458818 UOS458818 UYO458818 VIK458818 VSG458818 WCC458818 WLY458818 WVU458818 M524354 JI524354 TE524354 ADA524354 AMW524354 AWS524354 BGO524354 BQK524354 CAG524354 CKC524354 CTY524354 DDU524354 DNQ524354 DXM524354 EHI524354 ERE524354 FBA524354 FKW524354 FUS524354 GEO524354 GOK524354 GYG524354 HIC524354 HRY524354 IBU524354 ILQ524354 IVM524354 JFI524354 JPE524354 JZA524354 KIW524354 KSS524354 LCO524354 LMK524354 LWG524354 MGC524354 MPY524354 MZU524354 NJQ524354 NTM524354 ODI524354 ONE524354 OXA524354 PGW524354 PQS524354 QAO524354 QKK524354 QUG524354 REC524354 RNY524354 RXU524354 SHQ524354 SRM524354 TBI524354 TLE524354 TVA524354 UEW524354 UOS524354 UYO524354 VIK524354 VSG524354 WCC524354 WLY524354 WVU524354 M589890 JI589890 TE589890 ADA589890 AMW589890 AWS589890 BGO589890 BQK589890 CAG589890 CKC589890 CTY589890 DDU589890 DNQ589890 DXM589890 EHI589890 ERE589890 FBA589890 FKW589890 FUS589890 GEO589890 GOK589890 GYG589890 HIC589890 HRY589890 IBU589890 ILQ589890 IVM589890 JFI589890 JPE589890 JZA589890 KIW589890 KSS589890 LCO589890 LMK589890 LWG589890 MGC589890 MPY589890 MZU589890 NJQ589890 NTM589890 ODI589890 ONE589890 OXA589890 PGW589890 PQS589890 QAO589890 QKK589890 QUG589890 REC589890 RNY589890 RXU589890 SHQ589890 SRM589890 TBI589890 TLE589890 TVA589890 UEW589890 UOS589890 UYO589890 VIK589890 VSG589890 WCC589890 WLY589890 WVU589890 M655426 JI655426 TE655426 ADA655426 AMW655426 AWS655426 BGO655426 BQK655426 CAG655426 CKC655426 CTY655426 DDU655426 DNQ655426 DXM655426 EHI655426 ERE655426 FBA655426 FKW655426 FUS655426 GEO655426 GOK655426 GYG655426 HIC655426 HRY655426 IBU655426 ILQ655426 IVM655426 JFI655426 JPE655426 JZA655426 KIW655426 KSS655426 LCO655426 LMK655426 LWG655426 MGC655426 MPY655426 MZU655426 NJQ655426 NTM655426 ODI655426 ONE655426 OXA655426 PGW655426 PQS655426 QAO655426 QKK655426 QUG655426 REC655426 RNY655426 RXU655426 SHQ655426 SRM655426 TBI655426 TLE655426 TVA655426 UEW655426 UOS655426 UYO655426 VIK655426 VSG655426 WCC655426 WLY655426 WVU655426 M720962 JI720962 TE720962 ADA720962 AMW720962 AWS720962 BGO720962 BQK720962 CAG720962 CKC720962 CTY720962 DDU720962 DNQ720962 DXM720962 EHI720962 ERE720962 FBA720962 FKW720962 FUS720962 GEO720962 GOK720962 GYG720962 HIC720962 HRY720962 IBU720962 ILQ720962 IVM720962 JFI720962 JPE720962 JZA720962 KIW720962 KSS720962 LCO720962 LMK720962 LWG720962 MGC720962 MPY720962 MZU720962 NJQ720962 NTM720962 ODI720962 ONE720962 OXA720962 PGW720962 PQS720962 QAO720962 QKK720962 QUG720962 REC720962 RNY720962 RXU720962 SHQ720962 SRM720962 TBI720962 TLE720962 TVA720962 UEW720962 UOS720962 UYO720962 VIK720962 VSG720962 WCC720962 WLY720962 WVU720962 M786498 JI786498 TE786498 ADA786498 AMW786498 AWS786498 BGO786498 BQK786498 CAG786498 CKC786498 CTY786498 DDU786498 DNQ786498 DXM786498 EHI786498 ERE786498 FBA786498 FKW786498 FUS786498 GEO786498 GOK786498 GYG786498 HIC786498 HRY786498 IBU786498 ILQ786498 IVM786498 JFI786498 JPE786498 JZA786498 KIW786498 KSS786498 LCO786498 LMK786498 LWG786498 MGC786498 MPY786498 MZU786498 NJQ786498 NTM786498 ODI786498 ONE786498 OXA786498 PGW786498 PQS786498 QAO786498 QKK786498 QUG786498 REC786498 RNY786498 RXU786498 SHQ786498 SRM786498 TBI786498 TLE786498 TVA786498 UEW786498 UOS786498 UYO786498 VIK786498 VSG786498 WCC786498 WLY786498 WVU786498 M852034 JI852034 TE852034 ADA852034 AMW852034 AWS852034 BGO852034 BQK852034 CAG852034 CKC852034 CTY852034 DDU852034 DNQ852034 DXM852034 EHI852034 ERE852034 FBA852034 FKW852034 FUS852034 GEO852034 GOK852034 GYG852034 HIC852034 HRY852034 IBU852034 ILQ852034 IVM852034 JFI852034 JPE852034 JZA852034 KIW852034 KSS852034 LCO852034 LMK852034 LWG852034 MGC852034 MPY852034 MZU852034 NJQ852034 NTM852034 ODI852034 ONE852034 OXA852034 PGW852034 PQS852034 QAO852034 QKK852034 QUG852034 REC852034 RNY852034 RXU852034 SHQ852034 SRM852034 TBI852034 TLE852034 TVA852034 UEW852034 UOS852034 UYO852034 VIK852034 VSG852034 WCC852034 WLY852034 WVU852034 M917570 JI917570 TE917570 ADA917570 AMW917570 AWS917570 BGO917570 BQK917570 CAG917570 CKC917570 CTY917570 DDU917570 DNQ917570 DXM917570 EHI917570 ERE917570 FBA917570 FKW917570 FUS917570 GEO917570 GOK917570 GYG917570 HIC917570 HRY917570 IBU917570 ILQ917570 IVM917570 JFI917570 JPE917570 JZA917570 KIW917570 KSS917570 LCO917570 LMK917570 LWG917570 MGC917570 MPY917570 MZU917570 NJQ917570 NTM917570 ODI917570 ONE917570 OXA917570 PGW917570 PQS917570 QAO917570 QKK917570 QUG917570 REC917570 RNY917570 RXU917570 SHQ917570 SRM917570 TBI917570 TLE917570 TVA917570 UEW917570 UOS917570 UYO917570 VIK917570 VSG917570 WCC917570 WLY917570 WVU917570 M983106 JI983106 TE983106 ADA983106 AMW983106 AWS983106 BGO983106 BQK983106 CAG983106 CKC983106 CTY983106 DDU983106 DNQ983106 DXM983106 EHI983106 ERE983106 FBA983106 FKW983106 FUS983106 GEO983106 GOK983106 GYG983106 HIC983106 HRY983106 IBU983106 ILQ983106 IVM983106 JFI983106 JPE983106 JZA983106 KIW983106 KSS983106 LCO983106 LMK983106 LWG983106 MGC983106 MPY983106 MZU983106 NJQ983106 NTM983106 ODI983106 ONE983106 OXA983106 PGW983106 PQS983106 QAO983106 QKK983106 QUG983106 REC983106 RNY983106 RXU983106 SHQ983106 SRM983106 TBI983106 TLE983106 TVA983106 UEW983106 UOS983106 UYO983106 VIK983106 VSG983106 WCC983106 WLY983106 WVU983106">
      <formula1>"√,√ 正常差异,×"</formula1>
    </dataValidation>
  </dataValidations>
  <printOptions horizontalCentered="1"/>
  <pageMargins left="0.74803149606299213" right="0" top="0.59055118110236227" bottom="0.19685039370078741" header="0.51181102362204722" footer="0.51181102362204722"/>
  <pageSetup paperSize="9" scale="60" orientation="portrait" blackAndWhite="1"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fitToPage="1"/>
  </sheetPr>
  <dimension ref="A1:J98"/>
  <sheetViews>
    <sheetView showZeros="0" workbookViewId="0">
      <selection activeCell="D7" sqref="D7"/>
    </sheetView>
  </sheetViews>
  <sheetFormatPr defaultRowHeight="12"/>
  <cols>
    <col min="1" max="2" width="0.140625" style="2797" customWidth="1"/>
    <col min="3" max="3" width="82.7109375" style="1665" customWidth="1"/>
    <col min="4" max="4" width="12.7109375" style="1665" customWidth="1"/>
    <col min="5" max="6" width="22.7109375" style="1665" customWidth="1"/>
    <col min="7" max="256" width="9.140625" style="1665"/>
    <col min="257" max="258" width="0.140625" style="1665" customWidth="1"/>
    <col min="259" max="259" width="78.7109375" style="1665" customWidth="1"/>
    <col min="260" max="260" width="8.7109375" style="1665" customWidth="1"/>
    <col min="261" max="262" width="20.7109375" style="1665" customWidth="1"/>
    <col min="263" max="512" width="9.140625" style="1665"/>
    <col min="513" max="514" width="0.140625" style="1665" customWidth="1"/>
    <col min="515" max="515" width="78.7109375" style="1665" customWidth="1"/>
    <col min="516" max="516" width="8.7109375" style="1665" customWidth="1"/>
    <col min="517" max="518" width="20.7109375" style="1665" customWidth="1"/>
    <col min="519" max="768" width="9.140625" style="1665"/>
    <col min="769" max="770" width="0.140625" style="1665" customWidth="1"/>
    <col min="771" max="771" width="78.7109375" style="1665" customWidth="1"/>
    <col min="772" max="772" width="8.7109375" style="1665" customWidth="1"/>
    <col min="773" max="774" width="20.7109375" style="1665" customWidth="1"/>
    <col min="775" max="1024" width="9.140625" style="1665"/>
    <col min="1025" max="1026" width="0.140625" style="1665" customWidth="1"/>
    <col min="1027" max="1027" width="78.7109375" style="1665" customWidth="1"/>
    <col min="1028" max="1028" width="8.7109375" style="1665" customWidth="1"/>
    <col min="1029" max="1030" width="20.7109375" style="1665" customWidth="1"/>
    <col min="1031" max="1280" width="9.140625" style="1665"/>
    <col min="1281" max="1282" width="0.140625" style="1665" customWidth="1"/>
    <col min="1283" max="1283" width="78.7109375" style="1665" customWidth="1"/>
    <col min="1284" max="1284" width="8.7109375" style="1665" customWidth="1"/>
    <col min="1285" max="1286" width="20.7109375" style="1665" customWidth="1"/>
    <col min="1287" max="1536" width="9.140625" style="1665"/>
    <col min="1537" max="1538" width="0.140625" style="1665" customWidth="1"/>
    <col min="1539" max="1539" width="78.7109375" style="1665" customWidth="1"/>
    <col min="1540" max="1540" width="8.7109375" style="1665" customWidth="1"/>
    <col min="1541" max="1542" width="20.7109375" style="1665" customWidth="1"/>
    <col min="1543" max="1792" width="9.140625" style="1665"/>
    <col min="1793" max="1794" width="0.140625" style="1665" customWidth="1"/>
    <col min="1795" max="1795" width="78.7109375" style="1665" customWidth="1"/>
    <col min="1796" max="1796" width="8.7109375" style="1665" customWidth="1"/>
    <col min="1797" max="1798" width="20.7109375" style="1665" customWidth="1"/>
    <col min="1799" max="2048" width="9.140625" style="1665"/>
    <col min="2049" max="2050" width="0.140625" style="1665" customWidth="1"/>
    <col min="2051" max="2051" width="78.7109375" style="1665" customWidth="1"/>
    <col min="2052" max="2052" width="8.7109375" style="1665" customWidth="1"/>
    <col min="2053" max="2054" width="20.7109375" style="1665" customWidth="1"/>
    <col min="2055" max="2304" width="9.140625" style="1665"/>
    <col min="2305" max="2306" width="0.140625" style="1665" customWidth="1"/>
    <col min="2307" max="2307" width="78.7109375" style="1665" customWidth="1"/>
    <col min="2308" max="2308" width="8.7109375" style="1665" customWidth="1"/>
    <col min="2309" max="2310" width="20.7109375" style="1665" customWidth="1"/>
    <col min="2311" max="2560" width="9.140625" style="1665"/>
    <col min="2561" max="2562" width="0.140625" style="1665" customWidth="1"/>
    <col min="2563" max="2563" width="78.7109375" style="1665" customWidth="1"/>
    <col min="2564" max="2564" width="8.7109375" style="1665" customWidth="1"/>
    <col min="2565" max="2566" width="20.7109375" style="1665" customWidth="1"/>
    <col min="2567" max="2816" width="9.140625" style="1665"/>
    <col min="2817" max="2818" width="0.140625" style="1665" customWidth="1"/>
    <col min="2819" max="2819" width="78.7109375" style="1665" customWidth="1"/>
    <col min="2820" max="2820" width="8.7109375" style="1665" customWidth="1"/>
    <col min="2821" max="2822" width="20.7109375" style="1665" customWidth="1"/>
    <col min="2823" max="3072" width="9.140625" style="1665"/>
    <col min="3073" max="3074" width="0.140625" style="1665" customWidth="1"/>
    <col min="3075" max="3075" width="78.7109375" style="1665" customWidth="1"/>
    <col min="3076" max="3076" width="8.7109375" style="1665" customWidth="1"/>
    <col min="3077" max="3078" width="20.7109375" style="1665" customWidth="1"/>
    <col min="3079" max="3328" width="9.140625" style="1665"/>
    <col min="3329" max="3330" width="0.140625" style="1665" customWidth="1"/>
    <col min="3331" max="3331" width="78.7109375" style="1665" customWidth="1"/>
    <col min="3332" max="3332" width="8.7109375" style="1665" customWidth="1"/>
    <col min="3333" max="3334" width="20.7109375" style="1665" customWidth="1"/>
    <col min="3335" max="3584" width="9.140625" style="1665"/>
    <col min="3585" max="3586" width="0.140625" style="1665" customWidth="1"/>
    <col min="3587" max="3587" width="78.7109375" style="1665" customWidth="1"/>
    <col min="3588" max="3588" width="8.7109375" style="1665" customWidth="1"/>
    <col min="3589" max="3590" width="20.7109375" style="1665" customWidth="1"/>
    <col min="3591" max="3840" width="9.140625" style="1665"/>
    <col min="3841" max="3842" width="0.140625" style="1665" customWidth="1"/>
    <col min="3843" max="3843" width="78.7109375" style="1665" customWidth="1"/>
    <col min="3844" max="3844" width="8.7109375" style="1665" customWidth="1"/>
    <col min="3845" max="3846" width="20.7109375" style="1665" customWidth="1"/>
    <col min="3847" max="4096" width="9.140625" style="1665"/>
    <col min="4097" max="4098" width="0.140625" style="1665" customWidth="1"/>
    <col min="4099" max="4099" width="78.7109375" style="1665" customWidth="1"/>
    <col min="4100" max="4100" width="8.7109375" style="1665" customWidth="1"/>
    <col min="4101" max="4102" width="20.7109375" style="1665" customWidth="1"/>
    <col min="4103" max="4352" width="9.140625" style="1665"/>
    <col min="4353" max="4354" width="0.140625" style="1665" customWidth="1"/>
    <col min="4355" max="4355" width="78.7109375" style="1665" customWidth="1"/>
    <col min="4356" max="4356" width="8.7109375" style="1665" customWidth="1"/>
    <col min="4357" max="4358" width="20.7109375" style="1665" customWidth="1"/>
    <col min="4359" max="4608" width="9.140625" style="1665"/>
    <col min="4609" max="4610" width="0.140625" style="1665" customWidth="1"/>
    <col min="4611" max="4611" width="78.7109375" style="1665" customWidth="1"/>
    <col min="4612" max="4612" width="8.7109375" style="1665" customWidth="1"/>
    <col min="4613" max="4614" width="20.7109375" style="1665" customWidth="1"/>
    <col min="4615" max="4864" width="9.140625" style="1665"/>
    <col min="4865" max="4866" width="0.140625" style="1665" customWidth="1"/>
    <col min="4867" max="4867" width="78.7109375" style="1665" customWidth="1"/>
    <col min="4868" max="4868" width="8.7109375" style="1665" customWidth="1"/>
    <col min="4869" max="4870" width="20.7109375" style="1665" customWidth="1"/>
    <col min="4871" max="5120" width="9.140625" style="1665"/>
    <col min="5121" max="5122" width="0.140625" style="1665" customWidth="1"/>
    <col min="5123" max="5123" width="78.7109375" style="1665" customWidth="1"/>
    <col min="5124" max="5124" width="8.7109375" style="1665" customWidth="1"/>
    <col min="5125" max="5126" width="20.7109375" style="1665" customWidth="1"/>
    <col min="5127" max="5376" width="9.140625" style="1665"/>
    <col min="5377" max="5378" width="0.140625" style="1665" customWidth="1"/>
    <col min="5379" max="5379" width="78.7109375" style="1665" customWidth="1"/>
    <col min="5380" max="5380" width="8.7109375" style="1665" customWidth="1"/>
    <col min="5381" max="5382" width="20.7109375" style="1665" customWidth="1"/>
    <col min="5383" max="5632" width="9.140625" style="1665"/>
    <col min="5633" max="5634" width="0.140625" style="1665" customWidth="1"/>
    <col min="5635" max="5635" width="78.7109375" style="1665" customWidth="1"/>
    <col min="5636" max="5636" width="8.7109375" style="1665" customWidth="1"/>
    <col min="5637" max="5638" width="20.7109375" style="1665" customWidth="1"/>
    <col min="5639" max="5888" width="9.140625" style="1665"/>
    <col min="5889" max="5890" width="0.140625" style="1665" customWidth="1"/>
    <col min="5891" max="5891" width="78.7109375" style="1665" customWidth="1"/>
    <col min="5892" max="5892" width="8.7109375" style="1665" customWidth="1"/>
    <col min="5893" max="5894" width="20.7109375" style="1665" customWidth="1"/>
    <col min="5895" max="6144" width="9.140625" style="1665"/>
    <col min="6145" max="6146" width="0.140625" style="1665" customWidth="1"/>
    <col min="6147" max="6147" width="78.7109375" style="1665" customWidth="1"/>
    <col min="6148" max="6148" width="8.7109375" style="1665" customWidth="1"/>
    <col min="6149" max="6150" width="20.7109375" style="1665" customWidth="1"/>
    <col min="6151" max="6400" width="9.140625" style="1665"/>
    <col min="6401" max="6402" width="0.140625" style="1665" customWidth="1"/>
    <col min="6403" max="6403" width="78.7109375" style="1665" customWidth="1"/>
    <col min="6404" max="6404" width="8.7109375" style="1665" customWidth="1"/>
    <col min="6405" max="6406" width="20.7109375" style="1665" customWidth="1"/>
    <col min="6407" max="6656" width="9.140625" style="1665"/>
    <col min="6657" max="6658" width="0.140625" style="1665" customWidth="1"/>
    <col min="6659" max="6659" width="78.7109375" style="1665" customWidth="1"/>
    <col min="6660" max="6660" width="8.7109375" style="1665" customWidth="1"/>
    <col min="6661" max="6662" width="20.7109375" style="1665" customWidth="1"/>
    <col min="6663" max="6912" width="9.140625" style="1665"/>
    <col min="6913" max="6914" width="0.140625" style="1665" customWidth="1"/>
    <col min="6915" max="6915" width="78.7109375" style="1665" customWidth="1"/>
    <col min="6916" max="6916" width="8.7109375" style="1665" customWidth="1"/>
    <col min="6917" max="6918" width="20.7109375" style="1665" customWidth="1"/>
    <col min="6919" max="7168" width="9.140625" style="1665"/>
    <col min="7169" max="7170" width="0.140625" style="1665" customWidth="1"/>
    <col min="7171" max="7171" width="78.7109375" style="1665" customWidth="1"/>
    <col min="7172" max="7172" width="8.7109375" style="1665" customWidth="1"/>
    <col min="7173" max="7174" width="20.7109375" style="1665" customWidth="1"/>
    <col min="7175" max="7424" width="9.140625" style="1665"/>
    <col min="7425" max="7426" width="0.140625" style="1665" customWidth="1"/>
    <col min="7427" max="7427" width="78.7109375" style="1665" customWidth="1"/>
    <col min="7428" max="7428" width="8.7109375" style="1665" customWidth="1"/>
    <col min="7429" max="7430" width="20.7109375" style="1665" customWidth="1"/>
    <col min="7431" max="7680" width="9.140625" style="1665"/>
    <col min="7681" max="7682" width="0.140625" style="1665" customWidth="1"/>
    <col min="7683" max="7683" width="78.7109375" style="1665" customWidth="1"/>
    <col min="7684" max="7684" width="8.7109375" style="1665" customWidth="1"/>
    <col min="7685" max="7686" width="20.7109375" style="1665" customWidth="1"/>
    <col min="7687" max="7936" width="9.140625" style="1665"/>
    <col min="7937" max="7938" width="0.140625" style="1665" customWidth="1"/>
    <col min="7939" max="7939" width="78.7109375" style="1665" customWidth="1"/>
    <col min="7940" max="7940" width="8.7109375" style="1665" customWidth="1"/>
    <col min="7941" max="7942" width="20.7109375" style="1665" customWidth="1"/>
    <col min="7943" max="8192" width="9.140625" style="1665"/>
    <col min="8193" max="8194" width="0.140625" style="1665" customWidth="1"/>
    <col min="8195" max="8195" width="78.7109375" style="1665" customWidth="1"/>
    <col min="8196" max="8196" width="8.7109375" style="1665" customWidth="1"/>
    <col min="8197" max="8198" width="20.7109375" style="1665" customWidth="1"/>
    <col min="8199" max="8448" width="9.140625" style="1665"/>
    <col min="8449" max="8450" width="0.140625" style="1665" customWidth="1"/>
    <col min="8451" max="8451" width="78.7109375" style="1665" customWidth="1"/>
    <col min="8452" max="8452" width="8.7109375" style="1665" customWidth="1"/>
    <col min="8453" max="8454" width="20.7109375" style="1665" customWidth="1"/>
    <col min="8455" max="8704" width="9.140625" style="1665"/>
    <col min="8705" max="8706" width="0.140625" style="1665" customWidth="1"/>
    <col min="8707" max="8707" width="78.7109375" style="1665" customWidth="1"/>
    <col min="8708" max="8708" width="8.7109375" style="1665" customWidth="1"/>
    <col min="8709" max="8710" width="20.7109375" style="1665" customWidth="1"/>
    <col min="8711" max="8960" width="9.140625" style="1665"/>
    <col min="8961" max="8962" width="0.140625" style="1665" customWidth="1"/>
    <col min="8963" max="8963" width="78.7109375" style="1665" customWidth="1"/>
    <col min="8964" max="8964" width="8.7109375" style="1665" customWidth="1"/>
    <col min="8965" max="8966" width="20.7109375" style="1665" customWidth="1"/>
    <col min="8967" max="9216" width="9.140625" style="1665"/>
    <col min="9217" max="9218" width="0.140625" style="1665" customWidth="1"/>
    <col min="9219" max="9219" width="78.7109375" style="1665" customWidth="1"/>
    <col min="9220" max="9220" width="8.7109375" style="1665" customWidth="1"/>
    <col min="9221" max="9222" width="20.7109375" style="1665" customWidth="1"/>
    <col min="9223" max="9472" width="9.140625" style="1665"/>
    <col min="9473" max="9474" width="0.140625" style="1665" customWidth="1"/>
    <col min="9475" max="9475" width="78.7109375" style="1665" customWidth="1"/>
    <col min="9476" max="9476" width="8.7109375" style="1665" customWidth="1"/>
    <col min="9477" max="9478" width="20.7109375" style="1665" customWidth="1"/>
    <col min="9479" max="9728" width="9.140625" style="1665"/>
    <col min="9729" max="9730" width="0.140625" style="1665" customWidth="1"/>
    <col min="9731" max="9731" width="78.7109375" style="1665" customWidth="1"/>
    <col min="9732" max="9732" width="8.7109375" style="1665" customWidth="1"/>
    <col min="9733" max="9734" width="20.7109375" style="1665" customWidth="1"/>
    <col min="9735" max="9984" width="9.140625" style="1665"/>
    <col min="9985" max="9986" width="0.140625" style="1665" customWidth="1"/>
    <col min="9987" max="9987" width="78.7109375" style="1665" customWidth="1"/>
    <col min="9988" max="9988" width="8.7109375" style="1665" customWidth="1"/>
    <col min="9989" max="9990" width="20.7109375" style="1665" customWidth="1"/>
    <col min="9991" max="10240" width="9.140625" style="1665"/>
    <col min="10241" max="10242" width="0.140625" style="1665" customWidth="1"/>
    <col min="10243" max="10243" width="78.7109375" style="1665" customWidth="1"/>
    <col min="10244" max="10244" width="8.7109375" style="1665" customWidth="1"/>
    <col min="10245" max="10246" width="20.7109375" style="1665" customWidth="1"/>
    <col min="10247" max="10496" width="9.140625" style="1665"/>
    <col min="10497" max="10498" width="0.140625" style="1665" customWidth="1"/>
    <col min="10499" max="10499" width="78.7109375" style="1665" customWidth="1"/>
    <col min="10500" max="10500" width="8.7109375" style="1665" customWidth="1"/>
    <col min="10501" max="10502" width="20.7109375" style="1665" customWidth="1"/>
    <col min="10503" max="10752" width="9.140625" style="1665"/>
    <col min="10753" max="10754" width="0.140625" style="1665" customWidth="1"/>
    <col min="10755" max="10755" width="78.7109375" style="1665" customWidth="1"/>
    <col min="10756" max="10756" width="8.7109375" style="1665" customWidth="1"/>
    <col min="10757" max="10758" width="20.7109375" style="1665" customWidth="1"/>
    <col min="10759" max="11008" width="9.140625" style="1665"/>
    <col min="11009" max="11010" width="0.140625" style="1665" customWidth="1"/>
    <col min="11011" max="11011" width="78.7109375" style="1665" customWidth="1"/>
    <col min="11012" max="11012" width="8.7109375" style="1665" customWidth="1"/>
    <col min="11013" max="11014" width="20.7109375" style="1665" customWidth="1"/>
    <col min="11015" max="11264" width="9.140625" style="1665"/>
    <col min="11265" max="11266" width="0.140625" style="1665" customWidth="1"/>
    <col min="11267" max="11267" width="78.7109375" style="1665" customWidth="1"/>
    <col min="11268" max="11268" width="8.7109375" style="1665" customWidth="1"/>
    <col min="11269" max="11270" width="20.7109375" style="1665" customWidth="1"/>
    <col min="11271" max="11520" width="9.140625" style="1665"/>
    <col min="11521" max="11522" width="0.140625" style="1665" customWidth="1"/>
    <col min="11523" max="11523" width="78.7109375" style="1665" customWidth="1"/>
    <col min="11524" max="11524" width="8.7109375" style="1665" customWidth="1"/>
    <col min="11525" max="11526" width="20.7109375" style="1665" customWidth="1"/>
    <col min="11527" max="11776" width="9.140625" style="1665"/>
    <col min="11777" max="11778" width="0.140625" style="1665" customWidth="1"/>
    <col min="11779" max="11779" width="78.7109375" style="1665" customWidth="1"/>
    <col min="11780" max="11780" width="8.7109375" style="1665" customWidth="1"/>
    <col min="11781" max="11782" width="20.7109375" style="1665" customWidth="1"/>
    <col min="11783" max="12032" width="9.140625" style="1665"/>
    <col min="12033" max="12034" width="0.140625" style="1665" customWidth="1"/>
    <col min="12035" max="12035" width="78.7109375" style="1665" customWidth="1"/>
    <col min="12036" max="12036" width="8.7109375" style="1665" customWidth="1"/>
    <col min="12037" max="12038" width="20.7109375" style="1665" customWidth="1"/>
    <col min="12039" max="12288" width="9.140625" style="1665"/>
    <col min="12289" max="12290" width="0.140625" style="1665" customWidth="1"/>
    <col min="12291" max="12291" width="78.7109375" style="1665" customWidth="1"/>
    <col min="12292" max="12292" width="8.7109375" style="1665" customWidth="1"/>
    <col min="12293" max="12294" width="20.7109375" style="1665" customWidth="1"/>
    <col min="12295" max="12544" width="9.140625" style="1665"/>
    <col min="12545" max="12546" width="0.140625" style="1665" customWidth="1"/>
    <col min="12547" max="12547" width="78.7109375" style="1665" customWidth="1"/>
    <col min="12548" max="12548" width="8.7109375" style="1665" customWidth="1"/>
    <col min="12549" max="12550" width="20.7109375" style="1665" customWidth="1"/>
    <col min="12551" max="12800" width="9.140625" style="1665"/>
    <col min="12801" max="12802" width="0.140625" style="1665" customWidth="1"/>
    <col min="12803" max="12803" width="78.7109375" style="1665" customWidth="1"/>
    <col min="12804" max="12804" width="8.7109375" style="1665" customWidth="1"/>
    <col min="12805" max="12806" width="20.7109375" style="1665" customWidth="1"/>
    <col min="12807" max="13056" width="9.140625" style="1665"/>
    <col min="13057" max="13058" width="0.140625" style="1665" customWidth="1"/>
    <col min="13059" max="13059" width="78.7109375" style="1665" customWidth="1"/>
    <col min="13060" max="13060" width="8.7109375" style="1665" customWidth="1"/>
    <col min="13061" max="13062" width="20.7109375" style="1665" customWidth="1"/>
    <col min="13063" max="13312" width="9.140625" style="1665"/>
    <col min="13313" max="13314" width="0.140625" style="1665" customWidth="1"/>
    <col min="13315" max="13315" width="78.7109375" style="1665" customWidth="1"/>
    <col min="13316" max="13316" width="8.7109375" style="1665" customWidth="1"/>
    <col min="13317" max="13318" width="20.7109375" style="1665" customWidth="1"/>
    <col min="13319" max="13568" width="9.140625" style="1665"/>
    <col min="13569" max="13570" width="0.140625" style="1665" customWidth="1"/>
    <col min="13571" max="13571" width="78.7109375" style="1665" customWidth="1"/>
    <col min="13572" max="13572" width="8.7109375" style="1665" customWidth="1"/>
    <col min="13573" max="13574" width="20.7109375" style="1665" customWidth="1"/>
    <col min="13575" max="13824" width="9.140625" style="1665"/>
    <col min="13825" max="13826" width="0.140625" style="1665" customWidth="1"/>
    <col min="13827" max="13827" width="78.7109375" style="1665" customWidth="1"/>
    <col min="13828" max="13828" width="8.7109375" style="1665" customWidth="1"/>
    <col min="13829" max="13830" width="20.7109375" style="1665" customWidth="1"/>
    <col min="13831" max="14080" width="9.140625" style="1665"/>
    <col min="14081" max="14082" width="0.140625" style="1665" customWidth="1"/>
    <col min="14083" max="14083" width="78.7109375" style="1665" customWidth="1"/>
    <col min="14084" max="14084" width="8.7109375" style="1665" customWidth="1"/>
    <col min="14085" max="14086" width="20.7109375" style="1665" customWidth="1"/>
    <col min="14087" max="14336" width="9.140625" style="1665"/>
    <col min="14337" max="14338" width="0.140625" style="1665" customWidth="1"/>
    <col min="14339" max="14339" width="78.7109375" style="1665" customWidth="1"/>
    <col min="14340" max="14340" width="8.7109375" style="1665" customWidth="1"/>
    <col min="14341" max="14342" width="20.7109375" style="1665" customWidth="1"/>
    <col min="14343" max="14592" width="9.140625" style="1665"/>
    <col min="14593" max="14594" width="0.140625" style="1665" customWidth="1"/>
    <col min="14595" max="14595" width="78.7109375" style="1665" customWidth="1"/>
    <col min="14596" max="14596" width="8.7109375" style="1665" customWidth="1"/>
    <col min="14597" max="14598" width="20.7109375" style="1665" customWidth="1"/>
    <col min="14599" max="14848" width="9.140625" style="1665"/>
    <col min="14849" max="14850" width="0.140625" style="1665" customWidth="1"/>
    <col min="14851" max="14851" width="78.7109375" style="1665" customWidth="1"/>
    <col min="14852" max="14852" width="8.7109375" style="1665" customWidth="1"/>
    <col min="14853" max="14854" width="20.7109375" style="1665" customWidth="1"/>
    <col min="14855" max="15104" width="9.140625" style="1665"/>
    <col min="15105" max="15106" width="0.140625" style="1665" customWidth="1"/>
    <col min="15107" max="15107" width="78.7109375" style="1665" customWidth="1"/>
    <col min="15108" max="15108" width="8.7109375" style="1665" customWidth="1"/>
    <col min="15109" max="15110" width="20.7109375" style="1665" customWidth="1"/>
    <col min="15111" max="15360" width="9.140625" style="1665"/>
    <col min="15361" max="15362" width="0.140625" style="1665" customWidth="1"/>
    <col min="15363" max="15363" width="78.7109375" style="1665" customWidth="1"/>
    <col min="15364" max="15364" width="8.7109375" style="1665" customWidth="1"/>
    <col min="15365" max="15366" width="20.7109375" style="1665" customWidth="1"/>
    <col min="15367" max="15616" width="9.140625" style="1665"/>
    <col min="15617" max="15618" width="0.140625" style="1665" customWidth="1"/>
    <col min="15619" max="15619" width="78.7109375" style="1665" customWidth="1"/>
    <col min="15620" max="15620" width="8.7109375" style="1665" customWidth="1"/>
    <col min="15621" max="15622" width="20.7109375" style="1665" customWidth="1"/>
    <col min="15623" max="15872" width="9.140625" style="1665"/>
    <col min="15873" max="15874" width="0.140625" style="1665" customWidth="1"/>
    <col min="15875" max="15875" width="78.7109375" style="1665" customWidth="1"/>
    <col min="15876" max="15876" width="8.7109375" style="1665" customWidth="1"/>
    <col min="15877" max="15878" width="20.7109375" style="1665" customWidth="1"/>
    <col min="15879" max="16128" width="9.140625" style="1665"/>
    <col min="16129" max="16130" width="0.140625" style="1665" customWidth="1"/>
    <col min="16131" max="16131" width="78.7109375" style="1665" customWidth="1"/>
    <col min="16132" max="16132" width="8.7109375" style="1665" customWidth="1"/>
    <col min="16133" max="16134" width="20.7109375" style="1665" customWidth="1"/>
    <col min="16135" max="16384" width="9.140625" style="1665"/>
  </cols>
  <sheetData>
    <row r="1" spans="1:10">
      <c r="A1" s="2840"/>
      <c r="B1" s="2841"/>
      <c r="C1" s="1662"/>
      <c r="D1" s="1662"/>
      <c r="E1" s="1662"/>
      <c r="F1" s="1662"/>
      <c r="G1" s="1664"/>
      <c r="H1" s="1664"/>
      <c r="I1" s="1707"/>
      <c r="J1" s="1664"/>
    </row>
    <row r="2" spans="1:10" ht="27.75" customHeight="1">
      <c r="A2" s="2840"/>
      <c r="B2" s="2841"/>
      <c r="C2" s="3559" t="s">
        <v>5808</v>
      </c>
      <c r="D2" s="3559"/>
      <c r="E2" s="3559"/>
      <c r="F2" s="3559"/>
      <c r="G2" s="1664"/>
      <c r="H2" s="1664"/>
      <c r="I2" s="1664"/>
      <c r="J2" s="1664"/>
    </row>
    <row r="3" spans="1:10" ht="27" customHeight="1">
      <c r="A3" s="2840"/>
      <c r="B3" s="2841"/>
      <c r="C3" s="3558" t="str">
        <f>Lead!$F$7</f>
        <v>2019年度</v>
      </c>
      <c r="D3" s="3558"/>
      <c r="E3" s="3558"/>
      <c r="F3" s="3558"/>
      <c r="G3" s="1664"/>
      <c r="H3" s="1664"/>
      <c r="I3" s="1664"/>
      <c r="J3" s="1664"/>
    </row>
    <row r="4" spans="1:10" ht="6" customHeight="1">
      <c r="A4" s="2840"/>
      <c r="B4" s="2841"/>
      <c r="C4" s="2145"/>
      <c r="D4" s="2039"/>
      <c r="E4" s="2039"/>
      <c r="F4" s="2041"/>
      <c r="G4" s="1664"/>
      <c r="H4" s="1664"/>
      <c r="I4" s="1664"/>
      <c r="J4" s="1664"/>
    </row>
    <row r="5" spans="1:10" ht="25.5" customHeight="1" thickBot="1">
      <c r="A5" s="2840"/>
      <c r="B5" s="2841"/>
      <c r="C5" s="2038" t="str">
        <f>Lead!$B$5&amp;"："&amp;Lead!$C$5</f>
        <v>编制单位：福建省力菲克药业有限公司</v>
      </c>
      <c r="D5" s="2039"/>
      <c r="E5" s="2040" t="s">
        <v>2554</v>
      </c>
      <c r="F5" s="2041" t="s">
        <v>2555</v>
      </c>
      <c r="G5" s="1664"/>
      <c r="H5" s="1664"/>
      <c r="I5" s="1664"/>
      <c r="J5" s="1664"/>
    </row>
    <row r="6" spans="1:10" ht="18" customHeight="1">
      <c r="A6" s="2851" t="s">
        <v>2556</v>
      </c>
      <c r="B6" s="2852" t="s">
        <v>2558</v>
      </c>
      <c r="C6" s="2072" t="s">
        <v>5134</v>
      </c>
      <c r="D6" s="2073" t="s">
        <v>2559</v>
      </c>
      <c r="E6" s="2045" t="str">
        <f>Lead!$F$7</f>
        <v>2019年度</v>
      </c>
      <c r="F6" s="2046" t="str">
        <f>Lead!$F$8</f>
        <v>2018年度</v>
      </c>
      <c r="G6" s="852"/>
      <c r="H6" s="852"/>
      <c r="I6" s="852"/>
      <c r="J6" s="1664"/>
    </row>
    <row r="7" spans="1:10" ht="18" customHeight="1">
      <c r="A7" s="2853" t="str">
        <f t="shared" ref="A7:A68" si="0">VLOOKUP($B7,Sheet_Items,4,0)</f>
        <v>※</v>
      </c>
      <c r="B7" s="2854">
        <v>6098</v>
      </c>
      <c r="C7" s="2146" t="str">
        <f t="shared" ref="C7:C36" si="1">VLOOKUP($B7,Sheet_Items,7,0)</f>
        <v>一、营业总收入</v>
      </c>
      <c r="D7" s="2147"/>
      <c r="E7" s="2148">
        <f>SUM(E8:E11)</f>
        <v>34251580.890000001</v>
      </c>
      <c r="F7" s="2149">
        <f>SUM(F8:F11)</f>
        <v>37369847.649999999</v>
      </c>
      <c r="G7" s="1710"/>
      <c r="H7" s="1710"/>
      <c r="I7" s="852"/>
      <c r="J7" s="1664"/>
    </row>
    <row r="8" spans="1:10" ht="18" customHeight="1">
      <c r="A8" s="2853">
        <f t="shared" si="0"/>
        <v>0</v>
      </c>
      <c r="B8" s="2854">
        <v>6001</v>
      </c>
      <c r="C8" s="2150" t="str">
        <f t="shared" si="1"/>
        <v>其中：营业收入</v>
      </c>
      <c r="D8" s="2151"/>
      <c r="E8" s="2125">
        <f>IF($B8="","",VLOOKUP($B8,Sheet_Trialbal,6,0))</f>
        <v>34251580.890000001</v>
      </c>
      <c r="F8" s="2128">
        <f>IF($B8="","",VLOOKUP($B8,Sheet_Trialbal,10,0))</f>
        <v>37369847.649999999</v>
      </c>
      <c r="G8" s="1710"/>
      <c r="H8" s="1710"/>
      <c r="I8" s="852"/>
      <c r="J8" s="1664"/>
    </row>
    <row r="9" spans="1:10" ht="18" customHeight="1">
      <c r="A9" s="2853" t="str">
        <f t="shared" si="0"/>
        <v>△</v>
      </c>
      <c r="B9" s="2854">
        <v>6011</v>
      </c>
      <c r="C9" s="2152" t="str">
        <f t="shared" si="1"/>
        <v>利息收入</v>
      </c>
      <c r="D9" s="2151"/>
      <c r="E9" s="2125">
        <f>IF($B9="","",VLOOKUP($B9,Sheet_Trialbal,6,0))</f>
        <v>0</v>
      </c>
      <c r="F9" s="2128">
        <f>IF($B9="","",VLOOKUP($B9,Sheet_Trialbal,10,0))</f>
        <v>0</v>
      </c>
      <c r="G9" s="1710"/>
      <c r="H9" s="1710"/>
      <c r="I9" s="852"/>
      <c r="J9" s="1664"/>
    </row>
    <row r="10" spans="1:10" ht="18" customHeight="1">
      <c r="A10" s="2853" t="str">
        <f t="shared" si="0"/>
        <v>△</v>
      </c>
      <c r="B10" s="2854">
        <v>6030</v>
      </c>
      <c r="C10" s="2152" t="str">
        <f t="shared" si="1"/>
        <v>已赚保费</v>
      </c>
      <c r="D10" s="2151"/>
      <c r="E10" s="2125">
        <f>IF($B10="","",VLOOKUP($B10,Sheet_Trialbal,6,0))</f>
        <v>0</v>
      </c>
      <c r="F10" s="2128">
        <f>IF($B10="","",VLOOKUP($B10,Sheet_Trialbal,10,0))</f>
        <v>0</v>
      </c>
      <c r="G10" s="1710"/>
      <c r="H10" s="1710"/>
      <c r="I10" s="852"/>
      <c r="J10" s="1664"/>
    </row>
    <row r="11" spans="1:10" ht="18" customHeight="1">
      <c r="A11" s="2853" t="str">
        <f t="shared" si="0"/>
        <v>△</v>
      </c>
      <c r="B11" s="2854">
        <v>6021</v>
      </c>
      <c r="C11" s="2152" t="str">
        <f t="shared" si="1"/>
        <v>手续费及佣金收入</v>
      </c>
      <c r="D11" s="2151"/>
      <c r="E11" s="2125">
        <f>IF($B11="","",VLOOKUP($B11,Sheet_Trialbal,6,0))</f>
        <v>0</v>
      </c>
      <c r="F11" s="2128">
        <f>IF($B11="","",VLOOKUP($B11,Sheet_Trialbal,10,0))</f>
        <v>0</v>
      </c>
      <c r="G11" s="1710"/>
      <c r="H11" s="1710"/>
      <c r="I11" s="852"/>
      <c r="J11" s="1664"/>
    </row>
    <row r="12" spans="1:10" ht="18" customHeight="1">
      <c r="A12" s="2853" t="str">
        <f t="shared" si="0"/>
        <v>※</v>
      </c>
      <c r="B12" s="2854">
        <v>6598</v>
      </c>
      <c r="C12" s="2153" t="str">
        <f t="shared" si="1"/>
        <v>二、营业总成本</v>
      </c>
      <c r="D12" s="2147"/>
      <c r="E12" s="2148">
        <f>SUM(E13:E25)</f>
        <v>36087527.850000001</v>
      </c>
      <c r="F12" s="2149">
        <f>SUM(F13:F25)</f>
        <v>37564442.520000003</v>
      </c>
      <c r="G12" s="1710"/>
      <c r="H12" s="1710"/>
      <c r="I12" s="852"/>
      <c r="J12" s="1664"/>
    </row>
    <row r="13" spans="1:10" ht="18" customHeight="1">
      <c r="A13" s="2853">
        <f t="shared" si="0"/>
        <v>0</v>
      </c>
      <c r="B13" s="2854">
        <v>6401</v>
      </c>
      <c r="C13" s="2150" t="str">
        <f>VLOOKUP($B13,Sheet_Items,6,0)</f>
        <v>减：营业成本</v>
      </c>
      <c r="D13" s="2151"/>
      <c r="E13" s="2125">
        <f t="shared" ref="E13:E37" si="2">IF($B13="","",VLOOKUP($B13,Sheet_Trialbal,6,0))</f>
        <v>21384532.949999999</v>
      </c>
      <c r="F13" s="2128">
        <f t="shared" ref="F13:F37" si="3">IF($B13="","",VLOOKUP($B13,Sheet_Trialbal,10,0))</f>
        <v>23934591.690000001</v>
      </c>
      <c r="G13" s="1710"/>
      <c r="H13" s="1710"/>
      <c r="I13" s="852"/>
      <c r="J13" s="1664"/>
    </row>
    <row r="14" spans="1:10" ht="18" customHeight="1">
      <c r="A14" s="2853" t="str">
        <f t="shared" si="0"/>
        <v>△</v>
      </c>
      <c r="B14" s="2854">
        <v>6411</v>
      </c>
      <c r="C14" s="2152" t="str">
        <f t="shared" si="1"/>
        <v>利息支出</v>
      </c>
      <c r="D14" s="2151"/>
      <c r="E14" s="2125">
        <f t="shared" si="2"/>
        <v>0</v>
      </c>
      <c r="F14" s="2128">
        <f t="shared" si="3"/>
        <v>0</v>
      </c>
      <c r="G14" s="1710"/>
      <c r="H14" s="1710"/>
      <c r="I14" s="852"/>
      <c r="J14" s="1664"/>
    </row>
    <row r="15" spans="1:10" ht="18" customHeight="1">
      <c r="A15" s="2853" t="str">
        <f t="shared" si="0"/>
        <v>△</v>
      </c>
      <c r="B15" s="2854">
        <v>6421</v>
      </c>
      <c r="C15" s="2152" t="str">
        <f t="shared" si="1"/>
        <v>手续费及佣金支出</v>
      </c>
      <c r="D15" s="2151"/>
      <c r="E15" s="2125">
        <f t="shared" si="2"/>
        <v>0</v>
      </c>
      <c r="F15" s="2128">
        <f t="shared" si="3"/>
        <v>0</v>
      </c>
      <c r="G15" s="1710"/>
      <c r="H15" s="1710"/>
      <c r="I15" s="852"/>
      <c r="J15" s="1664"/>
    </row>
    <row r="16" spans="1:10" ht="18" customHeight="1">
      <c r="A16" s="2853" t="str">
        <f t="shared" si="0"/>
        <v>△</v>
      </c>
      <c r="B16" s="2854">
        <v>6531</v>
      </c>
      <c r="C16" s="2152" t="str">
        <f t="shared" si="1"/>
        <v>退保金</v>
      </c>
      <c r="D16" s="2151"/>
      <c r="E16" s="2125">
        <f t="shared" si="2"/>
        <v>0</v>
      </c>
      <c r="F16" s="2128">
        <f t="shared" si="3"/>
        <v>0</v>
      </c>
      <c r="G16" s="1710"/>
      <c r="H16" s="1710"/>
      <c r="I16" s="852"/>
      <c r="J16" s="1664"/>
    </row>
    <row r="17" spans="1:10" ht="18" customHeight="1">
      <c r="A17" s="2853" t="str">
        <f t="shared" si="0"/>
        <v>△</v>
      </c>
      <c r="B17" s="2854">
        <v>6510</v>
      </c>
      <c r="C17" s="2152" t="str">
        <f t="shared" si="1"/>
        <v>赔付支出净额</v>
      </c>
      <c r="D17" s="2151"/>
      <c r="E17" s="2125">
        <f t="shared" si="2"/>
        <v>0</v>
      </c>
      <c r="F17" s="2128">
        <f t="shared" si="3"/>
        <v>0</v>
      </c>
      <c r="G17" s="1710"/>
      <c r="H17" s="1710"/>
      <c r="I17" s="852"/>
      <c r="J17" s="1664"/>
    </row>
    <row r="18" spans="1:10" ht="18" customHeight="1">
      <c r="A18" s="2853" t="str">
        <f t="shared" si="0"/>
        <v>△</v>
      </c>
      <c r="B18" s="2854">
        <v>6505</v>
      </c>
      <c r="C18" s="2152" t="str">
        <f t="shared" si="1"/>
        <v>提取保险责任准备金净额</v>
      </c>
      <c r="D18" s="2151"/>
      <c r="E18" s="2125">
        <f t="shared" si="2"/>
        <v>0</v>
      </c>
      <c r="F18" s="2128">
        <f t="shared" si="3"/>
        <v>0</v>
      </c>
      <c r="G18" s="1710"/>
      <c r="H18" s="1710"/>
      <c r="I18" s="852"/>
      <c r="J18" s="1664"/>
    </row>
    <row r="19" spans="1:10" ht="18" customHeight="1">
      <c r="A19" s="2853" t="str">
        <f t="shared" si="0"/>
        <v>△</v>
      </c>
      <c r="B19" s="2854">
        <v>6521</v>
      </c>
      <c r="C19" s="2152" t="str">
        <f t="shared" si="1"/>
        <v>保单红利支出</v>
      </c>
      <c r="D19" s="2151"/>
      <c r="E19" s="2125">
        <f t="shared" si="2"/>
        <v>0</v>
      </c>
      <c r="F19" s="2128">
        <f t="shared" si="3"/>
        <v>0</v>
      </c>
      <c r="G19" s="1710"/>
      <c r="H19" s="1710"/>
      <c r="I19" s="852"/>
      <c r="J19" s="1664"/>
    </row>
    <row r="20" spans="1:10" ht="18" customHeight="1">
      <c r="A20" s="2853" t="str">
        <f t="shared" si="0"/>
        <v>△</v>
      </c>
      <c r="B20" s="2854">
        <v>6542</v>
      </c>
      <c r="C20" s="2152" t="str">
        <f t="shared" si="1"/>
        <v>分保费用</v>
      </c>
      <c r="D20" s="2151"/>
      <c r="E20" s="2125">
        <f t="shared" si="2"/>
        <v>0</v>
      </c>
      <c r="F20" s="2128">
        <f t="shared" si="3"/>
        <v>0</v>
      </c>
      <c r="G20" s="1710"/>
      <c r="H20" s="1710"/>
      <c r="I20" s="852"/>
      <c r="J20" s="1664"/>
    </row>
    <row r="21" spans="1:10" ht="18" customHeight="1">
      <c r="A21" s="2853">
        <f t="shared" si="0"/>
        <v>0</v>
      </c>
      <c r="B21" s="2854">
        <v>6600</v>
      </c>
      <c r="C21" s="2152" t="str">
        <f t="shared" si="1"/>
        <v>税金及附加</v>
      </c>
      <c r="D21" s="2151"/>
      <c r="E21" s="2125">
        <f t="shared" si="2"/>
        <v>740280.52</v>
      </c>
      <c r="F21" s="2128">
        <f t="shared" si="3"/>
        <v>816515.77</v>
      </c>
      <c r="G21" s="1710"/>
      <c r="H21" s="1710"/>
      <c r="I21" s="852"/>
      <c r="J21" s="1664"/>
    </row>
    <row r="22" spans="1:10" ht="18" customHeight="1">
      <c r="A22" s="2853">
        <f t="shared" si="0"/>
        <v>0</v>
      </c>
      <c r="B22" s="2854">
        <v>6601</v>
      </c>
      <c r="C22" s="2152" t="str">
        <f t="shared" si="1"/>
        <v>销售费用</v>
      </c>
      <c r="D22" s="2151"/>
      <c r="E22" s="2125">
        <f t="shared" si="2"/>
        <v>5573302.79</v>
      </c>
      <c r="F22" s="2128">
        <f t="shared" si="3"/>
        <v>5670698.4400000004</v>
      </c>
      <c r="G22" s="1710"/>
      <c r="H22" s="1710"/>
      <c r="I22" s="852"/>
      <c r="J22" s="1664"/>
    </row>
    <row r="23" spans="1:10" ht="18" customHeight="1">
      <c r="A23" s="2853">
        <f t="shared" si="0"/>
        <v>0</v>
      </c>
      <c r="B23" s="2854">
        <v>6602</v>
      </c>
      <c r="C23" s="2152" t="str">
        <f t="shared" si="1"/>
        <v>管理费用</v>
      </c>
      <c r="D23" s="2151"/>
      <c r="E23" s="2125">
        <f t="shared" si="2"/>
        <v>3943436.51</v>
      </c>
      <c r="F23" s="2128">
        <f t="shared" si="3"/>
        <v>2881011.76</v>
      </c>
      <c r="G23" s="1710"/>
      <c r="H23" s="1710"/>
      <c r="I23" s="852"/>
      <c r="J23" s="1664"/>
    </row>
    <row r="24" spans="1:10" ht="18" customHeight="1">
      <c r="A24" s="2853">
        <f t="shared" si="0"/>
        <v>0</v>
      </c>
      <c r="B24" s="2854">
        <v>6606</v>
      </c>
      <c r="C24" s="2152" t="str">
        <f t="shared" si="1"/>
        <v>研发费用</v>
      </c>
      <c r="D24" s="2151"/>
      <c r="E24" s="2125">
        <f t="shared" si="2"/>
        <v>4398818.97</v>
      </c>
      <c r="F24" s="2128">
        <f t="shared" si="3"/>
        <v>3908463.7</v>
      </c>
      <c r="G24" s="1710"/>
      <c r="H24" s="1710"/>
      <c r="I24" s="852"/>
      <c r="J24" s="1664"/>
    </row>
    <row r="25" spans="1:10" ht="18" customHeight="1">
      <c r="A25" s="2853">
        <f t="shared" si="0"/>
        <v>0</v>
      </c>
      <c r="B25" s="2854">
        <v>6603</v>
      </c>
      <c r="C25" s="2152" t="str">
        <f t="shared" si="1"/>
        <v>财务费用</v>
      </c>
      <c r="D25" s="2151"/>
      <c r="E25" s="2125">
        <f t="shared" si="2"/>
        <v>47156.11</v>
      </c>
      <c r="F25" s="2128">
        <f t="shared" si="3"/>
        <v>353161.16</v>
      </c>
      <c r="G25" s="1710"/>
      <c r="H25" s="1710"/>
      <c r="I25" s="852"/>
      <c r="J25" s="1664"/>
    </row>
    <row r="26" spans="1:10" ht="18" customHeight="1">
      <c r="A26" s="2853">
        <f t="shared" si="0"/>
        <v>0</v>
      </c>
      <c r="B26" s="2854" t="s">
        <v>803</v>
      </c>
      <c r="C26" s="2152" t="str">
        <f t="shared" si="1"/>
        <v>其中：利息费用</v>
      </c>
      <c r="D26" s="2151"/>
      <c r="E26" s="2125">
        <f t="shared" si="2"/>
        <v>-745.38</v>
      </c>
      <c r="F26" s="2128">
        <f t="shared" si="3"/>
        <v>342900.23</v>
      </c>
      <c r="G26" s="1710"/>
      <c r="H26" s="1710"/>
      <c r="I26" s="852"/>
      <c r="J26" s="1664"/>
    </row>
    <row r="27" spans="1:10" ht="18" customHeight="1">
      <c r="A27" s="2853">
        <f t="shared" si="0"/>
        <v>0</v>
      </c>
      <c r="B27" s="2854" t="s">
        <v>810</v>
      </c>
      <c r="C27" s="2154" t="str">
        <f t="shared" si="1"/>
        <v>利息收入</v>
      </c>
      <c r="D27" s="2151"/>
      <c r="E27" s="2125">
        <f t="shared" si="2"/>
        <v>41179.21</v>
      </c>
      <c r="F27" s="2128">
        <f t="shared" si="3"/>
        <v>881.95</v>
      </c>
      <c r="G27" s="1710"/>
      <c r="H27" s="1710"/>
      <c r="I27" s="852"/>
      <c r="J27" s="1664"/>
    </row>
    <row r="28" spans="1:10" ht="18" customHeight="1">
      <c r="A28" s="2853">
        <f t="shared" si="0"/>
        <v>0</v>
      </c>
      <c r="B28" s="2854">
        <v>6181</v>
      </c>
      <c r="C28" s="2152" t="str">
        <f t="shared" si="1"/>
        <v>加：其他收益</v>
      </c>
      <c r="D28" s="2151"/>
      <c r="E28" s="2125">
        <f t="shared" si="2"/>
        <v>715900</v>
      </c>
      <c r="F28" s="2128">
        <f t="shared" si="3"/>
        <v>80500</v>
      </c>
      <c r="G28" s="1710"/>
      <c r="H28" s="1710"/>
      <c r="I28" s="852"/>
      <c r="J28" s="1664"/>
    </row>
    <row r="29" spans="1:10" ht="18" customHeight="1">
      <c r="A29" s="2853">
        <f t="shared" si="0"/>
        <v>0</v>
      </c>
      <c r="B29" s="2854">
        <v>6111</v>
      </c>
      <c r="C29" s="2152" t="str">
        <f t="shared" si="1"/>
        <v>投资收益（损失以“-”号填列）</v>
      </c>
      <c r="D29" s="2151"/>
      <c r="E29" s="2125">
        <f t="shared" si="2"/>
        <v>41851.06</v>
      </c>
      <c r="F29" s="2128">
        <f t="shared" si="3"/>
        <v>38200.720000000001</v>
      </c>
      <c r="G29" s="1710"/>
      <c r="H29" s="1710"/>
      <c r="I29" s="852"/>
      <c r="J29" s="1664"/>
    </row>
    <row r="30" spans="1:10" ht="18" customHeight="1">
      <c r="A30" s="2853">
        <f t="shared" si="0"/>
        <v>0</v>
      </c>
      <c r="B30" s="2854">
        <v>6111.01</v>
      </c>
      <c r="C30" s="2154" t="str">
        <f t="shared" si="1"/>
        <v>其中：对联营企业和合营企业投资收益</v>
      </c>
      <c r="D30" s="2151"/>
      <c r="E30" s="2125">
        <f t="shared" si="2"/>
        <v>0</v>
      </c>
      <c r="F30" s="2128">
        <f t="shared" si="3"/>
        <v>0</v>
      </c>
      <c r="G30" s="1710"/>
      <c r="H30" s="1710"/>
      <c r="I30" s="852"/>
      <c r="J30" s="1664"/>
    </row>
    <row r="31" spans="1:10" ht="18" customHeight="1">
      <c r="A31" s="2853" t="str">
        <f t="shared" si="0"/>
        <v>_JR</v>
      </c>
      <c r="B31" s="2854" t="s">
        <v>777</v>
      </c>
      <c r="C31" s="2154" t="str">
        <f>VLOOKUP($B31,Sheet_Items,7,0)</f>
        <v>以摊余成本计量的金融资产终止确认收益</v>
      </c>
      <c r="D31" s="2151"/>
      <c r="E31" s="2125">
        <f t="shared" si="2"/>
        <v>0</v>
      </c>
      <c r="F31" s="2128">
        <f t="shared" si="3"/>
        <v>0</v>
      </c>
      <c r="G31" s="1710"/>
      <c r="H31" s="1710"/>
      <c r="I31" s="852"/>
      <c r="J31" s="1664"/>
    </row>
    <row r="32" spans="1:10" ht="18" customHeight="1">
      <c r="A32" s="2853" t="str">
        <f t="shared" si="0"/>
        <v>△</v>
      </c>
      <c r="B32" s="2854">
        <v>6161</v>
      </c>
      <c r="C32" s="2152" t="str">
        <f t="shared" si="1"/>
        <v>汇兑收益（损失以“-”号填列）</v>
      </c>
      <c r="D32" s="2151"/>
      <c r="E32" s="2125">
        <f t="shared" si="2"/>
        <v>0</v>
      </c>
      <c r="F32" s="2128">
        <f t="shared" si="3"/>
        <v>0</v>
      </c>
      <c r="G32" s="1710"/>
      <c r="H32" s="1710"/>
      <c r="I32" s="852"/>
      <c r="J32" s="1664"/>
    </row>
    <row r="33" spans="1:10" ht="18" customHeight="1">
      <c r="A33" s="2853" t="str">
        <f t="shared" si="0"/>
        <v>_JR</v>
      </c>
      <c r="B33" s="2854">
        <v>6102</v>
      </c>
      <c r="C33" s="2152" t="str">
        <f t="shared" si="1"/>
        <v>净敞口套期收益（损失以“-”号填列）</v>
      </c>
      <c r="D33" s="2151"/>
      <c r="E33" s="2125">
        <f t="shared" si="2"/>
        <v>0</v>
      </c>
      <c r="F33" s="2128">
        <f t="shared" si="3"/>
        <v>0</v>
      </c>
      <c r="G33" s="1710"/>
      <c r="H33" s="1710"/>
      <c r="I33" s="852"/>
      <c r="J33" s="1664"/>
    </row>
    <row r="34" spans="1:10" ht="18" customHeight="1">
      <c r="A34" s="2853">
        <f t="shared" si="0"/>
        <v>0</v>
      </c>
      <c r="B34" s="2855">
        <v>6101</v>
      </c>
      <c r="C34" s="2152" t="str">
        <f t="shared" si="1"/>
        <v>公允价值变动收益（损失以“-”号填列）</v>
      </c>
      <c r="D34" s="2151"/>
      <c r="E34" s="2125">
        <f t="shared" si="2"/>
        <v>0</v>
      </c>
      <c r="F34" s="2128">
        <f t="shared" si="3"/>
        <v>0</v>
      </c>
      <c r="G34" s="1710"/>
      <c r="H34" s="1710"/>
      <c r="I34" s="852"/>
      <c r="J34" s="1664"/>
    </row>
    <row r="35" spans="1:10" ht="18" customHeight="1">
      <c r="A35" s="2853" t="str">
        <f t="shared" si="0"/>
        <v>_JR</v>
      </c>
      <c r="B35" s="2856">
        <v>6672</v>
      </c>
      <c r="C35" s="2152" t="str">
        <f t="shared" si="1"/>
        <v>信用减值损失（损失以“-”号填列）</v>
      </c>
      <c r="D35" s="2151"/>
      <c r="E35" s="2125">
        <f t="shared" si="2"/>
        <v>-1923898.24</v>
      </c>
      <c r="F35" s="2128">
        <f t="shared" si="3"/>
        <v>0</v>
      </c>
      <c r="G35" s="1710"/>
      <c r="H35" s="1710"/>
      <c r="I35" s="852"/>
      <c r="J35" s="1664"/>
    </row>
    <row r="36" spans="1:10" ht="18" customHeight="1">
      <c r="A36" s="2853">
        <f t="shared" si="0"/>
        <v>0</v>
      </c>
      <c r="B36" s="2856">
        <v>6671</v>
      </c>
      <c r="C36" s="2152" t="str">
        <f t="shared" si="1"/>
        <v>资产减值损失（损失以“-”号填列）</v>
      </c>
      <c r="D36" s="2151"/>
      <c r="E36" s="2125">
        <f t="shared" si="2"/>
        <v>-864640.09</v>
      </c>
      <c r="F36" s="2128">
        <f t="shared" si="3"/>
        <v>198814.86</v>
      </c>
      <c r="G36" s="1710"/>
      <c r="H36" s="1710"/>
      <c r="I36" s="852"/>
      <c r="J36" s="1664"/>
    </row>
    <row r="37" spans="1:10" ht="18" customHeight="1">
      <c r="A37" s="2853">
        <f t="shared" si="0"/>
        <v>0</v>
      </c>
      <c r="B37" s="2856">
        <v>6171</v>
      </c>
      <c r="C37" s="2155" t="str">
        <f>VLOOKUP($B37,Sheet_Items,6,0)</f>
        <v>资产处置收益（损失以“-”号填列）</v>
      </c>
      <c r="D37" s="2151"/>
      <c r="E37" s="2125">
        <f t="shared" si="2"/>
        <v>0</v>
      </c>
      <c r="F37" s="2128">
        <f t="shared" si="3"/>
        <v>456.04</v>
      </c>
      <c r="G37" s="1710"/>
      <c r="H37" s="1710"/>
      <c r="I37" s="852"/>
      <c r="J37" s="1664"/>
    </row>
    <row r="38" spans="1:10" ht="18" customHeight="1">
      <c r="A38" s="2853" t="str">
        <f t="shared" si="0"/>
        <v>＝</v>
      </c>
      <c r="B38" s="2857">
        <v>6689</v>
      </c>
      <c r="C38" s="2156" t="str">
        <f t="shared" ref="C38:C43" si="4">VLOOKUP($B38,Sheet_Items,7,0)</f>
        <v>三、营业利润（亏损以“-”号填列）</v>
      </c>
      <c r="D38" s="2147"/>
      <c r="E38" s="2157">
        <f>SUM(E8:E11)-SUM(E13:E25)+SUM(E28:E37)-SUM(E30,E31)</f>
        <v>-3866734.23</v>
      </c>
      <c r="F38" s="2149">
        <f>SUM(F8:F11)-SUM(F13:F25)+SUM(F28:F37)-SUM(F30,F31)</f>
        <v>123376.75</v>
      </c>
      <c r="G38" s="1711"/>
      <c r="H38" s="1711"/>
      <c r="I38" s="852"/>
      <c r="J38" s="1664"/>
    </row>
    <row r="39" spans="1:10" ht="18" customHeight="1">
      <c r="A39" s="2853">
        <f t="shared" si="0"/>
        <v>0</v>
      </c>
      <c r="B39" s="2857">
        <v>6710</v>
      </c>
      <c r="C39" s="2150" t="str">
        <f t="shared" si="4"/>
        <v>加：营业外收入</v>
      </c>
      <c r="D39" s="2151"/>
      <c r="E39" s="2125">
        <f>IF($B39="","",VLOOKUP($B39,Sheet_Trialbal,6,0))</f>
        <v>1.06</v>
      </c>
      <c r="F39" s="2128">
        <f>IF($B39="","",VLOOKUP($B39,Sheet_Trialbal,10,0))</f>
        <v>0</v>
      </c>
      <c r="G39" s="1710"/>
      <c r="H39" s="1710"/>
      <c r="I39" s="852"/>
      <c r="J39" s="1664"/>
    </row>
    <row r="40" spans="1:10" ht="18" customHeight="1">
      <c r="A40" s="2853">
        <f t="shared" si="0"/>
        <v>0</v>
      </c>
      <c r="B40" s="2857">
        <v>6711</v>
      </c>
      <c r="C40" s="2150" t="str">
        <f t="shared" si="4"/>
        <v>减：营业外支出</v>
      </c>
      <c r="D40" s="2151"/>
      <c r="E40" s="2125">
        <f>IF($B40="","",VLOOKUP($B40,Sheet_Trialbal,6,0))</f>
        <v>21970.3</v>
      </c>
      <c r="F40" s="2128">
        <f>IF($B40="","",VLOOKUP($B40,Sheet_Trialbal,10,0))</f>
        <v>88651.11</v>
      </c>
      <c r="G40" s="1710"/>
      <c r="H40" s="1710"/>
      <c r="I40" s="852"/>
      <c r="J40" s="1664"/>
    </row>
    <row r="41" spans="1:10" ht="18" customHeight="1">
      <c r="A41" s="2853" t="str">
        <f t="shared" si="0"/>
        <v>＝</v>
      </c>
      <c r="B41" s="2857">
        <v>6788</v>
      </c>
      <c r="C41" s="2158" t="str">
        <f t="shared" si="4"/>
        <v>四、利润总额（亏损总额以“-”号填列）</v>
      </c>
      <c r="D41" s="2147"/>
      <c r="E41" s="2148">
        <f>SUM(E38,E39,-E40)</f>
        <v>-3888703.47</v>
      </c>
      <c r="F41" s="2149">
        <f>SUM(F38,F39,-F40)</f>
        <v>34725.64</v>
      </c>
      <c r="G41" s="1711"/>
      <c r="H41" s="1711"/>
      <c r="I41" s="852"/>
      <c r="J41" s="1664"/>
    </row>
    <row r="42" spans="1:10" ht="18" customHeight="1">
      <c r="A42" s="2853">
        <f t="shared" si="0"/>
        <v>0</v>
      </c>
      <c r="B42" s="2857">
        <v>6791</v>
      </c>
      <c r="C42" s="2150" t="str">
        <f t="shared" si="4"/>
        <v>减：所得税费用</v>
      </c>
      <c r="D42" s="2151"/>
      <c r="E42" s="2125">
        <f>IF($B42="","",VLOOKUP($B42,Sheet_Trialbal,6,0))</f>
        <v>-538795.14</v>
      </c>
      <c r="F42" s="2128">
        <f>IF($B42="","",VLOOKUP($B42,Sheet_Trialbal,10,0))</f>
        <v>-485503.27</v>
      </c>
      <c r="G42" s="1710"/>
      <c r="H42" s="1710"/>
      <c r="I42" s="852"/>
      <c r="J42" s="1664"/>
    </row>
    <row r="43" spans="1:10" ht="18" customHeight="1">
      <c r="A43" s="2853" t="str">
        <f t="shared" si="0"/>
        <v>＝</v>
      </c>
      <c r="B43" s="2857">
        <v>6799</v>
      </c>
      <c r="C43" s="2158" t="str">
        <f t="shared" si="4"/>
        <v>五、净利润（净亏损以“-”号填列）</v>
      </c>
      <c r="D43" s="2147"/>
      <c r="E43" s="2148">
        <f>SUM(E41,-E42)</f>
        <v>-3349908.33</v>
      </c>
      <c r="F43" s="2149">
        <f>SUM(F41,-F42)</f>
        <v>520228.91</v>
      </c>
      <c r="G43" s="1711"/>
      <c r="H43" s="1710"/>
      <c r="I43" s="852"/>
      <c r="J43" s="1664"/>
    </row>
    <row r="44" spans="1:10" ht="18" customHeight="1">
      <c r="A44" s="2853">
        <f t="shared" si="0"/>
        <v>0</v>
      </c>
      <c r="B44" s="2857">
        <v>6816</v>
      </c>
      <c r="C44" s="2159" t="str">
        <f>VLOOKUP($B44,Sheet_Items,6,0)</f>
        <v>（一）持续经营净利润（净亏损以“-”号填列）</v>
      </c>
      <c r="D44" s="2147" t="s">
        <v>19</v>
      </c>
      <c r="E44" s="2157"/>
      <c r="F44" s="2128">
        <f>IF($B44="","",VLOOKUP($B44,Sheet_Trialbal,10,0))</f>
        <v>0</v>
      </c>
      <c r="G44" s="1712" t="s">
        <v>19</v>
      </c>
      <c r="H44" s="1712" t="s">
        <v>19</v>
      </c>
      <c r="I44" s="852"/>
      <c r="J44" s="1664"/>
    </row>
    <row r="45" spans="1:10" ht="18" customHeight="1">
      <c r="A45" s="2853">
        <f t="shared" si="0"/>
        <v>0</v>
      </c>
      <c r="B45" s="2857">
        <v>6817</v>
      </c>
      <c r="C45" s="2159" t="str">
        <f>VLOOKUP($B45,Sheet_Items,6,0)</f>
        <v>（二）终止经营净利润（净亏损以“-”号填列）</v>
      </c>
      <c r="D45" s="2147" t="s">
        <v>19</v>
      </c>
      <c r="E45" s="2157"/>
      <c r="F45" s="2128">
        <f>IF($B45="","",VLOOKUP($B45,Sheet_Trialbal,10,0))</f>
        <v>0</v>
      </c>
      <c r="G45" s="1712" t="s">
        <v>19</v>
      </c>
      <c r="H45" s="1712" t="s">
        <v>19</v>
      </c>
      <c r="I45" s="852"/>
      <c r="J45" s="1664"/>
    </row>
    <row r="46" spans="1:10" ht="18" customHeight="1">
      <c r="A46" s="2853" t="str">
        <f t="shared" si="0"/>
        <v>＝</v>
      </c>
      <c r="B46" s="2857">
        <v>6829</v>
      </c>
      <c r="C46" s="2160" t="str">
        <f t="shared" ref="C46:C68" si="5">VLOOKUP($B46,Sheet_Items,7,0)</f>
        <v>六、其他综合收益的税后净额</v>
      </c>
      <c r="D46" s="2151"/>
      <c r="E46" s="2125">
        <f>SUM(E47,E53)</f>
        <v>0</v>
      </c>
      <c r="F46" s="2128">
        <f>SUM(F47,F53)</f>
        <v>0</v>
      </c>
      <c r="G46" s="1710"/>
      <c r="H46" s="1710"/>
      <c r="I46" s="852"/>
      <c r="J46" s="1664"/>
    </row>
    <row r="47" spans="1:10" ht="18" customHeight="1">
      <c r="A47" s="2853" t="str">
        <f t="shared" si="0"/>
        <v>＝</v>
      </c>
      <c r="B47" s="2858">
        <v>6829.21</v>
      </c>
      <c r="C47" s="2150" t="str">
        <f>VLOOKUP($B47,Sheet_Items,6,0)</f>
        <v>（一）不能重分类进损益的其他综合收益</v>
      </c>
      <c r="D47" s="2151"/>
      <c r="E47" s="2125">
        <f>SUM(E48:E52)</f>
        <v>0</v>
      </c>
      <c r="F47" s="2128">
        <f>SUM(F48:F52)</f>
        <v>0</v>
      </c>
      <c r="G47" s="1710"/>
      <c r="H47" s="1710"/>
      <c r="I47" s="852"/>
      <c r="J47" s="1664"/>
    </row>
    <row r="48" spans="1:10" ht="18" customHeight="1">
      <c r="A48" s="2853" t="str">
        <f t="shared" si="0"/>
        <v>Ｘ</v>
      </c>
      <c r="B48" s="2858">
        <v>6829.2110000000002</v>
      </c>
      <c r="C48" s="2057" t="str">
        <f t="shared" si="5"/>
        <v>重新计量设定受益计划变动额</v>
      </c>
      <c r="D48" s="2151"/>
      <c r="E48" s="2126">
        <f t="shared" ref="E48:E64" si="6">IF($B48="","",VLOOKUP($B48,Sheet_Trialbal,6,0))</f>
        <v>0</v>
      </c>
      <c r="F48" s="2128">
        <f t="shared" ref="F48:F64" si="7">IF($B48="","",VLOOKUP($B48,Sheet_Trialbal,10,0))</f>
        <v>0</v>
      </c>
      <c r="G48" s="1710"/>
      <c r="H48" s="1710"/>
      <c r="I48" s="852"/>
      <c r="J48" s="1664"/>
    </row>
    <row r="49" spans="1:10" ht="18" customHeight="1">
      <c r="A49" s="2853" t="str">
        <f t="shared" si="0"/>
        <v>Ｘ</v>
      </c>
      <c r="B49" s="2858">
        <v>6829.2120000000004</v>
      </c>
      <c r="C49" s="2058" t="str">
        <f t="shared" si="5"/>
        <v>权益法下不能转损益的其他综合收益</v>
      </c>
      <c r="D49" s="2151"/>
      <c r="E49" s="2126">
        <f t="shared" si="6"/>
        <v>0</v>
      </c>
      <c r="F49" s="2128">
        <f t="shared" si="7"/>
        <v>0</v>
      </c>
      <c r="G49" s="1710"/>
      <c r="H49" s="1710"/>
      <c r="I49" s="852"/>
      <c r="J49" s="1664"/>
    </row>
    <row r="50" spans="1:10" ht="18" customHeight="1">
      <c r="A50" s="2853" t="str">
        <f t="shared" si="0"/>
        <v>_JR</v>
      </c>
      <c r="B50" s="2858" t="s">
        <v>865</v>
      </c>
      <c r="C50" s="2059" t="str">
        <f t="shared" si="5"/>
        <v>其他权益工具投资公允价值变动</v>
      </c>
      <c r="D50" s="2151"/>
      <c r="E50" s="2126">
        <f t="shared" si="6"/>
        <v>0</v>
      </c>
      <c r="F50" s="2128">
        <f t="shared" si="7"/>
        <v>0</v>
      </c>
      <c r="G50" s="1710"/>
      <c r="H50" s="1710"/>
      <c r="I50" s="852"/>
      <c r="J50" s="1664"/>
    </row>
    <row r="51" spans="1:10" ht="18" customHeight="1">
      <c r="A51" s="2853" t="str">
        <f t="shared" si="0"/>
        <v>_JR</v>
      </c>
      <c r="B51" s="2858" t="s">
        <v>869</v>
      </c>
      <c r="C51" s="2060" t="str">
        <f t="shared" si="5"/>
        <v>企业自身信用风险公允价值变动</v>
      </c>
      <c r="D51" s="2151"/>
      <c r="E51" s="2126">
        <f t="shared" si="6"/>
        <v>0</v>
      </c>
      <c r="F51" s="2128">
        <f t="shared" si="7"/>
        <v>0</v>
      </c>
      <c r="G51" s="1710"/>
      <c r="H51" s="1710"/>
      <c r="I51" s="852"/>
      <c r="J51" s="1664"/>
    </row>
    <row r="52" spans="1:10" ht="18" customHeight="1">
      <c r="A52" s="2853">
        <f t="shared" si="0"/>
        <v>0</v>
      </c>
      <c r="B52" s="2859">
        <v>6829.2190000000001</v>
      </c>
      <c r="C52" s="2061" t="str">
        <f t="shared" si="5"/>
        <v>其他</v>
      </c>
      <c r="D52" s="2151"/>
      <c r="E52" s="2126">
        <f t="shared" si="6"/>
        <v>0</v>
      </c>
      <c r="F52" s="2128">
        <f t="shared" si="7"/>
        <v>0</v>
      </c>
      <c r="G52" s="1710"/>
      <c r="H52" s="1710"/>
      <c r="I52" s="852"/>
      <c r="J52" s="1664"/>
    </row>
    <row r="53" spans="1:10" ht="18" customHeight="1">
      <c r="A53" s="2853" t="str">
        <f t="shared" si="0"/>
        <v>＝</v>
      </c>
      <c r="B53" s="2858">
        <v>6829.23</v>
      </c>
      <c r="C53" s="2150" t="str">
        <f>VLOOKUP($B53,Sheet_Items,6,0)</f>
        <v>（二）将重分类进损益的其他综合收益</v>
      </c>
      <c r="D53" s="2151"/>
      <c r="E53" s="2125">
        <f>SUM(E54:E64)</f>
        <v>0</v>
      </c>
      <c r="F53" s="2128">
        <f>SUM(F54:F64)</f>
        <v>0</v>
      </c>
      <c r="G53" s="1710"/>
      <c r="H53" s="1710"/>
      <c r="I53" s="852"/>
      <c r="J53" s="1664"/>
    </row>
    <row r="54" spans="1:10" ht="18" customHeight="1">
      <c r="A54" s="2853" t="str">
        <f t="shared" si="0"/>
        <v>Ｘ</v>
      </c>
      <c r="B54" s="2858">
        <v>6829.2309999999998</v>
      </c>
      <c r="C54" s="2057" t="str">
        <f t="shared" si="5"/>
        <v>权益法下可转损益的其他综合收益</v>
      </c>
      <c r="D54" s="2151"/>
      <c r="E54" s="2126">
        <f t="shared" si="6"/>
        <v>0</v>
      </c>
      <c r="F54" s="2128">
        <f t="shared" si="7"/>
        <v>0</v>
      </c>
      <c r="G54" s="1710"/>
      <c r="H54" s="1710"/>
      <c r="I54" s="852"/>
      <c r="J54" s="1664"/>
    </row>
    <row r="55" spans="1:10" ht="18" customHeight="1">
      <c r="A55" s="2853" t="str">
        <f t="shared" si="0"/>
        <v>_JR</v>
      </c>
      <c r="B55" s="2858" t="s">
        <v>916</v>
      </c>
      <c r="C55" s="2058" t="str">
        <f t="shared" si="5"/>
        <v>其他债权投资公允价值变动</v>
      </c>
      <c r="D55" s="2151"/>
      <c r="E55" s="2126">
        <f t="shared" si="6"/>
        <v>0</v>
      </c>
      <c r="F55" s="2128">
        <f t="shared" si="7"/>
        <v>0</v>
      </c>
      <c r="G55" s="1710"/>
      <c r="H55" s="1710"/>
      <c r="I55" s="852"/>
      <c r="J55" s="1664"/>
    </row>
    <row r="56" spans="1:10" ht="18" customHeight="1">
      <c r="A56" s="2853" t="str">
        <f t="shared" si="0"/>
        <v>ＸJRH</v>
      </c>
      <c r="B56" s="2858">
        <v>6829.232</v>
      </c>
      <c r="C56" s="2059" t="str">
        <f t="shared" si="5"/>
        <v>可供出售金融资产公允价值变动损益</v>
      </c>
      <c r="D56" s="2151"/>
      <c r="E56" s="2126">
        <f t="shared" si="6"/>
        <v>0</v>
      </c>
      <c r="F56" s="2128">
        <f t="shared" si="7"/>
        <v>0</v>
      </c>
      <c r="G56" s="1710"/>
      <c r="H56" s="1710"/>
      <c r="I56" s="852"/>
      <c r="J56" s="1664"/>
    </row>
    <row r="57" spans="1:10" ht="18" customHeight="1">
      <c r="A57" s="2853" t="str">
        <f t="shared" si="0"/>
        <v>_JR</v>
      </c>
      <c r="B57" s="2858" t="s">
        <v>922</v>
      </c>
      <c r="C57" s="2060" t="str">
        <f t="shared" si="5"/>
        <v>金融资产重分类计入其他综合收益的金额</v>
      </c>
      <c r="D57" s="2151"/>
      <c r="E57" s="2126">
        <f t="shared" si="6"/>
        <v>0</v>
      </c>
      <c r="F57" s="2128">
        <f t="shared" si="7"/>
        <v>0</v>
      </c>
      <c r="G57" s="1710"/>
      <c r="H57" s="1710"/>
      <c r="I57" s="852"/>
      <c r="J57" s="1664"/>
    </row>
    <row r="58" spans="1:10" ht="18" customHeight="1">
      <c r="A58" s="2853" t="str">
        <f t="shared" si="0"/>
        <v>ＸJRH</v>
      </c>
      <c r="B58" s="2858">
        <v>6829.2330000000002</v>
      </c>
      <c r="C58" s="2061" t="str">
        <f t="shared" si="5"/>
        <v>持有至到期投资重分类为可供出售金融资产损益</v>
      </c>
      <c r="D58" s="2151"/>
      <c r="E58" s="2126">
        <f t="shared" si="6"/>
        <v>0</v>
      </c>
      <c r="F58" s="2128">
        <f t="shared" si="7"/>
        <v>0</v>
      </c>
      <c r="G58" s="1710"/>
      <c r="H58" s="1710"/>
      <c r="I58" s="852"/>
      <c r="J58" s="1664"/>
    </row>
    <row r="59" spans="1:10" ht="18" customHeight="1">
      <c r="A59" s="2853" t="str">
        <f t="shared" si="0"/>
        <v>_JR</v>
      </c>
      <c r="B59" s="2858" t="s">
        <v>927</v>
      </c>
      <c r="C59" s="2062" t="str">
        <f t="shared" si="5"/>
        <v>其他债权投资信用减值准备</v>
      </c>
      <c r="D59" s="2151"/>
      <c r="E59" s="2126">
        <f t="shared" si="6"/>
        <v>0</v>
      </c>
      <c r="F59" s="2128">
        <f t="shared" si="7"/>
        <v>0</v>
      </c>
      <c r="G59" s="1710"/>
      <c r="H59" s="1710"/>
      <c r="I59" s="852"/>
      <c r="J59" s="1664"/>
    </row>
    <row r="60" spans="1:10" ht="18" customHeight="1">
      <c r="A60" s="2853" t="str">
        <f t="shared" si="0"/>
        <v>_JR</v>
      </c>
      <c r="B60" s="2858" t="s">
        <v>930</v>
      </c>
      <c r="C60" s="2063" t="str">
        <f t="shared" si="5"/>
        <v>现金流量套期储备</v>
      </c>
      <c r="D60" s="2151"/>
      <c r="E60" s="2126">
        <f t="shared" si="6"/>
        <v>0</v>
      </c>
      <c r="F60" s="2050">
        <f>IF($B60="","",VLOOKUP($B60,Sheet_Trialbal,10,0)+VLOOKUP(VALUE("6829.234"),Sheet_Trialbal,10,0))</f>
        <v>0</v>
      </c>
      <c r="G60" s="1710"/>
      <c r="H60" s="1710"/>
      <c r="I60" s="852"/>
      <c r="J60" s="1664"/>
    </row>
    <row r="61" spans="1:10" ht="18" customHeight="1">
      <c r="A61" s="2853" t="str">
        <f t="shared" si="0"/>
        <v>Ｘ</v>
      </c>
      <c r="B61" s="2858">
        <v>6829.2349999999997</v>
      </c>
      <c r="C61" s="2064" t="str">
        <f t="shared" si="5"/>
        <v>外币财务报表折算差额</v>
      </c>
      <c r="D61" s="2151"/>
      <c r="E61" s="2126">
        <f t="shared" si="6"/>
        <v>0</v>
      </c>
      <c r="F61" s="2128">
        <f t="shared" si="7"/>
        <v>0</v>
      </c>
      <c r="G61" s="1710"/>
      <c r="H61" s="1710"/>
      <c r="I61" s="852"/>
      <c r="J61" s="1664"/>
    </row>
    <row r="62" spans="1:10" ht="24">
      <c r="A62" s="2853" t="str">
        <f t="shared" si="0"/>
        <v>Ｘ</v>
      </c>
      <c r="B62" s="2858">
        <v>6829.2359999999999</v>
      </c>
      <c r="C62" s="2065" t="str">
        <f t="shared" si="5"/>
        <v>自用房地产或作为存货的房地产转换为以公允价值计量的投资性房地产在转换日公允价值大于账面价值部分</v>
      </c>
      <c r="D62" s="2151"/>
      <c r="E62" s="2126">
        <f t="shared" si="6"/>
        <v>0</v>
      </c>
      <c r="F62" s="2128">
        <f t="shared" si="7"/>
        <v>0</v>
      </c>
      <c r="G62" s="1710"/>
      <c r="H62" s="1710"/>
      <c r="I62" s="852"/>
      <c r="J62" s="1664"/>
    </row>
    <row r="63" spans="1:10" ht="24">
      <c r="A63" s="2853" t="str">
        <f t="shared" si="0"/>
        <v>Ｘ</v>
      </c>
      <c r="B63" s="2858">
        <v>6829.2370000000001</v>
      </c>
      <c r="C63" s="2066" t="str">
        <f t="shared" si="5"/>
        <v>多次交易分步处置子公司股权构成一揽子交易的丧失控制权之前各次交易处置价款与对应净资产账面价值份额的差额</v>
      </c>
      <c r="D63" s="2151"/>
      <c r="E63" s="2126">
        <f t="shared" si="6"/>
        <v>0</v>
      </c>
      <c r="F63" s="2128">
        <f t="shared" si="7"/>
        <v>0</v>
      </c>
      <c r="G63" s="1710"/>
      <c r="H63" s="1710"/>
      <c r="I63" s="852"/>
      <c r="J63" s="1664"/>
    </row>
    <row r="64" spans="1:10" ht="18" customHeight="1">
      <c r="A64" s="2853">
        <f t="shared" si="0"/>
        <v>0</v>
      </c>
      <c r="B64" s="2859">
        <v>6829.2389999999996</v>
      </c>
      <c r="C64" s="2067" t="str">
        <f t="shared" si="5"/>
        <v>其他</v>
      </c>
      <c r="D64" s="2151"/>
      <c r="E64" s="2126">
        <f t="shared" si="6"/>
        <v>0</v>
      </c>
      <c r="F64" s="2128">
        <f t="shared" si="7"/>
        <v>0</v>
      </c>
      <c r="G64" s="1710"/>
      <c r="H64" s="1710"/>
      <c r="I64" s="852"/>
      <c r="J64" s="1664"/>
    </row>
    <row r="65" spans="1:10" ht="18" customHeight="1">
      <c r="A65" s="2853" t="str">
        <f t="shared" si="0"/>
        <v>＝</v>
      </c>
      <c r="B65" s="2857">
        <v>6839</v>
      </c>
      <c r="C65" s="2160" t="str">
        <f t="shared" si="5"/>
        <v>七、综合收益总额</v>
      </c>
      <c r="D65" s="2151"/>
      <c r="E65" s="2125">
        <f>SUM(E43,E46)</f>
        <v>-3349908.33</v>
      </c>
      <c r="F65" s="2128">
        <f>SUM(F43,F46)</f>
        <v>520228.91</v>
      </c>
      <c r="G65" s="1710"/>
      <c r="H65" s="1711"/>
      <c r="I65" s="852"/>
      <c r="J65" s="1664"/>
    </row>
    <row r="66" spans="1:10" ht="18" customHeight="1">
      <c r="A66" s="2853" t="str">
        <f t="shared" si="0"/>
        <v>：</v>
      </c>
      <c r="B66" s="2857">
        <v>6820</v>
      </c>
      <c r="C66" s="2160" t="str">
        <f t="shared" si="5"/>
        <v>八、每股收益</v>
      </c>
      <c r="D66" s="2151"/>
      <c r="E66" s="2126"/>
      <c r="F66" s="2128"/>
      <c r="G66" s="1710"/>
      <c r="H66" s="1711"/>
      <c r="I66" s="852"/>
      <c r="J66" s="1664"/>
    </row>
    <row r="67" spans="1:10" ht="18" customHeight="1">
      <c r="A67" s="2853">
        <f t="shared" si="0"/>
        <v>0</v>
      </c>
      <c r="B67" s="2857">
        <v>6821</v>
      </c>
      <c r="C67" s="2150" t="str">
        <f t="shared" si="5"/>
        <v>基本每股收益（元/股）</v>
      </c>
      <c r="D67" s="2151"/>
      <c r="E67" s="2126"/>
      <c r="F67" s="2128"/>
      <c r="G67" s="1710"/>
      <c r="H67" s="1711"/>
      <c r="I67" s="852"/>
      <c r="J67" s="1664"/>
    </row>
    <row r="68" spans="1:10" ht="18" customHeight="1" thickBot="1">
      <c r="A68" s="2853">
        <f t="shared" si="0"/>
        <v>0</v>
      </c>
      <c r="B68" s="2857">
        <v>6822</v>
      </c>
      <c r="C68" s="2161" t="str">
        <f t="shared" si="5"/>
        <v>稀释每股收益（元/股）</v>
      </c>
      <c r="D68" s="2162"/>
      <c r="E68" s="2163"/>
      <c r="F68" s="2164"/>
      <c r="G68" s="1710"/>
      <c r="H68" s="1711"/>
      <c r="I68" s="852"/>
      <c r="J68" s="1664"/>
    </row>
    <row r="69" spans="1:10" ht="5.0999999999999996" customHeight="1">
      <c r="A69" s="2853"/>
      <c r="B69" s="2860"/>
      <c r="C69" s="3589"/>
      <c r="D69" s="3589"/>
      <c r="E69" s="3589"/>
      <c r="F69" s="3589"/>
      <c r="G69" s="1710"/>
      <c r="H69" s="1710"/>
      <c r="I69" s="852"/>
      <c r="J69" s="1664"/>
    </row>
    <row r="70" spans="1:10" ht="18">
      <c r="A70" s="2861"/>
      <c r="B70" s="2862"/>
      <c r="C70" s="2042" t="str">
        <f>"法定代表人："&amp;Lead!$C$8&amp;REPT(" ",30)&amp;"主管会计工作负责人："&amp;Lead!$C$9&amp;REPT(" ",30)&amp;"会计机构负责人："&amp;Lead!$C$10</f>
        <v>法定代表人：                              主管会计工作负责人：                              会计机构负责人：</v>
      </c>
      <c r="D70" s="1713"/>
      <c r="E70" s="1713"/>
      <c r="F70" s="1713"/>
      <c r="G70" s="1710"/>
      <c r="H70" s="1710"/>
      <c r="I70" s="852"/>
      <c r="J70" s="1664"/>
    </row>
    <row r="71" spans="1:10" ht="5.0999999999999996" customHeight="1">
      <c r="A71" s="2863"/>
      <c r="B71" s="2864"/>
      <c r="C71" s="3560"/>
      <c r="D71" s="3560"/>
      <c r="E71" s="3560"/>
      <c r="F71" s="3560"/>
      <c r="G71" s="1885"/>
      <c r="H71" s="1885"/>
      <c r="I71" s="1664"/>
      <c r="J71" s="1664"/>
    </row>
    <row r="72" spans="1:10">
      <c r="A72" s="2861"/>
      <c r="B72" s="2865"/>
      <c r="C72" s="1710"/>
      <c r="D72" s="1710"/>
      <c r="E72" s="1710"/>
      <c r="F72" s="1710"/>
      <c r="G72" s="1710"/>
      <c r="H72" s="1710"/>
      <c r="I72" s="852"/>
      <c r="J72" s="1664"/>
    </row>
    <row r="73" spans="1:10">
      <c r="A73" s="2861"/>
      <c r="B73" s="2865"/>
      <c r="C73" s="1710"/>
      <c r="D73" s="1710"/>
      <c r="E73" s="1710"/>
      <c r="F73" s="1710"/>
      <c r="G73" s="1710"/>
      <c r="H73" s="1710"/>
      <c r="I73" s="852"/>
      <c r="J73" s="1664"/>
    </row>
    <row r="74" spans="1:10" ht="18">
      <c r="A74" s="2866" t="s">
        <v>2565</v>
      </c>
      <c r="B74" s="2867"/>
      <c r="C74" s="1714" t="s">
        <v>5758</v>
      </c>
      <c r="D74" s="1715"/>
      <c r="E74" s="1716"/>
      <c r="F74" s="1717"/>
      <c r="G74" s="1718"/>
      <c r="H74" s="1718"/>
      <c r="I74" s="852"/>
      <c r="J74" s="1664"/>
    </row>
    <row r="75" spans="1:10" ht="18">
      <c r="A75" s="2866" t="s">
        <v>2565</v>
      </c>
      <c r="B75" s="2867"/>
      <c r="C75" s="1719" t="s">
        <v>5759</v>
      </c>
      <c r="D75" s="1720"/>
      <c r="E75" s="1721" t="s">
        <v>2577</v>
      </c>
      <c r="F75" s="1722" t="s">
        <v>2578</v>
      </c>
      <c r="G75" s="1718"/>
      <c r="H75" s="1718"/>
      <c r="I75" s="852"/>
      <c r="J75" s="1664"/>
    </row>
    <row r="76" spans="1:10" ht="18">
      <c r="A76" s="2868" t="s">
        <v>2565</v>
      </c>
      <c r="B76" s="2869"/>
      <c r="C76" s="1723" t="s">
        <v>5760</v>
      </c>
      <c r="D76" s="1724"/>
      <c r="E76" s="1725"/>
      <c r="F76" s="1695"/>
      <c r="G76" s="853"/>
      <c r="H76" s="853"/>
      <c r="I76" s="852"/>
      <c r="J76" s="1664"/>
    </row>
    <row r="77" spans="1:10" ht="18">
      <c r="A77" s="2868" t="s">
        <v>2565</v>
      </c>
      <c r="B77" s="2869"/>
      <c r="C77" s="1726" t="str">
        <f>C43</f>
        <v>五、净利润（净亏损以“-”号填列）</v>
      </c>
      <c r="D77" s="1724" t="s">
        <v>5763</v>
      </c>
      <c r="E77" s="1727">
        <f>E43</f>
        <v>-3349908.33</v>
      </c>
      <c r="F77" s="1728">
        <f>F43</f>
        <v>520228.91</v>
      </c>
      <c r="G77" s="853"/>
      <c r="H77" s="853"/>
      <c r="I77" s="852"/>
      <c r="J77" s="1664"/>
    </row>
    <row r="78" spans="1:10" ht="24">
      <c r="A78" s="2868" t="s">
        <v>2565</v>
      </c>
      <c r="B78" s="2869"/>
      <c r="C78" s="1896" t="str">
        <f>C44 &amp; "+" &amp;C45</f>
        <v>（一）持续经营净利润（净亏损以“-”号填列）+（二）终止经营净利润（净亏损以“-”号填列）</v>
      </c>
      <c r="D78" s="1724" t="s">
        <v>5764</v>
      </c>
      <c r="E78" s="1727">
        <f>E44+E45</f>
        <v>0</v>
      </c>
      <c r="F78" s="1728">
        <f>F44+F45</f>
        <v>0</v>
      </c>
      <c r="G78" s="853"/>
      <c r="H78" s="853"/>
      <c r="I78" s="852"/>
      <c r="J78" s="1664"/>
    </row>
    <row r="79" spans="1:10" ht="18.75" thickBot="1">
      <c r="A79" s="2868" t="s">
        <v>2565</v>
      </c>
      <c r="B79" s="2869"/>
      <c r="C79" s="1729" t="s">
        <v>5765</v>
      </c>
      <c r="D79" s="1724"/>
      <c r="E79" s="1730">
        <f>ROUND(E77-E78,2)</f>
        <v>-3349908.33</v>
      </c>
      <c r="F79" s="1731">
        <f>ROUND(F77-F78,2)</f>
        <v>520228.91</v>
      </c>
      <c r="G79" s="853"/>
      <c r="H79" s="853"/>
      <c r="I79" s="852"/>
      <c r="J79" s="1664"/>
    </row>
    <row r="80" spans="1:10" ht="18.75" thickTop="1">
      <c r="A80" s="2868" t="s">
        <v>2565</v>
      </c>
      <c r="B80" s="2869"/>
      <c r="C80" s="1732" t="s">
        <v>5761</v>
      </c>
      <c r="D80" s="1724"/>
      <c r="E80" s="1733" t="str">
        <f>IF(E79=0,"√","×")</f>
        <v>×</v>
      </c>
      <c r="F80" s="1734" t="str">
        <f>IF(F79=0,"√","×")</f>
        <v>×</v>
      </c>
      <c r="G80" s="853"/>
      <c r="H80" s="853"/>
      <c r="I80" s="852"/>
      <c r="J80" s="1664"/>
    </row>
    <row r="81" spans="1:10" ht="18">
      <c r="A81" s="2868" t="s">
        <v>2565</v>
      </c>
      <c r="B81" s="2869"/>
      <c r="C81" s="1723" t="s">
        <v>5762</v>
      </c>
      <c r="D81" s="1724"/>
      <c r="E81" s="1725"/>
      <c r="F81" s="1695"/>
      <c r="G81" s="853"/>
      <c r="H81" s="853"/>
      <c r="I81" s="852"/>
      <c r="J81" s="1664"/>
    </row>
    <row r="82" spans="1:10" ht="18">
      <c r="A82" s="2868" t="s">
        <v>2565</v>
      </c>
      <c r="B82" s="2869"/>
      <c r="C82" s="1726" t="str">
        <f>C43</f>
        <v>五、净利润（净亏损以“-”号填列）</v>
      </c>
      <c r="D82" s="1724" t="s">
        <v>5763</v>
      </c>
      <c r="E82" s="1727">
        <f>E43</f>
        <v>-3349908.33</v>
      </c>
      <c r="F82" s="1728">
        <f>F43</f>
        <v>520228.91</v>
      </c>
      <c r="G82" s="853"/>
      <c r="H82" s="853"/>
      <c r="I82" s="852"/>
      <c r="J82" s="1664"/>
    </row>
    <row r="83" spans="1:10" ht="18">
      <c r="A83" s="2868" t="s">
        <v>2565</v>
      </c>
      <c r="B83" s="2869"/>
      <c r="C83" s="1691" t="str">
        <f>OwnersEquity!$C$15&amp;" | "&amp;OwnersEquity!$N$7</f>
        <v>（一）综合收益总额 | 未分配利润</v>
      </c>
      <c r="D83" s="1724" t="s">
        <v>5764</v>
      </c>
      <c r="E83" s="1727">
        <f>OwnersEquity!N15</f>
        <v>-3349908.33</v>
      </c>
      <c r="F83" s="1728">
        <f>OwnersEquity!AA15</f>
        <v>520228.91</v>
      </c>
      <c r="G83" s="853"/>
      <c r="H83" s="853"/>
      <c r="I83" s="852"/>
      <c r="J83" s="1664"/>
    </row>
    <row r="84" spans="1:10" ht="18.75" thickBot="1">
      <c r="A84" s="2868" t="s">
        <v>2565</v>
      </c>
      <c r="B84" s="2869"/>
      <c r="C84" s="1729" t="s">
        <v>5765</v>
      </c>
      <c r="D84" s="1724"/>
      <c r="E84" s="1730">
        <f>ROUND(E82-E83,2)</f>
        <v>0</v>
      </c>
      <c r="F84" s="1731">
        <f>ROUND(F82-F83,2)</f>
        <v>0</v>
      </c>
      <c r="G84" s="853"/>
      <c r="H84" s="853"/>
      <c r="I84" s="852"/>
      <c r="J84" s="1664"/>
    </row>
    <row r="85" spans="1:10" ht="18.75" thickTop="1">
      <c r="A85" s="2868" t="s">
        <v>2565</v>
      </c>
      <c r="B85" s="2869"/>
      <c r="C85" s="1732" t="s">
        <v>5766</v>
      </c>
      <c r="D85" s="1724"/>
      <c r="E85" s="1733" t="str">
        <f>IF(E84=0,"√","×")</f>
        <v>√</v>
      </c>
      <c r="F85" s="1734" t="str">
        <f>IF(F84=0,"√","×")</f>
        <v>√</v>
      </c>
      <c r="G85" s="853"/>
      <c r="H85" s="853"/>
      <c r="I85" s="852"/>
      <c r="J85" s="1664"/>
    </row>
    <row r="86" spans="1:10" ht="18">
      <c r="A86" s="2868" t="s">
        <v>2565</v>
      </c>
      <c r="B86" s="2869"/>
      <c r="C86" s="1726" t="str">
        <f>$C$46</f>
        <v>六、其他综合收益的税后净额</v>
      </c>
      <c r="D86" s="1724" t="s">
        <v>5767</v>
      </c>
      <c r="E86" s="1727">
        <f>E46</f>
        <v>0</v>
      </c>
      <c r="F86" s="1728">
        <f>F46</f>
        <v>0</v>
      </c>
      <c r="G86" s="853"/>
      <c r="H86" s="853"/>
      <c r="I86" s="852"/>
      <c r="J86" s="1664"/>
    </row>
    <row r="87" spans="1:10" ht="18">
      <c r="A87" s="2868" t="s">
        <v>2565</v>
      </c>
      <c r="B87" s="2869"/>
      <c r="C87" s="1691" t="str">
        <f>OwnersEquity!$C$15&amp;" | "&amp;OwnersEquity!$J$7</f>
        <v>（一）综合收益总额 | 其他综合收益</v>
      </c>
      <c r="D87" s="1724" t="s">
        <v>5764</v>
      </c>
      <c r="E87" s="1727">
        <f>OwnersEquity!J15</f>
        <v>0</v>
      </c>
      <c r="F87" s="1728">
        <f ca="1">OwnersEquity!W15</f>
        <v>0</v>
      </c>
      <c r="G87" s="853"/>
      <c r="H87" s="853"/>
      <c r="I87" s="852"/>
      <c r="J87" s="1664"/>
    </row>
    <row r="88" spans="1:10" ht="18.75" thickBot="1">
      <c r="A88" s="2868" t="s">
        <v>2565</v>
      </c>
      <c r="B88" s="2869"/>
      <c r="C88" s="1729" t="s">
        <v>5765</v>
      </c>
      <c r="D88" s="1724"/>
      <c r="E88" s="1730">
        <f>ROUND(E86-E87,2)</f>
        <v>0</v>
      </c>
      <c r="F88" s="1731">
        <f ca="1">ROUND(F86-F87,2)</f>
        <v>0</v>
      </c>
      <c r="G88" s="853"/>
      <c r="H88" s="853"/>
      <c r="I88" s="852"/>
      <c r="J88" s="1664"/>
    </row>
    <row r="89" spans="1:10" ht="18.75" thickTop="1">
      <c r="A89" s="2868" t="s">
        <v>2565</v>
      </c>
      <c r="B89" s="2869"/>
      <c r="C89" s="1732" t="s">
        <v>5768</v>
      </c>
      <c r="D89" s="1724"/>
      <c r="E89" s="1733" t="str">
        <f>IF(E88=0,"√","×")</f>
        <v>√</v>
      </c>
      <c r="F89" s="1734" t="str">
        <f ca="1">IF(F88=0,"√","×")</f>
        <v>√</v>
      </c>
      <c r="G89" s="853"/>
      <c r="H89" s="852"/>
      <c r="I89" s="852"/>
      <c r="J89" s="1664"/>
    </row>
    <row r="90" spans="1:10" ht="18">
      <c r="A90" s="2868" t="s">
        <v>2565</v>
      </c>
      <c r="B90" s="2869"/>
      <c r="C90" s="1726" t="str">
        <f>C65</f>
        <v>七、综合收益总额</v>
      </c>
      <c r="D90" s="1724" t="s">
        <v>5769</v>
      </c>
      <c r="E90" s="1727">
        <f>E65</f>
        <v>-3349908.33</v>
      </c>
      <c r="F90" s="1728">
        <f>F65</f>
        <v>520228.91</v>
      </c>
      <c r="G90" s="853"/>
      <c r="H90" s="852"/>
      <c r="I90" s="852"/>
      <c r="J90" s="1664"/>
    </row>
    <row r="91" spans="1:10" ht="18">
      <c r="A91" s="2868" t="s">
        <v>2565</v>
      </c>
      <c r="B91" s="2869"/>
      <c r="C91" s="1691" t="str">
        <f>OwnersEquity!$C$15&amp;" | "&amp;OwnersEquity!$P$7</f>
        <v>（一）综合收益总额 | 所有者权益合计</v>
      </c>
      <c r="D91" s="1724" t="s">
        <v>5770</v>
      </c>
      <c r="E91" s="1727">
        <f>OwnersEquity!P15</f>
        <v>-3349908.33</v>
      </c>
      <c r="F91" s="1728">
        <f ca="1">OwnersEquity!AC15</f>
        <v>520228.91</v>
      </c>
      <c r="G91" s="853"/>
      <c r="H91" s="852"/>
      <c r="I91" s="852"/>
      <c r="J91" s="1664"/>
    </row>
    <row r="92" spans="1:10" ht="18.75" thickBot="1">
      <c r="A92" s="2868" t="s">
        <v>2565</v>
      </c>
      <c r="B92" s="2869"/>
      <c r="C92" s="1729" t="s">
        <v>5771</v>
      </c>
      <c r="D92" s="1724"/>
      <c r="E92" s="1730">
        <f>ROUND(E90-E91,2)</f>
        <v>0</v>
      </c>
      <c r="F92" s="1731">
        <f ca="1">ROUND(F90-F91,2)</f>
        <v>0</v>
      </c>
      <c r="G92" s="853"/>
      <c r="H92" s="852"/>
      <c r="I92" s="852"/>
      <c r="J92" s="1664"/>
    </row>
    <row r="93" spans="1:10" ht="18.75" thickTop="1">
      <c r="A93" s="2868" t="s">
        <v>2565</v>
      </c>
      <c r="B93" s="2869"/>
      <c r="C93" s="1735" t="s">
        <v>5768</v>
      </c>
      <c r="D93" s="1724"/>
      <c r="E93" s="1733" t="str">
        <f>IF(E92=0,"√","×")</f>
        <v>√</v>
      </c>
      <c r="F93" s="1734" t="str">
        <f ca="1">IF(F92=0,"√","×")</f>
        <v>√</v>
      </c>
      <c r="G93" s="1736"/>
      <c r="H93" s="851"/>
      <c r="I93" s="850"/>
    </row>
    <row r="94" spans="1:10" ht="18.75" thickBot="1">
      <c r="A94" s="2868" t="s">
        <v>2565</v>
      </c>
      <c r="B94" s="2869"/>
      <c r="C94" s="1737" t="s">
        <v>2572</v>
      </c>
      <c r="D94" s="1738"/>
      <c r="E94" s="1739">
        <f>SUMIF($C$76:$C$93,"差       异",E76:E93)</f>
        <v>-3349908.33</v>
      </c>
      <c r="F94" s="1706">
        <f ca="1">SUMIF($C$76:$C$93,"差       异",F76:F93)</f>
        <v>520228.91</v>
      </c>
      <c r="G94" s="1736"/>
      <c r="H94" s="1740" t="str">
        <f ca="1">IF(E94+F94=0,"Balanced","Diff "&amp;TEXT(ROUND(E94+F94,2),"#,###.00"))</f>
        <v>Diff -2,829,679.42</v>
      </c>
      <c r="I94" s="850"/>
    </row>
    <row r="95" spans="1:10">
      <c r="B95" s="2841"/>
      <c r="C95" s="1664"/>
      <c r="D95" s="1664"/>
      <c r="E95" s="1664"/>
      <c r="F95" s="1664"/>
    </row>
    <row r="96" spans="1:10">
      <c r="C96" s="1664"/>
      <c r="D96" s="1664"/>
      <c r="E96" s="1664"/>
      <c r="F96" s="1664"/>
    </row>
    <row r="97" spans="3:6">
      <c r="C97" s="1664"/>
      <c r="D97" s="1664"/>
      <c r="E97" s="1664"/>
      <c r="F97" s="1664"/>
    </row>
    <row r="98" spans="3:6">
      <c r="C98" s="1664"/>
      <c r="D98" s="1664"/>
      <c r="E98" s="1664"/>
      <c r="F98" s="1664"/>
    </row>
  </sheetData>
  <sheetProtection password="94A0" sheet="1" scenarios="1" formatCells="0" autoFilter="0"/>
  <mergeCells count="4">
    <mergeCell ref="C2:F2"/>
    <mergeCell ref="C3:F3"/>
    <mergeCell ref="C69:F69"/>
    <mergeCell ref="C71:F71"/>
  </mergeCells>
  <phoneticPr fontId="163" type="noConversion"/>
  <conditionalFormatting sqref="E94:F94 E88:F88 E92:F92 E84:F84 E79:F79">
    <cfRule type="cellIs" dxfId="34" priority="56" stopIfTrue="1" operator="notEqual">
      <formula>0</formula>
    </cfRule>
  </conditionalFormatting>
  <conditionalFormatting sqref="D74:D75 C74">
    <cfRule type="expression" dxfId="33" priority="55" stopIfTrue="1">
      <formula>#REF!=TRUE</formula>
    </cfRule>
  </conditionalFormatting>
  <conditionalFormatting sqref="E94:F94 E88:F88 E92:F92 E84:F84">
    <cfRule type="cellIs" dxfId="32" priority="54" stopIfTrue="1" operator="notEqual">
      <formula>0</formula>
    </cfRule>
  </conditionalFormatting>
  <conditionalFormatting sqref="E94:F94 E88:F88 E92:F92 E84:F84">
    <cfRule type="cellIs" dxfId="31" priority="52" stopIfTrue="1" operator="notEqual">
      <formula>0</formula>
    </cfRule>
  </conditionalFormatting>
  <conditionalFormatting sqref="E94:F94 E88:F88 E92:F92 E84:F84">
    <cfRule type="cellIs" dxfId="30" priority="51" stopIfTrue="1" operator="notEqual">
      <formula>0</formula>
    </cfRule>
  </conditionalFormatting>
  <conditionalFormatting sqref="E94:F94 E88:F88 E92:F92 E84:F84">
    <cfRule type="cellIs" dxfId="29" priority="50" stopIfTrue="1" operator="notEqual">
      <formula>0</formula>
    </cfRule>
  </conditionalFormatting>
  <conditionalFormatting sqref="E94:F94 E88:F88 E92:F92 E84:F84">
    <cfRule type="cellIs" dxfId="28" priority="48" stopIfTrue="1" operator="notEqual">
      <formula>0</formula>
    </cfRule>
  </conditionalFormatting>
  <conditionalFormatting sqref="E94:F94 E88:F88 E92:F92 E84:F84">
    <cfRule type="cellIs" dxfId="27" priority="46" stopIfTrue="1" operator="notEqual">
      <formula>0</formula>
    </cfRule>
  </conditionalFormatting>
  <conditionalFormatting sqref="E94:F94 E88:F88 E92:F92 E84:F84">
    <cfRule type="cellIs" dxfId="26" priority="45" stopIfTrue="1" operator="notEqual">
      <formula>0</formula>
    </cfRule>
  </conditionalFormatting>
  <conditionalFormatting sqref="E94:F94 E88:F88 E92:F92 E84:F84">
    <cfRule type="cellIs" dxfId="25" priority="44" stopIfTrue="1" operator="notEqual">
      <formula>0</formula>
    </cfRule>
  </conditionalFormatting>
  <conditionalFormatting sqref="E94:F94 E88:F88 E92:F92 E84:F84">
    <cfRule type="cellIs" dxfId="24" priority="43" stopIfTrue="1" operator="notEqual">
      <formula>0</formula>
    </cfRule>
  </conditionalFormatting>
  <conditionalFormatting sqref="E94:F94 E88:F88 E92:F92 E84:F84">
    <cfRule type="cellIs" dxfId="23" priority="42" stopIfTrue="1" operator="notEqual">
      <formula>0</formula>
    </cfRule>
  </conditionalFormatting>
  <conditionalFormatting sqref="E94:F94 E88:F88 E92:F92 E84:F84">
    <cfRule type="cellIs" dxfId="22" priority="41" stopIfTrue="1" operator="notEqual">
      <formula>0</formula>
    </cfRule>
  </conditionalFormatting>
  <conditionalFormatting sqref="E94:F94 E88:F88 E92:F92 E84:F84">
    <cfRule type="cellIs" dxfId="21" priority="40" stopIfTrue="1" operator="notEqual">
      <formula>0</formula>
    </cfRule>
  </conditionalFormatting>
  <conditionalFormatting sqref="E94:F94 E88:F88 E92:F92 E84:F84">
    <cfRule type="cellIs" dxfId="20" priority="38" stopIfTrue="1" operator="notEqual">
      <formula>0</formula>
    </cfRule>
  </conditionalFormatting>
  <conditionalFormatting sqref="E94:F94 E88:F88 E92:F92 E84:F84">
    <cfRule type="cellIs" dxfId="19" priority="36" stopIfTrue="1" operator="notEqual">
      <formula>0</formula>
    </cfRule>
  </conditionalFormatting>
  <conditionalFormatting sqref="E94:F94 E88:F88 E92:F92 E84:F84">
    <cfRule type="cellIs" dxfId="18" priority="35" stopIfTrue="1" operator="notEqual">
      <formula>0</formula>
    </cfRule>
  </conditionalFormatting>
  <conditionalFormatting sqref="E94:F94 E88:F88 E92:F92 E84:F84">
    <cfRule type="cellIs" dxfId="17" priority="34" stopIfTrue="1" operator="notEqual">
      <formula>0</formula>
    </cfRule>
  </conditionalFormatting>
  <conditionalFormatting sqref="E94:F94 E88:F88 E92:F92 E84:F84">
    <cfRule type="cellIs" dxfId="16" priority="32" stopIfTrue="1" operator="notEqual">
      <formula>0</formula>
    </cfRule>
  </conditionalFormatting>
  <conditionalFormatting sqref="E94:F94 E88:F88 E92:F92 E84:F84">
    <cfRule type="cellIs" dxfId="15" priority="30" stopIfTrue="1" operator="notEqual">
      <formula>0</formula>
    </cfRule>
  </conditionalFormatting>
  <conditionalFormatting sqref="E94:F94 E88:F88 E92:F92 E84:F84">
    <cfRule type="cellIs" dxfId="14" priority="29" stopIfTrue="1" operator="notEqual">
      <formula>0</formula>
    </cfRule>
  </conditionalFormatting>
  <conditionalFormatting sqref="E94:F94 E88:F88 E92:F92 E84:F84">
    <cfRule type="cellIs" dxfId="13" priority="28" stopIfTrue="1" operator="notEqual">
      <formula>0</formula>
    </cfRule>
  </conditionalFormatting>
  <conditionalFormatting sqref="E94:F94 E88:F88 E92:F92 E84:F84">
    <cfRule type="cellIs" dxfId="12" priority="27" stopIfTrue="1" operator="notEqual">
      <formula>0</formula>
    </cfRule>
  </conditionalFormatting>
  <conditionalFormatting sqref="E94:F94 E88:F88 E92:F92 E84:F84">
    <cfRule type="cellIs" dxfId="11" priority="26" stopIfTrue="1" operator="notEqual">
      <formula>0</formula>
    </cfRule>
  </conditionalFormatting>
  <conditionalFormatting sqref="E94:F94 E88:F88 E92:F92 E84:F84">
    <cfRule type="cellIs" dxfId="10" priority="25" stopIfTrue="1" operator="notEqual">
      <formula>0</formula>
    </cfRule>
  </conditionalFormatting>
  <printOptions horizontalCentered="1"/>
  <pageMargins left="0.82677165354330717" right="0" top="0.78740157480314965" bottom="0.39370078740157483" header="0.51181102362204722" footer="0.51181102362204722"/>
  <pageSetup paperSize="9" scale="58" orientation="portrait" blackAndWhite="1"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pageSetUpPr fitToPage="1"/>
  </sheetPr>
  <dimension ref="A1:P130"/>
  <sheetViews>
    <sheetView showZeros="0" workbookViewId="0">
      <selection activeCell="D7" sqref="D7"/>
    </sheetView>
  </sheetViews>
  <sheetFormatPr defaultRowHeight="12"/>
  <cols>
    <col min="1" max="2" width="0.140625" style="2797" customWidth="1"/>
    <col min="3" max="3" width="78.7109375" style="1665" customWidth="1"/>
    <col min="4" max="4" width="10.7109375" style="1665" customWidth="1"/>
    <col min="5" max="6" width="30.7109375" style="1665" customWidth="1"/>
    <col min="7" max="256" width="9.140625" style="1665"/>
    <col min="257" max="258" width="0.140625" style="1665" customWidth="1"/>
    <col min="259" max="259" width="78.7109375" style="1665" customWidth="1"/>
    <col min="260" max="260" width="10.7109375" style="1665" customWidth="1"/>
    <col min="261" max="262" width="30.7109375" style="1665" customWidth="1"/>
    <col min="263" max="512" width="9.140625" style="1665"/>
    <col min="513" max="514" width="0.140625" style="1665" customWidth="1"/>
    <col min="515" max="515" width="78.7109375" style="1665" customWidth="1"/>
    <col min="516" max="516" width="10.7109375" style="1665" customWidth="1"/>
    <col min="517" max="518" width="30.7109375" style="1665" customWidth="1"/>
    <col min="519" max="768" width="9.140625" style="1665"/>
    <col min="769" max="770" width="0.140625" style="1665" customWidth="1"/>
    <col min="771" max="771" width="78.7109375" style="1665" customWidth="1"/>
    <col min="772" max="772" width="10.7109375" style="1665" customWidth="1"/>
    <col min="773" max="774" width="30.7109375" style="1665" customWidth="1"/>
    <col min="775" max="1024" width="9.140625" style="1665"/>
    <col min="1025" max="1026" width="0.140625" style="1665" customWidth="1"/>
    <col min="1027" max="1027" width="78.7109375" style="1665" customWidth="1"/>
    <col min="1028" max="1028" width="10.7109375" style="1665" customWidth="1"/>
    <col min="1029" max="1030" width="30.7109375" style="1665" customWidth="1"/>
    <col min="1031" max="1280" width="9.140625" style="1665"/>
    <col min="1281" max="1282" width="0.140625" style="1665" customWidth="1"/>
    <col min="1283" max="1283" width="78.7109375" style="1665" customWidth="1"/>
    <col min="1284" max="1284" width="10.7109375" style="1665" customWidth="1"/>
    <col min="1285" max="1286" width="30.7109375" style="1665" customWidth="1"/>
    <col min="1287" max="1536" width="9.140625" style="1665"/>
    <col min="1537" max="1538" width="0.140625" style="1665" customWidth="1"/>
    <col min="1539" max="1539" width="78.7109375" style="1665" customWidth="1"/>
    <col min="1540" max="1540" width="10.7109375" style="1665" customWidth="1"/>
    <col min="1541" max="1542" width="30.7109375" style="1665" customWidth="1"/>
    <col min="1543" max="1792" width="9.140625" style="1665"/>
    <col min="1793" max="1794" width="0.140625" style="1665" customWidth="1"/>
    <col min="1795" max="1795" width="78.7109375" style="1665" customWidth="1"/>
    <col min="1796" max="1796" width="10.7109375" style="1665" customWidth="1"/>
    <col min="1797" max="1798" width="30.7109375" style="1665" customWidth="1"/>
    <col min="1799" max="2048" width="9.140625" style="1665"/>
    <col min="2049" max="2050" width="0.140625" style="1665" customWidth="1"/>
    <col min="2051" max="2051" width="78.7109375" style="1665" customWidth="1"/>
    <col min="2052" max="2052" width="10.7109375" style="1665" customWidth="1"/>
    <col min="2053" max="2054" width="30.7109375" style="1665" customWidth="1"/>
    <col min="2055" max="2304" width="9.140625" style="1665"/>
    <col min="2305" max="2306" width="0.140625" style="1665" customWidth="1"/>
    <col min="2307" max="2307" width="78.7109375" style="1665" customWidth="1"/>
    <col min="2308" max="2308" width="10.7109375" style="1665" customWidth="1"/>
    <col min="2309" max="2310" width="30.7109375" style="1665" customWidth="1"/>
    <col min="2311" max="2560" width="9.140625" style="1665"/>
    <col min="2561" max="2562" width="0.140625" style="1665" customWidth="1"/>
    <col min="2563" max="2563" width="78.7109375" style="1665" customWidth="1"/>
    <col min="2564" max="2564" width="10.7109375" style="1665" customWidth="1"/>
    <col min="2565" max="2566" width="30.7109375" style="1665" customWidth="1"/>
    <col min="2567" max="2816" width="9.140625" style="1665"/>
    <col min="2817" max="2818" width="0.140625" style="1665" customWidth="1"/>
    <col min="2819" max="2819" width="78.7109375" style="1665" customWidth="1"/>
    <col min="2820" max="2820" width="10.7109375" style="1665" customWidth="1"/>
    <col min="2821" max="2822" width="30.7109375" style="1665" customWidth="1"/>
    <col min="2823" max="3072" width="9.140625" style="1665"/>
    <col min="3073" max="3074" width="0.140625" style="1665" customWidth="1"/>
    <col min="3075" max="3075" width="78.7109375" style="1665" customWidth="1"/>
    <col min="3076" max="3076" width="10.7109375" style="1665" customWidth="1"/>
    <col min="3077" max="3078" width="30.7109375" style="1665" customWidth="1"/>
    <col min="3079" max="3328" width="9.140625" style="1665"/>
    <col min="3329" max="3330" width="0.140625" style="1665" customWidth="1"/>
    <col min="3331" max="3331" width="78.7109375" style="1665" customWidth="1"/>
    <col min="3332" max="3332" width="10.7109375" style="1665" customWidth="1"/>
    <col min="3333" max="3334" width="30.7109375" style="1665" customWidth="1"/>
    <col min="3335" max="3584" width="9.140625" style="1665"/>
    <col min="3585" max="3586" width="0.140625" style="1665" customWidth="1"/>
    <col min="3587" max="3587" width="78.7109375" style="1665" customWidth="1"/>
    <col min="3588" max="3588" width="10.7109375" style="1665" customWidth="1"/>
    <col min="3589" max="3590" width="30.7109375" style="1665" customWidth="1"/>
    <col min="3591" max="3840" width="9.140625" style="1665"/>
    <col min="3841" max="3842" width="0.140625" style="1665" customWidth="1"/>
    <col min="3843" max="3843" width="78.7109375" style="1665" customWidth="1"/>
    <col min="3844" max="3844" width="10.7109375" style="1665" customWidth="1"/>
    <col min="3845" max="3846" width="30.7109375" style="1665" customWidth="1"/>
    <col min="3847" max="4096" width="9.140625" style="1665"/>
    <col min="4097" max="4098" width="0.140625" style="1665" customWidth="1"/>
    <col min="4099" max="4099" width="78.7109375" style="1665" customWidth="1"/>
    <col min="4100" max="4100" width="10.7109375" style="1665" customWidth="1"/>
    <col min="4101" max="4102" width="30.7109375" style="1665" customWidth="1"/>
    <col min="4103" max="4352" width="9.140625" style="1665"/>
    <col min="4353" max="4354" width="0.140625" style="1665" customWidth="1"/>
    <col min="4355" max="4355" width="78.7109375" style="1665" customWidth="1"/>
    <col min="4356" max="4356" width="10.7109375" style="1665" customWidth="1"/>
    <col min="4357" max="4358" width="30.7109375" style="1665" customWidth="1"/>
    <col min="4359" max="4608" width="9.140625" style="1665"/>
    <col min="4609" max="4610" width="0.140625" style="1665" customWidth="1"/>
    <col min="4611" max="4611" width="78.7109375" style="1665" customWidth="1"/>
    <col min="4612" max="4612" width="10.7109375" style="1665" customWidth="1"/>
    <col min="4613" max="4614" width="30.7109375" style="1665" customWidth="1"/>
    <col min="4615" max="4864" width="9.140625" style="1665"/>
    <col min="4865" max="4866" width="0.140625" style="1665" customWidth="1"/>
    <col min="4867" max="4867" width="78.7109375" style="1665" customWidth="1"/>
    <col min="4868" max="4868" width="10.7109375" style="1665" customWidth="1"/>
    <col min="4869" max="4870" width="30.7109375" style="1665" customWidth="1"/>
    <col min="4871" max="5120" width="9.140625" style="1665"/>
    <col min="5121" max="5122" width="0.140625" style="1665" customWidth="1"/>
    <col min="5123" max="5123" width="78.7109375" style="1665" customWidth="1"/>
    <col min="5124" max="5124" width="10.7109375" style="1665" customWidth="1"/>
    <col min="5125" max="5126" width="30.7109375" style="1665" customWidth="1"/>
    <col min="5127" max="5376" width="9.140625" style="1665"/>
    <col min="5377" max="5378" width="0.140625" style="1665" customWidth="1"/>
    <col min="5379" max="5379" width="78.7109375" style="1665" customWidth="1"/>
    <col min="5380" max="5380" width="10.7109375" style="1665" customWidth="1"/>
    <col min="5381" max="5382" width="30.7109375" style="1665" customWidth="1"/>
    <col min="5383" max="5632" width="9.140625" style="1665"/>
    <col min="5633" max="5634" width="0.140625" style="1665" customWidth="1"/>
    <col min="5635" max="5635" width="78.7109375" style="1665" customWidth="1"/>
    <col min="5636" max="5636" width="10.7109375" style="1665" customWidth="1"/>
    <col min="5637" max="5638" width="30.7109375" style="1665" customWidth="1"/>
    <col min="5639" max="5888" width="9.140625" style="1665"/>
    <col min="5889" max="5890" width="0.140625" style="1665" customWidth="1"/>
    <col min="5891" max="5891" width="78.7109375" style="1665" customWidth="1"/>
    <col min="5892" max="5892" width="10.7109375" style="1665" customWidth="1"/>
    <col min="5893" max="5894" width="30.7109375" style="1665" customWidth="1"/>
    <col min="5895" max="6144" width="9.140625" style="1665"/>
    <col min="6145" max="6146" width="0.140625" style="1665" customWidth="1"/>
    <col min="6147" max="6147" width="78.7109375" style="1665" customWidth="1"/>
    <col min="6148" max="6148" width="10.7109375" style="1665" customWidth="1"/>
    <col min="6149" max="6150" width="30.7109375" style="1665" customWidth="1"/>
    <col min="6151" max="6400" width="9.140625" style="1665"/>
    <col min="6401" max="6402" width="0.140625" style="1665" customWidth="1"/>
    <col min="6403" max="6403" width="78.7109375" style="1665" customWidth="1"/>
    <col min="6404" max="6404" width="10.7109375" style="1665" customWidth="1"/>
    <col min="6405" max="6406" width="30.7109375" style="1665" customWidth="1"/>
    <col min="6407" max="6656" width="9.140625" style="1665"/>
    <col min="6657" max="6658" width="0.140625" style="1665" customWidth="1"/>
    <col min="6659" max="6659" width="78.7109375" style="1665" customWidth="1"/>
    <col min="6660" max="6660" width="10.7109375" style="1665" customWidth="1"/>
    <col min="6661" max="6662" width="30.7109375" style="1665" customWidth="1"/>
    <col min="6663" max="6912" width="9.140625" style="1665"/>
    <col min="6913" max="6914" width="0.140625" style="1665" customWidth="1"/>
    <col min="6915" max="6915" width="78.7109375" style="1665" customWidth="1"/>
    <col min="6916" max="6916" width="10.7109375" style="1665" customWidth="1"/>
    <col min="6917" max="6918" width="30.7109375" style="1665" customWidth="1"/>
    <col min="6919" max="7168" width="9.140625" style="1665"/>
    <col min="7169" max="7170" width="0.140625" style="1665" customWidth="1"/>
    <col min="7171" max="7171" width="78.7109375" style="1665" customWidth="1"/>
    <col min="7172" max="7172" width="10.7109375" style="1665" customWidth="1"/>
    <col min="7173" max="7174" width="30.7109375" style="1665" customWidth="1"/>
    <col min="7175" max="7424" width="9.140625" style="1665"/>
    <col min="7425" max="7426" width="0.140625" style="1665" customWidth="1"/>
    <col min="7427" max="7427" width="78.7109375" style="1665" customWidth="1"/>
    <col min="7428" max="7428" width="10.7109375" style="1665" customWidth="1"/>
    <col min="7429" max="7430" width="30.7109375" style="1665" customWidth="1"/>
    <col min="7431" max="7680" width="9.140625" style="1665"/>
    <col min="7681" max="7682" width="0.140625" style="1665" customWidth="1"/>
    <col min="7683" max="7683" width="78.7109375" style="1665" customWidth="1"/>
    <col min="7684" max="7684" width="10.7109375" style="1665" customWidth="1"/>
    <col min="7685" max="7686" width="30.7109375" style="1665" customWidth="1"/>
    <col min="7687" max="7936" width="9.140625" style="1665"/>
    <col min="7937" max="7938" width="0.140625" style="1665" customWidth="1"/>
    <col min="7939" max="7939" width="78.7109375" style="1665" customWidth="1"/>
    <col min="7940" max="7940" width="10.7109375" style="1665" customWidth="1"/>
    <col min="7941" max="7942" width="30.7109375" style="1665" customWidth="1"/>
    <col min="7943" max="8192" width="9.140625" style="1665"/>
    <col min="8193" max="8194" width="0.140625" style="1665" customWidth="1"/>
    <col min="8195" max="8195" width="78.7109375" style="1665" customWidth="1"/>
    <col min="8196" max="8196" width="10.7109375" style="1665" customWidth="1"/>
    <col min="8197" max="8198" width="30.7109375" style="1665" customWidth="1"/>
    <col min="8199" max="8448" width="9.140625" style="1665"/>
    <col min="8449" max="8450" width="0.140625" style="1665" customWidth="1"/>
    <col min="8451" max="8451" width="78.7109375" style="1665" customWidth="1"/>
    <col min="8452" max="8452" width="10.7109375" style="1665" customWidth="1"/>
    <col min="8453" max="8454" width="30.7109375" style="1665" customWidth="1"/>
    <col min="8455" max="8704" width="9.140625" style="1665"/>
    <col min="8705" max="8706" width="0.140625" style="1665" customWidth="1"/>
    <col min="8707" max="8707" width="78.7109375" style="1665" customWidth="1"/>
    <col min="8708" max="8708" width="10.7109375" style="1665" customWidth="1"/>
    <col min="8709" max="8710" width="30.7109375" style="1665" customWidth="1"/>
    <col min="8711" max="8960" width="9.140625" style="1665"/>
    <col min="8961" max="8962" width="0.140625" style="1665" customWidth="1"/>
    <col min="8963" max="8963" width="78.7109375" style="1665" customWidth="1"/>
    <col min="8964" max="8964" width="10.7109375" style="1665" customWidth="1"/>
    <col min="8965" max="8966" width="30.7109375" style="1665" customWidth="1"/>
    <col min="8967" max="9216" width="9.140625" style="1665"/>
    <col min="9217" max="9218" width="0.140625" style="1665" customWidth="1"/>
    <col min="9219" max="9219" width="78.7109375" style="1665" customWidth="1"/>
    <col min="9220" max="9220" width="10.7109375" style="1665" customWidth="1"/>
    <col min="9221" max="9222" width="30.7109375" style="1665" customWidth="1"/>
    <col min="9223" max="9472" width="9.140625" style="1665"/>
    <col min="9473" max="9474" width="0.140625" style="1665" customWidth="1"/>
    <col min="9475" max="9475" width="78.7109375" style="1665" customWidth="1"/>
    <col min="9476" max="9476" width="10.7109375" style="1665" customWidth="1"/>
    <col min="9477" max="9478" width="30.7109375" style="1665" customWidth="1"/>
    <col min="9479" max="9728" width="9.140625" style="1665"/>
    <col min="9729" max="9730" width="0.140625" style="1665" customWidth="1"/>
    <col min="9731" max="9731" width="78.7109375" style="1665" customWidth="1"/>
    <col min="9732" max="9732" width="10.7109375" style="1665" customWidth="1"/>
    <col min="9733" max="9734" width="30.7109375" style="1665" customWidth="1"/>
    <col min="9735" max="9984" width="9.140625" style="1665"/>
    <col min="9985" max="9986" width="0.140625" style="1665" customWidth="1"/>
    <col min="9987" max="9987" width="78.7109375" style="1665" customWidth="1"/>
    <col min="9988" max="9988" width="10.7109375" style="1665" customWidth="1"/>
    <col min="9989" max="9990" width="30.7109375" style="1665" customWidth="1"/>
    <col min="9991" max="10240" width="9.140625" style="1665"/>
    <col min="10241" max="10242" width="0.140625" style="1665" customWidth="1"/>
    <col min="10243" max="10243" width="78.7109375" style="1665" customWidth="1"/>
    <col min="10244" max="10244" width="10.7109375" style="1665" customWidth="1"/>
    <col min="10245" max="10246" width="30.7109375" style="1665" customWidth="1"/>
    <col min="10247" max="10496" width="9.140625" style="1665"/>
    <col min="10497" max="10498" width="0.140625" style="1665" customWidth="1"/>
    <col min="10499" max="10499" width="78.7109375" style="1665" customWidth="1"/>
    <col min="10500" max="10500" width="10.7109375" style="1665" customWidth="1"/>
    <col min="10501" max="10502" width="30.7109375" style="1665" customWidth="1"/>
    <col min="10503" max="10752" width="9.140625" style="1665"/>
    <col min="10753" max="10754" width="0.140625" style="1665" customWidth="1"/>
    <col min="10755" max="10755" width="78.7109375" style="1665" customWidth="1"/>
    <col min="10756" max="10756" width="10.7109375" style="1665" customWidth="1"/>
    <col min="10757" max="10758" width="30.7109375" style="1665" customWidth="1"/>
    <col min="10759" max="11008" width="9.140625" style="1665"/>
    <col min="11009" max="11010" width="0.140625" style="1665" customWidth="1"/>
    <col min="11011" max="11011" width="78.7109375" style="1665" customWidth="1"/>
    <col min="11012" max="11012" width="10.7109375" style="1665" customWidth="1"/>
    <col min="11013" max="11014" width="30.7109375" style="1665" customWidth="1"/>
    <col min="11015" max="11264" width="9.140625" style="1665"/>
    <col min="11265" max="11266" width="0.140625" style="1665" customWidth="1"/>
    <col min="11267" max="11267" width="78.7109375" style="1665" customWidth="1"/>
    <col min="11268" max="11268" width="10.7109375" style="1665" customWidth="1"/>
    <col min="11269" max="11270" width="30.7109375" style="1665" customWidth="1"/>
    <col min="11271" max="11520" width="9.140625" style="1665"/>
    <col min="11521" max="11522" width="0.140625" style="1665" customWidth="1"/>
    <col min="11523" max="11523" width="78.7109375" style="1665" customWidth="1"/>
    <col min="11524" max="11524" width="10.7109375" style="1665" customWidth="1"/>
    <col min="11525" max="11526" width="30.7109375" style="1665" customWidth="1"/>
    <col min="11527" max="11776" width="9.140625" style="1665"/>
    <col min="11777" max="11778" width="0.140625" style="1665" customWidth="1"/>
    <col min="11779" max="11779" width="78.7109375" style="1665" customWidth="1"/>
    <col min="11780" max="11780" width="10.7109375" style="1665" customWidth="1"/>
    <col min="11781" max="11782" width="30.7109375" style="1665" customWidth="1"/>
    <col min="11783" max="12032" width="9.140625" style="1665"/>
    <col min="12033" max="12034" width="0.140625" style="1665" customWidth="1"/>
    <col min="12035" max="12035" width="78.7109375" style="1665" customWidth="1"/>
    <col min="12036" max="12036" width="10.7109375" style="1665" customWidth="1"/>
    <col min="12037" max="12038" width="30.7109375" style="1665" customWidth="1"/>
    <col min="12039" max="12288" width="9.140625" style="1665"/>
    <col min="12289" max="12290" width="0.140625" style="1665" customWidth="1"/>
    <col min="12291" max="12291" width="78.7109375" style="1665" customWidth="1"/>
    <col min="12292" max="12292" width="10.7109375" style="1665" customWidth="1"/>
    <col min="12293" max="12294" width="30.7109375" style="1665" customWidth="1"/>
    <col min="12295" max="12544" width="9.140625" style="1665"/>
    <col min="12545" max="12546" width="0.140625" style="1665" customWidth="1"/>
    <col min="12547" max="12547" width="78.7109375" style="1665" customWidth="1"/>
    <col min="12548" max="12548" width="10.7109375" style="1665" customWidth="1"/>
    <col min="12549" max="12550" width="30.7109375" style="1665" customWidth="1"/>
    <col min="12551" max="12800" width="9.140625" style="1665"/>
    <col min="12801" max="12802" width="0.140625" style="1665" customWidth="1"/>
    <col min="12803" max="12803" width="78.7109375" style="1665" customWidth="1"/>
    <col min="12804" max="12804" width="10.7109375" style="1665" customWidth="1"/>
    <col min="12805" max="12806" width="30.7109375" style="1665" customWidth="1"/>
    <col min="12807" max="13056" width="9.140625" style="1665"/>
    <col min="13057" max="13058" width="0.140625" style="1665" customWidth="1"/>
    <col min="13059" max="13059" width="78.7109375" style="1665" customWidth="1"/>
    <col min="13060" max="13060" width="10.7109375" style="1665" customWidth="1"/>
    <col min="13061" max="13062" width="30.7109375" style="1665" customWidth="1"/>
    <col min="13063" max="13312" width="9.140625" style="1665"/>
    <col min="13313" max="13314" width="0.140625" style="1665" customWidth="1"/>
    <col min="13315" max="13315" width="78.7109375" style="1665" customWidth="1"/>
    <col min="13316" max="13316" width="10.7109375" style="1665" customWidth="1"/>
    <col min="13317" max="13318" width="30.7109375" style="1665" customWidth="1"/>
    <col min="13319" max="13568" width="9.140625" style="1665"/>
    <col min="13569" max="13570" width="0.140625" style="1665" customWidth="1"/>
    <col min="13571" max="13571" width="78.7109375" style="1665" customWidth="1"/>
    <col min="13572" max="13572" width="10.7109375" style="1665" customWidth="1"/>
    <col min="13573" max="13574" width="30.7109375" style="1665" customWidth="1"/>
    <col min="13575" max="13824" width="9.140625" style="1665"/>
    <col min="13825" max="13826" width="0.140625" style="1665" customWidth="1"/>
    <col min="13827" max="13827" width="78.7109375" style="1665" customWidth="1"/>
    <col min="13828" max="13828" width="10.7109375" style="1665" customWidth="1"/>
    <col min="13829" max="13830" width="30.7109375" style="1665" customWidth="1"/>
    <col min="13831" max="14080" width="9.140625" style="1665"/>
    <col min="14081" max="14082" width="0.140625" style="1665" customWidth="1"/>
    <col min="14083" max="14083" width="78.7109375" style="1665" customWidth="1"/>
    <col min="14084" max="14084" width="10.7109375" style="1665" customWidth="1"/>
    <col min="14085" max="14086" width="30.7109375" style="1665" customWidth="1"/>
    <col min="14087" max="14336" width="9.140625" style="1665"/>
    <col min="14337" max="14338" width="0.140625" style="1665" customWidth="1"/>
    <col min="14339" max="14339" width="78.7109375" style="1665" customWidth="1"/>
    <col min="14340" max="14340" width="10.7109375" style="1665" customWidth="1"/>
    <col min="14341" max="14342" width="30.7109375" style="1665" customWidth="1"/>
    <col min="14343" max="14592" width="9.140625" style="1665"/>
    <col min="14593" max="14594" width="0.140625" style="1665" customWidth="1"/>
    <col min="14595" max="14595" width="78.7109375" style="1665" customWidth="1"/>
    <col min="14596" max="14596" width="10.7109375" style="1665" customWidth="1"/>
    <col min="14597" max="14598" width="30.7109375" style="1665" customWidth="1"/>
    <col min="14599" max="14848" width="9.140625" style="1665"/>
    <col min="14849" max="14850" width="0.140625" style="1665" customWidth="1"/>
    <col min="14851" max="14851" width="78.7109375" style="1665" customWidth="1"/>
    <col min="14852" max="14852" width="10.7109375" style="1665" customWidth="1"/>
    <col min="14853" max="14854" width="30.7109375" style="1665" customWidth="1"/>
    <col min="14855" max="15104" width="9.140625" style="1665"/>
    <col min="15105" max="15106" width="0.140625" style="1665" customWidth="1"/>
    <col min="15107" max="15107" width="78.7109375" style="1665" customWidth="1"/>
    <col min="15108" max="15108" width="10.7109375" style="1665" customWidth="1"/>
    <col min="15109" max="15110" width="30.7109375" style="1665" customWidth="1"/>
    <col min="15111" max="15360" width="9.140625" style="1665"/>
    <col min="15361" max="15362" width="0.140625" style="1665" customWidth="1"/>
    <col min="15363" max="15363" width="78.7109375" style="1665" customWidth="1"/>
    <col min="15364" max="15364" width="10.7109375" style="1665" customWidth="1"/>
    <col min="15365" max="15366" width="30.7109375" style="1665" customWidth="1"/>
    <col min="15367" max="15616" width="9.140625" style="1665"/>
    <col min="15617" max="15618" width="0.140625" style="1665" customWidth="1"/>
    <col min="15619" max="15619" width="78.7109375" style="1665" customWidth="1"/>
    <col min="15620" max="15620" width="10.7109375" style="1665" customWidth="1"/>
    <col min="15621" max="15622" width="30.7109375" style="1665" customWidth="1"/>
    <col min="15623" max="15872" width="9.140625" style="1665"/>
    <col min="15873" max="15874" width="0.140625" style="1665" customWidth="1"/>
    <col min="15875" max="15875" width="78.7109375" style="1665" customWidth="1"/>
    <col min="15876" max="15876" width="10.7109375" style="1665" customWidth="1"/>
    <col min="15877" max="15878" width="30.7109375" style="1665" customWidth="1"/>
    <col min="15879" max="16128" width="9.140625" style="1665"/>
    <col min="16129" max="16130" width="0.140625" style="1665" customWidth="1"/>
    <col min="16131" max="16131" width="78.7109375" style="1665" customWidth="1"/>
    <col min="16132" max="16132" width="10.7109375" style="1665" customWidth="1"/>
    <col min="16133" max="16134" width="30.7109375" style="1665" customWidth="1"/>
    <col min="16135" max="16384" width="9.140625" style="1665"/>
  </cols>
  <sheetData>
    <row r="1" spans="1:10">
      <c r="A1" s="2840"/>
      <c r="B1" s="2841"/>
      <c r="C1" s="1662"/>
      <c r="D1" s="1662"/>
      <c r="E1" s="1662"/>
      <c r="F1" s="1662"/>
      <c r="G1" s="1664"/>
      <c r="H1" s="1664"/>
      <c r="I1" s="1707"/>
      <c r="J1" s="1664"/>
    </row>
    <row r="2" spans="1:10" ht="24.95" customHeight="1">
      <c r="A2" s="2840"/>
      <c r="B2" s="2841"/>
      <c r="C2" s="3559" t="s">
        <v>5809</v>
      </c>
      <c r="D2" s="3559"/>
      <c r="E2" s="3559"/>
      <c r="F2" s="3559"/>
      <c r="G2" s="1664"/>
      <c r="H2" s="1664"/>
      <c r="I2" s="1664"/>
      <c r="J2" s="1664"/>
    </row>
    <row r="3" spans="1:10" ht="27" customHeight="1">
      <c r="A3" s="2840"/>
      <c r="B3" s="2841"/>
      <c r="C3" s="3558" t="str">
        <f>Lead!$F$7</f>
        <v>2019年度</v>
      </c>
      <c r="D3" s="3558"/>
      <c r="E3" s="3558"/>
      <c r="F3" s="3558"/>
      <c r="G3" s="1664"/>
      <c r="H3" s="1664"/>
      <c r="I3" s="1664"/>
      <c r="J3" s="1664"/>
    </row>
    <row r="4" spans="1:10" ht="6" customHeight="1">
      <c r="A4" s="2840"/>
      <c r="B4" s="2841"/>
      <c r="C4" s="2165"/>
      <c r="D4" s="2039"/>
      <c r="E4" s="2039"/>
      <c r="F4" s="2041"/>
      <c r="G4" s="1664"/>
      <c r="H4" s="1664"/>
      <c r="I4" s="1664"/>
      <c r="J4" s="1664"/>
    </row>
    <row r="5" spans="1:10" ht="15.95" customHeight="1" thickBot="1">
      <c r="A5" s="2840"/>
      <c r="B5" s="2841"/>
      <c r="C5" s="2038" t="str">
        <f>Lead!$B$5&amp;"："&amp;Lead!$C$5</f>
        <v>编制单位：福建省力菲克药业有限公司</v>
      </c>
      <c r="D5" s="2039"/>
      <c r="E5" s="2040" t="s">
        <v>2554</v>
      </c>
      <c r="F5" s="2041" t="s">
        <v>2555</v>
      </c>
      <c r="G5" s="1664"/>
      <c r="H5" s="1664"/>
      <c r="I5" s="1664"/>
      <c r="J5" s="1664"/>
    </row>
    <row r="6" spans="1:10" ht="18" customHeight="1">
      <c r="A6" s="2840" t="s">
        <v>2556</v>
      </c>
      <c r="B6" s="2841" t="s">
        <v>2558</v>
      </c>
      <c r="C6" s="2166" t="s">
        <v>5134</v>
      </c>
      <c r="D6" s="2167" t="s">
        <v>5847</v>
      </c>
      <c r="E6" s="2045" t="str">
        <f>Lead!$F$7</f>
        <v>2019年度</v>
      </c>
      <c r="F6" s="2046" t="str">
        <f>Lead!$F$8</f>
        <v>2018年度</v>
      </c>
      <c r="G6" s="1664"/>
      <c r="H6" s="1664"/>
      <c r="I6" s="1664"/>
      <c r="J6" s="1664"/>
    </row>
    <row r="7" spans="1:10" ht="18" customHeight="1">
      <c r="A7" s="2842" t="str">
        <f t="shared" ref="A7:A39" si="0">VLOOKUP($B7,Sheet_Items,4,0)</f>
        <v>：</v>
      </c>
      <c r="B7" s="2843">
        <v>7000</v>
      </c>
      <c r="C7" s="2075" t="str">
        <f t="shared" ref="C7:C39" si="1">VLOOKUP($B7,Sheet_Items,7,0)</f>
        <v>一、经营活动产生的现金流量</v>
      </c>
      <c r="D7" s="2168"/>
      <c r="E7" s="2125"/>
      <c r="F7" s="2128"/>
      <c r="G7" s="1664"/>
      <c r="H7" s="1664"/>
      <c r="I7" s="1664"/>
      <c r="J7" s="1664"/>
    </row>
    <row r="8" spans="1:10" ht="18" customHeight="1">
      <c r="A8" s="2842">
        <f t="shared" si="0"/>
        <v>0</v>
      </c>
      <c r="B8" s="2843">
        <v>7001</v>
      </c>
      <c r="C8" s="2079" t="str">
        <f t="shared" si="1"/>
        <v>销售商品、提供劳务收到的现金</v>
      </c>
      <c r="D8" s="2168"/>
      <c r="E8" s="2125">
        <f t="shared" ref="E8:E20" si="2">VLOOKUP($B8,Sheet_Trialbal,6,0)</f>
        <v>36631011.609999999</v>
      </c>
      <c r="F8" s="2128">
        <f t="shared" ref="F8:F20" si="3">VLOOKUP($B8,Sheet_Trialbal,10,0)</f>
        <v>43157155</v>
      </c>
      <c r="G8" s="1664"/>
      <c r="H8" s="1664"/>
      <c r="I8" s="1664"/>
      <c r="J8" s="1664"/>
    </row>
    <row r="9" spans="1:10" ht="18" customHeight="1">
      <c r="A9" s="2842" t="str">
        <f t="shared" si="0"/>
        <v>△</v>
      </c>
      <c r="B9" s="2843">
        <v>7011</v>
      </c>
      <c r="C9" s="2079" t="str">
        <f t="shared" si="1"/>
        <v>客户存款和同业存放款项净增加额</v>
      </c>
      <c r="D9" s="2168"/>
      <c r="E9" s="2125">
        <f t="shared" si="2"/>
        <v>0</v>
      </c>
      <c r="F9" s="2128">
        <f t="shared" si="3"/>
        <v>0</v>
      </c>
      <c r="G9" s="1664"/>
      <c r="H9" s="1664"/>
      <c r="I9" s="1664"/>
      <c r="J9" s="1664"/>
    </row>
    <row r="10" spans="1:10" ht="18" customHeight="1">
      <c r="A10" s="2842" t="str">
        <f t="shared" si="0"/>
        <v>△</v>
      </c>
      <c r="B10" s="2843">
        <v>7012</v>
      </c>
      <c r="C10" s="2079" t="str">
        <f t="shared" si="1"/>
        <v>向中央银行借款净增加额</v>
      </c>
      <c r="D10" s="2168"/>
      <c r="E10" s="2125">
        <f t="shared" si="2"/>
        <v>0</v>
      </c>
      <c r="F10" s="2128">
        <f t="shared" si="3"/>
        <v>0</v>
      </c>
      <c r="G10" s="1664"/>
      <c r="H10" s="1664"/>
      <c r="I10" s="1664"/>
      <c r="J10" s="1664"/>
    </row>
    <row r="11" spans="1:10" ht="18" customHeight="1">
      <c r="A11" s="2842" t="str">
        <f t="shared" si="0"/>
        <v>△</v>
      </c>
      <c r="B11" s="2843">
        <v>7013</v>
      </c>
      <c r="C11" s="2079" t="str">
        <f t="shared" si="1"/>
        <v>向其他金融机构拆入资金净增加额</v>
      </c>
      <c r="D11" s="2168"/>
      <c r="E11" s="2125">
        <f t="shared" si="2"/>
        <v>0</v>
      </c>
      <c r="F11" s="2128">
        <f t="shared" si="3"/>
        <v>0</v>
      </c>
      <c r="G11" s="1664"/>
      <c r="H11" s="1664"/>
      <c r="I11" s="1664"/>
      <c r="J11" s="1664"/>
    </row>
    <row r="12" spans="1:10" ht="18" customHeight="1">
      <c r="A12" s="2842" t="str">
        <f t="shared" si="0"/>
        <v>△</v>
      </c>
      <c r="B12" s="2843">
        <v>7014</v>
      </c>
      <c r="C12" s="2079" t="str">
        <f t="shared" si="1"/>
        <v>收到原保险合同保费取得的现金</v>
      </c>
      <c r="D12" s="2168"/>
      <c r="E12" s="2125">
        <f t="shared" si="2"/>
        <v>0</v>
      </c>
      <c r="F12" s="2128">
        <f t="shared" si="3"/>
        <v>0</v>
      </c>
      <c r="G12" s="1664"/>
      <c r="H12" s="1664"/>
      <c r="I12" s="1664"/>
      <c r="J12" s="1664"/>
    </row>
    <row r="13" spans="1:10" ht="18" customHeight="1">
      <c r="A13" s="2842" t="str">
        <f t="shared" si="0"/>
        <v>△</v>
      </c>
      <c r="B13" s="2843">
        <v>7015</v>
      </c>
      <c r="C13" s="2079" t="str">
        <f t="shared" si="1"/>
        <v>收到再保业务现金净额</v>
      </c>
      <c r="D13" s="2168"/>
      <c r="E13" s="2125">
        <f t="shared" si="2"/>
        <v>0</v>
      </c>
      <c r="F13" s="2128">
        <f t="shared" si="3"/>
        <v>0</v>
      </c>
      <c r="G13" s="1664"/>
      <c r="H13" s="1664"/>
      <c r="I13" s="1664"/>
      <c r="J13" s="1664"/>
    </row>
    <row r="14" spans="1:10" ht="18" customHeight="1">
      <c r="A14" s="2842" t="str">
        <f t="shared" si="0"/>
        <v>△</v>
      </c>
      <c r="B14" s="2843">
        <v>7016</v>
      </c>
      <c r="C14" s="2079" t="str">
        <f t="shared" si="1"/>
        <v>保户储金及投资款净增加额</v>
      </c>
      <c r="D14" s="2168"/>
      <c r="E14" s="2125">
        <f t="shared" si="2"/>
        <v>0</v>
      </c>
      <c r="F14" s="2128">
        <f t="shared" si="3"/>
        <v>0</v>
      </c>
      <c r="G14" s="1664"/>
      <c r="H14" s="1664"/>
      <c r="I14" s="1664"/>
      <c r="J14" s="1664"/>
    </row>
    <row r="15" spans="1:10" ht="18" customHeight="1">
      <c r="A15" s="2842" t="str">
        <f t="shared" si="0"/>
        <v>△</v>
      </c>
      <c r="B15" s="2843">
        <v>7023</v>
      </c>
      <c r="C15" s="2079" t="str">
        <f t="shared" si="1"/>
        <v>收取利息、手续费及佣金的现金</v>
      </c>
      <c r="D15" s="2168"/>
      <c r="E15" s="2125">
        <f t="shared" si="2"/>
        <v>0</v>
      </c>
      <c r="F15" s="2128">
        <f t="shared" si="3"/>
        <v>0</v>
      </c>
      <c r="G15" s="1664"/>
      <c r="H15" s="1664"/>
      <c r="I15" s="1664"/>
      <c r="J15" s="1664"/>
    </row>
    <row r="16" spans="1:10" ht="18" customHeight="1">
      <c r="A16" s="2842" t="str">
        <f t="shared" si="0"/>
        <v>△</v>
      </c>
      <c r="B16" s="2843">
        <v>7025</v>
      </c>
      <c r="C16" s="2079" t="str">
        <f t="shared" si="1"/>
        <v>拆入资金净增加额</v>
      </c>
      <c r="D16" s="2168"/>
      <c r="E16" s="2125">
        <f t="shared" si="2"/>
        <v>0</v>
      </c>
      <c r="F16" s="2128">
        <f t="shared" si="3"/>
        <v>0</v>
      </c>
      <c r="G16" s="1664"/>
      <c r="H16" s="1664"/>
      <c r="I16" s="1664"/>
      <c r="J16" s="1664"/>
    </row>
    <row r="17" spans="1:10" ht="18" customHeight="1">
      <c r="A17" s="2842" t="str">
        <f t="shared" si="0"/>
        <v>△</v>
      </c>
      <c r="B17" s="2843">
        <v>7026</v>
      </c>
      <c r="C17" s="2079" t="str">
        <f t="shared" si="1"/>
        <v>回购业务资金净增加额</v>
      </c>
      <c r="D17" s="2168"/>
      <c r="E17" s="2125">
        <f t="shared" si="2"/>
        <v>0</v>
      </c>
      <c r="F17" s="2128">
        <f t="shared" si="3"/>
        <v>0</v>
      </c>
      <c r="G17" s="1664"/>
      <c r="H17" s="1664"/>
      <c r="I17" s="1664"/>
      <c r="J17" s="1664"/>
    </row>
    <row r="18" spans="1:10" ht="18" customHeight="1">
      <c r="A18" s="2842" t="str">
        <f t="shared" si="0"/>
        <v>△</v>
      </c>
      <c r="B18" s="2843">
        <v>7024</v>
      </c>
      <c r="C18" s="2079" t="str">
        <f t="shared" si="1"/>
        <v>代理买卖证券收到的现金净额</v>
      </c>
      <c r="D18" s="2168"/>
      <c r="E18" s="2125">
        <f t="shared" si="2"/>
        <v>0</v>
      </c>
      <c r="F18" s="2128">
        <f t="shared" si="3"/>
        <v>0</v>
      </c>
      <c r="G18" s="1664"/>
      <c r="H18" s="1664"/>
      <c r="I18" s="1664"/>
      <c r="J18" s="1664"/>
    </row>
    <row r="19" spans="1:10" ht="18" customHeight="1">
      <c r="A19" s="2842">
        <f t="shared" si="0"/>
        <v>0</v>
      </c>
      <c r="B19" s="2843">
        <v>7031</v>
      </c>
      <c r="C19" s="2079" t="str">
        <f t="shared" si="1"/>
        <v>收到的税费返还</v>
      </c>
      <c r="D19" s="2168"/>
      <c r="E19" s="2125">
        <f t="shared" si="2"/>
        <v>0</v>
      </c>
      <c r="F19" s="2128">
        <f t="shared" si="3"/>
        <v>0</v>
      </c>
      <c r="G19" s="1664"/>
      <c r="H19" s="1664"/>
      <c r="I19" s="1664"/>
      <c r="J19" s="1664"/>
    </row>
    <row r="20" spans="1:10" ht="18" customHeight="1">
      <c r="A20" s="2842">
        <f t="shared" si="0"/>
        <v>0</v>
      </c>
      <c r="B20" s="2843">
        <v>7046</v>
      </c>
      <c r="C20" s="2079" t="str">
        <f t="shared" si="1"/>
        <v>收到其他与经营活动有关的现金</v>
      </c>
      <c r="D20" s="2168"/>
      <c r="E20" s="2125">
        <f t="shared" si="2"/>
        <v>872175.39</v>
      </c>
      <c r="F20" s="2128">
        <f t="shared" si="3"/>
        <v>7228566.7800000003</v>
      </c>
      <c r="G20" s="1664"/>
      <c r="H20" s="1664"/>
      <c r="I20" s="1664"/>
      <c r="J20" s="1664"/>
    </row>
    <row r="21" spans="1:10" ht="18" customHeight="1">
      <c r="A21" s="2842" t="str">
        <f t="shared" si="0"/>
        <v>＝</v>
      </c>
      <c r="B21" s="2844">
        <v>7048</v>
      </c>
      <c r="C21" s="2075" t="str">
        <f t="shared" si="1"/>
        <v>经营活动现金流入小计</v>
      </c>
      <c r="D21" s="2168"/>
      <c r="E21" s="2125">
        <f>SUM(E8:E20)</f>
        <v>37503187</v>
      </c>
      <c r="F21" s="2128">
        <f>SUM(F8:F20)</f>
        <v>50385721.780000001</v>
      </c>
      <c r="G21" s="1664"/>
      <c r="H21" s="1664"/>
      <c r="I21" s="1664"/>
      <c r="J21" s="1664"/>
    </row>
    <row r="22" spans="1:10" ht="18" customHeight="1">
      <c r="A22" s="2842">
        <f t="shared" si="0"/>
        <v>0</v>
      </c>
      <c r="B22" s="2843">
        <v>7051</v>
      </c>
      <c r="C22" s="2079" t="str">
        <f t="shared" si="1"/>
        <v>购买商品、接受劳务支付的现金</v>
      </c>
      <c r="D22" s="2168"/>
      <c r="E22" s="2125">
        <f t="shared" ref="E22:E31" si="4">VLOOKUP($B22,Sheet_Trialbal,6,0)</f>
        <v>19308391.789999999</v>
      </c>
      <c r="F22" s="2128">
        <f t="shared" ref="F22:F31" si="5">VLOOKUP($B22,Sheet_Trialbal,10,0)</f>
        <v>21518656.059999999</v>
      </c>
      <c r="G22" s="1664"/>
      <c r="H22" s="1664"/>
      <c r="I22" s="1664"/>
      <c r="J22" s="1664"/>
    </row>
    <row r="23" spans="1:10" ht="18" customHeight="1">
      <c r="A23" s="2842" t="str">
        <f t="shared" si="0"/>
        <v>△</v>
      </c>
      <c r="B23" s="2843">
        <v>7053</v>
      </c>
      <c r="C23" s="2079" t="str">
        <f t="shared" si="1"/>
        <v>客户贷款及垫款净增加额</v>
      </c>
      <c r="D23" s="2168"/>
      <c r="E23" s="2125">
        <f t="shared" si="4"/>
        <v>0</v>
      </c>
      <c r="F23" s="2128">
        <f t="shared" si="5"/>
        <v>0</v>
      </c>
      <c r="G23" s="1664"/>
      <c r="H23" s="1664"/>
      <c r="I23" s="1664"/>
      <c r="J23" s="1664"/>
    </row>
    <row r="24" spans="1:10" ht="18" customHeight="1">
      <c r="A24" s="2842" t="str">
        <f t="shared" si="0"/>
        <v>△</v>
      </c>
      <c r="B24" s="2843">
        <v>7054</v>
      </c>
      <c r="C24" s="2079" t="str">
        <f t="shared" si="1"/>
        <v>存放中央银行和同业款项净增加额</v>
      </c>
      <c r="D24" s="2168"/>
      <c r="E24" s="2125">
        <f t="shared" si="4"/>
        <v>0</v>
      </c>
      <c r="F24" s="2128">
        <f t="shared" si="5"/>
        <v>0</v>
      </c>
      <c r="G24" s="1664"/>
      <c r="H24" s="1664"/>
      <c r="I24" s="1664"/>
      <c r="J24" s="1664"/>
    </row>
    <row r="25" spans="1:10" ht="18" customHeight="1">
      <c r="A25" s="2842" t="str">
        <f t="shared" si="0"/>
        <v>△</v>
      </c>
      <c r="B25" s="2843">
        <v>7055</v>
      </c>
      <c r="C25" s="2079" t="str">
        <f t="shared" si="1"/>
        <v>支付原保险合同赔付款项的现金</v>
      </c>
      <c r="D25" s="2168"/>
      <c r="E25" s="2125">
        <f t="shared" si="4"/>
        <v>0</v>
      </c>
      <c r="F25" s="2128">
        <f t="shared" si="5"/>
        <v>0</v>
      </c>
      <c r="G25" s="1664"/>
      <c r="H25" s="1664"/>
      <c r="I25" s="1664"/>
      <c r="J25" s="1664"/>
    </row>
    <row r="26" spans="1:10" ht="18" customHeight="1">
      <c r="A26" s="2842" t="str">
        <f t="shared" si="0"/>
        <v>△</v>
      </c>
      <c r="B26" s="2843">
        <v>7058</v>
      </c>
      <c r="C26" s="2079" t="str">
        <f t="shared" si="1"/>
        <v>拆出资金净增加额</v>
      </c>
      <c r="D26" s="2168"/>
      <c r="E26" s="2125">
        <f t="shared" si="4"/>
        <v>0</v>
      </c>
      <c r="F26" s="2128">
        <f t="shared" si="5"/>
        <v>0</v>
      </c>
      <c r="G26" s="1664"/>
      <c r="H26" s="1664"/>
      <c r="I26" s="1664"/>
      <c r="J26" s="1664"/>
    </row>
    <row r="27" spans="1:10" ht="18" customHeight="1">
      <c r="A27" s="2842" t="str">
        <f t="shared" si="0"/>
        <v>△</v>
      </c>
      <c r="B27" s="2843">
        <v>7056</v>
      </c>
      <c r="C27" s="2079" t="str">
        <f t="shared" si="1"/>
        <v>支付利息、手续费及佣金的现金</v>
      </c>
      <c r="D27" s="2168"/>
      <c r="E27" s="2125">
        <f t="shared" si="4"/>
        <v>0</v>
      </c>
      <c r="F27" s="2128">
        <f t="shared" si="5"/>
        <v>0</v>
      </c>
      <c r="G27" s="1664"/>
      <c r="H27" s="1664"/>
      <c r="I27" s="1664"/>
      <c r="J27" s="1664"/>
    </row>
    <row r="28" spans="1:10" ht="18" customHeight="1">
      <c r="A28" s="2842"/>
      <c r="B28" s="2843">
        <v>7057</v>
      </c>
      <c r="C28" s="2079" t="str">
        <f t="shared" si="1"/>
        <v>支付保单红利的现金</v>
      </c>
      <c r="D28" s="2168"/>
      <c r="E28" s="2125"/>
      <c r="F28" s="2128"/>
      <c r="G28" s="1664"/>
      <c r="H28" s="1664"/>
      <c r="I28" s="1664"/>
      <c r="J28" s="1664"/>
    </row>
    <row r="29" spans="1:10" ht="18" customHeight="1">
      <c r="A29" s="2842">
        <f t="shared" si="0"/>
        <v>0</v>
      </c>
      <c r="B29" s="2843">
        <v>7061</v>
      </c>
      <c r="C29" s="2079" t="str">
        <f t="shared" si="1"/>
        <v>支付给职工以及为职工支付的现金</v>
      </c>
      <c r="D29" s="2168"/>
      <c r="E29" s="2125">
        <f t="shared" si="4"/>
        <v>8360207.9299999997</v>
      </c>
      <c r="F29" s="2128">
        <f t="shared" si="5"/>
        <v>7799242.21</v>
      </c>
      <c r="G29" s="1664"/>
      <c r="H29" s="1664"/>
      <c r="I29" s="1664"/>
      <c r="J29" s="1664"/>
    </row>
    <row r="30" spans="1:10" ht="18" customHeight="1">
      <c r="A30" s="2842">
        <f t="shared" si="0"/>
        <v>0</v>
      </c>
      <c r="B30" s="2843">
        <v>7071</v>
      </c>
      <c r="C30" s="2079" t="str">
        <f t="shared" si="1"/>
        <v>支付的各项税费</v>
      </c>
      <c r="D30" s="2168"/>
      <c r="E30" s="2125">
        <f t="shared" si="4"/>
        <v>3106865.8</v>
      </c>
      <c r="F30" s="2128">
        <f t="shared" si="5"/>
        <v>3876417.5</v>
      </c>
      <c r="G30" s="1664"/>
      <c r="H30" s="1664"/>
      <c r="I30" s="1664"/>
      <c r="J30" s="1664"/>
    </row>
    <row r="31" spans="1:10" ht="18" customHeight="1">
      <c r="A31" s="2842">
        <f t="shared" si="0"/>
        <v>0</v>
      </c>
      <c r="B31" s="2843">
        <v>7096</v>
      </c>
      <c r="C31" s="2079" t="str">
        <f t="shared" si="1"/>
        <v>支付其他与经营活动有关的现金</v>
      </c>
      <c r="D31" s="2168"/>
      <c r="E31" s="2125">
        <f t="shared" si="4"/>
        <v>5764273.5599999996</v>
      </c>
      <c r="F31" s="2128">
        <f t="shared" si="5"/>
        <v>5868705.1299999999</v>
      </c>
      <c r="G31" s="1664"/>
      <c r="H31" s="1664"/>
      <c r="I31" s="1664"/>
      <c r="J31" s="1664"/>
    </row>
    <row r="32" spans="1:10" ht="18" customHeight="1">
      <c r="A32" s="2842" t="str">
        <f t="shared" si="0"/>
        <v>＝</v>
      </c>
      <c r="B32" s="2844">
        <v>7098</v>
      </c>
      <c r="C32" s="2075" t="str">
        <f t="shared" si="1"/>
        <v>经营活动现金流出小计</v>
      </c>
      <c r="D32" s="2168"/>
      <c r="E32" s="2125">
        <f>SUM(E22:E31)</f>
        <v>36539739.079999998</v>
      </c>
      <c r="F32" s="2128">
        <f>SUM(F22:F31)</f>
        <v>39063020.899999999</v>
      </c>
      <c r="G32" s="1664"/>
      <c r="H32" s="1664"/>
      <c r="I32" s="1664"/>
      <c r="J32" s="1664"/>
    </row>
    <row r="33" spans="1:10" ht="18" customHeight="1">
      <c r="A33" s="2842" t="str">
        <f t="shared" si="0"/>
        <v>＝</v>
      </c>
      <c r="B33" s="2844">
        <v>7099</v>
      </c>
      <c r="C33" s="2075" t="str">
        <f t="shared" si="1"/>
        <v>经营活动产生的现金流量净额</v>
      </c>
      <c r="D33" s="2168"/>
      <c r="E33" s="2125">
        <f>SUM(E21,-E32)</f>
        <v>963447.92</v>
      </c>
      <c r="F33" s="2128">
        <f>SUM(F21,-F32)</f>
        <v>11322700.880000001</v>
      </c>
      <c r="G33" s="1664"/>
      <c r="H33" s="1664"/>
      <c r="I33" s="1664"/>
      <c r="J33" s="1664"/>
    </row>
    <row r="34" spans="1:10" ht="18" customHeight="1">
      <c r="A34" s="2842" t="str">
        <f t="shared" si="0"/>
        <v>：</v>
      </c>
      <c r="B34" s="2843">
        <v>7100</v>
      </c>
      <c r="C34" s="2075" t="str">
        <f t="shared" si="1"/>
        <v>二、投资活动产生的现金流量</v>
      </c>
      <c r="D34" s="2168"/>
      <c r="E34" s="2125"/>
      <c r="F34" s="2128"/>
      <c r="G34" s="1664"/>
      <c r="H34" s="1664"/>
      <c r="I34" s="1664"/>
      <c r="J34" s="1664"/>
    </row>
    <row r="35" spans="1:10" ht="18" customHeight="1">
      <c r="A35" s="2842">
        <f t="shared" si="0"/>
        <v>0</v>
      </c>
      <c r="B35" s="2843">
        <v>7101</v>
      </c>
      <c r="C35" s="2079" t="str">
        <f t="shared" si="1"/>
        <v>收回投资收到的现金</v>
      </c>
      <c r="D35" s="2168"/>
      <c r="E35" s="2125">
        <f>VLOOKUP($B35,Sheet_Trialbal,6,0)</f>
        <v>650000</v>
      </c>
      <c r="F35" s="2128">
        <f>VLOOKUP($B35,Sheet_Trialbal,10,0)</f>
        <v>0</v>
      </c>
      <c r="G35" s="1664"/>
      <c r="H35" s="1664"/>
      <c r="I35" s="1664"/>
      <c r="J35" s="1664"/>
    </row>
    <row r="36" spans="1:10" ht="18" customHeight="1">
      <c r="A36" s="2842">
        <f t="shared" si="0"/>
        <v>0</v>
      </c>
      <c r="B36" s="2843">
        <v>7105</v>
      </c>
      <c r="C36" s="2079" t="str">
        <f t="shared" si="1"/>
        <v>取得投资收益收到的现金</v>
      </c>
      <c r="D36" s="2168"/>
      <c r="E36" s="2125">
        <f>VLOOKUP($B36,Sheet_Trialbal,6,0)</f>
        <v>41851.06</v>
      </c>
      <c r="F36" s="2128">
        <f>VLOOKUP($B36,Sheet_Trialbal,10,0)</f>
        <v>38200.720000000001</v>
      </c>
      <c r="G36" s="1664"/>
      <c r="H36" s="1664"/>
      <c r="I36" s="1664"/>
      <c r="J36" s="1664"/>
    </row>
    <row r="37" spans="1:10" ht="18" customHeight="1">
      <c r="A37" s="2842">
        <f t="shared" si="0"/>
        <v>0</v>
      </c>
      <c r="B37" s="2843">
        <v>7111</v>
      </c>
      <c r="C37" s="2079" t="str">
        <f t="shared" si="1"/>
        <v>处置固定资产、无形资产和其他长期资产收回的现金净额</v>
      </c>
      <c r="D37" s="2168"/>
      <c r="E37" s="2125">
        <f>VLOOKUP($B37,Sheet_Trialbal,6,0)</f>
        <v>0</v>
      </c>
      <c r="F37" s="2128">
        <f>VLOOKUP($B37,Sheet_Trialbal,10,0)</f>
        <v>456.04</v>
      </c>
      <c r="G37" s="1664"/>
      <c r="H37" s="1664"/>
      <c r="I37" s="1664"/>
      <c r="J37" s="1664"/>
    </row>
    <row r="38" spans="1:10" ht="18" customHeight="1">
      <c r="A38" s="2842">
        <f t="shared" si="0"/>
        <v>0</v>
      </c>
      <c r="B38" s="2843">
        <v>7121</v>
      </c>
      <c r="C38" s="2079" t="str">
        <f t="shared" si="1"/>
        <v>处置子公司及其他营业单位收回的现金净额</v>
      </c>
      <c r="D38" s="2168"/>
      <c r="E38" s="2125">
        <f>VLOOKUP($B38,Sheet_Trialbal,6,0)</f>
        <v>0</v>
      </c>
      <c r="F38" s="2128">
        <f>VLOOKUP($B38,Sheet_Trialbal,10,0)</f>
        <v>0</v>
      </c>
      <c r="G38" s="1664"/>
      <c r="H38" s="1664"/>
      <c r="I38" s="1664"/>
      <c r="J38" s="1664"/>
    </row>
    <row r="39" spans="1:10" ht="18" customHeight="1">
      <c r="A39" s="2842">
        <f t="shared" si="0"/>
        <v>0</v>
      </c>
      <c r="B39" s="2843">
        <v>7146</v>
      </c>
      <c r="C39" s="2079" t="str">
        <f t="shared" si="1"/>
        <v>收到其他与投资活动有关的现金</v>
      </c>
      <c r="D39" s="2168"/>
      <c r="E39" s="2125">
        <f>VLOOKUP($B39,Sheet_Trialbal,6,0)</f>
        <v>10464100</v>
      </c>
      <c r="F39" s="2128">
        <f>VLOOKUP($B39,Sheet_Trialbal,10,0)</f>
        <v>0</v>
      </c>
      <c r="G39" s="1664"/>
      <c r="H39" s="1664"/>
      <c r="I39" s="1664"/>
      <c r="J39" s="1664"/>
    </row>
    <row r="40" spans="1:10" ht="18" customHeight="1">
      <c r="A40" s="2842" t="str">
        <f t="shared" ref="A40:A61" si="6">VLOOKUP($B40,Sheet_Items,4,0)</f>
        <v>＝</v>
      </c>
      <c r="B40" s="2843">
        <v>7148</v>
      </c>
      <c r="C40" s="2075" t="str">
        <f t="shared" ref="C40:C61" si="7">VLOOKUP($B40,Sheet_Items,7,0)</f>
        <v>投资活动现金流入小计</v>
      </c>
      <c r="D40" s="2168"/>
      <c r="E40" s="2125">
        <f>SUM(E35:E39)</f>
        <v>11155951.060000001</v>
      </c>
      <c r="F40" s="2128">
        <f>SUM(F35:F39)</f>
        <v>38656.76</v>
      </c>
      <c r="G40" s="1664"/>
      <c r="H40" s="1664"/>
      <c r="I40" s="1664"/>
      <c r="J40" s="1664"/>
    </row>
    <row r="41" spans="1:10" ht="18" customHeight="1">
      <c r="A41" s="2842">
        <f t="shared" si="6"/>
        <v>0</v>
      </c>
      <c r="B41" s="2843">
        <v>7151</v>
      </c>
      <c r="C41" s="2079" t="str">
        <f t="shared" si="7"/>
        <v>购建固定资产、无形资产和其他长期资产支付的现金</v>
      </c>
      <c r="D41" s="2168"/>
      <c r="E41" s="2125">
        <f>VLOOKUP($B41,Sheet_Trialbal,6,0)</f>
        <v>493144.53</v>
      </c>
      <c r="F41" s="2128">
        <f>VLOOKUP($B41,Sheet_Trialbal,10,0)</f>
        <v>2473925.15</v>
      </c>
      <c r="G41" s="1664"/>
      <c r="H41" s="1664"/>
      <c r="I41" s="1664"/>
      <c r="J41" s="1664"/>
    </row>
    <row r="42" spans="1:10" ht="18" customHeight="1">
      <c r="A42" s="2842">
        <f t="shared" si="6"/>
        <v>0</v>
      </c>
      <c r="B42" s="2843">
        <v>7161</v>
      </c>
      <c r="C42" s="2079" t="str">
        <f t="shared" si="7"/>
        <v>投资支付的现金</v>
      </c>
      <c r="D42" s="2168"/>
      <c r="E42" s="2125">
        <f>VLOOKUP($B42,Sheet_Trialbal,6,0)</f>
        <v>0</v>
      </c>
      <c r="F42" s="2128">
        <f>VLOOKUP($B42,Sheet_Trialbal,10,0)</f>
        <v>1850000</v>
      </c>
      <c r="G42" s="1664"/>
      <c r="H42" s="1664"/>
      <c r="I42" s="1664"/>
      <c r="J42" s="1664"/>
    </row>
    <row r="43" spans="1:10" ht="18" customHeight="1">
      <c r="A43" s="2842" t="str">
        <f t="shared" si="6"/>
        <v>△</v>
      </c>
      <c r="B43" s="2843">
        <v>7165</v>
      </c>
      <c r="C43" s="2079" t="str">
        <f t="shared" si="7"/>
        <v>质押贷款净增加额</v>
      </c>
      <c r="D43" s="2168"/>
      <c r="E43" s="2125"/>
      <c r="F43" s="2128"/>
      <c r="G43" s="1664"/>
      <c r="H43" s="1664"/>
      <c r="I43" s="1664"/>
      <c r="J43" s="1664"/>
    </row>
    <row r="44" spans="1:10" ht="18" customHeight="1">
      <c r="A44" s="2842">
        <f t="shared" si="6"/>
        <v>0</v>
      </c>
      <c r="B44" s="2843">
        <v>7171</v>
      </c>
      <c r="C44" s="2079" t="str">
        <f t="shared" si="7"/>
        <v>取得子公司及其他营业单位支付的现金净额</v>
      </c>
      <c r="D44" s="2168"/>
      <c r="E44" s="2125">
        <f>VLOOKUP($B44,Sheet_Trialbal,6,0)</f>
        <v>0</v>
      </c>
      <c r="F44" s="2128">
        <f>VLOOKUP($B44,Sheet_Trialbal,10,0)</f>
        <v>0</v>
      </c>
      <c r="G44" s="1664"/>
      <c r="H44" s="1664"/>
      <c r="I44" s="1664"/>
      <c r="J44" s="1664"/>
    </row>
    <row r="45" spans="1:10" ht="18" customHeight="1">
      <c r="A45" s="2842">
        <f t="shared" si="6"/>
        <v>0</v>
      </c>
      <c r="B45" s="2843">
        <v>7196</v>
      </c>
      <c r="C45" s="2079" t="str">
        <f t="shared" si="7"/>
        <v>支付其他与投资活动有关的现金</v>
      </c>
      <c r="D45" s="2168"/>
      <c r="E45" s="2125">
        <f>VLOOKUP($B45,Sheet_Trialbal,6,0)</f>
        <v>2900000</v>
      </c>
      <c r="F45" s="2128">
        <f>VLOOKUP($B45,Sheet_Trialbal,10,0)</f>
        <v>0</v>
      </c>
      <c r="G45" s="1664"/>
      <c r="H45" s="1664"/>
      <c r="I45" s="1664"/>
      <c r="J45" s="1664"/>
    </row>
    <row r="46" spans="1:10" ht="18" customHeight="1">
      <c r="A46" s="2842" t="str">
        <f t="shared" si="6"/>
        <v>＝</v>
      </c>
      <c r="B46" s="2843">
        <v>7198</v>
      </c>
      <c r="C46" s="2075" t="str">
        <f t="shared" si="7"/>
        <v>投资活动现金流出小计</v>
      </c>
      <c r="D46" s="2168"/>
      <c r="E46" s="2125">
        <f>SUM(E41:E45)</f>
        <v>3393144.53</v>
      </c>
      <c r="F46" s="2128">
        <f>SUM(F41:F45)</f>
        <v>4323925.1500000004</v>
      </c>
      <c r="G46" s="1664"/>
      <c r="H46" s="1664"/>
      <c r="I46" s="1664"/>
      <c r="J46" s="1664"/>
    </row>
    <row r="47" spans="1:10" ht="18" customHeight="1">
      <c r="A47" s="2842" t="str">
        <f t="shared" si="6"/>
        <v>＝</v>
      </c>
      <c r="B47" s="2843">
        <v>7199</v>
      </c>
      <c r="C47" s="2075" t="str">
        <f t="shared" si="7"/>
        <v>投资活动产生的现金流量净额</v>
      </c>
      <c r="D47" s="2168"/>
      <c r="E47" s="2125">
        <f>SUM(E40,-E46)</f>
        <v>7762806.5300000003</v>
      </c>
      <c r="F47" s="2128">
        <f>SUM(F40,-F46)</f>
        <v>-4285268.3899999997</v>
      </c>
      <c r="G47" s="1664"/>
      <c r="H47" s="1664"/>
      <c r="I47" s="1664"/>
      <c r="J47" s="1664"/>
    </row>
    <row r="48" spans="1:10" ht="18" customHeight="1">
      <c r="A48" s="2842" t="str">
        <f t="shared" si="6"/>
        <v>：</v>
      </c>
      <c r="B48" s="2844">
        <v>7200</v>
      </c>
      <c r="C48" s="2075" t="str">
        <f t="shared" si="7"/>
        <v>三、筹资活动产生的现金流量</v>
      </c>
      <c r="D48" s="2168"/>
      <c r="E48" s="2125"/>
      <c r="F48" s="2128"/>
      <c r="G48" s="1664"/>
      <c r="H48" s="1664"/>
      <c r="I48" s="1664"/>
      <c r="J48" s="1664"/>
    </row>
    <row r="49" spans="1:16" ht="18" customHeight="1">
      <c r="A49" s="2842">
        <f t="shared" si="6"/>
        <v>0</v>
      </c>
      <c r="B49" s="2844">
        <v>7201</v>
      </c>
      <c r="C49" s="2079" t="str">
        <f t="shared" si="7"/>
        <v>吸收投资收到的现金</v>
      </c>
      <c r="D49" s="2168"/>
      <c r="E49" s="2125">
        <f>VLOOKUP($B49,Sheet_Trialbal,6,0)</f>
        <v>0</v>
      </c>
      <c r="F49" s="2128">
        <f>VLOOKUP($B49,Sheet_Trialbal,10,0)</f>
        <v>0</v>
      </c>
      <c r="G49" s="1664"/>
      <c r="H49" s="1664"/>
      <c r="I49" s="1664"/>
      <c r="J49" s="1664"/>
    </row>
    <row r="50" spans="1:16" ht="18" customHeight="1">
      <c r="A50" s="2842">
        <f t="shared" si="6"/>
        <v>0</v>
      </c>
      <c r="B50" s="2844">
        <v>7211</v>
      </c>
      <c r="C50" s="2079" t="str">
        <f t="shared" si="7"/>
        <v>取得借款收到的现金</v>
      </c>
      <c r="D50" s="2168"/>
      <c r="E50" s="2125">
        <f>VLOOKUP($B50,Sheet_Trialbal,6,0)</f>
        <v>2000000</v>
      </c>
      <c r="F50" s="2128">
        <f>VLOOKUP($B50,Sheet_Trialbal,10,0)</f>
        <v>0</v>
      </c>
      <c r="G50" s="1664"/>
      <c r="H50" s="1664"/>
      <c r="I50" s="1664"/>
      <c r="J50" s="1664"/>
    </row>
    <row r="51" spans="1:16" ht="18" customHeight="1">
      <c r="A51" s="2842">
        <f t="shared" si="6"/>
        <v>0</v>
      </c>
      <c r="B51" s="2844">
        <v>7246</v>
      </c>
      <c r="C51" s="2079" t="str">
        <f t="shared" si="7"/>
        <v>收到其他与筹资活动有关的现金</v>
      </c>
      <c r="D51" s="2168"/>
      <c r="E51" s="2125">
        <f>VLOOKUP($B51,Sheet_Trialbal,6,0)</f>
        <v>0</v>
      </c>
      <c r="F51" s="2128">
        <f>VLOOKUP($B51,Sheet_Trialbal,10,0)</f>
        <v>0</v>
      </c>
      <c r="G51" s="1664"/>
      <c r="H51" s="1664"/>
      <c r="I51" s="1664"/>
      <c r="J51" s="1664"/>
    </row>
    <row r="52" spans="1:16" ht="18" customHeight="1">
      <c r="A52" s="2842" t="str">
        <f t="shared" si="6"/>
        <v>＝</v>
      </c>
      <c r="B52" s="2844">
        <v>7248</v>
      </c>
      <c r="C52" s="2075" t="str">
        <f t="shared" si="7"/>
        <v>筹资活动现金流入小计</v>
      </c>
      <c r="D52" s="2168"/>
      <c r="E52" s="2125">
        <f>SUM(E49:E51)</f>
        <v>2000000</v>
      </c>
      <c r="F52" s="2128">
        <f>SUM(F49:F51)</f>
        <v>0</v>
      </c>
      <c r="G52" s="1664"/>
      <c r="H52" s="1664"/>
      <c r="I52" s="1664"/>
      <c r="J52" s="1664"/>
    </row>
    <row r="53" spans="1:16" ht="18" customHeight="1">
      <c r="A53" s="2842">
        <f t="shared" si="6"/>
        <v>0</v>
      </c>
      <c r="B53" s="2844">
        <v>7251</v>
      </c>
      <c r="C53" s="2079" t="str">
        <f t="shared" si="7"/>
        <v>偿还债务支付的现金</v>
      </c>
      <c r="D53" s="2168"/>
      <c r="E53" s="2125">
        <f>VLOOKUP($B53,Sheet_Trialbal,6,0)</f>
        <v>0</v>
      </c>
      <c r="F53" s="2128">
        <f>VLOOKUP($B53,Sheet_Trialbal,10,0)</f>
        <v>10000000</v>
      </c>
      <c r="G53" s="1664"/>
      <c r="H53" s="1664"/>
      <c r="I53" s="1664"/>
      <c r="J53" s="1664"/>
    </row>
    <row r="54" spans="1:16" ht="18" customHeight="1">
      <c r="A54" s="2842"/>
      <c r="B54" s="2844">
        <v>7261</v>
      </c>
      <c r="C54" s="2079" t="str">
        <f t="shared" si="7"/>
        <v>分配股利、利润或偿付利息支付的现金</v>
      </c>
      <c r="D54" s="2168"/>
      <c r="E54" s="2125"/>
      <c r="F54" s="2128"/>
      <c r="G54" s="1664"/>
      <c r="H54" s="1664"/>
      <c r="I54" s="1664"/>
      <c r="J54" s="1664"/>
    </row>
    <row r="55" spans="1:16" ht="18" customHeight="1">
      <c r="A55" s="2842">
        <f t="shared" si="6"/>
        <v>0</v>
      </c>
      <c r="B55" s="2844">
        <v>7296</v>
      </c>
      <c r="C55" s="2079" t="str">
        <f t="shared" si="7"/>
        <v>支付其他与筹资活动有关的现金</v>
      </c>
      <c r="D55" s="2168"/>
      <c r="E55" s="2125">
        <f>VLOOKUP($B55,Sheet_Trialbal,6,0)</f>
        <v>0</v>
      </c>
      <c r="F55" s="2128">
        <f>VLOOKUP($B55,Sheet_Trialbal,10,0)</f>
        <v>0</v>
      </c>
      <c r="G55" s="1664"/>
      <c r="H55" s="1664"/>
      <c r="I55" s="1664"/>
      <c r="J55" s="1664"/>
    </row>
    <row r="56" spans="1:16" ht="18" customHeight="1">
      <c r="A56" s="2842" t="str">
        <f t="shared" si="6"/>
        <v>＝</v>
      </c>
      <c r="B56" s="2844">
        <v>7298</v>
      </c>
      <c r="C56" s="2075" t="str">
        <f t="shared" si="7"/>
        <v>筹资活动现金流出小计</v>
      </c>
      <c r="D56" s="2168"/>
      <c r="E56" s="2125">
        <f>SUM(E53:E55)</f>
        <v>0</v>
      </c>
      <c r="F56" s="2128">
        <f>SUM(F53:F55)</f>
        <v>10000000</v>
      </c>
      <c r="G56" s="1664"/>
      <c r="H56" s="1664"/>
      <c r="I56" s="1664"/>
      <c r="J56" s="1664"/>
    </row>
    <row r="57" spans="1:16" ht="18" customHeight="1">
      <c r="A57" s="2842" t="str">
        <f t="shared" si="6"/>
        <v>＝</v>
      </c>
      <c r="B57" s="2844">
        <v>7299</v>
      </c>
      <c r="C57" s="2075" t="str">
        <f t="shared" si="7"/>
        <v>筹资活动产生的现金流量净额</v>
      </c>
      <c r="D57" s="2168"/>
      <c r="E57" s="2125">
        <f>SUM(E52,-E56)</f>
        <v>2000000</v>
      </c>
      <c r="F57" s="2128">
        <f>SUM(F52,-F56)</f>
        <v>-10000000</v>
      </c>
      <c r="G57" s="1664"/>
      <c r="H57" s="1664"/>
      <c r="I57" s="1664"/>
      <c r="J57" s="1664"/>
    </row>
    <row r="58" spans="1:16" ht="18" customHeight="1">
      <c r="A58" s="2842">
        <f t="shared" si="6"/>
        <v>0</v>
      </c>
      <c r="B58" s="2844">
        <v>7309</v>
      </c>
      <c r="C58" s="2075" t="str">
        <f t="shared" si="7"/>
        <v>四、汇率变动对现金及现金等价物的影响</v>
      </c>
      <c r="D58" s="2168"/>
      <c r="E58" s="2125">
        <f>VLOOKUP($B58,Sheet_Trialbal,6,0)</f>
        <v>0</v>
      </c>
      <c r="F58" s="2128">
        <f>VLOOKUP($B58,Sheet_Trialbal,10,0)</f>
        <v>0</v>
      </c>
      <c r="G58" s="1664"/>
      <c r="H58" s="1664"/>
      <c r="I58" s="1664"/>
      <c r="J58" s="1664"/>
    </row>
    <row r="59" spans="1:16" ht="18" customHeight="1">
      <c r="A59" s="2842" t="str">
        <f t="shared" si="6"/>
        <v>＝</v>
      </c>
      <c r="B59" s="2844">
        <v>7348</v>
      </c>
      <c r="C59" s="2075" t="str">
        <f t="shared" si="7"/>
        <v>五、现金及现金等价物净增加额</v>
      </c>
      <c r="D59" s="2168"/>
      <c r="E59" s="2125">
        <f>SUM(E33,E47,E57,E58)</f>
        <v>10726254.449999999</v>
      </c>
      <c r="F59" s="2128">
        <f>SUM(F33,F47,F57,F58)</f>
        <v>-2962567.51</v>
      </c>
      <c r="G59" s="1664"/>
      <c r="H59" s="1664"/>
      <c r="I59" s="1664"/>
      <c r="J59" s="1664"/>
    </row>
    <row r="60" spans="1:16" ht="18" customHeight="1">
      <c r="A60" s="2842">
        <f t="shared" si="6"/>
        <v>0</v>
      </c>
      <c r="B60" s="2844">
        <v>7349</v>
      </c>
      <c r="C60" s="2080" t="str">
        <f t="shared" si="7"/>
        <v>加：期初现金及现金等价物余额</v>
      </c>
      <c r="D60" s="2168"/>
      <c r="E60" s="2125">
        <f>VLOOKUP($B60,Sheet_Trialbal,6,0)</f>
        <v>252723.84</v>
      </c>
      <c r="F60" s="2128">
        <f>VLOOKUP($B60,Sheet_Trialbal,10,0)</f>
        <v>3232013.12</v>
      </c>
      <c r="G60" s="1664"/>
      <c r="H60" s="1664"/>
      <c r="I60" s="1664"/>
      <c r="J60" s="1664"/>
    </row>
    <row r="61" spans="1:16" ht="18" customHeight="1" thickBot="1">
      <c r="A61" s="2842" t="str">
        <f t="shared" si="6"/>
        <v>＝</v>
      </c>
      <c r="B61" s="2844">
        <v>7399</v>
      </c>
      <c r="C61" s="2081" t="str">
        <f t="shared" si="7"/>
        <v>六、期末现金及现金等价物余额</v>
      </c>
      <c r="D61" s="2169"/>
      <c r="E61" s="2170">
        <f>SUM(E59,E60)</f>
        <v>10978978.289999999</v>
      </c>
      <c r="F61" s="2164">
        <f>SUM(F59,F60)</f>
        <v>269445.61</v>
      </c>
      <c r="G61" s="1664"/>
      <c r="H61" s="1664"/>
      <c r="I61" s="1664"/>
      <c r="J61" s="1664"/>
    </row>
    <row r="62" spans="1:16" ht="18">
      <c r="A62" s="2840"/>
      <c r="B62" s="2845"/>
      <c r="C62" s="2042" t="str">
        <f>"法定代表人："&amp;Lead!$C$8&amp;REPT(" ",30)&amp;"主管会计工作负责人："&amp;Lead!$C$9&amp;REPT(" ",30)&amp;"会计机构负责人："&amp;Lead!$C$10</f>
        <v>法定代表人：                              主管会计工作负责人：                              会计机构负责人：</v>
      </c>
      <c r="D62" s="2039"/>
      <c r="E62" s="2039"/>
      <c r="F62" s="2039"/>
      <c r="G62" s="1664"/>
      <c r="H62" s="1664"/>
      <c r="I62" s="1664"/>
      <c r="J62" s="1664"/>
    </row>
    <row r="63" spans="1:16" ht="18.75" customHeight="1">
      <c r="A63" s="2840"/>
      <c r="B63" s="2841"/>
      <c r="C63" s="1741"/>
      <c r="D63" s="1741"/>
      <c r="E63" s="1664"/>
      <c r="F63" s="1664"/>
      <c r="G63" s="1664"/>
      <c r="H63" s="1664"/>
      <c r="I63" s="1664"/>
      <c r="J63" s="1664"/>
      <c r="K63" s="1742"/>
      <c r="L63" s="1742"/>
      <c r="M63" s="1664"/>
      <c r="N63" s="1664"/>
      <c r="O63" s="1664"/>
      <c r="P63" s="1664"/>
    </row>
    <row r="64" spans="1:16" ht="18">
      <c r="A64" s="2846"/>
      <c r="B64" s="2841"/>
      <c r="C64" s="1743"/>
      <c r="D64" s="1741"/>
      <c r="E64" s="1664"/>
      <c r="F64" s="1664"/>
      <c r="G64" s="1664"/>
      <c r="H64" s="1664"/>
      <c r="I64" s="1664"/>
      <c r="J64" s="1664"/>
      <c r="K64" s="1664"/>
      <c r="L64" s="1664"/>
      <c r="M64" s="1664"/>
      <c r="N64" s="1664"/>
      <c r="O64" s="1664"/>
      <c r="P64" s="1664"/>
    </row>
    <row r="65" spans="1:16" ht="18.75" thickBot="1">
      <c r="A65" s="2846"/>
      <c r="B65" s="2841"/>
      <c r="C65" s="1744" t="s">
        <v>5772</v>
      </c>
      <c r="D65" s="1745"/>
      <c r="E65" s="1746"/>
      <c r="F65" s="1746"/>
      <c r="G65" s="1664"/>
      <c r="H65" s="1664"/>
      <c r="I65" s="1664"/>
      <c r="J65" s="1664"/>
      <c r="K65" s="1664"/>
      <c r="L65" s="1664"/>
      <c r="M65" s="1664"/>
      <c r="N65" s="1664"/>
      <c r="O65" s="1664"/>
      <c r="P65" s="1664"/>
    </row>
    <row r="66" spans="1:16" ht="18">
      <c r="A66" s="2846"/>
      <c r="B66" s="2841"/>
      <c r="C66" s="1747" t="s">
        <v>5773</v>
      </c>
      <c r="D66" s="1748"/>
      <c r="E66" s="1749" t="s">
        <v>2587</v>
      </c>
      <c r="F66" s="1750" t="s">
        <v>2588</v>
      </c>
      <c r="G66" s="1751"/>
      <c r="H66" s="1751"/>
      <c r="I66" s="1751"/>
      <c r="J66" s="1664"/>
    </row>
    <row r="67" spans="1:16" ht="18">
      <c r="A67" s="2847" t="str">
        <f t="shared" ref="A67:A95" si="8">VLOOKUP($B67,Sheet_Items,4,0)</f>
        <v>：</v>
      </c>
      <c r="B67" s="2844">
        <v>7501</v>
      </c>
      <c r="C67" s="1752" t="str">
        <f t="shared" ref="C67:C95" si="9">VLOOKUP($B67,Sheet_Items,6,0)</f>
        <v>1.将净利润调节为经营活动现金流量：</v>
      </c>
      <c r="D67" s="1753"/>
      <c r="E67" s="1754"/>
      <c r="F67" s="1755"/>
      <c r="G67" s="1751"/>
      <c r="H67" s="1751"/>
      <c r="I67" s="1751"/>
      <c r="J67" s="1664"/>
    </row>
    <row r="68" spans="1:16" ht="18">
      <c r="A68" s="2847">
        <f t="shared" si="8"/>
        <v>0</v>
      </c>
      <c r="B68" s="2844">
        <v>7502</v>
      </c>
      <c r="C68" s="1756" t="str">
        <f t="shared" si="9"/>
        <v>净利润</v>
      </c>
      <c r="D68" s="1753"/>
      <c r="E68" s="1754">
        <f>VLOOKUP(6799,Sheet_Trialbal,6,0)</f>
        <v>-3349908.33</v>
      </c>
      <c r="F68" s="1755">
        <f>VLOOKUP(6799,Sheet_Trialbal,10,0)</f>
        <v>520228.91</v>
      </c>
      <c r="G68" s="1751"/>
      <c r="H68" s="1751"/>
      <c r="I68" s="1751"/>
      <c r="J68" s="1664"/>
    </row>
    <row r="69" spans="1:16" ht="18">
      <c r="A69" s="2847">
        <f t="shared" si="8"/>
        <v>0</v>
      </c>
      <c r="B69" s="2844">
        <v>7503</v>
      </c>
      <c r="C69" s="1756" t="str">
        <f>VLOOKUP($B69,Sheet_Items,6,0)</f>
        <v>加：资产减值准备</v>
      </c>
      <c r="D69" s="1753"/>
      <c r="E69" s="1754">
        <f t="shared" ref="E69:E84" si="10">VLOOKUP($B69,Sheet_Trialbal,6,0)</f>
        <v>864640.09</v>
      </c>
      <c r="F69" s="1755">
        <f t="shared" ref="F69:F84" si="11">VLOOKUP($B69,Sheet_Trialbal,10,0)</f>
        <v>-198814.86</v>
      </c>
      <c r="G69" s="1751"/>
      <c r="H69" s="1751"/>
      <c r="I69" s="1751"/>
      <c r="J69" s="1664"/>
    </row>
    <row r="70" spans="1:16" ht="18">
      <c r="A70" s="2847"/>
      <c r="B70" s="2844">
        <v>7504</v>
      </c>
      <c r="C70" s="1756" t="str">
        <f t="shared" si="9"/>
        <v>信用减值损失</v>
      </c>
      <c r="D70" s="1753"/>
      <c r="E70" s="1754">
        <f t="shared" si="10"/>
        <v>1923898.24</v>
      </c>
      <c r="F70" s="1755">
        <f t="shared" si="11"/>
        <v>0</v>
      </c>
      <c r="G70" s="1751"/>
      <c r="H70" s="1751"/>
      <c r="I70" s="1751"/>
      <c r="J70" s="1664"/>
    </row>
    <row r="71" spans="1:16" ht="18">
      <c r="A71" s="2847">
        <f t="shared" si="8"/>
        <v>0</v>
      </c>
      <c r="B71" s="2844">
        <v>7505</v>
      </c>
      <c r="C71" s="1756" t="str">
        <f t="shared" si="9"/>
        <v>固定资产折旧、投资性房地产折旧、油气资产折耗、生产性生物资产折旧</v>
      </c>
      <c r="D71" s="1753"/>
      <c r="E71" s="1754">
        <f t="shared" si="10"/>
        <v>2332438.67</v>
      </c>
      <c r="F71" s="1755">
        <f t="shared" si="11"/>
        <v>2200407.69</v>
      </c>
      <c r="G71" s="1751"/>
      <c r="H71" s="1751"/>
      <c r="I71" s="1751"/>
      <c r="J71" s="1664"/>
    </row>
    <row r="72" spans="1:16" ht="18">
      <c r="A72" s="2847">
        <f t="shared" si="8"/>
        <v>0</v>
      </c>
      <c r="B72" s="2844">
        <v>7506</v>
      </c>
      <c r="C72" s="1756" t="str">
        <f t="shared" si="9"/>
        <v>无形资产摊销</v>
      </c>
      <c r="D72" s="1753"/>
      <c r="E72" s="1754">
        <f t="shared" si="10"/>
        <v>102441.89</v>
      </c>
      <c r="F72" s="1755">
        <f t="shared" si="11"/>
        <v>88666.19</v>
      </c>
      <c r="G72" s="1751"/>
      <c r="H72" s="1751"/>
      <c r="I72" s="1751"/>
      <c r="J72" s="1664"/>
    </row>
    <row r="73" spans="1:16" ht="18">
      <c r="A73" s="2847">
        <f t="shared" si="8"/>
        <v>0</v>
      </c>
      <c r="B73" s="2844">
        <v>7507</v>
      </c>
      <c r="C73" s="1756" t="str">
        <f t="shared" si="9"/>
        <v>长期待摊费用摊销</v>
      </c>
      <c r="D73" s="1753"/>
      <c r="E73" s="1754">
        <f t="shared" si="10"/>
        <v>297071.96999999997</v>
      </c>
      <c r="F73" s="1755">
        <f t="shared" si="11"/>
        <v>195194.75</v>
      </c>
      <c r="G73" s="1751"/>
      <c r="H73" s="1751"/>
      <c r="I73" s="1751"/>
      <c r="J73" s="1664"/>
    </row>
    <row r="74" spans="1:16" ht="18">
      <c r="A74" s="2847">
        <f t="shared" si="8"/>
        <v>0</v>
      </c>
      <c r="B74" s="2844">
        <v>7508</v>
      </c>
      <c r="C74" s="1756" t="str">
        <f t="shared" si="9"/>
        <v>处置固定资产、无形资产和其他长期资产的损失（收益以“－”号填列）</v>
      </c>
      <c r="D74" s="1753"/>
      <c r="E74" s="1754">
        <f t="shared" si="10"/>
        <v>0</v>
      </c>
      <c r="F74" s="1755">
        <f t="shared" si="11"/>
        <v>-456.04</v>
      </c>
      <c r="G74" s="1751"/>
      <c r="H74" s="1751"/>
      <c r="I74" s="1751"/>
      <c r="J74" s="1664"/>
    </row>
    <row r="75" spans="1:16" ht="18">
      <c r="A75" s="2847">
        <f t="shared" si="8"/>
        <v>0</v>
      </c>
      <c r="B75" s="2844">
        <v>7509</v>
      </c>
      <c r="C75" s="1756" t="str">
        <f t="shared" si="9"/>
        <v>固定资产报废损失（收益以“－”号填列）</v>
      </c>
      <c r="D75" s="1753"/>
      <c r="E75" s="1754">
        <f t="shared" si="10"/>
        <v>0</v>
      </c>
      <c r="F75" s="1755">
        <f t="shared" si="11"/>
        <v>0</v>
      </c>
      <c r="G75" s="1751"/>
      <c r="H75" s="1751"/>
      <c r="I75" s="1751"/>
      <c r="J75" s="1664"/>
    </row>
    <row r="76" spans="1:16" ht="18">
      <c r="A76" s="2847">
        <f t="shared" si="8"/>
        <v>0</v>
      </c>
      <c r="B76" s="2844">
        <v>7510</v>
      </c>
      <c r="C76" s="1756" t="str">
        <f t="shared" si="9"/>
        <v>公允价值变动损失（收益以“－”号填列）</v>
      </c>
      <c r="D76" s="1753"/>
      <c r="E76" s="1754">
        <f t="shared" si="10"/>
        <v>0</v>
      </c>
      <c r="F76" s="1755">
        <f t="shared" si="11"/>
        <v>0</v>
      </c>
      <c r="G76" s="1751"/>
      <c r="H76" s="1751"/>
      <c r="I76" s="1751"/>
      <c r="J76" s="1664"/>
    </row>
    <row r="77" spans="1:16" ht="18">
      <c r="A77" s="2847">
        <f t="shared" si="8"/>
        <v>0</v>
      </c>
      <c r="B77" s="2844">
        <v>7511</v>
      </c>
      <c r="C77" s="1756" t="str">
        <f t="shared" si="9"/>
        <v>财务费用（收益以“－”号填列）</v>
      </c>
      <c r="D77" s="1753"/>
      <c r="E77" s="1754">
        <f t="shared" si="10"/>
        <v>2968.82</v>
      </c>
      <c r="F77" s="1755">
        <f t="shared" si="11"/>
        <v>0</v>
      </c>
      <c r="G77" s="1751"/>
      <c r="H77" s="1751"/>
      <c r="I77" s="1751"/>
      <c r="J77" s="1664"/>
    </row>
    <row r="78" spans="1:16" ht="18">
      <c r="A78" s="2847">
        <f t="shared" si="8"/>
        <v>0</v>
      </c>
      <c r="B78" s="2844">
        <v>7512</v>
      </c>
      <c r="C78" s="1756" t="str">
        <f t="shared" si="9"/>
        <v>投资损失（收益以“－”号填列）</v>
      </c>
      <c r="D78" s="1753"/>
      <c r="E78" s="1754">
        <f t="shared" si="10"/>
        <v>-41851.06</v>
      </c>
      <c r="F78" s="1755">
        <f t="shared" si="11"/>
        <v>-38200.720000000001</v>
      </c>
      <c r="G78" s="1751"/>
      <c r="H78" s="1751"/>
      <c r="I78" s="1751"/>
      <c r="J78" s="1664"/>
    </row>
    <row r="79" spans="1:16" ht="18">
      <c r="A79" s="2847">
        <f t="shared" si="8"/>
        <v>0</v>
      </c>
      <c r="B79" s="2844">
        <v>7515</v>
      </c>
      <c r="C79" s="1756" t="str">
        <f t="shared" si="9"/>
        <v>递延所得税资产减少（增加以“－”号填列）</v>
      </c>
      <c r="D79" s="1753"/>
      <c r="E79" s="1754">
        <f t="shared" si="10"/>
        <v>-624649.18999999994</v>
      </c>
      <c r="F79" s="1755">
        <f t="shared" si="11"/>
        <v>-485503.27</v>
      </c>
      <c r="G79" s="1751"/>
      <c r="H79" s="1751"/>
      <c r="I79" s="1751"/>
      <c r="J79" s="1664"/>
    </row>
    <row r="80" spans="1:16" ht="18">
      <c r="A80" s="2847">
        <f t="shared" si="8"/>
        <v>0</v>
      </c>
      <c r="B80" s="2844">
        <v>7516</v>
      </c>
      <c r="C80" s="1756" t="str">
        <f t="shared" si="9"/>
        <v>递延所得税负债增加（减少以“－”号填列）</v>
      </c>
      <c r="D80" s="1753"/>
      <c r="E80" s="1754">
        <f t="shared" si="10"/>
        <v>0</v>
      </c>
      <c r="F80" s="1755">
        <f t="shared" si="11"/>
        <v>0</v>
      </c>
      <c r="G80" s="1751"/>
      <c r="H80" s="1751"/>
      <c r="I80" s="1751"/>
      <c r="J80" s="1664"/>
    </row>
    <row r="81" spans="1:10" ht="18">
      <c r="A81" s="2847">
        <f t="shared" si="8"/>
        <v>0</v>
      </c>
      <c r="B81" s="2844">
        <v>7517</v>
      </c>
      <c r="C81" s="1756" t="str">
        <f t="shared" si="9"/>
        <v>存货的减少（增加以“－”号填列）</v>
      </c>
      <c r="D81" s="1753"/>
      <c r="E81" s="1754">
        <f t="shared" si="10"/>
        <v>-1471252.95</v>
      </c>
      <c r="F81" s="1755">
        <f t="shared" si="11"/>
        <v>2725020.2</v>
      </c>
      <c r="G81" s="1751"/>
      <c r="H81" s="1751"/>
      <c r="I81" s="1751"/>
      <c r="J81" s="1664"/>
    </row>
    <row r="82" spans="1:10" ht="18">
      <c r="A82" s="2847">
        <f t="shared" si="8"/>
        <v>0</v>
      </c>
      <c r="B82" s="2844">
        <v>7518</v>
      </c>
      <c r="C82" s="1756" t="str">
        <f t="shared" si="9"/>
        <v>经营性应收项目的减少（增加以“－”号填列）</v>
      </c>
      <c r="D82" s="1753"/>
      <c r="E82" s="1754">
        <f t="shared" si="10"/>
        <v>-2701456.75</v>
      </c>
      <c r="F82" s="1755">
        <f t="shared" si="11"/>
        <v>4222149.83</v>
      </c>
      <c r="G82" s="1751"/>
      <c r="H82" s="1751"/>
      <c r="I82" s="1751"/>
      <c r="J82" s="1664"/>
    </row>
    <row r="83" spans="1:10" ht="18">
      <c r="A83" s="2847">
        <f t="shared" si="8"/>
        <v>0</v>
      </c>
      <c r="B83" s="2844">
        <v>7519</v>
      </c>
      <c r="C83" s="1756" t="str">
        <f t="shared" si="9"/>
        <v>经营性应付项目的增加（减少以“－”号填列）</v>
      </c>
      <c r="D83" s="1753"/>
      <c r="E83" s="1754">
        <f t="shared" si="10"/>
        <v>3629106.52</v>
      </c>
      <c r="F83" s="1755">
        <f t="shared" si="11"/>
        <v>2094008.2</v>
      </c>
      <c r="G83" s="1751"/>
      <c r="H83" s="1751"/>
      <c r="I83" s="1751"/>
      <c r="J83" s="1664"/>
    </row>
    <row r="84" spans="1:10" ht="18">
      <c r="A84" s="2847">
        <f t="shared" si="8"/>
        <v>0</v>
      </c>
      <c r="B84" s="2844">
        <v>7523</v>
      </c>
      <c r="C84" s="1756" t="str">
        <f t="shared" si="9"/>
        <v>其他</v>
      </c>
      <c r="D84" s="1753"/>
      <c r="E84" s="1754">
        <f t="shared" si="10"/>
        <v>0</v>
      </c>
      <c r="F84" s="1755">
        <f t="shared" si="11"/>
        <v>0</v>
      </c>
      <c r="G84" s="1751"/>
      <c r="H84" s="1751"/>
      <c r="I84" s="1751"/>
      <c r="J84" s="1664"/>
    </row>
    <row r="85" spans="1:10" ht="18">
      <c r="A85" s="2847" t="str">
        <f t="shared" si="8"/>
        <v>＝</v>
      </c>
      <c r="B85" s="2844">
        <v>7525</v>
      </c>
      <c r="C85" s="1757" t="str">
        <f t="shared" si="9"/>
        <v>经营活动产生的现金流量净额</v>
      </c>
      <c r="D85" s="1753"/>
      <c r="E85" s="1758">
        <f>SUM(E68:E84)</f>
        <v>963447.92</v>
      </c>
      <c r="F85" s="1759">
        <f>SUM(F68:F84)</f>
        <v>11322700.880000001</v>
      </c>
      <c r="G85" s="1751"/>
      <c r="H85" s="1751"/>
      <c r="I85" s="1751"/>
      <c r="J85" s="1664"/>
    </row>
    <row r="86" spans="1:10" ht="18">
      <c r="A86" s="2847" t="str">
        <f t="shared" si="8"/>
        <v>：</v>
      </c>
      <c r="B86" s="2844">
        <v>7526</v>
      </c>
      <c r="C86" s="1752" t="str">
        <f t="shared" si="9"/>
        <v>2.不涉及现金收支的重大投资和筹资活动：</v>
      </c>
      <c r="D86" s="1753"/>
      <c r="E86" s="1754"/>
      <c r="F86" s="1755"/>
      <c r="G86" s="1751"/>
      <c r="H86" s="1751"/>
      <c r="I86" s="1751"/>
      <c r="J86" s="1664"/>
    </row>
    <row r="87" spans="1:10" ht="18">
      <c r="A87" s="2847">
        <f t="shared" si="8"/>
        <v>0</v>
      </c>
      <c r="B87" s="2844">
        <v>7527</v>
      </c>
      <c r="C87" s="1756" t="str">
        <f t="shared" si="9"/>
        <v>债务转为资本</v>
      </c>
      <c r="D87" s="1753"/>
      <c r="E87" s="1754">
        <f>VLOOKUP($B87,Sheet_Trialbal,6,0)</f>
        <v>0</v>
      </c>
      <c r="F87" s="1755">
        <f>VLOOKUP($B87,Sheet_Trialbal,10,0)</f>
        <v>0</v>
      </c>
      <c r="G87" s="1751"/>
      <c r="H87" s="1751"/>
      <c r="I87" s="1751"/>
      <c r="J87" s="1664"/>
    </row>
    <row r="88" spans="1:10" ht="18">
      <c r="A88" s="2847">
        <f t="shared" si="8"/>
        <v>0</v>
      </c>
      <c r="B88" s="2844">
        <v>7528</v>
      </c>
      <c r="C88" s="1756" t="str">
        <f t="shared" si="9"/>
        <v>一年内到期的可转换公司债券</v>
      </c>
      <c r="D88" s="1753"/>
      <c r="E88" s="1754">
        <f>VLOOKUP($B88,Sheet_Trialbal,6,0)</f>
        <v>0</v>
      </c>
      <c r="F88" s="1755">
        <f>VLOOKUP($B88,Sheet_Trialbal,10,0)</f>
        <v>0</v>
      </c>
      <c r="G88" s="1751"/>
      <c r="H88" s="1751"/>
      <c r="I88" s="1751"/>
      <c r="J88" s="1664"/>
    </row>
    <row r="89" spans="1:10" ht="18">
      <c r="A89" s="2847">
        <f t="shared" si="8"/>
        <v>0</v>
      </c>
      <c r="B89" s="2844">
        <v>7529</v>
      </c>
      <c r="C89" s="1756" t="str">
        <f t="shared" si="9"/>
        <v>融资租入固定资产</v>
      </c>
      <c r="D89" s="1753"/>
      <c r="E89" s="1754">
        <f>VLOOKUP($B89,Sheet_Trialbal,6,0)</f>
        <v>0</v>
      </c>
      <c r="F89" s="1755">
        <f>VLOOKUP($B89,Sheet_Trialbal,10,0)</f>
        <v>0</v>
      </c>
      <c r="G89" s="1751"/>
      <c r="H89" s="1751"/>
      <c r="I89" s="1751"/>
      <c r="J89" s="1664"/>
    </row>
    <row r="90" spans="1:10" ht="18">
      <c r="A90" s="2847" t="str">
        <f t="shared" si="8"/>
        <v>：</v>
      </c>
      <c r="B90" s="2844">
        <v>7533</v>
      </c>
      <c r="C90" s="1752" t="str">
        <f t="shared" si="9"/>
        <v>3.现金及现金等价物净变动情况：</v>
      </c>
      <c r="D90" s="1753"/>
      <c r="E90" s="1754"/>
      <c r="F90" s="1755"/>
      <c r="G90" s="1751"/>
      <c r="H90" s="1751"/>
      <c r="I90" s="1751"/>
      <c r="J90" s="1664"/>
    </row>
    <row r="91" spans="1:10" ht="18">
      <c r="A91" s="2847">
        <f t="shared" si="8"/>
        <v>0</v>
      </c>
      <c r="B91" s="2844">
        <v>7535</v>
      </c>
      <c r="C91" s="1756" t="str">
        <f t="shared" si="9"/>
        <v>现金的期末余额</v>
      </c>
      <c r="D91" s="1753"/>
      <c r="E91" s="1754">
        <f>VLOOKUP($B91,Sheet_Trialbal,6,0)</f>
        <v>479304.95</v>
      </c>
      <c r="F91" s="1755">
        <f>VLOOKUP($B91,Sheet_Trialbal,10,0)</f>
        <v>252723.84</v>
      </c>
      <c r="G91" s="1751"/>
      <c r="H91" s="1751"/>
      <c r="I91" s="1751"/>
      <c r="J91" s="1664"/>
    </row>
    <row r="92" spans="1:10" ht="18">
      <c r="A92" s="2847">
        <f t="shared" si="8"/>
        <v>0</v>
      </c>
      <c r="B92" s="2844">
        <v>7536</v>
      </c>
      <c r="C92" s="1756" t="str">
        <f t="shared" si="9"/>
        <v>减：现金的年初余额</v>
      </c>
      <c r="D92" s="1753"/>
      <c r="E92" s="1754">
        <f>VLOOKUP($B92,Sheet_Trialbal,6,0)</f>
        <v>252723.84</v>
      </c>
      <c r="F92" s="1755">
        <f>VLOOKUP($B92,Sheet_Trialbal,10,0)</f>
        <v>3232013.12</v>
      </c>
      <c r="G92" s="1751"/>
      <c r="H92" s="1751"/>
      <c r="I92" s="1751"/>
      <c r="J92" s="1664"/>
    </row>
    <row r="93" spans="1:10" ht="18">
      <c r="A93" s="2847">
        <f t="shared" si="8"/>
        <v>0</v>
      </c>
      <c r="B93" s="2844">
        <v>7537</v>
      </c>
      <c r="C93" s="1756" t="str">
        <f t="shared" si="9"/>
        <v>加：现金等价物的期末余额</v>
      </c>
      <c r="D93" s="1753"/>
      <c r="E93" s="1754">
        <f>VLOOKUP($B93,Sheet_Trialbal,6,0)</f>
        <v>0</v>
      </c>
      <c r="F93" s="1755">
        <f>VLOOKUP($B93,Sheet_Trialbal,10,0)</f>
        <v>0</v>
      </c>
      <c r="G93" s="1751"/>
      <c r="H93" s="1751"/>
      <c r="I93" s="1751"/>
      <c r="J93" s="1664"/>
    </row>
    <row r="94" spans="1:10" ht="18">
      <c r="A94" s="2847">
        <f t="shared" si="8"/>
        <v>0</v>
      </c>
      <c r="B94" s="2844">
        <v>7538</v>
      </c>
      <c r="C94" s="1756" t="str">
        <f t="shared" si="9"/>
        <v>减：现金等价物的年初余额</v>
      </c>
      <c r="D94" s="1753"/>
      <c r="E94" s="1754">
        <f>VLOOKUP($B94,Sheet_Trialbal,6,0)</f>
        <v>0</v>
      </c>
      <c r="F94" s="1755">
        <f>VLOOKUP($B94,Sheet_Trialbal,10,0)</f>
        <v>0</v>
      </c>
      <c r="G94" s="1751"/>
      <c r="H94" s="1751"/>
      <c r="I94" s="1751"/>
      <c r="J94" s="1664"/>
    </row>
    <row r="95" spans="1:10" ht="18.75" thickBot="1">
      <c r="A95" s="2847" t="str">
        <f t="shared" si="8"/>
        <v>＝</v>
      </c>
      <c r="B95" s="2844">
        <v>7539</v>
      </c>
      <c r="C95" s="1760" t="str">
        <f t="shared" si="9"/>
        <v>现金及现金等价物净增加额</v>
      </c>
      <c r="D95" s="1761"/>
      <c r="E95" s="1762">
        <f>SUM(E91,-E92,E93,-E94)</f>
        <v>226581.11</v>
      </c>
      <c r="F95" s="1763">
        <f>SUM(F91,-F92,F93,-F94)</f>
        <v>-2979289.28</v>
      </c>
      <c r="G95" s="1751"/>
      <c r="H95" s="1751"/>
      <c r="I95" s="1751"/>
      <c r="J95" s="1664"/>
    </row>
    <row r="96" spans="1:10" ht="18.75" thickBot="1">
      <c r="A96" s="2848"/>
      <c r="B96" s="2849"/>
      <c r="C96" s="1764"/>
      <c r="D96" s="1765"/>
      <c r="E96" s="1766"/>
      <c r="F96" s="1766"/>
      <c r="G96" s="1751"/>
      <c r="H96" s="1751"/>
      <c r="I96" s="1751"/>
      <c r="J96" s="1664"/>
    </row>
    <row r="97" spans="1:10" ht="18">
      <c r="A97" s="2847"/>
      <c r="B97" s="2844"/>
      <c r="C97" s="1767" t="s">
        <v>5774</v>
      </c>
      <c r="D97" s="1768"/>
      <c r="E97" s="1769"/>
      <c r="F97" s="1770"/>
      <c r="G97" s="1771"/>
      <c r="H97" s="1771"/>
      <c r="I97" s="1751"/>
      <c r="J97" s="1664"/>
    </row>
    <row r="98" spans="1:10" ht="18">
      <c r="A98" s="2847"/>
      <c r="B98" s="2844"/>
      <c r="C98" s="1772" t="s">
        <v>5775</v>
      </c>
      <c r="D98" s="1773"/>
      <c r="E98" s="1774" t="s">
        <v>2577</v>
      </c>
      <c r="F98" s="1775" t="s">
        <v>2578</v>
      </c>
      <c r="G98" s="1771"/>
      <c r="H98" s="1771"/>
      <c r="I98" s="1751"/>
      <c r="J98" s="1664"/>
    </row>
    <row r="99" spans="1:10" ht="18">
      <c r="A99" s="2847"/>
      <c r="B99" s="2844"/>
      <c r="C99" s="1776" t="s">
        <v>5776</v>
      </c>
      <c r="D99" s="1777"/>
      <c r="E99" s="1778"/>
      <c r="F99" s="1779"/>
      <c r="G99" s="853"/>
      <c r="H99" s="853"/>
      <c r="I99" s="1751"/>
      <c r="J99" s="1664"/>
    </row>
    <row r="100" spans="1:10" ht="18">
      <c r="A100" s="2847"/>
      <c r="B100" s="2844"/>
      <c r="C100" s="1780" t="str">
        <f>C60&amp;" | "&amp;E98</f>
        <v>加：期初现金及现金等价物余额 | 本期金额</v>
      </c>
      <c r="D100" s="1777" t="s">
        <v>5777</v>
      </c>
      <c r="E100" s="1781">
        <f>E60</f>
        <v>252723.84</v>
      </c>
      <c r="F100" s="1782"/>
      <c r="G100" s="853"/>
      <c r="H100" s="853"/>
      <c r="I100" s="1751"/>
      <c r="J100" s="1664"/>
    </row>
    <row r="101" spans="1:10" ht="18">
      <c r="A101" s="2847"/>
      <c r="B101" s="2844"/>
      <c r="C101" s="1780" t="str">
        <f>C61&amp;" | "&amp;F98</f>
        <v>六、期末现金及现金等价物余额 | 上期金额</v>
      </c>
      <c r="D101" s="1777" t="s">
        <v>5777</v>
      </c>
      <c r="E101" s="1781">
        <f>F61</f>
        <v>269445.61</v>
      </c>
      <c r="F101" s="1782"/>
      <c r="G101" s="853"/>
      <c r="H101" s="853"/>
      <c r="I101" s="1751"/>
      <c r="J101" s="1664"/>
    </row>
    <row r="102" spans="1:10" ht="18.75" thickBot="1">
      <c r="A102" s="2847"/>
      <c r="B102" s="2844"/>
      <c r="C102" s="1783" t="s">
        <v>5778</v>
      </c>
      <c r="D102" s="1777"/>
      <c r="E102" s="1784">
        <f>ROUND(E100-E101,2)</f>
        <v>-16721.77</v>
      </c>
      <c r="F102" s="1785"/>
      <c r="G102" s="853"/>
      <c r="H102" s="853"/>
      <c r="I102" s="1751"/>
      <c r="J102" s="1664"/>
    </row>
    <row r="103" spans="1:10" ht="18.75" thickTop="1">
      <c r="A103" s="2847"/>
      <c r="B103" s="2844"/>
      <c r="C103" s="1786" t="s">
        <v>5779</v>
      </c>
      <c r="D103" s="1777"/>
      <c r="E103" s="1787" t="str">
        <f>IF(E102=0,"√","×")</f>
        <v>×</v>
      </c>
      <c r="F103" s="1788"/>
      <c r="G103" s="853"/>
      <c r="H103" s="853"/>
      <c r="I103" s="1751"/>
      <c r="J103" s="1664"/>
    </row>
    <row r="104" spans="1:10" ht="18">
      <c r="A104" s="2847"/>
      <c r="B104" s="2844"/>
      <c r="C104" s="1789" t="s">
        <v>5780</v>
      </c>
      <c r="D104" s="1777"/>
      <c r="E104" s="1778"/>
      <c r="F104" s="1779"/>
      <c r="G104" s="853"/>
      <c r="H104" s="853"/>
      <c r="I104" s="1751"/>
      <c r="J104" s="1664"/>
    </row>
    <row r="105" spans="1:10" ht="18">
      <c r="A105" s="2847"/>
      <c r="B105" s="2844"/>
      <c r="C105" s="1790" t="str">
        <f>C68</f>
        <v>净利润</v>
      </c>
      <c r="D105" s="1777" t="s">
        <v>5777</v>
      </c>
      <c r="E105" s="1781">
        <f>E68</f>
        <v>-3349908.33</v>
      </c>
      <c r="F105" s="1782">
        <f>F68</f>
        <v>520228.91</v>
      </c>
      <c r="G105" s="853"/>
      <c r="H105" s="853"/>
      <c r="I105" s="1751"/>
      <c r="J105" s="1664"/>
    </row>
    <row r="106" spans="1:10" ht="18">
      <c r="A106" s="2847"/>
      <c r="B106" s="2844">
        <v>6799</v>
      </c>
      <c r="C106" s="1780" t="str">
        <f>VLOOKUP($B106,Sheet_Items,2,0)</f>
        <v>净利润</v>
      </c>
      <c r="D106" s="1777" t="s">
        <v>5781</v>
      </c>
      <c r="E106" s="1781">
        <f>IncomeStatement!E43</f>
        <v>-3349908.33</v>
      </c>
      <c r="F106" s="1782">
        <f>IncomeStatement!F43</f>
        <v>520228.91</v>
      </c>
      <c r="G106" s="853"/>
      <c r="H106" s="853"/>
      <c r="I106" s="1751"/>
      <c r="J106" s="1664"/>
    </row>
    <row r="107" spans="1:10" ht="18.75" thickBot="1">
      <c r="A107" s="2847"/>
      <c r="B107" s="2844"/>
      <c r="C107" s="1783" t="s">
        <v>5778</v>
      </c>
      <c r="D107" s="1777"/>
      <c r="E107" s="1784">
        <f>ROUND(E105-E106,2)</f>
        <v>0</v>
      </c>
      <c r="F107" s="1785">
        <f>ROUND(F105-F106,2)</f>
        <v>0</v>
      </c>
      <c r="G107" s="853"/>
      <c r="H107" s="853"/>
      <c r="I107" s="1751"/>
      <c r="J107" s="1664"/>
    </row>
    <row r="108" spans="1:10" ht="18.75" thickTop="1">
      <c r="A108" s="2847"/>
      <c r="B108" s="2844"/>
      <c r="C108" s="1786" t="s">
        <v>5779</v>
      </c>
      <c r="D108" s="1777"/>
      <c r="E108" s="1787" t="str">
        <f>IF(E107=0,"√","×")</f>
        <v>√</v>
      </c>
      <c r="F108" s="1788" t="str">
        <f>IF(F107=0,"√","×")</f>
        <v>√</v>
      </c>
      <c r="G108" s="853"/>
      <c r="H108" s="853"/>
      <c r="I108" s="1751"/>
      <c r="J108" s="1664"/>
    </row>
    <row r="109" spans="1:10" ht="18">
      <c r="A109" s="2847"/>
      <c r="B109" s="2844"/>
      <c r="C109" s="1789" t="s">
        <v>2591</v>
      </c>
      <c r="D109" s="1777"/>
      <c r="E109" s="1778"/>
      <c r="F109" s="1779"/>
      <c r="G109" s="853"/>
      <c r="H109" s="853"/>
      <c r="I109" s="1751"/>
      <c r="J109" s="1664"/>
    </row>
    <row r="110" spans="1:10" ht="18">
      <c r="A110" s="2847"/>
      <c r="B110" s="2844"/>
      <c r="C110" s="1790" t="str">
        <f>C85&amp;"（补充资料）"</f>
        <v>经营活动产生的现金流量净额（补充资料）</v>
      </c>
      <c r="D110" s="1777" t="s">
        <v>5777</v>
      </c>
      <c r="E110" s="1781">
        <f>E85</f>
        <v>963447.92</v>
      </c>
      <c r="F110" s="1782">
        <f>F85</f>
        <v>11322700.880000001</v>
      </c>
      <c r="G110" s="853"/>
      <c r="H110" s="853"/>
      <c r="I110" s="1751"/>
      <c r="J110" s="1664"/>
    </row>
    <row r="111" spans="1:10" ht="18">
      <c r="A111" s="2847"/>
      <c r="B111" s="2844">
        <v>7099</v>
      </c>
      <c r="C111" s="1780" t="str">
        <f>C33&amp;"（主表）"</f>
        <v>经营活动产生的现金流量净额（主表）</v>
      </c>
      <c r="D111" s="1777" t="s">
        <v>5777</v>
      </c>
      <c r="E111" s="1781">
        <f>E33</f>
        <v>963447.92</v>
      </c>
      <c r="F111" s="1782">
        <f>F33</f>
        <v>11322700.880000001</v>
      </c>
      <c r="G111" s="853"/>
      <c r="H111" s="853"/>
      <c r="I111" s="1751"/>
      <c r="J111" s="1664"/>
    </row>
    <row r="112" spans="1:10" ht="18.75" thickBot="1">
      <c r="A112" s="2847"/>
      <c r="B112" s="2844"/>
      <c r="C112" s="1783" t="s">
        <v>5778</v>
      </c>
      <c r="D112" s="1777"/>
      <c r="E112" s="1784">
        <f>ROUND(E110-E111,2)</f>
        <v>0</v>
      </c>
      <c r="F112" s="1785">
        <f>ROUND(F110-F111,2)</f>
        <v>0</v>
      </c>
      <c r="G112" s="853"/>
      <c r="H112" s="853"/>
      <c r="I112" s="1751"/>
      <c r="J112" s="1664"/>
    </row>
    <row r="113" spans="1:10" ht="18.75" thickTop="1">
      <c r="A113" s="2847"/>
      <c r="B113" s="2850"/>
      <c r="C113" s="1786" t="s">
        <v>5779</v>
      </c>
      <c r="D113" s="1777"/>
      <c r="E113" s="1787" t="str">
        <f>IF(E112=0,"√","×")</f>
        <v>√</v>
      </c>
      <c r="F113" s="1788" t="str">
        <f>IF(F112=0,"√","×")</f>
        <v>√</v>
      </c>
      <c r="G113" s="853"/>
      <c r="H113" s="853"/>
      <c r="I113" s="1751"/>
      <c r="J113" s="1664"/>
    </row>
    <row r="114" spans="1:10" ht="18">
      <c r="A114" s="2847"/>
      <c r="B114" s="2850"/>
      <c r="C114" s="1790" t="str">
        <f>C91&amp;" "&amp;C93</f>
        <v>现金的期末余额 加：现金等价物的期末余额</v>
      </c>
      <c r="D114" s="1777" t="s">
        <v>5777</v>
      </c>
      <c r="E114" s="1781">
        <f>SUM(E91,E93)</f>
        <v>479304.95</v>
      </c>
      <c r="F114" s="1782">
        <f>SUM(F91,F93)</f>
        <v>252723.84</v>
      </c>
      <c r="G114" s="853"/>
      <c r="H114" s="853"/>
      <c r="I114" s="1751"/>
      <c r="J114" s="1664"/>
    </row>
    <row r="115" spans="1:10" ht="18">
      <c r="A115" s="2847"/>
      <c r="B115" s="2850">
        <v>7399</v>
      </c>
      <c r="C115" s="1780" t="str">
        <f>C61&amp;"（主表）"</f>
        <v>六、期末现金及现金等价物余额（主表）</v>
      </c>
      <c r="D115" s="1777" t="s">
        <v>5777</v>
      </c>
      <c r="E115" s="1781">
        <f>E61</f>
        <v>10978978.289999999</v>
      </c>
      <c r="F115" s="1782">
        <f>F61</f>
        <v>269445.61</v>
      </c>
      <c r="G115" s="853"/>
      <c r="H115" s="853"/>
      <c r="I115" s="1751"/>
      <c r="J115" s="1664"/>
    </row>
    <row r="116" spans="1:10" ht="18.75" thickBot="1">
      <c r="A116" s="2847"/>
      <c r="B116" s="2850"/>
      <c r="C116" s="1783" t="s">
        <v>5778</v>
      </c>
      <c r="D116" s="1777"/>
      <c r="E116" s="1784">
        <f>ROUND(E114-E115,2)</f>
        <v>-10499673.34</v>
      </c>
      <c r="F116" s="1785">
        <f>ROUND(F114-F115,2)</f>
        <v>-16721.77</v>
      </c>
      <c r="G116" s="853"/>
      <c r="H116" s="853"/>
      <c r="I116" s="1751"/>
      <c r="J116" s="1664"/>
    </row>
    <row r="117" spans="1:10" ht="18.75" thickTop="1">
      <c r="A117" s="2847"/>
      <c r="B117" s="2850"/>
      <c r="C117" s="1786" t="s">
        <v>5779</v>
      </c>
      <c r="D117" s="1777"/>
      <c r="E117" s="1787" t="str">
        <f>IF(E116=0,"√","×")</f>
        <v>×</v>
      </c>
      <c r="F117" s="1788" t="str">
        <f>IF(F116=0,"√","×")</f>
        <v>×</v>
      </c>
      <c r="G117" s="853"/>
      <c r="H117" s="853"/>
      <c r="I117" s="1751"/>
      <c r="J117" s="1664"/>
    </row>
    <row r="118" spans="1:10" ht="18">
      <c r="A118" s="2847"/>
      <c r="B118" s="2850"/>
      <c r="C118" s="1790" t="str">
        <f>C92&amp;" "&amp;C94</f>
        <v>减：现金的年初余额 减：现金等价物的年初余额</v>
      </c>
      <c r="D118" s="1777" t="s">
        <v>5777</v>
      </c>
      <c r="E118" s="1781">
        <f>SUM(E92,E94)</f>
        <v>252723.84</v>
      </c>
      <c r="F118" s="1782">
        <f>SUM(F92,F94)</f>
        <v>3232013.12</v>
      </c>
      <c r="G118" s="853"/>
      <c r="H118" s="853"/>
      <c r="I118" s="1751"/>
      <c r="J118" s="1664"/>
    </row>
    <row r="119" spans="1:10" ht="18">
      <c r="A119" s="2847"/>
      <c r="B119" s="2850">
        <v>7349</v>
      </c>
      <c r="C119" s="1780" t="str">
        <f>C60&amp;"（主表）"</f>
        <v>加：期初现金及现金等价物余额（主表）</v>
      </c>
      <c r="D119" s="1777" t="s">
        <v>5777</v>
      </c>
      <c r="E119" s="1781">
        <f>E60</f>
        <v>252723.84</v>
      </c>
      <c r="F119" s="1782">
        <f>F60</f>
        <v>3232013.12</v>
      </c>
      <c r="G119" s="853"/>
      <c r="H119" s="853"/>
      <c r="I119" s="1751"/>
      <c r="J119" s="1664"/>
    </row>
    <row r="120" spans="1:10" ht="18.75" thickBot="1">
      <c r="A120" s="2847"/>
      <c r="B120" s="2850"/>
      <c r="C120" s="1783" t="s">
        <v>5778</v>
      </c>
      <c r="D120" s="1777"/>
      <c r="E120" s="1784">
        <f>ROUND(E118-E119,2)</f>
        <v>0</v>
      </c>
      <c r="F120" s="1785">
        <f>ROUND(F118-F119,2)</f>
        <v>0</v>
      </c>
      <c r="G120" s="853"/>
      <c r="H120" s="853"/>
      <c r="I120" s="1751"/>
      <c r="J120" s="1664"/>
    </row>
    <row r="121" spans="1:10" ht="18.75" thickTop="1">
      <c r="A121" s="2847"/>
      <c r="B121" s="2850"/>
      <c r="C121" s="1786" t="s">
        <v>5779</v>
      </c>
      <c r="D121" s="1777"/>
      <c r="E121" s="1787" t="str">
        <f>IF(E120=0,"√","×")</f>
        <v>√</v>
      </c>
      <c r="F121" s="1788" t="str">
        <f>IF(F120=0,"√","×")</f>
        <v>√</v>
      </c>
      <c r="G121" s="853"/>
      <c r="H121" s="853"/>
      <c r="I121" s="1751"/>
      <c r="J121" s="1664"/>
    </row>
    <row r="122" spans="1:10" ht="18">
      <c r="A122" s="2847"/>
      <c r="B122" s="2850"/>
      <c r="C122" s="1790" t="str">
        <f>C95&amp;"（补充资料）"</f>
        <v>现金及现金等价物净增加额（补充资料）</v>
      </c>
      <c r="D122" s="1777" t="s">
        <v>5777</v>
      </c>
      <c r="E122" s="1781">
        <f>E95</f>
        <v>226581.11</v>
      </c>
      <c r="F122" s="1782">
        <f>F95</f>
        <v>-2979289.28</v>
      </c>
      <c r="G122" s="853"/>
      <c r="H122" s="853"/>
      <c r="I122" s="1751"/>
      <c r="J122" s="1664"/>
    </row>
    <row r="123" spans="1:10" ht="18">
      <c r="A123" s="2847"/>
      <c r="B123" s="2850">
        <v>7348</v>
      </c>
      <c r="C123" s="1780" t="str">
        <f>C59&amp;"（主表）"</f>
        <v>五、现金及现金等价物净增加额（主表）</v>
      </c>
      <c r="D123" s="1777" t="s">
        <v>5782</v>
      </c>
      <c r="E123" s="1781">
        <f>E59</f>
        <v>10726254.449999999</v>
      </c>
      <c r="F123" s="1782">
        <f>F59</f>
        <v>-2962567.51</v>
      </c>
      <c r="G123" s="853"/>
      <c r="H123" s="853"/>
      <c r="I123" s="1751"/>
      <c r="J123" s="1664"/>
    </row>
    <row r="124" spans="1:10" ht="18.75" thickBot="1">
      <c r="A124" s="2847"/>
      <c r="B124" s="2850"/>
      <c r="C124" s="1783" t="s">
        <v>5771</v>
      </c>
      <c r="D124" s="1777"/>
      <c r="E124" s="1784">
        <f>ROUND(E122-E123,2)</f>
        <v>-10499673.34</v>
      </c>
      <c r="F124" s="1785">
        <f>ROUND(F122-F123,2)</f>
        <v>-16721.77</v>
      </c>
      <c r="G124" s="853"/>
      <c r="H124" s="853"/>
      <c r="I124" s="1751"/>
      <c r="J124" s="1664"/>
    </row>
    <row r="125" spans="1:10" ht="18.75" thickTop="1">
      <c r="A125" s="2847"/>
      <c r="B125" s="2850"/>
      <c r="C125" s="1786" t="s">
        <v>5768</v>
      </c>
      <c r="D125" s="1777"/>
      <c r="E125" s="1787" t="str">
        <f>IF(E124=0,"√","×")</f>
        <v>×</v>
      </c>
      <c r="F125" s="1788" t="str">
        <f>IF(F124=0,"√","×")</f>
        <v>×</v>
      </c>
      <c r="G125" s="853"/>
      <c r="H125" s="853"/>
      <c r="I125" s="1751"/>
      <c r="J125" s="1664"/>
    </row>
    <row r="126" spans="1:10" ht="18.75" thickBot="1">
      <c r="A126" s="2847"/>
      <c r="B126" s="2850"/>
      <c r="C126" s="1791" t="s">
        <v>2572</v>
      </c>
      <c r="D126" s="1792"/>
      <c r="E126" s="1793">
        <f>SUMIF($C99:$C125,"差       异",E99:E125)</f>
        <v>-21016068.449999999</v>
      </c>
      <c r="F126" s="1794">
        <f>SUMIF($C99:$C125,"差       异",F99:F125)</f>
        <v>-33443.54</v>
      </c>
      <c r="G126" s="850"/>
      <c r="H126" s="1795" t="str">
        <f>IF(E126+F126=0,"Balanced","Diff "&amp;TEXT(ROUND(E126+F126,2),"#,###.00"))</f>
        <v>Diff -21,049,511.99</v>
      </c>
      <c r="I126" s="1751"/>
    </row>
    <row r="127" spans="1:10" ht="18">
      <c r="A127" s="2848"/>
      <c r="C127" s="1664"/>
      <c r="D127" s="1664"/>
      <c r="E127" s="1664"/>
      <c r="F127" s="1664"/>
      <c r="G127" s="1664"/>
      <c r="H127" s="1664"/>
      <c r="I127" s="1664"/>
      <c r="J127" s="1664"/>
    </row>
    <row r="128" spans="1:10">
      <c r="C128" s="1664"/>
      <c r="D128" s="1664"/>
      <c r="E128" s="1664"/>
      <c r="F128" s="1664"/>
      <c r="G128" s="1664"/>
      <c r="H128" s="1664"/>
      <c r="I128" s="1664"/>
      <c r="J128" s="1664"/>
    </row>
    <row r="129" spans="3:10">
      <c r="C129" s="1664"/>
      <c r="D129" s="1664"/>
      <c r="E129" s="1664"/>
      <c r="F129" s="1664"/>
      <c r="G129" s="1664"/>
      <c r="H129" s="1664"/>
      <c r="I129" s="1664"/>
      <c r="J129" s="1664"/>
    </row>
    <row r="130" spans="3:10">
      <c r="C130" s="1664"/>
      <c r="D130" s="1664"/>
      <c r="E130" s="1664"/>
      <c r="F130" s="1664"/>
      <c r="G130" s="1664"/>
      <c r="H130" s="1664"/>
      <c r="I130" s="1664"/>
      <c r="J130" s="1664"/>
    </row>
  </sheetData>
  <sheetProtection password="94A0" sheet="1" scenarios="1" formatCells="0" autoFilter="0"/>
  <mergeCells count="2">
    <mergeCell ref="C2:F2"/>
    <mergeCell ref="C3:F3"/>
  </mergeCells>
  <phoneticPr fontId="163" type="noConversion"/>
  <conditionalFormatting sqref="E126:F126 E112:F112 E107:F107 E116:F116 E120:F120 E124:F124 E102:F102">
    <cfRule type="cellIs" dxfId="9" priority="6" stopIfTrue="1" operator="notEqual">
      <formula>0</formula>
    </cfRule>
  </conditionalFormatting>
  <conditionalFormatting sqref="C97:D97 D98">
    <cfRule type="expression" dxfId="8" priority="5" stopIfTrue="1">
      <formula>#REF!=TRUE</formula>
    </cfRule>
  </conditionalFormatting>
  <conditionalFormatting sqref="E126:F126 E112:F112 E107:F107 E116:F116 E120:F120 E124:F124 E102:F102">
    <cfRule type="cellIs" dxfId="7" priority="4" stopIfTrue="1" operator="notEqual">
      <formula>0</formula>
    </cfRule>
  </conditionalFormatting>
  <conditionalFormatting sqref="E126:F126 E112:F112 E107:F107 E116:F116 E120:F120 E124:F124 E102:F102">
    <cfRule type="cellIs" dxfId="6" priority="3" stopIfTrue="1" operator="notEqual">
      <formula>0</formula>
    </cfRule>
  </conditionalFormatting>
  <conditionalFormatting sqref="C97:D97 D98">
    <cfRule type="expression" dxfId="5" priority="2" stopIfTrue="1">
      <formula>#REF!=TRUE</formula>
    </cfRule>
  </conditionalFormatting>
  <conditionalFormatting sqref="E126:F126 E112:F112 E107:F107 E116:F116 E120:F120 E124:F124 E102:F102">
    <cfRule type="cellIs" dxfId="4" priority="1" stopIfTrue="1" operator="notEqual">
      <formula>0</formula>
    </cfRule>
  </conditionalFormatting>
  <printOptions horizontalCentered="1"/>
  <pageMargins left="0.78740157480314965" right="0" top="0.78740157480314965" bottom="0.19685039370078741" header="0.51181102362204722" footer="0.51181102362204722"/>
  <pageSetup paperSize="9" scale="67" orientation="portrait" blackAndWhite="1"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AG58"/>
  <sheetViews>
    <sheetView showZeros="0" workbookViewId="0">
      <selection activeCell="C9" sqref="C9"/>
    </sheetView>
  </sheetViews>
  <sheetFormatPr defaultRowHeight="12"/>
  <cols>
    <col min="1" max="2" width="0.140625" style="1799" customWidth="1"/>
    <col min="3" max="3" width="52.7109375" style="1804" customWidth="1"/>
    <col min="4" max="14" width="13.7109375" style="1804" customWidth="1"/>
    <col min="15" max="15" width="6.7109375" style="1804" hidden="1" customWidth="1"/>
    <col min="16" max="16" width="14.7109375" style="1804" customWidth="1"/>
    <col min="17" max="27" width="13.7109375" style="1804" customWidth="1"/>
    <col min="28" max="28" width="6.7109375" style="1804" hidden="1" customWidth="1"/>
    <col min="29" max="29" width="14.7109375" style="1804" customWidth="1"/>
    <col min="30" max="256" width="9.140625" style="1804"/>
    <col min="257" max="258" width="0.140625" style="1804" customWidth="1"/>
    <col min="259" max="259" width="52.7109375" style="1804" customWidth="1"/>
    <col min="260" max="270" width="12.7109375" style="1804" customWidth="1"/>
    <col min="271" max="271" width="6.7109375" style="1804" customWidth="1"/>
    <col min="272" max="272" width="14.7109375" style="1804" customWidth="1"/>
    <col min="273" max="283" width="12.7109375" style="1804" customWidth="1"/>
    <col min="284" max="284" width="6.7109375" style="1804" customWidth="1"/>
    <col min="285" max="285" width="14.7109375" style="1804" customWidth="1"/>
    <col min="286" max="512" width="9.140625" style="1804"/>
    <col min="513" max="514" width="0.140625" style="1804" customWidth="1"/>
    <col min="515" max="515" width="52.7109375" style="1804" customWidth="1"/>
    <col min="516" max="526" width="12.7109375" style="1804" customWidth="1"/>
    <col min="527" max="527" width="6.7109375" style="1804" customWidth="1"/>
    <col min="528" max="528" width="14.7109375" style="1804" customWidth="1"/>
    <col min="529" max="539" width="12.7109375" style="1804" customWidth="1"/>
    <col min="540" max="540" width="6.7109375" style="1804" customWidth="1"/>
    <col min="541" max="541" width="14.7109375" style="1804" customWidth="1"/>
    <col min="542" max="768" width="9.140625" style="1804"/>
    <col min="769" max="770" width="0.140625" style="1804" customWidth="1"/>
    <col min="771" max="771" width="52.7109375" style="1804" customWidth="1"/>
    <col min="772" max="782" width="12.7109375" style="1804" customWidth="1"/>
    <col min="783" max="783" width="6.7109375" style="1804" customWidth="1"/>
    <col min="784" max="784" width="14.7109375" style="1804" customWidth="1"/>
    <col min="785" max="795" width="12.7109375" style="1804" customWidth="1"/>
    <col min="796" max="796" width="6.7109375" style="1804" customWidth="1"/>
    <col min="797" max="797" width="14.7109375" style="1804" customWidth="1"/>
    <col min="798" max="1024" width="9.140625" style="1804"/>
    <col min="1025" max="1026" width="0.140625" style="1804" customWidth="1"/>
    <col min="1027" max="1027" width="52.7109375" style="1804" customWidth="1"/>
    <col min="1028" max="1038" width="12.7109375" style="1804" customWidth="1"/>
    <col min="1039" max="1039" width="6.7109375" style="1804" customWidth="1"/>
    <col min="1040" max="1040" width="14.7109375" style="1804" customWidth="1"/>
    <col min="1041" max="1051" width="12.7109375" style="1804" customWidth="1"/>
    <col min="1052" max="1052" width="6.7109375" style="1804" customWidth="1"/>
    <col min="1053" max="1053" width="14.7109375" style="1804" customWidth="1"/>
    <col min="1054" max="1280" width="9.140625" style="1804"/>
    <col min="1281" max="1282" width="0.140625" style="1804" customWidth="1"/>
    <col min="1283" max="1283" width="52.7109375" style="1804" customWidth="1"/>
    <col min="1284" max="1294" width="12.7109375" style="1804" customWidth="1"/>
    <col min="1295" max="1295" width="6.7109375" style="1804" customWidth="1"/>
    <col min="1296" max="1296" width="14.7109375" style="1804" customWidth="1"/>
    <col min="1297" max="1307" width="12.7109375" style="1804" customWidth="1"/>
    <col min="1308" max="1308" width="6.7109375" style="1804" customWidth="1"/>
    <col min="1309" max="1309" width="14.7109375" style="1804" customWidth="1"/>
    <col min="1310" max="1536" width="9.140625" style="1804"/>
    <col min="1537" max="1538" width="0.140625" style="1804" customWidth="1"/>
    <col min="1539" max="1539" width="52.7109375" style="1804" customWidth="1"/>
    <col min="1540" max="1550" width="12.7109375" style="1804" customWidth="1"/>
    <col min="1551" max="1551" width="6.7109375" style="1804" customWidth="1"/>
    <col min="1552" max="1552" width="14.7109375" style="1804" customWidth="1"/>
    <col min="1553" max="1563" width="12.7109375" style="1804" customWidth="1"/>
    <col min="1564" max="1564" width="6.7109375" style="1804" customWidth="1"/>
    <col min="1565" max="1565" width="14.7109375" style="1804" customWidth="1"/>
    <col min="1566" max="1792" width="9.140625" style="1804"/>
    <col min="1793" max="1794" width="0.140625" style="1804" customWidth="1"/>
    <col min="1795" max="1795" width="52.7109375" style="1804" customWidth="1"/>
    <col min="1796" max="1806" width="12.7109375" style="1804" customWidth="1"/>
    <col min="1807" max="1807" width="6.7109375" style="1804" customWidth="1"/>
    <col min="1808" max="1808" width="14.7109375" style="1804" customWidth="1"/>
    <col min="1809" max="1819" width="12.7109375" style="1804" customWidth="1"/>
    <col min="1820" max="1820" width="6.7109375" style="1804" customWidth="1"/>
    <col min="1821" max="1821" width="14.7109375" style="1804" customWidth="1"/>
    <col min="1822" max="2048" width="9.140625" style="1804"/>
    <col min="2049" max="2050" width="0.140625" style="1804" customWidth="1"/>
    <col min="2051" max="2051" width="52.7109375" style="1804" customWidth="1"/>
    <col min="2052" max="2062" width="12.7109375" style="1804" customWidth="1"/>
    <col min="2063" max="2063" width="6.7109375" style="1804" customWidth="1"/>
    <col min="2064" max="2064" width="14.7109375" style="1804" customWidth="1"/>
    <col min="2065" max="2075" width="12.7109375" style="1804" customWidth="1"/>
    <col min="2076" max="2076" width="6.7109375" style="1804" customWidth="1"/>
    <col min="2077" max="2077" width="14.7109375" style="1804" customWidth="1"/>
    <col min="2078" max="2304" width="9.140625" style="1804"/>
    <col min="2305" max="2306" width="0.140625" style="1804" customWidth="1"/>
    <col min="2307" max="2307" width="52.7109375" style="1804" customWidth="1"/>
    <col min="2308" max="2318" width="12.7109375" style="1804" customWidth="1"/>
    <col min="2319" max="2319" width="6.7109375" style="1804" customWidth="1"/>
    <col min="2320" max="2320" width="14.7109375" style="1804" customWidth="1"/>
    <col min="2321" max="2331" width="12.7109375" style="1804" customWidth="1"/>
    <col min="2332" max="2332" width="6.7109375" style="1804" customWidth="1"/>
    <col min="2333" max="2333" width="14.7109375" style="1804" customWidth="1"/>
    <col min="2334" max="2560" width="9.140625" style="1804"/>
    <col min="2561" max="2562" width="0.140625" style="1804" customWidth="1"/>
    <col min="2563" max="2563" width="52.7109375" style="1804" customWidth="1"/>
    <col min="2564" max="2574" width="12.7109375" style="1804" customWidth="1"/>
    <col min="2575" max="2575" width="6.7109375" style="1804" customWidth="1"/>
    <col min="2576" max="2576" width="14.7109375" style="1804" customWidth="1"/>
    <col min="2577" max="2587" width="12.7109375" style="1804" customWidth="1"/>
    <col min="2588" max="2588" width="6.7109375" style="1804" customWidth="1"/>
    <col min="2589" max="2589" width="14.7109375" style="1804" customWidth="1"/>
    <col min="2590" max="2816" width="9.140625" style="1804"/>
    <col min="2817" max="2818" width="0.140625" style="1804" customWidth="1"/>
    <col min="2819" max="2819" width="52.7109375" style="1804" customWidth="1"/>
    <col min="2820" max="2830" width="12.7109375" style="1804" customWidth="1"/>
    <col min="2831" max="2831" width="6.7109375" style="1804" customWidth="1"/>
    <col min="2832" max="2832" width="14.7109375" style="1804" customWidth="1"/>
    <col min="2833" max="2843" width="12.7109375" style="1804" customWidth="1"/>
    <col min="2844" max="2844" width="6.7109375" style="1804" customWidth="1"/>
    <col min="2845" max="2845" width="14.7109375" style="1804" customWidth="1"/>
    <col min="2846" max="3072" width="9.140625" style="1804"/>
    <col min="3073" max="3074" width="0.140625" style="1804" customWidth="1"/>
    <col min="3075" max="3075" width="52.7109375" style="1804" customWidth="1"/>
    <col min="3076" max="3086" width="12.7109375" style="1804" customWidth="1"/>
    <col min="3087" max="3087" width="6.7109375" style="1804" customWidth="1"/>
    <col min="3088" max="3088" width="14.7109375" style="1804" customWidth="1"/>
    <col min="3089" max="3099" width="12.7109375" style="1804" customWidth="1"/>
    <col min="3100" max="3100" width="6.7109375" style="1804" customWidth="1"/>
    <col min="3101" max="3101" width="14.7109375" style="1804" customWidth="1"/>
    <col min="3102" max="3328" width="9.140625" style="1804"/>
    <col min="3329" max="3330" width="0.140625" style="1804" customWidth="1"/>
    <col min="3331" max="3331" width="52.7109375" style="1804" customWidth="1"/>
    <col min="3332" max="3342" width="12.7109375" style="1804" customWidth="1"/>
    <col min="3343" max="3343" width="6.7109375" style="1804" customWidth="1"/>
    <col min="3344" max="3344" width="14.7109375" style="1804" customWidth="1"/>
    <col min="3345" max="3355" width="12.7109375" style="1804" customWidth="1"/>
    <col min="3356" max="3356" width="6.7109375" style="1804" customWidth="1"/>
    <col min="3357" max="3357" width="14.7109375" style="1804" customWidth="1"/>
    <col min="3358" max="3584" width="9.140625" style="1804"/>
    <col min="3585" max="3586" width="0.140625" style="1804" customWidth="1"/>
    <col min="3587" max="3587" width="52.7109375" style="1804" customWidth="1"/>
    <col min="3588" max="3598" width="12.7109375" style="1804" customWidth="1"/>
    <col min="3599" max="3599" width="6.7109375" style="1804" customWidth="1"/>
    <col min="3600" max="3600" width="14.7109375" style="1804" customWidth="1"/>
    <col min="3601" max="3611" width="12.7109375" style="1804" customWidth="1"/>
    <col min="3612" max="3612" width="6.7109375" style="1804" customWidth="1"/>
    <col min="3613" max="3613" width="14.7109375" style="1804" customWidth="1"/>
    <col min="3614" max="3840" width="9.140625" style="1804"/>
    <col min="3841" max="3842" width="0.140625" style="1804" customWidth="1"/>
    <col min="3843" max="3843" width="52.7109375" style="1804" customWidth="1"/>
    <col min="3844" max="3854" width="12.7109375" style="1804" customWidth="1"/>
    <col min="3855" max="3855" width="6.7109375" style="1804" customWidth="1"/>
    <col min="3856" max="3856" width="14.7109375" style="1804" customWidth="1"/>
    <col min="3857" max="3867" width="12.7109375" style="1804" customWidth="1"/>
    <col min="3868" max="3868" width="6.7109375" style="1804" customWidth="1"/>
    <col min="3869" max="3869" width="14.7109375" style="1804" customWidth="1"/>
    <col min="3870" max="4096" width="9.140625" style="1804"/>
    <col min="4097" max="4098" width="0.140625" style="1804" customWidth="1"/>
    <col min="4099" max="4099" width="52.7109375" style="1804" customWidth="1"/>
    <col min="4100" max="4110" width="12.7109375" style="1804" customWidth="1"/>
    <col min="4111" max="4111" width="6.7109375" style="1804" customWidth="1"/>
    <col min="4112" max="4112" width="14.7109375" style="1804" customWidth="1"/>
    <col min="4113" max="4123" width="12.7109375" style="1804" customWidth="1"/>
    <col min="4124" max="4124" width="6.7109375" style="1804" customWidth="1"/>
    <col min="4125" max="4125" width="14.7109375" style="1804" customWidth="1"/>
    <col min="4126" max="4352" width="9.140625" style="1804"/>
    <col min="4353" max="4354" width="0.140625" style="1804" customWidth="1"/>
    <col min="4355" max="4355" width="52.7109375" style="1804" customWidth="1"/>
    <col min="4356" max="4366" width="12.7109375" style="1804" customWidth="1"/>
    <col min="4367" max="4367" width="6.7109375" style="1804" customWidth="1"/>
    <col min="4368" max="4368" width="14.7109375" style="1804" customWidth="1"/>
    <col min="4369" max="4379" width="12.7109375" style="1804" customWidth="1"/>
    <col min="4380" max="4380" width="6.7109375" style="1804" customWidth="1"/>
    <col min="4381" max="4381" width="14.7109375" style="1804" customWidth="1"/>
    <col min="4382" max="4608" width="9.140625" style="1804"/>
    <col min="4609" max="4610" width="0.140625" style="1804" customWidth="1"/>
    <col min="4611" max="4611" width="52.7109375" style="1804" customWidth="1"/>
    <col min="4612" max="4622" width="12.7109375" style="1804" customWidth="1"/>
    <col min="4623" max="4623" width="6.7109375" style="1804" customWidth="1"/>
    <col min="4624" max="4624" width="14.7109375" style="1804" customWidth="1"/>
    <col min="4625" max="4635" width="12.7109375" style="1804" customWidth="1"/>
    <col min="4636" max="4636" width="6.7109375" style="1804" customWidth="1"/>
    <col min="4637" max="4637" width="14.7109375" style="1804" customWidth="1"/>
    <col min="4638" max="4864" width="9.140625" style="1804"/>
    <col min="4865" max="4866" width="0.140625" style="1804" customWidth="1"/>
    <col min="4867" max="4867" width="52.7109375" style="1804" customWidth="1"/>
    <col min="4868" max="4878" width="12.7109375" style="1804" customWidth="1"/>
    <col min="4879" max="4879" width="6.7109375" style="1804" customWidth="1"/>
    <col min="4880" max="4880" width="14.7109375" style="1804" customWidth="1"/>
    <col min="4881" max="4891" width="12.7109375" style="1804" customWidth="1"/>
    <col min="4892" max="4892" width="6.7109375" style="1804" customWidth="1"/>
    <col min="4893" max="4893" width="14.7109375" style="1804" customWidth="1"/>
    <col min="4894" max="5120" width="9.140625" style="1804"/>
    <col min="5121" max="5122" width="0.140625" style="1804" customWidth="1"/>
    <col min="5123" max="5123" width="52.7109375" style="1804" customWidth="1"/>
    <col min="5124" max="5134" width="12.7109375" style="1804" customWidth="1"/>
    <col min="5135" max="5135" width="6.7109375" style="1804" customWidth="1"/>
    <col min="5136" max="5136" width="14.7109375" style="1804" customWidth="1"/>
    <col min="5137" max="5147" width="12.7109375" style="1804" customWidth="1"/>
    <col min="5148" max="5148" width="6.7109375" style="1804" customWidth="1"/>
    <col min="5149" max="5149" width="14.7109375" style="1804" customWidth="1"/>
    <col min="5150" max="5376" width="9.140625" style="1804"/>
    <col min="5377" max="5378" width="0.140625" style="1804" customWidth="1"/>
    <col min="5379" max="5379" width="52.7109375" style="1804" customWidth="1"/>
    <col min="5380" max="5390" width="12.7109375" style="1804" customWidth="1"/>
    <col min="5391" max="5391" width="6.7109375" style="1804" customWidth="1"/>
    <col min="5392" max="5392" width="14.7109375" style="1804" customWidth="1"/>
    <col min="5393" max="5403" width="12.7109375" style="1804" customWidth="1"/>
    <col min="5404" max="5404" width="6.7109375" style="1804" customWidth="1"/>
    <col min="5405" max="5405" width="14.7109375" style="1804" customWidth="1"/>
    <col min="5406" max="5632" width="9.140625" style="1804"/>
    <col min="5633" max="5634" width="0.140625" style="1804" customWidth="1"/>
    <col min="5635" max="5635" width="52.7109375" style="1804" customWidth="1"/>
    <col min="5636" max="5646" width="12.7109375" style="1804" customWidth="1"/>
    <col min="5647" max="5647" width="6.7109375" style="1804" customWidth="1"/>
    <col min="5648" max="5648" width="14.7109375" style="1804" customWidth="1"/>
    <col min="5649" max="5659" width="12.7109375" style="1804" customWidth="1"/>
    <col min="5660" max="5660" width="6.7109375" style="1804" customWidth="1"/>
    <col min="5661" max="5661" width="14.7109375" style="1804" customWidth="1"/>
    <col min="5662" max="5888" width="9.140625" style="1804"/>
    <col min="5889" max="5890" width="0.140625" style="1804" customWidth="1"/>
    <col min="5891" max="5891" width="52.7109375" style="1804" customWidth="1"/>
    <col min="5892" max="5902" width="12.7109375" style="1804" customWidth="1"/>
    <col min="5903" max="5903" width="6.7109375" style="1804" customWidth="1"/>
    <col min="5904" max="5904" width="14.7109375" style="1804" customWidth="1"/>
    <col min="5905" max="5915" width="12.7109375" style="1804" customWidth="1"/>
    <col min="5916" max="5916" width="6.7109375" style="1804" customWidth="1"/>
    <col min="5917" max="5917" width="14.7109375" style="1804" customWidth="1"/>
    <col min="5918" max="6144" width="9.140625" style="1804"/>
    <col min="6145" max="6146" width="0.140625" style="1804" customWidth="1"/>
    <col min="6147" max="6147" width="52.7109375" style="1804" customWidth="1"/>
    <col min="6148" max="6158" width="12.7109375" style="1804" customWidth="1"/>
    <col min="6159" max="6159" width="6.7109375" style="1804" customWidth="1"/>
    <col min="6160" max="6160" width="14.7109375" style="1804" customWidth="1"/>
    <col min="6161" max="6171" width="12.7109375" style="1804" customWidth="1"/>
    <col min="6172" max="6172" width="6.7109375" style="1804" customWidth="1"/>
    <col min="6173" max="6173" width="14.7109375" style="1804" customWidth="1"/>
    <col min="6174" max="6400" width="9.140625" style="1804"/>
    <col min="6401" max="6402" width="0.140625" style="1804" customWidth="1"/>
    <col min="6403" max="6403" width="52.7109375" style="1804" customWidth="1"/>
    <col min="6404" max="6414" width="12.7109375" style="1804" customWidth="1"/>
    <col min="6415" max="6415" width="6.7109375" style="1804" customWidth="1"/>
    <col min="6416" max="6416" width="14.7109375" style="1804" customWidth="1"/>
    <col min="6417" max="6427" width="12.7109375" style="1804" customWidth="1"/>
    <col min="6428" max="6428" width="6.7109375" style="1804" customWidth="1"/>
    <col min="6429" max="6429" width="14.7109375" style="1804" customWidth="1"/>
    <col min="6430" max="6656" width="9.140625" style="1804"/>
    <col min="6657" max="6658" width="0.140625" style="1804" customWidth="1"/>
    <col min="6659" max="6659" width="52.7109375" style="1804" customWidth="1"/>
    <col min="6660" max="6670" width="12.7109375" style="1804" customWidth="1"/>
    <col min="6671" max="6671" width="6.7109375" style="1804" customWidth="1"/>
    <col min="6672" max="6672" width="14.7109375" style="1804" customWidth="1"/>
    <col min="6673" max="6683" width="12.7109375" style="1804" customWidth="1"/>
    <col min="6684" max="6684" width="6.7109375" style="1804" customWidth="1"/>
    <col min="6685" max="6685" width="14.7109375" style="1804" customWidth="1"/>
    <col min="6686" max="6912" width="9.140625" style="1804"/>
    <col min="6913" max="6914" width="0.140625" style="1804" customWidth="1"/>
    <col min="6915" max="6915" width="52.7109375" style="1804" customWidth="1"/>
    <col min="6916" max="6926" width="12.7109375" style="1804" customWidth="1"/>
    <col min="6927" max="6927" width="6.7109375" style="1804" customWidth="1"/>
    <col min="6928" max="6928" width="14.7109375" style="1804" customWidth="1"/>
    <col min="6929" max="6939" width="12.7109375" style="1804" customWidth="1"/>
    <col min="6940" max="6940" width="6.7109375" style="1804" customWidth="1"/>
    <col min="6941" max="6941" width="14.7109375" style="1804" customWidth="1"/>
    <col min="6942" max="7168" width="9.140625" style="1804"/>
    <col min="7169" max="7170" width="0.140625" style="1804" customWidth="1"/>
    <col min="7171" max="7171" width="52.7109375" style="1804" customWidth="1"/>
    <col min="7172" max="7182" width="12.7109375" style="1804" customWidth="1"/>
    <col min="7183" max="7183" width="6.7109375" style="1804" customWidth="1"/>
    <col min="7184" max="7184" width="14.7109375" style="1804" customWidth="1"/>
    <col min="7185" max="7195" width="12.7109375" style="1804" customWidth="1"/>
    <col min="7196" max="7196" width="6.7109375" style="1804" customWidth="1"/>
    <col min="7197" max="7197" width="14.7109375" style="1804" customWidth="1"/>
    <col min="7198" max="7424" width="9.140625" style="1804"/>
    <col min="7425" max="7426" width="0.140625" style="1804" customWidth="1"/>
    <col min="7427" max="7427" width="52.7109375" style="1804" customWidth="1"/>
    <col min="7428" max="7438" width="12.7109375" style="1804" customWidth="1"/>
    <col min="7439" max="7439" width="6.7109375" style="1804" customWidth="1"/>
    <col min="7440" max="7440" width="14.7109375" style="1804" customWidth="1"/>
    <col min="7441" max="7451" width="12.7109375" style="1804" customWidth="1"/>
    <col min="7452" max="7452" width="6.7109375" style="1804" customWidth="1"/>
    <col min="7453" max="7453" width="14.7109375" style="1804" customWidth="1"/>
    <col min="7454" max="7680" width="9.140625" style="1804"/>
    <col min="7681" max="7682" width="0.140625" style="1804" customWidth="1"/>
    <col min="7683" max="7683" width="52.7109375" style="1804" customWidth="1"/>
    <col min="7684" max="7694" width="12.7109375" style="1804" customWidth="1"/>
    <col min="7695" max="7695" width="6.7109375" style="1804" customWidth="1"/>
    <col min="7696" max="7696" width="14.7109375" style="1804" customWidth="1"/>
    <col min="7697" max="7707" width="12.7109375" style="1804" customWidth="1"/>
    <col min="7708" max="7708" width="6.7109375" style="1804" customWidth="1"/>
    <col min="7709" max="7709" width="14.7109375" style="1804" customWidth="1"/>
    <col min="7710" max="7936" width="9.140625" style="1804"/>
    <col min="7937" max="7938" width="0.140625" style="1804" customWidth="1"/>
    <col min="7939" max="7939" width="52.7109375" style="1804" customWidth="1"/>
    <col min="7940" max="7950" width="12.7109375" style="1804" customWidth="1"/>
    <col min="7951" max="7951" width="6.7109375" style="1804" customWidth="1"/>
    <col min="7952" max="7952" width="14.7109375" style="1804" customWidth="1"/>
    <col min="7953" max="7963" width="12.7109375" style="1804" customWidth="1"/>
    <col min="7964" max="7964" width="6.7109375" style="1804" customWidth="1"/>
    <col min="7965" max="7965" width="14.7109375" style="1804" customWidth="1"/>
    <col min="7966" max="8192" width="9.140625" style="1804"/>
    <col min="8193" max="8194" width="0.140625" style="1804" customWidth="1"/>
    <col min="8195" max="8195" width="52.7109375" style="1804" customWidth="1"/>
    <col min="8196" max="8206" width="12.7109375" style="1804" customWidth="1"/>
    <col min="8207" max="8207" width="6.7109375" style="1804" customWidth="1"/>
    <col min="8208" max="8208" width="14.7109375" style="1804" customWidth="1"/>
    <col min="8209" max="8219" width="12.7109375" style="1804" customWidth="1"/>
    <col min="8220" max="8220" width="6.7109375" style="1804" customWidth="1"/>
    <col min="8221" max="8221" width="14.7109375" style="1804" customWidth="1"/>
    <col min="8222" max="8448" width="9.140625" style="1804"/>
    <col min="8449" max="8450" width="0.140625" style="1804" customWidth="1"/>
    <col min="8451" max="8451" width="52.7109375" style="1804" customWidth="1"/>
    <col min="8452" max="8462" width="12.7109375" style="1804" customWidth="1"/>
    <col min="8463" max="8463" width="6.7109375" style="1804" customWidth="1"/>
    <col min="8464" max="8464" width="14.7109375" style="1804" customWidth="1"/>
    <col min="8465" max="8475" width="12.7109375" style="1804" customWidth="1"/>
    <col min="8476" max="8476" width="6.7109375" style="1804" customWidth="1"/>
    <col min="8477" max="8477" width="14.7109375" style="1804" customWidth="1"/>
    <col min="8478" max="8704" width="9.140625" style="1804"/>
    <col min="8705" max="8706" width="0.140625" style="1804" customWidth="1"/>
    <col min="8707" max="8707" width="52.7109375" style="1804" customWidth="1"/>
    <col min="8708" max="8718" width="12.7109375" style="1804" customWidth="1"/>
    <col min="8719" max="8719" width="6.7109375" style="1804" customWidth="1"/>
    <col min="8720" max="8720" width="14.7109375" style="1804" customWidth="1"/>
    <col min="8721" max="8731" width="12.7109375" style="1804" customWidth="1"/>
    <col min="8732" max="8732" width="6.7109375" style="1804" customWidth="1"/>
    <col min="8733" max="8733" width="14.7109375" style="1804" customWidth="1"/>
    <col min="8734" max="8960" width="9.140625" style="1804"/>
    <col min="8961" max="8962" width="0.140625" style="1804" customWidth="1"/>
    <col min="8963" max="8963" width="52.7109375" style="1804" customWidth="1"/>
    <col min="8964" max="8974" width="12.7109375" style="1804" customWidth="1"/>
    <col min="8975" max="8975" width="6.7109375" style="1804" customWidth="1"/>
    <col min="8976" max="8976" width="14.7109375" style="1804" customWidth="1"/>
    <col min="8977" max="8987" width="12.7109375" style="1804" customWidth="1"/>
    <col min="8988" max="8988" width="6.7109375" style="1804" customWidth="1"/>
    <col min="8989" max="8989" width="14.7109375" style="1804" customWidth="1"/>
    <col min="8990" max="9216" width="9.140625" style="1804"/>
    <col min="9217" max="9218" width="0.140625" style="1804" customWidth="1"/>
    <col min="9219" max="9219" width="52.7109375" style="1804" customWidth="1"/>
    <col min="9220" max="9230" width="12.7109375" style="1804" customWidth="1"/>
    <col min="9231" max="9231" width="6.7109375" style="1804" customWidth="1"/>
    <col min="9232" max="9232" width="14.7109375" style="1804" customWidth="1"/>
    <col min="9233" max="9243" width="12.7109375" style="1804" customWidth="1"/>
    <col min="9244" max="9244" width="6.7109375" style="1804" customWidth="1"/>
    <col min="9245" max="9245" width="14.7109375" style="1804" customWidth="1"/>
    <col min="9246" max="9472" width="9.140625" style="1804"/>
    <col min="9473" max="9474" width="0.140625" style="1804" customWidth="1"/>
    <col min="9475" max="9475" width="52.7109375" style="1804" customWidth="1"/>
    <col min="9476" max="9486" width="12.7109375" style="1804" customWidth="1"/>
    <col min="9487" max="9487" width="6.7109375" style="1804" customWidth="1"/>
    <col min="9488" max="9488" width="14.7109375" style="1804" customWidth="1"/>
    <col min="9489" max="9499" width="12.7109375" style="1804" customWidth="1"/>
    <col min="9500" max="9500" width="6.7109375" style="1804" customWidth="1"/>
    <col min="9501" max="9501" width="14.7109375" style="1804" customWidth="1"/>
    <col min="9502" max="9728" width="9.140625" style="1804"/>
    <col min="9729" max="9730" width="0.140625" style="1804" customWidth="1"/>
    <col min="9731" max="9731" width="52.7109375" style="1804" customWidth="1"/>
    <col min="9732" max="9742" width="12.7109375" style="1804" customWidth="1"/>
    <col min="9743" max="9743" width="6.7109375" style="1804" customWidth="1"/>
    <col min="9744" max="9744" width="14.7109375" style="1804" customWidth="1"/>
    <col min="9745" max="9755" width="12.7109375" style="1804" customWidth="1"/>
    <col min="9756" max="9756" width="6.7109375" style="1804" customWidth="1"/>
    <col min="9757" max="9757" width="14.7109375" style="1804" customWidth="1"/>
    <col min="9758" max="9984" width="9.140625" style="1804"/>
    <col min="9985" max="9986" width="0.140625" style="1804" customWidth="1"/>
    <col min="9987" max="9987" width="52.7109375" style="1804" customWidth="1"/>
    <col min="9988" max="9998" width="12.7109375" style="1804" customWidth="1"/>
    <col min="9999" max="9999" width="6.7109375" style="1804" customWidth="1"/>
    <col min="10000" max="10000" width="14.7109375" style="1804" customWidth="1"/>
    <col min="10001" max="10011" width="12.7109375" style="1804" customWidth="1"/>
    <col min="10012" max="10012" width="6.7109375" style="1804" customWidth="1"/>
    <col min="10013" max="10013" width="14.7109375" style="1804" customWidth="1"/>
    <col min="10014" max="10240" width="9.140625" style="1804"/>
    <col min="10241" max="10242" width="0.140625" style="1804" customWidth="1"/>
    <col min="10243" max="10243" width="52.7109375" style="1804" customWidth="1"/>
    <col min="10244" max="10254" width="12.7109375" style="1804" customWidth="1"/>
    <col min="10255" max="10255" width="6.7109375" style="1804" customWidth="1"/>
    <col min="10256" max="10256" width="14.7109375" style="1804" customWidth="1"/>
    <col min="10257" max="10267" width="12.7109375" style="1804" customWidth="1"/>
    <col min="10268" max="10268" width="6.7109375" style="1804" customWidth="1"/>
    <col min="10269" max="10269" width="14.7109375" style="1804" customWidth="1"/>
    <col min="10270" max="10496" width="9.140625" style="1804"/>
    <col min="10497" max="10498" width="0.140625" style="1804" customWidth="1"/>
    <col min="10499" max="10499" width="52.7109375" style="1804" customWidth="1"/>
    <col min="10500" max="10510" width="12.7109375" style="1804" customWidth="1"/>
    <col min="10511" max="10511" width="6.7109375" style="1804" customWidth="1"/>
    <col min="10512" max="10512" width="14.7109375" style="1804" customWidth="1"/>
    <col min="10513" max="10523" width="12.7109375" style="1804" customWidth="1"/>
    <col min="10524" max="10524" width="6.7109375" style="1804" customWidth="1"/>
    <col min="10525" max="10525" width="14.7109375" style="1804" customWidth="1"/>
    <col min="10526" max="10752" width="9.140625" style="1804"/>
    <col min="10753" max="10754" width="0.140625" style="1804" customWidth="1"/>
    <col min="10755" max="10755" width="52.7109375" style="1804" customWidth="1"/>
    <col min="10756" max="10766" width="12.7109375" style="1804" customWidth="1"/>
    <col min="10767" max="10767" width="6.7109375" style="1804" customWidth="1"/>
    <col min="10768" max="10768" width="14.7109375" style="1804" customWidth="1"/>
    <col min="10769" max="10779" width="12.7109375" style="1804" customWidth="1"/>
    <col min="10780" max="10780" width="6.7109375" style="1804" customWidth="1"/>
    <col min="10781" max="10781" width="14.7109375" style="1804" customWidth="1"/>
    <col min="10782" max="11008" width="9.140625" style="1804"/>
    <col min="11009" max="11010" width="0.140625" style="1804" customWidth="1"/>
    <col min="11011" max="11011" width="52.7109375" style="1804" customWidth="1"/>
    <col min="11012" max="11022" width="12.7109375" style="1804" customWidth="1"/>
    <col min="11023" max="11023" width="6.7109375" style="1804" customWidth="1"/>
    <col min="11024" max="11024" width="14.7109375" style="1804" customWidth="1"/>
    <col min="11025" max="11035" width="12.7109375" style="1804" customWidth="1"/>
    <col min="11036" max="11036" width="6.7109375" style="1804" customWidth="1"/>
    <col min="11037" max="11037" width="14.7109375" style="1804" customWidth="1"/>
    <col min="11038" max="11264" width="9.140625" style="1804"/>
    <col min="11265" max="11266" width="0.140625" style="1804" customWidth="1"/>
    <col min="11267" max="11267" width="52.7109375" style="1804" customWidth="1"/>
    <col min="11268" max="11278" width="12.7109375" style="1804" customWidth="1"/>
    <col min="11279" max="11279" width="6.7109375" style="1804" customWidth="1"/>
    <col min="11280" max="11280" width="14.7109375" style="1804" customWidth="1"/>
    <col min="11281" max="11291" width="12.7109375" style="1804" customWidth="1"/>
    <col min="11292" max="11292" width="6.7109375" style="1804" customWidth="1"/>
    <col min="11293" max="11293" width="14.7109375" style="1804" customWidth="1"/>
    <col min="11294" max="11520" width="9.140625" style="1804"/>
    <col min="11521" max="11522" width="0.140625" style="1804" customWidth="1"/>
    <col min="11523" max="11523" width="52.7109375" style="1804" customWidth="1"/>
    <col min="11524" max="11534" width="12.7109375" style="1804" customWidth="1"/>
    <col min="11535" max="11535" width="6.7109375" style="1804" customWidth="1"/>
    <col min="11536" max="11536" width="14.7109375" style="1804" customWidth="1"/>
    <col min="11537" max="11547" width="12.7109375" style="1804" customWidth="1"/>
    <col min="11548" max="11548" width="6.7109375" style="1804" customWidth="1"/>
    <col min="11549" max="11549" width="14.7109375" style="1804" customWidth="1"/>
    <col min="11550" max="11776" width="9.140625" style="1804"/>
    <col min="11777" max="11778" width="0.140625" style="1804" customWidth="1"/>
    <col min="11779" max="11779" width="52.7109375" style="1804" customWidth="1"/>
    <col min="11780" max="11790" width="12.7109375" style="1804" customWidth="1"/>
    <col min="11791" max="11791" width="6.7109375" style="1804" customWidth="1"/>
    <col min="11792" max="11792" width="14.7109375" style="1804" customWidth="1"/>
    <col min="11793" max="11803" width="12.7109375" style="1804" customWidth="1"/>
    <col min="11804" max="11804" width="6.7109375" style="1804" customWidth="1"/>
    <col min="11805" max="11805" width="14.7109375" style="1804" customWidth="1"/>
    <col min="11806" max="12032" width="9.140625" style="1804"/>
    <col min="12033" max="12034" width="0.140625" style="1804" customWidth="1"/>
    <col min="12035" max="12035" width="52.7109375" style="1804" customWidth="1"/>
    <col min="12036" max="12046" width="12.7109375" style="1804" customWidth="1"/>
    <col min="12047" max="12047" width="6.7109375" style="1804" customWidth="1"/>
    <col min="12048" max="12048" width="14.7109375" style="1804" customWidth="1"/>
    <col min="12049" max="12059" width="12.7109375" style="1804" customWidth="1"/>
    <col min="12060" max="12060" width="6.7109375" style="1804" customWidth="1"/>
    <col min="12061" max="12061" width="14.7109375" style="1804" customWidth="1"/>
    <col min="12062" max="12288" width="9.140625" style="1804"/>
    <col min="12289" max="12290" width="0.140625" style="1804" customWidth="1"/>
    <col min="12291" max="12291" width="52.7109375" style="1804" customWidth="1"/>
    <col min="12292" max="12302" width="12.7109375" style="1804" customWidth="1"/>
    <col min="12303" max="12303" width="6.7109375" style="1804" customWidth="1"/>
    <col min="12304" max="12304" width="14.7109375" style="1804" customWidth="1"/>
    <col min="12305" max="12315" width="12.7109375" style="1804" customWidth="1"/>
    <col min="12316" max="12316" width="6.7109375" style="1804" customWidth="1"/>
    <col min="12317" max="12317" width="14.7109375" style="1804" customWidth="1"/>
    <col min="12318" max="12544" width="9.140625" style="1804"/>
    <col min="12545" max="12546" width="0.140625" style="1804" customWidth="1"/>
    <col min="12547" max="12547" width="52.7109375" style="1804" customWidth="1"/>
    <col min="12548" max="12558" width="12.7109375" style="1804" customWidth="1"/>
    <col min="12559" max="12559" width="6.7109375" style="1804" customWidth="1"/>
    <col min="12560" max="12560" width="14.7109375" style="1804" customWidth="1"/>
    <col min="12561" max="12571" width="12.7109375" style="1804" customWidth="1"/>
    <col min="12572" max="12572" width="6.7109375" style="1804" customWidth="1"/>
    <col min="12573" max="12573" width="14.7109375" style="1804" customWidth="1"/>
    <col min="12574" max="12800" width="9.140625" style="1804"/>
    <col min="12801" max="12802" width="0.140625" style="1804" customWidth="1"/>
    <col min="12803" max="12803" width="52.7109375" style="1804" customWidth="1"/>
    <col min="12804" max="12814" width="12.7109375" style="1804" customWidth="1"/>
    <col min="12815" max="12815" width="6.7109375" style="1804" customWidth="1"/>
    <col min="12816" max="12816" width="14.7109375" style="1804" customWidth="1"/>
    <col min="12817" max="12827" width="12.7109375" style="1804" customWidth="1"/>
    <col min="12828" max="12828" width="6.7109375" style="1804" customWidth="1"/>
    <col min="12829" max="12829" width="14.7109375" style="1804" customWidth="1"/>
    <col min="12830" max="13056" width="9.140625" style="1804"/>
    <col min="13057" max="13058" width="0.140625" style="1804" customWidth="1"/>
    <col min="13059" max="13059" width="52.7109375" style="1804" customWidth="1"/>
    <col min="13060" max="13070" width="12.7109375" style="1804" customWidth="1"/>
    <col min="13071" max="13071" width="6.7109375" style="1804" customWidth="1"/>
    <col min="13072" max="13072" width="14.7109375" style="1804" customWidth="1"/>
    <col min="13073" max="13083" width="12.7109375" style="1804" customWidth="1"/>
    <col min="13084" max="13084" width="6.7109375" style="1804" customWidth="1"/>
    <col min="13085" max="13085" width="14.7109375" style="1804" customWidth="1"/>
    <col min="13086" max="13312" width="9.140625" style="1804"/>
    <col min="13313" max="13314" width="0.140625" style="1804" customWidth="1"/>
    <col min="13315" max="13315" width="52.7109375" style="1804" customWidth="1"/>
    <col min="13316" max="13326" width="12.7109375" style="1804" customWidth="1"/>
    <col min="13327" max="13327" width="6.7109375" style="1804" customWidth="1"/>
    <col min="13328" max="13328" width="14.7109375" style="1804" customWidth="1"/>
    <col min="13329" max="13339" width="12.7109375" style="1804" customWidth="1"/>
    <col min="13340" max="13340" width="6.7109375" style="1804" customWidth="1"/>
    <col min="13341" max="13341" width="14.7109375" style="1804" customWidth="1"/>
    <col min="13342" max="13568" width="9.140625" style="1804"/>
    <col min="13569" max="13570" width="0.140625" style="1804" customWidth="1"/>
    <col min="13571" max="13571" width="52.7109375" style="1804" customWidth="1"/>
    <col min="13572" max="13582" width="12.7109375" style="1804" customWidth="1"/>
    <col min="13583" max="13583" width="6.7109375" style="1804" customWidth="1"/>
    <col min="13584" max="13584" width="14.7109375" style="1804" customWidth="1"/>
    <col min="13585" max="13595" width="12.7109375" style="1804" customWidth="1"/>
    <col min="13596" max="13596" width="6.7109375" style="1804" customWidth="1"/>
    <col min="13597" max="13597" width="14.7109375" style="1804" customWidth="1"/>
    <col min="13598" max="13824" width="9.140625" style="1804"/>
    <col min="13825" max="13826" width="0.140625" style="1804" customWidth="1"/>
    <col min="13827" max="13827" width="52.7109375" style="1804" customWidth="1"/>
    <col min="13828" max="13838" width="12.7109375" style="1804" customWidth="1"/>
    <col min="13839" max="13839" width="6.7109375" style="1804" customWidth="1"/>
    <col min="13840" max="13840" width="14.7109375" style="1804" customWidth="1"/>
    <col min="13841" max="13851" width="12.7109375" style="1804" customWidth="1"/>
    <col min="13852" max="13852" width="6.7109375" style="1804" customWidth="1"/>
    <col min="13853" max="13853" width="14.7109375" style="1804" customWidth="1"/>
    <col min="13854" max="14080" width="9.140625" style="1804"/>
    <col min="14081" max="14082" width="0.140625" style="1804" customWidth="1"/>
    <col min="14083" max="14083" width="52.7109375" style="1804" customWidth="1"/>
    <col min="14084" max="14094" width="12.7109375" style="1804" customWidth="1"/>
    <col min="14095" max="14095" width="6.7109375" style="1804" customWidth="1"/>
    <col min="14096" max="14096" width="14.7109375" style="1804" customWidth="1"/>
    <col min="14097" max="14107" width="12.7109375" style="1804" customWidth="1"/>
    <col min="14108" max="14108" width="6.7109375" style="1804" customWidth="1"/>
    <col min="14109" max="14109" width="14.7109375" style="1804" customWidth="1"/>
    <col min="14110" max="14336" width="9.140625" style="1804"/>
    <col min="14337" max="14338" width="0.140625" style="1804" customWidth="1"/>
    <col min="14339" max="14339" width="52.7109375" style="1804" customWidth="1"/>
    <col min="14340" max="14350" width="12.7109375" style="1804" customWidth="1"/>
    <col min="14351" max="14351" width="6.7109375" style="1804" customWidth="1"/>
    <col min="14352" max="14352" width="14.7109375" style="1804" customWidth="1"/>
    <col min="14353" max="14363" width="12.7109375" style="1804" customWidth="1"/>
    <col min="14364" max="14364" width="6.7109375" style="1804" customWidth="1"/>
    <col min="14365" max="14365" width="14.7109375" style="1804" customWidth="1"/>
    <col min="14366" max="14592" width="9.140625" style="1804"/>
    <col min="14593" max="14594" width="0.140625" style="1804" customWidth="1"/>
    <col min="14595" max="14595" width="52.7109375" style="1804" customWidth="1"/>
    <col min="14596" max="14606" width="12.7109375" style="1804" customWidth="1"/>
    <col min="14607" max="14607" width="6.7109375" style="1804" customWidth="1"/>
    <col min="14608" max="14608" width="14.7109375" style="1804" customWidth="1"/>
    <col min="14609" max="14619" width="12.7109375" style="1804" customWidth="1"/>
    <col min="14620" max="14620" width="6.7109375" style="1804" customWidth="1"/>
    <col min="14621" max="14621" width="14.7109375" style="1804" customWidth="1"/>
    <col min="14622" max="14848" width="9.140625" style="1804"/>
    <col min="14849" max="14850" width="0.140625" style="1804" customWidth="1"/>
    <col min="14851" max="14851" width="52.7109375" style="1804" customWidth="1"/>
    <col min="14852" max="14862" width="12.7109375" style="1804" customWidth="1"/>
    <col min="14863" max="14863" width="6.7109375" style="1804" customWidth="1"/>
    <col min="14864" max="14864" width="14.7109375" style="1804" customWidth="1"/>
    <col min="14865" max="14875" width="12.7109375" style="1804" customWidth="1"/>
    <col min="14876" max="14876" width="6.7109375" style="1804" customWidth="1"/>
    <col min="14877" max="14877" width="14.7109375" style="1804" customWidth="1"/>
    <col min="14878" max="15104" width="9.140625" style="1804"/>
    <col min="15105" max="15106" width="0.140625" style="1804" customWidth="1"/>
    <col min="15107" max="15107" width="52.7109375" style="1804" customWidth="1"/>
    <col min="15108" max="15118" width="12.7109375" style="1804" customWidth="1"/>
    <col min="15119" max="15119" width="6.7109375" style="1804" customWidth="1"/>
    <col min="15120" max="15120" width="14.7109375" style="1804" customWidth="1"/>
    <col min="15121" max="15131" width="12.7109375" style="1804" customWidth="1"/>
    <col min="15132" max="15132" width="6.7109375" style="1804" customWidth="1"/>
    <col min="15133" max="15133" width="14.7109375" style="1804" customWidth="1"/>
    <col min="15134" max="15360" width="9.140625" style="1804"/>
    <col min="15361" max="15362" width="0.140625" style="1804" customWidth="1"/>
    <col min="15363" max="15363" width="52.7109375" style="1804" customWidth="1"/>
    <col min="15364" max="15374" width="12.7109375" style="1804" customWidth="1"/>
    <col min="15375" max="15375" width="6.7109375" style="1804" customWidth="1"/>
    <col min="15376" max="15376" width="14.7109375" style="1804" customWidth="1"/>
    <col min="15377" max="15387" width="12.7109375" style="1804" customWidth="1"/>
    <col min="15388" max="15388" width="6.7109375" style="1804" customWidth="1"/>
    <col min="15389" max="15389" width="14.7109375" style="1804" customWidth="1"/>
    <col min="15390" max="15616" width="9.140625" style="1804"/>
    <col min="15617" max="15618" width="0.140625" style="1804" customWidth="1"/>
    <col min="15619" max="15619" width="52.7109375" style="1804" customWidth="1"/>
    <col min="15620" max="15630" width="12.7109375" style="1804" customWidth="1"/>
    <col min="15631" max="15631" width="6.7109375" style="1804" customWidth="1"/>
    <col min="15632" max="15632" width="14.7109375" style="1804" customWidth="1"/>
    <col min="15633" max="15643" width="12.7109375" style="1804" customWidth="1"/>
    <col min="15644" max="15644" width="6.7109375" style="1804" customWidth="1"/>
    <col min="15645" max="15645" width="14.7109375" style="1804" customWidth="1"/>
    <col min="15646" max="15872" width="9.140625" style="1804"/>
    <col min="15873" max="15874" width="0.140625" style="1804" customWidth="1"/>
    <col min="15875" max="15875" width="52.7109375" style="1804" customWidth="1"/>
    <col min="15876" max="15886" width="12.7109375" style="1804" customWidth="1"/>
    <col min="15887" max="15887" width="6.7109375" style="1804" customWidth="1"/>
    <col min="15888" max="15888" width="14.7109375" style="1804" customWidth="1"/>
    <col min="15889" max="15899" width="12.7109375" style="1804" customWidth="1"/>
    <col min="15900" max="15900" width="6.7109375" style="1804" customWidth="1"/>
    <col min="15901" max="15901" width="14.7109375" style="1804" customWidth="1"/>
    <col min="15902" max="16128" width="9.140625" style="1804"/>
    <col min="16129" max="16130" width="0.140625" style="1804" customWidth="1"/>
    <col min="16131" max="16131" width="52.7109375" style="1804" customWidth="1"/>
    <col min="16132" max="16142" width="12.7109375" style="1804" customWidth="1"/>
    <col min="16143" max="16143" width="6.7109375" style="1804" customWidth="1"/>
    <col min="16144" max="16144" width="14.7109375" style="1804" customWidth="1"/>
    <col min="16145" max="16155" width="12.7109375" style="1804" customWidth="1"/>
    <col min="16156" max="16156" width="6.7109375" style="1804" customWidth="1"/>
    <col min="16157" max="16157" width="14.7109375" style="1804" customWidth="1"/>
    <col min="16158" max="16384" width="9.140625" style="1804"/>
  </cols>
  <sheetData>
    <row r="1" spans="1:33" s="1799" customFormat="1" ht="0.75" customHeight="1">
      <c r="A1" s="1796"/>
      <c r="B1" s="1796"/>
      <c r="C1" s="1796"/>
      <c r="D1" s="1796"/>
      <c r="E1" s="1796"/>
      <c r="F1" s="1796"/>
      <c r="G1" s="1796"/>
      <c r="H1" s="1796"/>
      <c r="I1" s="1796"/>
      <c r="J1" s="1796"/>
      <c r="K1" s="1796"/>
      <c r="L1" s="1796"/>
      <c r="M1" s="1796"/>
      <c r="N1" s="1797"/>
      <c r="O1" s="1796"/>
      <c r="P1" s="1796"/>
      <c r="Q1" s="1796"/>
      <c r="R1" s="1796"/>
      <c r="S1" s="1796"/>
      <c r="T1" s="1796"/>
      <c r="U1" s="1796"/>
      <c r="V1" s="1796"/>
      <c r="W1" s="1796"/>
      <c r="X1" s="1796"/>
      <c r="Y1" s="1796"/>
      <c r="Z1" s="1796"/>
      <c r="AA1" s="1796"/>
      <c r="AB1" s="1796"/>
      <c r="AC1" s="1796"/>
      <c r="AD1" s="1798"/>
      <c r="AE1" s="1798"/>
      <c r="AF1" s="1798"/>
      <c r="AG1" s="1798"/>
    </row>
    <row r="2" spans="1:33" s="1799" customFormat="1" ht="0.75" customHeight="1">
      <c r="A2" s="1796"/>
      <c r="B2" s="1796"/>
      <c r="C2" s="1796"/>
      <c r="D2" s="1800" t="s">
        <v>5783</v>
      </c>
      <c r="E2" s="1800" t="s">
        <v>2593</v>
      </c>
      <c r="F2" s="1800" t="s">
        <v>2594</v>
      </c>
      <c r="G2" s="1800" t="s">
        <v>2595</v>
      </c>
      <c r="H2" s="1800" t="s">
        <v>5784</v>
      </c>
      <c r="I2" s="1800" t="s">
        <v>5785</v>
      </c>
      <c r="J2" s="1800" t="s">
        <v>2598</v>
      </c>
      <c r="K2" s="1800" t="s">
        <v>5786</v>
      </c>
      <c r="L2" s="1800" t="s">
        <v>5787</v>
      </c>
      <c r="M2" s="1800" t="s">
        <v>5788</v>
      </c>
      <c r="N2" s="1800" t="s">
        <v>5789</v>
      </c>
      <c r="O2" s="1800" t="s">
        <v>5790</v>
      </c>
      <c r="P2" s="1800" t="s">
        <v>5791</v>
      </c>
      <c r="Q2" s="1801">
        <v>81</v>
      </c>
      <c r="R2" s="1801" t="s">
        <v>2593</v>
      </c>
      <c r="S2" s="1801" t="s">
        <v>2594</v>
      </c>
      <c r="T2" s="1801" t="s">
        <v>2595</v>
      </c>
      <c r="U2" s="1801">
        <v>82</v>
      </c>
      <c r="V2" s="1801">
        <v>83</v>
      </c>
      <c r="W2" s="1801" t="s">
        <v>2598</v>
      </c>
      <c r="X2" s="1801">
        <v>84</v>
      </c>
      <c r="Y2" s="1801">
        <v>85</v>
      </c>
      <c r="Z2" s="1801">
        <v>86</v>
      </c>
      <c r="AA2" s="1801">
        <v>87</v>
      </c>
      <c r="AB2" s="1801">
        <v>88</v>
      </c>
      <c r="AC2" s="1801">
        <v>80</v>
      </c>
      <c r="AD2" s="1802"/>
      <c r="AE2" s="1798"/>
      <c r="AF2" s="1798"/>
      <c r="AG2" s="1798"/>
    </row>
    <row r="3" spans="1:33" ht="27">
      <c r="A3" s="1796"/>
      <c r="B3" s="2834" t="s">
        <v>5792</v>
      </c>
      <c r="C3" s="2085"/>
      <c r="D3" s="2085"/>
      <c r="E3" s="2085"/>
      <c r="F3" s="2085"/>
      <c r="G3" s="2085"/>
      <c r="H3" s="2085" t="s">
        <v>974</v>
      </c>
      <c r="I3" s="2085"/>
      <c r="J3" s="2085"/>
      <c r="K3" s="2085"/>
      <c r="L3" s="2085"/>
      <c r="M3" s="2085"/>
      <c r="N3" s="2085"/>
      <c r="O3" s="2085"/>
      <c r="P3" s="2085"/>
      <c r="Q3" s="2086"/>
      <c r="R3" s="2085"/>
      <c r="S3" s="2085"/>
      <c r="T3" s="2086" t="s">
        <v>5852</v>
      </c>
      <c r="V3" s="2085"/>
      <c r="W3" s="2085"/>
      <c r="X3" s="2085"/>
      <c r="Y3" s="2085"/>
      <c r="Z3" s="2085"/>
      <c r="AA3" s="2085"/>
      <c r="AB3" s="2085"/>
      <c r="AC3" s="2085"/>
      <c r="AD3" s="1803"/>
      <c r="AE3" s="1803"/>
      <c r="AF3" s="1803"/>
      <c r="AG3" s="1803"/>
    </row>
    <row r="4" spans="1:33" ht="18.75" customHeight="1">
      <c r="A4" s="1796"/>
      <c r="B4" s="1796"/>
      <c r="C4" s="2087"/>
      <c r="D4" s="2087"/>
      <c r="E4" s="2087"/>
      <c r="F4" s="2087"/>
      <c r="G4" s="2087"/>
      <c r="H4" s="1805" t="str">
        <f>Lead!$F$7</f>
        <v>2019年度</v>
      </c>
      <c r="I4" s="2087"/>
      <c r="J4" s="2087"/>
      <c r="K4" s="2087"/>
      <c r="L4" s="2087"/>
      <c r="M4" s="2087"/>
      <c r="N4" s="2087"/>
      <c r="O4" s="2087"/>
      <c r="P4" s="2088"/>
      <c r="Q4" s="2087"/>
      <c r="R4" s="2087"/>
      <c r="S4" s="2087"/>
      <c r="T4" s="2087"/>
      <c r="U4" s="2117" t="str">
        <f>Lead!$F$7</f>
        <v>2019年度</v>
      </c>
      <c r="W4" s="2089"/>
      <c r="X4" s="2087"/>
      <c r="Y4" s="2087"/>
      <c r="Z4" s="2087"/>
      <c r="AA4" s="2087"/>
      <c r="AB4" s="2087"/>
      <c r="AC4" s="2088"/>
      <c r="AD4" s="1803"/>
      <c r="AE4" s="1803"/>
      <c r="AF4" s="1803"/>
      <c r="AG4" s="1803"/>
    </row>
    <row r="5" spans="1:33" s="848" customFormat="1" ht="18.75" customHeight="1" thickBot="1">
      <c r="A5" s="2835"/>
      <c r="B5" s="2835"/>
      <c r="C5" s="2090" t="str">
        <f>Lead!$B$5&amp;"："&amp;Lead!$C$5</f>
        <v>编制单位：福建省力菲克药业有限公司</v>
      </c>
      <c r="D5" s="2091"/>
      <c r="E5" s="2092"/>
      <c r="F5" s="2092"/>
      <c r="G5" s="2092"/>
      <c r="H5" s="2092"/>
      <c r="I5" s="2092"/>
      <c r="J5" s="2092"/>
      <c r="K5" s="2092"/>
      <c r="L5" s="2092"/>
      <c r="M5" s="2093" t="s">
        <v>5793</v>
      </c>
      <c r="N5" s="2092"/>
      <c r="O5" s="2092"/>
      <c r="P5" s="2092"/>
      <c r="Q5" s="2091"/>
      <c r="R5" s="2092"/>
      <c r="S5" s="2092"/>
      <c r="T5" s="2092"/>
      <c r="U5" s="2092"/>
      <c r="V5" s="2092"/>
      <c r="W5" s="2092"/>
      <c r="X5" s="2092"/>
      <c r="Y5" s="2092"/>
      <c r="Z5" s="2093" t="s">
        <v>5793</v>
      </c>
      <c r="AA5" s="2092"/>
      <c r="AB5" s="2092"/>
      <c r="AC5" s="2092"/>
      <c r="AD5" s="849"/>
      <c r="AE5" s="849"/>
      <c r="AF5" s="849"/>
      <c r="AG5" s="849"/>
    </row>
    <row r="6" spans="1:33" ht="18.75" customHeight="1">
      <c r="A6" s="1796"/>
      <c r="B6" s="1796"/>
      <c r="C6" s="2898"/>
      <c r="D6" s="3591" t="str">
        <f>Lead!$F$7</f>
        <v>2019年度</v>
      </c>
      <c r="E6" s="3591"/>
      <c r="F6" s="3591"/>
      <c r="G6" s="3591"/>
      <c r="H6" s="3591"/>
      <c r="I6" s="3591"/>
      <c r="J6" s="3591"/>
      <c r="K6" s="3591"/>
      <c r="L6" s="3591"/>
      <c r="M6" s="3591"/>
      <c r="N6" s="3591"/>
      <c r="O6" s="3591"/>
      <c r="P6" s="3592"/>
      <c r="Q6" s="3593" t="str">
        <f>Lead!$F$8</f>
        <v>2018年度</v>
      </c>
      <c r="R6" s="3591"/>
      <c r="S6" s="3591"/>
      <c r="T6" s="3591"/>
      <c r="U6" s="3591"/>
      <c r="V6" s="3591"/>
      <c r="W6" s="3591"/>
      <c r="X6" s="3591"/>
      <c r="Y6" s="3591"/>
      <c r="Z6" s="3591"/>
      <c r="AA6" s="3591"/>
      <c r="AB6" s="3591"/>
      <c r="AC6" s="3592"/>
      <c r="AD6" s="1803"/>
      <c r="AE6" s="1803"/>
      <c r="AF6" s="1803"/>
      <c r="AG6" s="1803"/>
    </row>
    <row r="7" spans="1:33" ht="18" customHeight="1">
      <c r="A7" s="1796" t="s">
        <v>2556</v>
      </c>
      <c r="B7" s="1796" t="s">
        <v>2558</v>
      </c>
      <c r="C7" s="2899" t="s">
        <v>5134</v>
      </c>
      <c r="D7" s="3594" t="s">
        <v>5851</v>
      </c>
      <c r="E7" s="3595" t="s">
        <v>5795</v>
      </c>
      <c r="F7" s="3595"/>
      <c r="G7" s="3595"/>
      <c r="H7" s="3590" t="s">
        <v>592</v>
      </c>
      <c r="I7" s="3590" t="s">
        <v>682</v>
      </c>
      <c r="J7" s="3590" t="s">
        <v>5796</v>
      </c>
      <c r="K7" s="3590" t="s">
        <v>627</v>
      </c>
      <c r="L7" s="3590" t="s">
        <v>602</v>
      </c>
      <c r="M7" s="3590" t="s">
        <v>2613</v>
      </c>
      <c r="N7" s="3590" t="s">
        <v>611</v>
      </c>
      <c r="O7" s="3590" t="s">
        <v>932</v>
      </c>
      <c r="P7" s="3596" t="s">
        <v>5876</v>
      </c>
      <c r="Q7" s="3597" t="s">
        <v>5851</v>
      </c>
      <c r="R7" s="3595" t="s">
        <v>5795</v>
      </c>
      <c r="S7" s="3595"/>
      <c r="T7" s="3595"/>
      <c r="U7" s="3590" t="s">
        <v>592</v>
      </c>
      <c r="V7" s="3590" t="s">
        <v>682</v>
      </c>
      <c r="W7" s="3590" t="s">
        <v>5796</v>
      </c>
      <c r="X7" s="3590" t="s">
        <v>627</v>
      </c>
      <c r="Y7" s="3590" t="s">
        <v>602</v>
      </c>
      <c r="Z7" s="3590" t="s">
        <v>2613</v>
      </c>
      <c r="AA7" s="3590" t="s">
        <v>611</v>
      </c>
      <c r="AB7" s="3590" t="s">
        <v>932</v>
      </c>
      <c r="AC7" s="3596" t="s">
        <v>2614</v>
      </c>
      <c r="AD7" s="1806"/>
      <c r="AE7" s="1803"/>
      <c r="AF7" s="1803"/>
      <c r="AG7" s="1803"/>
    </row>
    <row r="8" spans="1:33" ht="18" customHeight="1">
      <c r="A8" s="1796"/>
      <c r="B8" s="1796"/>
      <c r="C8" s="2176" t="s">
        <v>5761</v>
      </c>
      <c r="D8" s="3594"/>
      <c r="E8" s="2177" t="s">
        <v>2662</v>
      </c>
      <c r="F8" s="2177" t="s">
        <v>2663</v>
      </c>
      <c r="G8" s="2177" t="s">
        <v>932</v>
      </c>
      <c r="H8" s="3590"/>
      <c r="I8" s="3590"/>
      <c r="J8" s="3590"/>
      <c r="K8" s="3590"/>
      <c r="L8" s="3590"/>
      <c r="M8" s="3590"/>
      <c r="N8" s="3590"/>
      <c r="O8" s="3590"/>
      <c r="P8" s="3596"/>
      <c r="Q8" s="3597"/>
      <c r="R8" s="2177" t="s">
        <v>2662</v>
      </c>
      <c r="S8" s="2177" t="s">
        <v>2663</v>
      </c>
      <c r="T8" s="2177" t="s">
        <v>932</v>
      </c>
      <c r="U8" s="3590"/>
      <c r="V8" s="3590"/>
      <c r="W8" s="3590"/>
      <c r="X8" s="3590"/>
      <c r="Y8" s="3590"/>
      <c r="Z8" s="3590"/>
      <c r="AA8" s="3590"/>
      <c r="AB8" s="3590"/>
      <c r="AC8" s="3596"/>
      <c r="AD8" s="1806"/>
      <c r="AE8" s="1803"/>
      <c r="AF8" s="1803"/>
      <c r="AG8" s="1803"/>
    </row>
    <row r="9" spans="1:33" ht="20.100000000000001" customHeight="1">
      <c r="A9" s="2836"/>
      <c r="B9" s="2837" t="s">
        <v>2615</v>
      </c>
      <c r="C9" s="2095" t="str">
        <f t="shared" ref="C9:C37" si="0">VLOOKUP(VALUE($P$2&amp;$B9),Sheet_Items,6,0)</f>
        <v>一、上年年末余额</v>
      </c>
      <c r="D9" s="2171">
        <f>IF(ISERROR(VLOOKUP(VALUE(D$2&amp;$B9),Sheet_Trialbal,6,0)),0,VLOOKUP(VALUE(D$2&amp;$B9),Sheet_Trialbal,6,0))</f>
        <v>30000000</v>
      </c>
      <c r="E9" s="2171">
        <f t="shared" ref="E9:G12" si="1">IF(ISERROR(VLOOKUP(E$2&amp;$B9,Sheet_Trialbal,6,0)),0,VLOOKUP(E$2&amp;$B9,Sheet_Trialbal,6,0))</f>
        <v>0</v>
      </c>
      <c r="F9" s="2171">
        <f t="shared" si="1"/>
        <v>0</v>
      </c>
      <c r="G9" s="2171">
        <f t="shared" si="1"/>
        <v>0</v>
      </c>
      <c r="H9" s="2171">
        <f t="shared" ref="H9:I12" si="2">IF(ISERROR(VLOOKUP(VALUE(H$2&amp;$B9),Sheet_Trialbal,6,0)),0,VLOOKUP(VALUE(H$2&amp;$B9),Sheet_Trialbal,6,0))</f>
        <v>0</v>
      </c>
      <c r="I9" s="2171">
        <f t="shared" si="2"/>
        <v>0</v>
      </c>
      <c r="J9" s="2171">
        <f>IF(ISERROR(VLOOKUP(J$2&amp;$B9,Sheet_Trialbal,6,0)),0,VLOOKUP(J$2&amp;$B9,Sheet_Trialbal,6,0))</f>
        <v>0</v>
      </c>
      <c r="K9" s="2171">
        <f t="shared" ref="K9:O12" si="3">IF(ISERROR(VLOOKUP(VALUE(K$2&amp;$B9),Sheet_Trialbal,6,0)),0,VLOOKUP(VALUE(K$2&amp;$B9),Sheet_Trialbal,6,0))</f>
        <v>0</v>
      </c>
      <c r="L9" s="2171">
        <f t="shared" si="3"/>
        <v>1476848.22</v>
      </c>
      <c r="M9" s="2171">
        <f t="shared" si="3"/>
        <v>0</v>
      </c>
      <c r="N9" s="2171">
        <f t="shared" si="3"/>
        <v>13291633.890000001</v>
      </c>
      <c r="O9" s="2171">
        <f t="shared" si="3"/>
        <v>0</v>
      </c>
      <c r="P9" s="2182">
        <f t="shared" ref="P9:P36" si="4">SUM(D9:H9,-I9,J9:O9)</f>
        <v>44768482.109999999</v>
      </c>
      <c r="Q9" s="2180">
        <f>IF(ISERROR(VLOOKUP(VALUE(Q$2&amp;$B9),Sheet_Trialbal,10,0)),0,VLOOKUP(VALUE(Q$2&amp;$B9),Sheet_Trialbal,10,0))</f>
        <v>30000000</v>
      </c>
      <c r="R9" s="2172">
        <f t="shared" ref="R9:T12" ca="1" si="5">IF(ISERROR(VLOOKUP(R$2&amp;$B9,Sheet_Trialbal,10,0)),0,VLOOKUP(R$2&amp;$B9,Sheet_Trialbal,10,0))</f>
        <v>0</v>
      </c>
      <c r="S9" s="2172">
        <f t="shared" ca="1" si="5"/>
        <v>0</v>
      </c>
      <c r="T9" s="2172">
        <f t="shared" ca="1" si="5"/>
        <v>0</v>
      </c>
      <c r="U9" s="2172">
        <f t="shared" ref="U9:V12" si="6">IF(ISERROR(VLOOKUP(VALUE(U$2&amp;$B9),Sheet_Trialbal,10,0)),0,VLOOKUP(VALUE(U$2&amp;$B9),Sheet_Trialbal,10,0))</f>
        <v>0</v>
      </c>
      <c r="V9" s="2172">
        <f t="shared" si="6"/>
        <v>0</v>
      </c>
      <c r="W9" s="2172">
        <f ca="1">IF(ISERROR(VLOOKUP(W$2&amp;$B9,Sheet_Trialbal,10,0)),0,VLOOKUP(W$2&amp;$B9,Sheet_Trialbal,10,0))</f>
        <v>0</v>
      </c>
      <c r="X9" s="2172">
        <f t="shared" ref="X9:AB12" si="7">IF(ISERROR(VLOOKUP(VALUE(X$2&amp;$B9),Sheet_Trialbal,10,0)),0,VLOOKUP(VALUE(X$2&amp;$B9),Sheet_Trialbal,10,0))</f>
        <v>0</v>
      </c>
      <c r="Y9" s="2172">
        <f t="shared" si="7"/>
        <v>1424825.33</v>
      </c>
      <c r="Z9" s="2172">
        <f t="shared" si="7"/>
        <v>0</v>
      </c>
      <c r="AA9" s="2172">
        <f t="shared" si="7"/>
        <v>12823427.869999999</v>
      </c>
      <c r="AB9" s="2172">
        <f t="shared" si="7"/>
        <v>0</v>
      </c>
      <c r="AC9" s="2173">
        <f t="shared" ref="AC9:AC36" ca="1" si="8">SUM(Q9:U9,-V9,W9:AB9)</f>
        <v>44248253.200000003</v>
      </c>
      <c r="AD9" s="1803"/>
      <c r="AE9" s="1803"/>
      <c r="AF9" s="1803"/>
      <c r="AG9" s="1803"/>
    </row>
    <row r="10" spans="1:33" ht="20.100000000000001" customHeight="1">
      <c r="A10" s="2836"/>
      <c r="B10" s="2837" t="s">
        <v>2616</v>
      </c>
      <c r="C10" s="2099" t="str">
        <f t="shared" si="0"/>
        <v>加：会计政策变更</v>
      </c>
      <c r="D10" s="2171">
        <f>IF(ISERROR(VLOOKUP(VALUE(D$2&amp;$B10),Sheet_Trialbal,6,0)),0,VLOOKUP(VALUE(D$2&amp;$B10),Sheet_Trialbal,6,0))</f>
        <v>0</v>
      </c>
      <c r="E10" s="2171">
        <f t="shared" si="1"/>
        <v>0</v>
      </c>
      <c r="F10" s="2171">
        <f t="shared" si="1"/>
        <v>0</v>
      </c>
      <c r="G10" s="2171">
        <f t="shared" si="1"/>
        <v>0</v>
      </c>
      <c r="H10" s="2171">
        <f t="shared" si="2"/>
        <v>0</v>
      </c>
      <c r="I10" s="2171">
        <f t="shared" si="2"/>
        <v>0</v>
      </c>
      <c r="J10" s="2171">
        <f>IF(ISERROR(VLOOKUP(J$2&amp;$B10,Sheet_Trialbal,6,0)),0,VLOOKUP(J$2&amp;$B10,Sheet_Trialbal,6,0))</f>
        <v>0</v>
      </c>
      <c r="K10" s="2171">
        <f t="shared" si="3"/>
        <v>0</v>
      </c>
      <c r="L10" s="2171">
        <f t="shared" si="3"/>
        <v>0</v>
      </c>
      <c r="M10" s="2171">
        <f t="shared" si="3"/>
        <v>0</v>
      </c>
      <c r="N10" s="2171">
        <f t="shared" si="3"/>
        <v>-257562.14</v>
      </c>
      <c r="O10" s="2171">
        <f t="shared" si="3"/>
        <v>0</v>
      </c>
      <c r="P10" s="2182">
        <f t="shared" si="4"/>
        <v>-257562.14</v>
      </c>
      <c r="Q10" s="2180">
        <f>IF(ISERROR(VLOOKUP(VALUE(Q$2&amp;$B10),Sheet_Trialbal,10,0)),0,VLOOKUP(VALUE(Q$2&amp;$B10),Sheet_Trialbal,10,0))</f>
        <v>0</v>
      </c>
      <c r="R10" s="2172">
        <f t="shared" ca="1" si="5"/>
        <v>0</v>
      </c>
      <c r="S10" s="2172">
        <f t="shared" ca="1" si="5"/>
        <v>0</v>
      </c>
      <c r="T10" s="2172">
        <f t="shared" ca="1" si="5"/>
        <v>0</v>
      </c>
      <c r="U10" s="2172">
        <f t="shared" si="6"/>
        <v>0</v>
      </c>
      <c r="V10" s="2172">
        <f t="shared" si="6"/>
        <v>0</v>
      </c>
      <c r="W10" s="2172">
        <f ca="1">IF(ISERROR(VLOOKUP(W$2&amp;$B10,Sheet_Trialbal,10,0)),0,VLOOKUP(W$2&amp;$B10,Sheet_Trialbal,10,0))</f>
        <v>0</v>
      </c>
      <c r="X10" s="2172">
        <f t="shared" si="7"/>
        <v>0</v>
      </c>
      <c r="Y10" s="2172">
        <f t="shared" si="7"/>
        <v>0</v>
      </c>
      <c r="Z10" s="2172">
        <f t="shared" si="7"/>
        <v>0</v>
      </c>
      <c r="AA10" s="2172">
        <f t="shared" si="7"/>
        <v>0</v>
      </c>
      <c r="AB10" s="2172">
        <f t="shared" si="7"/>
        <v>0</v>
      </c>
      <c r="AC10" s="2173">
        <f t="shared" ca="1" si="8"/>
        <v>0</v>
      </c>
      <c r="AD10" s="1803"/>
      <c r="AE10" s="1803"/>
      <c r="AF10" s="1803"/>
      <c r="AG10" s="1803"/>
    </row>
    <row r="11" spans="1:33" ht="20.100000000000001" customHeight="1">
      <c r="A11" s="2836"/>
      <c r="B11" s="2837" t="s">
        <v>2617</v>
      </c>
      <c r="C11" s="2099" t="str">
        <f t="shared" si="0"/>
        <v>前期差错更正</v>
      </c>
      <c r="D11" s="2171">
        <f>IF(ISERROR(VLOOKUP(VALUE(D$2&amp;$B11),Sheet_Trialbal,6,0)),0,VLOOKUP(VALUE(D$2&amp;$B11),Sheet_Trialbal,6,0))</f>
        <v>0</v>
      </c>
      <c r="E11" s="2171">
        <f t="shared" si="1"/>
        <v>0</v>
      </c>
      <c r="F11" s="2171">
        <f t="shared" si="1"/>
        <v>0</v>
      </c>
      <c r="G11" s="2171">
        <f t="shared" si="1"/>
        <v>0</v>
      </c>
      <c r="H11" s="2171">
        <f t="shared" si="2"/>
        <v>0</v>
      </c>
      <c r="I11" s="2171">
        <f t="shared" si="2"/>
        <v>0</v>
      </c>
      <c r="J11" s="2171">
        <f>IF(ISERROR(VLOOKUP(J$2&amp;$B11,Sheet_Trialbal,6,0)),0,VLOOKUP(J$2&amp;$B11,Sheet_Trialbal,6,0))</f>
        <v>0</v>
      </c>
      <c r="K11" s="2171">
        <f t="shared" si="3"/>
        <v>0</v>
      </c>
      <c r="L11" s="2171">
        <f t="shared" si="3"/>
        <v>0</v>
      </c>
      <c r="M11" s="2171">
        <f t="shared" si="3"/>
        <v>0</v>
      </c>
      <c r="N11" s="2171">
        <f t="shared" si="3"/>
        <v>0</v>
      </c>
      <c r="O11" s="2171">
        <f t="shared" si="3"/>
        <v>0</v>
      </c>
      <c r="P11" s="2182">
        <f t="shared" si="4"/>
        <v>0</v>
      </c>
      <c r="Q11" s="2180">
        <f>IF(ISERROR(VLOOKUP(VALUE(Q$2&amp;$B11),Sheet_Trialbal,10,0)),0,VLOOKUP(VALUE(Q$2&amp;$B11),Sheet_Trialbal,10,0))</f>
        <v>0</v>
      </c>
      <c r="R11" s="2172">
        <f t="shared" ca="1" si="5"/>
        <v>0</v>
      </c>
      <c r="S11" s="2172">
        <f t="shared" ca="1" si="5"/>
        <v>0</v>
      </c>
      <c r="T11" s="2172">
        <f t="shared" ca="1" si="5"/>
        <v>0</v>
      </c>
      <c r="U11" s="2172">
        <f t="shared" si="6"/>
        <v>0</v>
      </c>
      <c r="V11" s="2172">
        <f t="shared" si="6"/>
        <v>0</v>
      </c>
      <c r="W11" s="2172">
        <f ca="1">IF(ISERROR(VLOOKUP(W$2&amp;$B11,Sheet_Trialbal,10,0)),0,VLOOKUP(W$2&amp;$B11,Sheet_Trialbal,10,0))</f>
        <v>0</v>
      </c>
      <c r="X11" s="2172">
        <f t="shared" si="7"/>
        <v>0</v>
      </c>
      <c r="Y11" s="2172">
        <f t="shared" si="7"/>
        <v>0</v>
      </c>
      <c r="Z11" s="2172">
        <f t="shared" si="7"/>
        <v>0</v>
      </c>
      <c r="AA11" s="2172">
        <f t="shared" si="7"/>
        <v>0</v>
      </c>
      <c r="AB11" s="2172">
        <f t="shared" si="7"/>
        <v>0</v>
      </c>
      <c r="AC11" s="2173">
        <f t="shared" ca="1" si="8"/>
        <v>0</v>
      </c>
      <c r="AD11" s="1803"/>
      <c r="AE11" s="1803"/>
      <c r="AF11" s="1803"/>
      <c r="AG11" s="1803"/>
    </row>
    <row r="12" spans="1:33" ht="20.100000000000001" customHeight="1">
      <c r="A12" s="2836"/>
      <c r="B12" s="2837" t="s">
        <v>2619</v>
      </c>
      <c r="C12" s="2099" t="str">
        <f t="shared" si="0"/>
        <v>其他</v>
      </c>
      <c r="D12" s="2171">
        <f>IF(ISERROR(VLOOKUP(VALUE(D$2&amp;$B12),Sheet_Trialbal,6,0)),0,VLOOKUP(VALUE(D$2&amp;$B12),Sheet_Trialbal,6,0))</f>
        <v>0</v>
      </c>
      <c r="E12" s="2171">
        <f t="shared" si="1"/>
        <v>0</v>
      </c>
      <c r="F12" s="2171">
        <f t="shared" si="1"/>
        <v>0</v>
      </c>
      <c r="G12" s="2171">
        <f t="shared" si="1"/>
        <v>0</v>
      </c>
      <c r="H12" s="2171">
        <f t="shared" si="2"/>
        <v>0</v>
      </c>
      <c r="I12" s="2171">
        <f t="shared" si="2"/>
        <v>0</v>
      </c>
      <c r="J12" s="2171">
        <f>IF(ISERROR(VLOOKUP(J$2&amp;$B12,Sheet_Trialbal,6,0)),0,VLOOKUP(J$2&amp;$B12,Sheet_Trialbal,6,0))</f>
        <v>0</v>
      </c>
      <c r="K12" s="2171">
        <f t="shared" si="3"/>
        <v>0</v>
      </c>
      <c r="L12" s="2171">
        <f t="shared" si="3"/>
        <v>0</v>
      </c>
      <c r="M12" s="2171">
        <f t="shared" si="3"/>
        <v>0</v>
      </c>
      <c r="N12" s="2171">
        <f t="shared" si="3"/>
        <v>0</v>
      </c>
      <c r="O12" s="2171">
        <f t="shared" si="3"/>
        <v>0</v>
      </c>
      <c r="P12" s="2182">
        <f t="shared" si="4"/>
        <v>0</v>
      </c>
      <c r="Q12" s="2180">
        <f>IF(ISERROR(VLOOKUP(VALUE(Q$2&amp;$B12),Sheet_Trialbal,10,0)),0,VLOOKUP(VALUE(Q$2&amp;$B12),Sheet_Trialbal,10,0))</f>
        <v>0</v>
      </c>
      <c r="R12" s="2172">
        <f t="shared" ca="1" si="5"/>
        <v>0</v>
      </c>
      <c r="S12" s="2172">
        <f t="shared" ca="1" si="5"/>
        <v>0</v>
      </c>
      <c r="T12" s="2172">
        <f t="shared" ca="1" si="5"/>
        <v>0</v>
      </c>
      <c r="U12" s="2172">
        <f t="shared" si="6"/>
        <v>0</v>
      </c>
      <c r="V12" s="2172">
        <f t="shared" si="6"/>
        <v>0</v>
      </c>
      <c r="W12" s="2172">
        <f ca="1">IF(ISERROR(VLOOKUP(W$2&amp;$B12,Sheet_Trialbal,10,0)),0,VLOOKUP(W$2&amp;$B12,Sheet_Trialbal,10,0))</f>
        <v>0</v>
      </c>
      <c r="X12" s="2172">
        <f t="shared" si="7"/>
        <v>0</v>
      </c>
      <c r="Y12" s="2172">
        <f t="shared" si="7"/>
        <v>0</v>
      </c>
      <c r="Z12" s="2172">
        <f t="shared" si="7"/>
        <v>0</v>
      </c>
      <c r="AA12" s="2172">
        <f t="shared" si="7"/>
        <v>0</v>
      </c>
      <c r="AB12" s="2172">
        <f t="shared" si="7"/>
        <v>0</v>
      </c>
      <c r="AC12" s="2173">
        <f t="shared" ca="1" si="8"/>
        <v>0</v>
      </c>
      <c r="AD12" s="1803"/>
      <c r="AE12" s="1803"/>
      <c r="AF12" s="1803"/>
      <c r="AG12" s="1803"/>
    </row>
    <row r="13" spans="1:33" ht="20.100000000000001" customHeight="1">
      <c r="A13" s="2836" t="s">
        <v>287</v>
      </c>
      <c r="B13" s="2837" t="s">
        <v>2620</v>
      </c>
      <c r="C13" s="2095" t="str">
        <f t="shared" si="0"/>
        <v>二、本年年初余额</v>
      </c>
      <c r="D13" s="2171">
        <f t="shared" ref="D13:O13" si="9">SUM(D9:D12)</f>
        <v>30000000</v>
      </c>
      <c r="E13" s="2171">
        <f t="shared" si="9"/>
        <v>0</v>
      </c>
      <c r="F13" s="2171">
        <f t="shared" si="9"/>
        <v>0</v>
      </c>
      <c r="G13" s="2171">
        <f t="shared" si="9"/>
        <v>0</v>
      </c>
      <c r="H13" s="2171">
        <f t="shared" si="9"/>
        <v>0</v>
      </c>
      <c r="I13" s="2171">
        <f t="shared" si="9"/>
        <v>0</v>
      </c>
      <c r="J13" s="2171">
        <f t="shared" si="9"/>
        <v>0</v>
      </c>
      <c r="K13" s="2171">
        <f t="shared" si="9"/>
        <v>0</v>
      </c>
      <c r="L13" s="2171">
        <f t="shared" si="9"/>
        <v>1476848.22</v>
      </c>
      <c r="M13" s="2171">
        <f t="shared" si="9"/>
        <v>0</v>
      </c>
      <c r="N13" s="2171">
        <f t="shared" si="9"/>
        <v>13034071.75</v>
      </c>
      <c r="O13" s="2171">
        <f t="shared" si="9"/>
        <v>0</v>
      </c>
      <c r="P13" s="2182">
        <f t="shared" si="4"/>
        <v>44510919.969999999</v>
      </c>
      <c r="Q13" s="2180">
        <f t="shared" ref="Q13:AB13" si="10">SUM(Q9:Q12)</f>
        <v>30000000</v>
      </c>
      <c r="R13" s="2172">
        <f t="shared" ca="1" si="10"/>
        <v>0</v>
      </c>
      <c r="S13" s="2172">
        <f t="shared" ca="1" si="10"/>
        <v>0</v>
      </c>
      <c r="T13" s="2172">
        <f t="shared" ca="1" si="10"/>
        <v>0</v>
      </c>
      <c r="U13" s="2172">
        <f t="shared" si="10"/>
        <v>0</v>
      </c>
      <c r="V13" s="2172">
        <f t="shared" si="10"/>
        <v>0</v>
      </c>
      <c r="W13" s="2172">
        <f t="shared" ca="1" si="10"/>
        <v>0</v>
      </c>
      <c r="X13" s="2172">
        <f t="shared" si="10"/>
        <v>0</v>
      </c>
      <c r="Y13" s="2172">
        <f t="shared" si="10"/>
        <v>1424825.33</v>
      </c>
      <c r="Z13" s="2172">
        <f t="shared" si="10"/>
        <v>0</v>
      </c>
      <c r="AA13" s="2172">
        <f t="shared" si="10"/>
        <v>12823427.869999999</v>
      </c>
      <c r="AB13" s="2172">
        <f t="shared" si="10"/>
        <v>0</v>
      </c>
      <c r="AC13" s="2173">
        <f t="shared" ca="1" si="8"/>
        <v>44248253.200000003</v>
      </c>
      <c r="AD13" s="1803"/>
      <c r="AE13" s="1803"/>
      <c r="AF13" s="1803"/>
      <c r="AG13" s="1803"/>
    </row>
    <row r="14" spans="1:33" ht="20.100000000000001" customHeight="1">
      <c r="A14" s="2836" t="s">
        <v>287</v>
      </c>
      <c r="B14" s="2837" t="s">
        <v>2621</v>
      </c>
      <c r="C14" s="2095" t="str">
        <f t="shared" si="0"/>
        <v>三、本年增减变动金额（减少以“－”号填列）</v>
      </c>
      <c r="D14" s="2171">
        <f t="shared" ref="D14:O14" si="11">SUM(D15,D16,D21,D26,D33,D36)</f>
        <v>0</v>
      </c>
      <c r="E14" s="2171">
        <f t="shared" si="11"/>
        <v>0</v>
      </c>
      <c r="F14" s="2171">
        <f t="shared" si="11"/>
        <v>0</v>
      </c>
      <c r="G14" s="2171">
        <f t="shared" si="11"/>
        <v>0</v>
      </c>
      <c r="H14" s="2171">
        <f t="shared" si="11"/>
        <v>10464100</v>
      </c>
      <c r="I14" s="2171">
        <f t="shared" si="11"/>
        <v>0</v>
      </c>
      <c r="J14" s="2171">
        <f t="shared" si="11"/>
        <v>0</v>
      </c>
      <c r="K14" s="2171">
        <f t="shared" si="11"/>
        <v>0</v>
      </c>
      <c r="L14" s="2171">
        <f t="shared" si="11"/>
        <v>8046.4</v>
      </c>
      <c r="M14" s="2171">
        <f t="shared" si="11"/>
        <v>0</v>
      </c>
      <c r="N14" s="2171">
        <f t="shared" si="11"/>
        <v>-13822054.73</v>
      </c>
      <c r="O14" s="2171">
        <f t="shared" si="11"/>
        <v>0</v>
      </c>
      <c r="P14" s="2182">
        <f t="shared" si="4"/>
        <v>-3349908.33</v>
      </c>
      <c r="Q14" s="2180">
        <f t="shared" ref="Q14:AB14" si="12">SUM(Q15,Q16,Q21,Q26,Q33,Q36)</f>
        <v>0</v>
      </c>
      <c r="R14" s="2172">
        <f t="shared" ca="1" si="12"/>
        <v>0</v>
      </c>
      <c r="S14" s="2172">
        <f t="shared" ca="1" si="12"/>
        <v>0</v>
      </c>
      <c r="T14" s="2172">
        <f t="shared" ca="1" si="12"/>
        <v>0</v>
      </c>
      <c r="U14" s="2172">
        <f t="shared" si="12"/>
        <v>0</v>
      </c>
      <c r="V14" s="2172">
        <f t="shared" si="12"/>
        <v>0</v>
      </c>
      <c r="W14" s="2172">
        <f t="shared" ca="1" si="12"/>
        <v>0</v>
      </c>
      <c r="X14" s="2172">
        <f t="shared" si="12"/>
        <v>0</v>
      </c>
      <c r="Y14" s="2172">
        <f t="shared" si="12"/>
        <v>52022.89</v>
      </c>
      <c r="Z14" s="2172">
        <f t="shared" si="12"/>
        <v>0</v>
      </c>
      <c r="AA14" s="2172">
        <f t="shared" si="12"/>
        <v>468206.02</v>
      </c>
      <c r="AB14" s="2172">
        <f t="shared" si="12"/>
        <v>0</v>
      </c>
      <c r="AC14" s="2173">
        <f t="shared" ca="1" si="8"/>
        <v>520228.91</v>
      </c>
      <c r="AD14" s="1803"/>
      <c r="AE14" s="1803"/>
      <c r="AF14" s="1803"/>
      <c r="AG14" s="1803"/>
    </row>
    <row r="15" spans="1:33" ht="20.100000000000001" customHeight="1">
      <c r="A15" s="2836" t="s">
        <v>287</v>
      </c>
      <c r="B15" s="2837" t="s">
        <v>2624</v>
      </c>
      <c r="C15" s="2099" t="str">
        <f t="shared" si="0"/>
        <v>（一）综合收益总额</v>
      </c>
      <c r="D15" s="2171">
        <f>IF(ISERROR(VLOOKUP(VALUE(D$2&amp;$B15),Sheet_Trialbal,6,0)),0,VLOOKUP(VALUE(D$2&amp;$B15),Sheet_Trialbal,6,0))</f>
        <v>0</v>
      </c>
      <c r="E15" s="2171">
        <f>IF(ISERROR(VLOOKUP(E$2&amp;$B15,Sheet_Trialbal,6,0)),0,VLOOKUP(E$2&amp;$B15,Sheet_Trialbal,6,0))</f>
        <v>0</v>
      </c>
      <c r="F15" s="2171">
        <f>IF(ISERROR(VLOOKUP(F$2&amp;$B15,Sheet_Trialbal,6,0)),0,VLOOKUP(F$2&amp;$B15,Sheet_Trialbal,6,0))</f>
        <v>0</v>
      </c>
      <c r="G15" s="2171">
        <f>IF(ISERROR(VLOOKUP(G$2&amp;$B15,Sheet_Trialbal,6,0)),0,VLOOKUP(G$2&amp;$B15,Sheet_Trialbal,6,0))</f>
        <v>0</v>
      </c>
      <c r="H15" s="2171">
        <f>IF(ISERROR(VLOOKUP(VALUE(H$2&amp;$B15),Sheet_Trialbal,6,0)),0,VLOOKUP(VALUE(H$2&amp;$B15),Sheet_Trialbal,6,0))</f>
        <v>0</v>
      </c>
      <c r="I15" s="2171">
        <f>IF(ISERROR(VLOOKUP(VALUE(I$2&amp;$B15),Sheet_Trialbal,6,0)),0,VLOOKUP(VALUE(I$2&amp;$B15),Sheet_Trialbal,6,0))</f>
        <v>0</v>
      </c>
      <c r="J15" s="2171">
        <f>IF(ISERROR(VLOOKUP(J$2&amp;$B15,Sheet_Trialbal,6,0)),0,VLOOKUP(J$2&amp;$B15,Sheet_Trialbal,6,0))</f>
        <v>0</v>
      </c>
      <c r="K15" s="2171">
        <f>IF(ISERROR(VLOOKUP(VALUE(K$2&amp;$B15),Sheet_Trialbal,6,0)),0,VLOOKUP(VALUE(K$2&amp;$B15),Sheet_Trialbal,6,0))</f>
        <v>0</v>
      </c>
      <c r="L15" s="2171">
        <f>IF(ISERROR(VLOOKUP(VALUE(L$2&amp;$B15),Sheet_Trialbal,6,0)),0,VLOOKUP(VALUE(L$2&amp;$B15),Sheet_Trialbal,6,0))</f>
        <v>0</v>
      </c>
      <c r="M15" s="2171">
        <f>IF(ISERROR(VLOOKUP(VALUE(M$2&amp;$B15),Sheet_Trialbal,6,0)),0,VLOOKUP(VALUE(M$2&amp;$B15),Sheet_Trialbal,6,0))</f>
        <v>0</v>
      </c>
      <c r="N15" s="2171">
        <f>IF(ISERROR(VLOOKUP(VALUE(N$2&amp;$B15),Sheet_Trialbal,6,0)),0,VLOOKUP(VALUE(N$2&amp;$B15),Sheet_Trialbal,6,0))</f>
        <v>-3349908.33</v>
      </c>
      <c r="O15" s="2171">
        <f>IF(ISERROR(VLOOKUP(VALUE(O$2&amp;$B15),Sheet_Trialbal,6,0)),0,VLOOKUP(VALUE(O$2&amp;$B15),Sheet_Trialbal,6,0))</f>
        <v>0</v>
      </c>
      <c r="P15" s="2182">
        <f t="shared" si="4"/>
        <v>-3349908.33</v>
      </c>
      <c r="Q15" s="2180">
        <f>IF(ISERROR(VLOOKUP(VALUE(Q$2&amp;$B15),Sheet_Trialbal,10,0)),0,VLOOKUP(VALUE(Q$2&amp;$B15),Sheet_Trialbal,10,0))</f>
        <v>0</v>
      </c>
      <c r="R15" s="2172">
        <f ca="1">IF(ISERROR(VLOOKUP(R$2&amp;$B15,Sheet_Trialbal,10,0)),0,VLOOKUP(R$2&amp;$B15,Sheet_Trialbal,10,0))</f>
        <v>0</v>
      </c>
      <c r="S15" s="2172">
        <f ca="1">IF(ISERROR(VLOOKUP(S$2&amp;$B15,Sheet_Trialbal,10,0)),0,VLOOKUP(S$2&amp;$B15,Sheet_Trialbal,10,0))</f>
        <v>0</v>
      </c>
      <c r="T15" s="2172">
        <f ca="1">IF(ISERROR(VLOOKUP(T$2&amp;$B15,Sheet_Trialbal,10,0)),0,VLOOKUP(T$2&amp;$B15,Sheet_Trialbal,10,0))</f>
        <v>0</v>
      </c>
      <c r="U15" s="2172">
        <f>IF(ISERROR(VLOOKUP(VALUE(U$2&amp;$B15),Sheet_Trialbal,10,0)),0,VLOOKUP(VALUE(U$2&amp;$B15),Sheet_Trialbal,10,0))</f>
        <v>0</v>
      </c>
      <c r="V15" s="2172">
        <f>IF(ISERROR(VLOOKUP(VALUE(V$2&amp;$B15),Sheet_Trialbal,10,0)),0,VLOOKUP(VALUE(V$2&amp;$B15),Sheet_Trialbal,10,0))</f>
        <v>0</v>
      </c>
      <c r="W15" s="2172">
        <f ca="1">IF(ISERROR(VLOOKUP(W$2&amp;$B15,Sheet_Trialbal,10,0)),0,VLOOKUP(W$2&amp;$B15,Sheet_Trialbal,10,0))</f>
        <v>0</v>
      </c>
      <c r="X15" s="2172">
        <f>IF(ISERROR(VLOOKUP(VALUE(X$2&amp;$B15),Sheet_Trialbal,10,0)),0,VLOOKUP(VALUE(X$2&amp;$B15),Sheet_Trialbal,10,0))</f>
        <v>0</v>
      </c>
      <c r="Y15" s="2172">
        <f>IF(ISERROR(VLOOKUP(VALUE(Y$2&amp;$B15),Sheet_Trialbal,10,0)),0,VLOOKUP(VALUE(Y$2&amp;$B15),Sheet_Trialbal,10,0))</f>
        <v>0</v>
      </c>
      <c r="Z15" s="2172">
        <f>IF(ISERROR(VLOOKUP(VALUE(Z$2&amp;$B15),Sheet_Trialbal,10,0)),0,VLOOKUP(VALUE(Z$2&amp;$B15),Sheet_Trialbal,10,0))</f>
        <v>0</v>
      </c>
      <c r="AA15" s="2172">
        <f>IF(ISERROR(VLOOKUP(VALUE(AA$2&amp;$B15),Sheet_Trialbal,10,0)),0,VLOOKUP(VALUE(AA$2&amp;$B15),Sheet_Trialbal,10,0))</f>
        <v>520228.91</v>
      </c>
      <c r="AB15" s="2172">
        <f>IF(ISERROR(VLOOKUP(VALUE(AB$2&amp;$B15),Sheet_Trialbal,10,0)),0,VLOOKUP(VALUE(AB$2&amp;$B15),Sheet_Trialbal,10,0))</f>
        <v>0</v>
      </c>
      <c r="AC15" s="2173">
        <f t="shared" ca="1" si="8"/>
        <v>520228.91</v>
      </c>
      <c r="AD15" s="1803"/>
      <c r="AE15" s="1803"/>
      <c r="AF15" s="1803"/>
      <c r="AG15" s="1803"/>
    </row>
    <row r="16" spans="1:33" ht="20.100000000000001" customHeight="1">
      <c r="A16" s="2836" t="s">
        <v>287</v>
      </c>
      <c r="B16" s="2837" t="s">
        <v>2625</v>
      </c>
      <c r="C16" s="2100" t="str">
        <f t="shared" si="0"/>
        <v>（二）所有者投入和减少资本</v>
      </c>
      <c r="D16" s="2171">
        <f t="shared" ref="D16:O16" si="13">SUM(D17:D20)</f>
        <v>0</v>
      </c>
      <c r="E16" s="2171">
        <f t="shared" si="13"/>
        <v>0</v>
      </c>
      <c r="F16" s="2171">
        <f t="shared" si="13"/>
        <v>0</v>
      </c>
      <c r="G16" s="2171">
        <f t="shared" si="13"/>
        <v>0</v>
      </c>
      <c r="H16" s="2171">
        <f t="shared" si="13"/>
        <v>10464100</v>
      </c>
      <c r="I16" s="2171">
        <f t="shared" si="13"/>
        <v>0</v>
      </c>
      <c r="J16" s="2171">
        <f t="shared" si="13"/>
        <v>0</v>
      </c>
      <c r="K16" s="2171">
        <f t="shared" si="13"/>
        <v>0</v>
      </c>
      <c r="L16" s="2171">
        <f t="shared" si="13"/>
        <v>0</v>
      </c>
      <c r="M16" s="2171">
        <f t="shared" si="13"/>
        <v>0</v>
      </c>
      <c r="N16" s="2171">
        <f t="shared" si="13"/>
        <v>0</v>
      </c>
      <c r="O16" s="2171">
        <f t="shared" si="13"/>
        <v>0</v>
      </c>
      <c r="P16" s="2182">
        <f t="shared" si="4"/>
        <v>10464100</v>
      </c>
      <c r="Q16" s="2180">
        <f t="shared" ref="Q16:AB16" si="14">SUM(Q17:Q20)</f>
        <v>0</v>
      </c>
      <c r="R16" s="2172">
        <f t="shared" ca="1" si="14"/>
        <v>0</v>
      </c>
      <c r="S16" s="2172">
        <f t="shared" ca="1" si="14"/>
        <v>0</v>
      </c>
      <c r="T16" s="2172">
        <f t="shared" ca="1" si="14"/>
        <v>0</v>
      </c>
      <c r="U16" s="2172">
        <f t="shared" si="14"/>
        <v>0</v>
      </c>
      <c r="V16" s="2172">
        <f t="shared" si="14"/>
        <v>0</v>
      </c>
      <c r="W16" s="2172">
        <f t="shared" ca="1" si="14"/>
        <v>0</v>
      </c>
      <c r="X16" s="2172">
        <f t="shared" si="14"/>
        <v>0</v>
      </c>
      <c r="Y16" s="2172">
        <f t="shared" si="14"/>
        <v>0</v>
      </c>
      <c r="Z16" s="2172">
        <f t="shared" si="14"/>
        <v>0</v>
      </c>
      <c r="AA16" s="2172">
        <f t="shared" si="14"/>
        <v>0</v>
      </c>
      <c r="AB16" s="2172">
        <f t="shared" si="14"/>
        <v>0</v>
      </c>
      <c r="AC16" s="2173">
        <f t="shared" ca="1" si="8"/>
        <v>0</v>
      </c>
      <c r="AD16" s="1803"/>
      <c r="AE16" s="1803"/>
      <c r="AF16" s="1803"/>
      <c r="AG16" s="1803"/>
    </row>
    <row r="17" spans="1:33" ht="20.100000000000001" customHeight="1">
      <c r="A17" s="2836"/>
      <c r="B17" s="2837" t="s">
        <v>2626</v>
      </c>
      <c r="C17" s="2101" t="str">
        <f t="shared" si="0"/>
        <v>所有者投入的普通股</v>
      </c>
      <c r="D17" s="2171">
        <f>IF(ISERROR(VLOOKUP(VALUE(D$2&amp;$B17),Sheet_Trialbal,6,0)),0,VLOOKUP(VALUE(D$2&amp;$B17),Sheet_Trialbal,6,0))</f>
        <v>0</v>
      </c>
      <c r="E17" s="2171">
        <f t="shared" ref="E17:G20" si="15">IF(ISERROR(VLOOKUP(E$2&amp;$B17,Sheet_Trialbal,6,0)),0,VLOOKUP(E$2&amp;$B17,Sheet_Trialbal,6,0))</f>
        <v>0</v>
      </c>
      <c r="F17" s="2171">
        <f t="shared" si="15"/>
        <v>0</v>
      </c>
      <c r="G17" s="2171">
        <f t="shared" si="15"/>
        <v>0</v>
      </c>
      <c r="H17" s="2171">
        <f t="shared" ref="H17:I20" si="16">IF(ISERROR(VLOOKUP(VALUE(H$2&amp;$B17),Sheet_Trialbal,6,0)),0,VLOOKUP(VALUE(H$2&amp;$B17),Sheet_Trialbal,6,0))</f>
        <v>10464100</v>
      </c>
      <c r="I17" s="2171">
        <f t="shared" si="16"/>
        <v>0</v>
      </c>
      <c r="J17" s="2171">
        <f>IF(ISERROR(VLOOKUP(J$2&amp;$B17,Sheet_Trialbal,6,0)),0,VLOOKUP(J$2&amp;$B17,Sheet_Trialbal,6,0))</f>
        <v>0</v>
      </c>
      <c r="K17" s="2171">
        <f t="shared" ref="K17:O20" si="17">IF(ISERROR(VLOOKUP(VALUE(K$2&amp;$B17),Sheet_Trialbal,6,0)),0,VLOOKUP(VALUE(K$2&amp;$B17),Sheet_Trialbal,6,0))</f>
        <v>0</v>
      </c>
      <c r="L17" s="2171">
        <f t="shared" si="17"/>
        <v>0</v>
      </c>
      <c r="M17" s="2171">
        <f t="shared" si="17"/>
        <v>0</v>
      </c>
      <c r="N17" s="2171">
        <f t="shared" si="17"/>
        <v>0</v>
      </c>
      <c r="O17" s="2171">
        <f t="shared" si="17"/>
        <v>0</v>
      </c>
      <c r="P17" s="2182">
        <f t="shared" si="4"/>
        <v>10464100</v>
      </c>
      <c r="Q17" s="2180">
        <f>IF(ISERROR(VLOOKUP(VALUE(Q$2&amp;$B17),Sheet_Trialbal,10,0)),0,VLOOKUP(VALUE(Q$2&amp;$B17),Sheet_Trialbal,10,0))</f>
        <v>0</v>
      </c>
      <c r="R17" s="2172">
        <f t="shared" ref="R17:T20" ca="1" si="18">IF(ISERROR(VLOOKUP(R$2&amp;$B17,Sheet_Trialbal,10,0)),0,VLOOKUP(R$2&amp;$B17,Sheet_Trialbal,10,0))</f>
        <v>0</v>
      </c>
      <c r="S17" s="2172">
        <f t="shared" ca="1" si="18"/>
        <v>0</v>
      </c>
      <c r="T17" s="2172">
        <f t="shared" ca="1" si="18"/>
        <v>0</v>
      </c>
      <c r="U17" s="2172">
        <f t="shared" ref="U17:V20" si="19">IF(ISERROR(VLOOKUP(VALUE(U$2&amp;$B17),Sheet_Trialbal,10,0)),0,VLOOKUP(VALUE(U$2&amp;$B17),Sheet_Trialbal,10,0))</f>
        <v>0</v>
      </c>
      <c r="V17" s="2172">
        <f t="shared" si="19"/>
        <v>0</v>
      </c>
      <c r="W17" s="2172">
        <f ca="1">IF(ISERROR(VLOOKUP(W$2&amp;$B17,Sheet_Trialbal,10,0)),0,VLOOKUP(W$2&amp;$B17,Sheet_Trialbal,10,0))</f>
        <v>0</v>
      </c>
      <c r="X17" s="2172">
        <f t="shared" ref="X17:AB20" si="20">IF(ISERROR(VLOOKUP(VALUE(X$2&amp;$B17),Sheet_Trialbal,10,0)),0,VLOOKUP(VALUE(X$2&amp;$B17),Sheet_Trialbal,10,0))</f>
        <v>0</v>
      </c>
      <c r="Y17" s="2172">
        <f t="shared" si="20"/>
        <v>0</v>
      </c>
      <c r="Z17" s="2172">
        <f t="shared" si="20"/>
        <v>0</v>
      </c>
      <c r="AA17" s="2172">
        <f t="shared" si="20"/>
        <v>0</v>
      </c>
      <c r="AB17" s="2172">
        <f t="shared" si="20"/>
        <v>0</v>
      </c>
      <c r="AC17" s="2173">
        <f t="shared" ca="1" si="8"/>
        <v>0</v>
      </c>
      <c r="AD17" s="1803"/>
      <c r="AE17" s="1803"/>
      <c r="AF17" s="1803"/>
      <c r="AG17" s="1803"/>
    </row>
    <row r="18" spans="1:33" ht="20.100000000000001" customHeight="1">
      <c r="A18" s="2836"/>
      <c r="B18" s="2837" t="s">
        <v>2627</v>
      </c>
      <c r="C18" s="2102" t="str">
        <f t="shared" si="0"/>
        <v>其他权益工具持有者投入资本</v>
      </c>
      <c r="D18" s="2171">
        <f>IF(ISERROR(VLOOKUP(VALUE(D$2&amp;$B18),Sheet_Trialbal,6,0)),0,VLOOKUP(VALUE(D$2&amp;$B18),Sheet_Trialbal,6,0))</f>
        <v>0</v>
      </c>
      <c r="E18" s="2171">
        <f t="shared" si="15"/>
        <v>0</v>
      </c>
      <c r="F18" s="2171">
        <f t="shared" si="15"/>
        <v>0</v>
      </c>
      <c r="G18" s="2171">
        <f t="shared" si="15"/>
        <v>0</v>
      </c>
      <c r="H18" s="2171">
        <f t="shared" si="16"/>
        <v>0</v>
      </c>
      <c r="I18" s="2171">
        <f t="shared" si="16"/>
        <v>0</v>
      </c>
      <c r="J18" s="2171">
        <f>IF(ISERROR(VLOOKUP(J$2&amp;$B18,Sheet_Trialbal,6,0)),0,VLOOKUP(J$2&amp;$B18,Sheet_Trialbal,6,0))</f>
        <v>0</v>
      </c>
      <c r="K18" s="2171">
        <f t="shared" si="17"/>
        <v>0</v>
      </c>
      <c r="L18" s="2171">
        <f t="shared" si="17"/>
        <v>0</v>
      </c>
      <c r="M18" s="2171">
        <f t="shared" si="17"/>
        <v>0</v>
      </c>
      <c r="N18" s="2171">
        <f t="shared" si="17"/>
        <v>0</v>
      </c>
      <c r="O18" s="2171">
        <f t="shared" si="17"/>
        <v>0</v>
      </c>
      <c r="P18" s="2182">
        <f t="shared" si="4"/>
        <v>0</v>
      </c>
      <c r="Q18" s="2180">
        <f>IF(ISERROR(VLOOKUP(VALUE(Q$2&amp;$B18),Sheet_Trialbal,10,0)),0,VLOOKUP(VALUE(Q$2&amp;$B18),Sheet_Trialbal,10,0))</f>
        <v>0</v>
      </c>
      <c r="R18" s="2172">
        <f t="shared" ca="1" si="18"/>
        <v>0</v>
      </c>
      <c r="S18" s="2172">
        <f t="shared" ca="1" si="18"/>
        <v>0</v>
      </c>
      <c r="T18" s="2172">
        <f t="shared" ca="1" si="18"/>
        <v>0</v>
      </c>
      <c r="U18" s="2172">
        <f t="shared" si="19"/>
        <v>0</v>
      </c>
      <c r="V18" s="2172">
        <f t="shared" si="19"/>
        <v>0</v>
      </c>
      <c r="W18" s="2172">
        <f ca="1">IF(ISERROR(VLOOKUP(W$2&amp;$B18,Sheet_Trialbal,10,0)),0,VLOOKUP(W$2&amp;$B18,Sheet_Trialbal,10,0))</f>
        <v>0</v>
      </c>
      <c r="X18" s="2172">
        <f t="shared" si="20"/>
        <v>0</v>
      </c>
      <c r="Y18" s="2172">
        <f t="shared" si="20"/>
        <v>0</v>
      </c>
      <c r="Z18" s="2172">
        <f t="shared" si="20"/>
        <v>0</v>
      </c>
      <c r="AA18" s="2172">
        <f t="shared" si="20"/>
        <v>0</v>
      </c>
      <c r="AB18" s="2172">
        <f t="shared" si="20"/>
        <v>0</v>
      </c>
      <c r="AC18" s="2173">
        <f t="shared" ca="1" si="8"/>
        <v>0</v>
      </c>
      <c r="AD18" s="1803"/>
      <c r="AE18" s="1803"/>
      <c r="AF18" s="1803"/>
      <c r="AG18" s="1803"/>
    </row>
    <row r="19" spans="1:33" ht="20.100000000000001" customHeight="1">
      <c r="A19" s="2836"/>
      <c r="B19" s="2837" t="s">
        <v>2628</v>
      </c>
      <c r="C19" s="2103" t="str">
        <f t="shared" si="0"/>
        <v>股份支付计入所有者权益的金额</v>
      </c>
      <c r="D19" s="2171">
        <f>IF(ISERROR(VLOOKUP(VALUE(D$2&amp;$B19),Sheet_Trialbal,6,0)),0,VLOOKUP(VALUE(D$2&amp;$B19),Sheet_Trialbal,6,0))</f>
        <v>0</v>
      </c>
      <c r="E19" s="2171">
        <f t="shared" si="15"/>
        <v>0</v>
      </c>
      <c r="F19" s="2171">
        <f t="shared" si="15"/>
        <v>0</v>
      </c>
      <c r="G19" s="2171">
        <f t="shared" si="15"/>
        <v>0</v>
      </c>
      <c r="H19" s="2171">
        <f t="shared" si="16"/>
        <v>0</v>
      </c>
      <c r="I19" s="2171">
        <f t="shared" si="16"/>
        <v>0</v>
      </c>
      <c r="J19" s="2171">
        <f>IF(ISERROR(VLOOKUP(J$2&amp;$B19,Sheet_Trialbal,6,0)),0,VLOOKUP(J$2&amp;$B19,Sheet_Trialbal,6,0))</f>
        <v>0</v>
      </c>
      <c r="K19" s="2171">
        <f t="shared" si="17"/>
        <v>0</v>
      </c>
      <c r="L19" s="2171">
        <f t="shared" si="17"/>
        <v>0</v>
      </c>
      <c r="M19" s="2171">
        <f t="shared" si="17"/>
        <v>0</v>
      </c>
      <c r="N19" s="2171">
        <f t="shared" si="17"/>
        <v>0</v>
      </c>
      <c r="O19" s="2171">
        <f t="shared" si="17"/>
        <v>0</v>
      </c>
      <c r="P19" s="2182">
        <f t="shared" si="4"/>
        <v>0</v>
      </c>
      <c r="Q19" s="2180">
        <f>IF(ISERROR(VLOOKUP(VALUE(Q$2&amp;$B19),Sheet_Trialbal,10,0)),0,VLOOKUP(VALUE(Q$2&amp;$B19),Sheet_Trialbal,10,0))</f>
        <v>0</v>
      </c>
      <c r="R19" s="2172">
        <f t="shared" ca="1" si="18"/>
        <v>0</v>
      </c>
      <c r="S19" s="2172">
        <f t="shared" ca="1" si="18"/>
        <v>0</v>
      </c>
      <c r="T19" s="2172">
        <f t="shared" ca="1" si="18"/>
        <v>0</v>
      </c>
      <c r="U19" s="2172">
        <f t="shared" si="19"/>
        <v>0</v>
      </c>
      <c r="V19" s="2172">
        <f t="shared" si="19"/>
        <v>0</v>
      </c>
      <c r="W19" s="2172">
        <f ca="1">IF(ISERROR(VLOOKUP(W$2&amp;$B19,Sheet_Trialbal,10,0)),0,VLOOKUP(W$2&amp;$B19,Sheet_Trialbal,10,0))</f>
        <v>0</v>
      </c>
      <c r="X19" s="2172">
        <f t="shared" si="20"/>
        <v>0</v>
      </c>
      <c r="Y19" s="2172">
        <f t="shared" si="20"/>
        <v>0</v>
      </c>
      <c r="Z19" s="2172">
        <f t="shared" si="20"/>
        <v>0</v>
      </c>
      <c r="AA19" s="2172">
        <f t="shared" si="20"/>
        <v>0</v>
      </c>
      <c r="AB19" s="2172">
        <f t="shared" si="20"/>
        <v>0</v>
      </c>
      <c r="AC19" s="2173">
        <f t="shared" ca="1" si="8"/>
        <v>0</v>
      </c>
      <c r="AD19" s="1803"/>
      <c r="AE19" s="1803"/>
      <c r="AF19" s="1803"/>
      <c r="AG19" s="1803"/>
    </row>
    <row r="20" spans="1:33" ht="20.100000000000001" customHeight="1">
      <c r="A20" s="2836"/>
      <c r="B20" s="2837" t="s">
        <v>2629</v>
      </c>
      <c r="C20" s="2104" t="str">
        <f t="shared" si="0"/>
        <v>其他</v>
      </c>
      <c r="D20" s="2171">
        <f>IF(ISERROR(VLOOKUP(VALUE(D$2&amp;$B20),Sheet_Trialbal,6,0)),0,VLOOKUP(VALUE(D$2&amp;$B20),Sheet_Trialbal,6,0))</f>
        <v>0</v>
      </c>
      <c r="E20" s="2171">
        <f t="shared" si="15"/>
        <v>0</v>
      </c>
      <c r="F20" s="2171">
        <f t="shared" si="15"/>
        <v>0</v>
      </c>
      <c r="G20" s="2171">
        <f t="shared" si="15"/>
        <v>0</v>
      </c>
      <c r="H20" s="2171">
        <f t="shared" si="16"/>
        <v>0</v>
      </c>
      <c r="I20" s="2171">
        <f t="shared" si="16"/>
        <v>0</v>
      </c>
      <c r="J20" s="2171">
        <f>IF(ISERROR(VLOOKUP(J$2&amp;$B20,Sheet_Trialbal,6,0)),0,VLOOKUP(J$2&amp;$B20,Sheet_Trialbal,6,0))</f>
        <v>0</v>
      </c>
      <c r="K20" s="2171">
        <f t="shared" si="17"/>
        <v>0</v>
      </c>
      <c r="L20" s="2171">
        <f t="shared" si="17"/>
        <v>0</v>
      </c>
      <c r="M20" s="2171">
        <f t="shared" si="17"/>
        <v>0</v>
      </c>
      <c r="N20" s="2171">
        <f t="shared" si="17"/>
        <v>0</v>
      </c>
      <c r="O20" s="2171">
        <f t="shared" si="17"/>
        <v>0</v>
      </c>
      <c r="P20" s="2182">
        <f t="shared" si="4"/>
        <v>0</v>
      </c>
      <c r="Q20" s="2180">
        <f>IF(ISERROR(VLOOKUP(VALUE(Q$2&amp;$B20),Sheet_Trialbal,10,0)),0,VLOOKUP(VALUE(Q$2&amp;$B20),Sheet_Trialbal,10,0))</f>
        <v>0</v>
      </c>
      <c r="R20" s="2172">
        <f t="shared" ca="1" si="18"/>
        <v>0</v>
      </c>
      <c r="S20" s="2172">
        <f t="shared" ca="1" si="18"/>
        <v>0</v>
      </c>
      <c r="T20" s="2172">
        <f t="shared" ca="1" si="18"/>
        <v>0</v>
      </c>
      <c r="U20" s="2172">
        <f t="shared" si="19"/>
        <v>0</v>
      </c>
      <c r="V20" s="2172">
        <f t="shared" si="19"/>
        <v>0</v>
      </c>
      <c r="W20" s="2172">
        <f ca="1">IF(ISERROR(VLOOKUP(W$2&amp;$B20,Sheet_Trialbal,10,0)),0,VLOOKUP(W$2&amp;$B20,Sheet_Trialbal,10,0))</f>
        <v>0</v>
      </c>
      <c r="X20" s="2172">
        <f t="shared" si="20"/>
        <v>0</v>
      </c>
      <c r="Y20" s="2172">
        <f t="shared" si="20"/>
        <v>0</v>
      </c>
      <c r="Z20" s="2172">
        <f t="shared" si="20"/>
        <v>0</v>
      </c>
      <c r="AA20" s="2172">
        <f t="shared" si="20"/>
        <v>0</v>
      </c>
      <c r="AB20" s="2172">
        <f t="shared" si="20"/>
        <v>0</v>
      </c>
      <c r="AC20" s="2173">
        <f t="shared" ca="1" si="8"/>
        <v>0</v>
      </c>
      <c r="AD20" s="1803"/>
      <c r="AE20" s="1803"/>
      <c r="AF20" s="1803"/>
      <c r="AG20" s="1803"/>
    </row>
    <row r="21" spans="1:33" ht="20.100000000000001" customHeight="1">
      <c r="A21" s="2836" t="s">
        <v>287</v>
      </c>
      <c r="B21" s="2837" t="s">
        <v>2630</v>
      </c>
      <c r="C21" s="2099" t="str">
        <f>VLOOKUP(VALUE($P$2&amp;$B21),Sheet_Items,7,0)</f>
        <v>（三）利润分配</v>
      </c>
      <c r="D21" s="2171">
        <f t="shared" ref="D21:O21" si="21">SUM(D22:D25)</f>
        <v>0</v>
      </c>
      <c r="E21" s="2171">
        <f t="shared" si="21"/>
        <v>0</v>
      </c>
      <c r="F21" s="2171">
        <f t="shared" si="21"/>
        <v>0</v>
      </c>
      <c r="G21" s="2171">
        <f t="shared" si="21"/>
        <v>0</v>
      </c>
      <c r="H21" s="2171">
        <f t="shared" si="21"/>
        <v>0</v>
      </c>
      <c r="I21" s="2171">
        <f t="shared" si="21"/>
        <v>0</v>
      </c>
      <c r="J21" s="2171">
        <f t="shared" si="21"/>
        <v>0</v>
      </c>
      <c r="K21" s="2171">
        <f t="shared" si="21"/>
        <v>0</v>
      </c>
      <c r="L21" s="2171">
        <f t="shared" si="21"/>
        <v>8046.4</v>
      </c>
      <c r="M21" s="2171">
        <f t="shared" si="21"/>
        <v>0</v>
      </c>
      <c r="N21" s="2171">
        <f t="shared" si="21"/>
        <v>-10472146.4</v>
      </c>
      <c r="O21" s="2171">
        <f t="shared" si="21"/>
        <v>0</v>
      </c>
      <c r="P21" s="2182">
        <f t="shared" si="4"/>
        <v>-10464100</v>
      </c>
      <c r="Q21" s="2180">
        <f t="shared" ref="Q21:AB21" si="22">SUM(Q22:Q25)</f>
        <v>0</v>
      </c>
      <c r="R21" s="2172">
        <f t="shared" ca="1" si="22"/>
        <v>0</v>
      </c>
      <c r="S21" s="2172">
        <f t="shared" ca="1" si="22"/>
        <v>0</v>
      </c>
      <c r="T21" s="2172">
        <f t="shared" ca="1" si="22"/>
        <v>0</v>
      </c>
      <c r="U21" s="2172">
        <f t="shared" si="22"/>
        <v>0</v>
      </c>
      <c r="V21" s="2172">
        <f t="shared" si="22"/>
        <v>0</v>
      </c>
      <c r="W21" s="2172">
        <f t="shared" ca="1" si="22"/>
        <v>0</v>
      </c>
      <c r="X21" s="2172">
        <f t="shared" si="22"/>
        <v>0</v>
      </c>
      <c r="Y21" s="2172">
        <f t="shared" si="22"/>
        <v>52022.89</v>
      </c>
      <c r="Z21" s="2172">
        <f t="shared" si="22"/>
        <v>0</v>
      </c>
      <c r="AA21" s="2172">
        <f t="shared" si="22"/>
        <v>-52022.89</v>
      </c>
      <c r="AB21" s="2172">
        <f t="shared" si="22"/>
        <v>0</v>
      </c>
      <c r="AC21" s="2173">
        <f t="shared" ca="1" si="8"/>
        <v>0</v>
      </c>
      <c r="AD21" s="1803"/>
      <c r="AE21" s="1803"/>
      <c r="AF21" s="1803"/>
      <c r="AG21" s="1803"/>
    </row>
    <row r="22" spans="1:33" ht="20.100000000000001" customHeight="1">
      <c r="A22" s="2836"/>
      <c r="B22" s="2837" t="s">
        <v>2631</v>
      </c>
      <c r="C22" s="2101" t="str">
        <f t="shared" si="0"/>
        <v>提取盈余公积</v>
      </c>
      <c r="D22" s="2171">
        <f>IF(ISERROR(VLOOKUP(VALUE(D$2&amp;$B22),Sheet_Trialbal,6,0)),0,VLOOKUP(VALUE(D$2&amp;$B22),Sheet_Trialbal,6,0))</f>
        <v>0</v>
      </c>
      <c r="E22" s="2171">
        <f t="shared" ref="E22:G25" si="23">IF(ISERROR(VLOOKUP(E$2&amp;$B22,Sheet_Trialbal,6,0)),0,VLOOKUP(E$2&amp;$B22,Sheet_Trialbal,6,0))</f>
        <v>0</v>
      </c>
      <c r="F22" s="2171">
        <f t="shared" si="23"/>
        <v>0</v>
      </c>
      <c r="G22" s="2171">
        <f t="shared" si="23"/>
        <v>0</v>
      </c>
      <c r="H22" s="2171">
        <f t="shared" ref="H22:I25" si="24">IF(ISERROR(VLOOKUP(VALUE(H$2&amp;$B22),Sheet_Trialbal,6,0)),0,VLOOKUP(VALUE(H$2&amp;$B22),Sheet_Trialbal,6,0))</f>
        <v>0</v>
      </c>
      <c r="I22" s="2171">
        <f t="shared" si="24"/>
        <v>0</v>
      </c>
      <c r="J22" s="2171">
        <f>IF(ISERROR(VLOOKUP(J$2&amp;$B22,Sheet_Trialbal,6,0)),0,VLOOKUP(J$2&amp;$B22,Sheet_Trialbal,6,0))</f>
        <v>0</v>
      </c>
      <c r="K22" s="2171">
        <f t="shared" ref="K22:O25" si="25">IF(ISERROR(VLOOKUP(VALUE(K$2&amp;$B22),Sheet_Trialbal,6,0)),0,VLOOKUP(VALUE(K$2&amp;$B22),Sheet_Trialbal,6,0))</f>
        <v>0</v>
      </c>
      <c r="L22" s="2171">
        <f t="shared" si="25"/>
        <v>8046.4</v>
      </c>
      <c r="M22" s="2171">
        <f t="shared" si="25"/>
        <v>0</v>
      </c>
      <c r="N22" s="2171">
        <f t="shared" si="25"/>
        <v>-8046.4</v>
      </c>
      <c r="O22" s="2171">
        <f t="shared" si="25"/>
        <v>0</v>
      </c>
      <c r="P22" s="2182">
        <f t="shared" si="4"/>
        <v>0</v>
      </c>
      <c r="Q22" s="2180">
        <f>IF(ISERROR(VLOOKUP(VALUE(Q$2&amp;$B22),Sheet_Trialbal,10,0)),0,VLOOKUP(VALUE(Q$2&amp;$B22),Sheet_Trialbal,10,0))</f>
        <v>0</v>
      </c>
      <c r="R22" s="2172">
        <f t="shared" ref="R22:T25" ca="1" si="26">IF(ISERROR(VLOOKUP(R$2&amp;$B22,Sheet_Trialbal,10,0)),0,VLOOKUP(R$2&amp;$B22,Sheet_Trialbal,10,0))</f>
        <v>0</v>
      </c>
      <c r="S22" s="2172">
        <f t="shared" ca="1" si="26"/>
        <v>0</v>
      </c>
      <c r="T22" s="2172">
        <f t="shared" ca="1" si="26"/>
        <v>0</v>
      </c>
      <c r="U22" s="2172">
        <f t="shared" ref="U22:V25" si="27">IF(ISERROR(VLOOKUP(VALUE(U$2&amp;$B22),Sheet_Trialbal,10,0)),0,VLOOKUP(VALUE(U$2&amp;$B22),Sheet_Trialbal,10,0))</f>
        <v>0</v>
      </c>
      <c r="V22" s="2172">
        <f t="shared" si="27"/>
        <v>0</v>
      </c>
      <c r="W22" s="2172">
        <f ca="1">IF(ISERROR(VLOOKUP(W$2&amp;$B22,Sheet_Trialbal,10,0)),0,VLOOKUP(W$2&amp;$B22,Sheet_Trialbal,10,0))</f>
        <v>0</v>
      </c>
      <c r="X22" s="2172">
        <f t="shared" ref="X22:AB25" si="28">IF(ISERROR(VLOOKUP(VALUE(X$2&amp;$B22),Sheet_Trialbal,10,0)),0,VLOOKUP(VALUE(X$2&amp;$B22),Sheet_Trialbal,10,0))</f>
        <v>0</v>
      </c>
      <c r="Y22" s="2172">
        <f t="shared" si="28"/>
        <v>52022.89</v>
      </c>
      <c r="Z22" s="2172">
        <f t="shared" si="28"/>
        <v>0</v>
      </c>
      <c r="AA22" s="2172">
        <f t="shared" si="28"/>
        <v>-52022.89</v>
      </c>
      <c r="AB22" s="2172">
        <f t="shared" si="28"/>
        <v>0</v>
      </c>
      <c r="AC22" s="2173">
        <f t="shared" ca="1" si="8"/>
        <v>0</v>
      </c>
      <c r="AD22" s="1803"/>
      <c r="AE22" s="1803"/>
      <c r="AF22" s="1803"/>
      <c r="AG22" s="1803"/>
    </row>
    <row r="23" spans="1:33" ht="20.100000000000001" customHeight="1">
      <c r="A23" s="2836"/>
      <c r="B23" s="2837" t="s">
        <v>2632</v>
      </c>
      <c r="C23" s="2102" t="str">
        <f t="shared" si="0"/>
        <v>提取一般风险准备</v>
      </c>
      <c r="D23" s="2171">
        <f>IF(ISERROR(VLOOKUP(VALUE(D$2&amp;$B23),Sheet_Trialbal,6,0)),0,VLOOKUP(VALUE(D$2&amp;$B23),Sheet_Trialbal,6,0))</f>
        <v>0</v>
      </c>
      <c r="E23" s="2171">
        <f t="shared" si="23"/>
        <v>0</v>
      </c>
      <c r="F23" s="2171">
        <f t="shared" si="23"/>
        <v>0</v>
      </c>
      <c r="G23" s="2171">
        <f t="shared" si="23"/>
        <v>0</v>
      </c>
      <c r="H23" s="2171">
        <f t="shared" si="24"/>
        <v>0</v>
      </c>
      <c r="I23" s="2171">
        <f t="shared" si="24"/>
        <v>0</v>
      </c>
      <c r="J23" s="2171">
        <f>IF(ISERROR(VLOOKUP(J$2&amp;$B23,Sheet_Trialbal,6,0)),0,VLOOKUP(J$2&amp;$B23,Sheet_Trialbal,6,0))</f>
        <v>0</v>
      </c>
      <c r="K23" s="2171">
        <f t="shared" si="25"/>
        <v>0</v>
      </c>
      <c r="L23" s="2171">
        <f t="shared" si="25"/>
        <v>0</v>
      </c>
      <c r="M23" s="2171">
        <f t="shared" si="25"/>
        <v>0</v>
      </c>
      <c r="N23" s="2171">
        <f t="shared" si="25"/>
        <v>0</v>
      </c>
      <c r="O23" s="2171">
        <f t="shared" si="25"/>
        <v>0</v>
      </c>
      <c r="P23" s="2182">
        <f t="shared" si="4"/>
        <v>0</v>
      </c>
      <c r="Q23" s="2180">
        <f>IF(ISERROR(VLOOKUP(VALUE(Q$2&amp;$B23),Sheet_Trialbal,10,0)),0,VLOOKUP(VALUE(Q$2&amp;$B23),Sheet_Trialbal,10,0))</f>
        <v>0</v>
      </c>
      <c r="R23" s="2172">
        <f t="shared" ca="1" si="26"/>
        <v>0</v>
      </c>
      <c r="S23" s="2172">
        <f t="shared" ca="1" si="26"/>
        <v>0</v>
      </c>
      <c r="T23" s="2172">
        <f t="shared" ca="1" si="26"/>
        <v>0</v>
      </c>
      <c r="U23" s="2172">
        <f t="shared" si="27"/>
        <v>0</v>
      </c>
      <c r="V23" s="2172">
        <f t="shared" si="27"/>
        <v>0</v>
      </c>
      <c r="W23" s="2172">
        <f ca="1">IF(ISERROR(VLOOKUP(W$2&amp;$B23,Sheet_Trialbal,10,0)),0,VLOOKUP(W$2&amp;$B23,Sheet_Trialbal,10,0))</f>
        <v>0</v>
      </c>
      <c r="X23" s="2172">
        <f t="shared" si="28"/>
        <v>0</v>
      </c>
      <c r="Y23" s="2172">
        <f t="shared" si="28"/>
        <v>0</v>
      </c>
      <c r="Z23" s="2172">
        <f t="shared" si="28"/>
        <v>0</v>
      </c>
      <c r="AA23" s="2172">
        <f t="shared" si="28"/>
        <v>0</v>
      </c>
      <c r="AB23" s="2172">
        <f t="shared" si="28"/>
        <v>0</v>
      </c>
      <c r="AC23" s="2173">
        <f t="shared" ca="1" si="8"/>
        <v>0</v>
      </c>
      <c r="AD23" s="1803"/>
      <c r="AE23" s="1803"/>
      <c r="AF23" s="1803"/>
      <c r="AG23" s="1803"/>
    </row>
    <row r="24" spans="1:33" ht="20.100000000000001" customHeight="1">
      <c r="A24" s="2836"/>
      <c r="B24" s="2837" t="s">
        <v>2633</v>
      </c>
      <c r="C24" s="2103" t="str">
        <f t="shared" si="0"/>
        <v>对所有者（或股东）的分配</v>
      </c>
      <c r="D24" s="2171">
        <f>IF(ISERROR(VLOOKUP(VALUE(D$2&amp;$B24),Sheet_Trialbal,6,0)),0,VLOOKUP(VALUE(D$2&amp;$B24),Sheet_Trialbal,6,0))</f>
        <v>0</v>
      </c>
      <c r="E24" s="2171">
        <f t="shared" si="23"/>
        <v>0</v>
      </c>
      <c r="F24" s="2171">
        <f t="shared" si="23"/>
        <v>0</v>
      </c>
      <c r="G24" s="2171">
        <f t="shared" si="23"/>
        <v>0</v>
      </c>
      <c r="H24" s="2171">
        <f t="shared" si="24"/>
        <v>0</v>
      </c>
      <c r="I24" s="2171">
        <f t="shared" si="24"/>
        <v>0</v>
      </c>
      <c r="J24" s="2171">
        <f>IF(ISERROR(VLOOKUP(J$2&amp;$B24,Sheet_Trialbal,6,0)),0,VLOOKUP(J$2&amp;$B24,Sheet_Trialbal,6,0))</f>
        <v>0</v>
      </c>
      <c r="K24" s="2171">
        <f t="shared" si="25"/>
        <v>0</v>
      </c>
      <c r="L24" s="2171">
        <f t="shared" si="25"/>
        <v>0</v>
      </c>
      <c r="M24" s="2171">
        <f t="shared" si="25"/>
        <v>0</v>
      </c>
      <c r="N24" s="2171">
        <f t="shared" si="25"/>
        <v>-10464100</v>
      </c>
      <c r="O24" s="2171">
        <f t="shared" si="25"/>
        <v>0</v>
      </c>
      <c r="P24" s="2182">
        <f t="shared" si="4"/>
        <v>-10464100</v>
      </c>
      <c r="Q24" s="2180">
        <f>IF(ISERROR(VLOOKUP(VALUE(Q$2&amp;$B24),Sheet_Trialbal,10,0)),0,VLOOKUP(VALUE(Q$2&amp;$B24),Sheet_Trialbal,10,0))</f>
        <v>0</v>
      </c>
      <c r="R24" s="2172">
        <f t="shared" ca="1" si="26"/>
        <v>0</v>
      </c>
      <c r="S24" s="2172">
        <f t="shared" ca="1" si="26"/>
        <v>0</v>
      </c>
      <c r="T24" s="2172">
        <f t="shared" ca="1" si="26"/>
        <v>0</v>
      </c>
      <c r="U24" s="2172">
        <f t="shared" si="27"/>
        <v>0</v>
      </c>
      <c r="V24" s="2172">
        <f t="shared" si="27"/>
        <v>0</v>
      </c>
      <c r="W24" s="2172">
        <f ca="1">IF(ISERROR(VLOOKUP(W$2&amp;$B24,Sheet_Trialbal,10,0)),0,VLOOKUP(W$2&amp;$B24,Sheet_Trialbal,10,0))</f>
        <v>0</v>
      </c>
      <c r="X24" s="2172">
        <f t="shared" si="28"/>
        <v>0</v>
      </c>
      <c r="Y24" s="2172">
        <f t="shared" si="28"/>
        <v>0</v>
      </c>
      <c r="Z24" s="2172">
        <f t="shared" si="28"/>
        <v>0</v>
      </c>
      <c r="AA24" s="2172">
        <f t="shared" si="28"/>
        <v>0</v>
      </c>
      <c r="AB24" s="2172">
        <f t="shared" si="28"/>
        <v>0</v>
      </c>
      <c r="AC24" s="2173">
        <f t="shared" ca="1" si="8"/>
        <v>0</v>
      </c>
      <c r="AD24" s="1803"/>
      <c r="AE24" s="1803"/>
      <c r="AF24" s="1803"/>
      <c r="AG24" s="1803"/>
    </row>
    <row r="25" spans="1:33" ht="20.100000000000001" customHeight="1">
      <c r="A25" s="2836"/>
      <c r="B25" s="2837" t="s">
        <v>2634</v>
      </c>
      <c r="C25" s="2104" t="str">
        <f t="shared" si="0"/>
        <v>其他</v>
      </c>
      <c r="D25" s="2171">
        <f>IF(ISERROR(VLOOKUP(VALUE(D$2&amp;$B25),Sheet_Trialbal,6,0)),0,VLOOKUP(VALUE(D$2&amp;$B25),Sheet_Trialbal,6,0))</f>
        <v>0</v>
      </c>
      <c r="E25" s="2171">
        <f t="shared" si="23"/>
        <v>0</v>
      </c>
      <c r="F25" s="2171">
        <f t="shared" si="23"/>
        <v>0</v>
      </c>
      <c r="G25" s="2171">
        <f t="shared" si="23"/>
        <v>0</v>
      </c>
      <c r="H25" s="2171">
        <f t="shared" si="24"/>
        <v>0</v>
      </c>
      <c r="I25" s="2171">
        <f t="shared" si="24"/>
        <v>0</v>
      </c>
      <c r="J25" s="2171">
        <f>IF(ISERROR(VLOOKUP(J$2&amp;$B25,Sheet_Trialbal,6,0)),0,VLOOKUP(J$2&amp;$B25,Sheet_Trialbal,6,0))</f>
        <v>0</v>
      </c>
      <c r="K25" s="2171">
        <f t="shared" si="25"/>
        <v>0</v>
      </c>
      <c r="L25" s="2171">
        <f t="shared" si="25"/>
        <v>0</v>
      </c>
      <c r="M25" s="2171">
        <f t="shared" si="25"/>
        <v>0</v>
      </c>
      <c r="N25" s="2171">
        <f t="shared" si="25"/>
        <v>0</v>
      </c>
      <c r="O25" s="2171">
        <f t="shared" si="25"/>
        <v>0</v>
      </c>
      <c r="P25" s="2182">
        <f t="shared" si="4"/>
        <v>0</v>
      </c>
      <c r="Q25" s="2180">
        <f>IF(ISERROR(VLOOKUP(VALUE(Q$2&amp;$B25),Sheet_Trialbal,10,0)),0,VLOOKUP(VALUE(Q$2&amp;$B25),Sheet_Trialbal,10,0))</f>
        <v>0</v>
      </c>
      <c r="R25" s="2172">
        <f t="shared" ca="1" si="26"/>
        <v>0</v>
      </c>
      <c r="S25" s="2172">
        <f t="shared" ca="1" si="26"/>
        <v>0</v>
      </c>
      <c r="T25" s="2172">
        <f t="shared" ca="1" si="26"/>
        <v>0</v>
      </c>
      <c r="U25" s="2172">
        <f t="shared" si="27"/>
        <v>0</v>
      </c>
      <c r="V25" s="2172">
        <f t="shared" si="27"/>
        <v>0</v>
      </c>
      <c r="W25" s="2172">
        <f ca="1">IF(ISERROR(VLOOKUP(W$2&amp;$B25,Sheet_Trialbal,10,0)),0,VLOOKUP(W$2&amp;$B25,Sheet_Trialbal,10,0))</f>
        <v>0</v>
      </c>
      <c r="X25" s="2172">
        <f t="shared" si="28"/>
        <v>0</v>
      </c>
      <c r="Y25" s="2172">
        <f t="shared" si="28"/>
        <v>0</v>
      </c>
      <c r="Z25" s="2172">
        <f t="shared" si="28"/>
        <v>0</v>
      </c>
      <c r="AA25" s="2172">
        <f t="shared" si="28"/>
        <v>0</v>
      </c>
      <c r="AB25" s="2172">
        <f t="shared" si="28"/>
        <v>0</v>
      </c>
      <c r="AC25" s="2173">
        <f t="shared" ca="1" si="8"/>
        <v>0</v>
      </c>
      <c r="AD25" s="1803"/>
      <c r="AE25" s="1803"/>
      <c r="AF25" s="1803"/>
      <c r="AG25" s="1803"/>
    </row>
    <row r="26" spans="1:33" ht="20.100000000000001" customHeight="1">
      <c r="A26" s="2836" t="s">
        <v>287</v>
      </c>
      <c r="B26" s="2837" t="s">
        <v>2635</v>
      </c>
      <c r="C26" s="2099" t="str">
        <f>VLOOKUP(VALUE($P$2&amp;$B26),Sheet_Items,7,0)</f>
        <v>（四）所有者权益内部结转</v>
      </c>
      <c r="D26" s="2171">
        <f t="shared" ref="D26:O26" si="29">SUM(D27:D32)</f>
        <v>0</v>
      </c>
      <c r="E26" s="2171">
        <f t="shared" si="29"/>
        <v>0</v>
      </c>
      <c r="F26" s="2171">
        <f t="shared" si="29"/>
        <v>0</v>
      </c>
      <c r="G26" s="2171">
        <f t="shared" si="29"/>
        <v>0</v>
      </c>
      <c r="H26" s="2171">
        <f t="shared" si="29"/>
        <v>0</v>
      </c>
      <c r="I26" s="2171">
        <f t="shared" si="29"/>
        <v>0</v>
      </c>
      <c r="J26" s="2171">
        <f t="shared" si="29"/>
        <v>0</v>
      </c>
      <c r="K26" s="2171">
        <f t="shared" si="29"/>
        <v>0</v>
      </c>
      <c r="L26" s="2171">
        <f t="shared" si="29"/>
        <v>0</v>
      </c>
      <c r="M26" s="2171">
        <f t="shared" si="29"/>
        <v>0</v>
      </c>
      <c r="N26" s="2171">
        <f t="shared" si="29"/>
        <v>0</v>
      </c>
      <c r="O26" s="2171">
        <f t="shared" si="29"/>
        <v>0</v>
      </c>
      <c r="P26" s="2182">
        <f t="shared" si="4"/>
        <v>0</v>
      </c>
      <c r="Q26" s="2180">
        <f t="shared" ref="Q26:AB26" si="30">SUM(Q27:Q32)</f>
        <v>0</v>
      </c>
      <c r="R26" s="2172">
        <f t="shared" ca="1" si="30"/>
        <v>0</v>
      </c>
      <c r="S26" s="2172">
        <f t="shared" ca="1" si="30"/>
        <v>0</v>
      </c>
      <c r="T26" s="2172">
        <f t="shared" ca="1" si="30"/>
        <v>0</v>
      </c>
      <c r="U26" s="2172">
        <f t="shared" si="30"/>
        <v>0</v>
      </c>
      <c r="V26" s="2172">
        <f t="shared" si="30"/>
        <v>0</v>
      </c>
      <c r="W26" s="2172">
        <f t="shared" ca="1" si="30"/>
        <v>0</v>
      </c>
      <c r="X26" s="2172">
        <f t="shared" si="30"/>
        <v>0</v>
      </c>
      <c r="Y26" s="2172">
        <f t="shared" si="30"/>
        <v>0</v>
      </c>
      <c r="Z26" s="2172">
        <f t="shared" si="30"/>
        <v>0</v>
      </c>
      <c r="AA26" s="2172">
        <f t="shared" si="30"/>
        <v>0</v>
      </c>
      <c r="AB26" s="2172">
        <f t="shared" si="30"/>
        <v>0</v>
      </c>
      <c r="AC26" s="2173">
        <f t="shared" ca="1" si="8"/>
        <v>0</v>
      </c>
      <c r="AD26" s="1803"/>
      <c r="AE26" s="1803"/>
      <c r="AF26" s="1803"/>
      <c r="AG26" s="1803"/>
    </row>
    <row r="27" spans="1:33" ht="20.100000000000001" customHeight="1">
      <c r="A27" s="2836"/>
      <c r="B27" s="2837" t="s">
        <v>2636</v>
      </c>
      <c r="C27" s="2101" t="str">
        <f t="shared" si="0"/>
        <v>资本公积转增资本（或股本）</v>
      </c>
      <c r="D27" s="2171">
        <f t="shared" ref="D27:D36" si="31">IF(ISERROR(VLOOKUP(VALUE(D$2&amp;$B27),Sheet_Trialbal,6,0)),0,VLOOKUP(VALUE(D$2&amp;$B27),Sheet_Trialbal,6,0))</f>
        <v>0</v>
      </c>
      <c r="E27" s="2171">
        <f t="shared" ref="E27:G36" si="32">IF(ISERROR(VLOOKUP(E$2&amp;$B27,Sheet_Trialbal,6,0)),0,VLOOKUP(E$2&amp;$B27,Sheet_Trialbal,6,0))</f>
        <v>0</v>
      </c>
      <c r="F27" s="2171">
        <f t="shared" si="32"/>
        <v>0</v>
      </c>
      <c r="G27" s="2171">
        <f t="shared" si="32"/>
        <v>0</v>
      </c>
      <c r="H27" s="2171">
        <f t="shared" ref="H27:I36" si="33">IF(ISERROR(VLOOKUP(VALUE(H$2&amp;$B27),Sheet_Trialbal,6,0)),0,VLOOKUP(VALUE(H$2&amp;$B27),Sheet_Trialbal,6,0))</f>
        <v>0</v>
      </c>
      <c r="I27" s="2171">
        <f t="shared" si="33"/>
        <v>0</v>
      </c>
      <c r="J27" s="2171">
        <f t="shared" ref="J27:J36" si="34">IF(ISERROR(VLOOKUP(J$2&amp;$B27,Sheet_Trialbal,6,0)),0,VLOOKUP(J$2&amp;$B27,Sheet_Trialbal,6,0))</f>
        <v>0</v>
      </c>
      <c r="K27" s="2171">
        <f t="shared" ref="K27:O36" si="35">IF(ISERROR(VLOOKUP(VALUE(K$2&amp;$B27),Sheet_Trialbal,6,0)),0,VLOOKUP(VALUE(K$2&amp;$B27),Sheet_Trialbal,6,0))</f>
        <v>0</v>
      </c>
      <c r="L27" s="2171">
        <f t="shared" si="35"/>
        <v>0</v>
      </c>
      <c r="M27" s="2171">
        <f t="shared" si="35"/>
        <v>0</v>
      </c>
      <c r="N27" s="2171">
        <f t="shared" si="35"/>
        <v>0</v>
      </c>
      <c r="O27" s="2171">
        <f t="shared" si="35"/>
        <v>0</v>
      </c>
      <c r="P27" s="2182">
        <f t="shared" si="4"/>
        <v>0</v>
      </c>
      <c r="Q27" s="2180">
        <f t="shared" ref="Q27:Q36" si="36">IF(ISERROR(VLOOKUP(VALUE(Q$2&amp;$B27),Sheet_Trialbal,10,0)),0,VLOOKUP(VALUE(Q$2&amp;$B27),Sheet_Trialbal,10,0))</f>
        <v>0</v>
      </c>
      <c r="R27" s="2172">
        <f t="shared" ref="R27:T36" ca="1" si="37">IF(ISERROR(VLOOKUP(R$2&amp;$B27,Sheet_Trialbal,10,0)),0,VLOOKUP(R$2&amp;$B27,Sheet_Trialbal,10,0))</f>
        <v>0</v>
      </c>
      <c r="S27" s="2172">
        <f t="shared" ca="1" si="37"/>
        <v>0</v>
      </c>
      <c r="T27" s="2172">
        <f t="shared" ca="1" si="37"/>
        <v>0</v>
      </c>
      <c r="U27" s="2172">
        <f t="shared" ref="U27:V36" si="38">IF(ISERROR(VLOOKUP(VALUE(U$2&amp;$B27),Sheet_Trialbal,10,0)),0,VLOOKUP(VALUE(U$2&amp;$B27),Sheet_Trialbal,10,0))</f>
        <v>0</v>
      </c>
      <c r="V27" s="2172">
        <f t="shared" si="38"/>
        <v>0</v>
      </c>
      <c r="W27" s="2172">
        <f t="shared" ref="W27:W36" ca="1" si="39">IF(ISERROR(VLOOKUP(W$2&amp;$B27,Sheet_Trialbal,10,0)),0,VLOOKUP(W$2&amp;$B27,Sheet_Trialbal,10,0))</f>
        <v>0</v>
      </c>
      <c r="X27" s="2172">
        <f t="shared" ref="X27:AB36" si="40">IF(ISERROR(VLOOKUP(VALUE(X$2&amp;$B27),Sheet_Trialbal,10,0)),0,VLOOKUP(VALUE(X$2&amp;$B27),Sheet_Trialbal,10,0))</f>
        <v>0</v>
      </c>
      <c r="Y27" s="2172">
        <f t="shared" si="40"/>
        <v>0</v>
      </c>
      <c r="Z27" s="2172">
        <f t="shared" si="40"/>
        <v>0</v>
      </c>
      <c r="AA27" s="2172">
        <f t="shared" si="40"/>
        <v>0</v>
      </c>
      <c r="AB27" s="2172">
        <f t="shared" si="40"/>
        <v>0</v>
      </c>
      <c r="AC27" s="2173">
        <f t="shared" ca="1" si="8"/>
        <v>0</v>
      </c>
      <c r="AD27" s="1803"/>
      <c r="AE27" s="1803"/>
      <c r="AF27" s="1803"/>
      <c r="AG27" s="1803"/>
    </row>
    <row r="28" spans="1:33" ht="20.100000000000001" customHeight="1">
      <c r="A28" s="2836"/>
      <c r="B28" s="2837" t="s">
        <v>2637</v>
      </c>
      <c r="C28" s="2102" t="str">
        <f t="shared" si="0"/>
        <v>盈余公积转增资本（或股本）</v>
      </c>
      <c r="D28" s="2171">
        <f t="shared" si="31"/>
        <v>0</v>
      </c>
      <c r="E28" s="2171">
        <f t="shared" si="32"/>
        <v>0</v>
      </c>
      <c r="F28" s="2171">
        <f t="shared" si="32"/>
        <v>0</v>
      </c>
      <c r="G28" s="2171">
        <f t="shared" si="32"/>
        <v>0</v>
      </c>
      <c r="H28" s="2171">
        <f t="shared" si="33"/>
        <v>0</v>
      </c>
      <c r="I28" s="2171">
        <f t="shared" si="33"/>
        <v>0</v>
      </c>
      <c r="J28" s="2171">
        <f t="shared" si="34"/>
        <v>0</v>
      </c>
      <c r="K28" s="2171">
        <f t="shared" si="35"/>
        <v>0</v>
      </c>
      <c r="L28" s="2171">
        <f t="shared" si="35"/>
        <v>0</v>
      </c>
      <c r="M28" s="2171">
        <f t="shared" si="35"/>
        <v>0</v>
      </c>
      <c r="N28" s="2171">
        <f t="shared" si="35"/>
        <v>0</v>
      </c>
      <c r="O28" s="2171">
        <f t="shared" si="35"/>
        <v>0</v>
      </c>
      <c r="P28" s="2182">
        <f t="shared" si="4"/>
        <v>0</v>
      </c>
      <c r="Q28" s="2180">
        <f t="shared" si="36"/>
        <v>0</v>
      </c>
      <c r="R28" s="2172">
        <f t="shared" ca="1" si="37"/>
        <v>0</v>
      </c>
      <c r="S28" s="2172">
        <f t="shared" ca="1" si="37"/>
        <v>0</v>
      </c>
      <c r="T28" s="2172">
        <f t="shared" ca="1" si="37"/>
        <v>0</v>
      </c>
      <c r="U28" s="2172">
        <f t="shared" si="38"/>
        <v>0</v>
      </c>
      <c r="V28" s="2172">
        <f t="shared" si="38"/>
        <v>0</v>
      </c>
      <c r="W28" s="2172">
        <f t="shared" ca="1" si="39"/>
        <v>0</v>
      </c>
      <c r="X28" s="2172">
        <f t="shared" si="40"/>
        <v>0</v>
      </c>
      <c r="Y28" s="2172">
        <f t="shared" si="40"/>
        <v>0</v>
      </c>
      <c r="Z28" s="2172">
        <f t="shared" si="40"/>
        <v>0</v>
      </c>
      <c r="AA28" s="2172">
        <f t="shared" si="40"/>
        <v>0</v>
      </c>
      <c r="AB28" s="2172">
        <f t="shared" si="40"/>
        <v>0</v>
      </c>
      <c r="AC28" s="2173">
        <f t="shared" ca="1" si="8"/>
        <v>0</v>
      </c>
      <c r="AD28" s="1803"/>
      <c r="AE28" s="1803"/>
      <c r="AF28" s="1803"/>
      <c r="AG28" s="1803"/>
    </row>
    <row r="29" spans="1:33" ht="20.100000000000001" customHeight="1">
      <c r="A29" s="2836"/>
      <c r="B29" s="2837" t="s">
        <v>2638</v>
      </c>
      <c r="C29" s="2103" t="str">
        <f t="shared" si="0"/>
        <v>盈余公积弥补亏损</v>
      </c>
      <c r="D29" s="2171">
        <f t="shared" si="31"/>
        <v>0</v>
      </c>
      <c r="E29" s="2171">
        <f t="shared" si="32"/>
        <v>0</v>
      </c>
      <c r="F29" s="2171">
        <f t="shared" si="32"/>
        <v>0</v>
      </c>
      <c r="G29" s="2171">
        <f t="shared" si="32"/>
        <v>0</v>
      </c>
      <c r="H29" s="2171">
        <f t="shared" si="33"/>
        <v>0</v>
      </c>
      <c r="I29" s="2171">
        <f t="shared" si="33"/>
        <v>0</v>
      </c>
      <c r="J29" s="2171">
        <f t="shared" si="34"/>
        <v>0</v>
      </c>
      <c r="K29" s="2171">
        <f t="shared" si="35"/>
        <v>0</v>
      </c>
      <c r="L29" s="2171">
        <f t="shared" si="35"/>
        <v>0</v>
      </c>
      <c r="M29" s="2171">
        <f t="shared" si="35"/>
        <v>0</v>
      </c>
      <c r="N29" s="2171">
        <f t="shared" si="35"/>
        <v>0</v>
      </c>
      <c r="O29" s="2171">
        <f t="shared" si="35"/>
        <v>0</v>
      </c>
      <c r="P29" s="2182">
        <f t="shared" si="4"/>
        <v>0</v>
      </c>
      <c r="Q29" s="2180">
        <f t="shared" si="36"/>
        <v>0</v>
      </c>
      <c r="R29" s="2172">
        <f t="shared" ca="1" si="37"/>
        <v>0</v>
      </c>
      <c r="S29" s="2172">
        <f t="shared" ca="1" si="37"/>
        <v>0</v>
      </c>
      <c r="T29" s="2172">
        <f t="shared" ca="1" si="37"/>
        <v>0</v>
      </c>
      <c r="U29" s="2172">
        <f t="shared" si="38"/>
        <v>0</v>
      </c>
      <c r="V29" s="2172">
        <f t="shared" si="38"/>
        <v>0</v>
      </c>
      <c r="W29" s="2172">
        <f t="shared" ca="1" si="39"/>
        <v>0</v>
      </c>
      <c r="X29" s="2172">
        <f t="shared" si="40"/>
        <v>0</v>
      </c>
      <c r="Y29" s="2172">
        <f t="shared" si="40"/>
        <v>0</v>
      </c>
      <c r="Z29" s="2172">
        <f t="shared" si="40"/>
        <v>0</v>
      </c>
      <c r="AA29" s="2172">
        <f t="shared" si="40"/>
        <v>0</v>
      </c>
      <c r="AB29" s="2172">
        <f t="shared" si="40"/>
        <v>0</v>
      </c>
      <c r="AC29" s="2173">
        <f t="shared" ca="1" si="8"/>
        <v>0</v>
      </c>
      <c r="AD29" s="1803"/>
      <c r="AE29" s="1803"/>
      <c r="AF29" s="1803"/>
      <c r="AG29" s="1803"/>
    </row>
    <row r="30" spans="1:33" ht="20.100000000000001" customHeight="1">
      <c r="A30" s="2836"/>
      <c r="B30" s="2837" t="s">
        <v>2639</v>
      </c>
      <c r="C30" s="2104" t="str">
        <f t="shared" si="0"/>
        <v>设定受益计划变动额结转留存收益</v>
      </c>
      <c r="D30" s="2171">
        <f t="shared" si="31"/>
        <v>0</v>
      </c>
      <c r="E30" s="2171">
        <f t="shared" si="32"/>
        <v>0</v>
      </c>
      <c r="F30" s="2171">
        <f t="shared" si="32"/>
        <v>0</v>
      </c>
      <c r="G30" s="2171">
        <f t="shared" si="32"/>
        <v>0</v>
      </c>
      <c r="H30" s="2171">
        <f t="shared" si="33"/>
        <v>0</v>
      </c>
      <c r="I30" s="2171">
        <f t="shared" si="33"/>
        <v>0</v>
      </c>
      <c r="J30" s="2171">
        <f t="shared" si="34"/>
        <v>0</v>
      </c>
      <c r="K30" s="2171">
        <f t="shared" si="35"/>
        <v>0</v>
      </c>
      <c r="L30" s="2171">
        <f t="shared" si="35"/>
        <v>0</v>
      </c>
      <c r="M30" s="2171">
        <f t="shared" si="35"/>
        <v>0</v>
      </c>
      <c r="N30" s="2171">
        <f t="shared" si="35"/>
        <v>0</v>
      </c>
      <c r="O30" s="2171">
        <f t="shared" si="35"/>
        <v>0</v>
      </c>
      <c r="P30" s="2182">
        <f t="shared" si="4"/>
        <v>0</v>
      </c>
      <c r="Q30" s="2180">
        <f t="shared" si="36"/>
        <v>0</v>
      </c>
      <c r="R30" s="2172">
        <f t="shared" ca="1" si="37"/>
        <v>0</v>
      </c>
      <c r="S30" s="2172">
        <f t="shared" ca="1" si="37"/>
        <v>0</v>
      </c>
      <c r="T30" s="2172">
        <f t="shared" ca="1" si="37"/>
        <v>0</v>
      </c>
      <c r="U30" s="2172">
        <f t="shared" si="38"/>
        <v>0</v>
      </c>
      <c r="V30" s="2172">
        <f t="shared" si="38"/>
        <v>0</v>
      </c>
      <c r="W30" s="2172">
        <f t="shared" ca="1" si="39"/>
        <v>0</v>
      </c>
      <c r="X30" s="2172">
        <f t="shared" si="40"/>
        <v>0</v>
      </c>
      <c r="Y30" s="2172">
        <f t="shared" si="40"/>
        <v>0</v>
      </c>
      <c r="Z30" s="2172">
        <f t="shared" si="40"/>
        <v>0</v>
      </c>
      <c r="AA30" s="2172">
        <f t="shared" si="40"/>
        <v>0</v>
      </c>
      <c r="AB30" s="2172">
        <f t="shared" si="40"/>
        <v>0</v>
      </c>
      <c r="AC30" s="2173">
        <f t="shared" ca="1" si="8"/>
        <v>0</v>
      </c>
      <c r="AD30" s="1803"/>
      <c r="AE30" s="1803"/>
      <c r="AF30" s="1803"/>
      <c r="AG30" s="1803"/>
    </row>
    <row r="31" spans="1:33" ht="20.100000000000001" customHeight="1">
      <c r="A31" s="2836"/>
      <c r="B31" s="2837" t="s">
        <v>5846</v>
      </c>
      <c r="C31" s="2105" t="str">
        <f t="shared" si="0"/>
        <v>其他综合收益结转留存收益</v>
      </c>
      <c r="D31" s="2171">
        <f t="shared" si="31"/>
        <v>0</v>
      </c>
      <c r="E31" s="2171">
        <f t="shared" si="32"/>
        <v>0</v>
      </c>
      <c r="F31" s="2171">
        <f t="shared" si="32"/>
        <v>0</v>
      </c>
      <c r="G31" s="2171">
        <f t="shared" si="32"/>
        <v>0</v>
      </c>
      <c r="H31" s="2171">
        <f t="shared" si="33"/>
        <v>0</v>
      </c>
      <c r="I31" s="2171">
        <f t="shared" si="33"/>
        <v>0</v>
      </c>
      <c r="J31" s="2171">
        <f t="shared" si="34"/>
        <v>0</v>
      </c>
      <c r="K31" s="2171">
        <f t="shared" si="35"/>
        <v>0</v>
      </c>
      <c r="L31" s="2171">
        <f t="shared" si="35"/>
        <v>0</v>
      </c>
      <c r="M31" s="2171">
        <f t="shared" si="35"/>
        <v>0</v>
      </c>
      <c r="N31" s="2171">
        <f t="shared" si="35"/>
        <v>0</v>
      </c>
      <c r="O31" s="2171">
        <f t="shared" si="35"/>
        <v>0</v>
      </c>
      <c r="P31" s="2182">
        <f t="shared" ref="P31" si="41">SUM(D31:H31,-I31,J31:O31)</f>
        <v>0</v>
      </c>
      <c r="Q31" s="2180">
        <f t="shared" si="36"/>
        <v>0</v>
      </c>
      <c r="R31" s="2172">
        <f t="shared" ca="1" si="37"/>
        <v>0</v>
      </c>
      <c r="S31" s="2172">
        <f t="shared" ca="1" si="37"/>
        <v>0</v>
      </c>
      <c r="T31" s="2172">
        <f t="shared" ca="1" si="37"/>
        <v>0</v>
      </c>
      <c r="U31" s="2172">
        <f t="shared" si="38"/>
        <v>0</v>
      </c>
      <c r="V31" s="2172">
        <f t="shared" si="38"/>
        <v>0</v>
      </c>
      <c r="W31" s="2172">
        <f t="shared" ca="1" si="39"/>
        <v>0</v>
      </c>
      <c r="X31" s="2172">
        <f t="shared" si="40"/>
        <v>0</v>
      </c>
      <c r="Y31" s="2172">
        <f t="shared" si="40"/>
        <v>0</v>
      </c>
      <c r="Z31" s="2172">
        <f t="shared" si="40"/>
        <v>0</v>
      </c>
      <c r="AA31" s="2172">
        <f t="shared" si="40"/>
        <v>0</v>
      </c>
      <c r="AB31" s="2172">
        <f t="shared" si="40"/>
        <v>0</v>
      </c>
      <c r="AC31" s="2173">
        <f t="shared" ref="AC31" ca="1" si="42">SUM(Q31:U31,-V31,W31:AB31)</f>
        <v>0</v>
      </c>
      <c r="AD31" s="1803"/>
      <c r="AE31" s="1803"/>
      <c r="AF31" s="1803"/>
      <c r="AG31" s="1803"/>
    </row>
    <row r="32" spans="1:33" ht="20.100000000000001" customHeight="1">
      <c r="A32" s="2836"/>
      <c r="B32" s="2837" t="s">
        <v>2641</v>
      </c>
      <c r="C32" s="2106" t="str">
        <f t="shared" si="0"/>
        <v>其他</v>
      </c>
      <c r="D32" s="2171">
        <f t="shared" si="31"/>
        <v>0</v>
      </c>
      <c r="E32" s="2171">
        <f t="shared" si="32"/>
        <v>0</v>
      </c>
      <c r="F32" s="2171">
        <f t="shared" si="32"/>
        <v>0</v>
      </c>
      <c r="G32" s="2171">
        <f t="shared" si="32"/>
        <v>0</v>
      </c>
      <c r="H32" s="2171">
        <f t="shared" si="33"/>
        <v>0</v>
      </c>
      <c r="I32" s="2171">
        <f t="shared" si="33"/>
        <v>0</v>
      </c>
      <c r="J32" s="2171">
        <f t="shared" si="34"/>
        <v>0</v>
      </c>
      <c r="K32" s="2171">
        <f t="shared" si="35"/>
        <v>0</v>
      </c>
      <c r="L32" s="2171">
        <f t="shared" si="35"/>
        <v>0</v>
      </c>
      <c r="M32" s="2171">
        <f t="shared" si="35"/>
        <v>0</v>
      </c>
      <c r="N32" s="2171">
        <f t="shared" si="35"/>
        <v>0</v>
      </c>
      <c r="O32" s="2171">
        <f t="shared" si="35"/>
        <v>0</v>
      </c>
      <c r="P32" s="2182">
        <f t="shared" si="4"/>
        <v>0</v>
      </c>
      <c r="Q32" s="2180">
        <f t="shared" si="36"/>
        <v>0</v>
      </c>
      <c r="R32" s="2172">
        <f t="shared" ca="1" si="37"/>
        <v>0</v>
      </c>
      <c r="S32" s="2172">
        <f t="shared" ca="1" si="37"/>
        <v>0</v>
      </c>
      <c r="T32" s="2172">
        <f t="shared" ca="1" si="37"/>
        <v>0</v>
      </c>
      <c r="U32" s="2172">
        <f t="shared" si="38"/>
        <v>0</v>
      </c>
      <c r="V32" s="2172">
        <f t="shared" si="38"/>
        <v>0</v>
      </c>
      <c r="W32" s="2172">
        <f t="shared" ca="1" si="39"/>
        <v>0</v>
      </c>
      <c r="X32" s="2172">
        <f t="shared" si="40"/>
        <v>0</v>
      </c>
      <c r="Y32" s="2172">
        <f t="shared" si="40"/>
        <v>0</v>
      </c>
      <c r="Z32" s="2172">
        <f t="shared" si="40"/>
        <v>0</v>
      </c>
      <c r="AA32" s="2172">
        <f t="shared" si="40"/>
        <v>0</v>
      </c>
      <c r="AB32" s="2172">
        <f t="shared" si="40"/>
        <v>0</v>
      </c>
      <c r="AC32" s="2173">
        <f t="shared" ca="1" si="8"/>
        <v>0</v>
      </c>
      <c r="AD32" s="1803"/>
      <c r="AE32" s="1803"/>
      <c r="AF32" s="1803"/>
      <c r="AG32" s="1803"/>
    </row>
    <row r="33" spans="1:33" ht="20.100000000000001" customHeight="1">
      <c r="A33" s="2836" t="s">
        <v>287</v>
      </c>
      <c r="B33" s="2837" t="s">
        <v>5791</v>
      </c>
      <c r="C33" s="2099" t="str">
        <f>VLOOKUP(VALUE($P$2&amp;$B33),Sheet_Items,7,0)</f>
        <v>（五）专项储备</v>
      </c>
      <c r="D33" s="2171">
        <f t="shared" ref="D33:O33" si="43">SUM(D34:D35)</f>
        <v>0</v>
      </c>
      <c r="E33" s="2171">
        <f t="shared" si="43"/>
        <v>0</v>
      </c>
      <c r="F33" s="2171">
        <f t="shared" si="43"/>
        <v>0</v>
      </c>
      <c r="G33" s="2171">
        <f t="shared" si="43"/>
        <v>0</v>
      </c>
      <c r="H33" s="2171">
        <f t="shared" si="43"/>
        <v>0</v>
      </c>
      <c r="I33" s="2171">
        <f t="shared" si="43"/>
        <v>0</v>
      </c>
      <c r="J33" s="2171">
        <f t="shared" si="43"/>
        <v>0</v>
      </c>
      <c r="K33" s="2171">
        <f t="shared" si="43"/>
        <v>0</v>
      </c>
      <c r="L33" s="2171">
        <f t="shared" si="43"/>
        <v>0</v>
      </c>
      <c r="M33" s="2171">
        <f t="shared" si="43"/>
        <v>0</v>
      </c>
      <c r="N33" s="2171">
        <f t="shared" si="43"/>
        <v>0</v>
      </c>
      <c r="O33" s="2171">
        <f t="shared" si="43"/>
        <v>0</v>
      </c>
      <c r="P33" s="2182">
        <f>SUM(D33:H33,-I33,J33:O33)</f>
        <v>0</v>
      </c>
      <c r="Q33" s="2180">
        <f t="shared" ref="Q33:AB33" si="44">SUM(Q34:Q35)</f>
        <v>0</v>
      </c>
      <c r="R33" s="2172">
        <f t="shared" ca="1" si="44"/>
        <v>0</v>
      </c>
      <c r="S33" s="2172">
        <f t="shared" ca="1" si="44"/>
        <v>0</v>
      </c>
      <c r="T33" s="2172">
        <f t="shared" ca="1" si="44"/>
        <v>0</v>
      </c>
      <c r="U33" s="2172">
        <f t="shared" si="44"/>
        <v>0</v>
      </c>
      <c r="V33" s="2172">
        <f t="shared" si="44"/>
        <v>0</v>
      </c>
      <c r="W33" s="2172">
        <f t="shared" ca="1" si="44"/>
        <v>0</v>
      </c>
      <c r="X33" s="2172">
        <f t="shared" si="44"/>
        <v>0</v>
      </c>
      <c r="Y33" s="2172">
        <f t="shared" si="44"/>
        <v>0</v>
      </c>
      <c r="Z33" s="2172">
        <f t="shared" si="44"/>
        <v>0</v>
      </c>
      <c r="AA33" s="2172">
        <f t="shared" si="44"/>
        <v>0</v>
      </c>
      <c r="AB33" s="2172">
        <f t="shared" si="44"/>
        <v>0</v>
      </c>
      <c r="AC33" s="2173">
        <f ca="1">SUM(Q33:U33,-V33,W33:AB33)</f>
        <v>0</v>
      </c>
      <c r="AD33" s="1803"/>
      <c r="AE33" s="1803"/>
      <c r="AF33" s="1803"/>
      <c r="AG33" s="1803"/>
    </row>
    <row r="34" spans="1:33" ht="20.100000000000001" customHeight="1">
      <c r="A34" s="2836"/>
      <c r="B34" s="2837" t="s">
        <v>2592</v>
      </c>
      <c r="C34" s="2101" t="str">
        <f>VLOOKUP(VALUE($P$2&amp;$B34),Sheet_Items,6,0)</f>
        <v>本年提取</v>
      </c>
      <c r="D34" s="2171">
        <f>IF(ISERROR(VLOOKUP(VALUE(D$2&amp;$B34),Sheet_Trialbal,6,0)),0,VLOOKUP(VALUE(D$2&amp;$B34),Sheet_Trialbal,6,0))</f>
        <v>0</v>
      </c>
      <c r="E34" s="2171">
        <f t="shared" ref="E34:G35" si="45">IF(ISERROR(VLOOKUP(E$2&amp;$B34,Sheet_Trialbal,6,0)),0,VLOOKUP(E$2&amp;$B34,Sheet_Trialbal,6,0))</f>
        <v>0</v>
      </c>
      <c r="F34" s="2171">
        <f t="shared" si="45"/>
        <v>0</v>
      </c>
      <c r="G34" s="2171">
        <f t="shared" si="45"/>
        <v>0</v>
      </c>
      <c r="H34" s="2171">
        <f>IF(ISERROR(VLOOKUP(VALUE(H$2&amp;$B34),Sheet_Trialbal,6,0)),0,VLOOKUP(VALUE(H$2&amp;$B34),Sheet_Trialbal,6,0))</f>
        <v>0</v>
      </c>
      <c r="I34" s="2171">
        <f>IF(ISERROR(VLOOKUP(VALUE(I$2&amp;$B34),Sheet_Trialbal,6,0)),0,VLOOKUP(VALUE(I$2&amp;$B34),Sheet_Trialbal,6,0))</f>
        <v>0</v>
      </c>
      <c r="J34" s="2171">
        <f>IF(ISERROR(VLOOKUP(J$2&amp;$B34,Sheet_Trialbal,6,0)),0,VLOOKUP(J$2&amp;$B34,Sheet_Trialbal,6,0))</f>
        <v>0</v>
      </c>
      <c r="K34" s="2171">
        <f t="shared" ref="K34:O35" si="46">IF(ISERROR(VLOOKUP(VALUE(K$2&amp;$B34),Sheet_Trialbal,6,0)),0,VLOOKUP(VALUE(K$2&amp;$B34),Sheet_Trialbal,6,0))</f>
        <v>0</v>
      </c>
      <c r="L34" s="2171">
        <f t="shared" si="46"/>
        <v>0</v>
      </c>
      <c r="M34" s="2171">
        <f t="shared" si="46"/>
        <v>0</v>
      </c>
      <c r="N34" s="2171">
        <f t="shared" si="46"/>
        <v>0</v>
      </c>
      <c r="O34" s="2171">
        <f t="shared" si="46"/>
        <v>0</v>
      </c>
      <c r="P34" s="2182">
        <f>SUM(D34:H34,-I34,J34:O34)</f>
        <v>0</v>
      </c>
      <c r="Q34" s="2180">
        <f>IF(ISERROR(VLOOKUP(VALUE(Q$2&amp;$B34),Sheet_Trialbal,10,0)),0,VLOOKUP(VALUE(Q$2&amp;$B34),Sheet_Trialbal,10,0))</f>
        <v>0</v>
      </c>
      <c r="R34" s="2172">
        <f t="shared" ref="R34:T35" ca="1" si="47">IF(ISERROR(VLOOKUP(R$2&amp;$B34,Sheet_Trialbal,10,0)),0,VLOOKUP(R$2&amp;$B34,Sheet_Trialbal,10,0))</f>
        <v>0</v>
      </c>
      <c r="S34" s="2172">
        <f t="shared" ca="1" si="47"/>
        <v>0</v>
      </c>
      <c r="T34" s="2172">
        <f t="shared" ca="1" si="47"/>
        <v>0</v>
      </c>
      <c r="U34" s="2172">
        <f>IF(ISERROR(VLOOKUP(VALUE(U$2&amp;$B34),Sheet_Trialbal,10,0)),0,VLOOKUP(VALUE(U$2&amp;$B34),Sheet_Trialbal,10,0))</f>
        <v>0</v>
      </c>
      <c r="V34" s="2172">
        <f>IF(ISERROR(VLOOKUP(VALUE(V$2&amp;$B34),Sheet_Trialbal,10,0)),0,VLOOKUP(VALUE(V$2&amp;$B34),Sheet_Trialbal,10,0))</f>
        <v>0</v>
      </c>
      <c r="W34" s="2172">
        <f ca="1">IF(ISERROR(VLOOKUP(W$2&amp;$B34,Sheet_Trialbal,10,0)),0,VLOOKUP(W$2&amp;$B34,Sheet_Trialbal,10,0))</f>
        <v>0</v>
      </c>
      <c r="X34" s="2172">
        <f t="shared" ref="X34:AB35" si="48">IF(ISERROR(VLOOKUP(VALUE(X$2&amp;$B34),Sheet_Trialbal,10,0)),0,VLOOKUP(VALUE(X$2&amp;$B34),Sheet_Trialbal,10,0))</f>
        <v>0</v>
      </c>
      <c r="Y34" s="2172">
        <f t="shared" si="48"/>
        <v>0</v>
      </c>
      <c r="Z34" s="2172">
        <f t="shared" si="48"/>
        <v>0</v>
      </c>
      <c r="AA34" s="2172">
        <f t="shared" si="48"/>
        <v>0</v>
      </c>
      <c r="AB34" s="2172">
        <f t="shared" si="48"/>
        <v>0</v>
      </c>
      <c r="AC34" s="2173">
        <f ca="1">SUM(Q34:U34,-V34,W34:AB34)</f>
        <v>0</v>
      </c>
      <c r="AD34" s="1803"/>
      <c r="AE34" s="1803"/>
      <c r="AF34" s="1803"/>
      <c r="AG34" s="1803"/>
    </row>
    <row r="35" spans="1:33" ht="20.100000000000001" customHeight="1">
      <c r="A35" s="2836"/>
      <c r="B35" s="2837" t="s">
        <v>2596</v>
      </c>
      <c r="C35" s="2102" t="str">
        <f>VLOOKUP(VALUE($P$2&amp;$B35),Sheet_Items,6,0)</f>
        <v>本年使用</v>
      </c>
      <c r="D35" s="2171">
        <f>IF(ISERROR(VLOOKUP(VALUE(D$2&amp;$B35),Sheet_Trialbal,6,0)),0,VLOOKUP(VALUE(D$2&amp;$B35),Sheet_Trialbal,6,0))</f>
        <v>0</v>
      </c>
      <c r="E35" s="2171">
        <f t="shared" si="45"/>
        <v>0</v>
      </c>
      <c r="F35" s="2171">
        <f t="shared" si="45"/>
        <v>0</v>
      </c>
      <c r="G35" s="2171">
        <f t="shared" si="45"/>
        <v>0</v>
      </c>
      <c r="H35" s="2171">
        <f>IF(ISERROR(VLOOKUP(VALUE(H$2&amp;$B35),Sheet_Trialbal,6,0)),0,VLOOKUP(VALUE(H$2&amp;$B35),Sheet_Trialbal,6,0))</f>
        <v>0</v>
      </c>
      <c r="I35" s="2171">
        <f>IF(ISERROR(VLOOKUP(VALUE(I$2&amp;$B35),Sheet_Trialbal,6,0)),0,VLOOKUP(VALUE(I$2&amp;$B35),Sheet_Trialbal,6,0))</f>
        <v>0</v>
      </c>
      <c r="J35" s="2171">
        <f>IF(ISERROR(VLOOKUP(J$2&amp;$B35,Sheet_Trialbal,6,0)),0,VLOOKUP(J$2&amp;$B35,Sheet_Trialbal,6,0))</f>
        <v>0</v>
      </c>
      <c r="K35" s="2171">
        <f t="shared" si="46"/>
        <v>0</v>
      </c>
      <c r="L35" s="2171">
        <f t="shared" si="46"/>
        <v>0</v>
      </c>
      <c r="M35" s="2171">
        <f t="shared" si="46"/>
        <v>0</v>
      </c>
      <c r="N35" s="2171">
        <f t="shared" si="46"/>
        <v>0</v>
      </c>
      <c r="O35" s="2171">
        <f t="shared" si="46"/>
        <v>0</v>
      </c>
      <c r="P35" s="2182">
        <f>SUM(D35:H35,-I35,J35:O35)</f>
        <v>0</v>
      </c>
      <c r="Q35" s="2180">
        <f>IF(ISERROR(VLOOKUP(VALUE(Q$2&amp;$B35),Sheet_Trialbal,10,0)),0,VLOOKUP(VALUE(Q$2&amp;$B35),Sheet_Trialbal,10,0))</f>
        <v>0</v>
      </c>
      <c r="R35" s="2172">
        <f t="shared" ca="1" si="47"/>
        <v>0</v>
      </c>
      <c r="S35" s="2172">
        <f t="shared" ca="1" si="47"/>
        <v>0</v>
      </c>
      <c r="T35" s="2172">
        <f t="shared" ca="1" si="47"/>
        <v>0</v>
      </c>
      <c r="U35" s="2172">
        <f>IF(ISERROR(VLOOKUP(VALUE(U$2&amp;$B35),Sheet_Trialbal,10,0)),0,VLOOKUP(VALUE(U$2&amp;$B35),Sheet_Trialbal,10,0))</f>
        <v>0</v>
      </c>
      <c r="V35" s="2172">
        <f>IF(ISERROR(VLOOKUP(VALUE(V$2&amp;$B35),Sheet_Trialbal,10,0)),0,VLOOKUP(VALUE(V$2&amp;$B35),Sheet_Trialbal,10,0))</f>
        <v>0</v>
      </c>
      <c r="W35" s="2172">
        <f ca="1">IF(ISERROR(VLOOKUP(W$2&amp;$B35,Sheet_Trialbal,10,0)),0,VLOOKUP(W$2&amp;$B35,Sheet_Trialbal,10,0))</f>
        <v>0</v>
      </c>
      <c r="X35" s="2172">
        <f t="shared" si="48"/>
        <v>0</v>
      </c>
      <c r="Y35" s="2172">
        <f t="shared" si="48"/>
        <v>0</v>
      </c>
      <c r="Z35" s="2172">
        <f t="shared" si="48"/>
        <v>0</v>
      </c>
      <c r="AA35" s="2172">
        <f t="shared" si="48"/>
        <v>0</v>
      </c>
      <c r="AB35" s="2172">
        <f t="shared" si="48"/>
        <v>0</v>
      </c>
      <c r="AC35" s="2173">
        <f ca="1">SUM(Q35:U35,-V35,W35:AB35)</f>
        <v>0</v>
      </c>
      <c r="AD35" s="1803"/>
      <c r="AE35" s="1803"/>
      <c r="AF35" s="1803"/>
      <c r="AG35" s="1803"/>
    </row>
    <row r="36" spans="1:33" ht="20.100000000000001" customHeight="1">
      <c r="A36" s="2836"/>
      <c r="B36" s="2838" t="s">
        <v>5798</v>
      </c>
      <c r="C36" s="2099" t="str">
        <f t="shared" si="0"/>
        <v>（六）其他</v>
      </c>
      <c r="D36" s="2171">
        <f t="shared" si="31"/>
        <v>0</v>
      </c>
      <c r="E36" s="2171">
        <f t="shared" si="32"/>
        <v>0</v>
      </c>
      <c r="F36" s="2171">
        <f t="shared" si="32"/>
        <v>0</v>
      </c>
      <c r="G36" s="2171">
        <f t="shared" si="32"/>
        <v>0</v>
      </c>
      <c r="H36" s="2171">
        <f t="shared" si="33"/>
        <v>0</v>
      </c>
      <c r="I36" s="2171">
        <f t="shared" si="33"/>
        <v>0</v>
      </c>
      <c r="J36" s="2171">
        <f t="shared" si="34"/>
        <v>0</v>
      </c>
      <c r="K36" s="2171">
        <f t="shared" si="35"/>
        <v>0</v>
      </c>
      <c r="L36" s="2171">
        <f t="shared" si="35"/>
        <v>0</v>
      </c>
      <c r="M36" s="2171">
        <f t="shared" si="35"/>
        <v>0</v>
      </c>
      <c r="N36" s="2171">
        <f t="shared" si="35"/>
        <v>0</v>
      </c>
      <c r="O36" s="2171">
        <f t="shared" si="35"/>
        <v>0</v>
      </c>
      <c r="P36" s="2182">
        <f t="shared" si="4"/>
        <v>0</v>
      </c>
      <c r="Q36" s="2180">
        <f t="shared" si="36"/>
        <v>0</v>
      </c>
      <c r="R36" s="2172">
        <f t="shared" ca="1" si="37"/>
        <v>0</v>
      </c>
      <c r="S36" s="2172">
        <f t="shared" ca="1" si="37"/>
        <v>0</v>
      </c>
      <c r="T36" s="2172">
        <f t="shared" ca="1" si="37"/>
        <v>0</v>
      </c>
      <c r="U36" s="2172">
        <f t="shared" si="38"/>
        <v>0</v>
      </c>
      <c r="V36" s="2172">
        <f t="shared" si="38"/>
        <v>0</v>
      </c>
      <c r="W36" s="2172">
        <f t="shared" ca="1" si="39"/>
        <v>0</v>
      </c>
      <c r="X36" s="2172">
        <f t="shared" si="40"/>
        <v>0</v>
      </c>
      <c r="Y36" s="2172">
        <f t="shared" si="40"/>
        <v>0</v>
      </c>
      <c r="Z36" s="2172">
        <f t="shared" si="40"/>
        <v>0</v>
      </c>
      <c r="AA36" s="2172">
        <f t="shared" si="40"/>
        <v>0</v>
      </c>
      <c r="AB36" s="2172">
        <f t="shared" si="40"/>
        <v>0</v>
      </c>
      <c r="AC36" s="2173">
        <f t="shared" ca="1" si="8"/>
        <v>0</v>
      </c>
      <c r="AD36" s="1803"/>
      <c r="AE36" s="1803"/>
      <c r="AF36" s="1803"/>
      <c r="AG36" s="1803"/>
    </row>
    <row r="37" spans="1:33" ht="20.100000000000001" customHeight="1" thickBot="1">
      <c r="A37" s="2836" t="s">
        <v>287</v>
      </c>
      <c r="B37" s="2837" t="s">
        <v>2643</v>
      </c>
      <c r="C37" s="2107" t="str">
        <f t="shared" si="0"/>
        <v>四、本年年末余额</v>
      </c>
      <c r="D37" s="2183">
        <f t="shared" ref="D37:AC37" si="49">SUM(D13,D14)</f>
        <v>30000000</v>
      </c>
      <c r="E37" s="2183">
        <f t="shared" si="49"/>
        <v>0</v>
      </c>
      <c r="F37" s="2183">
        <f t="shared" si="49"/>
        <v>0</v>
      </c>
      <c r="G37" s="2183">
        <f t="shared" si="49"/>
        <v>0</v>
      </c>
      <c r="H37" s="2183">
        <f t="shared" si="49"/>
        <v>10464100</v>
      </c>
      <c r="I37" s="2183">
        <f t="shared" si="49"/>
        <v>0</v>
      </c>
      <c r="J37" s="2183">
        <f t="shared" si="49"/>
        <v>0</v>
      </c>
      <c r="K37" s="2183">
        <f t="shared" si="49"/>
        <v>0</v>
      </c>
      <c r="L37" s="2183">
        <f t="shared" si="49"/>
        <v>1484894.62</v>
      </c>
      <c r="M37" s="2183">
        <f t="shared" si="49"/>
        <v>0</v>
      </c>
      <c r="N37" s="2183">
        <f t="shared" si="49"/>
        <v>-787982.98</v>
      </c>
      <c r="O37" s="2183">
        <f t="shared" si="49"/>
        <v>0</v>
      </c>
      <c r="P37" s="2184">
        <f t="shared" si="49"/>
        <v>41161011.640000001</v>
      </c>
      <c r="Q37" s="2181">
        <f t="shared" si="49"/>
        <v>30000000</v>
      </c>
      <c r="R37" s="2174">
        <f t="shared" ca="1" si="49"/>
        <v>0</v>
      </c>
      <c r="S37" s="2174">
        <f t="shared" ca="1" si="49"/>
        <v>0</v>
      </c>
      <c r="T37" s="2174">
        <f t="shared" ca="1" si="49"/>
        <v>0</v>
      </c>
      <c r="U37" s="2174">
        <f t="shared" si="49"/>
        <v>0</v>
      </c>
      <c r="V37" s="2174">
        <f t="shared" si="49"/>
        <v>0</v>
      </c>
      <c r="W37" s="2174">
        <f t="shared" ca="1" si="49"/>
        <v>0</v>
      </c>
      <c r="X37" s="2174">
        <f t="shared" si="49"/>
        <v>0</v>
      </c>
      <c r="Y37" s="2174">
        <f t="shared" si="49"/>
        <v>1476848.22</v>
      </c>
      <c r="Z37" s="2174">
        <f t="shared" si="49"/>
        <v>0</v>
      </c>
      <c r="AA37" s="2174">
        <f t="shared" si="49"/>
        <v>13291633.890000001</v>
      </c>
      <c r="AB37" s="2174">
        <f t="shared" si="49"/>
        <v>0</v>
      </c>
      <c r="AC37" s="2175">
        <f t="shared" ca="1" si="49"/>
        <v>44768482.109999999</v>
      </c>
      <c r="AD37" s="1803"/>
      <c r="AE37" s="1803"/>
      <c r="AF37" s="1803"/>
      <c r="AG37" s="1803"/>
    </row>
    <row r="38" spans="1:33" ht="18">
      <c r="A38" s="1796"/>
      <c r="B38" s="2839"/>
      <c r="C38" s="2178" t="str">
        <f>"法定代表人："&amp;Lead!$C$8</f>
        <v>法定代表人：</v>
      </c>
      <c r="D38" s="2179"/>
      <c r="E38" s="2179"/>
      <c r="F38" s="2179"/>
      <c r="G38" s="2179" t="str">
        <f>Lead!$B$9&amp;"："&amp;Lead!$C$9</f>
        <v>主管会计工作负责人：</v>
      </c>
      <c r="I38" s="2179"/>
      <c r="J38" s="2179"/>
      <c r="K38" s="2179"/>
      <c r="L38" s="2179" t="str">
        <f>Lead!$B$10&amp;"："&amp;Lead!$C$10</f>
        <v>会计机构负责人：</v>
      </c>
      <c r="M38" s="2179"/>
      <c r="O38" s="2179"/>
      <c r="P38" s="2179"/>
      <c r="Q38" s="2088"/>
      <c r="R38" s="2088"/>
      <c r="S38" s="2088"/>
      <c r="T38" s="2088" t="str">
        <f>Lead!$B$9&amp;"："&amp;Lead!$C$9</f>
        <v>主管会计工作负责人：</v>
      </c>
      <c r="V38" s="2088"/>
      <c r="W38" s="2088"/>
      <c r="X38" s="2088"/>
      <c r="Y38" s="2088" t="str">
        <f>Lead!$B$10&amp;"："&amp;Lead!$C$10</f>
        <v>会计机构负责人：</v>
      </c>
      <c r="Z38" s="2088"/>
      <c r="AB38" s="2088"/>
      <c r="AC38" s="2088"/>
      <c r="AD38" s="1803"/>
      <c r="AE38" s="1803"/>
      <c r="AF38" s="1803"/>
      <c r="AG38" s="1803"/>
    </row>
    <row r="39" spans="1:33" ht="18">
      <c r="A39" s="1796"/>
      <c r="B39" s="2839"/>
      <c r="C39" s="1803"/>
      <c r="D39" s="1803"/>
      <c r="E39" s="1803"/>
      <c r="F39" s="1803"/>
      <c r="G39" s="1803"/>
      <c r="H39" s="1803"/>
      <c r="I39" s="1803"/>
      <c r="J39" s="1803"/>
      <c r="K39" s="1803"/>
      <c r="L39" s="1803"/>
      <c r="M39" s="1803"/>
      <c r="N39" s="1803"/>
      <c r="O39" s="1803"/>
      <c r="P39" s="1803"/>
      <c r="Q39" s="1803"/>
      <c r="R39" s="1803"/>
      <c r="S39" s="1803"/>
      <c r="T39" s="1803"/>
      <c r="U39" s="1803"/>
      <c r="V39" s="1803"/>
      <c r="W39" s="1803"/>
      <c r="X39" s="1803"/>
      <c r="Y39" s="1803"/>
      <c r="Z39" s="1803"/>
      <c r="AA39" s="1803"/>
      <c r="AB39" s="1803"/>
      <c r="AC39" s="1803"/>
      <c r="AD39" s="1803"/>
      <c r="AE39" s="1803"/>
      <c r="AF39" s="1803"/>
      <c r="AG39" s="1803"/>
    </row>
    <row r="40" spans="1:33">
      <c r="A40" s="1796"/>
      <c r="B40" s="1796"/>
      <c r="C40" s="1803"/>
      <c r="D40" s="1803"/>
      <c r="E40" s="1803"/>
      <c r="F40" s="1803"/>
      <c r="G40" s="1803"/>
      <c r="H40" s="1803"/>
      <c r="I40" s="1803"/>
      <c r="J40" s="1803"/>
      <c r="K40" s="1803"/>
      <c r="L40" s="1803"/>
      <c r="M40" s="1803"/>
      <c r="N40" s="1803"/>
      <c r="O40" s="1803"/>
      <c r="P40" s="1803"/>
      <c r="Q40" s="1803"/>
      <c r="R40" s="1803"/>
      <c r="S40" s="1803"/>
      <c r="T40" s="1803"/>
      <c r="U40" s="1803"/>
      <c r="V40" s="1803"/>
      <c r="W40" s="1803"/>
      <c r="X40" s="1803"/>
      <c r="Y40" s="1803"/>
      <c r="Z40" s="1803"/>
      <c r="AA40" s="1803"/>
      <c r="AB40" s="1803"/>
      <c r="AC40" s="1803"/>
      <c r="AD40" s="1803"/>
      <c r="AE40" s="1803"/>
      <c r="AF40" s="1803"/>
      <c r="AG40" s="1803"/>
    </row>
    <row r="41" spans="1:33">
      <c r="A41" s="1796"/>
      <c r="B41" s="1796"/>
      <c r="C41" s="1803"/>
      <c r="D41" s="1803"/>
      <c r="E41" s="1803"/>
      <c r="F41" s="1803"/>
      <c r="G41" s="1803"/>
      <c r="H41" s="1803"/>
      <c r="I41" s="1803"/>
      <c r="J41" s="1803"/>
      <c r="K41" s="1803"/>
      <c r="L41" s="1803"/>
      <c r="M41" s="1803"/>
      <c r="N41" s="1803"/>
      <c r="O41" s="1803"/>
      <c r="P41" s="1803"/>
      <c r="Q41" s="1803"/>
      <c r="R41" s="1803"/>
      <c r="S41" s="1803"/>
      <c r="T41" s="1803"/>
      <c r="U41" s="1803"/>
      <c r="V41" s="1803"/>
      <c r="W41" s="1803"/>
      <c r="X41" s="1803"/>
      <c r="Y41" s="1803"/>
      <c r="Z41" s="1803"/>
      <c r="AA41" s="1803"/>
      <c r="AB41" s="1803"/>
      <c r="AC41" s="1803"/>
      <c r="AD41" s="1803"/>
      <c r="AE41" s="1803"/>
      <c r="AF41" s="1803"/>
      <c r="AG41" s="1803"/>
    </row>
    <row r="42" spans="1:33" ht="24">
      <c r="A42" s="2835" t="s">
        <v>2565</v>
      </c>
      <c r="B42" s="2836"/>
      <c r="C42" s="1807" t="s">
        <v>5799</v>
      </c>
      <c r="D42" s="1808"/>
      <c r="E42" s="1808"/>
      <c r="F42" s="1808"/>
      <c r="G42" s="1808"/>
      <c r="H42" s="1809"/>
      <c r="I42" s="1809"/>
      <c r="J42" s="1809"/>
      <c r="K42" s="1809"/>
      <c r="L42" s="1809"/>
      <c r="M42" s="1809"/>
      <c r="N42" s="1809"/>
      <c r="O42" s="1810" t="s">
        <v>47</v>
      </c>
      <c r="P42" s="1809"/>
      <c r="Q42" s="1811" t="s">
        <v>5800</v>
      </c>
      <c r="R42" s="1811" t="s">
        <v>2610</v>
      </c>
      <c r="S42" s="1811" t="s">
        <v>2611</v>
      </c>
      <c r="T42" s="1811" t="s">
        <v>2612</v>
      </c>
      <c r="U42" s="1812" t="s">
        <v>592</v>
      </c>
      <c r="V42" s="1812" t="s">
        <v>682</v>
      </c>
      <c r="W42" s="1812" t="s">
        <v>621</v>
      </c>
      <c r="X42" s="1812" t="s">
        <v>627</v>
      </c>
      <c r="Y42" s="1812" t="s">
        <v>602</v>
      </c>
      <c r="Z42" s="1812" t="s">
        <v>2613</v>
      </c>
      <c r="AA42" s="1812" t="s">
        <v>611</v>
      </c>
      <c r="AB42" s="1812" t="s">
        <v>932</v>
      </c>
      <c r="AC42" s="1813" t="s">
        <v>2614</v>
      </c>
      <c r="AD42" s="1803"/>
      <c r="AE42" s="1803"/>
      <c r="AF42" s="1803"/>
      <c r="AG42" s="1803"/>
    </row>
    <row r="43" spans="1:33" ht="18">
      <c r="A43" s="2836" t="s">
        <v>2565</v>
      </c>
      <c r="B43" s="2837"/>
      <c r="C43" s="1814" t="s">
        <v>5801</v>
      </c>
      <c r="D43" s="1815"/>
      <c r="E43" s="1815"/>
      <c r="F43" s="1815"/>
      <c r="G43" s="1815"/>
      <c r="H43" s="1815"/>
      <c r="I43" s="1815"/>
      <c r="J43" s="1815"/>
      <c r="K43" s="1815"/>
      <c r="L43" s="1815"/>
      <c r="M43" s="1816" t="s">
        <v>5802</v>
      </c>
      <c r="N43" s="1817"/>
      <c r="O43" s="1817"/>
      <c r="P43" s="1815"/>
      <c r="Q43" s="1727"/>
      <c r="R43" s="1727"/>
      <c r="S43" s="1727"/>
      <c r="T43" s="1727"/>
      <c r="U43" s="1694"/>
      <c r="V43" s="1694"/>
      <c r="W43" s="1694"/>
      <c r="X43" s="1694"/>
      <c r="Y43" s="1694"/>
      <c r="Z43" s="1694"/>
      <c r="AA43" s="1694"/>
      <c r="AB43" s="1694"/>
      <c r="AC43" s="1695"/>
      <c r="AD43" s="1803"/>
      <c r="AE43" s="1803"/>
      <c r="AF43" s="1803"/>
      <c r="AG43" s="1803"/>
    </row>
    <row r="44" spans="1:33" ht="18">
      <c r="A44" s="2836" t="s">
        <v>2565</v>
      </c>
      <c r="B44" s="2837"/>
      <c r="C44" s="1818">
        <f ca="1">SUM(Q46:AB46,D53:O53,Q53:AB53)</f>
        <v>-257562.14</v>
      </c>
      <c r="D44" s="1815"/>
      <c r="E44" s="1815"/>
      <c r="F44" s="1815"/>
      <c r="G44" s="1815"/>
      <c r="H44" s="1815"/>
      <c r="I44" s="1815"/>
      <c r="J44" s="1815"/>
      <c r="K44" s="1815"/>
      <c r="L44" s="1692" t="str">
        <f>$C$13&amp;":"&amp;$D$6</f>
        <v>二、本年年初余额:2019年度</v>
      </c>
      <c r="M44" s="1817"/>
      <c r="N44" s="1817"/>
      <c r="O44" s="1817"/>
      <c r="P44" s="1724" t="s">
        <v>5803</v>
      </c>
      <c r="Q44" s="1727">
        <f t="shared" ref="Q44:AC44" si="50">D13</f>
        <v>30000000</v>
      </c>
      <c r="R44" s="1727">
        <f t="shared" si="50"/>
        <v>0</v>
      </c>
      <c r="S44" s="1727">
        <f t="shared" si="50"/>
        <v>0</v>
      </c>
      <c r="T44" s="1727">
        <f t="shared" si="50"/>
        <v>0</v>
      </c>
      <c r="U44" s="1694">
        <f t="shared" si="50"/>
        <v>0</v>
      </c>
      <c r="V44" s="1694">
        <f t="shared" si="50"/>
        <v>0</v>
      </c>
      <c r="W44" s="1694">
        <f t="shared" si="50"/>
        <v>0</v>
      </c>
      <c r="X44" s="1694">
        <f t="shared" si="50"/>
        <v>0</v>
      </c>
      <c r="Y44" s="1694">
        <f t="shared" si="50"/>
        <v>1476848.22</v>
      </c>
      <c r="Z44" s="1694">
        <f t="shared" si="50"/>
        <v>0</v>
      </c>
      <c r="AA44" s="1694">
        <f t="shared" si="50"/>
        <v>13034071.75</v>
      </c>
      <c r="AB44" s="1694">
        <f t="shared" si="50"/>
        <v>0</v>
      </c>
      <c r="AC44" s="1695">
        <f t="shared" si="50"/>
        <v>44510919.969999999</v>
      </c>
      <c r="AD44" s="1803"/>
      <c r="AE44" s="1803"/>
      <c r="AF44" s="1803"/>
      <c r="AG44" s="1803"/>
    </row>
    <row r="45" spans="1:33" ht="18">
      <c r="A45" s="2836" t="s">
        <v>2565</v>
      </c>
      <c r="B45" s="2837"/>
      <c r="C45" s="1819" t="str">
        <f ca="1">IF(C44=0,"Balanced","Diff "&amp;TEXT(ROUND(C44,2),"#,###.00"))</f>
        <v>Diff -257,562.14</v>
      </c>
      <c r="D45" s="1815"/>
      <c r="E45" s="1815"/>
      <c r="F45" s="1815"/>
      <c r="G45" s="1815"/>
      <c r="H45" s="1815"/>
      <c r="I45" s="1815"/>
      <c r="J45" s="1815"/>
      <c r="K45" s="1815"/>
      <c r="L45" s="1692" t="str">
        <f>$Q$6&amp;":"&amp;$C$37</f>
        <v>2018年度:四、本年年末余额</v>
      </c>
      <c r="M45" s="1817"/>
      <c r="N45" s="1817"/>
      <c r="O45" s="1817"/>
      <c r="P45" s="1724" t="s">
        <v>5803</v>
      </c>
      <c r="Q45" s="1820">
        <f t="shared" ref="Q45:AC45" si="51">Q37</f>
        <v>30000000</v>
      </c>
      <c r="R45" s="1820">
        <f t="shared" ca="1" si="51"/>
        <v>0</v>
      </c>
      <c r="S45" s="1820">
        <f t="shared" ca="1" si="51"/>
        <v>0</v>
      </c>
      <c r="T45" s="1820">
        <f t="shared" ca="1" si="51"/>
        <v>0</v>
      </c>
      <c r="U45" s="1821">
        <f t="shared" si="51"/>
        <v>0</v>
      </c>
      <c r="V45" s="1821">
        <f t="shared" si="51"/>
        <v>0</v>
      </c>
      <c r="W45" s="1821">
        <f t="shared" ca="1" si="51"/>
        <v>0</v>
      </c>
      <c r="X45" s="1821">
        <f t="shared" si="51"/>
        <v>0</v>
      </c>
      <c r="Y45" s="1821">
        <f t="shared" si="51"/>
        <v>1476848.22</v>
      </c>
      <c r="Z45" s="1821">
        <f t="shared" si="51"/>
        <v>0</v>
      </c>
      <c r="AA45" s="1821">
        <f t="shared" si="51"/>
        <v>13291633.890000001</v>
      </c>
      <c r="AB45" s="1821">
        <f t="shared" si="51"/>
        <v>0</v>
      </c>
      <c r="AC45" s="1728">
        <f t="shared" ca="1" si="51"/>
        <v>44768482.109999999</v>
      </c>
      <c r="AD45" s="1803"/>
      <c r="AE45" s="1803"/>
      <c r="AF45" s="1803"/>
      <c r="AG45" s="1803"/>
    </row>
    <row r="46" spans="1:33" ht="18.75" thickBot="1">
      <c r="A46" s="2836" t="s">
        <v>2565</v>
      </c>
      <c r="B46" s="2837"/>
      <c r="C46" s="1822" t="s">
        <v>5797</v>
      </c>
      <c r="D46" s="1815"/>
      <c r="E46" s="1815"/>
      <c r="F46" s="1815"/>
      <c r="G46" s="1815"/>
      <c r="H46" s="1815"/>
      <c r="I46" s="1815"/>
      <c r="J46" s="1815"/>
      <c r="K46" s="1815"/>
      <c r="L46" s="1815"/>
      <c r="M46" s="1823" t="s">
        <v>2580</v>
      </c>
      <c r="N46" s="1817"/>
      <c r="O46" s="1817"/>
      <c r="P46" s="1815"/>
      <c r="Q46" s="1730">
        <f t="shared" ref="Q46:AC46" si="52">ROUND(Q44-Q45,2)</f>
        <v>0</v>
      </c>
      <c r="R46" s="1730">
        <f t="shared" ca="1" si="52"/>
        <v>0</v>
      </c>
      <c r="S46" s="1730">
        <f t="shared" ca="1" si="52"/>
        <v>0</v>
      </c>
      <c r="T46" s="1730">
        <f t="shared" ca="1" si="52"/>
        <v>0</v>
      </c>
      <c r="U46" s="1824">
        <f t="shared" si="52"/>
        <v>0</v>
      </c>
      <c r="V46" s="1824">
        <f t="shared" si="52"/>
        <v>0</v>
      </c>
      <c r="W46" s="1824">
        <f t="shared" ca="1" si="52"/>
        <v>0</v>
      </c>
      <c r="X46" s="1824">
        <f t="shared" si="52"/>
        <v>0</v>
      </c>
      <c r="Y46" s="1824">
        <f t="shared" si="52"/>
        <v>0</v>
      </c>
      <c r="Z46" s="1824">
        <f t="shared" si="52"/>
        <v>0</v>
      </c>
      <c r="AA46" s="1824">
        <f t="shared" si="52"/>
        <v>-257562.14</v>
      </c>
      <c r="AB46" s="1824">
        <f t="shared" si="52"/>
        <v>0</v>
      </c>
      <c r="AC46" s="1731">
        <f t="shared" ca="1" si="52"/>
        <v>-257562.14</v>
      </c>
      <c r="AD46" s="1803"/>
      <c r="AE46" s="1803"/>
      <c r="AF46" s="1803"/>
      <c r="AG46" s="1803"/>
    </row>
    <row r="47" spans="1:33" ht="18.75" thickTop="1">
      <c r="A47" s="2836" t="s">
        <v>2565</v>
      </c>
      <c r="B47" s="2837"/>
      <c r="C47" s="1822" t="s">
        <v>5797</v>
      </c>
      <c r="D47" s="1815"/>
      <c r="E47" s="1815"/>
      <c r="F47" s="1815"/>
      <c r="G47" s="1815"/>
      <c r="H47" s="1815"/>
      <c r="I47" s="1815"/>
      <c r="J47" s="1815"/>
      <c r="K47" s="1815"/>
      <c r="L47" s="1815"/>
      <c r="M47" s="1815"/>
      <c r="N47" s="1815"/>
      <c r="O47" s="1815"/>
      <c r="P47" s="1815"/>
      <c r="Q47" s="1733" t="str">
        <f t="shared" ref="Q47:AC47" si="53">IF(Q46=0,"√","×")</f>
        <v>√</v>
      </c>
      <c r="R47" s="1733" t="str">
        <f t="shared" ca="1" si="53"/>
        <v>√</v>
      </c>
      <c r="S47" s="1733" t="str">
        <f t="shared" ca="1" si="53"/>
        <v>√</v>
      </c>
      <c r="T47" s="1733" t="str">
        <f t="shared" ca="1" si="53"/>
        <v>√</v>
      </c>
      <c r="U47" s="1825" t="str">
        <f t="shared" si="53"/>
        <v>√</v>
      </c>
      <c r="V47" s="1825" t="str">
        <f t="shared" si="53"/>
        <v>√</v>
      </c>
      <c r="W47" s="1825" t="str">
        <f t="shared" ca="1" si="53"/>
        <v>√</v>
      </c>
      <c r="X47" s="1825" t="str">
        <f t="shared" si="53"/>
        <v>√</v>
      </c>
      <c r="Y47" s="1825" t="str">
        <f t="shared" si="53"/>
        <v>√</v>
      </c>
      <c r="Z47" s="1825" t="str">
        <f t="shared" si="53"/>
        <v>√</v>
      </c>
      <c r="AA47" s="1825" t="str">
        <f t="shared" si="53"/>
        <v>×</v>
      </c>
      <c r="AB47" s="1825" t="str">
        <f t="shared" si="53"/>
        <v>√</v>
      </c>
      <c r="AC47" s="1734" t="str">
        <f t="shared" ca="1" si="53"/>
        <v>×</v>
      </c>
      <c r="AD47" s="1803"/>
      <c r="AE47" s="1803"/>
      <c r="AF47" s="1803"/>
      <c r="AG47" s="1803"/>
    </row>
    <row r="48" spans="1:33" ht="18">
      <c r="A48" s="2836" t="s">
        <v>2565</v>
      </c>
      <c r="B48" s="2837"/>
      <c r="C48" s="1826" t="s">
        <v>5799</v>
      </c>
      <c r="D48" s="1827" t="s">
        <v>5794</v>
      </c>
      <c r="E48" s="1828"/>
      <c r="F48" s="1828"/>
      <c r="G48" s="1828"/>
      <c r="H48" s="1829"/>
      <c r="I48" s="1829"/>
      <c r="J48" s="1829"/>
      <c r="K48" s="1829"/>
      <c r="L48" s="1829"/>
      <c r="M48" s="1829"/>
      <c r="N48" s="1829"/>
      <c r="O48" s="1829"/>
      <c r="P48" s="1830"/>
      <c r="Q48" s="1831" t="s">
        <v>5804</v>
      </c>
      <c r="R48" s="1831"/>
      <c r="S48" s="1831"/>
      <c r="T48" s="1831"/>
      <c r="U48" s="1829"/>
      <c r="V48" s="1829"/>
      <c r="W48" s="1829"/>
      <c r="X48" s="1829"/>
      <c r="Y48" s="1829"/>
      <c r="Z48" s="1829"/>
      <c r="AA48" s="1829"/>
      <c r="AB48" s="1829"/>
      <c r="AC48" s="1832"/>
      <c r="AD48" s="1803"/>
      <c r="AE48" s="1803"/>
      <c r="AF48" s="1803"/>
      <c r="AG48" s="1803"/>
    </row>
    <row r="49" spans="1:33" ht="24">
      <c r="A49" s="2836" t="s">
        <v>2565</v>
      </c>
      <c r="B49" s="2837"/>
      <c r="C49" s="1833" t="s">
        <v>47</v>
      </c>
      <c r="D49" s="1834" t="s">
        <v>586</v>
      </c>
      <c r="E49" s="1834" t="s">
        <v>2610</v>
      </c>
      <c r="F49" s="1834" t="s">
        <v>2611</v>
      </c>
      <c r="G49" s="1834" t="s">
        <v>2612</v>
      </c>
      <c r="H49" s="1834" t="s">
        <v>592</v>
      </c>
      <c r="I49" s="1834" t="s">
        <v>682</v>
      </c>
      <c r="J49" s="1834" t="s">
        <v>621</v>
      </c>
      <c r="K49" s="1834" t="s">
        <v>627</v>
      </c>
      <c r="L49" s="1834" t="s">
        <v>602</v>
      </c>
      <c r="M49" s="1834" t="s">
        <v>2613</v>
      </c>
      <c r="N49" s="1834" t="s">
        <v>611</v>
      </c>
      <c r="O49" s="1834" t="s">
        <v>932</v>
      </c>
      <c r="P49" s="1835" t="s">
        <v>2614</v>
      </c>
      <c r="Q49" s="1836" t="s">
        <v>586</v>
      </c>
      <c r="R49" s="1836" t="s">
        <v>2610</v>
      </c>
      <c r="S49" s="1836" t="s">
        <v>2611</v>
      </c>
      <c r="T49" s="1836" t="s">
        <v>2612</v>
      </c>
      <c r="U49" s="1834" t="s">
        <v>592</v>
      </c>
      <c r="V49" s="1834" t="s">
        <v>682</v>
      </c>
      <c r="W49" s="1834" t="s">
        <v>621</v>
      </c>
      <c r="X49" s="1834" t="s">
        <v>627</v>
      </c>
      <c r="Y49" s="1834" t="s">
        <v>602</v>
      </c>
      <c r="Z49" s="1834" t="s">
        <v>2613</v>
      </c>
      <c r="AA49" s="1834" t="s">
        <v>611</v>
      </c>
      <c r="AB49" s="1834" t="s">
        <v>932</v>
      </c>
      <c r="AC49" s="1837" t="s">
        <v>2614</v>
      </c>
      <c r="AD49" s="1803"/>
      <c r="AE49" s="1803"/>
      <c r="AF49" s="1803"/>
      <c r="AG49" s="1803"/>
    </row>
    <row r="50" spans="1:33" ht="18">
      <c r="A50" s="2836" t="s">
        <v>2565</v>
      </c>
      <c r="B50" s="2837"/>
      <c r="C50" s="1838" t="s">
        <v>5805</v>
      </c>
      <c r="D50" s="1694"/>
      <c r="E50" s="1694"/>
      <c r="F50" s="1694"/>
      <c r="G50" s="1694"/>
      <c r="H50" s="1694"/>
      <c r="I50" s="1694"/>
      <c r="J50" s="1694"/>
      <c r="K50" s="1694"/>
      <c r="L50" s="1694"/>
      <c r="M50" s="1694"/>
      <c r="N50" s="1694"/>
      <c r="O50" s="1694"/>
      <c r="P50" s="1839"/>
      <c r="Q50" s="1727"/>
      <c r="R50" s="1727"/>
      <c r="S50" s="1727"/>
      <c r="T50" s="1727"/>
      <c r="U50" s="1694"/>
      <c r="V50" s="1694"/>
      <c r="W50" s="1694"/>
      <c r="X50" s="1694"/>
      <c r="Y50" s="1694"/>
      <c r="Z50" s="1694"/>
      <c r="AA50" s="1694"/>
      <c r="AB50" s="1694"/>
      <c r="AC50" s="1695"/>
      <c r="AD50" s="1803"/>
      <c r="AE50" s="1803"/>
      <c r="AF50" s="1803"/>
      <c r="AG50" s="1803"/>
    </row>
    <row r="51" spans="1:33" ht="18">
      <c r="A51" s="2836" t="s">
        <v>2565</v>
      </c>
      <c r="B51" s="2837"/>
      <c r="C51" s="1840" t="str">
        <f>$C$37&amp;"  CE"</f>
        <v>四、本年年末余额  CE</v>
      </c>
      <c r="D51" s="1694">
        <f t="shared" ref="D51:AC51" si="54">D37</f>
        <v>30000000</v>
      </c>
      <c r="E51" s="1694">
        <f t="shared" si="54"/>
        <v>0</v>
      </c>
      <c r="F51" s="1694">
        <f t="shared" si="54"/>
        <v>0</v>
      </c>
      <c r="G51" s="1694">
        <f t="shared" si="54"/>
        <v>0</v>
      </c>
      <c r="H51" s="1694">
        <f t="shared" si="54"/>
        <v>10464100</v>
      </c>
      <c r="I51" s="1694">
        <f t="shared" si="54"/>
        <v>0</v>
      </c>
      <c r="J51" s="1694">
        <f t="shared" si="54"/>
        <v>0</v>
      </c>
      <c r="K51" s="1694">
        <f t="shared" si="54"/>
        <v>0</v>
      </c>
      <c r="L51" s="1694">
        <f t="shared" si="54"/>
        <v>1484894.62</v>
      </c>
      <c r="M51" s="1694">
        <f t="shared" si="54"/>
        <v>0</v>
      </c>
      <c r="N51" s="1694">
        <f t="shared" si="54"/>
        <v>-787982.98</v>
      </c>
      <c r="O51" s="1694">
        <f t="shared" si="54"/>
        <v>0</v>
      </c>
      <c r="P51" s="1841">
        <f t="shared" si="54"/>
        <v>41161011.640000001</v>
      </c>
      <c r="Q51" s="1820">
        <f t="shared" si="54"/>
        <v>30000000</v>
      </c>
      <c r="R51" s="1820">
        <f t="shared" ca="1" si="54"/>
        <v>0</v>
      </c>
      <c r="S51" s="1820">
        <f t="shared" ca="1" si="54"/>
        <v>0</v>
      </c>
      <c r="T51" s="1820">
        <f t="shared" ca="1" si="54"/>
        <v>0</v>
      </c>
      <c r="U51" s="1821">
        <f t="shared" si="54"/>
        <v>0</v>
      </c>
      <c r="V51" s="1821">
        <f t="shared" si="54"/>
        <v>0</v>
      </c>
      <c r="W51" s="1821">
        <f t="shared" ca="1" si="54"/>
        <v>0</v>
      </c>
      <c r="X51" s="1821">
        <f t="shared" si="54"/>
        <v>0</v>
      </c>
      <c r="Y51" s="1821">
        <f t="shared" si="54"/>
        <v>1476848.22</v>
      </c>
      <c r="Z51" s="1821">
        <f t="shared" si="54"/>
        <v>0</v>
      </c>
      <c r="AA51" s="1821">
        <f t="shared" si="54"/>
        <v>13291633.890000001</v>
      </c>
      <c r="AB51" s="1821">
        <f t="shared" si="54"/>
        <v>0</v>
      </c>
      <c r="AC51" s="1728">
        <f t="shared" ca="1" si="54"/>
        <v>44768482.109999999</v>
      </c>
      <c r="AD51" s="1803"/>
      <c r="AE51" s="1803"/>
      <c r="AF51" s="1803"/>
      <c r="AG51" s="1803"/>
    </row>
    <row r="52" spans="1:33" ht="18">
      <c r="A52" s="2836" t="s">
        <v>2565</v>
      </c>
      <c r="B52" s="2837"/>
      <c r="C52" s="1842" t="s">
        <v>5806</v>
      </c>
      <c r="D52" s="1694">
        <f>BalanceSheet!K47</f>
        <v>30000000</v>
      </c>
      <c r="E52" s="1694">
        <f>BalanceSheet!K49</f>
        <v>0</v>
      </c>
      <c r="F52" s="1694">
        <f>BalanceSheet!K50</f>
        <v>0</v>
      </c>
      <c r="G52" s="1694">
        <f>BalanceSheet!K48-BalanceSheet!K49-BalanceSheet!K50</f>
        <v>0</v>
      </c>
      <c r="H52" s="1694">
        <f>BalanceSheet!K51</f>
        <v>10464100</v>
      </c>
      <c r="I52" s="1694">
        <f>BalanceSheet!K52</f>
        <v>0</v>
      </c>
      <c r="J52" s="1694">
        <f>BalanceSheet!K53</f>
        <v>0</v>
      </c>
      <c r="K52" s="1694">
        <f>BalanceSheet!K54</f>
        <v>0</v>
      </c>
      <c r="L52" s="1694">
        <f>BalanceSheet!K55</f>
        <v>1484894.62</v>
      </c>
      <c r="M52" s="1694">
        <f>BalanceSheet!K56</f>
        <v>0</v>
      </c>
      <c r="N52" s="1694">
        <f>BalanceSheet!K57</f>
        <v>-787982.98</v>
      </c>
      <c r="O52" s="1694"/>
      <c r="P52" s="1841">
        <f>BalanceSheet!K58</f>
        <v>41161011.640000001</v>
      </c>
      <c r="Q52" s="1820">
        <f>BalanceSheet!L47</f>
        <v>30000000</v>
      </c>
      <c r="R52" s="1820">
        <f>BalanceSheet!L49</f>
        <v>0</v>
      </c>
      <c r="S52" s="1820">
        <f>BalanceSheet!L50</f>
        <v>0</v>
      </c>
      <c r="T52" s="1820">
        <f>BalanceSheet!L48-BalanceSheet!L49-BalanceSheet!L50</f>
        <v>0</v>
      </c>
      <c r="U52" s="1821">
        <f>BalanceSheet!L51</f>
        <v>0</v>
      </c>
      <c r="V52" s="1821">
        <f>BalanceSheet!L52</f>
        <v>0</v>
      </c>
      <c r="W52" s="1821">
        <f>BalanceSheet!L53</f>
        <v>0</v>
      </c>
      <c r="X52" s="1821">
        <f>BalanceSheet!L54</f>
        <v>0</v>
      </c>
      <c r="Y52" s="1821">
        <f>BalanceSheet!L55</f>
        <v>1476848.22</v>
      </c>
      <c r="Z52" s="1821">
        <f>BalanceSheet!L56</f>
        <v>0</v>
      </c>
      <c r="AA52" s="1821">
        <f>BalanceSheet!L57</f>
        <v>13291633.890000001</v>
      </c>
      <c r="AB52" s="1821"/>
      <c r="AC52" s="1728">
        <f>BalanceSheet!L58</f>
        <v>44768482.109999999</v>
      </c>
      <c r="AD52" s="1803"/>
      <c r="AE52" s="1803"/>
      <c r="AF52" s="1803"/>
      <c r="AG52" s="1803"/>
    </row>
    <row r="53" spans="1:33" ht="18.75" thickBot="1">
      <c r="A53" s="2836" t="s">
        <v>2565</v>
      </c>
      <c r="B53" s="2837"/>
      <c r="C53" s="1843" t="s">
        <v>2580</v>
      </c>
      <c r="D53" s="1824">
        <f t="shared" ref="D53:AC53" si="55">ROUND(D51-D52,2)</f>
        <v>0</v>
      </c>
      <c r="E53" s="1824">
        <f t="shared" si="55"/>
        <v>0</v>
      </c>
      <c r="F53" s="1824">
        <f t="shared" si="55"/>
        <v>0</v>
      </c>
      <c r="G53" s="1824">
        <f t="shared" si="55"/>
        <v>0</v>
      </c>
      <c r="H53" s="1824">
        <f t="shared" si="55"/>
        <v>0</v>
      </c>
      <c r="I53" s="1824">
        <f t="shared" si="55"/>
        <v>0</v>
      </c>
      <c r="J53" s="1824">
        <f t="shared" si="55"/>
        <v>0</v>
      </c>
      <c r="K53" s="1824">
        <f t="shared" si="55"/>
        <v>0</v>
      </c>
      <c r="L53" s="1824">
        <f t="shared" si="55"/>
        <v>0</v>
      </c>
      <c r="M53" s="1824">
        <f t="shared" si="55"/>
        <v>0</v>
      </c>
      <c r="N53" s="1824">
        <f t="shared" si="55"/>
        <v>0</v>
      </c>
      <c r="O53" s="1824">
        <f t="shared" si="55"/>
        <v>0</v>
      </c>
      <c r="P53" s="1844">
        <f t="shared" si="55"/>
        <v>0</v>
      </c>
      <c r="Q53" s="1730">
        <f t="shared" si="55"/>
        <v>0</v>
      </c>
      <c r="R53" s="1730">
        <f t="shared" ca="1" si="55"/>
        <v>0</v>
      </c>
      <c r="S53" s="1730">
        <f t="shared" ca="1" si="55"/>
        <v>0</v>
      </c>
      <c r="T53" s="1730">
        <f t="shared" ca="1" si="55"/>
        <v>0</v>
      </c>
      <c r="U53" s="1824">
        <f t="shared" si="55"/>
        <v>0</v>
      </c>
      <c r="V53" s="1824">
        <f t="shared" si="55"/>
        <v>0</v>
      </c>
      <c r="W53" s="1824">
        <f t="shared" ca="1" si="55"/>
        <v>0</v>
      </c>
      <c r="X53" s="1824">
        <f t="shared" si="55"/>
        <v>0</v>
      </c>
      <c r="Y53" s="1824">
        <f t="shared" si="55"/>
        <v>0</v>
      </c>
      <c r="Z53" s="1824">
        <f t="shared" si="55"/>
        <v>0</v>
      </c>
      <c r="AA53" s="1824">
        <f t="shared" si="55"/>
        <v>0</v>
      </c>
      <c r="AB53" s="1824">
        <f t="shared" si="55"/>
        <v>0</v>
      </c>
      <c r="AC53" s="1731">
        <f t="shared" ca="1" si="55"/>
        <v>0</v>
      </c>
      <c r="AD53" s="1803"/>
      <c r="AE53" s="1803"/>
      <c r="AF53" s="1803"/>
      <c r="AG53" s="1803"/>
    </row>
    <row r="54" spans="1:33" ht="19.5" thickTop="1" thickBot="1">
      <c r="A54" s="2836" t="s">
        <v>2565</v>
      </c>
      <c r="B54" s="2837"/>
      <c r="C54" s="1845" t="s">
        <v>5797</v>
      </c>
      <c r="D54" s="1846" t="str">
        <f t="shared" ref="D54:AC54" si="56">IF(D53=0,"√","×")</f>
        <v>√</v>
      </c>
      <c r="E54" s="1846" t="str">
        <f t="shared" si="56"/>
        <v>√</v>
      </c>
      <c r="F54" s="1846" t="str">
        <f t="shared" si="56"/>
        <v>√</v>
      </c>
      <c r="G54" s="1846" t="str">
        <f t="shared" si="56"/>
        <v>√</v>
      </c>
      <c r="H54" s="1846" t="str">
        <f t="shared" si="56"/>
        <v>√</v>
      </c>
      <c r="I54" s="1846" t="str">
        <f t="shared" si="56"/>
        <v>√</v>
      </c>
      <c r="J54" s="1846" t="str">
        <f t="shared" si="56"/>
        <v>√</v>
      </c>
      <c r="K54" s="1846" t="str">
        <f t="shared" si="56"/>
        <v>√</v>
      </c>
      <c r="L54" s="1846" t="str">
        <f t="shared" si="56"/>
        <v>√</v>
      </c>
      <c r="M54" s="1846" t="str">
        <f t="shared" si="56"/>
        <v>√</v>
      </c>
      <c r="N54" s="1846" t="str">
        <f t="shared" si="56"/>
        <v>√</v>
      </c>
      <c r="O54" s="1846" t="str">
        <f t="shared" si="56"/>
        <v>√</v>
      </c>
      <c r="P54" s="1847" t="str">
        <f t="shared" si="56"/>
        <v>√</v>
      </c>
      <c r="Q54" s="1848" t="str">
        <f t="shared" si="56"/>
        <v>√</v>
      </c>
      <c r="R54" s="1848" t="str">
        <f t="shared" ca="1" si="56"/>
        <v>√</v>
      </c>
      <c r="S54" s="1848" t="str">
        <f t="shared" ca="1" si="56"/>
        <v>√</v>
      </c>
      <c r="T54" s="1848" t="str">
        <f t="shared" ca="1" si="56"/>
        <v>√</v>
      </c>
      <c r="U54" s="1846" t="str">
        <f t="shared" si="56"/>
        <v>√</v>
      </c>
      <c r="V54" s="1846" t="str">
        <f t="shared" si="56"/>
        <v>√</v>
      </c>
      <c r="W54" s="1846" t="str">
        <f t="shared" ca="1" si="56"/>
        <v>√</v>
      </c>
      <c r="X54" s="1846" t="str">
        <f t="shared" si="56"/>
        <v>√</v>
      </c>
      <c r="Y54" s="1846" t="str">
        <f t="shared" si="56"/>
        <v>√</v>
      </c>
      <c r="Z54" s="1846" t="str">
        <f t="shared" si="56"/>
        <v>√</v>
      </c>
      <c r="AA54" s="1846" t="str">
        <f t="shared" si="56"/>
        <v>√</v>
      </c>
      <c r="AB54" s="1846" t="str">
        <f t="shared" si="56"/>
        <v>√</v>
      </c>
      <c r="AC54" s="1849" t="str">
        <f t="shared" ca="1" si="56"/>
        <v>√</v>
      </c>
      <c r="AD54" s="1803"/>
      <c r="AE54" s="1803"/>
      <c r="AF54" s="1803"/>
      <c r="AG54" s="1803"/>
    </row>
    <row r="55" spans="1:33">
      <c r="C55" s="1803"/>
      <c r="D55" s="1803"/>
      <c r="E55" s="1803"/>
      <c r="F55" s="1803"/>
      <c r="G55" s="1803"/>
      <c r="H55" s="1803"/>
      <c r="I55" s="1803"/>
      <c r="J55" s="1803"/>
      <c r="K55" s="1803"/>
      <c r="L55" s="1803"/>
      <c r="M55" s="1803"/>
      <c r="N55" s="1803"/>
      <c r="O55" s="1803"/>
      <c r="P55" s="1803"/>
      <c r="Q55" s="1803"/>
      <c r="R55" s="1803"/>
      <c r="S55" s="1803"/>
      <c r="T55" s="1803"/>
      <c r="U55" s="1803"/>
      <c r="V55" s="1803"/>
      <c r="W55" s="1803"/>
      <c r="X55" s="1803"/>
      <c r="Y55" s="1803"/>
      <c r="Z55" s="1803"/>
      <c r="AA55" s="1803"/>
      <c r="AB55" s="1803"/>
      <c r="AC55" s="1803"/>
      <c r="AD55" s="1803"/>
      <c r="AE55" s="1803"/>
      <c r="AF55" s="1803"/>
      <c r="AG55" s="1803"/>
    </row>
    <row r="56" spans="1:33">
      <c r="C56" s="1803"/>
      <c r="D56" s="1803"/>
      <c r="E56" s="1803"/>
      <c r="F56" s="1803"/>
      <c r="G56" s="1803"/>
      <c r="H56" s="1803"/>
      <c r="I56" s="1803"/>
      <c r="J56" s="1803"/>
      <c r="K56" s="1803"/>
      <c r="L56" s="1803"/>
      <c r="M56" s="1803"/>
      <c r="N56" s="1803"/>
      <c r="O56" s="1803"/>
      <c r="P56" s="1803"/>
      <c r="Q56" s="1803"/>
      <c r="R56" s="1803"/>
      <c r="S56" s="1803"/>
      <c r="T56" s="1803"/>
      <c r="U56" s="1803"/>
      <c r="V56" s="1803"/>
      <c r="W56" s="1803"/>
      <c r="X56" s="1803"/>
      <c r="Y56" s="1803"/>
      <c r="Z56" s="1803"/>
      <c r="AA56" s="1803"/>
      <c r="AB56" s="1803"/>
      <c r="AC56" s="1803"/>
      <c r="AD56" s="1803"/>
      <c r="AE56" s="1803"/>
      <c r="AF56" s="1803"/>
      <c r="AG56" s="1803"/>
    </row>
    <row r="57" spans="1:33">
      <c r="C57" s="1803"/>
      <c r="D57" s="1803"/>
      <c r="E57" s="1803"/>
      <c r="F57" s="1803"/>
      <c r="G57" s="1803"/>
      <c r="H57" s="1803"/>
      <c r="I57" s="1803"/>
      <c r="J57" s="1803"/>
      <c r="K57" s="1803"/>
      <c r="L57" s="1803"/>
      <c r="M57" s="1803"/>
      <c r="N57" s="1803"/>
      <c r="O57" s="1803"/>
      <c r="P57" s="1803"/>
      <c r="Q57" s="1803"/>
      <c r="R57" s="1803"/>
      <c r="S57" s="1803"/>
      <c r="T57" s="1803"/>
      <c r="U57" s="1803"/>
      <c r="V57" s="1803"/>
      <c r="W57" s="1803"/>
      <c r="X57" s="1803"/>
      <c r="Y57" s="1803"/>
      <c r="Z57" s="1803"/>
      <c r="AA57" s="1803"/>
      <c r="AB57" s="1803"/>
      <c r="AC57" s="1803"/>
      <c r="AD57" s="1803"/>
      <c r="AE57" s="1803"/>
      <c r="AF57" s="1803"/>
      <c r="AG57" s="1803"/>
    </row>
    <row r="58" spans="1:33">
      <c r="C58" s="1803"/>
      <c r="D58" s="1803"/>
      <c r="E58" s="1803"/>
      <c r="F58" s="1803"/>
      <c r="G58" s="1803"/>
      <c r="H58" s="1803"/>
      <c r="I58" s="1803"/>
      <c r="J58" s="1803"/>
      <c r="K58" s="1803"/>
      <c r="L58" s="1803"/>
      <c r="M58" s="1803"/>
      <c r="N58" s="1803"/>
      <c r="O58" s="1803"/>
      <c r="P58" s="1803"/>
      <c r="Q58" s="1803"/>
      <c r="R58" s="1803"/>
      <c r="S58" s="1803"/>
      <c r="T58" s="1803"/>
      <c r="U58" s="1803"/>
      <c r="V58" s="1803"/>
      <c r="W58" s="1803"/>
      <c r="X58" s="1803"/>
      <c r="Y58" s="1803"/>
      <c r="Z58" s="1803"/>
      <c r="AA58" s="1803"/>
      <c r="AB58" s="1803"/>
      <c r="AC58" s="1803"/>
      <c r="AD58" s="1803"/>
      <c r="AE58" s="1803"/>
      <c r="AF58" s="1803"/>
      <c r="AG58" s="1803"/>
    </row>
  </sheetData>
  <sheetProtection password="94A0" sheet="1" scenarios="1" formatCells="0" autoFilter="0"/>
  <mergeCells count="24">
    <mergeCell ref="AB7:AB8"/>
    <mergeCell ref="AC7:AC8"/>
    <mergeCell ref="V7:V8"/>
    <mergeCell ref="W7:W8"/>
    <mergeCell ref="X7:X8"/>
    <mergeCell ref="Y7:Y8"/>
    <mergeCell ref="Z7:Z8"/>
    <mergeCell ref="AA7:AA8"/>
    <mergeCell ref="U7:U8"/>
    <mergeCell ref="D6:P6"/>
    <mergeCell ref="Q6:AC6"/>
    <mergeCell ref="D7:D8"/>
    <mergeCell ref="E7:G7"/>
    <mergeCell ref="H7:H8"/>
    <mergeCell ref="I7:I8"/>
    <mergeCell ref="J7:J8"/>
    <mergeCell ref="K7:K8"/>
    <mergeCell ref="L7:L8"/>
    <mergeCell ref="M7:M8"/>
    <mergeCell ref="N7:N8"/>
    <mergeCell ref="O7:O8"/>
    <mergeCell ref="P7:P8"/>
    <mergeCell ref="Q7:Q8"/>
    <mergeCell ref="R7:T7"/>
  </mergeCells>
  <phoneticPr fontId="163" type="noConversion"/>
  <conditionalFormatting sqref="C44 Q46:AC46 D53:AC53">
    <cfRule type="cellIs" dxfId="3" priority="9" stopIfTrue="1" operator="notEqual">
      <formula>0</formula>
    </cfRule>
  </conditionalFormatting>
  <conditionalFormatting sqref="C48:C49 C42">
    <cfRule type="expression" dxfId="2" priority="8" stopIfTrue="1">
      <formula>#REF!=TRUE</formula>
    </cfRule>
  </conditionalFormatting>
  <dataValidations count="1">
    <dataValidation type="list" allowBlank="1" showInputMessage="1" showErrorMessage="1" sqref="WLM983050:WLM983077 WBQ983050:WBQ983077 VRU983050:VRU983077 VHY983050:VHY983077 UYC983050:UYC983077 UOG983050:UOG983077 UEK983050:UEK983077 TUO983050:TUO983077 TKS983050:TKS983077 TAW983050:TAW983077 SRA983050:SRA983077 SHE983050:SHE983077 RXI983050:RXI983077 RNM983050:RNM983077 RDQ983050:RDQ983077 QTU983050:QTU983077 QJY983050:QJY983077 QAC983050:QAC983077 PQG983050:PQG983077 PGK983050:PGK983077 OWO983050:OWO983077 OMS983050:OMS983077 OCW983050:OCW983077 NTA983050:NTA983077 NJE983050:NJE983077 MZI983050:MZI983077 MPM983050:MPM983077 MFQ983050:MFQ983077 LVU983050:LVU983077 LLY983050:LLY983077 LCC983050:LCC983077 KSG983050:KSG983077 KIK983050:KIK983077 JYO983050:JYO983077 JOS983050:JOS983077 JEW983050:JEW983077 IVA983050:IVA983077 ILE983050:ILE983077 IBI983050:IBI983077 HRM983050:HRM983077 HHQ983050:HHQ983077 GXU983050:GXU983077 GNY983050:GNY983077 GEC983050:GEC983077 FUG983050:FUG983077 FKK983050:FKK983077 FAO983050:FAO983077 EQS983050:EQS983077 EGW983050:EGW983077 DXA983050:DXA983077 DNE983050:DNE983077 DDI983050:DDI983077 CTM983050:CTM983077 CJQ983050:CJQ983077 BZU983050:BZU983077 BPY983050:BPY983077 BGC983050:BGC983077 AWG983050:AWG983077 AMK983050:AMK983077 ACO983050:ACO983077 SS983050:SS983077 IW983050:IW983077 A983050:A983077 WVI917514:WVI917541 WLM917514:WLM917541 WBQ917514:WBQ917541 VRU917514:VRU917541 VHY917514:VHY917541 UYC917514:UYC917541 UOG917514:UOG917541 UEK917514:UEK917541 TUO917514:TUO917541 TKS917514:TKS917541 TAW917514:TAW917541 SRA917514:SRA917541 SHE917514:SHE917541 RXI917514:RXI917541 RNM917514:RNM917541 RDQ917514:RDQ917541 QTU917514:QTU917541 QJY917514:QJY917541 QAC917514:QAC917541 PQG917514:PQG917541 PGK917514:PGK917541 OWO917514:OWO917541 OMS917514:OMS917541 OCW917514:OCW917541 NTA917514:NTA917541 NJE917514:NJE917541 MZI917514:MZI917541 MPM917514:MPM917541 MFQ917514:MFQ917541 LVU917514:LVU917541 LLY917514:LLY917541 LCC917514:LCC917541 KSG917514:KSG917541 KIK917514:KIK917541 JYO917514:JYO917541 JOS917514:JOS917541 JEW917514:JEW917541 IVA917514:IVA917541 ILE917514:ILE917541 IBI917514:IBI917541 HRM917514:HRM917541 HHQ917514:HHQ917541 GXU917514:GXU917541 GNY917514:GNY917541 GEC917514:GEC917541 FUG917514:FUG917541 FKK917514:FKK917541 FAO917514:FAO917541 EQS917514:EQS917541 EGW917514:EGW917541 DXA917514:DXA917541 DNE917514:DNE917541 DDI917514:DDI917541 CTM917514:CTM917541 CJQ917514:CJQ917541 BZU917514:BZU917541 BPY917514:BPY917541 BGC917514:BGC917541 AWG917514:AWG917541 AMK917514:AMK917541 ACO917514:ACO917541 SS917514:SS917541 IW917514:IW917541 A917514:A917541 WVI851978:WVI852005 WLM851978:WLM852005 WBQ851978:WBQ852005 VRU851978:VRU852005 VHY851978:VHY852005 UYC851978:UYC852005 UOG851978:UOG852005 UEK851978:UEK852005 TUO851978:TUO852005 TKS851978:TKS852005 TAW851978:TAW852005 SRA851978:SRA852005 SHE851978:SHE852005 RXI851978:RXI852005 RNM851978:RNM852005 RDQ851978:RDQ852005 QTU851978:QTU852005 QJY851978:QJY852005 QAC851978:QAC852005 PQG851978:PQG852005 PGK851978:PGK852005 OWO851978:OWO852005 OMS851978:OMS852005 OCW851978:OCW852005 NTA851978:NTA852005 NJE851978:NJE852005 MZI851978:MZI852005 MPM851978:MPM852005 MFQ851978:MFQ852005 LVU851978:LVU852005 LLY851978:LLY852005 LCC851978:LCC852005 KSG851978:KSG852005 KIK851978:KIK852005 JYO851978:JYO852005 JOS851978:JOS852005 JEW851978:JEW852005 IVA851978:IVA852005 ILE851978:ILE852005 IBI851978:IBI852005 HRM851978:HRM852005 HHQ851978:HHQ852005 GXU851978:GXU852005 GNY851978:GNY852005 GEC851978:GEC852005 FUG851978:FUG852005 FKK851978:FKK852005 FAO851978:FAO852005 EQS851978:EQS852005 EGW851978:EGW852005 DXA851978:DXA852005 DNE851978:DNE852005 DDI851978:DDI852005 CTM851978:CTM852005 CJQ851978:CJQ852005 BZU851978:BZU852005 BPY851978:BPY852005 BGC851978:BGC852005 AWG851978:AWG852005 AMK851978:AMK852005 ACO851978:ACO852005 SS851978:SS852005 IW851978:IW852005 A851978:A852005 WVI786442:WVI786469 WLM786442:WLM786469 WBQ786442:WBQ786469 VRU786442:VRU786469 VHY786442:VHY786469 UYC786442:UYC786469 UOG786442:UOG786469 UEK786442:UEK786469 TUO786442:TUO786469 TKS786442:TKS786469 TAW786442:TAW786469 SRA786442:SRA786469 SHE786442:SHE786469 RXI786442:RXI786469 RNM786442:RNM786469 RDQ786442:RDQ786469 QTU786442:QTU786469 QJY786442:QJY786469 QAC786442:QAC786469 PQG786442:PQG786469 PGK786442:PGK786469 OWO786442:OWO786469 OMS786442:OMS786469 OCW786442:OCW786469 NTA786442:NTA786469 NJE786442:NJE786469 MZI786442:MZI786469 MPM786442:MPM786469 MFQ786442:MFQ786469 LVU786442:LVU786469 LLY786442:LLY786469 LCC786442:LCC786469 KSG786442:KSG786469 KIK786442:KIK786469 JYO786442:JYO786469 JOS786442:JOS786469 JEW786442:JEW786469 IVA786442:IVA786469 ILE786442:ILE786469 IBI786442:IBI786469 HRM786442:HRM786469 HHQ786442:HHQ786469 GXU786442:GXU786469 GNY786442:GNY786469 GEC786442:GEC786469 FUG786442:FUG786469 FKK786442:FKK786469 FAO786442:FAO786469 EQS786442:EQS786469 EGW786442:EGW786469 DXA786442:DXA786469 DNE786442:DNE786469 DDI786442:DDI786469 CTM786442:CTM786469 CJQ786442:CJQ786469 BZU786442:BZU786469 BPY786442:BPY786469 BGC786442:BGC786469 AWG786442:AWG786469 AMK786442:AMK786469 ACO786442:ACO786469 SS786442:SS786469 IW786442:IW786469 A786442:A786469 WVI720906:WVI720933 WLM720906:WLM720933 WBQ720906:WBQ720933 VRU720906:VRU720933 VHY720906:VHY720933 UYC720906:UYC720933 UOG720906:UOG720933 UEK720906:UEK720933 TUO720906:TUO720933 TKS720906:TKS720933 TAW720906:TAW720933 SRA720906:SRA720933 SHE720906:SHE720933 RXI720906:RXI720933 RNM720906:RNM720933 RDQ720906:RDQ720933 QTU720906:QTU720933 QJY720906:QJY720933 QAC720906:QAC720933 PQG720906:PQG720933 PGK720906:PGK720933 OWO720906:OWO720933 OMS720906:OMS720933 OCW720906:OCW720933 NTA720906:NTA720933 NJE720906:NJE720933 MZI720906:MZI720933 MPM720906:MPM720933 MFQ720906:MFQ720933 LVU720906:LVU720933 LLY720906:LLY720933 LCC720906:LCC720933 KSG720906:KSG720933 KIK720906:KIK720933 JYO720906:JYO720933 JOS720906:JOS720933 JEW720906:JEW720933 IVA720906:IVA720933 ILE720906:ILE720933 IBI720906:IBI720933 HRM720906:HRM720933 HHQ720906:HHQ720933 GXU720906:GXU720933 GNY720906:GNY720933 GEC720906:GEC720933 FUG720906:FUG720933 FKK720906:FKK720933 FAO720906:FAO720933 EQS720906:EQS720933 EGW720906:EGW720933 DXA720906:DXA720933 DNE720906:DNE720933 DDI720906:DDI720933 CTM720906:CTM720933 CJQ720906:CJQ720933 BZU720906:BZU720933 BPY720906:BPY720933 BGC720906:BGC720933 AWG720906:AWG720933 AMK720906:AMK720933 ACO720906:ACO720933 SS720906:SS720933 IW720906:IW720933 A720906:A720933 WVI655370:WVI655397 WLM655370:WLM655397 WBQ655370:WBQ655397 VRU655370:VRU655397 VHY655370:VHY655397 UYC655370:UYC655397 UOG655370:UOG655397 UEK655370:UEK655397 TUO655370:TUO655397 TKS655370:TKS655397 TAW655370:TAW655397 SRA655370:SRA655397 SHE655370:SHE655397 RXI655370:RXI655397 RNM655370:RNM655397 RDQ655370:RDQ655397 QTU655370:QTU655397 QJY655370:QJY655397 QAC655370:QAC655397 PQG655370:PQG655397 PGK655370:PGK655397 OWO655370:OWO655397 OMS655370:OMS655397 OCW655370:OCW655397 NTA655370:NTA655397 NJE655370:NJE655397 MZI655370:MZI655397 MPM655370:MPM655397 MFQ655370:MFQ655397 LVU655370:LVU655397 LLY655370:LLY655397 LCC655370:LCC655397 KSG655370:KSG655397 KIK655370:KIK655397 JYO655370:JYO655397 JOS655370:JOS655397 JEW655370:JEW655397 IVA655370:IVA655397 ILE655370:ILE655397 IBI655370:IBI655397 HRM655370:HRM655397 HHQ655370:HHQ655397 GXU655370:GXU655397 GNY655370:GNY655397 GEC655370:GEC655397 FUG655370:FUG655397 FKK655370:FKK655397 FAO655370:FAO655397 EQS655370:EQS655397 EGW655370:EGW655397 DXA655370:DXA655397 DNE655370:DNE655397 DDI655370:DDI655397 CTM655370:CTM655397 CJQ655370:CJQ655397 BZU655370:BZU655397 BPY655370:BPY655397 BGC655370:BGC655397 AWG655370:AWG655397 AMK655370:AMK655397 ACO655370:ACO655397 SS655370:SS655397 IW655370:IW655397 A655370:A655397 WVI589834:WVI589861 WLM589834:WLM589861 WBQ589834:WBQ589861 VRU589834:VRU589861 VHY589834:VHY589861 UYC589834:UYC589861 UOG589834:UOG589861 UEK589834:UEK589861 TUO589834:TUO589861 TKS589834:TKS589861 TAW589834:TAW589861 SRA589834:SRA589861 SHE589834:SHE589861 RXI589834:RXI589861 RNM589834:RNM589861 RDQ589834:RDQ589861 QTU589834:QTU589861 QJY589834:QJY589861 QAC589834:QAC589861 PQG589834:PQG589861 PGK589834:PGK589861 OWO589834:OWO589861 OMS589834:OMS589861 OCW589834:OCW589861 NTA589834:NTA589861 NJE589834:NJE589861 MZI589834:MZI589861 MPM589834:MPM589861 MFQ589834:MFQ589861 LVU589834:LVU589861 LLY589834:LLY589861 LCC589834:LCC589861 KSG589834:KSG589861 KIK589834:KIK589861 JYO589834:JYO589861 JOS589834:JOS589861 JEW589834:JEW589861 IVA589834:IVA589861 ILE589834:ILE589861 IBI589834:IBI589861 HRM589834:HRM589861 HHQ589834:HHQ589861 GXU589834:GXU589861 GNY589834:GNY589861 GEC589834:GEC589861 FUG589834:FUG589861 FKK589834:FKK589861 FAO589834:FAO589861 EQS589834:EQS589861 EGW589834:EGW589861 DXA589834:DXA589861 DNE589834:DNE589861 DDI589834:DDI589861 CTM589834:CTM589861 CJQ589834:CJQ589861 BZU589834:BZU589861 BPY589834:BPY589861 BGC589834:BGC589861 AWG589834:AWG589861 AMK589834:AMK589861 ACO589834:ACO589861 SS589834:SS589861 IW589834:IW589861 A589834:A589861 WVI524298:WVI524325 WLM524298:WLM524325 WBQ524298:WBQ524325 VRU524298:VRU524325 VHY524298:VHY524325 UYC524298:UYC524325 UOG524298:UOG524325 UEK524298:UEK524325 TUO524298:TUO524325 TKS524298:TKS524325 TAW524298:TAW524325 SRA524298:SRA524325 SHE524298:SHE524325 RXI524298:RXI524325 RNM524298:RNM524325 RDQ524298:RDQ524325 QTU524298:QTU524325 QJY524298:QJY524325 QAC524298:QAC524325 PQG524298:PQG524325 PGK524298:PGK524325 OWO524298:OWO524325 OMS524298:OMS524325 OCW524298:OCW524325 NTA524298:NTA524325 NJE524298:NJE524325 MZI524298:MZI524325 MPM524298:MPM524325 MFQ524298:MFQ524325 LVU524298:LVU524325 LLY524298:LLY524325 LCC524298:LCC524325 KSG524298:KSG524325 KIK524298:KIK524325 JYO524298:JYO524325 JOS524298:JOS524325 JEW524298:JEW524325 IVA524298:IVA524325 ILE524298:ILE524325 IBI524298:IBI524325 HRM524298:HRM524325 HHQ524298:HHQ524325 GXU524298:GXU524325 GNY524298:GNY524325 GEC524298:GEC524325 FUG524298:FUG524325 FKK524298:FKK524325 FAO524298:FAO524325 EQS524298:EQS524325 EGW524298:EGW524325 DXA524298:DXA524325 DNE524298:DNE524325 DDI524298:DDI524325 CTM524298:CTM524325 CJQ524298:CJQ524325 BZU524298:BZU524325 BPY524298:BPY524325 BGC524298:BGC524325 AWG524298:AWG524325 AMK524298:AMK524325 ACO524298:ACO524325 SS524298:SS524325 IW524298:IW524325 A524298:A524325 WVI458762:WVI458789 WLM458762:WLM458789 WBQ458762:WBQ458789 VRU458762:VRU458789 VHY458762:VHY458789 UYC458762:UYC458789 UOG458762:UOG458789 UEK458762:UEK458789 TUO458762:TUO458789 TKS458762:TKS458789 TAW458762:TAW458789 SRA458762:SRA458789 SHE458762:SHE458789 RXI458762:RXI458789 RNM458762:RNM458789 RDQ458762:RDQ458789 QTU458762:QTU458789 QJY458762:QJY458789 QAC458762:QAC458789 PQG458762:PQG458789 PGK458762:PGK458789 OWO458762:OWO458789 OMS458762:OMS458789 OCW458762:OCW458789 NTA458762:NTA458789 NJE458762:NJE458789 MZI458762:MZI458789 MPM458762:MPM458789 MFQ458762:MFQ458789 LVU458762:LVU458789 LLY458762:LLY458789 LCC458762:LCC458789 KSG458762:KSG458789 KIK458762:KIK458789 JYO458762:JYO458789 JOS458762:JOS458789 JEW458762:JEW458789 IVA458762:IVA458789 ILE458762:ILE458789 IBI458762:IBI458789 HRM458762:HRM458789 HHQ458762:HHQ458789 GXU458762:GXU458789 GNY458762:GNY458789 GEC458762:GEC458789 FUG458762:FUG458789 FKK458762:FKK458789 FAO458762:FAO458789 EQS458762:EQS458789 EGW458762:EGW458789 DXA458762:DXA458789 DNE458762:DNE458789 DDI458762:DDI458789 CTM458762:CTM458789 CJQ458762:CJQ458789 BZU458762:BZU458789 BPY458762:BPY458789 BGC458762:BGC458789 AWG458762:AWG458789 AMK458762:AMK458789 ACO458762:ACO458789 SS458762:SS458789 IW458762:IW458789 A458762:A458789 WVI393226:WVI393253 WLM393226:WLM393253 WBQ393226:WBQ393253 VRU393226:VRU393253 VHY393226:VHY393253 UYC393226:UYC393253 UOG393226:UOG393253 UEK393226:UEK393253 TUO393226:TUO393253 TKS393226:TKS393253 TAW393226:TAW393253 SRA393226:SRA393253 SHE393226:SHE393253 RXI393226:RXI393253 RNM393226:RNM393253 RDQ393226:RDQ393253 QTU393226:QTU393253 QJY393226:QJY393253 QAC393226:QAC393253 PQG393226:PQG393253 PGK393226:PGK393253 OWO393226:OWO393253 OMS393226:OMS393253 OCW393226:OCW393253 NTA393226:NTA393253 NJE393226:NJE393253 MZI393226:MZI393253 MPM393226:MPM393253 MFQ393226:MFQ393253 LVU393226:LVU393253 LLY393226:LLY393253 LCC393226:LCC393253 KSG393226:KSG393253 KIK393226:KIK393253 JYO393226:JYO393253 JOS393226:JOS393253 JEW393226:JEW393253 IVA393226:IVA393253 ILE393226:ILE393253 IBI393226:IBI393253 HRM393226:HRM393253 HHQ393226:HHQ393253 GXU393226:GXU393253 GNY393226:GNY393253 GEC393226:GEC393253 FUG393226:FUG393253 FKK393226:FKK393253 FAO393226:FAO393253 EQS393226:EQS393253 EGW393226:EGW393253 DXA393226:DXA393253 DNE393226:DNE393253 DDI393226:DDI393253 CTM393226:CTM393253 CJQ393226:CJQ393253 BZU393226:BZU393253 BPY393226:BPY393253 BGC393226:BGC393253 AWG393226:AWG393253 AMK393226:AMK393253 ACO393226:ACO393253 SS393226:SS393253 IW393226:IW393253 A393226:A393253 WVI327690:WVI327717 WLM327690:WLM327717 WBQ327690:WBQ327717 VRU327690:VRU327717 VHY327690:VHY327717 UYC327690:UYC327717 UOG327690:UOG327717 UEK327690:UEK327717 TUO327690:TUO327717 TKS327690:TKS327717 TAW327690:TAW327717 SRA327690:SRA327717 SHE327690:SHE327717 RXI327690:RXI327717 RNM327690:RNM327717 RDQ327690:RDQ327717 QTU327690:QTU327717 QJY327690:QJY327717 QAC327690:QAC327717 PQG327690:PQG327717 PGK327690:PGK327717 OWO327690:OWO327717 OMS327690:OMS327717 OCW327690:OCW327717 NTA327690:NTA327717 NJE327690:NJE327717 MZI327690:MZI327717 MPM327690:MPM327717 MFQ327690:MFQ327717 LVU327690:LVU327717 LLY327690:LLY327717 LCC327690:LCC327717 KSG327690:KSG327717 KIK327690:KIK327717 JYO327690:JYO327717 JOS327690:JOS327717 JEW327690:JEW327717 IVA327690:IVA327717 ILE327690:ILE327717 IBI327690:IBI327717 HRM327690:HRM327717 HHQ327690:HHQ327717 GXU327690:GXU327717 GNY327690:GNY327717 GEC327690:GEC327717 FUG327690:FUG327717 FKK327690:FKK327717 FAO327690:FAO327717 EQS327690:EQS327717 EGW327690:EGW327717 DXA327690:DXA327717 DNE327690:DNE327717 DDI327690:DDI327717 CTM327690:CTM327717 CJQ327690:CJQ327717 BZU327690:BZU327717 BPY327690:BPY327717 BGC327690:BGC327717 AWG327690:AWG327717 AMK327690:AMK327717 ACO327690:ACO327717 SS327690:SS327717 IW327690:IW327717 A327690:A327717 WVI262154:WVI262181 WLM262154:WLM262181 WBQ262154:WBQ262181 VRU262154:VRU262181 VHY262154:VHY262181 UYC262154:UYC262181 UOG262154:UOG262181 UEK262154:UEK262181 TUO262154:TUO262181 TKS262154:TKS262181 TAW262154:TAW262181 SRA262154:SRA262181 SHE262154:SHE262181 RXI262154:RXI262181 RNM262154:RNM262181 RDQ262154:RDQ262181 QTU262154:QTU262181 QJY262154:QJY262181 QAC262154:QAC262181 PQG262154:PQG262181 PGK262154:PGK262181 OWO262154:OWO262181 OMS262154:OMS262181 OCW262154:OCW262181 NTA262154:NTA262181 NJE262154:NJE262181 MZI262154:MZI262181 MPM262154:MPM262181 MFQ262154:MFQ262181 LVU262154:LVU262181 LLY262154:LLY262181 LCC262154:LCC262181 KSG262154:KSG262181 KIK262154:KIK262181 JYO262154:JYO262181 JOS262154:JOS262181 JEW262154:JEW262181 IVA262154:IVA262181 ILE262154:ILE262181 IBI262154:IBI262181 HRM262154:HRM262181 HHQ262154:HHQ262181 GXU262154:GXU262181 GNY262154:GNY262181 GEC262154:GEC262181 FUG262154:FUG262181 FKK262154:FKK262181 FAO262154:FAO262181 EQS262154:EQS262181 EGW262154:EGW262181 DXA262154:DXA262181 DNE262154:DNE262181 DDI262154:DDI262181 CTM262154:CTM262181 CJQ262154:CJQ262181 BZU262154:BZU262181 BPY262154:BPY262181 BGC262154:BGC262181 AWG262154:AWG262181 AMK262154:AMK262181 ACO262154:ACO262181 SS262154:SS262181 IW262154:IW262181 A262154:A262181 WVI196618:WVI196645 WLM196618:WLM196645 WBQ196618:WBQ196645 VRU196618:VRU196645 VHY196618:VHY196645 UYC196618:UYC196645 UOG196618:UOG196645 UEK196618:UEK196645 TUO196618:TUO196645 TKS196618:TKS196645 TAW196618:TAW196645 SRA196618:SRA196645 SHE196618:SHE196645 RXI196618:RXI196645 RNM196618:RNM196645 RDQ196618:RDQ196645 QTU196618:QTU196645 QJY196618:QJY196645 QAC196618:QAC196645 PQG196618:PQG196645 PGK196618:PGK196645 OWO196618:OWO196645 OMS196618:OMS196645 OCW196618:OCW196645 NTA196618:NTA196645 NJE196618:NJE196645 MZI196618:MZI196645 MPM196618:MPM196645 MFQ196618:MFQ196645 LVU196618:LVU196645 LLY196618:LLY196645 LCC196618:LCC196645 KSG196618:KSG196645 KIK196618:KIK196645 JYO196618:JYO196645 JOS196618:JOS196645 JEW196618:JEW196645 IVA196618:IVA196645 ILE196618:ILE196645 IBI196618:IBI196645 HRM196618:HRM196645 HHQ196618:HHQ196645 GXU196618:GXU196645 GNY196618:GNY196645 GEC196618:GEC196645 FUG196618:FUG196645 FKK196618:FKK196645 FAO196618:FAO196645 EQS196618:EQS196645 EGW196618:EGW196645 DXA196618:DXA196645 DNE196618:DNE196645 DDI196618:DDI196645 CTM196618:CTM196645 CJQ196618:CJQ196645 BZU196618:BZU196645 BPY196618:BPY196645 BGC196618:BGC196645 AWG196618:AWG196645 AMK196618:AMK196645 ACO196618:ACO196645 SS196618:SS196645 IW196618:IW196645 A196618:A196645 WVI131082:WVI131109 WLM131082:WLM131109 WBQ131082:WBQ131109 VRU131082:VRU131109 VHY131082:VHY131109 UYC131082:UYC131109 UOG131082:UOG131109 UEK131082:UEK131109 TUO131082:TUO131109 TKS131082:TKS131109 TAW131082:TAW131109 SRA131082:SRA131109 SHE131082:SHE131109 RXI131082:RXI131109 RNM131082:RNM131109 RDQ131082:RDQ131109 QTU131082:QTU131109 QJY131082:QJY131109 QAC131082:QAC131109 PQG131082:PQG131109 PGK131082:PGK131109 OWO131082:OWO131109 OMS131082:OMS131109 OCW131082:OCW131109 NTA131082:NTA131109 NJE131082:NJE131109 MZI131082:MZI131109 MPM131082:MPM131109 MFQ131082:MFQ131109 LVU131082:LVU131109 LLY131082:LLY131109 LCC131082:LCC131109 KSG131082:KSG131109 KIK131082:KIK131109 JYO131082:JYO131109 JOS131082:JOS131109 JEW131082:JEW131109 IVA131082:IVA131109 ILE131082:ILE131109 IBI131082:IBI131109 HRM131082:HRM131109 HHQ131082:HHQ131109 GXU131082:GXU131109 GNY131082:GNY131109 GEC131082:GEC131109 FUG131082:FUG131109 FKK131082:FKK131109 FAO131082:FAO131109 EQS131082:EQS131109 EGW131082:EGW131109 DXA131082:DXA131109 DNE131082:DNE131109 DDI131082:DDI131109 CTM131082:CTM131109 CJQ131082:CJQ131109 BZU131082:BZU131109 BPY131082:BPY131109 BGC131082:BGC131109 AWG131082:AWG131109 AMK131082:AMK131109 ACO131082:ACO131109 SS131082:SS131109 IW131082:IW131109 A131082:A131109 WVI65546:WVI65573 WLM65546:WLM65573 WBQ65546:WBQ65573 VRU65546:VRU65573 VHY65546:VHY65573 UYC65546:UYC65573 UOG65546:UOG65573 UEK65546:UEK65573 TUO65546:TUO65573 TKS65546:TKS65573 TAW65546:TAW65573 SRA65546:SRA65573 SHE65546:SHE65573 RXI65546:RXI65573 RNM65546:RNM65573 RDQ65546:RDQ65573 QTU65546:QTU65573 QJY65546:QJY65573 QAC65546:QAC65573 PQG65546:PQG65573 PGK65546:PGK65573 OWO65546:OWO65573 OMS65546:OMS65573 OCW65546:OCW65573 NTA65546:NTA65573 NJE65546:NJE65573 MZI65546:MZI65573 MPM65546:MPM65573 MFQ65546:MFQ65573 LVU65546:LVU65573 LLY65546:LLY65573 LCC65546:LCC65573 KSG65546:KSG65573 KIK65546:KIK65573 JYO65546:JYO65573 JOS65546:JOS65573 JEW65546:JEW65573 IVA65546:IVA65573 ILE65546:ILE65573 IBI65546:IBI65573 HRM65546:HRM65573 HHQ65546:HHQ65573 GXU65546:GXU65573 GNY65546:GNY65573 GEC65546:GEC65573 FUG65546:FUG65573 FKK65546:FKK65573 FAO65546:FAO65573 EQS65546:EQS65573 EGW65546:EGW65573 DXA65546:DXA65573 DNE65546:DNE65573 DDI65546:DDI65573 CTM65546:CTM65573 CJQ65546:CJQ65573 BZU65546:BZU65573 BPY65546:BPY65573 BGC65546:BGC65573 AWG65546:AWG65573 AMK65546:AMK65573 ACO65546:ACO65573 SS65546:SS65573 IW65546:IW65573 A65546:A65573 WVI983050:WVI983077 WVI9:WVI37 WLM9:WLM37 WBQ9:WBQ37 VRU9:VRU37 VHY9:VHY37 UYC9:UYC37 UOG9:UOG37 UEK9:UEK37 TUO9:TUO37 TKS9:TKS37 TAW9:TAW37 SRA9:SRA37 SHE9:SHE37 RXI9:RXI37 RNM9:RNM37 RDQ9:RDQ37 QTU9:QTU37 QJY9:QJY37 QAC9:QAC37 PQG9:PQG37 PGK9:PGK37 OWO9:OWO37 OMS9:OMS37 OCW9:OCW37 NTA9:NTA37 NJE9:NJE37 MZI9:MZI37 MPM9:MPM37 MFQ9:MFQ37 LVU9:LVU37 LLY9:LLY37 LCC9:LCC37 KSG9:KSG37 KIK9:KIK37 JYO9:JYO37 JOS9:JOS37 JEW9:JEW37 IVA9:IVA37 ILE9:ILE37 IBI9:IBI37 HRM9:HRM37 HHQ9:HHQ37 GXU9:GXU37 GNY9:GNY37 GEC9:GEC37 FUG9:FUG37 FKK9:FKK37 FAO9:FAO37 EQS9:EQS37 EGW9:EGW37 DXA9:DXA37 DNE9:DNE37 DDI9:DDI37 CTM9:CTM37 CJQ9:CJQ37 BZU9:BZU37 BPY9:BPY37 BGC9:BGC37 AWG9:AWG37 AMK9:AMK37 ACO9:ACO37 SS9:SS37 IW9:IW37 A9:A37">
      <formula1>"※,△,＃,：,＝,※＝,＃：,LOW"</formula1>
    </dataValidation>
  </dataValidations>
  <printOptions horizontalCentered="1"/>
  <pageMargins left="0.59055118110236227" right="0.19685039370078741" top="0.78740157480314965" bottom="0" header="0.51181102362204722" footer="0"/>
  <pageSetup paperSize="9" scale="66" fitToWidth="2" orientation="landscape" blackAndWhite="1" r:id="rId1"/>
  <headerFooter alignWithMargins="0"/>
  <colBreaks count="1" manualBreakCount="1">
    <brk id="16" min="2" max="36" man="1"/>
  </colBreaks>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2:J112"/>
  <sheetViews>
    <sheetView workbookViewId="0">
      <selection activeCell="E8" sqref="E8"/>
    </sheetView>
  </sheetViews>
  <sheetFormatPr defaultColWidth="9.140625" defaultRowHeight="12"/>
  <cols>
    <col min="1" max="1" width="4.85546875" style="1" customWidth="1"/>
    <col min="2" max="2" width="5.7109375" style="1" customWidth="1"/>
    <col min="3" max="3" width="35" style="1" customWidth="1"/>
    <col min="4" max="5" width="15.7109375" style="1" customWidth="1"/>
    <col min="6" max="6" width="9.140625" style="1"/>
    <col min="7" max="7" width="4.7109375" style="1" customWidth="1"/>
    <col min="8" max="16384" width="9.140625" style="1"/>
  </cols>
  <sheetData>
    <row r="2" spans="1:10" ht="18" customHeight="1">
      <c r="B2" s="2" t="s">
        <v>2520</v>
      </c>
      <c r="C2" s="3" t="str">
        <f>IF(Lead!$C$5="","",Lead!$C$5)</f>
        <v>福建省力菲克药业有限公司</v>
      </c>
      <c r="D2" s="172"/>
      <c r="E2" s="4"/>
      <c r="F2" s="5" t="s">
        <v>2521</v>
      </c>
      <c r="G2" s="5"/>
      <c r="H2" s="7" t="s">
        <v>2501</v>
      </c>
      <c r="I2" s="8"/>
      <c r="J2" s="53"/>
    </row>
    <row r="3" spans="1:10" ht="18" customHeight="1">
      <c r="B3" s="2" t="s">
        <v>2522</v>
      </c>
      <c r="C3" s="9" t="s">
        <v>4863</v>
      </c>
      <c r="D3" s="173"/>
      <c r="E3" s="10" t="s">
        <v>2450</v>
      </c>
      <c r="F3" s="11" t="str">
        <f>IF(Lead!$E$9="","",Lead!$E$9)</f>
        <v>孙健</v>
      </c>
      <c r="G3" s="234"/>
      <c r="H3" s="174">
        <f>IF(Lead!$F$9="","",Lead!$F$9)</f>
        <v>43864</v>
      </c>
      <c r="I3" s="14" t="s">
        <v>6593</v>
      </c>
      <c r="J3" s="219"/>
    </row>
    <row r="4" spans="1:10" ht="18" customHeight="1">
      <c r="B4" s="2" t="s">
        <v>2436</v>
      </c>
      <c r="C4" s="15" t="str">
        <f>Lead!$F$7</f>
        <v>2019年度</v>
      </c>
      <c r="D4" s="173"/>
      <c r="E4" s="10" t="s">
        <v>2457</v>
      </c>
      <c r="F4" s="235" t="str">
        <f>IF(Lead!$E$10="","",Lead!$E$10)</f>
        <v/>
      </c>
      <c r="G4" s="236"/>
      <c r="H4" s="174" t="str">
        <f>IF(Lead!$F$10="","",Lead!$F$10)</f>
        <v/>
      </c>
      <c r="I4" s="14" t="s">
        <v>2525</v>
      </c>
      <c r="J4" s="270"/>
    </row>
    <row r="5" spans="1:10" ht="9" customHeight="1">
      <c r="B5" s="18"/>
      <c r="C5" s="19"/>
      <c r="D5" s="19"/>
      <c r="E5" s="20"/>
      <c r="F5" s="21"/>
      <c r="G5" s="21"/>
      <c r="H5" s="22"/>
      <c r="I5" s="21"/>
      <c r="J5" s="19"/>
    </row>
    <row r="6" spans="1:10" ht="9" customHeight="1">
      <c r="B6" s="61"/>
      <c r="C6" s="6"/>
      <c r="D6" s="6"/>
      <c r="E6" s="61"/>
      <c r="F6" s="62"/>
      <c r="G6" s="62"/>
      <c r="H6" s="62"/>
      <c r="I6" s="62"/>
      <c r="J6" s="6"/>
    </row>
    <row r="7" spans="1:10" ht="18">
      <c r="A7" s="30"/>
      <c r="B7" s="237" t="s">
        <v>4864</v>
      </c>
      <c r="C7" s="129"/>
      <c r="D7" s="238"/>
      <c r="E7" s="238"/>
      <c r="F7" s="238"/>
      <c r="G7" s="238"/>
      <c r="H7" s="238"/>
      <c r="I7" s="238"/>
      <c r="J7" s="238"/>
    </row>
    <row r="8" spans="1:10" ht="18">
      <c r="A8" s="30"/>
      <c r="B8" s="1457" t="s">
        <v>4865</v>
      </c>
      <c r="C8" s="239" t="s">
        <v>4866</v>
      </c>
      <c r="D8" s="238"/>
      <c r="E8" s="238"/>
      <c r="F8" s="238"/>
      <c r="G8" s="238"/>
      <c r="H8" s="238"/>
      <c r="I8" s="238"/>
      <c r="J8" s="238"/>
    </row>
    <row r="9" spans="1:10" ht="18">
      <c r="A9" s="30"/>
      <c r="B9" s="1457" t="s">
        <v>4867</v>
      </c>
      <c r="C9" s="239" t="s">
        <v>4868</v>
      </c>
      <c r="D9" s="238"/>
      <c r="E9" s="238"/>
      <c r="F9" s="238"/>
      <c r="G9" s="238"/>
      <c r="H9" s="238"/>
      <c r="I9" s="238"/>
      <c r="J9" s="238"/>
    </row>
    <row r="10" spans="1:10" ht="18">
      <c r="A10" s="30"/>
      <c r="B10" s="1457" t="s">
        <v>4869</v>
      </c>
      <c r="C10" s="239" t="s">
        <v>4870</v>
      </c>
      <c r="D10" s="238"/>
      <c r="E10" s="238"/>
      <c r="F10" s="238"/>
      <c r="G10" s="238"/>
      <c r="H10" s="238"/>
      <c r="I10" s="238"/>
      <c r="J10" s="238"/>
    </row>
    <row r="11" spans="1:10" ht="18">
      <c r="A11" s="30"/>
      <c r="B11" s="1457" t="s">
        <v>4871</v>
      </c>
      <c r="C11" s="239" t="s">
        <v>4872</v>
      </c>
      <c r="D11" s="238"/>
      <c r="E11" s="238"/>
      <c r="F11" s="238"/>
      <c r="G11" s="238"/>
      <c r="H11" s="238"/>
      <c r="I11" s="238"/>
      <c r="J11" s="238"/>
    </row>
    <row r="12" spans="1:10" ht="18">
      <c r="A12" s="30"/>
      <c r="B12" s="237" t="s">
        <v>4873</v>
      </c>
      <c r="C12" s="130"/>
      <c r="D12" s="238"/>
      <c r="E12" s="238"/>
      <c r="F12" s="238"/>
      <c r="G12" s="238"/>
      <c r="H12" s="238"/>
      <c r="I12" s="238"/>
      <c r="J12" s="238"/>
    </row>
    <row r="13" spans="1:10" ht="18">
      <c r="A13" s="30"/>
      <c r="B13" s="240" t="s">
        <v>4874</v>
      </c>
      <c r="C13" s="129" t="s">
        <v>4875</v>
      </c>
      <c r="D13" s="238"/>
      <c r="E13" s="238"/>
      <c r="F13" s="238"/>
      <c r="G13" s="238"/>
      <c r="H13" s="238"/>
      <c r="I13" s="238"/>
      <c r="J13" s="238"/>
    </row>
    <row r="14" spans="1:10" ht="18">
      <c r="A14" s="30"/>
      <c r="B14" s="241">
        <v>1.1000000000000001</v>
      </c>
      <c r="C14" s="238" t="s">
        <v>4876</v>
      </c>
      <c r="D14" s="238"/>
      <c r="E14" s="238"/>
      <c r="F14" s="238"/>
      <c r="G14" s="238"/>
      <c r="H14" s="238"/>
      <c r="I14" s="238"/>
      <c r="J14" s="238"/>
    </row>
    <row r="15" spans="1:10" ht="18">
      <c r="A15" s="30"/>
      <c r="B15" s="238"/>
      <c r="C15" s="238" t="s">
        <v>4877</v>
      </c>
      <c r="D15" s="238"/>
      <c r="E15" s="238"/>
      <c r="F15" s="238"/>
      <c r="G15" s="238"/>
      <c r="H15" s="238"/>
      <c r="I15" s="238"/>
      <c r="J15" s="238"/>
    </row>
    <row r="16" spans="1:10" ht="18">
      <c r="A16" s="30"/>
      <c r="B16" s="238"/>
      <c r="C16" s="242" t="s">
        <v>2273</v>
      </c>
      <c r="D16" s="243"/>
      <c r="E16" s="238"/>
      <c r="F16" s="238"/>
      <c r="G16" s="238"/>
      <c r="H16" s="238"/>
      <c r="I16" s="238"/>
      <c r="J16" s="238"/>
    </row>
    <row r="17" spans="1:10" ht="18">
      <c r="A17" s="30"/>
      <c r="B17" s="238"/>
      <c r="C17" s="238" t="s">
        <v>4878</v>
      </c>
      <c r="D17" s="238"/>
      <c r="E17" s="238"/>
      <c r="F17" s="238"/>
      <c r="G17" s="238"/>
      <c r="H17" s="238"/>
      <c r="I17" s="238"/>
      <c r="J17" s="238"/>
    </row>
    <row r="18" spans="1:10" ht="18">
      <c r="A18" s="30"/>
      <c r="B18" s="130"/>
      <c r="C18" s="244" t="s">
        <v>47</v>
      </c>
      <c r="D18" s="245" t="s">
        <v>3086</v>
      </c>
      <c r="E18" s="130"/>
      <c r="F18" s="130"/>
      <c r="G18" s="130"/>
      <c r="H18" s="130"/>
      <c r="I18" s="130"/>
      <c r="J18" s="130"/>
    </row>
    <row r="19" spans="1:10" ht="18">
      <c r="A19" s="30"/>
      <c r="B19" s="130"/>
      <c r="C19" s="246" t="s">
        <v>42</v>
      </c>
      <c r="D19" s="247"/>
      <c r="E19" s="130"/>
      <c r="F19" s="130"/>
      <c r="G19" s="130"/>
      <c r="H19" s="130"/>
      <c r="I19" s="130"/>
      <c r="J19" s="130"/>
    </row>
    <row r="20" spans="1:10" ht="18">
      <c r="A20" s="30"/>
      <c r="B20" s="130"/>
      <c r="C20" s="246" t="s">
        <v>66</v>
      </c>
      <c r="D20" s="247"/>
      <c r="E20" s="130"/>
      <c r="F20" s="130"/>
      <c r="G20" s="130"/>
      <c r="H20" s="130"/>
      <c r="I20" s="130"/>
      <c r="J20" s="130"/>
    </row>
    <row r="21" spans="1:10" ht="18">
      <c r="A21" s="30"/>
      <c r="B21" s="130"/>
      <c r="C21" s="246" t="s">
        <v>85</v>
      </c>
      <c r="D21" s="247"/>
      <c r="E21" s="130"/>
      <c r="F21" s="130"/>
      <c r="G21" s="130"/>
      <c r="H21" s="130"/>
      <c r="I21" s="130"/>
      <c r="J21" s="130"/>
    </row>
    <row r="22" spans="1:10" ht="18">
      <c r="A22" s="30"/>
      <c r="B22" s="130"/>
      <c r="C22" s="246" t="s">
        <v>4879</v>
      </c>
      <c r="D22" s="247"/>
      <c r="E22" s="130"/>
      <c r="F22" s="130"/>
      <c r="G22" s="130"/>
      <c r="H22" s="130"/>
      <c r="I22" s="130"/>
      <c r="J22" s="130"/>
    </row>
    <row r="23" spans="1:10" ht="18">
      <c r="A23" s="30"/>
      <c r="B23" s="130"/>
      <c r="C23" s="246" t="s">
        <v>4419</v>
      </c>
      <c r="D23" s="248"/>
      <c r="E23" s="130"/>
      <c r="F23" s="130"/>
      <c r="G23" s="130"/>
      <c r="H23" s="130"/>
      <c r="I23" s="130"/>
      <c r="J23" s="130"/>
    </row>
    <row r="24" spans="1:10" ht="18">
      <c r="A24" s="30"/>
      <c r="B24" s="130"/>
      <c r="C24" s="249" t="s">
        <v>4880</v>
      </c>
      <c r="D24" s="250">
        <f>SUM(D19:D22)</f>
        <v>0</v>
      </c>
      <c r="E24" s="130"/>
      <c r="F24" s="130"/>
      <c r="G24" s="130"/>
      <c r="H24" s="130"/>
      <c r="I24" s="130"/>
      <c r="J24" s="130"/>
    </row>
    <row r="25" spans="1:10" ht="18">
      <c r="A25" s="30"/>
      <c r="B25" s="130"/>
      <c r="C25" s="251"/>
      <c r="D25" s="169"/>
      <c r="E25" s="130"/>
      <c r="F25" s="130"/>
      <c r="G25" s="130"/>
      <c r="H25" s="130"/>
      <c r="I25" s="130"/>
      <c r="J25" s="130"/>
    </row>
    <row r="26" spans="1:10" ht="18">
      <c r="A26" s="30"/>
      <c r="B26" s="241">
        <v>1.2</v>
      </c>
      <c r="C26" s="252" t="s">
        <v>4881</v>
      </c>
      <c r="D26" s="253"/>
      <c r="E26" s="130"/>
      <c r="F26" s="130"/>
      <c r="G26" s="130"/>
      <c r="H26" s="130"/>
      <c r="I26" s="130"/>
      <c r="J26" s="130"/>
    </row>
    <row r="27" spans="1:10" ht="18">
      <c r="A27" s="30"/>
      <c r="B27" s="241"/>
      <c r="C27" s="244" t="s">
        <v>47</v>
      </c>
      <c r="D27" s="245" t="s">
        <v>3086</v>
      </c>
      <c r="E27" s="130"/>
      <c r="F27" s="130"/>
      <c r="G27" s="130"/>
      <c r="H27" s="130"/>
      <c r="I27" s="130"/>
      <c r="J27" s="130"/>
    </row>
    <row r="28" spans="1:10" ht="18">
      <c r="A28" s="30"/>
      <c r="B28" s="130"/>
      <c r="C28" s="254" t="s">
        <v>4882</v>
      </c>
      <c r="D28" s="255"/>
      <c r="E28" s="130"/>
      <c r="F28" s="130"/>
      <c r="G28" s="130"/>
      <c r="H28" s="130"/>
      <c r="I28" s="130"/>
      <c r="J28" s="130"/>
    </row>
    <row r="29" spans="1:10" ht="18">
      <c r="A29" s="30"/>
      <c r="B29" s="130"/>
      <c r="C29" s="246" t="s">
        <v>4883</v>
      </c>
      <c r="D29" s="247"/>
      <c r="E29" s="130"/>
      <c r="F29" s="130"/>
      <c r="G29" s="130"/>
      <c r="H29" s="130"/>
      <c r="I29" s="130"/>
      <c r="J29" s="130"/>
    </row>
    <row r="30" spans="1:10" ht="18">
      <c r="A30" s="30"/>
      <c r="B30" s="130"/>
      <c r="C30" s="256" t="s">
        <v>4884</v>
      </c>
      <c r="D30" s="247"/>
      <c r="E30" s="130"/>
      <c r="F30" s="130"/>
      <c r="G30" s="130"/>
      <c r="H30" s="130"/>
      <c r="I30" s="130"/>
      <c r="J30" s="130"/>
    </row>
    <row r="31" spans="1:10" ht="18">
      <c r="A31" s="30"/>
      <c r="B31" s="130"/>
      <c r="C31" s="256"/>
      <c r="D31" s="247"/>
      <c r="E31" s="130"/>
      <c r="F31" s="130"/>
      <c r="G31" s="130"/>
      <c r="H31" s="130"/>
      <c r="I31" s="130"/>
      <c r="J31" s="130"/>
    </row>
    <row r="32" spans="1:10" ht="18">
      <c r="A32" s="30"/>
      <c r="B32" s="130"/>
      <c r="C32" s="256" t="s">
        <v>4885</v>
      </c>
      <c r="D32" s="247"/>
      <c r="E32" s="130"/>
      <c r="F32" s="130"/>
      <c r="G32" s="130"/>
      <c r="H32" s="130"/>
      <c r="I32" s="130"/>
      <c r="J32" s="130"/>
    </row>
    <row r="33" spans="1:10" ht="18">
      <c r="A33" s="30"/>
      <c r="B33" s="130"/>
      <c r="C33" s="256"/>
      <c r="D33" s="247"/>
      <c r="E33" s="130"/>
      <c r="F33" s="130"/>
      <c r="G33" s="130"/>
      <c r="H33" s="130"/>
      <c r="I33" s="130"/>
      <c r="J33" s="130"/>
    </row>
    <row r="34" spans="1:10" ht="18">
      <c r="A34" s="30"/>
      <c r="B34" s="130"/>
      <c r="C34" s="256" t="s">
        <v>4886</v>
      </c>
      <c r="D34" s="247"/>
      <c r="E34" s="130"/>
      <c r="F34" s="130"/>
      <c r="G34" s="130"/>
      <c r="H34" s="130"/>
      <c r="I34" s="130"/>
      <c r="J34" s="130"/>
    </row>
    <row r="35" spans="1:10" ht="18">
      <c r="A35" s="30"/>
      <c r="B35" s="130"/>
      <c r="C35" s="256"/>
      <c r="D35" s="248"/>
      <c r="E35" s="130"/>
      <c r="F35" s="130"/>
      <c r="G35" s="130"/>
      <c r="H35" s="130"/>
      <c r="I35" s="130"/>
      <c r="J35" s="130"/>
    </row>
    <row r="36" spans="1:10" ht="18">
      <c r="A36" s="30"/>
      <c r="B36" s="130"/>
      <c r="C36" s="249" t="s">
        <v>4880</v>
      </c>
      <c r="D36" s="250"/>
      <c r="E36" s="130"/>
      <c r="F36" s="130"/>
      <c r="G36" s="130"/>
      <c r="H36" s="130"/>
      <c r="I36" s="130"/>
      <c r="J36" s="130"/>
    </row>
    <row r="37" spans="1:10" ht="18">
      <c r="A37" s="30"/>
      <c r="B37" s="130"/>
      <c r="C37" s="257"/>
      <c r="D37" s="130"/>
      <c r="E37" s="130"/>
      <c r="F37" s="130"/>
      <c r="G37" s="130"/>
      <c r="H37" s="130"/>
      <c r="I37" s="130"/>
      <c r="J37" s="130"/>
    </row>
    <row r="38" spans="1:10" ht="18">
      <c r="A38" s="30"/>
      <c r="B38" s="241">
        <v>1.3</v>
      </c>
      <c r="C38" s="129" t="s">
        <v>4887</v>
      </c>
      <c r="D38" s="130"/>
      <c r="E38" s="130"/>
      <c r="F38" s="130"/>
      <c r="G38" s="130"/>
      <c r="H38" s="130"/>
      <c r="I38" s="130"/>
      <c r="J38" s="130"/>
    </row>
    <row r="39" spans="1:10" ht="18">
      <c r="A39" s="30"/>
      <c r="B39" s="130"/>
      <c r="C39" s="130" t="s">
        <v>4888</v>
      </c>
      <c r="D39" s="130"/>
      <c r="E39" s="130"/>
      <c r="F39" s="130"/>
      <c r="G39" s="130"/>
      <c r="H39" s="130"/>
      <c r="I39" s="130"/>
      <c r="J39" s="130"/>
    </row>
    <row r="40" spans="1:10" ht="18">
      <c r="A40" s="30"/>
      <c r="B40" s="130"/>
      <c r="C40" s="244" t="s">
        <v>47</v>
      </c>
      <c r="D40" s="258" t="s">
        <v>2587</v>
      </c>
      <c r="E40" s="245" t="s">
        <v>2588</v>
      </c>
      <c r="F40" s="130"/>
      <c r="G40" s="130"/>
      <c r="H40" s="130"/>
      <c r="I40" s="130"/>
      <c r="J40" s="130"/>
    </row>
    <row r="41" spans="1:10" ht="18">
      <c r="A41" s="30"/>
      <c r="B41" s="130"/>
      <c r="C41" s="246" t="s">
        <v>4411</v>
      </c>
      <c r="D41" s="259"/>
      <c r="E41" s="247"/>
      <c r="F41" s="130"/>
      <c r="G41" s="130"/>
      <c r="H41" s="130"/>
      <c r="I41" s="130"/>
      <c r="J41" s="130"/>
    </row>
    <row r="42" spans="1:10" ht="18">
      <c r="A42" s="30"/>
      <c r="B42" s="130"/>
      <c r="C42" s="246" t="s">
        <v>4412</v>
      </c>
      <c r="D42" s="259"/>
      <c r="E42" s="247"/>
      <c r="F42" s="130"/>
      <c r="G42" s="130"/>
      <c r="H42" s="130"/>
      <c r="I42" s="130"/>
      <c r="J42" s="130"/>
    </row>
    <row r="43" spans="1:10" ht="18">
      <c r="A43" s="30"/>
      <c r="B43" s="130"/>
      <c r="C43" s="246" t="s">
        <v>4413</v>
      </c>
      <c r="D43" s="259"/>
      <c r="E43" s="247"/>
      <c r="F43" s="130"/>
      <c r="G43" s="130"/>
      <c r="H43" s="130"/>
      <c r="I43" s="130"/>
      <c r="J43" s="130"/>
    </row>
    <row r="44" spans="1:10" ht="18">
      <c r="A44" s="30"/>
      <c r="B44" s="130"/>
      <c r="C44" s="246" t="s">
        <v>4414</v>
      </c>
      <c r="D44" s="259"/>
      <c r="E44" s="247"/>
      <c r="F44" s="130"/>
      <c r="G44" s="130"/>
      <c r="H44" s="130"/>
      <c r="I44" s="130"/>
      <c r="J44" s="130"/>
    </row>
    <row r="45" spans="1:10" ht="18">
      <c r="A45" s="30"/>
      <c r="B45" s="130"/>
      <c r="C45" s="246" t="s">
        <v>4415</v>
      </c>
      <c r="D45" s="259"/>
      <c r="E45" s="247"/>
      <c r="F45" s="130"/>
      <c r="G45" s="130"/>
      <c r="H45" s="130"/>
      <c r="I45" s="130"/>
      <c r="J45" s="130"/>
    </row>
    <row r="46" spans="1:10" ht="18">
      <c r="A46" s="30"/>
      <c r="B46" s="130"/>
      <c r="C46" s="246" t="s">
        <v>4416</v>
      </c>
      <c r="D46" s="259"/>
      <c r="E46" s="247"/>
      <c r="F46" s="130"/>
      <c r="G46" s="130"/>
      <c r="H46" s="130"/>
      <c r="I46" s="130"/>
      <c r="J46" s="130"/>
    </row>
    <row r="47" spans="1:10" ht="18">
      <c r="A47" s="30"/>
      <c r="B47" s="130"/>
      <c r="C47" s="246" t="s">
        <v>4417</v>
      </c>
      <c r="D47" s="259"/>
      <c r="E47" s="247"/>
      <c r="F47" s="130"/>
      <c r="G47" s="130"/>
      <c r="H47" s="130"/>
      <c r="I47" s="130"/>
      <c r="J47" s="130"/>
    </row>
    <row r="48" spans="1:10" ht="18">
      <c r="A48" s="30"/>
      <c r="B48" s="130"/>
      <c r="C48" s="246" t="s">
        <v>4418</v>
      </c>
      <c r="D48" s="259"/>
      <c r="E48" s="247"/>
      <c r="F48" s="130"/>
      <c r="G48" s="130"/>
      <c r="H48" s="130"/>
      <c r="I48" s="130"/>
      <c r="J48" s="130"/>
    </row>
    <row r="49" spans="1:10" ht="18">
      <c r="A49" s="30"/>
      <c r="B49" s="130"/>
      <c r="C49" s="246" t="s">
        <v>4419</v>
      </c>
      <c r="D49" s="260"/>
      <c r="E49" s="248"/>
      <c r="F49" s="130"/>
      <c r="G49" s="130"/>
      <c r="H49" s="130"/>
      <c r="I49" s="130"/>
      <c r="J49" s="130"/>
    </row>
    <row r="50" spans="1:10" ht="18">
      <c r="A50" s="30"/>
      <c r="B50" s="130"/>
      <c r="C50" s="246" t="s">
        <v>4889</v>
      </c>
      <c r="D50" s="261"/>
      <c r="E50" s="250"/>
      <c r="F50" s="130"/>
      <c r="G50" s="130"/>
      <c r="H50" s="130"/>
      <c r="I50" s="130"/>
      <c r="J50" s="130"/>
    </row>
    <row r="51" spans="1:10" ht="24">
      <c r="A51" s="30"/>
      <c r="B51" s="130"/>
      <c r="C51" s="262" t="s">
        <v>4890</v>
      </c>
      <c r="D51" s="263"/>
      <c r="E51" s="264"/>
      <c r="F51" s="130"/>
      <c r="G51" s="130"/>
      <c r="H51" s="130"/>
      <c r="I51" s="130"/>
      <c r="J51" s="130"/>
    </row>
    <row r="52" spans="1:10" ht="18">
      <c r="A52" s="30"/>
      <c r="B52" s="130"/>
      <c r="C52" s="130"/>
      <c r="D52" s="130"/>
      <c r="E52" s="130"/>
      <c r="F52" s="130"/>
      <c r="G52" s="130"/>
      <c r="H52" s="130"/>
      <c r="I52" s="130"/>
      <c r="J52" s="130"/>
    </row>
    <row r="53" spans="1:10" ht="18">
      <c r="A53" s="30"/>
      <c r="B53" s="240" t="s">
        <v>4891</v>
      </c>
      <c r="C53" s="265" t="s">
        <v>4892</v>
      </c>
      <c r="D53" s="130"/>
      <c r="E53" s="130"/>
      <c r="F53" s="130"/>
      <c r="G53" s="130"/>
      <c r="H53" s="130"/>
      <c r="I53" s="130"/>
      <c r="J53" s="130"/>
    </row>
    <row r="54" spans="1:10" ht="18">
      <c r="A54" s="30"/>
      <c r="B54" s="130"/>
      <c r="C54" s="238" t="s">
        <v>4877</v>
      </c>
      <c r="D54" s="238"/>
      <c r="E54" s="130"/>
      <c r="F54" s="130"/>
      <c r="G54" s="130"/>
      <c r="H54" s="130"/>
      <c r="I54" s="130"/>
      <c r="J54" s="130"/>
    </row>
    <row r="55" spans="1:10" ht="18">
      <c r="A55" s="30"/>
      <c r="B55" s="130"/>
      <c r="C55" s="242" t="s">
        <v>2270</v>
      </c>
      <c r="D55" s="243"/>
      <c r="E55" s="130"/>
      <c r="F55" s="130"/>
      <c r="G55" s="130"/>
      <c r="H55" s="130"/>
      <c r="I55" s="130"/>
      <c r="J55" s="130"/>
    </row>
    <row r="56" spans="1:10" ht="18">
      <c r="A56" s="30"/>
      <c r="B56" s="130"/>
      <c r="C56" s="238" t="s">
        <v>4893</v>
      </c>
      <c r="D56" s="238"/>
      <c r="E56" s="130"/>
      <c r="F56" s="130"/>
      <c r="G56" s="130"/>
      <c r="H56" s="130"/>
      <c r="I56" s="130"/>
      <c r="J56" s="130"/>
    </row>
    <row r="57" spans="1:10" ht="18">
      <c r="A57" s="30"/>
      <c r="B57" s="130"/>
      <c r="C57" s="244" t="s">
        <v>47</v>
      </c>
      <c r="D57" s="258" t="s">
        <v>4894</v>
      </c>
      <c r="E57" s="245" t="s">
        <v>4895</v>
      </c>
      <c r="F57" s="130"/>
      <c r="G57" s="130"/>
      <c r="H57" s="130"/>
      <c r="I57" s="130"/>
      <c r="J57" s="130"/>
    </row>
    <row r="58" spans="1:10" ht="18">
      <c r="A58" s="30"/>
      <c r="B58" s="130"/>
      <c r="C58" s="246" t="s">
        <v>4896</v>
      </c>
      <c r="D58" s="259"/>
      <c r="E58" s="247"/>
      <c r="F58" s="130"/>
      <c r="G58" s="130"/>
      <c r="H58" s="130"/>
      <c r="I58" s="130"/>
      <c r="J58" s="130"/>
    </row>
    <row r="59" spans="1:10" ht="18">
      <c r="A59" s="30"/>
      <c r="B59" s="130"/>
      <c r="C59" s="266" t="s">
        <v>42</v>
      </c>
      <c r="D59" s="259"/>
      <c r="E59" s="247"/>
      <c r="F59" s="130"/>
      <c r="G59" s="130"/>
      <c r="H59" s="130"/>
      <c r="I59" s="130"/>
      <c r="J59" s="130"/>
    </row>
    <row r="60" spans="1:10" ht="18">
      <c r="A60" s="30"/>
      <c r="B60" s="130"/>
      <c r="C60" s="266" t="s">
        <v>66</v>
      </c>
      <c r="D60" s="259"/>
      <c r="E60" s="247"/>
      <c r="F60" s="130"/>
      <c r="G60" s="130"/>
      <c r="H60" s="130"/>
      <c r="I60" s="130"/>
      <c r="J60" s="130"/>
    </row>
    <row r="61" spans="1:10" ht="18">
      <c r="A61" s="30"/>
      <c r="B61" s="130"/>
      <c r="C61" s="266" t="s">
        <v>85</v>
      </c>
      <c r="D61" s="260"/>
      <c r="E61" s="248"/>
      <c r="F61" s="130"/>
      <c r="G61" s="130"/>
      <c r="H61" s="130"/>
      <c r="I61" s="130"/>
      <c r="J61" s="130"/>
    </row>
    <row r="62" spans="1:10" ht="18">
      <c r="A62" s="30"/>
      <c r="B62" s="130"/>
      <c r="C62" s="267" t="s">
        <v>4897</v>
      </c>
      <c r="D62" s="261"/>
      <c r="E62" s="250"/>
      <c r="F62" s="130"/>
      <c r="G62" s="130"/>
      <c r="H62" s="130"/>
      <c r="I62" s="130"/>
      <c r="J62" s="130"/>
    </row>
    <row r="63" spans="1:10" ht="18">
      <c r="A63" s="30"/>
      <c r="B63" s="130"/>
      <c r="C63" s="246" t="s">
        <v>4898</v>
      </c>
      <c r="D63" s="268"/>
      <c r="E63" s="269"/>
      <c r="F63" s="130"/>
      <c r="G63" s="130"/>
      <c r="H63" s="130"/>
      <c r="I63" s="130"/>
      <c r="J63" s="130"/>
    </row>
    <row r="64" spans="1:10" ht="18">
      <c r="A64" s="30"/>
      <c r="B64" s="130"/>
      <c r="C64" s="266" t="s">
        <v>4899</v>
      </c>
      <c r="D64" s="259"/>
      <c r="E64" s="247"/>
      <c r="F64" s="130"/>
      <c r="G64" s="130"/>
      <c r="H64" s="130"/>
      <c r="I64" s="130"/>
      <c r="J64" s="130"/>
    </row>
    <row r="65" spans="1:10" ht="18">
      <c r="A65" s="30"/>
      <c r="B65" s="130"/>
      <c r="C65" s="266" t="s">
        <v>4900</v>
      </c>
      <c r="D65" s="259"/>
      <c r="E65" s="247"/>
      <c r="F65" s="130"/>
      <c r="G65" s="130"/>
      <c r="H65" s="130"/>
      <c r="I65" s="130"/>
      <c r="J65" s="130"/>
    </row>
    <row r="66" spans="1:10" ht="18">
      <c r="A66" s="30"/>
      <c r="B66" s="130"/>
      <c r="C66" s="266" t="s">
        <v>4901</v>
      </c>
      <c r="D66" s="259"/>
      <c r="E66" s="247"/>
      <c r="F66" s="130"/>
      <c r="G66" s="130"/>
      <c r="H66" s="130"/>
      <c r="I66" s="130"/>
      <c r="J66" s="130"/>
    </row>
    <row r="67" spans="1:10" ht="18">
      <c r="A67" s="30"/>
      <c r="B67" s="130"/>
      <c r="C67" s="267" t="s">
        <v>4897</v>
      </c>
      <c r="D67" s="260"/>
      <c r="E67" s="248"/>
      <c r="F67" s="130"/>
      <c r="G67" s="130"/>
      <c r="H67" s="130"/>
      <c r="I67" s="130"/>
      <c r="J67" s="130"/>
    </row>
    <row r="68" spans="1:10" ht="18">
      <c r="A68" s="30"/>
      <c r="B68" s="130"/>
      <c r="C68" s="271" t="s">
        <v>4902</v>
      </c>
      <c r="D68" s="261"/>
      <c r="E68" s="250"/>
      <c r="F68" s="130"/>
      <c r="G68" s="130"/>
      <c r="H68" s="130"/>
      <c r="I68" s="130"/>
      <c r="J68" s="130"/>
    </row>
    <row r="69" spans="1:10" ht="18">
      <c r="A69" s="30"/>
      <c r="B69" s="130"/>
      <c r="C69" s="130"/>
      <c r="D69" s="130"/>
      <c r="E69" s="130"/>
      <c r="F69" s="130"/>
      <c r="G69" s="130"/>
      <c r="H69" s="130"/>
      <c r="I69" s="130"/>
      <c r="J69" s="130"/>
    </row>
    <row r="70" spans="1:10" ht="18">
      <c r="A70" s="30"/>
      <c r="B70" s="130"/>
      <c r="C70" s="129" t="s">
        <v>4903</v>
      </c>
      <c r="D70" s="130"/>
      <c r="E70" s="130"/>
      <c r="F70" s="130"/>
      <c r="G70" s="130"/>
      <c r="H70" s="130"/>
      <c r="I70" s="130"/>
      <c r="J70" s="130"/>
    </row>
    <row r="71" spans="1:10" ht="18">
      <c r="A71" s="30"/>
      <c r="B71" s="130"/>
      <c r="C71" s="130" t="s">
        <v>4904</v>
      </c>
      <c r="D71" s="272"/>
      <c r="E71" s="130"/>
      <c r="F71" s="130"/>
      <c r="G71" s="130"/>
      <c r="H71" s="130"/>
      <c r="I71" s="130"/>
      <c r="J71" s="130"/>
    </row>
    <row r="72" spans="1:10" ht="18">
      <c r="A72" s="30"/>
      <c r="B72" s="130"/>
      <c r="C72" s="130" t="s">
        <v>4905</v>
      </c>
      <c r="D72" s="272"/>
      <c r="E72" s="130"/>
      <c r="F72" s="130"/>
      <c r="G72" s="130"/>
      <c r="H72" s="130"/>
      <c r="I72" s="130"/>
      <c r="J72" s="130"/>
    </row>
    <row r="73" spans="1:10" ht="18">
      <c r="A73" s="30"/>
      <c r="B73" s="130"/>
      <c r="C73" s="130" t="s">
        <v>4906</v>
      </c>
      <c r="D73" s="273"/>
      <c r="E73" s="130"/>
      <c r="F73" s="130"/>
      <c r="G73" s="130"/>
      <c r="H73" s="130"/>
      <c r="I73" s="130"/>
      <c r="J73" s="130"/>
    </row>
    <row r="74" spans="1:10" ht="18">
      <c r="A74" s="30"/>
      <c r="B74" s="130"/>
      <c r="C74" s="130"/>
      <c r="D74" s="130"/>
      <c r="E74" s="130"/>
      <c r="F74" s="130"/>
      <c r="G74" s="130"/>
      <c r="H74" s="130"/>
      <c r="I74" s="130"/>
      <c r="J74" s="130"/>
    </row>
    <row r="75" spans="1:10" ht="18">
      <c r="A75" s="30"/>
      <c r="B75" s="240" t="s">
        <v>4907</v>
      </c>
      <c r="C75" s="129" t="s">
        <v>4908</v>
      </c>
      <c r="D75" s="130"/>
      <c r="E75" s="130"/>
      <c r="F75" s="130"/>
      <c r="G75" s="130"/>
      <c r="H75" s="130"/>
      <c r="I75" s="130"/>
      <c r="J75" s="130"/>
    </row>
    <row r="76" spans="1:10" ht="18">
      <c r="A76" s="30"/>
      <c r="B76" s="130"/>
      <c r="C76" s="238" t="s">
        <v>4877</v>
      </c>
      <c r="D76" s="238"/>
      <c r="E76" s="130"/>
      <c r="F76" s="130"/>
      <c r="G76" s="130"/>
      <c r="H76" s="130"/>
      <c r="I76" s="130"/>
      <c r="J76" s="130"/>
    </row>
    <row r="77" spans="1:10" ht="18">
      <c r="A77" s="30"/>
      <c r="B77" s="130"/>
      <c r="C77" s="242" t="s">
        <v>2268</v>
      </c>
      <c r="D77" s="274"/>
      <c r="E77" s="275"/>
      <c r="F77" s="130"/>
      <c r="G77" s="130"/>
      <c r="H77" s="130"/>
      <c r="I77" s="130"/>
      <c r="J77" s="130"/>
    </row>
    <row r="78" spans="1:10" ht="18">
      <c r="A78" s="30"/>
      <c r="B78" s="130"/>
      <c r="C78" s="238" t="s">
        <v>4893</v>
      </c>
      <c r="D78" s="238"/>
      <c r="E78" s="130"/>
      <c r="F78" s="130"/>
      <c r="G78" s="130"/>
      <c r="H78" s="130"/>
      <c r="I78" s="130"/>
      <c r="J78" s="130"/>
    </row>
    <row r="79" spans="1:10" ht="18">
      <c r="A79" s="30"/>
      <c r="B79" s="130"/>
      <c r="C79" s="276" t="s">
        <v>47</v>
      </c>
      <c r="D79" s="244"/>
      <c r="E79" s="245" t="s">
        <v>4909</v>
      </c>
      <c r="F79" s="130"/>
      <c r="G79" s="130"/>
      <c r="H79" s="130"/>
      <c r="I79" s="130"/>
      <c r="J79" s="130"/>
    </row>
    <row r="80" spans="1:10" ht="18">
      <c r="A80" s="30"/>
      <c r="B80" s="130"/>
      <c r="C80" s="277" t="s">
        <v>4910</v>
      </c>
      <c r="D80" s="278"/>
      <c r="E80" s="247"/>
      <c r="F80" s="130"/>
      <c r="G80" s="130"/>
      <c r="H80" s="130"/>
      <c r="I80" s="130"/>
      <c r="J80" s="130"/>
    </row>
    <row r="81" spans="1:10" ht="18">
      <c r="A81" s="30"/>
      <c r="B81" s="130"/>
      <c r="C81" s="277" t="s">
        <v>4911</v>
      </c>
      <c r="D81" s="278"/>
      <c r="E81" s="247"/>
      <c r="F81" s="130"/>
      <c r="G81" s="130"/>
      <c r="H81" s="130"/>
      <c r="I81" s="130"/>
      <c r="J81" s="130"/>
    </row>
    <row r="82" spans="1:10" ht="18">
      <c r="A82" s="30"/>
      <c r="B82" s="130"/>
      <c r="C82" s="277" t="s">
        <v>4912</v>
      </c>
      <c r="D82" s="278"/>
      <c r="E82" s="247"/>
      <c r="F82" s="130"/>
      <c r="G82" s="130"/>
      <c r="H82" s="130"/>
      <c r="I82" s="130"/>
      <c r="J82" s="130"/>
    </row>
    <row r="83" spans="1:10" ht="18">
      <c r="A83" s="30"/>
      <c r="B83" s="130"/>
      <c r="C83" s="279"/>
      <c r="D83" s="278"/>
      <c r="E83" s="248"/>
      <c r="F83" s="130"/>
      <c r="G83" s="130"/>
      <c r="H83" s="130"/>
      <c r="I83" s="130"/>
      <c r="J83" s="130"/>
    </row>
    <row r="84" spans="1:10" ht="18">
      <c r="A84" s="30"/>
      <c r="B84" s="130"/>
      <c r="C84" s="280" t="s">
        <v>4880</v>
      </c>
      <c r="D84" s="281"/>
      <c r="E84" s="250"/>
      <c r="F84" s="130"/>
      <c r="G84" s="130"/>
      <c r="H84" s="130"/>
      <c r="I84" s="130"/>
      <c r="J84" s="130"/>
    </row>
    <row r="85" spans="1:10" ht="18">
      <c r="A85" s="30"/>
      <c r="B85" s="130"/>
      <c r="C85" s="282" t="s">
        <v>4913</v>
      </c>
      <c r="D85" s="272"/>
      <c r="E85" s="272"/>
      <c r="F85" s="130"/>
      <c r="G85" s="130"/>
      <c r="H85" s="130"/>
      <c r="I85" s="130"/>
      <c r="J85" s="130"/>
    </row>
    <row r="86" spans="1:10" ht="18">
      <c r="A86" s="30"/>
      <c r="B86" s="130"/>
      <c r="C86" s="282" t="s">
        <v>4914</v>
      </c>
      <c r="D86" s="272"/>
      <c r="E86" s="283"/>
      <c r="F86" s="130"/>
      <c r="G86" s="130"/>
      <c r="H86" s="130"/>
      <c r="I86" s="130"/>
      <c r="J86" s="130"/>
    </row>
    <row r="87" spans="1:10" ht="18">
      <c r="A87" s="30"/>
      <c r="B87" s="130"/>
      <c r="C87" s="130"/>
      <c r="D87" s="272"/>
      <c r="E87" s="272"/>
      <c r="F87" s="130"/>
      <c r="G87" s="130"/>
      <c r="H87" s="130"/>
      <c r="I87" s="130"/>
      <c r="J87" s="130"/>
    </row>
    <row r="88" spans="1:10" ht="18">
      <c r="A88" s="30"/>
      <c r="B88" s="240" t="s">
        <v>4915</v>
      </c>
      <c r="C88" s="129" t="s">
        <v>4916</v>
      </c>
      <c r="D88" s="130"/>
      <c r="E88" s="130"/>
      <c r="F88" s="130"/>
      <c r="G88" s="130"/>
      <c r="H88" s="130"/>
      <c r="I88" s="130"/>
      <c r="J88" s="130"/>
    </row>
    <row r="89" spans="1:10" ht="18">
      <c r="A89" s="30"/>
      <c r="B89" s="130"/>
      <c r="C89" s="238" t="s">
        <v>4877</v>
      </c>
      <c r="D89" s="238"/>
      <c r="E89" s="130"/>
      <c r="F89" s="130"/>
      <c r="G89" s="130"/>
      <c r="H89" s="130"/>
      <c r="I89" s="130"/>
      <c r="J89" s="130"/>
    </row>
    <row r="90" spans="1:10" ht="18">
      <c r="A90" s="30"/>
      <c r="B90" s="130"/>
      <c r="C90" s="242" t="s">
        <v>4917</v>
      </c>
      <c r="D90" s="274"/>
      <c r="E90" s="275"/>
      <c r="F90" s="130"/>
      <c r="G90" s="130"/>
      <c r="H90" s="130"/>
      <c r="I90" s="130"/>
      <c r="J90" s="130"/>
    </row>
    <row r="91" spans="1:10" ht="18">
      <c r="A91" s="30"/>
      <c r="B91" s="130"/>
      <c r="C91" s="130"/>
      <c r="D91" s="272"/>
      <c r="E91" s="272"/>
      <c r="F91" s="130"/>
      <c r="G91" s="130"/>
      <c r="H91" s="130"/>
      <c r="I91" s="130"/>
      <c r="J91" s="130"/>
    </row>
    <row r="92" spans="1:10" ht="18">
      <c r="A92" s="30"/>
      <c r="B92" s="130"/>
      <c r="C92" s="130"/>
      <c r="D92" s="272"/>
      <c r="E92" s="272"/>
      <c r="F92" s="130"/>
      <c r="G92" s="130"/>
      <c r="H92" s="130"/>
      <c r="I92" s="130"/>
      <c r="J92" s="130"/>
    </row>
    <row r="93" spans="1:10" ht="18">
      <c r="A93" s="30"/>
      <c r="B93" s="130"/>
      <c r="C93" s="130"/>
      <c r="D93" s="272"/>
      <c r="E93" s="272"/>
      <c r="F93" s="130"/>
      <c r="G93" s="130"/>
      <c r="H93" s="130"/>
      <c r="I93" s="130"/>
      <c r="J93" s="130"/>
    </row>
    <row r="94" spans="1:10" ht="18">
      <c r="A94" s="30"/>
      <c r="B94" s="130"/>
      <c r="C94" s="130"/>
      <c r="D94" s="272"/>
      <c r="E94" s="272"/>
      <c r="F94" s="130"/>
      <c r="G94" s="130"/>
      <c r="H94" s="130"/>
      <c r="I94" s="130"/>
      <c r="J94" s="130"/>
    </row>
    <row r="95" spans="1:10" ht="18">
      <c r="A95" s="30"/>
      <c r="B95" s="240" t="s">
        <v>4918</v>
      </c>
      <c r="C95" s="129" t="s">
        <v>4919</v>
      </c>
      <c r="D95" s="130"/>
      <c r="E95" s="130"/>
      <c r="F95" s="130"/>
      <c r="G95" s="130"/>
      <c r="H95" s="130"/>
      <c r="I95" s="130"/>
      <c r="J95" s="130"/>
    </row>
    <row r="96" spans="1:10" ht="18">
      <c r="A96" s="30"/>
      <c r="B96" s="130"/>
      <c r="C96" s="238" t="s">
        <v>4877</v>
      </c>
      <c r="D96" s="238"/>
      <c r="E96" s="130"/>
      <c r="F96" s="130"/>
      <c r="G96" s="130"/>
      <c r="H96" s="130"/>
      <c r="I96" s="130"/>
      <c r="J96" s="130"/>
    </row>
    <row r="97" spans="1:10" ht="18">
      <c r="A97" s="30"/>
      <c r="B97" s="130"/>
      <c r="C97" s="242" t="s">
        <v>4920</v>
      </c>
      <c r="D97" s="274"/>
      <c r="E97" s="275"/>
      <c r="F97" s="130"/>
      <c r="G97" s="130"/>
      <c r="H97" s="130"/>
      <c r="I97" s="130"/>
      <c r="J97" s="130"/>
    </row>
    <row r="98" spans="1:10" ht="18">
      <c r="A98" s="30"/>
      <c r="B98" s="130"/>
      <c r="C98" s="130"/>
      <c r="D98" s="272"/>
      <c r="E98" s="272"/>
      <c r="F98" s="130"/>
      <c r="G98" s="130"/>
      <c r="H98" s="130"/>
      <c r="I98" s="130"/>
      <c r="J98" s="130"/>
    </row>
    <row r="99" spans="1:10" ht="18">
      <c r="A99" s="30"/>
      <c r="B99" s="130"/>
      <c r="C99" s="130"/>
      <c r="D99" s="272"/>
      <c r="E99" s="272"/>
      <c r="F99" s="130"/>
      <c r="G99" s="130"/>
      <c r="H99" s="130"/>
      <c r="I99" s="130"/>
      <c r="J99" s="130"/>
    </row>
    <row r="100" spans="1:10" ht="18">
      <c r="A100" s="30"/>
      <c r="B100" s="130"/>
      <c r="C100" s="130"/>
      <c r="D100" s="272"/>
      <c r="E100" s="272"/>
      <c r="F100" s="130"/>
      <c r="G100" s="130"/>
      <c r="H100" s="130"/>
      <c r="I100" s="130"/>
      <c r="J100" s="130"/>
    </row>
    <row r="101" spans="1:10" ht="18">
      <c r="A101" s="30"/>
      <c r="B101" s="130"/>
      <c r="C101" s="130"/>
      <c r="D101" s="272"/>
      <c r="E101" s="272"/>
      <c r="F101" s="130"/>
      <c r="G101" s="130"/>
      <c r="H101" s="130"/>
      <c r="I101" s="130"/>
      <c r="J101" s="130"/>
    </row>
    <row r="102" spans="1:10" ht="18">
      <c r="A102" s="30"/>
      <c r="B102" s="130"/>
      <c r="C102" s="130"/>
      <c r="D102" s="272"/>
      <c r="E102" s="272"/>
      <c r="F102" s="130"/>
      <c r="G102" s="130"/>
      <c r="H102" s="130"/>
      <c r="I102" s="130"/>
      <c r="J102" s="130"/>
    </row>
    <row r="103" spans="1:10" ht="18">
      <c r="A103" s="30"/>
      <c r="B103" s="130"/>
      <c r="C103" s="130"/>
      <c r="D103" s="272"/>
      <c r="E103" s="272"/>
      <c r="F103" s="130"/>
      <c r="G103" s="130"/>
      <c r="H103" s="130"/>
      <c r="I103" s="130"/>
      <c r="J103" s="130"/>
    </row>
    <row r="104" spans="1:10" ht="18">
      <c r="A104" s="30"/>
      <c r="B104" s="240" t="s">
        <v>4921</v>
      </c>
      <c r="C104" s="129" t="s">
        <v>4922</v>
      </c>
      <c r="D104" s="130"/>
      <c r="E104" s="130"/>
      <c r="F104" s="130"/>
      <c r="G104" s="130"/>
      <c r="H104" s="130"/>
      <c r="I104" s="130"/>
      <c r="J104" s="130"/>
    </row>
    <row r="105" spans="1:10" ht="18">
      <c r="A105" s="30"/>
      <c r="B105" s="130"/>
      <c r="C105" s="238" t="s">
        <v>4877</v>
      </c>
      <c r="D105" s="238"/>
      <c r="E105" s="130"/>
      <c r="F105" s="130"/>
      <c r="G105" s="130"/>
      <c r="H105" s="130"/>
      <c r="I105" s="130"/>
      <c r="J105" s="130"/>
    </row>
    <row r="106" spans="1:10" ht="18">
      <c r="A106" s="30"/>
      <c r="B106" s="130"/>
      <c r="C106" s="242" t="s">
        <v>4923</v>
      </c>
      <c r="D106" s="274"/>
      <c r="E106" s="275"/>
      <c r="F106" s="130"/>
      <c r="G106" s="130"/>
      <c r="H106" s="130"/>
      <c r="I106" s="130"/>
      <c r="J106" s="130"/>
    </row>
    <row r="107" spans="1:10" ht="18">
      <c r="A107" s="30"/>
      <c r="B107" s="130"/>
      <c r="C107" s="238" t="s">
        <v>4924</v>
      </c>
      <c r="D107" s="272"/>
      <c r="E107" s="284"/>
      <c r="F107" s="130"/>
      <c r="G107" s="130"/>
      <c r="H107" s="130"/>
      <c r="I107" s="130"/>
      <c r="J107" s="130"/>
    </row>
    <row r="108" spans="1:10" ht="18">
      <c r="A108" s="30"/>
      <c r="B108" s="130"/>
      <c r="C108" s="130"/>
      <c r="D108" s="272"/>
      <c r="E108" s="272"/>
      <c r="F108" s="130"/>
      <c r="G108" s="130"/>
      <c r="H108" s="130"/>
      <c r="I108" s="130"/>
      <c r="J108" s="130"/>
    </row>
    <row r="109" spans="1:10" ht="18">
      <c r="A109" s="30"/>
      <c r="B109" s="130"/>
      <c r="C109" s="130"/>
      <c r="D109" s="272"/>
      <c r="E109" s="272"/>
      <c r="F109" s="130"/>
      <c r="G109" s="130"/>
      <c r="H109" s="130"/>
      <c r="I109" s="130"/>
      <c r="J109" s="130"/>
    </row>
    <row r="110" spans="1:10" ht="18">
      <c r="A110" s="30"/>
      <c r="B110" s="130"/>
      <c r="C110" s="130"/>
      <c r="D110" s="272"/>
      <c r="E110" s="272"/>
      <c r="F110" s="130"/>
      <c r="G110" s="130"/>
      <c r="H110" s="130"/>
      <c r="I110" s="130"/>
      <c r="J110" s="130"/>
    </row>
    <row r="111" spans="1:10" ht="18">
      <c r="A111" s="30"/>
      <c r="B111" s="130"/>
      <c r="C111" s="130"/>
      <c r="D111" s="272"/>
      <c r="E111" s="272"/>
      <c r="F111" s="130"/>
      <c r="G111" s="130"/>
      <c r="H111" s="130"/>
      <c r="I111" s="130"/>
      <c r="J111" s="130"/>
    </row>
    <row r="112" spans="1:10" ht="18">
      <c r="A112" s="30"/>
      <c r="B112" s="285"/>
      <c r="C112" s="285"/>
      <c r="D112" s="286"/>
      <c r="E112" s="286"/>
      <c r="F112" s="285"/>
      <c r="G112" s="285"/>
      <c r="H112" s="285"/>
      <c r="I112" s="285"/>
      <c r="J112" s="285"/>
    </row>
  </sheetData>
  <sheetProtection formatCells="0" autoFilter="0"/>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2:I196"/>
  <sheetViews>
    <sheetView workbookViewId="0">
      <selection activeCell="C11" sqref="C11"/>
    </sheetView>
  </sheetViews>
  <sheetFormatPr defaultColWidth="9.140625" defaultRowHeight="12"/>
  <cols>
    <col min="1" max="1" width="5.140625" style="1" customWidth="1"/>
    <col min="2" max="2" width="6.28515625" style="1" customWidth="1"/>
    <col min="3" max="3" width="35" style="1" customWidth="1"/>
    <col min="4" max="7" width="13.7109375" style="1" customWidth="1"/>
    <col min="8" max="9" width="8.7109375" style="1" customWidth="1"/>
    <col min="10" max="16384" width="9.140625" style="1"/>
  </cols>
  <sheetData>
    <row r="2" spans="1:9" ht="18" customHeight="1">
      <c r="B2" s="2" t="s">
        <v>2520</v>
      </c>
      <c r="C2" s="3" t="str">
        <f>IF(Lead!$C$5="","",Lead!$C$5)</f>
        <v>福建省力菲克药业有限公司</v>
      </c>
      <c r="D2" s="172"/>
      <c r="E2" s="4"/>
      <c r="F2" s="5" t="s">
        <v>2521</v>
      </c>
      <c r="G2" s="7" t="s">
        <v>2501</v>
      </c>
      <c r="H2" s="8"/>
      <c r="I2" s="53"/>
    </row>
    <row r="3" spans="1:9" ht="18" customHeight="1">
      <c r="B3" s="2" t="s">
        <v>2522</v>
      </c>
      <c r="C3" s="9" t="s">
        <v>4925</v>
      </c>
      <c r="D3" s="173"/>
      <c r="E3" s="10" t="s">
        <v>2450</v>
      </c>
      <c r="F3" s="11" t="str">
        <f>IF(Lead!$E$9="","",Lead!$E$9)</f>
        <v>孙健</v>
      </c>
      <c r="G3" s="174">
        <f>IF(Lead!$F$9="","",Lead!$F$9)</f>
        <v>43864</v>
      </c>
      <c r="H3" s="14" t="s">
        <v>6594</v>
      </c>
      <c r="I3" s="219"/>
    </row>
    <row r="4" spans="1:9" ht="18" customHeight="1">
      <c r="B4" s="2" t="s">
        <v>2436</v>
      </c>
      <c r="C4" s="15" t="str">
        <f>Lead!$F$7</f>
        <v>2019年度</v>
      </c>
      <c r="D4" s="173"/>
      <c r="E4" s="10" t="s">
        <v>2457</v>
      </c>
      <c r="F4" s="175" t="str">
        <f>IF(Lead!$E$10="","",Lead!$E$10)</f>
        <v/>
      </c>
      <c r="G4" s="176" t="str">
        <f>IF(Lead!$F$10="","",Lead!$F$10)</f>
        <v/>
      </c>
      <c r="H4" s="14" t="s">
        <v>2525</v>
      </c>
      <c r="I4" s="220"/>
    </row>
    <row r="5" spans="1:9" ht="9.75" customHeight="1">
      <c r="B5" s="18"/>
      <c r="C5" s="19"/>
      <c r="D5" s="19"/>
      <c r="E5" s="20"/>
      <c r="F5" s="21"/>
      <c r="G5" s="22"/>
      <c r="H5" s="21"/>
      <c r="I5" s="19"/>
    </row>
    <row r="6" spans="1:9">
      <c r="B6" s="23"/>
      <c r="C6" s="23"/>
      <c r="D6" s="23"/>
      <c r="E6" s="23"/>
      <c r="F6" s="23"/>
      <c r="G6" s="23"/>
      <c r="H6" s="23"/>
      <c r="I6" s="23"/>
    </row>
    <row r="7" spans="1:9" ht="18">
      <c r="A7" s="30"/>
      <c r="B7" s="177" t="s">
        <v>4864</v>
      </c>
      <c r="C7" s="178"/>
      <c r="D7" s="179"/>
      <c r="E7" s="179"/>
      <c r="F7" s="179"/>
      <c r="G7" s="179"/>
      <c r="H7" s="179"/>
      <c r="I7" s="179"/>
    </row>
    <row r="8" spans="1:9" ht="18">
      <c r="A8" s="30"/>
      <c r="B8" s="1458" t="s">
        <v>4865</v>
      </c>
      <c r="C8" s="180" t="s">
        <v>4926</v>
      </c>
      <c r="D8" s="179"/>
      <c r="E8" s="179"/>
      <c r="F8" s="179"/>
      <c r="G8" s="179"/>
      <c r="H8" s="179"/>
      <c r="I8" s="179"/>
    </row>
    <row r="9" spans="1:9" ht="18">
      <c r="A9" s="30"/>
      <c r="B9" s="1458" t="s">
        <v>4867</v>
      </c>
      <c r="C9" s="180" t="s">
        <v>4927</v>
      </c>
      <c r="D9" s="179"/>
      <c r="E9" s="179"/>
      <c r="F9" s="179"/>
      <c r="G9" s="179"/>
      <c r="H9" s="179"/>
      <c r="I9" s="179"/>
    </row>
    <row r="10" spans="1:9" ht="18">
      <c r="A10" s="30"/>
      <c r="B10" s="177" t="s">
        <v>4873</v>
      </c>
      <c r="C10" s="179"/>
      <c r="D10" s="179"/>
      <c r="E10" s="179"/>
      <c r="F10" s="179"/>
      <c r="G10" s="179"/>
      <c r="H10" s="179"/>
      <c r="I10" s="179"/>
    </row>
    <row r="11" spans="1:9" ht="18">
      <c r="A11" s="181"/>
      <c r="B11" s="179"/>
      <c r="C11" s="182"/>
      <c r="D11" s="179"/>
      <c r="E11" s="179"/>
      <c r="F11" s="179"/>
      <c r="G11" s="179"/>
      <c r="H11" s="179"/>
      <c r="I11" s="179"/>
    </row>
    <row r="12" spans="1:9" ht="18">
      <c r="A12" s="181"/>
      <c r="B12" s="178"/>
      <c r="C12" s="180" t="s">
        <v>4928</v>
      </c>
      <c r="D12" s="179"/>
      <c r="E12" s="179"/>
      <c r="F12" s="179"/>
      <c r="G12" s="179"/>
      <c r="H12" s="179"/>
      <c r="I12" s="179"/>
    </row>
    <row r="13" spans="1:9" ht="18">
      <c r="A13" s="181"/>
      <c r="B13" s="179"/>
      <c r="C13" s="183" t="s">
        <v>4929</v>
      </c>
      <c r="D13" s="179"/>
      <c r="E13" s="179"/>
      <c r="F13" s="179"/>
      <c r="G13" s="179"/>
      <c r="H13" s="179"/>
      <c r="I13" s="179"/>
    </row>
    <row r="14" spans="1:9" ht="18">
      <c r="A14" s="181"/>
      <c r="B14" s="179"/>
      <c r="C14" s="183" t="s">
        <v>4930</v>
      </c>
      <c r="D14" s="179"/>
      <c r="E14" s="179"/>
      <c r="F14" s="179"/>
      <c r="G14" s="179"/>
      <c r="H14" s="179"/>
      <c r="I14" s="179"/>
    </row>
    <row r="15" spans="1:9" ht="18">
      <c r="A15" s="181"/>
      <c r="B15" s="184">
        <v>1</v>
      </c>
      <c r="C15" s="185" t="s">
        <v>2276</v>
      </c>
      <c r="D15" s="186"/>
      <c r="E15" s="179"/>
      <c r="F15" s="179"/>
      <c r="G15" s="179"/>
      <c r="H15" s="179"/>
      <c r="I15" s="179"/>
    </row>
    <row r="16" spans="1:9" ht="18">
      <c r="A16" s="181"/>
      <c r="B16" s="184"/>
      <c r="C16" s="187" t="s">
        <v>4931</v>
      </c>
      <c r="D16" s="186"/>
      <c r="E16" s="179"/>
      <c r="F16" s="179"/>
      <c r="G16" s="179"/>
      <c r="H16" s="179"/>
      <c r="I16" s="179"/>
    </row>
    <row r="17" spans="1:9" ht="18">
      <c r="A17" s="181"/>
      <c r="B17" s="179"/>
      <c r="C17" s="188" t="s">
        <v>47</v>
      </c>
      <c r="D17" s="189" t="s">
        <v>2587</v>
      </c>
      <c r="E17" s="189" t="s">
        <v>4932</v>
      </c>
      <c r="F17" s="190" t="s">
        <v>2508</v>
      </c>
      <c r="G17" s="191"/>
      <c r="H17" s="191"/>
      <c r="I17" s="179"/>
    </row>
    <row r="18" spans="1:9" ht="18">
      <c r="A18" s="181"/>
      <c r="B18" s="179"/>
      <c r="C18" s="192" t="s">
        <v>697</v>
      </c>
      <c r="D18" s="193"/>
      <c r="E18" s="193"/>
      <c r="F18" s="194"/>
      <c r="G18" s="195"/>
      <c r="H18" s="195"/>
      <c r="I18" s="179"/>
    </row>
    <row r="19" spans="1:9" ht="18">
      <c r="A19" s="181"/>
      <c r="B19" s="179"/>
      <c r="C19" s="192"/>
      <c r="D19" s="196"/>
      <c r="E19" s="193"/>
      <c r="F19" s="194"/>
      <c r="G19" s="195"/>
      <c r="H19" s="195"/>
      <c r="I19" s="179"/>
    </row>
    <row r="20" spans="1:9" ht="18">
      <c r="A20" s="181"/>
      <c r="B20" s="179"/>
      <c r="C20" s="197" t="s">
        <v>4897</v>
      </c>
      <c r="D20" s="198"/>
      <c r="E20" s="199"/>
      <c r="F20" s="200"/>
      <c r="G20" s="201"/>
      <c r="H20" s="201"/>
      <c r="I20" s="179"/>
    </row>
    <row r="21" spans="1:9" ht="18">
      <c r="A21" s="181"/>
      <c r="B21" s="184"/>
      <c r="C21" s="185"/>
      <c r="D21" s="186"/>
      <c r="E21" s="179"/>
      <c r="F21" s="179"/>
      <c r="G21" s="179"/>
      <c r="H21" s="179"/>
      <c r="I21" s="179"/>
    </row>
    <row r="22" spans="1:9" ht="18">
      <c r="A22" s="181"/>
      <c r="B22" s="184"/>
      <c r="C22" s="187" t="s">
        <v>4933</v>
      </c>
      <c r="D22" s="186"/>
      <c r="E22" s="179"/>
      <c r="F22" s="179"/>
      <c r="G22" s="179"/>
      <c r="H22" s="179"/>
      <c r="I22" s="179"/>
    </row>
    <row r="23" spans="1:9" ht="18">
      <c r="A23" s="181"/>
      <c r="B23" s="179"/>
      <c r="C23" s="188" t="s">
        <v>47</v>
      </c>
      <c r="D23" s="189" t="s">
        <v>3276</v>
      </c>
      <c r="E23" s="189" t="s">
        <v>3273</v>
      </c>
      <c r="F23" s="189" t="s">
        <v>2587</v>
      </c>
      <c r="G23" s="189" t="s">
        <v>4932</v>
      </c>
      <c r="H23" s="190" t="s">
        <v>2508</v>
      </c>
      <c r="I23" s="179"/>
    </row>
    <row r="24" spans="1:9" ht="18">
      <c r="A24" s="181"/>
      <c r="B24" s="179"/>
      <c r="C24" s="192" t="s">
        <v>2862</v>
      </c>
      <c r="D24" s="193"/>
      <c r="E24" s="193"/>
      <c r="F24" s="193"/>
      <c r="G24" s="193"/>
      <c r="H24" s="194"/>
      <c r="I24" s="179"/>
    </row>
    <row r="25" spans="1:9" ht="18">
      <c r="A25" s="181"/>
      <c r="B25" s="179"/>
      <c r="C25" s="192" t="s">
        <v>354</v>
      </c>
      <c r="D25" s="193"/>
      <c r="E25" s="193"/>
      <c r="F25" s="193"/>
      <c r="G25" s="193"/>
      <c r="H25" s="194"/>
      <c r="I25" s="179"/>
    </row>
    <row r="26" spans="1:9" ht="18">
      <c r="A26" s="181"/>
      <c r="B26" s="179"/>
      <c r="C26" s="192" t="s">
        <v>416</v>
      </c>
      <c r="D26" s="193"/>
      <c r="E26" s="193"/>
      <c r="F26" s="193"/>
      <c r="G26" s="193"/>
      <c r="H26" s="194"/>
      <c r="I26" s="179"/>
    </row>
    <row r="27" spans="1:9" ht="18">
      <c r="A27" s="181"/>
      <c r="B27" s="179"/>
      <c r="C27" s="192" t="s">
        <v>402</v>
      </c>
      <c r="D27" s="193"/>
      <c r="E27" s="193"/>
      <c r="F27" s="193"/>
      <c r="G27" s="193"/>
      <c r="H27" s="194"/>
      <c r="I27" s="179"/>
    </row>
    <row r="28" spans="1:9" ht="18">
      <c r="A28" s="181"/>
      <c r="B28" s="179"/>
      <c r="C28" s="192" t="s">
        <v>445</v>
      </c>
      <c r="D28" s="193"/>
      <c r="E28" s="193"/>
      <c r="F28" s="193"/>
      <c r="G28" s="193"/>
      <c r="H28" s="194"/>
      <c r="I28" s="179"/>
    </row>
    <row r="29" spans="1:9" ht="18">
      <c r="A29" s="181"/>
      <c r="B29" s="179"/>
      <c r="C29" s="192" t="s">
        <v>460</v>
      </c>
      <c r="D29" s="193"/>
      <c r="E29" s="193"/>
      <c r="F29" s="193"/>
      <c r="G29" s="193"/>
      <c r="H29" s="194"/>
      <c r="I29" s="179"/>
    </row>
    <row r="30" spans="1:9" ht="18">
      <c r="A30" s="181"/>
      <c r="B30" s="179"/>
      <c r="C30" s="192" t="s">
        <v>491</v>
      </c>
      <c r="D30" s="193"/>
      <c r="E30" s="193"/>
      <c r="F30" s="193"/>
      <c r="G30" s="193"/>
      <c r="H30" s="194"/>
      <c r="I30" s="179"/>
    </row>
    <row r="31" spans="1:9" ht="18">
      <c r="A31" s="181"/>
      <c r="B31" s="179"/>
      <c r="C31" s="192" t="s">
        <v>515</v>
      </c>
      <c r="D31" s="193"/>
      <c r="E31" s="193"/>
      <c r="F31" s="193"/>
      <c r="G31" s="193"/>
      <c r="H31" s="194"/>
      <c r="I31" s="179"/>
    </row>
    <row r="32" spans="1:9" ht="18">
      <c r="A32" s="181"/>
      <c r="B32" s="179"/>
      <c r="C32" s="192" t="s">
        <v>502</v>
      </c>
      <c r="D32" s="193"/>
      <c r="E32" s="193"/>
      <c r="F32" s="193"/>
      <c r="G32" s="193"/>
      <c r="H32" s="194"/>
      <c r="I32" s="179"/>
    </row>
    <row r="33" spans="1:9" ht="18">
      <c r="A33" s="181"/>
      <c r="B33" s="179"/>
      <c r="C33" s="192" t="s">
        <v>537</v>
      </c>
      <c r="D33" s="193"/>
      <c r="E33" s="193"/>
      <c r="F33" s="193"/>
      <c r="G33" s="193"/>
      <c r="H33" s="194"/>
      <c r="I33" s="179"/>
    </row>
    <row r="34" spans="1:9" ht="18">
      <c r="A34" s="181"/>
      <c r="B34" s="179"/>
      <c r="C34" s="192" t="s">
        <v>553</v>
      </c>
      <c r="D34" s="193"/>
      <c r="E34" s="193"/>
      <c r="F34" s="193"/>
      <c r="G34" s="193"/>
      <c r="H34" s="194"/>
      <c r="I34" s="179"/>
    </row>
    <row r="35" spans="1:9" ht="18">
      <c r="A35" s="181"/>
      <c r="B35" s="179"/>
      <c r="C35" s="192" t="s">
        <v>574</v>
      </c>
      <c r="D35" s="193"/>
      <c r="E35" s="193"/>
      <c r="F35" s="193"/>
      <c r="G35" s="193"/>
      <c r="H35" s="194"/>
      <c r="I35" s="179"/>
    </row>
    <row r="36" spans="1:9" ht="18">
      <c r="A36" s="181"/>
      <c r="B36" s="179"/>
      <c r="C36" s="192" t="s">
        <v>583</v>
      </c>
      <c r="D36" s="193"/>
      <c r="E36" s="193"/>
      <c r="F36" s="193"/>
      <c r="G36" s="193"/>
      <c r="H36" s="194"/>
      <c r="I36" s="179"/>
    </row>
    <row r="37" spans="1:9" ht="18">
      <c r="A37" s="181"/>
      <c r="B37" s="179"/>
      <c r="C37" s="192" t="s">
        <v>932</v>
      </c>
      <c r="D37" s="193"/>
      <c r="E37" s="193"/>
      <c r="F37" s="196"/>
      <c r="G37" s="193"/>
      <c r="H37" s="194"/>
      <c r="I37" s="179"/>
    </row>
    <row r="38" spans="1:9" ht="18">
      <c r="A38" s="181"/>
      <c r="B38" s="179"/>
      <c r="C38" s="202"/>
      <c r="D38" s="196"/>
      <c r="E38" s="196"/>
      <c r="F38" s="203"/>
      <c r="G38" s="196"/>
      <c r="H38" s="204"/>
      <c r="I38" s="179"/>
    </row>
    <row r="39" spans="1:9" ht="18">
      <c r="A39" s="181"/>
      <c r="B39" s="179"/>
      <c r="C39" s="197" t="s">
        <v>4897</v>
      </c>
      <c r="D39" s="199"/>
      <c r="E39" s="199"/>
      <c r="F39" s="198"/>
      <c r="G39" s="199"/>
      <c r="H39" s="200"/>
      <c r="I39" s="179"/>
    </row>
    <row r="40" spans="1:9" ht="18">
      <c r="A40" s="181"/>
      <c r="B40" s="179"/>
      <c r="C40" s="182"/>
      <c r="D40" s="179"/>
      <c r="E40" s="179"/>
      <c r="F40" s="179"/>
      <c r="G40" s="179"/>
      <c r="H40" s="179"/>
      <c r="I40" s="179"/>
    </row>
    <row r="41" spans="1:9" ht="24">
      <c r="A41" s="181"/>
      <c r="B41" s="184">
        <v>2</v>
      </c>
      <c r="C41" s="205" t="s">
        <v>811</v>
      </c>
      <c r="D41" s="179"/>
      <c r="E41" s="179"/>
      <c r="F41" s="179"/>
      <c r="G41" s="179"/>
      <c r="H41" s="179"/>
      <c r="I41" s="179"/>
    </row>
    <row r="42" spans="1:9" ht="18">
      <c r="A42" s="181"/>
      <c r="B42" s="179"/>
      <c r="C42" s="206" t="s">
        <v>47</v>
      </c>
      <c r="D42" s="207" t="s">
        <v>2587</v>
      </c>
      <c r="E42" s="208" t="s">
        <v>4932</v>
      </c>
      <c r="F42" s="208" t="s">
        <v>2508</v>
      </c>
      <c r="G42" s="209"/>
      <c r="H42" s="209"/>
      <c r="I42" s="179"/>
    </row>
    <row r="43" spans="1:9" ht="18">
      <c r="A43" s="181"/>
      <c r="B43" s="179"/>
      <c r="C43" s="210" t="s">
        <v>4934</v>
      </c>
      <c r="D43" s="211"/>
      <c r="E43" s="212"/>
      <c r="F43" s="213"/>
      <c r="G43" s="214"/>
      <c r="H43" s="214"/>
      <c r="I43" s="179"/>
    </row>
    <row r="44" spans="1:9" ht="18">
      <c r="A44" s="181"/>
      <c r="B44" s="179"/>
      <c r="C44" s="192" t="s">
        <v>4935</v>
      </c>
      <c r="D44" s="196"/>
      <c r="E44" s="215"/>
      <c r="F44" s="194"/>
      <c r="G44" s="195"/>
      <c r="H44" s="195"/>
      <c r="I44" s="179"/>
    </row>
    <row r="45" spans="1:9" ht="18">
      <c r="A45" s="181"/>
      <c r="B45" s="179"/>
      <c r="C45" s="202" t="s">
        <v>4936</v>
      </c>
      <c r="D45" s="196"/>
      <c r="E45" s="216"/>
      <c r="F45" s="204"/>
      <c r="G45" s="217"/>
      <c r="H45" s="217"/>
      <c r="I45" s="179"/>
    </row>
    <row r="46" spans="1:9" ht="18">
      <c r="A46" s="181"/>
      <c r="B46" s="179"/>
      <c r="C46" s="202"/>
      <c r="D46" s="196"/>
      <c r="E46" s="216"/>
      <c r="F46" s="204"/>
      <c r="G46" s="217"/>
      <c r="H46" s="217"/>
      <c r="I46" s="179"/>
    </row>
    <row r="47" spans="1:9" ht="18">
      <c r="A47" s="181"/>
      <c r="B47" s="179"/>
      <c r="C47" s="197" t="s">
        <v>4897</v>
      </c>
      <c r="D47" s="198"/>
      <c r="E47" s="218"/>
      <c r="F47" s="200"/>
      <c r="G47" s="201"/>
      <c r="H47" s="201"/>
      <c r="I47" s="179"/>
    </row>
    <row r="48" spans="1:9" ht="18">
      <c r="A48" s="181"/>
      <c r="B48" s="179"/>
      <c r="C48" s="182"/>
      <c r="D48" s="179"/>
      <c r="E48" s="179"/>
      <c r="F48" s="179"/>
      <c r="G48" s="179"/>
      <c r="H48" s="179"/>
      <c r="I48" s="179"/>
    </row>
    <row r="49" spans="1:9" ht="18">
      <c r="A49" s="181"/>
      <c r="B49" s="184">
        <v>3</v>
      </c>
      <c r="C49" s="205" t="s">
        <v>815</v>
      </c>
      <c r="D49" s="179"/>
      <c r="E49" s="179"/>
      <c r="F49" s="179"/>
      <c r="G49" s="179"/>
      <c r="H49" s="179"/>
      <c r="I49" s="179"/>
    </row>
    <row r="50" spans="1:9" ht="18">
      <c r="A50" s="181"/>
      <c r="B50" s="179"/>
      <c r="C50" s="206" t="s">
        <v>47</v>
      </c>
      <c r="D50" s="207" t="s">
        <v>2587</v>
      </c>
      <c r="E50" s="208" t="s">
        <v>4932</v>
      </c>
      <c r="F50" s="208" t="s">
        <v>2508</v>
      </c>
      <c r="G50" s="209"/>
      <c r="H50" s="209"/>
      <c r="I50" s="179"/>
    </row>
    <row r="51" spans="1:9" ht="18">
      <c r="A51" s="181"/>
      <c r="B51" s="179"/>
      <c r="C51" s="210" t="s">
        <v>4937</v>
      </c>
      <c r="D51" s="211"/>
      <c r="E51" s="212"/>
      <c r="F51" s="213"/>
      <c r="G51" s="214"/>
      <c r="H51" s="214"/>
      <c r="I51" s="179"/>
    </row>
    <row r="52" spans="1:9" ht="18">
      <c r="A52" s="181"/>
      <c r="B52" s="179"/>
      <c r="C52" s="192"/>
      <c r="D52" s="196"/>
      <c r="E52" s="215"/>
      <c r="F52" s="194"/>
      <c r="G52" s="195"/>
      <c r="H52" s="195"/>
      <c r="I52" s="179"/>
    </row>
    <row r="53" spans="1:9" ht="18">
      <c r="A53" s="181"/>
      <c r="B53" s="179"/>
      <c r="C53" s="197" t="s">
        <v>4897</v>
      </c>
      <c r="D53" s="198"/>
      <c r="E53" s="218"/>
      <c r="F53" s="200"/>
      <c r="G53" s="201"/>
      <c r="H53" s="201"/>
      <c r="I53" s="179"/>
    </row>
    <row r="54" spans="1:9" ht="18">
      <c r="A54" s="181"/>
      <c r="B54" s="179"/>
      <c r="C54" s="205"/>
      <c r="D54" s="179"/>
      <c r="E54" s="179"/>
      <c r="F54" s="179"/>
      <c r="G54" s="179"/>
      <c r="H54" s="179"/>
      <c r="I54" s="179"/>
    </row>
    <row r="55" spans="1:9" ht="18">
      <c r="A55" s="181"/>
      <c r="B55" s="184">
        <v>4</v>
      </c>
      <c r="C55" s="205" t="s">
        <v>819</v>
      </c>
      <c r="D55" s="179"/>
      <c r="E55" s="179"/>
      <c r="F55" s="179"/>
      <c r="G55" s="179"/>
      <c r="H55" s="179"/>
      <c r="I55" s="179"/>
    </row>
    <row r="56" spans="1:9" ht="18">
      <c r="A56" s="181"/>
      <c r="B56" s="179"/>
      <c r="C56" s="206" t="s">
        <v>47</v>
      </c>
      <c r="D56" s="207" t="s">
        <v>2587</v>
      </c>
      <c r="E56" s="208" t="s">
        <v>4932</v>
      </c>
      <c r="F56" s="208" t="s">
        <v>2508</v>
      </c>
      <c r="G56" s="209"/>
      <c r="H56" s="209"/>
      <c r="I56" s="179"/>
    </row>
    <row r="57" spans="1:9" ht="18">
      <c r="A57" s="181"/>
      <c r="B57" s="179"/>
      <c r="C57" s="210" t="s">
        <v>4938</v>
      </c>
      <c r="D57" s="211"/>
      <c r="E57" s="212"/>
      <c r="F57" s="213"/>
      <c r="G57" s="214"/>
      <c r="H57" s="214"/>
      <c r="I57" s="179"/>
    </row>
    <row r="58" spans="1:9" ht="18">
      <c r="A58" s="181"/>
      <c r="B58" s="179"/>
      <c r="C58" s="192"/>
      <c r="D58" s="196"/>
      <c r="E58" s="215"/>
      <c r="F58" s="194"/>
      <c r="G58" s="195"/>
      <c r="H58" s="195"/>
      <c r="I58" s="179"/>
    </row>
    <row r="59" spans="1:9" ht="18">
      <c r="A59" s="181"/>
      <c r="B59" s="179"/>
      <c r="C59" s="197" t="s">
        <v>4897</v>
      </c>
      <c r="D59" s="198"/>
      <c r="E59" s="218"/>
      <c r="F59" s="200"/>
      <c r="G59" s="201"/>
      <c r="H59" s="201"/>
      <c r="I59" s="179"/>
    </row>
    <row r="60" spans="1:9" ht="18">
      <c r="A60" s="181"/>
      <c r="B60" s="179"/>
      <c r="C60" s="205"/>
      <c r="D60" s="179"/>
      <c r="E60" s="179"/>
      <c r="F60" s="179"/>
      <c r="G60" s="179"/>
      <c r="H60" s="179"/>
      <c r="I60" s="179"/>
    </row>
    <row r="61" spans="1:9" ht="24">
      <c r="A61" s="181"/>
      <c r="B61" s="184">
        <v>5</v>
      </c>
      <c r="C61" s="205" t="s">
        <v>2279</v>
      </c>
      <c r="D61" s="179"/>
      <c r="E61" s="179"/>
      <c r="F61" s="179"/>
      <c r="G61" s="179"/>
      <c r="H61" s="179"/>
      <c r="I61" s="179"/>
    </row>
    <row r="62" spans="1:9" ht="18">
      <c r="A62" s="181"/>
      <c r="B62" s="179"/>
      <c r="C62" s="188" t="s">
        <v>47</v>
      </c>
      <c r="D62" s="189" t="s">
        <v>2587</v>
      </c>
      <c r="E62" s="189" t="s">
        <v>4932</v>
      </c>
      <c r="F62" s="190" t="s">
        <v>2508</v>
      </c>
      <c r="G62" s="191"/>
      <c r="H62" s="191"/>
      <c r="I62" s="179"/>
    </row>
    <row r="63" spans="1:9" ht="18">
      <c r="A63" s="181"/>
      <c r="B63" s="179"/>
      <c r="C63" s="192" t="s">
        <v>4801</v>
      </c>
      <c r="D63" s="193"/>
      <c r="E63" s="193"/>
      <c r="F63" s="194"/>
      <c r="G63" s="195"/>
      <c r="H63" s="195"/>
      <c r="I63" s="179"/>
    </row>
    <row r="64" spans="1:9" ht="18">
      <c r="A64" s="181"/>
      <c r="B64" s="179"/>
      <c r="C64" s="192" t="s">
        <v>4802</v>
      </c>
      <c r="D64" s="193"/>
      <c r="E64" s="193"/>
      <c r="F64" s="194"/>
      <c r="G64" s="195"/>
      <c r="H64" s="195"/>
      <c r="I64" s="179"/>
    </row>
    <row r="65" spans="1:9" ht="18">
      <c r="A65" s="181"/>
      <c r="B65" s="179"/>
      <c r="C65" s="192" t="s">
        <v>4803</v>
      </c>
      <c r="D65" s="193"/>
      <c r="E65" s="193"/>
      <c r="F65" s="194"/>
      <c r="G65" s="195"/>
      <c r="H65" s="195"/>
      <c r="I65" s="179"/>
    </row>
    <row r="66" spans="1:9" ht="18">
      <c r="A66" s="181"/>
      <c r="B66" s="179"/>
      <c r="C66" s="192"/>
      <c r="D66" s="193"/>
      <c r="E66" s="193"/>
      <c r="F66" s="194"/>
      <c r="G66" s="195"/>
      <c r="H66" s="195"/>
      <c r="I66" s="179"/>
    </row>
    <row r="67" spans="1:9" ht="18">
      <c r="A67" s="181"/>
      <c r="B67" s="179"/>
      <c r="C67" s="192" t="s">
        <v>4804</v>
      </c>
      <c r="D67" s="193"/>
      <c r="E67" s="193"/>
      <c r="F67" s="194"/>
      <c r="G67" s="195"/>
      <c r="H67" s="195"/>
      <c r="I67" s="179"/>
    </row>
    <row r="68" spans="1:9" ht="18">
      <c r="A68" s="181"/>
      <c r="B68" s="179"/>
      <c r="C68" s="192" t="s">
        <v>4805</v>
      </c>
      <c r="D68" s="196"/>
      <c r="E68" s="193"/>
      <c r="F68" s="194"/>
      <c r="G68" s="195"/>
      <c r="H68" s="195"/>
      <c r="I68" s="179"/>
    </row>
    <row r="69" spans="1:9" ht="24">
      <c r="A69" s="181"/>
      <c r="B69" s="179"/>
      <c r="C69" s="192" t="s">
        <v>4806</v>
      </c>
      <c r="D69" s="203"/>
      <c r="E69" s="196"/>
      <c r="F69" s="204"/>
      <c r="G69" s="217"/>
      <c r="H69" s="217"/>
      <c r="I69" s="179"/>
    </row>
    <row r="70" spans="1:9" ht="18">
      <c r="A70" s="181"/>
      <c r="B70" s="179"/>
      <c r="C70" s="202"/>
      <c r="D70" s="203"/>
      <c r="E70" s="196"/>
      <c r="F70" s="204"/>
      <c r="G70" s="217"/>
      <c r="H70" s="217"/>
      <c r="I70" s="179"/>
    </row>
    <row r="71" spans="1:9" ht="18">
      <c r="A71" s="181"/>
      <c r="B71" s="179"/>
      <c r="C71" s="197" t="s">
        <v>4897</v>
      </c>
      <c r="D71" s="198"/>
      <c r="E71" s="199"/>
      <c r="F71" s="200"/>
      <c r="G71" s="201"/>
      <c r="H71" s="201"/>
      <c r="I71" s="179"/>
    </row>
    <row r="72" spans="1:9" ht="18">
      <c r="A72" s="181"/>
      <c r="B72" s="179"/>
      <c r="C72" s="205"/>
      <c r="D72" s="179"/>
      <c r="E72" s="179"/>
      <c r="F72" s="179"/>
      <c r="G72" s="179"/>
      <c r="H72" s="179"/>
      <c r="I72" s="179"/>
    </row>
    <row r="73" spans="1:9" ht="24">
      <c r="A73" s="181"/>
      <c r="B73" s="184">
        <v>6</v>
      </c>
      <c r="C73" s="205" t="s">
        <v>2280</v>
      </c>
      <c r="D73" s="179"/>
      <c r="E73" s="179"/>
      <c r="F73" s="179"/>
      <c r="G73" s="179"/>
      <c r="H73" s="179"/>
      <c r="I73" s="179"/>
    </row>
    <row r="74" spans="1:9" ht="18">
      <c r="A74" s="181"/>
      <c r="B74" s="179"/>
      <c r="C74" s="188" t="s">
        <v>47</v>
      </c>
      <c r="D74" s="189" t="s">
        <v>2587</v>
      </c>
      <c r="E74" s="189" t="s">
        <v>4932</v>
      </c>
      <c r="F74" s="190" t="s">
        <v>2508</v>
      </c>
      <c r="G74" s="191"/>
      <c r="H74" s="191"/>
      <c r="I74" s="179"/>
    </row>
    <row r="75" spans="1:9" ht="18">
      <c r="A75" s="181"/>
      <c r="B75" s="179"/>
      <c r="C75" s="192" t="s">
        <v>4808</v>
      </c>
      <c r="D75" s="193"/>
      <c r="E75" s="193"/>
      <c r="F75" s="194"/>
      <c r="G75" s="195"/>
      <c r="H75" s="195"/>
      <c r="I75" s="179"/>
    </row>
    <row r="76" spans="1:9" ht="18">
      <c r="A76" s="181"/>
      <c r="B76" s="179"/>
      <c r="C76" s="192" t="s">
        <v>4809</v>
      </c>
      <c r="D76" s="193"/>
      <c r="E76" s="193"/>
      <c r="F76" s="194"/>
      <c r="G76" s="195"/>
      <c r="H76" s="195"/>
      <c r="I76" s="179"/>
    </row>
    <row r="77" spans="1:9" ht="18">
      <c r="A77" s="181"/>
      <c r="B77" s="179"/>
      <c r="C77" s="192"/>
      <c r="D77" s="196"/>
      <c r="E77" s="193"/>
      <c r="F77" s="194"/>
      <c r="G77" s="195"/>
      <c r="H77" s="195"/>
      <c r="I77" s="179"/>
    </row>
    <row r="78" spans="1:9" ht="18">
      <c r="A78" s="181"/>
      <c r="B78" s="179"/>
      <c r="C78" s="197" t="s">
        <v>4897</v>
      </c>
      <c r="D78" s="198"/>
      <c r="E78" s="199"/>
      <c r="F78" s="200"/>
      <c r="G78" s="201"/>
      <c r="H78" s="201"/>
      <c r="I78" s="179"/>
    </row>
    <row r="79" spans="1:9" ht="18">
      <c r="A79" s="181"/>
      <c r="B79" s="179"/>
      <c r="C79" s="205"/>
      <c r="D79" s="179"/>
      <c r="E79" s="179"/>
      <c r="F79" s="179"/>
      <c r="G79" s="179"/>
      <c r="H79" s="179"/>
      <c r="I79" s="179"/>
    </row>
    <row r="80" spans="1:9" ht="24">
      <c r="A80" s="181"/>
      <c r="B80" s="184">
        <v>7</v>
      </c>
      <c r="C80" s="205" t="s">
        <v>2281</v>
      </c>
      <c r="D80" s="179"/>
      <c r="E80" s="179"/>
      <c r="F80" s="179"/>
      <c r="G80" s="179"/>
      <c r="H80" s="179"/>
      <c r="I80" s="179"/>
    </row>
    <row r="81" spans="1:9" ht="18">
      <c r="A81" s="181"/>
      <c r="B81" s="179"/>
      <c r="C81" s="188" t="s">
        <v>47</v>
      </c>
      <c r="D81" s="189" t="s">
        <v>2587</v>
      </c>
      <c r="E81" s="189" t="s">
        <v>4932</v>
      </c>
      <c r="F81" s="190" t="s">
        <v>2508</v>
      </c>
      <c r="G81" s="191"/>
      <c r="H81" s="191"/>
      <c r="I81" s="179"/>
    </row>
    <row r="82" spans="1:9" ht="18">
      <c r="A82" s="181"/>
      <c r="B82" s="179"/>
      <c r="C82" s="192" t="s">
        <v>4811</v>
      </c>
      <c r="D82" s="193"/>
      <c r="E82" s="193"/>
      <c r="F82" s="194"/>
      <c r="G82" s="195"/>
      <c r="H82" s="195"/>
      <c r="I82" s="179"/>
    </row>
    <row r="83" spans="1:9" ht="18">
      <c r="A83" s="181"/>
      <c r="B83" s="179"/>
      <c r="C83" s="192"/>
      <c r="D83" s="196"/>
      <c r="E83" s="193"/>
      <c r="F83" s="194"/>
      <c r="G83" s="195"/>
      <c r="H83" s="195"/>
      <c r="I83" s="179"/>
    </row>
    <row r="84" spans="1:9" ht="18">
      <c r="A84" s="181"/>
      <c r="B84" s="179"/>
      <c r="C84" s="197" t="s">
        <v>4897</v>
      </c>
      <c r="D84" s="198"/>
      <c r="E84" s="199"/>
      <c r="F84" s="200"/>
      <c r="G84" s="201"/>
      <c r="H84" s="201"/>
      <c r="I84" s="179"/>
    </row>
    <row r="85" spans="1:9" ht="18">
      <c r="A85" s="181"/>
      <c r="B85" s="179"/>
      <c r="C85" s="205"/>
      <c r="D85" s="179"/>
      <c r="E85" s="179"/>
      <c r="F85" s="179"/>
      <c r="G85" s="179"/>
      <c r="H85" s="179"/>
      <c r="I85" s="179"/>
    </row>
    <row r="86" spans="1:9" ht="18">
      <c r="A86" s="181"/>
      <c r="B86" s="184">
        <v>8</v>
      </c>
      <c r="C86" s="205" t="s">
        <v>2282</v>
      </c>
      <c r="D86" s="179"/>
      <c r="E86" s="179"/>
      <c r="F86" s="179"/>
      <c r="G86" s="179"/>
      <c r="H86" s="179"/>
      <c r="I86" s="179"/>
    </row>
    <row r="87" spans="1:9" ht="18">
      <c r="A87" s="181"/>
      <c r="B87" s="179"/>
      <c r="C87" s="188" t="s">
        <v>47</v>
      </c>
      <c r="D87" s="221" t="s">
        <v>2587</v>
      </c>
      <c r="E87" s="221" t="s">
        <v>4932</v>
      </c>
      <c r="F87" s="222" t="s">
        <v>2508</v>
      </c>
      <c r="G87" s="191"/>
      <c r="H87" s="191"/>
      <c r="I87" s="179"/>
    </row>
    <row r="88" spans="1:9" ht="18">
      <c r="A88" s="181"/>
      <c r="B88" s="179"/>
      <c r="C88" s="192" t="s">
        <v>771</v>
      </c>
      <c r="D88" s="193"/>
      <c r="E88" s="193"/>
      <c r="F88" s="194"/>
      <c r="G88" s="195"/>
      <c r="H88" s="195"/>
      <c r="I88" s="179"/>
    </row>
    <row r="89" spans="1:9" ht="18">
      <c r="A89" s="181"/>
      <c r="B89" s="179"/>
      <c r="C89" s="192" t="s">
        <v>4271</v>
      </c>
      <c r="D89" s="193"/>
      <c r="E89" s="193"/>
      <c r="F89" s="194"/>
      <c r="G89" s="195"/>
      <c r="H89" s="195"/>
      <c r="I89" s="179"/>
    </row>
    <row r="90" spans="1:9" ht="18">
      <c r="A90" s="181"/>
      <c r="B90" s="179"/>
      <c r="C90" s="192" t="s">
        <v>4939</v>
      </c>
      <c r="D90" s="193"/>
      <c r="E90" s="193"/>
      <c r="F90" s="194"/>
      <c r="G90" s="195"/>
      <c r="H90" s="195"/>
      <c r="I90" s="179"/>
    </row>
    <row r="91" spans="1:9" ht="24">
      <c r="A91" s="181"/>
      <c r="B91" s="179"/>
      <c r="C91" s="192" t="s">
        <v>4814</v>
      </c>
      <c r="D91" s="196"/>
      <c r="E91" s="193"/>
      <c r="F91" s="194"/>
      <c r="G91" s="195"/>
      <c r="H91" s="195"/>
      <c r="I91" s="179"/>
    </row>
    <row r="92" spans="1:9" ht="18">
      <c r="A92" s="181"/>
      <c r="B92" s="179"/>
      <c r="C92" s="192"/>
      <c r="D92" s="196"/>
      <c r="E92" s="193"/>
      <c r="F92" s="194"/>
      <c r="G92" s="195"/>
      <c r="H92" s="195"/>
      <c r="I92" s="179"/>
    </row>
    <row r="93" spans="1:9" ht="18">
      <c r="A93" s="181"/>
      <c r="B93" s="179"/>
      <c r="C93" s="197" t="s">
        <v>4897</v>
      </c>
      <c r="D93" s="198"/>
      <c r="E93" s="199"/>
      <c r="F93" s="200"/>
      <c r="G93" s="201"/>
      <c r="H93" s="201"/>
      <c r="I93" s="179"/>
    </row>
    <row r="94" spans="1:9" ht="18">
      <c r="A94" s="181"/>
      <c r="B94" s="179"/>
      <c r="C94" s="223" t="s">
        <v>4940</v>
      </c>
      <c r="D94" s="179"/>
      <c r="E94" s="179"/>
      <c r="F94" s="179"/>
      <c r="G94" s="179"/>
      <c r="H94" s="179"/>
      <c r="I94" s="179"/>
    </row>
    <row r="95" spans="1:9" ht="18">
      <c r="A95" s="181"/>
      <c r="B95" s="179"/>
      <c r="C95" s="205"/>
      <c r="D95" s="179"/>
      <c r="E95" s="179"/>
      <c r="F95" s="179"/>
      <c r="G95" s="179"/>
      <c r="H95" s="179"/>
      <c r="I95" s="179"/>
    </row>
    <row r="96" spans="1:9" ht="18">
      <c r="A96" s="181"/>
      <c r="B96" s="184">
        <v>9</v>
      </c>
      <c r="C96" s="205" t="s">
        <v>2283</v>
      </c>
      <c r="D96" s="179"/>
      <c r="E96" s="179"/>
      <c r="F96" s="179"/>
      <c r="G96" s="179"/>
      <c r="H96" s="179"/>
      <c r="I96" s="179"/>
    </row>
    <row r="97" spans="1:9" ht="18">
      <c r="A97" s="181"/>
      <c r="B97" s="179"/>
      <c r="C97" s="188" t="s">
        <v>47</v>
      </c>
      <c r="D97" s="189" t="s">
        <v>2587</v>
      </c>
      <c r="E97" s="189" t="s">
        <v>4932</v>
      </c>
      <c r="F97" s="190" t="s">
        <v>2508</v>
      </c>
      <c r="G97" s="191"/>
      <c r="H97" s="191"/>
      <c r="I97" s="179"/>
    </row>
    <row r="98" spans="1:9" ht="18">
      <c r="A98" s="181"/>
      <c r="B98" s="179"/>
      <c r="C98" s="192" t="s">
        <v>843</v>
      </c>
      <c r="D98" s="193"/>
      <c r="E98" s="193"/>
      <c r="F98" s="194"/>
      <c r="G98" s="195"/>
      <c r="H98" s="195"/>
      <c r="I98" s="179"/>
    </row>
    <row r="99" spans="1:9" ht="18">
      <c r="A99" s="181"/>
      <c r="B99" s="179"/>
      <c r="C99" s="192"/>
      <c r="D99" s="196"/>
      <c r="E99" s="193"/>
      <c r="F99" s="194"/>
      <c r="G99" s="195"/>
      <c r="H99" s="195"/>
      <c r="I99" s="179"/>
    </row>
    <row r="100" spans="1:9" ht="18">
      <c r="A100" s="181"/>
      <c r="B100" s="179"/>
      <c r="C100" s="197" t="s">
        <v>4897</v>
      </c>
      <c r="D100" s="198"/>
      <c r="E100" s="199"/>
      <c r="F100" s="200"/>
      <c r="G100" s="201"/>
      <c r="H100" s="201"/>
      <c r="I100" s="179"/>
    </row>
    <row r="101" spans="1:9" ht="18">
      <c r="A101" s="181"/>
      <c r="B101" s="179"/>
      <c r="C101" s="205"/>
      <c r="D101" s="179"/>
      <c r="E101" s="179"/>
      <c r="F101" s="179"/>
      <c r="G101" s="179"/>
      <c r="H101" s="179"/>
      <c r="I101" s="179"/>
    </row>
    <row r="102" spans="1:9" ht="24">
      <c r="A102" s="181"/>
      <c r="B102" s="179">
        <v>10</v>
      </c>
      <c r="C102" s="205" t="s">
        <v>2284</v>
      </c>
      <c r="D102" s="179"/>
      <c r="E102" s="179"/>
      <c r="F102" s="179"/>
      <c r="G102" s="179"/>
      <c r="H102" s="179"/>
      <c r="I102" s="179"/>
    </row>
    <row r="103" spans="1:9" ht="18">
      <c r="A103" s="181"/>
      <c r="B103" s="179"/>
      <c r="C103" s="188" t="s">
        <v>47</v>
      </c>
      <c r="D103" s="189" t="s">
        <v>3276</v>
      </c>
      <c r="E103" s="189" t="s">
        <v>3273</v>
      </c>
      <c r="F103" s="190" t="s">
        <v>3275</v>
      </c>
      <c r="G103" s="224" t="s">
        <v>4932</v>
      </c>
      <c r="H103" s="224" t="s">
        <v>2508</v>
      </c>
      <c r="I103" s="179"/>
    </row>
    <row r="104" spans="1:9" ht="18">
      <c r="A104" s="181"/>
      <c r="B104" s="179"/>
      <c r="C104" s="192" t="s">
        <v>422</v>
      </c>
      <c r="D104" s="193"/>
      <c r="E104" s="193"/>
      <c r="F104" s="215"/>
      <c r="G104" s="225"/>
      <c r="H104" s="195"/>
      <c r="I104" s="179"/>
    </row>
    <row r="105" spans="1:9" ht="18">
      <c r="A105" s="181"/>
      <c r="B105" s="179"/>
      <c r="C105" s="192"/>
      <c r="D105" s="196"/>
      <c r="E105" s="193"/>
      <c r="F105" s="216"/>
      <c r="G105" s="225"/>
      <c r="H105" s="195"/>
      <c r="I105" s="179"/>
    </row>
    <row r="106" spans="1:9" ht="18">
      <c r="A106" s="181"/>
      <c r="B106" s="179"/>
      <c r="C106" s="197" t="s">
        <v>4897</v>
      </c>
      <c r="D106" s="218"/>
      <c r="E106" s="199"/>
      <c r="F106" s="226"/>
      <c r="G106" s="227"/>
      <c r="H106" s="201"/>
      <c r="I106" s="179"/>
    </row>
    <row r="107" spans="1:9" ht="18">
      <c r="A107" s="181"/>
      <c r="B107" s="179"/>
      <c r="C107" s="205"/>
      <c r="D107" s="179"/>
      <c r="E107" s="179"/>
      <c r="F107" s="179"/>
      <c r="G107" s="179"/>
      <c r="H107" s="179"/>
      <c r="I107" s="179"/>
    </row>
    <row r="108" spans="1:9" ht="24">
      <c r="A108" s="181"/>
      <c r="B108" s="179">
        <v>11</v>
      </c>
      <c r="C108" s="205" t="s">
        <v>2285</v>
      </c>
      <c r="D108" s="179"/>
      <c r="E108" s="179"/>
      <c r="F108" s="179"/>
      <c r="G108" s="179"/>
      <c r="H108" s="179"/>
      <c r="I108" s="179"/>
    </row>
    <row r="109" spans="1:9" ht="18">
      <c r="A109" s="181"/>
      <c r="B109" s="179"/>
      <c r="C109" s="188" t="s">
        <v>47</v>
      </c>
      <c r="D109" s="189" t="s">
        <v>3276</v>
      </c>
      <c r="E109" s="189" t="s">
        <v>3273</v>
      </c>
      <c r="F109" s="190" t="s">
        <v>3274</v>
      </c>
      <c r="G109" s="224" t="s">
        <v>4932</v>
      </c>
      <c r="H109" s="224" t="s">
        <v>2508</v>
      </c>
      <c r="I109" s="179"/>
    </row>
    <row r="110" spans="1:9" ht="18">
      <c r="A110" s="181"/>
      <c r="B110" s="179"/>
      <c r="C110" s="192" t="s">
        <v>576</v>
      </c>
      <c r="D110" s="193"/>
      <c r="E110" s="193"/>
      <c r="F110" s="215"/>
      <c r="G110" s="225"/>
      <c r="H110" s="195"/>
      <c r="I110" s="179"/>
    </row>
    <row r="111" spans="1:9" ht="18">
      <c r="A111" s="181"/>
      <c r="B111" s="179"/>
      <c r="C111" s="192"/>
      <c r="D111" s="196"/>
      <c r="E111" s="193"/>
      <c r="F111" s="216"/>
      <c r="G111" s="225"/>
      <c r="H111" s="195"/>
      <c r="I111" s="179"/>
    </row>
    <row r="112" spans="1:9" ht="18">
      <c r="A112" s="181"/>
      <c r="B112" s="179"/>
      <c r="C112" s="197" t="s">
        <v>4897</v>
      </c>
      <c r="D112" s="218"/>
      <c r="E112" s="199"/>
      <c r="F112" s="226"/>
      <c r="G112" s="227"/>
      <c r="H112" s="201"/>
      <c r="I112" s="179"/>
    </row>
    <row r="113" spans="1:9" ht="18">
      <c r="A113" s="181"/>
      <c r="B113" s="179"/>
      <c r="C113" s="205"/>
      <c r="D113" s="179"/>
      <c r="E113" s="179"/>
      <c r="F113" s="179"/>
      <c r="G113" s="179"/>
      <c r="H113" s="179"/>
      <c r="I113" s="179"/>
    </row>
    <row r="114" spans="1:9" ht="18">
      <c r="A114" s="181"/>
      <c r="B114" s="179"/>
      <c r="C114" s="205"/>
      <c r="D114" s="179"/>
      <c r="E114" s="179"/>
      <c r="F114" s="179"/>
      <c r="G114" s="179"/>
      <c r="H114" s="179"/>
      <c r="I114" s="179"/>
    </row>
    <row r="115" spans="1:9" ht="18">
      <c r="A115" s="181"/>
      <c r="B115" s="184">
        <v>12</v>
      </c>
      <c r="C115" s="205" t="s">
        <v>2286</v>
      </c>
      <c r="D115" s="179"/>
      <c r="E115" s="179"/>
      <c r="F115" s="179"/>
      <c r="G115" s="179"/>
      <c r="H115" s="179"/>
      <c r="I115" s="179"/>
    </row>
    <row r="116" spans="1:9" ht="18">
      <c r="A116" s="181"/>
      <c r="B116" s="179"/>
      <c r="C116" s="188" t="s">
        <v>47</v>
      </c>
      <c r="D116" s="189" t="s">
        <v>3275</v>
      </c>
      <c r="E116" s="189" t="s">
        <v>4932</v>
      </c>
      <c r="F116" s="190" t="s">
        <v>2508</v>
      </c>
      <c r="G116" s="191"/>
      <c r="H116" s="191"/>
      <c r="I116" s="179"/>
    </row>
    <row r="117" spans="1:9" ht="18">
      <c r="A117" s="181"/>
      <c r="B117" s="179"/>
      <c r="C117" s="192" t="s">
        <v>4819</v>
      </c>
      <c r="D117" s="193"/>
      <c r="E117" s="193"/>
      <c r="F117" s="194"/>
      <c r="G117" s="195"/>
      <c r="H117" s="195"/>
      <c r="I117" s="179"/>
    </row>
    <row r="118" spans="1:9" ht="18">
      <c r="A118" s="181"/>
      <c r="B118" s="179"/>
      <c r="C118" s="192" t="s">
        <v>4820</v>
      </c>
      <c r="D118" s="193"/>
      <c r="E118" s="193"/>
      <c r="F118" s="194"/>
      <c r="G118" s="195"/>
      <c r="H118" s="195"/>
      <c r="I118" s="179"/>
    </row>
    <row r="119" spans="1:9" ht="18">
      <c r="A119" s="181"/>
      <c r="B119" s="179"/>
      <c r="C119" s="228" t="s">
        <v>4821</v>
      </c>
      <c r="D119" s="193"/>
      <c r="E119" s="193"/>
      <c r="F119" s="194"/>
      <c r="G119" s="195"/>
      <c r="H119" s="195"/>
      <c r="I119" s="179"/>
    </row>
    <row r="120" spans="1:9" ht="18">
      <c r="A120" s="181"/>
      <c r="B120" s="179"/>
      <c r="C120" s="192"/>
      <c r="D120" s="193"/>
      <c r="E120" s="193"/>
      <c r="F120" s="194"/>
      <c r="G120" s="195"/>
      <c r="H120" s="195"/>
      <c r="I120" s="179"/>
    </row>
    <row r="121" spans="1:9" ht="18">
      <c r="A121" s="181"/>
      <c r="B121" s="179"/>
      <c r="C121" s="192" t="s">
        <v>4822</v>
      </c>
      <c r="D121" s="193"/>
      <c r="E121" s="193"/>
      <c r="F121" s="194"/>
      <c r="G121" s="195"/>
      <c r="H121" s="195"/>
      <c r="I121" s="179"/>
    </row>
    <row r="122" spans="1:9" ht="18">
      <c r="A122" s="181"/>
      <c r="B122" s="179"/>
      <c r="C122" s="192" t="s">
        <v>4824</v>
      </c>
      <c r="D122" s="193"/>
      <c r="E122" s="193"/>
      <c r="F122" s="194"/>
      <c r="G122" s="195"/>
      <c r="H122" s="195"/>
      <c r="I122" s="179"/>
    </row>
    <row r="123" spans="1:9" ht="18">
      <c r="A123" s="181"/>
      <c r="B123" s="179"/>
      <c r="C123" s="229" t="s">
        <v>4826</v>
      </c>
      <c r="D123" s="193"/>
      <c r="E123" s="193"/>
      <c r="F123" s="194"/>
      <c r="G123" s="195"/>
      <c r="H123" s="195"/>
      <c r="I123" s="179"/>
    </row>
    <row r="124" spans="1:9" ht="18">
      <c r="A124" s="181"/>
      <c r="B124" s="179"/>
      <c r="C124" s="229" t="s">
        <v>4827</v>
      </c>
      <c r="D124" s="193"/>
      <c r="E124" s="193"/>
      <c r="F124" s="194"/>
      <c r="G124" s="195"/>
      <c r="H124" s="195"/>
      <c r="I124" s="179"/>
    </row>
    <row r="125" spans="1:9" ht="18">
      <c r="A125" s="181"/>
      <c r="B125" s="179"/>
      <c r="C125" s="229" t="s">
        <v>4828</v>
      </c>
      <c r="D125" s="193"/>
      <c r="E125" s="193"/>
      <c r="F125" s="194"/>
      <c r="G125" s="195"/>
      <c r="H125" s="195"/>
      <c r="I125" s="179"/>
    </row>
    <row r="126" spans="1:9" ht="18">
      <c r="A126" s="181"/>
      <c r="B126" s="179"/>
      <c r="C126" s="192"/>
      <c r="D126" s="193"/>
      <c r="E126" s="193"/>
      <c r="F126" s="194"/>
      <c r="G126" s="195"/>
      <c r="H126" s="195"/>
      <c r="I126" s="179"/>
    </row>
    <row r="127" spans="1:9" ht="18">
      <c r="A127" s="181"/>
      <c r="B127" s="179"/>
      <c r="C127" s="192" t="s">
        <v>4829</v>
      </c>
      <c r="D127" s="193"/>
      <c r="E127" s="193"/>
      <c r="F127" s="194"/>
      <c r="G127" s="195"/>
      <c r="H127" s="195"/>
      <c r="I127" s="179"/>
    </row>
    <row r="128" spans="1:9" ht="18">
      <c r="A128" s="181"/>
      <c r="B128" s="179"/>
      <c r="C128" s="229" t="s">
        <v>4830</v>
      </c>
      <c r="D128" s="193"/>
      <c r="E128" s="193"/>
      <c r="F128" s="230" t="s">
        <v>4831</v>
      </c>
      <c r="G128" s="195"/>
      <c r="H128" s="195"/>
      <c r="I128" s="179"/>
    </row>
    <row r="129" spans="1:9" ht="18">
      <c r="A129" s="181"/>
      <c r="B129" s="179"/>
      <c r="C129" s="229" t="s">
        <v>4832</v>
      </c>
      <c r="D129" s="193"/>
      <c r="E129" s="193"/>
      <c r="F129" s="230" t="s">
        <v>4831</v>
      </c>
      <c r="G129" s="195"/>
      <c r="H129" s="195"/>
      <c r="I129" s="179"/>
    </row>
    <row r="130" spans="1:9" ht="18">
      <c r="A130" s="181"/>
      <c r="B130" s="179"/>
      <c r="C130" s="192"/>
      <c r="D130" s="193"/>
      <c r="E130" s="193"/>
      <c r="F130" s="194"/>
      <c r="G130" s="195"/>
      <c r="H130" s="195"/>
      <c r="I130" s="179"/>
    </row>
    <row r="131" spans="1:9" ht="18">
      <c r="A131" s="181"/>
      <c r="B131" s="179"/>
      <c r="C131" s="228" t="s">
        <v>4825</v>
      </c>
      <c r="D131" s="193"/>
      <c r="E131" s="193"/>
      <c r="F131" s="194"/>
      <c r="G131" s="195"/>
      <c r="H131" s="195"/>
      <c r="I131" s="179"/>
    </row>
    <row r="132" spans="1:9" ht="18">
      <c r="A132" s="181"/>
      <c r="B132" s="179"/>
      <c r="C132" s="192"/>
      <c r="D132" s="196"/>
      <c r="E132" s="193"/>
      <c r="F132" s="194"/>
      <c r="G132" s="195"/>
      <c r="H132" s="195"/>
      <c r="I132" s="179"/>
    </row>
    <row r="133" spans="1:9" ht="18">
      <c r="A133" s="181"/>
      <c r="B133" s="179"/>
      <c r="C133" s="197" t="s">
        <v>4897</v>
      </c>
      <c r="D133" s="198"/>
      <c r="E133" s="199"/>
      <c r="F133" s="200"/>
      <c r="G133" s="201"/>
      <c r="H133" s="201"/>
      <c r="I133" s="179"/>
    </row>
    <row r="134" spans="1:9" ht="18">
      <c r="A134" s="181"/>
      <c r="B134" s="179"/>
      <c r="C134" s="205"/>
      <c r="D134" s="179"/>
      <c r="E134" s="179"/>
      <c r="F134" s="179"/>
      <c r="G134" s="179"/>
      <c r="H134" s="179"/>
      <c r="I134" s="179"/>
    </row>
    <row r="135" spans="1:9" ht="24">
      <c r="A135" s="181"/>
      <c r="B135" s="184">
        <v>13</v>
      </c>
      <c r="C135" s="205" t="s">
        <v>2287</v>
      </c>
      <c r="D135" s="179"/>
      <c r="E135" s="179"/>
      <c r="F135" s="179"/>
      <c r="G135" s="179"/>
      <c r="H135" s="179"/>
      <c r="I135" s="179"/>
    </row>
    <row r="136" spans="1:9" ht="18">
      <c r="A136" s="181"/>
      <c r="B136" s="179"/>
      <c r="C136" s="188" t="s">
        <v>47</v>
      </c>
      <c r="D136" s="189" t="s">
        <v>3276</v>
      </c>
      <c r="E136" s="189" t="s">
        <v>3273</v>
      </c>
      <c r="F136" s="190" t="s">
        <v>3275</v>
      </c>
      <c r="G136" s="191" t="s">
        <v>4932</v>
      </c>
      <c r="H136" s="191" t="s">
        <v>2508</v>
      </c>
      <c r="I136" s="179"/>
    </row>
    <row r="137" spans="1:9" ht="18">
      <c r="A137" s="181"/>
      <c r="B137" s="179"/>
      <c r="C137" s="192" t="s">
        <v>4834</v>
      </c>
      <c r="D137" s="193"/>
      <c r="E137" s="193"/>
      <c r="F137" s="194"/>
      <c r="G137" s="195"/>
      <c r="H137" s="195"/>
      <c r="I137" s="179"/>
    </row>
    <row r="138" spans="1:9" ht="18">
      <c r="A138" s="181"/>
      <c r="B138" s="179"/>
      <c r="C138" s="229" t="s">
        <v>109</v>
      </c>
      <c r="D138" s="193"/>
      <c r="E138" s="193"/>
      <c r="F138" s="193"/>
      <c r="G138" s="193"/>
      <c r="H138" s="194"/>
      <c r="I138" s="179"/>
    </row>
    <row r="139" spans="1:9" ht="18">
      <c r="A139" s="181"/>
      <c r="B139" s="179"/>
      <c r="C139" s="229" t="s">
        <v>124</v>
      </c>
      <c r="D139" s="193"/>
      <c r="E139" s="193"/>
      <c r="F139" s="193"/>
      <c r="G139" s="193"/>
      <c r="H139" s="194"/>
      <c r="I139" s="179"/>
    </row>
    <row r="140" spans="1:9" ht="18">
      <c r="A140" s="181"/>
      <c r="B140" s="179"/>
      <c r="C140" s="229" t="s">
        <v>162</v>
      </c>
      <c r="D140" s="193"/>
      <c r="E140" s="193"/>
      <c r="F140" s="193"/>
      <c r="G140" s="193"/>
      <c r="H140" s="194"/>
      <c r="I140" s="179"/>
    </row>
    <row r="141" spans="1:9" ht="18">
      <c r="A141" s="181"/>
      <c r="B141" s="179"/>
      <c r="C141" s="229" t="s">
        <v>201</v>
      </c>
      <c r="D141" s="193"/>
      <c r="E141" s="193"/>
      <c r="F141" s="193"/>
      <c r="G141" s="193"/>
      <c r="H141" s="194"/>
      <c r="I141" s="179"/>
    </row>
    <row r="142" spans="1:9" ht="18">
      <c r="A142" s="181"/>
      <c r="B142" s="179"/>
      <c r="C142" s="229" t="s">
        <v>247</v>
      </c>
      <c r="D142" s="193"/>
      <c r="E142" s="193"/>
      <c r="F142" s="193"/>
      <c r="G142" s="193"/>
      <c r="H142" s="194"/>
      <c r="I142" s="179"/>
    </row>
    <row r="143" spans="1:9" ht="18">
      <c r="A143" s="181"/>
      <c r="B143" s="179"/>
      <c r="C143" s="192"/>
      <c r="D143" s="193"/>
      <c r="E143" s="193"/>
      <c r="F143" s="193"/>
      <c r="G143" s="193"/>
      <c r="H143" s="194"/>
      <c r="I143" s="179"/>
    </row>
    <row r="144" spans="1:9" ht="18">
      <c r="A144" s="181"/>
      <c r="B144" s="179"/>
      <c r="C144" s="228" t="s">
        <v>4835</v>
      </c>
      <c r="D144" s="193"/>
      <c r="E144" s="193"/>
      <c r="F144" s="193"/>
      <c r="G144" s="193"/>
      <c r="H144" s="194"/>
      <c r="I144" s="179"/>
    </row>
    <row r="145" spans="1:9" ht="18">
      <c r="A145" s="181"/>
      <c r="B145" s="179"/>
      <c r="C145" s="192" t="s">
        <v>4836</v>
      </c>
      <c r="D145" s="193"/>
      <c r="E145" s="193"/>
      <c r="F145" s="193"/>
      <c r="G145" s="193"/>
      <c r="H145" s="194"/>
      <c r="I145" s="179"/>
    </row>
    <row r="146" spans="1:9" ht="18">
      <c r="A146" s="181"/>
      <c r="B146" s="179"/>
      <c r="C146" s="192" t="s">
        <v>4837</v>
      </c>
      <c r="D146" s="193"/>
      <c r="E146" s="193"/>
      <c r="F146" s="193"/>
      <c r="G146" s="193"/>
      <c r="H146" s="194"/>
      <c r="I146" s="179"/>
    </row>
    <row r="147" spans="1:9" ht="18">
      <c r="A147" s="181"/>
      <c r="B147" s="179"/>
      <c r="C147" s="229" t="s">
        <v>4839</v>
      </c>
      <c r="D147" s="193"/>
      <c r="E147" s="193"/>
      <c r="F147" s="193"/>
      <c r="G147" s="193"/>
      <c r="H147" s="194"/>
      <c r="I147" s="179"/>
    </row>
    <row r="148" spans="1:9" ht="24">
      <c r="A148" s="181"/>
      <c r="B148" s="179"/>
      <c r="C148" s="229" t="s">
        <v>4840</v>
      </c>
      <c r="D148" s="193"/>
      <c r="E148" s="193"/>
      <c r="F148" s="193"/>
      <c r="G148" s="193"/>
      <c r="H148" s="194"/>
      <c r="I148" s="179"/>
    </row>
    <row r="149" spans="1:9" ht="18">
      <c r="A149" s="181"/>
      <c r="B149" s="179"/>
      <c r="C149" s="229" t="s">
        <v>4841</v>
      </c>
      <c r="D149" s="193"/>
      <c r="E149" s="193"/>
      <c r="F149" s="193"/>
      <c r="G149" s="193"/>
      <c r="H149" s="194"/>
      <c r="I149" s="179"/>
    </row>
    <row r="150" spans="1:9" ht="18">
      <c r="A150" s="181"/>
      <c r="B150" s="179"/>
      <c r="C150" s="229" t="s">
        <v>4842</v>
      </c>
      <c r="D150" s="193"/>
      <c r="E150" s="193"/>
      <c r="F150" s="193"/>
      <c r="G150" s="193"/>
      <c r="H150" s="194"/>
      <c r="I150" s="179"/>
    </row>
    <row r="151" spans="1:9" ht="18">
      <c r="A151" s="181"/>
      <c r="B151" s="179"/>
      <c r="C151" s="229" t="s">
        <v>4843</v>
      </c>
      <c r="D151" s="193"/>
      <c r="E151" s="193"/>
      <c r="F151" s="193"/>
      <c r="G151" s="193"/>
      <c r="H151" s="194"/>
      <c r="I151" s="179"/>
    </row>
    <row r="152" spans="1:9" ht="18">
      <c r="A152" s="181"/>
      <c r="B152" s="179"/>
      <c r="C152" s="192"/>
      <c r="D152" s="193"/>
      <c r="E152" s="193"/>
      <c r="F152" s="193"/>
      <c r="G152" s="193"/>
      <c r="H152" s="194"/>
      <c r="I152" s="179"/>
    </row>
    <row r="153" spans="1:9" ht="18">
      <c r="A153" s="181"/>
      <c r="B153" s="179"/>
      <c r="C153" s="192" t="s">
        <v>4844</v>
      </c>
      <c r="D153" s="193"/>
      <c r="E153" s="193"/>
      <c r="F153" s="193"/>
      <c r="G153" s="193"/>
      <c r="H153" s="194"/>
      <c r="I153" s="179"/>
    </row>
    <row r="154" spans="1:9" ht="18">
      <c r="A154" s="181"/>
      <c r="B154" s="179"/>
      <c r="C154" s="229" t="s">
        <v>4845</v>
      </c>
      <c r="D154" s="193"/>
      <c r="E154" s="193"/>
      <c r="F154" s="193"/>
      <c r="G154" s="193"/>
      <c r="H154" s="194"/>
      <c r="I154" s="179"/>
    </row>
    <row r="155" spans="1:9" ht="18">
      <c r="A155" s="181"/>
      <c r="B155" s="179"/>
      <c r="C155" s="192"/>
      <c r="D155" s="193"/>
      <c r="E155" s="193"/>
      <c r="F155" s="193"/>
      <c r="G155" s="193"/>
      <c r="H155" s="194"/>
      <c r="I155" s="179"/>
    </row>
    <row r="156" spans="1:9" ht="18">
      <c r="A156" s="181"/>
      <c r="B156" s="179"/>
      <c r="C156" s="228" t="s">
        <v>4838</v>
      </c>
      <c r="D156" s="193"/>
      <c r="E156" s="193"/>
      <c r="F156" s="193"/>
      <c r="G156" s="193"/>
      <c r="H156" s="194"/>
      <c r="I156" s="179"/>
    </row>
    <row r="157" spans="1:9" ht="18">
      <c r="A157" s="181"/>
      <c r="B157" s="179"/>
      <c r="C157" s="192"/>
      <c r="D157" s="193"/>
      <c r="E157" s="193"/>
      <c r="F157" s="193"/>
      <c r="G157" s="193"/>
      <c r="H157" s="194"/>
      <c r="I157" s="179"/>
    </row>
    <row r="158" spans="1:9" ht="18">
      <c r="A158" s="181"/>
      <c r="B158" s="179"/>
      <c r="C158" s="197" t="s">
        <v>4897</v>
      </c>
      <c r="D158" s="199"/>
      <c r="E158" s="199"/>
      <c r="F158" s="198"/>
      <c r="G158" s="199"/>
      <c r="H158" s="200"/>
      <c r="I158" s="179"/>
    </row>
    <row r="159" spans="1:9" ht="18">
      <c r="A159" s="181"/>
      <c r="B159" s="179"/>
      <c r="C159" s="205"/>
      <c r="D159" s="179"/>
      <c r="E159" s="179"/>
      <c r="F159" s="179"/>
      <c r="G159" s="179"/>
      <c r="H159" s="179"/>
      <c r="I159" s="179"/>
    </row>
    <row r="160" spans="1:9" ht="24">
      <c r="A160" s="181"/>
      <c r="B160" s="184">
        <v>14</v>
      </c>
      <c r="C160" s="205" t="s">
        <v>2288</v>
      </c>
      <c r="D160" s="179"/>
      <c r="E160" s="179"/>
      <c r="F160" s="179"/>
      <c r="G160" s="179"/>
      <c r="H160" s="179"/>
      <c r="I160" s="179"/>
    </row>
    <row r="161" spans="1:9" ht="18">
      <c r="A161" s="181"/>
      <c r="B161" s="179"/>
      <c r="C161" s="188" t="s">
        <v>47</v>
      </c>
      <c r="D161" s="189" t="s">
        <v>3276</v>
      </c>
      <c r="E161" s="189" t="s">
        <v>3273</v>
      </c>
      <c r="F161" s="190" t="s">
        <v>3274</v>
      </c>
      <c r="G161" s="191" t="s">
        <v>4932</v>
      </c>
      <c r="H161" s="191" t="s">
        <v>2508</v>
      </c>
      <c r="I161" s="179"/>
    </row>
    <row r="162" spans="1:9" ht="18">
      <c r="A162" s="181"/>
      <c r="B162" s="179"/>
      <c r="C162" s="192" t="s">
        <v>4847</v>
      </c>
      <c r="D162" s="193"/>
      <c r="E162" s="193"/>
      <c r="F162" s="194"/>
      <c r="G162" s="195"/>
      <c r="H162" s="195"/>
      <c r="I162" s="179"/>
    </row>
    <row r="163" spans="1:9" ht="18">
      <c r="A163" s="181"/>
      <c r="B163" s="179"/>
      <c r="C163" s="229" t="s">
        <v>471</v>
      </c>
      <c r="D163" s="193"/>
      <c r="E163" s="193"/>
      <c r="F163" s="194"/>
      <c r="G163" s="195"/>
      <c r="H163" s="195"/>
      <c r="I163" s="179"/>
    </row>
    <row r="164" spans="1:9" ht="18">
      <c r="A164" s="181"/>
      <c r="B164" s="179"/>
      <c r="C164" s="229" t="s">
        <v>476</v>
      </c>
      <c r="D164" s="193"/>
      <c r="E164" s="193"/>
      <c r="F164" s="194"/>
      <c r="G164" s="195"/>
      <c r="H164" s="195"/>
      <c r="I164" s="179"/>
    </row>
    <row r="165" spans="1:9" ht="18">
      <c r="A165" s="181"/>
      <c r="B165" s="179"/>
      <c r="C165" s="229" t="s">
        <v>484</v>
      </c>
      <c r="D165" s="193"/>
      <c r="E165" s="193"/>
      <c r="F165" s="194"/>
      <c r="G165" s="195"/>
      <c r="H165" s="195"/>
      <c r="I165" s="179"/>
    </row>
    <row r="166" spans="1:9" ht="18">
      <c r="A166" s="181"/>
      <c r="B166" s="179"/>
      <c r="C166" s="229" t="s">
        <v>489</v>
      </c>
      <c r="D166" s="193"/>
      <c r="E166" s="193"/>
      <c r="F166" s="194"/>
      <c r="G166" s="195"/>
      <c r="H166" s="195"/>
      <c r="I166" s="179"/>
    </row>
    <row r="167" spans="1:9" ht="18">
      <c r="A167" s="181"/>
      <c r="B167" s="179"/>
      <c r="C167" s="229" t="s">
        <v>494</v>
      </c>
      <c r="D167" s="193"/>
      <c r="E167" s="193"/>
      <c r="F167" s="194"/>
      <c r="G167" s="195"/>
      <c r="H167" s="195"/>
      <c r="I167" s="179"/>
    </row>
    <row r="168" spans="1:9" ht="18">
      <c r="A168" s="181"/>
      <c r="B168" s="179"/>
      <c r="C168" s="229" t="s">
        <v>513</v>
      </c>
      <c r="D168" s="193"/>
      <c r="E168" s="193"/>
      <c r="F168" s="194"/>
      <c r="G168" s="195"/>
      <c r="H168" s="195"/>
      <c r="I168" s="179"/>
    </row>
    <row r="169" spans="1:9" ht="18">
      <c r="A169" s="181"/>
      <c r="B169" s="179"/>
      <c r="C169" s="229" t="s">
        <v>534</v>
      </c>
      <c r="D169" s="193"/>
      <c r="E169" s="193"/>
      <c r="F169" s="194"/>
      <c r="G169" s="195"/>
      <c r="H169" s="195"/>
      <c r="I169" s="179"/>
    </row>
    <row r="170" spans="1:9" ht="18">
      <c r="A170" s="181"/>
      <c r="B170" s="179"/>
      <c r="C170" s="192"/>
      <c r="D170" s="193"/>
      <c r="E170" s="193"/>
      <c r="F170" s="194"/>
      <c r="G170" s="195"/>
      <c r="H170" s="195"/>
      <c r="I170" s="179"/>
    </row>
    <row r="171" spans="1:9" ht="18">
      <c r="A171" s="181"/>
      <c r="B171" s="179"/>
      <c r="C171" s="228" t="s">
        <v>4848</v>
      </c>
      <c r="D171" s="193"/>
      <c r="E171" s="193"/>
      <c r="F171" s="194"/>
      <c r="G171" s="195"/>
      <c r="H171" s="195"/>
      <c r="I171" s="179"/>
    </row>
    <row r="172" spans="1:9" ht="18">
      <c r="A172" s="181"/>
      <c r="B172" s="179"/>
      <c r="C172" s="192" t="s">
        <v>4849</v>
      </c>
      <c r="D172" s="193"/>
      <c r="E172" s="193"/>
      <c r="F172" s="194"/>
      <c r="G172" s="195"/>
      <c r="H172" s="195"/>
      <c r="I172" s="179"/>
    </row>
    <row r="173" spans="1:9" ht="18">
      <c r="A173" s="181"/>
      <c r="B173" s="179"/>
      <c r="C173" s="192" t="s">
        <v>4850</v>
      </c>
      <c r="D173" s="193"/>
      <c r="E173" s="193"/>
      <c r="F173" s="194"/>
      <c r="G173" s="195"/>
      <c r="H173" s="195"/>
      <c r="I173" s="179"/>
    </row>
    <row r="174" spans="1:9" ht="24">
      <c r="A174" s="181"/>
      <c r="B174" s="179"/>
      <c r="C174" s="229" t="s">
        <v>4852</v>
      </c>
      <c r="D174" s="193"/>
      <c r="E174" s="193"/>
      <c r="F174" s="194"/>
      <c r="G174" s="195"/>
      <c r="H174" s="195"/>
      <c r="I174" s="179"/>
    </row>
    <row r="175" spans="1:9" ht="24">
      <c r="A175" s="181"/>
      <c r="B175" s="179"/>
      <c r="C175" s="229" t="s">
        <v>4853</v>
      </c>
      <c r="D175" s="193"/>
      <c r="E175" s="193"/>
      <c r="F175" s="194"/>
      <c r="G175" s="195"/>
      <c r="H175" s="195"/>
      <c r="I175" s="179"/>
    </row>
    <row r="176" spans="1:9" ht="24">
      <c r="A176" s="181"/>
      <c r="B176" s="179"/>
      <c r="C176" s="229" t="s">
        <v>4854</v>
      </c>
      <c r="D176" s="193"/>
      <c r="E176" s="193"/>
      <c r="F176" s="194"/>
      <c r="G176" s="195"/>
      <c r="H176" s="195"/>
      <c r="I176" s="179"/>
    </row>
    <row r="177" spans="1:9" ht="18">
      <c r="A177" s="181"/>
      <c r="B177" s="179"/>
      <c r="C177" s="229" t="s">
        <v>4855</v>
      </c>
      <c r="D177" s="193"/>
      <c r="E177" s="193"/>
      <c r="F177" s="194"/>
      <c r="G177" s="195"/>
      <c r="H177" s="195"/>
      <c r="I177" s="179"/>
    </row>
    <row r="178" spans="1:9" ht="18">
      <c r="A178" s="181"/>
      <c r="B178" s="179"/>
      <c r="C178" s="229" t="s">
        <v>4856</v>
      </c>
      <c r="D178" s="193"/>
      <c r="E178" s="193"/>
      <c r="F178" s="194"/>
      <c r="G178" s="195"/>
      <c r="H178" s="195"/>
      <c r="I178" s="179"/>
    </row>
    <row r="179" spans="1:9" ht="18">
      <c r="A179" s="181"/>
      <c r="B179" s="179"/>
      <c r="C179" s="192"/>
      <c r="D179" s="193"/>
      <c r="E179" s="193"/>
      <c r="F179" s="194"/>
      <c r="G179" s="195"/>
      <c r="H179" s="195"/>
      <c r="I179" s="179"/>
    </row>
    <row r="180" spans="1:9" ht="18">
      <c r="A180" s="181"/>
      <c r="B180" s="179"/>
      <c r="C180" s="192" t="s">
        <v>4857</v>
      </c>
      <c r="D180" s="193"/>
      <c r="E180" s="193"/>
      <c r="F180" s="194"/>
      <c r="G180" s="195"/>
      <c r="H180" s="195"/>
      <c r="I180" s="179"/>
    </row>
    <row r="181" spans="1:9" ht="18">
      <c r="A181" s="181"/>
      <c r="B181" s="179"/>
      <c r="C181" s="229" t="s">
        <v>4858</v>
      </c>
      <c r="D181" s="193"/>
      <c r="E181" s="193"/>
      <c r="F181" s="194"/>
      <c r="G181" s="195"/>
      <c r="H181" s="195"/>
      <c r="I181" s="179"/>
    </row>
    <row r="182" spans="1:9" ht="18">
      <c r="A182" s="181"/>
      <c r="B182" s="179"/>
      <c r="C182" s="192"/>
      <c r="D182" s="193"/>
      <c r="E182" s="193"/>
      <c r="F182" s="194"/>
      <c r="G182" s="195"/>
      <c r="H182" s="195"/>
      <c r="I182" s="179"/>
    </row>
    <row r="183" spans="1:9" ht="18">
      <c r="A183" s="181"/>
      <c r="B183" s="179"/>
      <c r="C183" s="228" t="s">
        <v>4851</v>
      </c>
      <c r="D183" s="193"/>
      <c r="E183" s="193"/>
      <c r="F183" s="194"/>
      <c r="G183" s="195"/>
      <c r="H183" s="195"/>
      <c r="I183" s="179"/>
    </row>
    <row r="184" spans="1:9" ht="18">
      <c r="A184" s="181"/>
      <c r="B184" s="179"/>
      <c r="C184" s="192"/>
      <c r="D184" s="196"/>
      <c r="E184" s="193"/>
      <c r="F184" s="216"/>
      <c r="G184" s="225"/>
      <c r="H184" s="195"/>
      <c r="I184" s="179"/>
    </row>
    <row r="185" spans="1:9" ht="18">
      <c r="A185" s="181"/>
      <c r="B185" s="179"/>
      <c r="C185" s="197" t="s">
        <v>4897</v>
      </c>
      <c r="D185" s="218"/>
      <c r="E185" s="218"/>
      <c r="F185" s="226"/>
      <c r="G185" s="227"/>
      <c r="H185" s="201"/>
      <c r="I185" s="179"/>
    </row>
    <row r="186" spans="1:9" ht="18">
      <c r="A186" s="181"/>
      <c r="B186" s="179"/>
      <c r="C186" s="182"/>
      <c r="D186" s="179"/>
      <c r="E186" s="179"/>
      <c r="F186" s="179"/>
      <c r="G186" s="179"/>
      <c r="H186" s="179"/>
      <c r="I186" s="179"/>
    </row>
    <row r="187" spans="1:9" ht="18">
      <c r="A187" s="181"/>
      <c r="B187" s="184">
        <v>15</v>
      </c>
      <c r="C187" s="205" t="s">
        <v>932</v>
      </c>
      <c r="D187" s="179"/>
      <c r="E187" s="179"/>
      <c r="F187" s="179"/>
      <c r="G187" s="179"/>
      <c r="H187" s="179"/>
      <c r="I187" s="179"/>
    </row>
    <row r="188" spans="1:9" ht="18">
      <c r="A188" s="181"/>
      <c r="B188" s="179"/>
      <c r="C188" s="188" t="s">
        <v>47</v>
      </c>
      <c r="D188" s="189" t="s">
        <v>2587</v>
      </c>
      <c r="E188" s="189" t="s">
        <v>4932</v>
      </c>
      <c r="F188" s="190" t="s">
        <v>2508</v>
      </c>
      <c r="G188" s="191"/>
      <c r="H188" s="191"/>
      <c r="I188" s="179"/>
    </row>
    <row r="189" spans="1:9" ht="18">
      <c r="A189" s="181"/>
      <c r="B189" s="179"/>
      <c r="C189" s="192"/>
      <c r="D189" s="193"/>
      <c r="E189" s="193"/>
      <c r="F189" s="194"/>
      <c r="G189" s="195"/>
      <c r="H189" s="195"/>
      <c r="I189" s="179"/>
    </row>
    <row r="190" spans="1:9" ht="18">
      <c r="A190" s="181"/>
      <c r="B190" s="179"/>
      <c r="C190" s="192"/>
      <c r="D190" s="193"/>
      <c r="E190" s="193"/>
      <c r="F190" s="194"/>
      <c r="G190" s="195"/>
      <c r="H190" s="195"/>
      <c r="I190" s="179"/>
    </row>
    <row r="191" spans="1:9" ht="18">
      <c r="A191" s="181"/>
      <c r="B191" s="179"/>
      <c r="C191" s="192"/>
      <c r="D191" s="196"/>
      <c r="E191" s="193"/>
      <c r="F191" s="194"/>
      <c r="G191" s="195"/>
      <c r="H191" s="195"/>
      <c r="I191" s="179"/>
    </row>
    <row r="192" spans="1:9" ht="18">
      <c r="A192" s="181"/>
      <c r="B192" s="179"/>
      <c r="C192" s="197" t="s">
        <v>4897</v>
      </c>
      <c r="D192" s="198"/>
      <c r="E192" s="199"/>
      <c r="F192" s="200"/>
      <c r="G192" s="201"/>
      <c r="H192" s="201"/>
      <c r="I192" s="179"/>
    </row>
    <row r="193" spans="1:9" ht="18">
      <c r="A193" s="181"/>
      <c r="B193" s="179"/>
      <c r="C193" s="182"/>
      <c r="D193" s="179"/>
      <c r="E193" s="179"/>
      <c r="F193" s="179"/>
      <c r="G193" s="179"/>
      <c r="H193" s="179"/>
      <c r="I193" s="179"/>
    </row>
    <row r="194" spans="1:9" ht="18">
      <c r="A194" s="181"/>
      <c r="B194" s="186"/>
      <c r="C194" s="231"/>
      <c r="D194" s="186"/>
      <c r="E194" s="186"/>
      <c r="F194" s="186"/>
      <c r="G194" s="186"/>
      <c r="H194" s="186"/>
      <c r="I194" s="186"/>
    </row>
    <row r="195" spans="1:9" ht="18">
      <c r="A195" s="181"/>
      <c r="B195" s="232"/>
      <c r="C195" s="233"/>
      <c r="D195" s="232"/>
      <c r="E195" s="232"/>
      <c r="F195" s="232"/>
      <c r="G195" s="232"/>
      <c r="H195" s="232"/>
      <c r="I195" s="232"/>
    </row>
    <row r="196" spans="1:9">
      <c r="B196" s="130"/>
      <c r="C196" s="130"/>
      <c r="D196" s="130"/>
      <c r="E196" s="130"/>
      <c r="F196" s="130"/>
      <c r="G196" s="130"/>
      <c r="H196" s="130"/>
      <c r="I196" s="130"/>
    </row>
  </sheetData>
  <phoneticPr fontId="163" type="noConversion"/>
  <pageMargins left="0.78740157480314998" right="0" top="0.78740157480314998" bottom="0.39370078740157499" header="0.511811023622047" footer="0.511811023622047"/>
  <pageSetup paperSize="9" scale="90" orientation="portrait" blackAndWhite="1"/>
  <headerFooter alignWithMargins="0"/>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B50"/>
  <sheetViews>
    <sheetView workbookViewId="0"/>
  </sheetViews>
  <sheetFormatPr defaultColWidth="9.140625" defaultRowHeight="12"/>
  <cols>
    <col min="1" max="12" width="9.140625" style="2806"/>
    <col min="13" max="13" width="25.85546875" style="2806" customWidth="1"/>
    <col min="14" max="16384" width="9.140625" style="2806"/>
  </cols>
  <sheetData>
    <row r="1" spans="1:28">
      <c r="A1" s="2806" t="s">
        <v>2735</v>
      </c>
      <c r="B1" s="2806" t="s">
        <v>4941</v>
      </c>
      <c r="C1" s="2806" t="s">
        <v>4942</v>
      </c>
      <c r="D1" s="2806" t="s">
        <v>1</v>
      </c>
      <c r="E1" s="2806" t="s">
        <v>6</v>
      </c>
      <c r="F1" s="2806" t="s">
        <v>4943</v>
      </c>
      <c r="G1" s="2806" t="s">
        <v>4944</v>
      </c>
      <c r="H1" s="2806" t="s">
        <v>4945</v>
      </c>
      <c r="I1" s="2806" t="s">
        <v>4946</v>
      </c>
      <c r="L1" s="2806" t="s">
        <v>4947</v>
      </c>
      <c r="M1" s="2806" t="s">
        <v>6642</v>
      </c>
      <c r="R1" s="2806" t="s">
        <v>2735</v>
      </c>
      <c r="S1" s="2806" t="s">
        <v>4941</v>
      </c>
      <c r="T1" s="2806" t="s">
        <v>4942</v>
      </c>
      <c r="U1" s="2806" t="s">
        <v>13</v>
      </c>
      <c r="V1" s="2806" t="s">
        <v>4948</v>
      </c>
      <c r="W1" s="2806" t="s">
        <v>4949</v>
      </c>
      <c r="X1" s="2806" t="s">
        <v>4950</v>
      </c>
      <c r="Y1" s="2806" t="s">
        <v>4951</v>
      </c>
      <c r="Z1" s="2806" t="s">
        <v>4952</v>
      </c>
      <c r="AA1" s="2806" t="s">
        <v>4953</v>
      </c>
      <c r="AB1" s="2806" t="s">
        <v>4954</v>
      </c>
    </row>
    <row r="2" spans="1:28">
      <c r="L2" s="2806" t="s">
        <v>4955</v>
      </c>
    </row>
    <row r="3" spans="1:28">
      <c r="L3" s="2806" t="s">
        <v>4956</v>
      </c>
    </row>
    <row r="4" spans="1:28">
      <c r="L4" s="2806" t="s">
        <v>4957</v>
      </c>
    </row>
    <row r="5" spans="1:28">
      <c r="L5" s="2806" t="s">
        <v>4958</v>
      </c>
      <c r="M5" s="2806" t="s">
        <v>6643</v>
      </c>
    </row>
    <row r="6" spans="1:28">
      <c r="L6" s="2806" t="s">
        <v>4959</v>
      </c>
    </row>
    <row r="7" spans="1:28">
      <c r="L7" s="2806" t="s">
        <v>4960</v>
      </c>
    </row>
    <row r="8" spans="1:28">
      <c r="L8" s="2806" t="s">
        <v>4961</v>
      </c>
    </row>
    <row r="9" spans="1:28">
      <c r="L9" s="2806" t="s">
        <v>4962</v>
      </c>
    </row>
    <row r="10" spans="1:28">
      <c r="L10" s="2806" t="s">
        <v>4963</v>
      </c>
    </row>
    <row r="11" spans="1:28">
      <c r="L11" s="2806" t="s">
        <v>4964</v>
      </c>
    </row>
    <row r="12" spans="1:28">
      <c r="L12" s="2806" t="s">
        <v>4965</v>
      </c>
    </row>
    <row r="13" spans="1:28">
      <c r="L13" s="2806" t="s">
        <v>4966</v>
      </c>
    </row>
    <row r="14" spans="1:28">
      <c r="L14" s="2806" t="s">
        <v>4967</v>
      </c>
    </row>
    <row r="15" spans="1:28">
      <c r="L15" s="2806" t="s">
        <v>4968</v>
      </c>
      <c r="M15" s="2807">
        <v>43864.394004629597</v>
      </c>
    </row>
    <row r="16" spans="1:28">
      <c r="L16" s="2806" t="s">
        <v>4969</v>
      </c>
      <c r="M16" s="2806" t="s">
        <v>6655</v>
      </c>
    </row>
    <row r="17" spans="12:13">
      <c r="L17" s="2806" t="s">
        <v>4970</v>
      </c>
    </row>
    <row r="18" spans="12:13">
      <c r="L18" s="2806" t="s">
        <v>4971</v>
      </c>
    </row>
    <row r="19" spans="12:13">
      <c r="L19" s="2806" t="s">
        <v>4972</v>
      </c>
      <c r="M19" s="2806" t="s">
        <v>6644</v>
      </c>
    </row>
    <row r="20" spans="12:13">
      <c r="L20" s="2806" t="s">
        <v>4973</v>
      </c>
      <c r="M20" s="2806" t="s">
        <v>6645</v>
      </c>
    </row>
    <row r="21" spans="12:13">
      <c r="L21" s="2806" t="s">
        <v>4974</v>
      </c>
      <c r="M21" s="2808">
        <v>42339.886354166701</v>
      </c>
    </row>
    <row r="22" spans="12:13">
      <c r="L22" s="2806" t="s">
        <v>4975</v>
      </c>
      <c r="M22" s="2808">
        <v>42339.886354166701</v>
      </c>
    </row>
    <row r="23" spans="12:13">
      <c r="L23" s="2806" t="s">
        <v>4976</v>
      </c>
      <c r="M23" s="2808">
        <v>42339.8881944444</v>
      </c>
    </row>
    <row r="24" spans="12:13">
      <c r="L24" s="2806" t="s">
        <v>4977</v>
      </c>
      <c r="M24" s="2806" t="s">
        <v>6646</v>
      </c>
    </row>
    <row r="25" spans="12:13">
      <c r="L25" s="2806" t="s">
        <v>4978</v>
      </c>
    </row>
    <row r="26" spans="12:13">
      <c r="L26" s="2806" t="s">
        <v>4979</v>
      </c>
      <c r="M26" s="2806" t="s">
        <v>6795</v>
      </c>
    </row>
    <row r="27" spans="12:13">
      <c r="L27" s="2806" t="s">
        <v>4980</v>
      </c>
      <c r="M27" s="2808">
        <v>42339.889432870397</v>
      </c>
    </row>
    <row r="28" spans="12:13">
      <c r="L28" s="2806" t="s">
        <v>4981</v>
      </c>
      <c r="M28" s="2806" t="s">
        <v>295</v>
      </c>
    </row>
    <row r="29" spans="12:13">
      <c r="L29" s="2806" t="s">
        <v>4982</v>
      </c>
    </row>
    <row r="30" spans="12:13">
      <c r="L30" s="2806" t="s">
        <v>4983</v>
      </c>
      <c r="M30" s="2807">
        <v>42816.716828703698</v>
      </c>
    </row>
    <row r="31" spans="12:13">
      <c r="L31" s="2806" t="s">
        <v>5881</v>
      </c>
      <c r="M31" s="2806" t="s">
        <v>6607</v>
      </c>
    </row>
    <row r="32" spans="12:13">
      <c r="L32" s="2806" t="s">
        <v>5882</v>
      </c>
      <c r="M32" s="2806" t="s">
        <v>5880</v>
      </c>
    </row>
    <row r="33" spans="12:13">
      <c r="L33" s="2806" t="s">
        <v>5883</v>
      </c>
    </row>
    <row r="34" spans="12:13">
      <c r="L34" s="2806" t="s">
        <v>5884</v>
      </c>
      <c r="M34" s="2807">
        <v>43116.357164351903</v>
      </c>
    </row>
    <row r="35" spans="12:13">
      <c r="L35" s="2806" t="s">
        <v>5885</v>
      </c>
      <c r="M35" s="2807">
        <v>43116.356446759302</v>
      </c>
    </row>
    <row r="36" spans="12:13">
      <c r="L36" s="2806" t="s">
        <v>5886</v>
      </c>
      <c r="M36" s="2807">
        <v>43296.368472222202</v>
      </c>
    </row>
    <row r="37" spans="12:13">
      <c r="L37" s="2806" t="s">
        <v>5887</v>
      </c>
    </row>
    <row r="38" spans="12:13">
      <c r="L38" s="2806" t="s">
        <v>5888</v>
      </c>
      <c r="M38" s="2807">
        <v>43646.682407407403</v>
      </c>
    </row>
    <row r="39" spans="12:13">
      <c r="L39" s="2806" t="s">
        <v>5889</v>
      </c>
      <c r="M39" s="2806" t="s">
        <v>4984</v>
      </c>
    </row>
    <row r="40" spans="12:13">
      <c r="L40" s="2806" t="s">
        <v>5890</v>
      </c>
    </row>
    <row r="41" spans="12:13">
      <c r="L41" s="2806" t="s">
        <v>5891</v>
      </c>
    </row>
    <row r="42" spans="12:13">
      <c r="L42" s="2806" t="s">
        <v>5892</v>
      </c>
    </row>
    <row r="43" spans="12:13">
      <c r="L43" s="2806" t="s">
        <v>5893</v>
      </c>
    </row>
    <row r="44" spans="12:13">
      <c r="L44" s="2806" t="s">
        <v>5894</v>
      </c>
    </row>
    <row r="45" spans="12:13">
      <c r="L45" s="2806" t="s">
        <v>5895</v>
      </c>
    </row>
    <row r="46" spans="12:13">
      <c r="L46" s="2806" t="s">
        <v>5896</v>
      </c>
    </row>
    <row r="47" spans="12:13">
      <c r="L47" s="2806" t="s">
        <v>5897</v>
      </c>
    </row>
    <row r="48" spans="12:13">
      <c r="L48" s="2806" t="s">
        <v>5898</v>
      </c>
    </row>
    <row r="49" spans="12:13">
      <c r="L49" s="2806" t="s">
        <v>5899</v>
      </c>
    </row>
    <row r="50" spans="12:13">
      <c r="L50" s="2806" t="s">
        <v>5900</v>
      </c>
      <c r="M50" s="2806" t="s">
        <v>6647</v>
      </c>
    </row>
  </sheetData>
  <sheetProtection algorithmName="SHA-512" hashValue="hnw6mwDREHB6UpVhGhlfrhyJMnCLBPsvCsgbQBWRqUlRvH7g0PZFKFPFOxIGnDg0hZHzEfC96nsRWXH8smm7Zg==" saltValue="iRGRWQvEjfy4MsD7ep0awg==" spinCount="100000" sheet="1" scenarios="1" formatCells="0" autoFilter="0"/>
  <phoneticPr fontId="163" type="noConversion"/>
  <pageMargins left="0.75" right="0.75" top="1" bottom="1" header="0.5" footer="0.5"/>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
  <sheetViews>
    <sheetView workbookViewId="0"/>
  </sheetViews>
  <sheetFormatPr defaultColWidth="9" defaultRowHeight="12"/>
  <sheetData/>
  <sheetProtection password="94A0" sheet="1" scenarios="1" formatCells="0" autoFilter="0"/>
  <phoneticPr fontId="163" type="noConversion"/>
  <pageMargins left="0.75" right="0.75" top="1" bottom="1" header="0.5" footer="0.5"/>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autoPageBreaks="0"/>
  </sheetPr>
  <dimension ref="A2:M138"/>
  <sheetViews>
    <sheetView showZeros="0" topLeftCell="A13" workbookViewId="0">
      <selection activeCell="K122" sqref="K12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2" width="9.140625" style="1"/>
    <col min="13" max="13" width="13" style="1" bestFit="1" customWidth="1"/>
    <col min="14" max="16384" width="9.140625" style="1"/>
  </cols>
  <sheetData>
    <row r="2" spans="1:11" ht="18" customHeight="1">
      <c r="B2" s="2" t="s">
        <v>2520</v>
      </c>
      <c r="C2" s="3" t="str">
        <f>Lead!$C$5</f>
        <v>福建省力菲克药业有限公司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43864</v>
      </c>
      <c r="J3" s="14" t="s">
        <v>2524</v>
      </c>
      <c r="K3" s="2745" t="s">
        <v>6595</v>
      </c>
    </row>
    <row r="4" spans="1:11" ht="18" customHeight="1">
      <c r="B4" s="2" t="s">
        <v>2436</v>
      </c>
      <c r="C4" s="15">
        <f>Lead!$F$5</f>
        <v>43830</v>
      </c>
      <c r="D4" s="127"/>
      <c r="E4" s="128"/>
      <c r="F4" s="10" t="s">
        <v>2457</v>
      </c>
      <c r="G4" s="16" t="str">
        <f>IF(Lead!$E$10="","",Lead!$E$10)</f>
        <v/>
      </c>
      <c r="H4" s="12"/>
      <c r="I4" s="17" t="str">
        <f>IF(Lead!$F$10="","",Lead!$F$10)</f>
        <v/>
      </c>
      <c r="J4" s="14" t="s">
        <v>2525</v>
      </c>
      <c r="K4" s="54"/>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4988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4"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252723.84</v>
      </c>
      <c r="E13" s="152">
        <f>IF(D$55=0,"",D13/D$55)</f>
        <v>4.3E-3</v>
      </c>
      <c r="F13" s="70">
        <f t="shared" ref="F13:F27" si="3">VLOOKUP($B13,Sheet_Trialbal,3,0)</f>
        <v>479304.95</v>
      </c>
      <c r="G13" s="152">
        <f>IF(F$55=0,"",F13/F$55)</f>
        <v>7.6E-3</v>
      </c>
      <c r="H13" s="152">
        <f t="shared" ref="H13:H30" si="4">IF(OR(G13="",E13=""),"",G13-E13)</f>
        <v>3.3E-3</v>
      </c>
      <c r="I13" s="70">
        <f t="shared" ref="I13" si="5">IF(OR(F13="",D13=""),"",F13-D13)</f>
        <v>226581.11</v>
      </c>
      <c r="J13" s="152">
        <f t="shared" si="1"/>
        <v>0.89659999999999995</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8"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3"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3" ht="18">
      <c r="A18" s="30"/>
      <c r="B18" s="150">
        <v>1122</v>
      </c>
      <c r="C18" s="151" t="str">
        <f t="shared" si="0"/>
        <v>应收账款</v>
      </c>
      <c r="D18" s="70">
        <f t="shared" si="2"/>
        <v>15914214.57</v>
      </c>
      <c r="E18" s="152">
        <f t="shared" si="6"/>
        <v>0.2697</v>
      </c>
      <c r="F18" s="70">
        <f t="shared" si="3"/>
        <v>17534070.530000001</v>
      </c>
      <c r="G18" s="152">
        <f t="shared" si="7"/>
        <v>0.2777</v>
      </c>
      <c r="H18" s="152">
        <f t="shared" si="8"/>
        <v>8.0000000000000002E-3</v>
      </c>
      <c r="I18" s="70">
        <f t="shared" si="9"/>
        <v>1619855.96</v>
      </c>
      <c r="J18" s="152">
        <f t="shared" si="10"/>
        <v>0.1018</v>
      </c>
      <c r="K18" s="163"/>
    </row>
    <row r="19" spans="1:13" ht="18">
      <c r="A19" s="30"/>
      <c r="B19" s="150">
        <v>1124</v>
      </c>
      <c r="C19" s="151" t="str">
        <f t="shared" si="0"/>
        <v>应收款项融资</v>
      </c>
      <c r="D19" s="70">
        <f t="shared" si="2"/>
        <v>0</v>
      </c>
      <c r="E19" s="152">
        <f t="shared" si="6"/>
        <v>0</v>
      </c>
      <c r="F19" s="70">
        <f t="shared" si="3"/>
        <v>0</v>
      </c>
      <c r="G19" s="152">
        <f t="shared" si="7"/>
        <v>0</v>
      </c>
      <c r="H19" s="152">
        <f t="shared" si="8"/>
        <v>0</v>
      </c>
      <c r="I19" s="70">
        <f t="shared" si="9"/>
        <v>0</v>
      </c>
      <c r="J19" s="152" t="str">
        <f t="shared" si="10"/>
        <v/>
      </c>
      <c r="K19" s="163"/>
    </row>
    <row r="20" spans="1:13" ht="18">
      <c r="A20" s="30"/>
      <c r="B20" s="150">
        <v>1125</v>
      </c>
      <c r="C20" s="151" t="str">
        <f t="shared" si="0"/>
        <v>预付款项</v>
      </c>
      <c r="D20" s="70">
        <f t="shared" si="2"/>
        <v>916036.19</v>
      </c>
      <c r="E20" s="152">
        <f t="shared" si="6"/>
        <v>1.55E-2</v>
      </c>
      <c r="F20" s="70">
        <f t="shared" si="3"/>
        <v>815153.11</v>
      </c>
      <c r="G20" s="152">
        <f t="shared" si="7"/>
        <v>1.29E-2</v>
      </c>
      <c r="H20" s="152">
        <f t="shared" si="8"/>
        <v>-2.5999999999999999E-3</v>
      </c>
      <c r="I20" s="70">
        <f t="shared" si="9"/>
        <v>-100883.08</v>
      </c>
      <c r="J20" s="152">
        <f t="shared" si="10"/>
        <v>-0.1101</v>
      </c>
      <c r="K20" s="163"/>
    </row>
    <row r="21" spans="1:13" ht="18">
      <c r="A21" s="30"/>
      <c r="B21" s="150">
        <v>1220</v>
      </c>
      <c r="C21" s="151" t="str">
        <f>IF($B21="","",VLOOKUP($B21,Sheet_Items,2,0))</f>
        <v>其他应收款（报表项目）</v>
      </c>
      <c r="D21" s="70">
        <f t="shared" si="2"/>
        <v>328019.46999999997</v>
      </c>
      <c r="E21" s="152">
        <f t="shared" si="6"/>
        <v>5.5999999999999999E-3</v>
      </c>
      <c r="F21" s="70">
        <f t="shared" si="3"/>
        <v>2179355.77</v>
      </c>
      <c r="G21" s="152">
        <f t="shared" si="7"/>
        <v>3.4500000000000003E-2</v>
      </c>
      <c r="H21" s="152">
        <f t="shared" si="8"/>
        <v>2.8899999999999999E-2</v>
      </c>
      <c r="I21" s="70">
        <f t="shared" si="9"/>
        <v>1851336.3</v>
      </c>
      <c r="J21" s="152">
        <f t="shared" si="10"/>
        <v>5.6440000000000001</v>
      </c>
      <c r="K21" s="163"/>
    </row>
    <row r="22" spans="1:13"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3"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3" ht="24">
      <c r="A24" s="30"/>
      <c r="B24" s="150">
        <v>1400</v>
      </c>
      <c r="C24" s="151" t="str">
        <f t="shared" si="0"/>
        <v>存货</v>
      </c>
      <c r="D24" s="70">
        <f t="shared" si="2"/>
        <v>12739599.279999999</v>
      </c>
      <c r="E24" s="152">
        <f t="shared" si="6"/>
        <v>0.21590000000000001</v>
      </c>
      <c r="F24" s="70">
        <f t="shared" si="3"/>
        <v>14225246.289999999</v>
      </c>
      <c r="G24" s="152">
        <f t="shared" si="7"/>
        <v>0.2253</v>
      </c>
      <c r="H24" s="152">
        <f t="shared" si="8"/>
        <v>9.4000000000000004E-3</v>
      </c>
      <c r="I24" s="70">
        <f t="shared" si="9"/>
        <v>1485647.01</v>
      </c>
      <c r="J24" s="152">
        <f t="shared" si="10"/>
        <v>0.1166</v>
      </c>
      <c r="K24" s="3104" t="s">
        <v>6819</v>
      </c>
    </row>
    <row r="25" spans="1:13"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3"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3" ht="36">
      <c r="A27" s="30"/>
      <c r="B27" s="150">
        <v>1496</v>
      </c>
      <c r="C27" s="151" t="str">
        <f t="shared" si="0"/>
        <v>其他流动资产</v>
      </c>
      <c r="D27" s="70">
        <f t="shared" si="2"/>
        <v>2233000.7799999998</v>
      </c>
      <c r="E27" s="152">
        <f t="shared" si="6"/>
        <v>3.78E-2</v>
      </c>
      <c r="F27" s="70">
        <f t="shared" si="3"/>
        <v>2835344.41</v>
      </c>
      <c r="G27" s="152">
        <f t="shared" si="7"/>
        <v>4.4900000000000002E-2</v>
      </c>
      <c r="H27" s="152">
        <f t="shared" si="8"/>
        <v>7.1000000000000004E-3</v>
      </c>
      <c r="I27" s="70">
        <f t="shared" si="9"/>
        <v>602343.63</v>
      </c>
      <c r="J27" s="152">
        <f t="shared" si="10"/>
        <v>0.2697</v>
      </c>
      <c r="K27" s="3104" t="s">
        <v>6820</v>
      </c>
    </row>
    <row r="28" spans="1:13" ht="18">
      <c r="A28" s="30"/>
      <c r="B28" s="150">
        <v>1498</v>
      </c>
      <c r="C28" s="153" t="str">
        <f t="shared" si="0"/>
        <v>流动资产合计</v>
      </c>
      <c r="D28" s="154">
        <f>SUM(D13:D27)-SUM(D22,D23)</f>
        <v>32383594.129999999</v>
      </c>
      <c r="E28" s="154">
        <f>SUM(E13:E27)-SUM(E22,E23)</f>
        <v>0.55000000000000004</v>
      </c>
      <c r="F28" s="154">
        <f t="shared" ref="F28:I28" si="11">SUM(F13:F27)-SUM(F22,F23)</f>
        <v>38068475.060000002</v>
      </c>
      <c r="G28" s="154">
        <f t="shared" si="11"/>
        <v>0.6</v>
      </c>
      <c r="H28" s="154">
        <f t="shared" si="11"/>
        <v>0.05</v>
      </c>
      <c r="I28" s="154">
        <f t="shared" si="11"/>
        <v>5684880.9299999997</v>
      </c>
      <c r="J28" s="152">
        <f t="shared" si="10"/>
        <v>0.17549999999999999</v>
      </c>
      <c r="K28" s="163"/>
      <c r="L28" s="3106"/>
      <c r="M28" s="3107"/>
    </row>
    <row r="29" spans="1:13"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3" ht="18">
      <c r="A30" s="30"/>
      <c r="B30" s="150">
        <v>1505</v>
      </c>
      <c r="C30" s="151" t="str">
        <f t="shared" si="0"/>
        <v>债权投资</v>
      </c>
      <c r="D30" s="70">
        <f t="shared" ref="D30:D53" si="13">VLOOKUP($B30,Sheet_Trialbal,10,0)</f>
        <v>0</v>
      </c>
      <c r="E30" s="152">
        <f>IF(D$55=0,"",D30/D$55)</f>
        <v>0</v>
      </c>
      <c r="F30" s="70">
        <f t="shared" ref="F30:F53" si="14">VLOOKUP($B30,Sheet_Trialbal,3,0)</f>
        <v>0</v>
      </c>
      <c r="G30" s="152">
        <f>IF(F$55=0,"",F30/F$55)</f>
        <v>0</v>
      </c>
      <c r="H30" s="152">
        <f t="shared" si="4"/>
        <v>0</v>
      </c>
      <c r="I30" s="70">
        <f t="shared" si="12"/>
        <v>0</v>
      </c>
      <c r="J30" s="152" t="str">
        <f t="shared" si="1"/>
        <v/>
      </c>
      <c r="K30" s="163"/>
    </row>
    <row r="31" spans="1:13" ht="18">
      <c r="A31" s="30"/>
      <c r="B31" s="150">
        <v>1503</v>
      </c>
      <c r="C31" s="151" t="str">
        <f t="shared" si="0"/>
        <v>可供出售金融资产</v>
      </c>
      <c r="D31" s="70">
        <f t="shared" si="13"/>
        <v>0</v>
      </c>
      <c r="E31" s="152">
        <f t="shared" ref="E31:E53" si="15">IF(D$55=0,"",D31/D$55)</f>
        <v>0</v>
      </c>
      <c r="F31" s="70">
        <f t="shared" si="14"/>
        <v>0</v>
      </c>
      <c r="G31" s="152">
        <f t="shared" ref="G31:G53" si="16">IF(F$55=0,"",F31/F$55)</f>
        <v>0</v>
      </c>
      <c r="H31" s="152">
        <f t="shared" ref="H31:H53" si="17">IF(OR(G31="",E31=""),"",G31-E31)</f>
        <v>0</v>
      </c>
      <c r="I31" s="70">
        <f t="shared" ref="I31:I53" si="18">IF(OR(F31="",D31=""),"",F31-D31)</f>
        <v>0</v>
      </c>
      <c r="J31" s="152" t="str">
        <f t="shared" ref="J31:J53" si="19">IF(OR(I31="",D31="",D31=0),"",I31/D31)</f>
        <v/>
      </c>
      <c r="K31" s="163"/>
    </row>
    <row r="32" spans="1:13" ht="18">
      <c r="A32" s="30"/>
      <c r="B32" s="150">
        <v>1508</v>
      </c>
      <c r="C32" s="151" t="str">
        <f t="shared" si="0"/>
        <v>其他债权投资</v>
      </c>
      <c r="D32" s="70">
        <f t="shared" si="13"/>
        <v>0</v>
      </c>
      <c r="E32" s="152">
        <f t="shared" si="15"/>
        <v>0</v>
      </c>
      <c r="F32" s="70">
        <f t="shared" si="14"/>
        <v>0</v>
      </c>
      <c r="G32" s="152">
        <f t="shared" si="16"/>
        <v>0</v>
      </c>
      <c r="H32" s="152">
        <f t="shared" si="17"/>
        <v>0</v>
      </c>
      <c r="I32" s="70">
        <f t="shared" si="18"/>
        <v>0</v>
      </c>
      <c r="J32" s="152" t="str">
        <f t="shared" si="19"/>
        <v/>
      </c>
      <c r="K32" s="163"/>
    </row>
    <row r="33" spans="1:11" ht="18">
      <c r="A33" s="30"/>
      <c r="B33" s="150">
        <v>1501</v>
      </c>
      <c r="C33" s="151" t="str">
        <f t="shared" si="0"/>
        <v>持有至到期投资</v>
      </c>
      <c r="D33" s="70">
        <f t="shared" si="13"/>
        <v>0</v>
      </c>
      <c r="E33" s="152">
        <f t="shared" si="15"/>
        <v>0</v>
      </c>
      <c r="F33" s="70">
        <f t="shared" si="14"/>
        <v>0</v>
      </c>
      <c r="G33" s="152">
        <f t="shared" si="16"/>
        <v>0</v>
      </c>
      <c r="H33" s="152">
        <f t="shared" si="17"/>
        <v>0</v>
      </c>
      <c r="I33" s="70">
        <f t="shared" si="18"/>
        <v>0</v>
      </c>
      <c r="J33" s="152" t="str">
        <f t="shared" si="19"/>
        <v/>
      </c>
      <c r="K33" s="163"/>
    </row>
    <row r="34" spans="1:11" ht="18">
      <c r="A34" s="30"/>
      <c r="B34" s="150">
        <v>1531</v>
      </c>
      <c r="C34" s="151" t="str">
        <f t="shared" si="0"/>
        <v>长期应收款</v>
      </c>
      <c r="D34" s="70">
        <f t="shared" si="13"/>
        <v>0</v>
      </c>
      <c r="E34" s="152">
        <f t="shared" si="15"/>
        <v>0</v>
      </c>
      <c r="F34" s="70">
        <f t="shared" si="14"/>
        <v>0</v>
      </c>
      <c r="G34" s="152">
        <f t="shared" si="16"/>
        <v>0</v>
      </c>
      <c r="H34" s="152">
        <f t="shared" si="17"/>
        <v>0</v>
      </c>
      <c r="I34" s="70">
        <f t="shared" si="18"/>
        <v>0</v>
      </c>
      <c r="J34" s="152" t="str">
        <f t="shared" si="19"/>
        <v/>
      </c>
      <c r="K34" s="163"/>
    </row>
    <row r="35" spans="1:11" ht="18">
      <c r="A35" s="30"/>
      <c r="B35" s="150">
        <v>1515</v>
      </c>
      <c r="C35" s="151" t="str">
        <f t="shared" si="0"/>
        <v>设定受益计划净资产</v>
      </c>
      <c r="D35" s="70">
        <f t="shared" si="13"/>
        <v>0</v>
      </c>
      <c r="E35" s="152">
        <f t="shared" si="15"/>
        <v>0</v>
      </c>
      <c r="F35" s="70">
        <f t="shared" si="14"/>
        <v>0</v>
      </c>
      <c r="G35" s="152">
        <f t="shared" si="16"/>
        <v>0</v>
      </c>
      <c r="H35" s="152">
        <f t="shared" si="17"/>
        <v>0</v>
      </c>
      <c r="I35" s="70">
        <f t="shared" si="18"/>
        <v>0</v>
      </c>
      <c r="J35" s="152" t="str">
        <f t="shared" si="19"/>
        <v/>
      </c>
      <c r="K35" s="163"/>
    </row>
    <row r="36" spans="1:11" ht="18">
      <c r="A36" s="30"/>
      <c r="B36" s="150">
        <v>1511</v>
      </c>
      <c r="C36" s="151" t="str">
        <f t="shared" si="0"/>
        <v>长期股权投资</v>
      </c>
      <c r="D36" s="70">
        <f t="shared" si="13"/>
        <v>0</v>
      </c>
      <c r="E36" s="152">
        <f t="shared" si="15"/>
        <v>0</v>
      </c>
      <c r="F36" s="70">
        <f t="shared" si="14"/>
        <v>0</v>
      </c>
      <c r="G36" s="152">
        <f t="shared" si="16"/>
        <v>0</v>
      </c>
      <c r="H36" s="152">
        <f t="shared" si="17"/>
        <v>0</v>
      </c>
      <c r="I36" s="70">
        <f t="shared" si="18"/>
        <v>0</v>
      </c>
      <c r="J36" s="152" t="str">
        <f t="shared" si="19"/>
        <v/>
      </c>
      <c r="K36" s="163"/>
    </row>
    <row r="37" spans="1:11" ht="18">
      <c r="A37" s="30"/>
      <c r="B37" s="150">
        <v>1538</v>
      </c>
      <c r="C37" s="151" t="str">
        <f t="shared" si="0"/>
        <v>其他权益工具投资</v>
      </c>
      <c r="D37" s="70">
        <f t="shared" si="13"/>
        <v>0</v>
      </c>
      <c r="E37" s="152">
        <f t="shared" si="15"/>
        <v>0</v>
      </c>
      <c r="F37" s="70">
        <f t="shared" si="14"/>
        <v>0</v>
      </c>
      <c r="G37" s="152">
        <f t="shared" si="16"/>
        <v>0</v>
      </c>
      <c r="H37" s="152">
        <f t="shared" si="17"/>
        <v>0</v>
      </c>
      <c r="I37" s="70">
        <f t="shared" si="18"/>
        <v>0</v>
      </c>
      <c r="J37" s="152" t="str">
        <f t="shared" si="19"/>
        <v/>
      </c>
      <c r="K37" s="163"/>
    </row>
    <row r="38" spans="1:11" ht="18">
      <c r="A38" s="30"/>
      <c r="B38" s="150">
        <v>1539</v>
      </c>
      <c r="C38" s="151" t="str">
        <f t="shared" si="0"/>
        <v>其他非流动金融资产</v>
      </c>
      <c r="D38" s="70">
        <f t="shared" si="13"/>
        <v>0</v>
      </c>
      <c r="E38" s="152">
        <f t="shared" si="15"/>
        <v>0</v>
      </c>
      <c r="F38" s="70">
        <f t="shared" si="14"/>
        <v>0</v>
      </c>
      <c r="G38" s="152">
        <f t="shared" si="16"/>
        <v>0</v>
      </c>
      <c r="H38" s="152">
        <f t="shared" si="17"/>
        <v>0</v>
      </c>
      <c r="I38" s="70">
        <f t="shared" si="18"/>
        <v>0</v>
      </c>
      <c r="J38" s="152" t="str">
        <f t="shared" si="19"/>
        <v/>
      </c>
      <c r="K38" s="163"/>
    </row>
    <row r="39" spans="1:11" ht="18">
      <c r="A39" s="30"/>
      <c r="B39" s="150">
        <v>1521</v>
      </c>
      <c r="C39" s="151" t="str">
        <f t="shared" si="0"/>
        <v>投资性房地产</v>
      </c>
      <c r="D39" s="70">
        <f t="shared" si="13"/>
        <v>0</v>
      </c>
      <c r="E39" s="152">
        <f t="shared" si="15"/>
        <v>0</v>
      </c>
      <c r="F39" s="70">
        <f t="shared" si="14"/>
        <v>0</v>
      </c>
      <c r="G39" s="152">
        <f t="shared" si="16"/>
        <v>0</v>
      </c>
      <c r="H39" s="152">
        <f t="shared" si="17"/>
        <v>0</v>
      </c>
      <c r="I39" s="70">
        <f t="shared" si="18"/>
        <v>0</v>
      </c>
      <c r="J39" s="152" t="str">
        <f t="shared" si="19"/>
        <v/>
      </c>
      <c r="K39" s="163"/>
    </row>
    <row r="40" spans="1:11" ht="18">
      <c r="A40" s="30"/>
      <c r="B40" s="150">
        <v>1611</v>
      </c>
      <c r="C40" s="151" t="str">
        <f>IF($B40="","",VLOOKUP($B40,Sheet_Items,2,0))</f>
        <v>固定资产（报表项目）</v>
      </c>
      <c r="D40" s="70">
        <f t="shared" si="13"/>
        <v>20288571.73</v>
      </c>
      <c r="E40" s="152">
        <f t="shared" si="15"/>
        <v>0.34379999999999999</v>
      </c>
      <c r="F40" s="70">
        <f t="shared" si="14"/>
        <v>19451657.940000001</v>
      </c>
      <c r="G40" s="152">
        <f t="shared" si="16"/>
        <v>0.30809999999999998</v>
      </c>
      <c r="H40" s="152">
        <f t="shared" si="17"/>
        <v>-3.5700000000000003E-2</v>
      </c>
      <c r="I40" s="70">
        <f t="shared" si="18"/>
        <v>-836913.79</v>
      </c>
      <c r="J40" s="152">
        <f t="shared" si="19"/>
        <v>-4.1300000000000003E-2</v>
      </c>
      <c r="K40" s="163"/>
    </row>
    <row r="41" spans="1:11" ht="18">
      <c r="A41" s="30"/>
      <c r="B41" s="150">
        <v>1601</v>
      </c>
      <c r="C41" s="151" t="str">
        <f t="shared" si="0"/>
        <v>其中：固定资产</v>
      </c>
      <c r="D41" s="70">
        <f t="shared" si="13"/>
        <v>20288571.73</v>
      </c>
      <c r="E41" s="152">
        <f t="shared" si="15"/>
        <v>0.34379999999999999</v>
      </c>
      <c r="F41" s="70">
        <f t="shared" si="14"/>
        <v>19451657.940000001</v>
      </c>
      <c r="G41" s="152">
        <f t="shared" si="16"/>
        <v>0.30809999999999998</v>
      </c>
      <c r="H41" s="152">
        <f t="shared" si="17"/>
        <v>-3.5700000000000003E-2</v>
      </c>
      <c r="I41" s="70">
        <f t="shared" si="18"/>
        <v>-836913.79</v>
      </c>
      <c r="J41" s="152">
        <f t="shared" si="19"/>
        <v>-4.1300000000000003E-2</v>
      </c>
      <c r="K41" s="163"/>
    </row>
    <row r="42" spans="1:11" ht="18">
      <c r="A42" s="30"/>
      <c r="B42" s="150">
        <v>1606</v>
      </c>
      <c r="C42" s="151" t="str">
        <f>IF($B42="","",VLOOKUP($B42,Sheet_Items,6,0))</f>
        <v>固定资产清理</v>
      </c>
      <c r="D42" s="70">
        <f t="shared" si="13"/>
        <v>0</v>
      </c>
      <c r="E42" s="152">
        <f t="shared" si="15"/>
        <v>0</v>
      </c>
      <c r="F42" s="70">
        <f t="shared" si="14"/>
        <v>0</v>
      </c>
      <c r="G42" s="152">
        <f t="shared" si="16"/>
        <v>0</v>
      </c>
      <c r="H42" s="152">
        <f t="shared" si="17"/>
        <v>0</v>
      </c>
      <c r="I42" s="70">
        <f t="shared" si="18"/>
        <v>0</v>
      </c>
      <c r="J42" s="152" t="str">
        <f t="shared" si="19"/>
        <v/>
      </c>
      <c r="K42" s="163"/>
    </row>
    <row r="43" spans="1:11" ht="18">
      <c r="A43" s="30"/>
      <c r="B43" s="150">
        <v>1616</v>
      </c>
      <c r="C43" s="151" t="str">
        <f>IF($B43="","",VLOOKUP($B43,Sheet_Items,2,0))</f>
        <v>在建工程（报表项目）</v>
      </c>
      <c r="D43" s="70">
        <f t="shared" si="13"/>
        <v>41650</v>
      </c>
      <c r="E43" s="152">
        <f t="shared" si="15"/>
        <v>6.9999999999999999E-4</v>
      </c>
      <c r="F43" s="70">
        <f t="shared" si="14"/>
        <v>0</v>
      </c>
      <c r="G43" s="152">
        <f t="shared" si="16"/>
        <v>0</v>
      </c>
      <c r="H43" s="152">
        <f t="shared" si="17"/>
        <v>-6.9999999999999999E-4</v>
      </c>
      <c r="I43" s="70">
        <f t="shared" si="18"/>
        <v>-41650</v>
      </c>
      <c r="J43" s="152">
        <f t="shared" si="19"/>
        <v>-1</v>
      </c>
      <c r="K43" s="163"/>
    </row>
    <row r="44" spans="1:11" ht="18">
      <c r="A44" s="30"/>
      <c r="B44" s="150">
        <v>1604</v>
      </c>
      <c r="C44" s="151" t="str">
        <f t="shared" si="0"/>
        <v>其中：在建工程</v>
      </c>
      <c r="D44" s="70">
        <f t="shared" si="13"/>
        <v>41650</v>
      </c>
      <c r="E44" s="152">
        <f t="shared" si="15"/>
        <v>6.9999999999999999E-4</v>
      </c>
      <c r="F44" s="70">
        <f t="shared" si="14"/>
        <v>0</v>
      </c>
      <c r="G44" s="152">
        <f t="shared" si="16"/>
        <v>0</v>
      </c>
      <c r="H44" s="152">
        <f t="shared" si="17"/>
        <v>-6.9999999999999999E-4</v>
      </c>
      <c r="I44" s="70">
        <f t="shared" si="18"/>
        <v>-41650</v>
      </c>
      <c r="J44" s="152">
        <f t="shared" si="19"/>
        <v>-1</v>
      </c>
      <c r="K44" s="163"/>
    </row>
    <row r="45" spans="1:11" ht="18">
      <c r="A45" s="30"/>
      <c r="B45" s="150">
        <v>1605</v>
      </c>
      <c r="C45" s="151" t="str">
        <f t="shared" si="0"/>
        <v>工程物资</v>
      </c>
      <c r="D45" s="70">
        <f t="shared" si="13"/>
        <v>0</v>
      </c>
      <c r="E45" s="152">
        <f t="shared" si="15"/>
        <v>0</v>
      </c>
      <c r="F45" s="70">
        <f t="shared" si="14"/>
        <v>0</v>
      </c>
      <c r="G45" s="152">
        <f t="shared" si="16"/>
        <v>0</v>
      </c>
      <c r="H45" s="152">
        <f t="shared" si="17"/>
        <v>0</v>
      </c>
      <c r="I45" s="70">
        <f t="shared" si="18"/>
        <v>0</v>
      </c>
      <c r="J45" s="152" t="str">
        <f t="shared" si="19"/>
        <v/>
      </c>
      <c r="K45" s="163"/>
    </row>
    <row r="46" spans="1:11" ht="18">
      <c r="A46" s="30"/>
      <c r="B46" s="150">
        <v>1621</v>
      </c>
      <c r="C46" s="151" t="str">
        <f t="shared" si="0"/>
        <v>生产性生物资产</v>
      </c>
      <c r="D46" s="70">
        <f t="shared" si="13"/>
        <v>0</v>
      </c>
      <c r="E46" s="152">
        <f t="shared" si="15"/>
        <v>0</v>
      </c>
      <c r="F46" s="70">
        <f t="shared" si="14"/>
        <v>0</v>
      </c>
      <c r="G46" s="152">
        <f t="shared" si="16"/>
        <v>0</v>
      </c>
      <c r="H46" s="152">
        <f t="shared" si="17"/>
        <v>0</v>
      </c>
      <c r="I46" s="70">
        <f t="shared" si="18"/>
        <v>0</v>
      </c>
      <c r="J46" s="152" t="str">
        <f t="shared" si="19"/>
        <v/>
      </c>
      <c r="K46" s="163"/>
    </row>
    <row r="47" spans="1:11" ht="18">
      <c r="A47" s="30"/>
      <c r="B47" s="150">
        <v>1631</v>
      </c>
      <c r="C47" s="151" t="str">
        <f t="shared" si="0"/>
        <v>油气资产</v>
      </c>
      <c r="D47" s="70">
        <f t="shared" si="13"/>
        <v>0</v>
      </c>
      <c r="E47" s="152">
        <f t="shared" si="15"/>
        <v>0</v>
      </c>
      <c r="F47" s="70">
        <f t="shared" si="14"/>
        <v>0</v>
      </c>
      <c r="G47" s="152">
        <f t="shared" si="16"/>
        <v>0</v>
      </c>
      <c r="H47" s="152">
        <f t="shared" si="17"/>
        <v>0</v>
      </c>
      <c r="I47" s="70">
        <f t="shared" si="18"/>
        <v>0</v>
      </c>
      <c r="J47" s="152" t="str">
        <f t="shared" si="19"/>
        <v/>
      </c>
      <c r="K47" s="163"/>
    </row>
    <row r="48" spans="1:11" ht="18">
      <c r="A48" s="30"/>
      <c r="B48" s="150">
        <v>1701</v>
      </c>
      <c r="C48" s="151" t="str">
        <f t="shared" si="0"/>
        <v>无形资产</v>
      </c>
      <c r="D48" s="70">
        <f t="shared" si="13"/>
        <v>1820271.51</v>
      </c>
      <c r="E48" s="152">
        <f t="shared" si="15"/>
        <v>3.0800000000000001E-2</v>
      </c>
      <c r="F48" s="70">
        <f t="shared" si="14"/>
        <v>1951607.86</v>
      </c>
      <c r="G48" s="152">
        <f t="shared" si="16"/>
        <v>3.09E-2</v>
      </c>
      <c r="H48" s="152">
        <f t="shared" si="17"/>
        <v>1E-4</v>
      </c>
      <c r="I48" s="70">
        <f t="shared" si="18"/>
        <v>131336.35</v>
      </c>
      <c r="J48" s="152">
        <f t="shared" si="19"/>
        <v>7.22E-2</v>
      </c>
      <c r="K48" s="163"/>
    </row>
    <row r="49" spans="1:11" ht="48">
      <c r="A49" s="30"/>
      <c r="B49" s="150">
        <v>1700</v>
      </c>
      <c r="C49" s="151" t="str">
        <f t="shared" si="0"/>
        <v>开发支出</v>
      </c>
      <c r="D49" s="70">
        <f t="shared" si="13"/>
        <v>2369218.02</v>
      </c>
      <c r="E49" s="152">
        <f t="shared" si="15"/>
        <v>4.02E-2</v>
      </c>
      <c r="F49" s="70">
        <f t="shared" si="14"/>
        <v>1467375.43</v>
      </c>
      <c r="G49" s="152">
        <f t="shared" si="16"/>
        <v>2.3199999999999998E-2</v>
      </c>
      <c r="H49" s="152">
        <f t="shared" si="17"/>
        <v>-1.7000000000000001E-2</v>
      </c>
      <c r="I49" s="70">
        <f t="shared" si="18"/>
        <v>-901842.59</v>
      </c>
      <c r="J49" s="152">
        <f t="shared" si="19"/>
        <v>-0.38059999999999999</v>
      </c>
      <c r="K49" s="3104" t="s">
        <v>6821</v>
      </c>
    </row>
    <row r="50" spans="1:11" ht="18">
      <c r="A50" s="30"/>
      <c r="B50" s="150">
        <v>1711</v>
      </c>
      <c r="C50" s="151" t="str">
        <f t="shared" si="0"/>
        <v>商誉</v>
      </c>
      <c r="D50" s="70">
        <f t="shared" si="13"/>
        <v>0</v>
      </c>
      <c r="E50" s="152">
        <f t="shared" si="15"/>
        <v>0</v>
      </c>
      <c r="F50" s="70">
        <f t="shared" si="14"/>
        <v>0</v>
      </c>
      <c r="G50" s="152">
        <f t="shared" si="16"/>
        <v>0</v>
      </c>
      <c r="H50" s="152">
        <f t="shared" si="17"/>
        <v>0</v>
      </c>
      <c r="I50" s="70">
        <f t="shared" si="18"/>
        <v>0</v>
      </c>
      <c r="J50" s="152" t="str">
        <f t="shared" si="19"/>
        <v/>
      </c>
      <c r="K50" s="163"/>
    </row>
    <row r="51" spans="1:11" ht="18">
      <c r="A51" s="30"/>
      <c r="B51" s="150">
        <v>1801</v>
      </c>
      <c r="C51" s="151" t="str">
        <f t="shared" si="0"/>
        <v>长期待摊费用</v>
      </c>
      <c r="D51" s="70">
        <f t="shared" si="13"/>
        <v>395514.45</v>
      </c>
      <c r="E51" s="152">
        <f t="shared" si="15"/>
        <v>6.7000000000000002E-3</v>
      </c>
      <c r="F51" s="70">
        <f t="shared" si="14"/>
        <v>233942.48</v>
      </c>
      <c r="G51" s="152">
        <f t="shared" si="16"/>
        <v>3.7000000000000002E-3</v>
      </c>
      <c r="H51" s="152">
        <f t="shared" si="17"/>
        <v>-3.0000000000000001E-3</v>
      </c>
      <c r="I51" s="70">
        <f t="shared" si="18"/>
        <v>-161571.97</v>
      </c>
      <c r="J51" s="152">
        <f t="shared" si="19"/>
        <v>-0.40849999999999997</v>
      </c>
      <c r="K51" s="163"/>
    </row>
    <row r="52" spans="1:11" ht="24">
      <c r="A52" s="30"/>
      <c r="B52" s="150">
        <v>1811</v>
      </c>
      <c r="C52" s="151" t="str">
        <f t="shared" si="0"/>
        <v>递延所得税资产</v>
      </c>
      <c r="D52" s="70">
        <f t="shared" si="13"/>
        <v>1185152.1499999999</v>
      </c>
      <c r="E52" s="152">
        <f t="shared" si="15"/>
        <v>2.01E-2</v>
      </c>
      <c r="F52" s="70">
        <f t="shared" si="14"/>
        <v>1870191.14</v>
      </c>
      <c r="G52" s="152">
        <f t="shared" si="16"/>
        <v>2.9600000000000001E-2</v>
      </c>
      <c r="H52" s="152">
        <f t="shared" si="17"/>
        <v>9.4999999999999998E-3</v>
      </c>
      <c r="I52" s="70">
        <f t="shared" si="18"/>
        <v>685038.99</v>
      </c>
      <c r="J52" s="152">
        <f t="shared" si="19"/>
        <v>0.57799999999999996</v>
      </c>
      <c r="K52" s="3104" t="s">
        <v>6822</v>
      </c>
    </row>
    <row r="53" spans="1:11" ht="18">
      <c r="A53" s="30"/>
      <c r="B53" s="150">
        <v>1996</v>
      </c>
      <c r="C53" s="151" t="str">
        <f t="shared" si="0"/>
        <v>其他非流动资产</v>
      </c>
      <c r="D53" s="70">
        <f t="shared" si="13"/>
        <v>523136</v>
      </c>
      <c r="E53" s="152">
        <f t="shared" si="15"/>
        <v>8.8999999999999999E-3</v>
      </c>
      <c r="F53" s="70">
        <f t="shared" si="14"/>
        <v>94970</v>
      </c>
      <c r="G53" s="152">
        <f t="shared" si="16"/>
        <v>1.5E-3</v>
      </c>
      <c r="H53" s="152">
        <f t="shared" si="17"/>
        <v>-7.4000000000000003E-3</v>
      </c>
      <c r="I53" s="70">
        <f t="shared" si="18"/>
        <v>-428166</v>
      </c>
      <c r="J53" s="152">
        <f t="shared" si="19"/>
        <v>-0.81850000000000001</v>
      </c>
      <c r="K53" s="3104"/>
    </row>
    <row r="54" spans="1:11" ht="18">
      <c r="A54" s="30"/>
      <c r="B54" s="150">
        <v>1998</v>
      </c>
      <c r="C54" s="153" t="str">
        <f t="shared" ref="C54:C93" si="20">IF($B54="","",VLOOKUP($B54,Sheet_Items,6,0))</f>
        <v>非流动资产合计</v>
      </c>
      <c r="D54" s="154">
        <f>SUM(D30:D53)-SUM(D41,D42,D44,D45)</f>
        <v>26623513.859999999</v>
      </c>
      <c r="E54" s="156">
        <f t="shared" ref="E54:I54" si="21">SUM(E30:E53)-SUM(E41,E42,E44,E45)</f>
        <v>0.45119999999999999</v>
      </c>
      <c r="F54" s="154">
        <f t="shared" si="21"/>
        <v>25069744.850000001</v>
      </c>
      <c r="G54" s="156">
        <f t="shared" si="21"/>
        <v>0.39700000000000002</v>
      </c>
      <c r="H54" s="156">
        <f t="shared" si="21"/>
        <v>-5.4199999999999998E-2</v>
      </c>
      <c r="I54" s="154">
        <f t="shared" si="21"/>
        <v>-1553769.01</v>
      </c>
      <c r="J54" s="152">
        <f t="shared" si="1"/>
        <v>-5.8400000000000001E-2</v>
      </c>
      <c r="K54" s="163"/>
    </row>
    <row r="55" spans="1:11" ht="18">
      <c r="A55" s="30"/>
      <c r="B55" s="150">
        <v>1999</v>
      </c>
      <c r="C55" s="153" t="str">
        <f t="shared" si="20"/>
        <v>资产总计</v>
      </c>
      <c r="D55" s="154">
        <f t="shared" ref="D55:I55" si="22">SUM(D28,D54)</f>
        <v>59007107.990000002</v>
      </c>
      <c r="E55" s="156">
        <f t="shared" si="22"/>
        <v>1.0012000000000001</v>
      </c>
      <c r="F55" s="154">
        <f t="shared" si="22"/>
        <v>63138219.909999996</v>
      </c>
      <c r="G55" s="156">
        <f t="shared" si="22"/>
        <v>0.997</v>
      </c>
      <c r="H55" s="156">
        <f t="shared" si="22"/>
        <v>-4.1999999999999997E-3</v>
      </c>
      <c r="I55" s="154">
        <f t="shared" si="22"/>
        <v>4131111.92</v>
      </c>
      <c r="J55" s="155">
        <f t="shared" ref="J55:J93" si="23">IF(OR(I55="",D55="",D55=0),"",I55/D55)</f>
        <v>7.0000000000000007E-2</v>
      </c>
      <c r="K55" s="163"/>
    </row>
    <row r="56" spans="1:11" ht="18">
      <c r="A56" s="30"/>
      <c r="B56" s="150">
        <v>2000</v>
      </c>
      <c r="C56" s="151" t="str">
        <f t="shared" si="20"/>
        <v>流动负债：</v>
      </c>
      <c r="D56" s="70"/>
      <c r="E56" s="152"/>
      <c r="F56" s="70"/>
      <c r="G56" s="152"/>
      <c r="H56" s="152" t="str">
        <f t="shared" ref="H56:H57" si="24">IF(OR(G56="",E56=""),"",G56-E56)</f>
        <v/>
      </c>
      <c r="I56" s="70" t="str">
        <f t="shared" ref="I56:I57" si="25">IF(OR(F56="",D56=""),"",F56-D56)</f>
        <v/>
      </c>
      <c r="J56" s="152" t="str">
        <f t="shared" si="23"/>
        <v/>
      </c>
      <c r="K56" s="163"/>
    </row>
    <row r="57" spans="1:11" ht="24">
      <c r="A57" s="30"/>
      <c r="B57" s="150">
        <v>2001</v>
      </c>
      <c r="C57" s="151" t="str">
        <f t="shared" si="20"/>
        <v>短期借款</v>
      </c>
      <c r="D57" s="70">
        <f t="shared" ref="D57:D71" si="26">VLOOKUP($B57,Sheet_Trialbal,10,0)</f>
        <v>0</v>
      </c>
      <c r="E57" s="152">
        <f>IF(D$85=0,"",D57/D$85)</f>
        <v>0</v>
      </c>
      <c r="F57" s="70">
        <f t="shared" ref="F57:F71" si="27">VLOOKUP($B57,Sheet_Trialbal,3,0)</f>
        <v>2000000</v>
      </c>
      <c r="G57" s="152">
        <f>IF(F$85=0,"",F57/F$85)</f>
        <v>0.1094</v>
      </c>
      <c r="H57" s="152">
        <f t="shared" si="24"/>
        <v>0.1094</v>
      </c>
      <c r="I57" s="70">
        <f t="shared" si="25"/>
        <v>2000000</v>
      </c>
      <c r="J57" s="152" t="str">
        <f t="shared" si="23"/>
        <v/>
      </c>
      <c r="K57" s="3104" t="s">
        <v>6823</v>
      </c>
    </row>
    <row r="58" spans="1:11" ht="18">
      <c r="A58" s="30"/>
      <c r="B58" s="150">
        <v>2102</v>
      </c>
      <c r="C58" s="151" t="str">
        <f t="shared" si="20"/>
        <v>交易性金融负债</v>
      </c>
      <c r="D58" s="70">
        <f t="shared" si="26"/>
        <v>0</v>
      </c>
      <c r="E58" s="152">
        <f t="shared" ref="E58:E71" si="28">IF(D$85=0,"",D58/D$85)</f>
        <v>0</v>
      </c>
      <c r="F58" s="70">
        <f t="shared" si="27"/>
        <v>0</v>
      </c>
      <c r="G58" s="152">
        <f t="shared" ref="G58:G71" si="29">IF(F$85=0,"",F58/F$85)</f>
        <v>0</v>
      </c>
      <c r="H58" s="152">
        <f t="shared" ref="H58:H71" si="30">IF(OR(G58="",E58=""),"",G58-E58)</f>
        <v>0</v>
      </c>
      <c r="I58" s="70">
        <f t="shared" ref="I58:I71" si="31">IF(OR(F58="",D58=""),"",F58-D58)</f>
        <v>0</v>
      </c>
      <c r="J58" s="152" t="str">
        <f t="shared" ref="J58:J71" si="32">IF(OR(I58="",D58="",D58=0),"",I58/D58)</f>
        <v/>
      </c>
      <c r="K58" s="163"/>
    </row>
    <row r="59" spans="1:11" ht="24">
      <c r="A59" s="30"/>
      <c r="B59" s="150">
        <v>2101</v>
      </c>
      <c r="C59" s="151" t="str">
        <f t="shared" si="20"/>
        <v>以公允价值计量且其变动计入当期损益的金融负债</v>
      </c>
      <c r="D59" s="70">
        <f t="shared" si="26"/>
        <v>0</v>
      </c>
      <c r="E59" s="152">
        <f t="shared" si="28"/>
        <v>0</v>
      </c>
      <c r="F59" s="70">
        <f t="shared" si="27"/>
        <v>0</v>
      </c>
      <c r="G59" s="152">
        <f t="shared" si="29"/>
        <v>0</v>
      </c>
      <c r="H59" s="152">
        <f t="shared" si="30"/>
        <v>0</v>
      </c>
      <c r="I59" s="70">
        <f t="shared" si="31"/>
        <v>0</v>
      </c>
      <c r="J59" s="152" t="str">
        <f t="shared" si="32"/>
        <v/>
      </c>
      <c r="K59" s="163"/>
    </row>
    <row r="60" spans="1:11" ht="18">
      <c r="A60" s="30"/>
      <c r="B60" s="150">
        <v>2115</v>
      </c>
      <c r="C60" s="151" t="str">
        <f t="shared" si="20"/>
        <v>衍生金融负债</v>
      </c>
      <c r="D60" s="70">
        <f t="shared" si="26"/>
        <v>0</v>
      </c>
      <c r="E60" s="152">
        <f t="shared" si="28"/>
        <v>0</v>
      </c>
      <c r="F60" s="70">
        <f t="shared" si="27"/>
        <v>0</v>
      </c>
      <c r="G60" s="152">
        <f t="shared" si="29"/>
        <v>0</v>
      </c>
      <c r="H60" s="152">
        <f t="shared" si="30"/>
        <v>0</v>
      </c>
      <c r="I60" s="70">
        <f t="shared" si="31"/>
        <v>0</v>
      </c>
      <c r="J60" s="152" t="str">
        <f t="shared" si="32"/>
        <v/>
      </c>
      <c r="K60" s="163"/>
    </row>
    <row r="61" spans="1:11" ht="18">
      <c r="A61" s="30"/>
      <c r="B61" s="150">
        <v>2201</v>
      </c>
      <c r="C61" s="151" t="str">
        <f t="shared" si="20"/>
        <v>应付票据</v>
      </c>
      <c r="D61" s="70">
        <f t="shared" si="26"/>
        <v>0</v>
      </c>
      <c r="E61" s="152">
        <f t="shared" si="28"/>
        <v>0</v>
      </c>
      <c r="F61" s="70">
        <f t="shared" si="27"/>
        <v>0</v>
      </c>
      <c r="G61" s="152">
        <f t="shared" si="29"/>
        <v>0</v>
      </c>
      <c r="H61" s="152">
        <f t="shared" si="30"/>
        <v>0</v>
      </c>
      <c r="I61" s="70">
        <f t="shared" si="31"/>
        <v>0</v>
      </c>
      <c r="J61" s="152" t="str">
        <f t="shared" si="32"/>
        <v/>
      </c>
      <c r="K61" s="163"/>
    </row>
    <row r="62" spans="1:11" ht="24">
      <c r="A62" s="30"/>
      <c r="B62" s="150">
        <v>2202</v>
      </c>
      <c r="C62" s="151" t="str">
        <f t="shared" si="20"/>
        <v>应付账款</v>
      </c>
      <c r="D62" s="70">
        <f t="shared" si="26"/>
        <v>8476287.8300000001</v>
      </c>
      <c r="E62" s="152">
        <f t="shared" si="28"/>
        <v>0.59530000000000005</v>
      </c>
      <c r="F62" s="70">
        <f t="shared" si="27"/>
        <v>11123454.48</v>
      </c>
      <c r="G62" s="152">
        <f t="shared" si="29"/>
        <v>0.60819999999999996</v>
      </c>
      <c r="H62" s="152">
        <f t="shared" si="30"/>
        <v>1.29E-2</v>
      </c>
      <c r="I62" s="70">
        <f t="shared" si="31"/>
        <v>2647166.65</v>
      </c>
      <c r="J62" s="152">
        <f t="shared" si="32"/>
        <v>0.31230000000000002</v>
      </c>
      <c r="K62" s="3104" t="s">
        <v>6824</v>
      </c>
    </row>
    <row r="63" spans="1:11" ht="18">
      <c r="A63" s="30"/>
      <c r="B63" s="150">
        <v>2205</v>
      </c>
      <c r="C63" s="151" t="str">
        <f t="shared" si="20"/>
        <v>预收款项</v>
      </c>
      <c r="D63" s="70">
        <f t="shared" si="26"/>
        <v>2229809.83</v>
      </c>
      <c r="E63" s="152">
        <f t="shared" si="28"/>
        <v>0.15659999999999999</v>
      </c>
      <c r="F63" s="70">
        <f t="shared" si="27"/>
        <v>2360727.0299999998</v>
      </c>
      <c r="G63" s="152">
        <f t="shared" si="29"/>
        <v>0.12909999999999999</v>
      </c>
      <c r="H63" s="152">
        <f t="shared" si="30"/>
        <v>-2.75E-2</v>
      </c>
      <c r="I63" s="70">
        <f t="shared" si="31"/>
        <v>130917.2</v>
      </c>
      <c r="J63" s="152">
        <f t="shared" si="32"/>
        <v>5.8700000000000002E-2</v>
      </c>
      <c r="K63" s="163"/>
    </row>
    <row r="64" spans="1:11" ht="18">
      <c r="A64" s="30"/>
      <c r="B64" s="150">
        <v>2211</v>
      </c>
      <c r="C64" s="151" t="str">
        <f t="shared" si="20"/>
        <v>应付职工薪酬</v>
      </c>
      <c r="D64" s="70">
        <f t="shared" si="26"/>
        <v>974467.27</v>
      </c>
      <c r="E64" s="152">
        <f t="shared" si="28"/>
        <v>6.8400000000000002E-2</v>
      </c>
      <c r="F64" s="70">
        <f t="shared" si="27"/>
        <v>1058561.81</v>
      </c>
      <c r="G64" s="152">
        <f t="shared" si="29"/>
        <v>5.79E-2</v>
      </c>
      <c r="H64" s="152">
        <f t="shared" si="30"/>
        <v>-1.0500000000000001E-2</v>
      </c>
      <c r="I64" s="70">
        <f t="shared" si="31"/>
        <v>84094.54</v>
      </c>
      <c r="J64" s="152">
        <f t="shared" si="32"/>
        <v>8.6300000000000002E-2</v>
      </c>
      <c r="K64" s="163"/>
    </row>
    <row r="65" spans="1:11" ht="18">
      <c r="A65" s="30"/>
      <c r="B65" s="150">
        <v>2221</v>
      </c>
      <c r="C65" s="151" t="str">
        <f t="shared" si="20"/>
        <v>应交税费</v>
      </c>
      <c r="D65" s="70">
        <f t="shared" si="26"/>
        <v>487153.95</v>
      </c>
      <c r="E65" s="152">
        <f t="shared" si="28"/>
        <v>3.4200000000000001E-2</v>
      </c>
      <c r="F65" s="70">
        <f t="shared" si="27"/>
        <v>507471.64</v>
      </c>
      <c r="G65" s="152">
        <f t="shared" si="29"/>
        <v>2.7699999999999999E-2</v>
      </c>
      <c r="H65" s="152">
        <f t="shared" si="30"/>
        <v>-6.4999999999999997E-3</v>
      </c>
      <c r="I65" s="70">
        <f t="shared" si="31"/>
        <v>20317.689999999999</v>
      </c>
      <c r="J65" s="152">
        <f t="shared" si="32"/>
        <v>4.1700000000000001E-2</v>
      </c>
      <c r="K65" s="163"/>
    </row>
    <row r="66" spans="1:11" ht="18">
      <c r="A66" s="30"/>
      <c r="B66" s="150">
        <v>2246</v>
      </c>
      <c r="C66" s="151" t="str">
        <f>IF($B66="","",VLOOKUP($B66,Sheet_Items,2,0))</f>
        <v>其他应付款（报表项目）</v>
      </c>
      <c r="D66" s="70">
        <f t="shared" si="26"/>
        <v>2070907</v>
      </c>
      <c r="E66" s="152">
        <f t="shared" si="28"/>
        <v>0.1454</v>
      </c>
      <c r="F66" s="70">
        <f t="shared" si="27"/>
        <v>1099058.8700000001</v>
      </c>
      <c r="G66" s="152">
        <f t="shared" si="29"/>
        <v>6.0100000000000001E-2</v>
      </c>
      <c r="H66" s="152">
        <f t="shared" si="30"/>
        <v>-8.5300000000000001E-2</v>
      </c>
      <c r="I66" s="70">
        <f t="shared" si="31"/>
        <v>-971848.13</v>
      </c>
      <c r="J66" s="152">
        <f t="shared" si="32"/>
        <v>-0.46929999999999999</v>
      </c>
      <c r="K66" s="163"/>
    </row>
    <row r="67" spans="1:11" ht="18">
      <c r="A67" s="30"/>
      <c r="B67" s="150">
        <v>2231</v>
      </c>
      <c r="C67" s="151" t="str">
        <f t="shared" si="20"/>
        <v>其中：应付利息</v>
      </c>
      <c r="D67" s="70">
        <f t="shared" si="26"/>
        <v>0</v>
      </c>
      <c r="E67" s="152">
        <f t="shared" si="28"/>
        <v>0</v>
      </c>
      <c r="F67" s="70">
        <f t="shared" si="27"/>
        <v>0</v>
      </c>
      <c r="G67" s="152">
        <f t="shared" si="29"/>
        <v>0</v>
      </c>
      <c r="H67" s="152">
        <f t="shared" si="30"/>
        <v>0</v>
      </c>
      <c r="I67" s="70">
        <f t="shared" si="31"/>
        <v>0</v>
      </c>
      <c r="J67" s="152" t="str">
        <f t="shared" si="32"/>
        <v/>
      </c>
      <c r="K67" s="163"/>
    </row>
    <row r="68" spans="1:11" ht="18">
      <c r="A68" s="30"/>
      <c r="B68" s="150">
        <v>2232</v>
      </c>
      <c r="C68" s="151" t="str">
        <f t="shared" si="20"/>
        <v>应付股利</v>
      </c>
      <c r="D68" s="70">
        <f t="shared" si="26"/>
        <v>0</v>
      </c>
      <c r="E68" s="152">
        <f t="shared" si="28"/>
        <v>0</v>
      </c>
      <c r="F68" s="70">
        <f t="shared" si="27"/>
        <v>0</v>
      </c>
      <c r="G68" s="152">
        <f t="shared" si="29"/>
        <v>0</v>
      </c>
      <c r="H68" s="152">
        <f t="shared" si="30"/>
        <v>0</v>
      </c>
      <c r="I68" s="70">
        <f t="shared" si="31"/>
        <v>0</v>
      </c>
      <c r="J68" s="152" t="str">
        <f t="shared" si="32"/>
        <v/>
      </c>
      <c r="K68" s="163"/>
    </row>
    <row r="69" spans="1:11" ht="18">
      <c r="A69" s="30"/>
      <c r="B69" s="150">
        <v>2315</v>
      </c>
      <c r="C69" s="151" t="str">
        <f t="shared" si="20"/>
        <v>持有待售负债</v>
      </c>
      <c r="D69" s="70">
        <f t="shared" si="26"/>
        <v>0</v>
      </c>
      <c r="E69" s="152">
        <f t="shared" si="28"/>
        <v>0</v>
      </c>
      <c r="F69" s="70">
        <f t="shared" si="27"/>
        <v>0</v>
      </c>
      <c r="G69" s="152">
        <f t="shared" si="29"/>
        <v>0</v>
      </c>
      <c r="H69" s="152">
        <f t="shared" si="30"/>
        <v>0</v>
      </c>
      <c r="I69" s="70">
        <f t="shared" si="31"/>
        <v>0</v>
      </c>
      <c r="J69" s="152" t="str">
        <f t="shared" si="32"/>
        <v/>
      </c>
      <c r="K69" s="163"/>
    </row>
    <row r="70" spans="1:11" ht="18">
      <c r="A70" s="30"/>
      <c r="B70" s="150">
        <v>2395</v>
      </c>
      <c r="C70" s="151" t="str">
        <f t="shared" si="20"/>
        <v>一年内到期的非流动负债</v>
      </c>
      <c r="D70" s="70">
        <f t="shared" si="26"/>
        <v>0</v>
      </c>
      <c r="E70" s="152">
        <f t="shared" si="28"/>
        <v>0</v>
      </c>
      <c r="F70" s="70">
        <f t="shared" si="27"/>
        <v>0</v>
      </c>
      <c r="G70" s="152">
        <f t="shared" si="29"/>
        <v>0</v>
      </c>
      <c r="H70" s="152">
        <f t="shared" si="30"/>
        <v>0</v>
      </c>
      <c r="I70" s="70">
        <f t="shared" si="31"/>
        <v>0</v>
      </c>
      <c r="J70" s="152" t="str">
        <f t="shared" si="32"/>
        <v/>
      </c>
      <c r="K70" s="163"/>
    </row>
    <row r="71" spans="1:11" ht="18">
      <c r="A71" s="30"/>
      <c r="B71" s="150">
        <v>2396</v>
      </c>
      <c r="C71" s="151" t="str">
        <f t="shared" si="20"/>
        <v>其他流动负债</v>
      </c>
      <c r="D71" s="70">
        <f t="shared" si="26"/>
        <v>0</v>
      </c>
      <c r="E71" s="152">
        <f t="shared" si="28"/>
        <v>0</v>
      </c>
      <c r="F71" s="70">
        <f t="shared" si="27"/>
        <v>0</v>
      </c>
      <c r="G71" s="152">
        <f t="shared" si="29"/>
        <v>0</v>
      </c>
      <c r="H71" s="152">
        <f t="shared" si="30"/>
        <v>0</v>
      </c>
      <c r="I71" s="70">
        <f t="shared" si="31"/>
        <v>0</v>
      </c>
      <c r="J71" s="152" t="str">
        <f t="shared" si="32"/>
        <v/>
      </c>
      <c r="K71" s="163"/>
    </row>
    <row r="72" spans="1:11" ht="18">
      <c r="A72" s="30"/>
      <c r="B72" s="150">
        <v>2498</v>
      </c>
      <c r="C72" s="153" t="str">
        <f t="shared" si="20"/>
        <v>流动负债合计</v>
      </c>
      <c r="D72" s="154">
        <f>SUM(D57:D71)-SUM(D67,D68)</f>
        <v>14238625.880000001</v>
      </c>
      <c r="E72" s="156">
        <f t="shared" ref="E72:I72" si="33">SUM(E57:E71)-SUM(E67,E68)</f>
        <v>0.99990000000000001</v>
      </c>
      <c r="F72" s="154">
        <f t="shared" si="33"/>
        <v>18149273.829999998</v>
      </c>
      <c r="G72" s="156">
        <f t="shared" si="33"/>
        <v>0.99239999999999995</v>
      </c>
      <c r="H72" s="156">
        <f t="shared" si="33"/>
        <v>-7.4999999999999997E-3</v>
      </c>
      <c r="I72" s="154">
        <f t="shared" si="33"/>
        <v>3910647.95</v>
      </c>
      <c r="J72" s="152">
        <f t="shared" si="23"/>
        <v>0.2747</v>
      </c>
      <c r="K72" s="163"/>
    </row>
    <row r="73" spans="1:11" ht="18">
      <c r="A73" s="30"/>
      <c r="B73" s="150">
        <v>2500</v>
      </c>
      <c r="C73" s="151" t="str">
        <f t="shared" si="20"/>
        <v>非流动负债：</v>
      </c>
      <c r="D73" s="70"/>
      <c r="E73" s="152"/>
      <c r="F73" s="70"/>
      <c r="G73" s="152"/>
      <c r="H73" s="152" t="str">
        <f t="shared" ref="H73:H83" si="34">IF(OR(G73="",E73=""),"",G73-E73)</f>
        <v/>
      </c>
      <c r="I73" s="70" t="str">
        <f t="shared" ref="I73:I83" si="35">IF(OR(F73="",D73=""),"",F73-D73)</f>
        <v/>
      </c>
      <c r="J73" s="152" t="str">
        <f t="shared" si="23"/>
        <v/>
      </c>
      <c r="K73" s="163"/>
    </row>
    <row r="74" spans="1:11" ht="18">
      <c r="A74" s="30"/>
      <c r="B74" s="150">
        <v>2501</v>
      </c>
      <c r="C74" s="151" t="str">
        <f t="shared" si="20"/>
        <v>长期借款</v>
      </c>
      <c r="D74" s="70">
        <f t="shared" ref="D74:D83" si="36">VLOOKUP($B74,Sheet_Trialbal,10,0)</f>
        <v>0</v>
      </c>
      <c r="E74" s="152">
        <f t="shared" ref="E74:E83" si="37">IF(D$85=0,"",D74/D$85)</f>
        <v>0</v>
      </c>
      <c r="F74" s="70">
        <f t="shared" ref="F74:F83" si="38">VLOOKUP($B74,Sheet_Trialbal,3,0)</f>
        <v>0</v>
      </c>
      <c r="G74" s="152">
        <f t="shared" ref="G74:G83" si="39">IF(F$85=0,"",F74/F$85)</f>
        <v>0</v>
      </c>
      <c r="H74" s="152">
        <f t="shared" si="34"/>
        <v>0</v>
      </c>
      <c r="I74" s="70">
        <f t="shared" si="35"/>
        <v>0</v>
      </c>
      <c r="J74" s="152" t="str">
        <f t="shared" si="23"/>
        <v/>
      </c>
      <c r="K74" s="163"/>
    </row>
    <row r="75" spans="1:11" ht="18">
      <c r="A75" s="30"/>
      <c r="B75" s="150">
        <v>2502</v>
      </c>
      <c r="C75" s="151" t="str">
        <f t="shared" si="20"/>
        <v>应付债券</v>
      </c>
      <c r="D75" s="70">
        <f t="shared" si="36"/>
        <v>0</v>
      </c>
      <c r="E75" s="152">
        <f t="shared" si="37"/>
        <v>0</v>
      </c>
      <c r="F75" s="70">
        <f t="shared" si="38"/>
        <v>0</v>
      </c>
      <c r="G75" s="152">
        <f t="shared" si="39"/>
        <v>0</v>
      </c>
      <c r="H75" s="152">
        <f t="shared" si="34"/>
        <v>0</v>
      </c>
      <c r="I75" s="70">
        <f t="shared" si="35"/>
        <v>0</v>
      </c>
      <c r="J75" s="152" t="str">
        <f t="shared" si="23"/>
        <v/>
      </c>
      <c r="K75" s="163"/>
    </row>
    <row r="76" spans="1:11" ht="36">
      <c r="A76" s="30"/>
      <c r="B76" s="150">
        <v>2706</v>
      </c>
      <c r="C76" s="151" t="str">
        <f>IF($B76="","",VLOOKUP($B76,Sheet_Items,2,0))</f>
        <v>长期应付款（报表项目）</v>
      </c>
      <c r="D76" s="70">
        <f t="shared" si="36"/>
        <v>0</v>
      </c>
      <c r="E76" s="152">
        <f t="shared" si="37"/>
        <v>0</v>
      </c>
      <c r="F76" s="70">
        <f t="shared" si="38"/>
        <v>140000</v>
      </c>
      <c r="G76" s="152">
        <f t="shared" si="39"/>
        <v>7.7000000000000002E-3</v>
      </c>
      <c r="H76" s="152">
        <f t="shared" si="34"/>
        <v>7.7000000000000002E-3</v>
      </c>
      <c r="I76" s="70">
        <f t="shared" si="35"/>
        <v>140000</v>
      </c>
      <c r="J76" s="152" t="str">
        <f t="shared" si="23"/>
        <v/>
      </c>
      <c r="K76" s="3104" t="s">
        <v>6825</v>
      </c>
    </row>
    <row r="77" spans="1:11" ht="18">
      <c r="A77" s="30"/>
      <c r="B77" s="150">
        <v>2701</v>
      </c>
      <c r="C77" s="151" t="str">
        <f t="shared" si="20"/>
        <v>其中：长期应付款</v>
      </c>
      <c r="D77" s="70">
        <f t="shared" si="36"/>
        <v>0</v>
      </c>
      <c r="E77" s="152">
        <f t="shared" si="37"/>
        <v>0</v>
      </c>
      <c r="F77" s="70">
        <f t="shared" si="38"/>
        <v>0</v>
      </c>
      <c r="G77" s="152">
        <f t="shared" si="39"/>
        <v>0</v>
      </c>
      <c r="H77" s="152">
        <f t="shared" si="34"/>
        <v>0</v>
      </c>
      <c r="I77" s="70">
        <f t="shared" si="35"/>
        <v>0</v>
      </c>
      <c r="J77" s="152" t="str">
        <f t="shared" si="23"/>
        <v/>
      </c>
      <c r="K77" s="163"/>
    </row>
    <row r="78" spans="1:11" ht="18">
      <c r="A78" s="30"/>
      <c r="B78" s="150">
        <v>2711</v>
      </c>
      <c r="C78" s="151" t="str">
        <f>IF($B78="","",VLOOKUP($B78,Sheet_Items,6,0))</f>
        <v>专项应付款</v>
      </c>
      <c r="D78" s="70">
        <f>VLOOKUP($B78,Sheet_Trialbal,10,0)</f>
        <v>0</v>
      </c>
      <c r="E78" s="152">
        <f t="shared" si="37"/>
        <v>0</v>
      </c>
      <c r="F78" s="70">
        <f>VLOOKUP($B78,Sheet_Trialbal,3,0)</f>
        <v>140000</v>
      </c>
      <c r="G78" s="152">
        <f t="shared" si="39"/>
        <v>7.7000000000000002E-3</v>
      </c>
      <c r="H78" s="152">
        <f t="shared" si="34"/>
        <v>7.7000000000000002E-3</v>
      </c>
      <c r="I78" s="70">
        <f t="shared" si="35"/>
        <v>140000</v>
      </c>
      <c r="J78" s="152" t="str">
        <f t="shared" si="23"/>
        <v/>
      </c>
      <c r="K78" s="163"/>
    </row>
    <row r="79" spans="1:11" ht="18">
      <c r="A79" s="30"/>
      <c r="B79" s="150">
        <v>2715</v>
      </c>
      <c r="C79" s="151" t="str">
        <f t="shared" si="20"/>
        <v>长期应付职工薪酬</v>
      </c>
      <c r="D79" s="70">
        <f t="shared" si="36"/>
        <v>0</v>
      </c>
      <c r="E79" s="152">
        <f t="shared" si="37"/>
        <v>0</v>
      </c>
      <c r="F79" s="70">
        <f t="shared" si="38"/>
        <v>0</v>
      </c>
      <c r="G79" s="152">
        <f t="shared" si="39"/>
        <v>0</v>
      </c>
      <c r="H79" s="152">
        <f t="shared" si="34"/>
        <v>0</v>
      </c>
      <c r="I79" s="70">
        <f t="shared" si="35"/>
        <v>0</v>
      </c>
      <c r="J79" s="152" t="str">
        <f t="shared" si="23"/>
        <v/>
      </c>
      <c r="K79" s="163"/>
    </row>
    <row r="80" spans="1:11" ht="18">
      <c r="A80" s="30"/>
      <c r="B80" s="150">
        <v>2801</v>
      </c>
      <c r="C80" s="151" t="str">
        <f t="shared" si="20"/>
        <v>预计负债</v>
      </c>
      <c r="D80" s="70">
        <f t="shared" si="36"/>
        <v>0</v>
      </c>
      <c r="E80" s="152">
        <f t="shared" si="37"/>
        <v>0</v>
      </c>
      <c r="F80" s="70">
        <f t="shared" si="38"/>
        <v>0</v>
      </c>
      <c r="G80" s="152">
        <f t="shared" si="39"/>
        <v>0</v>
      </c>
      <c r="H80" s="152">
        <f t="shared" si="34"/>
        <v>0</v>
      </c>
      <c r="I80" s="70">
        <f t="shared" si="35"/>
        <v>0</v>
      </c>
      <c r="J80" s="152" t="str">
        <f t="shared" si="23"/>
        <v/>
      </c>
      <c r="K80" s="163"/>
    </row>
    <row r="81" spans="1:11" ht="18">
      <c r="A81" s="30"/>
      <c r="B81" s="150">
        <v>2401</v>
      </c>
      <c r="C81" s="151" t="str">
        <f t="shared" si="20"/>
        <v>递延收益</v>
      </c>
      <c r="D81" s="70">
        <f t="shared" si="36"/>
        <v>0</v>
      </c>
      <c r="E81" s="152">
        <f t="shared" si="37"/>
        <v>0</v>
      </c>
      <c r="F81" s="70">
        <f t="shared" si="38"/>
        <v>0</v>
      </c>
      <c r="G81" s="152">
        <f t="shared" si="39"/>
        <v>0</v>
      </c>
      <c r="H81" s="152">
        <f t="shared" si="34"/>
        <v>0</v>
      </c>
      <c r="I81" s="70">
        <f t="shared" si="35"/>
        <v>0</v>
      </c>
      <c r="J81" s="152" t="str">
        <f t="shared" si="23"/>
        <v/>
      </c>
      <c r="K81" s="163"/>
    </row>
    <row r="82" spans="1:11" ht="18">
      <c r="A82" s="30"/>
      <c r="B82" s="150">
        <v>2901</v>
      </c>
      <c r="C82" s="151" t="str">
        <f t="shared" si="20"/>
        <v>递延所得税负债</v>
      </c>
      <c r="D82" s="70">
        <f t="shared" si="36"/>
        <v>0</v>
      </c>
      <c r="E82" s="152">
        <f t="shared" si="37"/>
        <v>0</v>
      </c>
      <c r="F82" s="70">
        <f t="shared" si="38"/>
        <v>0</v>
      </c>
      <c r="G82" s="152">
        <f t="shared" si="39"/>
        <v>0</v>
      </c>
      <c r="H82" s="152">
        <f t="shared" si="34"/>
        <v>0</v>
      </c>
      <c r="I82" s="70">
        <f t="shared" si="35"/>
        <v>0</v>
      </c>
      <c r="J82" s="152" t="str">
        <f t="shared" si="23"/>
        <v/>
      </c>
      <c r="K82" s="163"/>
    </row>
    <row r="83" spans="1:11" ht="18">
      <c r="A83" s="30"/>
      <c r="B83" s="150">
        <v>2996</v>
      </c>
      <c r="C83" s="151" t="str">
        <f t="shared" si="20"/>
        <v>其他非流动负债</v>
      </c>
      <c r="D83" s="70">
        <f t="shared" si="36"/>
        <v>0</v>
      </c>
      <c r="E83" s="152">
        <f t="shared" si="37"/>
        <v>0</v>
      </c>
      <c r="F83" s="70">
        <f t="shared" si="38"/>
        <v>0</v>
      </c>
      <c r="G83" s="152">
        <f t="shared" si="39"/>
        <v>0</v>
      </c>
      <c r="H83" s="152">
        <f t="shared" si="34"/>
        <v>0</v>
      </c>
      <c r="I83" s="70">
        <f t="shared" si="35"/>
        <v>0</v>
      </c>
      <c r="J83" s="152" t="str">
        <f t="shared" si="23"/>
        <v/>
      </c>
      <c r="K83" s="163"/>
    </row>
    <row r="84" spans="1:11" ht="18">
      <c r="A84" s="30"/>
      <c r="B84" s="150">
        <v>2998</v>
      </c>
      <c r="C84" s="153" t="str">
        <f t="shared" si="20"/>
        <v>非流动负债合计</v>
      </c>
      <c r="D84" s="154">
        <f>SUM(D74:D83)-SUM(D77,D78)</f>
        <v>0</v>
      </c>
      <c r="E84" s="156">
        <f>SUM(E74:E83)-SUM(E77,E78)</f>
        <v>0</v>
      </c>
      <c r="F84" s="154">
        <f>SUM(F74:F83)-SUM(F77,F78)</f>
        <v>140000</v>
      </c>
      <c r="G84" s="156">
        <f>SUM(G74:G83)-SUM(G77,G78)</f>
        <v>7.7000000000000002E-3</v>
      </c>
      <c r="H84" s="156"/>
      <c r="I84" s="154">
        <f>SUM(I74:I83)-SUM(I77,I78)</f>
        <v>140000</v>
      </c>
      <c r="J84" s="155" t="str">
        <f t="shared" si="23"/>
        <v/>
      </c>
      <c r="K84" s="163"/>
    </row>
    <row r="85" spans="1:11" ht="18">
      <c r="A85" s="30"/>
      <c r="B85" s="150">
        <v>2999</v>
      </c>
      <c r="C85" s="153" t="str">
        <f t="shared" si="20"/>
        <v>负债合计</v>
      </c>
      <c r="D85" s="154">
        <f>SUM(D72,D84)</f>
        <v>14238625.880000001</v>
      </c>
      <c r="E85" s="156">
        <f>SUM(E72,E84)</f>
        <v>0.99990000000000001</v>
      </c>
      <c r="F85" s="154">
        <f>SUM(F72,F84)</f>
        <v>18289273.829999998</v>
      </c>
      <c r="G85" s="156">
        <f>SUM(G72,G84)</f>
        <v>1.0001</v>
      </c>
      <c r="H85" s="156"/>
      <c r="I85" s="154">
        <f>SUM(I72,I84)</f>
        <v>4050647.95</v>
      </c>
      <c r="J85" s="155">
        <f t="shared" si="23"/>
        <v>0.28449999999999998</v>
      </c>
      <c r="K85" s="163"/>
    </row>
    <row r="86" spans="1:11" ht="18">
      <c r="A86" s="30"/>
      <c r="B86" s="150">
        <v>4000</v>
      </c>
      <c r="C86" s="151" t="str">
        <f t="shared" si="20"/>
        <v>所有者权益：</v>
      </c>
      <c r="D86" s="70"/>
      <c r="E86" s="152"/>
      <c r="F86" s="70"/>
      <c r="G86" s="152"/>
      <c r="H86" s="152" t="str">
        <f t="shared" ref="H86:H97" si="40">IF(OR(G86="",E86=""),"",G86-E86)</f>
        <v/>
      </c>
      <c r="I86" s="70" t="str">
        <f t="shared" ref="I86:I95" si="41">IF(OR(F86="",D86=""),"",F86-D86)</f>
        <v/>
      </c>
      <c r="J86" s="152" t="str">
        <f t="shared" si="23"/>
        <v/>
      </c>
      <c r="K86" s="163"/>
    </row>
    <row r="87" spans="1:11" ht="18">
      <c r="A87" s="30"/>
      <c r="B87" s="150">
        <v>4001</v>
      </c>
      <c r="C87" s="151" t="str">
        <f t="shared" si="20"/>
        <v>股本</v>
      </c>
      <c r="D87" s="70">
        <f t="shared" ref="D87:D95" si="42">VLOOKUP($B87,Sheet_Trialbal,10,0)</f>
        <v>30000000</v>
      </c>
      <c r="E87" s="152">
        <f t="shared" ref="E87:E97" si="43">IF(D$98=0,"",D87/D$98)</f>
        <v>0.67010000000000003</v>
      </c>
      <c r="F87" s="70">
        <f t="shared" ref="F87:F95" si="44">VLOOKUP($B87,Sheet_Trialbal,3,0)</f>
        <v>30000000</v>
      </c>
      <c r="G87" s="152">
        <f t="shared" ref="G87:G97" si="45">IF(F$98=0,"",F87/F$98)</f>
        <v>0.66890000000000005</v>
      </c>
      <c r="H87" s="152">
        <f t="shared" si="40"/>
        <v>-1.1999999999999999E-3</v>
      </c>
      <c r="I87" s="70">
        <f t="shared" si="41"/>
        <v>0</v>
      </c>
      <c r="J87" s="152">
        <f t="shared" si="23"/>
        <v>0</v>
      </c>
      <c r="K87" s="163"/>
    </row>
    <row r="88" spans="1:11" ht="18">
      <c r="A88" s="30"/>
      <c r="B88" s="150">
        <v>4015</v>
      </c>
      <c r="C88" s="151" t="str">
        <f t="shared" si="20"/>
        <v>其他权益工具</v>
      </c>
      <c r="D88" s="70">
        <f t="shared" si="42"/>
        <v>0</v>
      </c>
      <c r="E88" s="152">
        <f t="shared" si="43"/>
        <v>0</v>
      </c>
      <c r="F88" s="70">
        <f t="shared" si="44"/>
        <v>0</v>
      </c>
      <c r="G88" s="152">
        <f t="shared" si="45"/>
        <v>0</v>
      </c>
      <c r="H88" s="152">
        <f t="shared" si="40"/>
        <v>0</v>
      </c>
      <c r="I88" s="70">
        <f t="shared" si="41"/>
        <v>0</v>
      </c>
      <c r="J88" s="152" t="str">
        <f t="shared" si="23"/>
        <v/>
      </c>
      <c r="K88" s="163"/>
    </row>
    <row r="89" spans="1:11" ht="36">
      <c r="A89" s="30"/>
      <c r="B89" s="150">
        <v>4002</v>
      </c>
      <c r="C89" s="151" t="str">
        <f t="shared" si="20"/>
        <v>资本公积</v>
      </c>
      <c r="D89" s="70">
        <f t="shared" si="42"/>
        <v>0</v>
      </c>
      <c r="E89" s="152">
        <f t="shared" si="43"/>
        <v>0</v>
      </c>
      <c r="F89" s="70">
        <f t="shared" si="44"/>
        <v>10464100</v>
      </c>
      <c r="G89" s="152">
        <f t="shared" si="45"/>
        <v>0.23330000000000001</v>
      </c>
      <c r="H89" s="152">
        <f t="shared" si="40"/>
        <v>0.23330000000000001</v>
      </c>
      <c r="I89" s="70">
        <f t="shared" si="41"/>
        <v>10464100</v>
      </c>
      <c r="J89" s="152" t="str">
        <f t="shared" si="23"/>
        <v/>
      </c>
      <c r="K89" s="3104" t="s">
        <v>6826</v>
      </c>
    </row>
    <row r="90" spans="1:11" ht="18">
      <c r="A90" s="30"/>
      <c r="B90" s="150">
        <v>4201</v>
      </c>
      <c r="C90" s="151" t="str">
        <f t="shared" si="20"/>
        <v>减：库存股</v>
      </c>
      <c r="D90" s="70">
        <f t="shared" si="42"/>
        <v>0</v>
      </c>
      <c r="E90" s="152">
        <f t="shared" si="43"/>
        <v>0</v>
      </c>
      <c r="F90" s="70">
        <f t="shared" si="44"/>
        <v>0</v>
      </c>
      <c r="G90" s="152">
        <f t="shared" si="45"/>
        <v>0</v>
      </c>
      <c r="H90" s="152">
        <f t="shared" si="40"/>
        <v>0</v>
      </c>
      <c r="I90" s="70">
        <f t="shared" si="41"/>
        <v>0</v>
      </c>
      <c r="J90" s="152" t="str">
        <f t="shared" si="23"/>
        <v/>
      </c>
      <c r="K90" s="163"/>
    </row>
    <row r="91" spans="1:11" ht="18">
      <c r="A91" s="30"/>
      <c r="B91" s="150">
        <v>4215</v>
      </c>
      <c r="C91" s="151" t="str">
        <f t="shared" si="20"/>
        <v>其他综合收益</v>
      </c>
      <c r="D91" s="70">
        <f t="shared" si="42"/>
        <v>0</v>
      </c>
      <c r="E91" s="152">
        <f t="shared" si="43"/>
        <v>0</v>
      </c>
      <c r="F91" s="70">
        <f t="shared" si="44"/>
        <v>0</v>
      </c>
      <c r="G91" s="152">
        <f t="shared" si="45"/>
        <v>0</v>
      </c>
      <c r="H91" s="152">
        <f t="shared" si="40"/>
        <v>0</v>
      </c>
      <c r="I91" s="70">
        <f t="shared" si="41"/>
        <v>0</v>
      </c>
      <c r="J91" s="152" t="str">
        <f t="shared" si="23"/>
        <v/>
      </c>
      <c r="K91" s="163"/>
    </row>
    <row r="92" spans="1:11" ht="18">
      <c r="A92" s="30"/>
      <c r="B92" s="150">
        <v>4301</v>
      </c>
      <c r="C92" s="151" t="str">
        <f t="shared" si="20"/>
        <v>专项储备</v>
      </c>
      <c r="D92" s="70">
        <f t="shared" si="42"/>
        <v>0</v>
      </c>
      <c r="E92" s="152">
        <f t="shared" si="43"/>
        <v>0</v>
      </c>
      <c r="F92" s="70">
        <f t="shared" si="44"/>
        <v>0</v>
      </c>
      <c r="G92" s="152">
        <f t="shared" si="45"/>
        <v>0</v>
      </c>
      <c r="H92" s="152">
        <f t="shared" si="40"/>
        <v>0</v>
      </c>
      <c r="I92" s="70">
        <f t="shared" si="41"/>
        <v>0</v>
      </c>
      <c r="J92" s="152" t="str">
        <f t="shared" si="23"/>
        <v/>
      </c>
      <c r="K92" s="163"/>
    </row>
    <row r="93" spans="1:11" ht="18">
      <c r="A93" s="30"/>
      <c r="B93" s="150">
        <v>4101</v>
      </c>
      <c r="C93" s="151" t="str">
        <f t="shared" si="20"/>
        <v>盈余公积</v>
      </c>
      <c r="D93" s="70">
        <f t="shared" si="42"/>
        <v>1476848.22</v>
      </c>
      <c r="E93" s="152">
        <f t="shared" si="43"/>
        <v>3.3000000000000002E-2</v>
      </c>
      <c r="F93" s="70">
        <f t="shared" si="44"/>
        <v>1484894.62</v>
      </c>
      <c r="G93" s="152">
        <f t="shared" si="45"/>
        <v>3.3099999999999997E-2</v>
      </c>
      <c r="H93" s="152">
        <f t="shared" si="40"/>
        <v>1E-4</v>
      </c>
      <c r="I93" s="70">
        <f t="shared" si="41"/>
        <v>8046.4</v>
      </c>
      <c r="J93" s="152">
        <f t="shared" si="23"/>
        <v>5.4000000000000003E-3</v>
      </c>
      <c r="K93" s="163"/>
    </row>
    <row r="94" spans="1:11" ht="18">
      <c r="A94" s="30"/>
      <c r="B94" s="150">
        <v>4102</v>
      </c>
      <c r="C94" s="151" t="str">
        <f t="shared" ref="C94:C100" si="46">IF($B94="","",VLOOKUP($B94,Sheet_Items,6,0))</f>
        <v>一般风险准备</v>
      </c>
      <c r="D94" s="70">
        <f t="shared" si="42"/>
        <v>0</v>
      </c>
      <c r="E94" s="152">
        <f t="shared" si="43"/>
        <v>0</v>
      </c>
      <c r="F94" s="70">
        <f t="shared" si="44"/>
        <v>0</v>
      </c>
      <c r="G94" s="152">
        <f t="shared" si="45"/>
        <v>0</v>
      </c>
      <c r="H94" s="152">
        <f t="shared" si="40"/>
        <v>0</v>
      </c>
      <c r="I94" s="70">
        <f t="shared" si="41"/>
        <v>0</v>
      </c>
      <c r="J94" s="152" t="str">
        <f t="shared" ref="J94:J125" si="47">IF(OR(I94="",D94="",D94=0),"",I94/D94)</f>
        <v/>
      </c>
      <c r="K94" s="163"/>
    </row>
    <row r="95" spans="1:11" ht="18">
      <c r="A95" s="30"/>
      <c r="B95" s="150">
        <v>4200</v>
      </c>
      <c r="C95" s="151" t="str">
        <f t="shared" si="46"/>
        <v>未分配利润</v>
      </c>
      <c r="D95" s="70">
        <f t="shared" si="42"/>
        <v>13291633.890000001</v>
      </c>
      <c r="E95" s="152">
        <f t="shared" si="43"/>
        <v>0.2969</v>
      </c>
      <c r="F95" s="70">
        <f t="shared" si="44"/>
        <v>2899951.46</v>
      </c>
      <c r="G95" s="152">
        <f t="shared" si="45"/>
        <v>6.4699999999999994E-2</v>
      </c>
      <c r="H95" s="152">
        <f t="shared" si="40"/>
        <v>-0.23219999999999999</v>
      </c>
      <c r="I95" s="70">
        <f t="shared" si="41"/>
        <v>-10391682.43</v>
      </c>
      <c r="J95" s="152">
        <f t="shared" si="47"/>
        <v>-0.78180000000000005</v>
      </c>
      <c r="K95" s="163"/>
    </row>
    <row r="96" spans="1:11" ht="18">
      <c r="A96" s="30"/>
      <c r="B96" s="150">
        <v>4298</v>
      </c>
      <c r="C96" s="164" t="str">
        <f t="shared" si="46"/>
        <v>归属于母公司所有者权益合计</v>
      </c>
      <c r="D96" s="154">
        <f>SUM(D87:D89,-D90,D91:D95)</f>
        <v>44768482.109999999</v>
      </c>
      <c r="E96" s="155">
        <f t="shared" si="43"/>
        <v>1</v>
      </c>
      <c r="F96" s="154">
        <f>SUM(F87:F89,-F90,F91:F95)</f>
        <v>44848946.079999998</v>
      </c>
      <c r="G96" s="155">
        <f t="shared" si="45"/>
        <v>1</v>
      </c>
      <c r="H96" s="155">
        <f t="shared" si="40"/>
        <v>0</v>
      </c>
      <c r="I96" s="154">
        <f>SUM(I87:I89,-I90,I91:I95)</f>
        <v>80463.97</v>
      </c>
      <c r="J96" s="152">
        <f t="shared" si="47"/>
        <v>1.8E-3</v>
      </c>
      <c r="K96" s="163"/>
    </row>
    <row r="97" spans="1:11" ht="18">
      <c r="A97" s="30"/>
      <c r="B97" s="150">
        <v>4398</v>
      </c>
      <c r="C97" s="151" t="str">
        <f t="shared" si="46"/>
        <v>少数股东权益</v>
      </c>
      <c r="D97" s="70">
        <f>VLOOKUP($B97,Sheet_Trialbal,10,0)</f>
        <v>0</v>
      </c>
      <c r="E97" s="152">
        <f t="shared" si="43"/>
        <v>0</v>
      </c>
      <c r="F97" s="70">
        <f>VLOOKUP($B97,Sheet_Trialbal,3,0)</f>
        <v>0</v>
      </c>
      <c r="G97" s="152">
        <f t="shared" si="45"/>
        <v>0</v>
      </c>
      <c r="H97" s="152">
        <f t="shared" si="40"/>
        <v>0</v>
      </c>
      <c r="I97" s="70">
        <f>IF(OR(F97="",D97=""),"",F97-D97)</f>
        <v>0</v>
      </c>
      <c r="J97" s="152" t="str">
        <f t="shared" si="47"/>
        <v/>
      </c>
      <c r="K97" s="163"/>
    </row>
    <row r="98" spans="1:11" ht="18">
      <c r="A98" s="30"/>
      <c r="B98" s="150">
        <v>4999</v>
      </c>
      <c r="C98" s="164" t="str">
        <f t="shared" si="46"/>
        <v>所有者权益合计</v>
      </c>
      <c r="D98" s="154">
        <f t="shared" ref="D98:I98" si="48">SUM(D96,D97)</f>
        <v>44768482.109999999</v>
      </c>
      <c r="E98" s="156">
        <f t="shared" si="48"/>
        <v>1</v>
      </c>
      <c r="F98" s="154">
        <f t="shared" si="48"/>
        <v>44848946.079999998</v>
      </c>
      <c r="G98" s="156">
        <f t="shared" si="48"/>
        <v>1</v>
      </c>
      <c r="H98" s="156">
        <f t="shared" si="48"/>
        <v>0</v>
      </c>
      <c r="I98" s="154">
        <f t="shared" si="48"/>
        <v>80463.97</v>
      </c>
      <c r="J98" s="152">
        <f t="shared" si="47"/>
        <v>1.8E-3</v>
      </c>
      <c r="K98" s="163"/>
    </row>
    <row r="99" spans="1:11" ht="18">
      <c r="A99" s="30"/>
      <c r="B99" s="150">
        <v>5000</v>
      </c>
      <c r="C99" s="153" t="str">
        <f t="shared" si="46"/>
        <v>负债和所有者权益总计</v>
      </c>
      <c r="D99" s="154">
        <f>SUM(D85,D98)</f>
        <v>59007107.990000002</v>
      </c>
      <c r="E99" s="152"/>
      <c r="F99" s="154">
        <f>SUM(F85,F98)</f>
        <v>63138219.909999996</v>
      </c>
      <c r="G99" s="152"/>
      <c r="H99" s="152" t="str">
        <f t="shared" ref="H99:H101" si="49">IF(OR(G99="",E99=""),"",G99-E99)</f>
        <v/>
      </c>
      <c r="I99" s="154">
        <f>SUM(I85,I98)</f>
        <v>4131111.92</v>
      </c>
      <c r="J99" s="152">
        <f t="shared" si="47"/>
        <v>7.0000000000000007E-2</v>
      </c>
      <c r="K99" s="163"/>
    </row>
    <row r="100" spans="1:11" ht="18">
      <c r="A100" s="30"/>
      <c r="B100" s="165">
        <v>6</v>
      </c>
      <c r="C100" s="147" t="str">
        <f t="shared" si="46"/>
        <v>利润表</v>
      </c>
      <c r="D100" s="70"/>
      <c r="E100" s="152"/>
      <c r="F100" s="70"/>
      <c r="G100" s="152"/>
      <c r="H100" s="152" t="str">
        <f t="shared" si="49"/>
        <v/>
      </c>
      <c r="I100" s="70" t="str">
        <f t="shared" ref="I100:I101" si="50">IF(OR(F100="",D100=""),"",F100-D100)</f>
        <v/>
      </c>
      <c r="J100" s="152" t="str">
        <f t="shared" si="47"/>
        <v/>
      </c>
      <c r="K100" s="163"/>
    </row>
    <row r="101" spans="1:11" ht="18">
      <c r="A101" s="30"/>
      <c r="B101" s="150">
        <v>6001</v>
      </c>
      <c r="C101" s="151" t="str">
        <f t="shared" ref="C101:C124" si="51">IF($B101="","",VLOOKUP($B101,Sheet_Items,2,0))</f>
        <v>营业收入</v>
      </c>
      <c r="D101" s="70">
        <f t="shared" ref="D101:D114" si="52">VLOOKUP($B101,Sheet_Trialbal,10,0)</f>
        <v>37369847.649999999</v>
      </c>
      <c r="E101" s="152"/>
      <c r="F101" s="70">
        <f t="shared" ref="F101:F114" si="53">VLOOKUP($B101,Sheet_Trialbal,3,0)</f>
        <v>34251580.890000001</v>
      </c>
      <c r="G101" s="152"/>
      <c r="H101" s="152" t="str">
        <f t="shared" si="49"/>
        <v/>
      </c>
      <c r="I101" s="70">
        <f t="shared" si="50"/>
        <v>-3118266.76</v>
      </c>
      <c r="J101" s="152">
        <f t="shared" si="47"/>
        <v>-8.3400000000000002E-2</v>
      </c>
      <c r="K101" s="3104" t="s">
        <v>6827</v>
      </c>
    </row>
    <row r="102" spans="1:11" ht="18">
      <c r="A102" s="30"/>
      <c r="B102" s="150">
        <v>6401</v>
      </c>
      <c r="C102" s="151" t="str">
        <f t="shared" si="51"/>
        <v>营业成本</v>
      </c>
      <c r="D102" s="70">
        <f t="shared" si="52"/>
        <v>23934591.690000001</v>
      </c>
      <c r="E102" s="152"/>
      <c r="F102" s="70">
        <f t="shared" si="53"/>
        <v>21902138.960000001</v>
      </c>
      <c r="G102" s="152"/>
      <c r="H102" s="152" t="str">
        <f t="shared" ref="H102:H114" si="54">IF(OR(G102="",E102=""),"",G102-E102)</f>
        <v/>
      </c>
      <c r="I102" s="70">
        <f t="shared" ref="I102:I114" si="55">IF(OR(F102="",D102=""),"",F102-D102)</f>
        <v>-2032452.73</v>
      </c>
      <c r="J102" s="152">
        <f t="shared" ref="J102:J115" si="56">IF(OR(I102="",D102="",D102=0),"",I102/D102)</f>
        <v>-8.4900000000000003E-2</v>
      </c>
      <c r="K102" s="163"/>
    </row>
    <row r="103" spans="1:11" ht="18">
      <c r="A103" s="30"/>
      <c r="B103" s="150">
        <v>6600</v>
      </c>
      <c r="C103" s="151" t="str">
        <f t="shared" si="51"/>
        <v>税金及附加</v>
      </c>
      <c r="D103" s="70">
        <f t="shared" si="52"/>
        <v>816515.77</v>
      </c>
      <c r="E103" s="152"/>
      <c r="F103" s="70">
        <f t="shared" si="53"/>
        <v>698053.95</v>
      </c>
      <c r="G103" s="152"/>
      <c r="H103" s="152" t="str">
        <f t="shared" si="54"/>
        <v/>
      </c>
      <c r="I103" s="70">
        <f t="shared" si="55"/>
        <v>-118461.82</v>
      </c>
      <c r="J103" s="152">
        <f t="shared" si="56"/>
        <v>-0.14510000000000001</v>
      </c>
      <c r="K103" s="163"/>
    </row>
    <row r="104" spans="1:11" ht="18">
      <c r="A104" s="30"/>
      <c r="B104" s="150">
        <v>6601</v>
      </c>
      <c r="C104" s="151" t="str">
        <f t="shared" si="51"/>
        <v>销售费用</v>
      </c>
      <c r="D104" s="70">
        <f t="shared" si="52"/>
        <v>5670698.4400000004</v>
      </c>
      <c r="E104" s="152"/>
      <c r="F104" s="70">
        <f t="shared" si="53"/>
        <v>5573302.79</v>
      </c>
      <c r="G104" s="152"/>
      <c r="H104" s="152" t="str">
        <f t="shared" si="54"/>
        <v/>
      </c>
      <c r="I104" s="70">
        <f t="shared" si="55"/>
        <v>-97395.65</v>
      </c>
      <c r="J104" s="152">
        <f t="shared" si="56"/>
        <v>-1.72E-2</v>
      </c>
      <c r="K104" s="163"/>
    </row>
    <row r="105" spans="1:11" ht="84">
      <c r="A105" s="30"/>
      <c r="B105" s="150">
        <v>6602</v>
      </c>
      <c r="C105" s="151" t="str">
        <f t="shared" si="51"/>
        <v>管理费用</v>
      </c>
      <c r="D105" s="70">
        <f t="shared" si="52"/>
        <v>2881011.76</v>
      </c>
      <c r="E105" s="152"/>
      <c r="F105" s="70">
        <f t="shared" si="53"/>
        <v>3468057.07</v>
      </c>
      <c r="G105" s="152"/>
      <c r="H105" s="152" t="str">
        <f t="shared" si="54"/>
        <v/>
      </c>
      <c r="I105" s="70">
        <f t="shared" si="55"/>
        <v>587045.31000000006</v>
      </c>
      <c r="J105" s="152">
        <f t="shared" si="56"/>
        <v>0.20380000000000001</v>
      </c>
      <c r="K105" s="3104" t="s">
        <v>6828</v>
      </c>
    </row>
    <row r="106" spans="1:11" ht="24">
      <c r="A106" s="30"/>
      <c r="B106" s="150">
        <v>6606</v>
      </c>
      <c r="C106" s="151" t="str">
        <f t="shared" si="51"/>
        <v>研发费用</v>
      </c>
      <c r="D106" s="70">
        <f t="shared" si="52"/>
        <v>3908463.7</v>
      </c>
      <c r="E106" s="152"/>
      <c r="F106" s="70">
        <f t="shared" si="53"/>
        <v>4398818.97</v>
      </c>
      <c r="G106" s="152"/>
      <c r="H106" s="152" t="str">
        <f t="shared" si="54"/>
        <v/>
      </c>
      <c r="I106" s="70">
        <f t="shared" si="55"/>
        <v>490355.27</v>
      </c>
      <c r="J106" s="152">
        <f t="shared" si="56"/>
        <v>0.1255</v>
      </c>
      <c r="K106" s="3104" t="s">
        <v>6829</v>
      </c>
    </row>
    <row r="107" spans="1:11" ht="48">
      <c r="A107" s="30"/>
      <c r="B107" s="150">
        <v>6603</v>
      </c>
      <c r="C107" s="151" t="str">
        <f t="shared" si="51"/>
        <v>财务费用</v>
      </c>
      <c r="D107" s="70">
        <f t="shared" si="52"/>
        <v>353161.16</v>
      </c>
      <c r="E107" s="152"/>
      <c r="F107" s="70">
        <f t="shared" si="53"/>
        <v>47156.11</v>
      </c>
      <c r="G107" s="152"/>
      <c r="H107" s="152" t="str">
        <f t="shared" si="54"/>
        <v/>
      </c>
      <c r="I107" s="70">
        <f t="shared" si="55"/>
        <v>-306005.05</v>
      </c>
      <c r="J107" s="152">
        <f t="shared" si="56"/>
        <v>-0.86650000000000005</v>
      </c>
      <c r="K107" s="3104" t="s">
        <v>6830</v>
      </c>
    </row>
    <row r="108" spans="1:11" ht="18">
      <c r="A108" s="30"/>
      <c r="B108" s="150">
        <v>6181</v>
      </c>
      <c r="C108" s="151" t="str">
        <f t="shared" si="51"/>
        <v>其他收益</v>
      </c>
      <c r="D108" s="70">
        <f t="shared" si="52"/>
        <v>80500</v>
      </c>
      <c r="E108" s="152"/>
      <c r="F108" s="70">
        <f t="shared" si="53"/>
        <v>0</v>
      </c>
      <c r="G108" s="152"/>
      <c r="H108" s="152" t="str">
        <f t="shared" si="54"/>
        <v/>
      </c>
      <c r="I108" s="70">
        <f t="shared" si="55"/>
        <v>-80500</v>
      </c>
      <c r="J108" s="152">
        <f t="shared" si="56"/>
        <v>-1</v>
      </c>
      <c r="K108" s="163"/>
    </row>
    <row r="109" spans="1:11" ht="24">
      <c r="A109" s="30"/>
      <c r="B109" s="150">
        <v>6111</v>
      </c>
      <c r="C109" s="151" t="str">
        <f t="shared" si="51"/>
        <v>投资收益</v>
      </c>
      <c r="D109" s="70">
        <f t="shared" si="52"/>
        <v>38200.720000000001</v>
      </c>
      <c r="E109" s="152"/>
      <c r="F109" s="70">
        <f t="shared" si="53"/>
        <v>41851.06</v>
      </c>
      <c r="G109" s="152"/>
      <c r="H109" s="152" t="str">
        <f t="shared" si="54"/>
        <v/>
      </c>
      <c r="I109" s="70">
        <f t="shared" si="55"/>
        <v>3650.34</v>
      </c>
      <c r="J109" s="152">
        <f t="shared" si="56"/>
        <v>9.5600000000000004E-2</v>
      </c>
      <c r="K109" s="3104" t="s">
        <v>6831</v>
      </c>
    </row>
    <row r="110" spans="1:11" ht="18">
      <c r="A110" s="30"/>
      <c r="B110" s="150">
        <v>6102</v>
      </c>
      <c r="C110" s="151" t="str">
        <f t="shared" si="51"/>
        <v>净敞口套期收益</v>
      </c>
      <c r="D110" s="70">
        <f t="shared" si="52"/>
        <v>0</v>
      </c>
      <c r="E110" s="152"/>
      <c r="F110" s="70">
        <f t="shared" si="53"/>
        <v>0</v>
      </c>
      <c r="G110" s="152"/>
      <c r="H110" s="152" t="str">
        <f t="shared" si="54"/>
        <v/>
      </c>
      <c r="I110" s="70">
        <f t="shared" si="55"/>
        <v>0</v>
      </c>
      <c r="J110" s="152" t="str">
        <f t="shared" si="56"/>
        <v/>
      </c>
      <c r="K110" s="163"/>
    </row>
    <row r="111" spans="1:11" ht="18">
      <c r="A111" s="30"/>
      <c r="B111" s="150">
        <v>6101</v>
      </c>
      <c r="C111" s="151" t="str">
        <f t="shared" si="51"/>
        <v>公允价值变动收益</v>
      </c>
      <c r="D111" s="70">
        <f t="shared" si="52"/>
        <v>0</v>
      </c>
      <c r="E111" s="152"/>
      <c r="F111" s="70">
        <f t="shared" si="53"/>
        <v>0</v>
      </c>
      <c r="G111" s="152"/>
      <c r="H111" s="152" t="str">
        <f t="shared" si="54"/>
        <v/>
      </c>
      <c r="I111" s="70">
        <f t="shared" si="55"/>
        <v>0</v>
      </c>
      <c r="J111" s="152" t="str">
        <f t="shared" si="56"/>
        <v/>
      </c>
      <c r="K111" s="163"/>
    </row>
    <row r="112" spans="1:11" ht="24">
      <c r="A112" s="30"/>
      <c r="B112" s="150">
        <v>6672</v>
      </c>
      <c r="C112" s="151" t="str">
        <f>IF($B112="","",VLOOKUP($B112,Sheet_Items,6,0))</f>
        <v>信用减值损失（损失以“-”号填列）</v>
      </c>
      <c r="D112" s="70">
        <f t="shared" si="52"/>
        <v>0</v>
      </c>
      <c r="E112" s="152"/>
      <c r="F112" s="70">
        <f t="shared" si="53"/>
        <v>0</v>
      </c>
      <c r="G112" s="152"/>
      <c r="H112" s="152" t="str">
        <f t="shared" si="54"/>
        <v/>
      </c>
      <c r="I112" s="70">
        <f t="shared" si="55"/>
        <v>0</v>
      </c>
      <c r="J112" s="152" t="str">
        <f t="shared" si="56"/>
        <v/>
      </c>
      <c r="K112" s="163"/>
    </row>
    <row r="113" spans="1:11" ht="24">
      <c r="A113" s="30"/>
      <c r="B113" s="150">
        <v>6671</v>
      </c>
      <c r="C113" s="151" t="str">
        <f>IF($B113="","",VLOOKUP($B113,Sheet_Items,6,0))</f>
        <v>资产减值损失（损失以“-”号填列）</v>
      </c>
      <c r="D113" s="70">
        <f t="shared" si="52"/>
        <v>198814.86</v>
      </c>
      <c r="E113" s="152"/>
      <c r="F113" s="70">
        <f t="shared" si="53"/>
        <v>-509330.92</v>
      </c>
      <c r="G113" s="152"/>
      <c r="H113" s="152" t="str">
        <f t="shared" si="54"/>
        <v/>
      </c>
      <c r="I113" s="70">
        <f t="shared" si="55"/>
        <v>-708145.78</v>
      </c>
      <c r="J113" s="152">
        <f t="shared" si="56"/>
        <v>-3.5617999999999999</v>
      </c>
      <c r="K113" s="3104" t="s">
        <v>6832</v>
      </c>
    </row>
    <row r="114" spans="1:11" ht="18">
      <c r="A114" s="30"/>
      <c r="B114" s="150">
        <v>6171</v>
      </c>
      <c r="C114" s="151" t="str">
        <f t="shared" si="51"/>
        <v>资产处置收益</v>
      </c>
      <c r="D114" s="70">
        <f t="shared" si="52"/>
        <v>456.04</v>
      </c>
      <c r="E114" s="152"/>
      <c r="F114" s="70">
        <f t="shared" si="53"/>
        <v>0</v>
      </c>
      <c r="G114" s="152"/>
      <c r="H114" s="152" t="str">
        <f t="shared" si="54"/>
        <v/>
      </c>
      <c r="I114" s="70">
        <f t="shared" si="55"/>
        <v>-456.04</v>
      </c>
      <c r="J114" s="152">
        <f t="shared" si="56"/>
        <v>-1</v>
      </c>
      <c r="K114" s="163"/>
    </row>
    <row r="115" spans="1:11" ht="18">
      <c r="A115" s="30"/>
      <c r="B115" s="150">
        <v>6689</v>
      </c>
      <c r="C115" s="153" t="str">
        <f t="shared" si="51"/>
        <v>营业利润</v>
      </c>
      <c r="D115" s="154">
        <f>SUM(D101)-SUM(D102:D107)+SUM(D108:D114)</f>
        <v>123376.75</v>
      </c>
      <c r="E115" s="152">
        <f t="shared" ref="E115:I115" si="57">SUM(E101)-SUM(E102:E107)+SUM(E108:E114)</f>
        <v>0</v>
      </c>
      <c r="F115" s="154">
        <f t="shared" si="57"/>
        <v>-2303426.8199999998</v>
      </c>
      <c r="G115" s="152">
        <f t="shared" si="57"/>
        <v>0</v>
      </c>
      <c r="H115" s="152">
        <f t="shared" si="57"/>
        <v>0</v>
      </c>
      <c r="I115" s="154">
        <f t="shared" si="57"/>
        <v>-2426803.5699999998</v>
      </c>
      <c r="J115" s="152">
        <f t="shared" si="56"/>
        <v>-19.669899999999998</v>
      </c>
      <c r="K115" s="163"/>
    </row>
    <row r="116" spans="1:11" ht="18">
      <c r="A116" s="30"/>
      <c r="B116" s="150">
        <v>6710</v>
      </c>
      <c r="C116" s="151" t="str">
        <f t="shared" si="51"/>
        <v>营业外收入</v>
      </c>
      <c r="D116" s="70">
        <f>VLOOKUP($B116,Sheet_Trialbal,10,0)</f>
        <v>0</v>
      </c>
      <c r="E116" s="152"/>
      <c r="F116" s="70">
        <f>VLOOKUP($B116,Sheet_Trialbal,3,0)</f>
        <v>575901.06000000006</v>
      </c>
      <c r="G116" s="152"/>
      <c r="H116" s="152" t="str">
        <f t="shared" ref="H116:H125" si="58">IF(OR(G116="",E116=""),"",G116-E116)</f>
        <v/>
      </c>
      <c r="I116" s="70">
        <f>IF(OR(F116="",D116=""),"",F116-D116)</f>
        <v>575901.06000000006</v>
      </c>
      <c r="J116" s="152" t="str">
        <f t="shared" si="47"/>
        <v/>
      </c>
      <c r="K116" s="3104" t="s">
        <v>6833</v>
      </c>
    </row>
    <row r="117" spans="1:11" ht="18">
      <c r="A117" s="30"/>
      <c r="B117" s="150">
        <v>6711</v>
      </c>
      <c r="C117" s="151" t="str">
        <f t="shared" si="51"/>
        <v>营业外支出</v>
      </c>
      <c r="D117" s="70">
        <f>VLOOKUP($B117,Sheet_Trialbal,10,0)</f>
        <v>88651.11</v>
      </c>
      <c r="E117" s="152"/>
      <c r="F117" s="70">
        <f>VLOOKUP($B117,Sheet_Trialbal,3,0)</f>
        <v>21970.3</v>
      </c>
      <c r="G117" s="152"/>
      <c r="H117" s="152" t="str">
        <f t="shared" si="58"/>
        <v/>
      </c>
      <c r="I117" s="70">
        <f>IF(OR(F117="",D117=""),"",F117-D117)</f>
        <v>-66680.81</v>
      </c>
      <c r="J117" s="152">
        <f t="shared" si="47"/>
        <v>-0.75219999999999998</v>
      </c>
      <c r="K117" s="163"/>
    </row>
    <row r="118" spans="1:11" ht="18">
      <c r="A118" s="30"/>
      <c r="B118" s="150">
        <v>6788</v>
      </c>
      <c r="C118" s="153" t="str">
        <f t="shared" si="51"/>
        <v>利润总额</v>
      </c>
      <c r="D118" s="154">
        <f>SUM(D115,D116,-D117)</f>
        <v>34725.64</v>
      </c>
      <c r="E118" s="152"/>
      <c r="F118" s="154">
        <f>SUM(F115,F116,-F117)</f>
        <v>-1749496.06</v>
      </c>
      <c r="G118" s="152"/>
      <c r="H118" s="152" t="str">
        <f t="shared" si="58"/>
        <v/>
      </c>
      <c r="I118" s="154">
        <f>SUM(I115,I116,-I117)</f>
        <v>-1784221.7</v>
      </c>
      <c r="J118" s="155">
        <f t="shared" si="47"/>
        <v>-51.380499999999998</v>
      </c>
      <c r="K118" s="163"/>
    </row>
    <row r="119" spans="1:11" ht="36">
      <c r="A119" s="30"/>
      <c r="B119" s="150">
        <v>6791</v>
      </c>
      <c r="C119" s="151" t="str">
        <f t="shared" si="51"/>
        <v>所得税费用</v>
      </c>
      <c r="D119" s="70">
        <f>VLOOKUP($B119,Sheet_Trialbal,10,0)</f>
        <v>-485503.27</v>
      </c>
      <c r="E119" s="152"/>
      <c r="F119" s="70">
        <f>VLOOKUP($B119,Sheet_Trialbal,3,0)</f>
        <v>-1829960.03</v>
      </c>
      <c r="G119" s="152"/>
      <c r="H119" s="152" t="str">
        <f t="shared" si="58"/>
        <v/>
      </c>
      <c r="I119" s="70">
        <f t="shared" ref="I119:I125" si="59">IF(OR(F119="",D119=""),"",F119-D119)</f>
        <v>-1344456.76</v>
      </c>
      <c r="J119" s="152">
        <f t="shared" si="47"/>
        <v>2.7692000000000001</v>
      </c>
      <c r="K119" s="3104" t="s">
        <v>6834</v>
      </c>
    </row>
    <row r="120" spans="1:11" ht="18">
      <c r="A120" s="30"/>
      <c r="B120" s="150">
        <v>6799</v>
      </c>
      <c r="C120" s="153" t="str">
        <f t="shared" si="51"/>
        <v>净利润</v>
      </c>
      <c r="D120" s="154">
        <f>SUM(D118,-D119)</f>
        <v>520228.91</v>
      </c>
      <c r="E120" s="152"/>
      <c r="F120" s="154">
        <f>SUM(F118,-F119)</f>
        <v>80463.97</v>
      </c>
      <c r="G120" s="152"/>
      <c r="H120" s="152" t="str">
        <f t="shared" si="58"/>
        <v/>
      </c>
      <c r="I120" s="154">
        <f t="shared" si="59"/>
        <v>-439764.94</v>
      </c>
      <c r="J120" s="155">
        <f t="shared" si="47"/>
        <v>-0.84530000000000005</v>
      </c>
      <c r="K120" s="163"/>
    </row>
    <row r="121" spans="1:11" ht="18">
      <c r="A121" s="30"/>
      <c r="B121" s="150">
        <v>6811</v>
      </c>
      <c r="C121" s="151" t="str">
        <f t="shared" si="51"/>
        <v>归属于母公司所有者的净利润</v>
      </c>
      <c r="D121" s="70">
        <f>VLOOKUP($B121,Sheet_Trialbal,10,0)</f>
        <v>520228.91</v>
      </c>
      <c r="E121" s="152"/>
      <c r="F121" s="70">
        <f>VLOOKUP($B121,Sheet_Trialbal,3,0)</f>
        <v>80463.97</v>
      </c>
      <c r="G121" s="152"/>
      <c r="H121" s="152" t="str">
        <f t="shared" si="58"/>
        <v/>
      </c>
      <c r="I121" s="70">
        <f t="shared" si="59"/>
        <v>-439764.94</v>
      </c>
      <c r="J121" s="152">
        <f t="shared" si="47"/>
        <v>-0.84530000000000005</v>
      </c>
      <c r="K121" s="163"/>
    </row>
    <row r="122" spans="1:11" ht="18">
      <c r="A122" s="30"/>
      <c r="B122" s="150">
        <v>6812</v>
      </c>
      <c r="C122" s="151" t="str">
        <f t="shared" si="51"/>
        <v>少数股东损益</v>
      </c>
      <c r="D122" s="70">
        <f>VLOOKUP($B122,Sheet_Trialbal,10,0)</f>
        <v>0</v>
      </c>
      <c r="E122" s="152"/>
      <c r="F122" s="70">
        <f>VLOOKUP($B122,Sheet_Trialbal,3,0)</f>
        <v>0</v>
      </c>
      <c r="G122" s="152"/>
      <c r="H122" s="152" t="str">
        <f t="shared" si="58"/>
        <v/>
      </c>
      <c r="I122" s="70">
        <f t="shared" si="59"/>
        <v>0</v>
      </c>
      <c r="J122" s="152" t="str">
        <f t="shared" si="47"/>
        <v/>
      </c>
      <c r="K122" s="163"/>
    </row>
    <row r="123" spans="1:11" ht="18">
      <c r="A123" s="30"/>
      <c r="B123" s="150">
        <v>6829</v>
      </c>
      <c r="C123" s="151" t="str">
        <f t="shared" si="51"/>
        <v>其他综合收益的税后净额</v>
      </c>
      <c r="D123" s="70">
        <f>VLOOKUP($B123,Sheet_Trialbal,10,0)</f>
        <v>0</v>
      </c>
      <c r="E123" s="152"/>
      <c r="F123" s="70">
        <f>VLOOKUP($B123,Sheet_Trialbal,3,0)</f>
        <v>0</v>
      </c>
      <c r="G123" s="152"/>
      <c r="H123" s="152" t="str">
        <f t="shared" si="58"/>
        <v/>
      </c>
      <c r="I123" s="70">
        <f t="shared" si="59"/>
        <v>0</v>
      </c>
      <c r="J123" s="152" t="str">
        <f t="shared" si="47"/>
        <v/>
      </c>
      <c r="K123" s="163"/>
    </row>
    <row r="124" spans="1:11" ht="18">
      <c r="A124" s="30"/>
      <c r="B124" s="150">
        <v>6839</v>
      </c>
      <c r="C124" s="153" t="str">
        <f t="shared" si="51"/>
        <v>综合收益总额</v>
      </c>
      <c r="D124" s="154">
        <f>SUM(D120,D123)</f>
        <v>520228.91</v>
      </c>
      <c r="E124" s="152"/>
      <c r="F124" s="154">
        <f>SUM(F120,F123)</f>
        <v>80463.97</v>
      </c>
      <c r="G124" s="152"/>
      <c r="H124" s="152" t="str">
        <f t="shared" si="58"/>
        <v/>
      </c>
      <c r="I124" s="154">
        <f t="shared" si="59"/>
        <v>-439764.94</v>
      </c>
      <c r="J124" s="155">
        <f t="shared" si="47"/>
        <v>-0.84530000000000005</v>
      </c>
      <c r="K124" s="163"/>
    </row>
    <row r="125" spans="1:11" ht="18">
      <c r="A125" s="30"/>
      <c r="B125" s="36"/>
      <c r="C125" s="37"/>
      <c r="D125" s="166"/>
      <c r="E125" s="167"/>
      <c r="F125" s="166"/>
      <c r="G125" s="167"/>
      <c r="H125" s="167" t="str">
        <f t="shared" si="58"/>
        <v/>
      </c>
      <c r="I125" s="166" t="str">
        <f t="shared" si="59"/>
        <v/>
      </c>
      <c r="J125" s="167" t="str">
        <f t="shared" si="47"/>
        <v/>
      </c>
      <c r="K125" s="171"/>
    </row>
    <row r="126" spans="1:11" ht="18">
      <c r="A126" s="30"/>
      <c r="B126" s="1458" t="s">
        <v>4867</v>
      </c>
      <c r="C126" s="168" t="s">
        <v>5004</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2:J70"/>
  <sheetViews>
    <sheetView workbookViewId="0">
      <selection activeCell="F10" sqref="F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福建省力菲克药业有限公司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43864</v>
      </c>
      <c r="H3" s="14" t="s">
        <v>2524</v>
      </c>
      <c r="I3" s="2746" t="s">
        <v>6596</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4" t="s">
        <v>5009</v>
      </c>
      <c r="G8" s="66" t="s">
        <v>5010</v>
      </c>
      <c r="H8" s="67" t="s">
        <v>2508</v>
      </c>
      <c r="I8" s="98"/>
      <c r="J8" s="99" t="s">
        <v>5011</v>
      </c>
    </row>
    <row r="9" spans="1:10" ht="18">
      <c r="A9" s="30"/>
      <c r="B9" s="31">
        <v>1</v>
      </c>
      <c r="C9" s="69" t="s">
        <v>5012</v>
      </c>
      <c r="D9" s="70"/>
      <c r="E9" s="70"/>
      <c r="F9" s="70"/>
      <c r="G9" s="70"/>
      <c r="H9" s="34"/>
      <c r="I9" s="56"/>
      <c r="J9" s="96"/>
    </row>
    <row r="10" spans="1:10" ht="18">
      <c r="A10" s="30"/>
      <c r="B10" s="31"/>
      <c r="C10" s="72" t="s">
        <v>5013</v>
      </c>
      <c r="D10" s="75">
        <f>IF(D61=0,"",D62/D61)</f>
        <v>0.35949999999999999</v>
      </c>
      <c r="E10" s="70"/>
      <c r="F10" s="75">
        <f>IF(F61=0,"",F62/F61)</f>
        <v>0.36059999999999998</v>
      </c>
      <c r="G10" s="70"/>
      <c r="H10" s="34"/>
      <c r="I10" s="56"/>
      <c r="J10" s="101" t="s">
        <v>5014</v>
      </c>
    </row>
    <row r="11" spans="1:10" ht="18">
      <c r="A11" s="30"/>
      <c r="B11" s="31"/>
      <c r="C11" s="72" t="s">
        <v>5015</v>
      </c>
      <c r="D11" s="75">
        <f>IF(D$61=0,"",D64/D$61)</f>
        <v>3.3E-3</v>
      </c>
      <c r="E11" s="70"/>
      <c r="F11" s="75">
        <f>IF(F$61=0,"",F64/F$61)</f>
        <v>-6.7299999999999999E-2</v>
      </c>
      <c r="G11" s="70"/>
      <c r="H11" s="34"/>
      <c r="I11" s="56"/>
      <c r="J11" s="101" t="s">
        <v>5016</v>
      </c>
    </row>
    <row r="12" spans="1:10" ht="18">
      <c r="A12" s="30"/>
      <c r="B12" s="31"/>
      <c r="C12" s="72" t="s">
        <v>5017</v>
      </c>
      <c r="D12" s="75">
        <f>IF(D$55=0,"",D65/D$55)</f>
        <v>8.8000000000000005E-3</v>
      </c>
      <c r="E12" s="70"/>
      <c r="F12" s="75">
        <f>IF(F$55=0,"",F65/F$55)</f>
        <v>1.2999999999999999E-3</v>
      </c>
      <c r="G12" s="70"/>
      <c r="H12" s="34"/>
      <c r="I12" s="56"/>
      <c r="J12" s="101" t="s">
        <v>5018</v>
      </c>
    </row>
    <row r="13" spans="1:10" ht="18">
      <c r="A13" s="30"/>
      <c r="B13" s="31"/>
      <c r="C13" s="72" t="s">
        <v>5019</v>
      </c>
      <c r="D13" s="75">
        <f>IF(D60=0,"",D65/D60)</f>
        <v>1.1599999999999999E-2</v>
      </c>
      <c r="E13" s="70"/>
      <c r="F13" s="75">
        <f>IF(F60=0,"",F65/F60)</f>
        <v>1.8E-3</v>
      </c>
      <c r="G13" s="70"/>
      <c r="H13" s="34"/>
      <c r="I13" s="56"/>
      <c r="J13" s="101" t="s">
        <v>5020</v>
      </c>
    </row>
    <row r="14" spans="1:10" ht="18">
      <c r="A14" s="30"/>
      <c r="B14" s="31">
        <v>2</v>
      </c>
      <c r="C14" s="69" t="s">
        <v>5021</v>
      </c>
      <c r="D14" s="70"/>
      <c r="E14" s="70"/>
      <c r="F14" s="70"/>
      <c r="G14" s="70"/>
      <c r="H14" s="34"/>
      <c r="I14" s="56"/>
      <c r="J14" s="96"/>
    </row>
    <row r="15" spans="1:10" ht="18">
      <c r="A15" s="30"/>
      <c r="B15" s="31"/>
      <c r="C15" s="72" t="s">
        <v>5022</v>
      </c>
      <c r="D15" s="70">
        <f>IF(D47=0,"",D$61/D47)</f>
        <v>4.7</v>
      </c>
      <c r="E15" s="70"/>
      <c r="F15" s="70">
        <f>IF(F47=0,"",F$61/F47)</f>
        <v>2.0499999999999998</v>
      </c>
      <c r="G15" s="70"/>
      <c r="H15" s="34"/>
      <c r="I15" s="56"/>
      <c r="J15" s="101" t="s">
        <v>5023</v>
      </c>
    </row>
    <row r="16" spans="1:10" ht="18">
      <c r="A16" s="30"/>
      <c r="B16" s="31"/>
      <c r="C16" s="72" t="s">
        <v>5024</v>
      </c>
      <c r="D16" s="70">
        <f>IF(D52=0,"",D67/D52)</f>
        <v>3.76</v>
      </c>
      <c r="E16" s="70"/>
      <c r="F16" s="70">
        <f>IF(F52=0,"",F67/F52)</f>
        <v>1.62</v>
      </c>
      <c r="G16" s="70"/>
      <c r="H16" s="34"/>
      <c r="I16" s="56"/>
      <c r="J16" s="101" t="s">
        <v>5025</v>
      </c>
    </row>
    <row r="17" spans="1:10" ht="18">
      <c r="A17" s="30"/>
      <c r="B17" s="31"/>
      <c r="C17" s="72" t="s">
        <v>5026</v>
      </c>
      <c r="D17" s="70">
        <f>IF(D56=0,"",D$61/D56)</f>
        <v>1.27</v>
      </c>
      <c r="E17" s="70"/>
      <c r="F17" s="70">
        <f>IF(F56=0,"",F$61/F56)</f>
        <v>0.56000000000000005</v>
      </c>
      <c r="G17" s="70"/>
      <c r="H17" s="34"/>
      <c r="I17" s="56"/>
      <c r="J17" s="101" t="s">
        <v>5027</v>
      </c>
    </row>
    <row r="18" spans="1:10" ht="18">
      <c r="A18" s="30"/>
      <c r="B18" s="31"/>
      <c r="C18" s="72" t="s">
        <v>5028</v>
      </c>
      <c r="D18" s="70">
        <f>IF(D58=0,"",D$61/D58)</f>
        <v>2.06</v>
      </c>
      <c r="E18" s="70"/>
      <c r="F18" s="70">
        <f>IF(F58=0,"",F$61/F58)</f>
        <v>1.72</v>
      </c>
      <c r="G18" s="70"/>
      <c r="H18" s="34"/>
      <c r="I18" s="56"/>
      <c r="J18" s="101" t="s">
        <v>5029</v>
      </c>
    </row>
    <row r="19" spans="1:10" ht="18">
      <c r="A19" s="30"/>
      <c r="B19" s="31">
        <v>3</v>
      </c>
      <c r="C19" s="69" t="s">
        <v>5030</v>
      </c>
      <c r="D19" s="70"/>
      <c r="E19" s="70"/>
      <c r="F19" s="70"/>
      <c r="G19" s="70"/>
      <c r="H19" s="34"/>
      <c r="I19" s="56"/>
      <c r="J19" s="96"/>
    </row>
    <row r="20" spans="1:10" ht="18">
      <c r="A20" s="30"/>
      <c r="B20" s="31"/>
      <c r="C20" s="72" t="s">
        <v>5031</v>
      </c>
      <c r="D20" s="70">
        <f>IF(D$57=0,"",D53/D$57)</f>
        <v>2.27</v>
      </c>
      <c r="E20" s="70"/>
      <c r="F20" s="70">
        <f>IF(F$57=0,"",F53/F$57)</f>
        <v>2.1</v>
      </c>
      <c r="G20" s="70"/>
      <c r="H20" s="34"/>
      <c r="I20" s="56"/>
      <c r="J20" s="101" t="s">
        <v>5032</v>
      </c>
    </row>
    <row r="21" spans="1:10" ht="18">
      <c r="A21" s="30"/>
      <c r="B21" s="31"/>
      <c r="C21" s="72" t="s">
        <v>5033</v>
      </c>
      <c r="D21" s="70">
        <f>IF(D$57=0,"",D54/D$57)</f>
        <v>1.32</v>
      </c>
      <c r="E21" s="70"/>
      <c r="F21" s="70">
        <f>IF(F$57=0,"",F54/F$57)</f>
        <v>1.27</v>
      </c>
      <c r="G21" s="70"/>
      <c r="H21" s="34"/>
      <c r="I21" s="56"/>
      <c r="J21" s="101" t="s">
        <v>5034</v>
      </c>
    </row>
    <row r="22" spans="1:10" ht="18">
      <c r="A22" s="30"/>
      <c r="B22" s="31"/>
      <c r="C22" s="72" t="s">
        <v>5035</v>
      </c>
      <c r="D22" s="70">
        <f>IF(D$57=0,"",D70/D$57)</f>
        <v>0.02</v>
      </c>
      <c r="E22" s="70"/>
      <c r="F22" s="70">
        <f>IF(F$57=0,"",F70/F$57)</f>
        <v>0.03</v>
      </c>
      <c r="G22" s="70"/>
      <c r="H22" s="34"/>
      <c r="I22" s="56"/>
      <c r="J22" s="101" t="s">
        <v>5036</v>
      </c>
    </row>
    <row r="23" spans="1:10" ht="18">
      <c r="A23" s="30"/>
      <c r="B23" s="31">
        <v>4</v>
      </c>
      <c r="C23" s="69" t="s">
        <v>5037</v>
      </c>
      <c r="D23" s="70"/>
      <c r="E23" s="70"/>
      <c r="F23" s="70"/>
      <c r="G23" s="70"/>
      <c r="H23" s="34"/>
      <c r="I23" s="56"/>
      <c r="J23" s="96"/>
    </row>
    <row r="24" spans="1:10" ht="18">
      <c r="A24" s="30"/>
      <c r="B24" s="31"/>
      <c r="C24" s="72" t="s">
        <v>5038</v>
      </c>
      <c r="D24" s="75">
        <f>IF(D55=0,"",D59/D55)</f>
        <v>0.24129999999999999</v>
      </c>
      <c r="E24" s="75"/>
      <c r="F24" s="75">
        <f>IF(F55=0,"",F59/F55)</f>
        <v>0.28970000000000001</v>
      </c>
      <c r="G24" s="75"/>
      <c r="H24" s="34"/>
      <c r="I24" s="56"/>
      <c r="J24" s="96"/>
    </row>
    <row r="25" spans="1:10" ht="18">
      <c r="A25" s="30"/>
      <c r="B25" s="31">
        <v>5</v>
      </c>
      <c r="C25" s="69" t="s">
        <v>5039</v>
      </c>
      <c r="D25" s="70"/>
      <c r="E25" s="70"/>
      <c r="F25" s="70"/>
      <c r="G25" s="70"/>
      <c r="H25" s="34"/>
      <c r="I25" s="56"/>
      <c r="J25" s="96"/>
    </row>
    <row r="26" spans="1:10" ht="18">
      <c r="A26" s="30"/>
      <c r="B26" s="31"/>
      <c r="C26" s="72" t="s">
        <v>5040</v>
      </c>
      <c r="D26" s="75" t="str">
        <f>IF(H61=0,"",(D61-H61)/H61)</f>
        <v/>
      </c>
      <c r="E26" s="75"/>
      <c r="F26" s="75">
        <f>IF(D61=0,"",(F61-D61)/D61)</f>
        <v>-8.3400000000000002E-2</v>
      </c>
      <c r="G26" s="75"/>
      <c r="H26" s="34"/>
      <c r="I26" s="56"/>
      <c r="J26" s="101" t="s">
        <v>5041</v>
      </c>
    </row>
    <row r="27" spans="1:10" ht="18">
      <c r="A27" s="30"/>
      <c r="B27" s="31"/>
      <c r="C27" s="72" t="s">
        <v>5042</v>
      </c>
      <c r="D27" s="75" t="str">
        <f>IF(H64=0,"",(D64-H64)/H64)</f>
        <v/>
      </c>
      <c r="E27" s="75"/>
      <c r="F27" s="75">
        <f>IF(D64=0,"",(F64-D64)/D64)</f>
        <v>-19.669899999999998</v>
      </c>
      <c r="G27" s="75"/>
      <c r="H27" s="34"/>
      <c r="I27" s="56"/>
      <c r="J27" s="101" t="s">
        <v>5043</v>
      </c>
    </row>
    <row r="28" spans="1:10" ht="18">
      <c r="A28" s="30"/>
      <c r="B28" s="31"/>
      <c r="C28" s="72" t="s">
        <v>5044</v>
      </c>
      <c r="D28" s="75" t="str">
        <f>IF(H65=0,"",(D65-H65)/H65)</f>
        <v/>
      </c>
      <c r="E28" s="75"/>
      <c r="F28" s="75">
        <f>IF(D65=0,"",(F65-D65)/D65)</f>
        <v>-0.84530000000000005</v>
      </c>
      <c r="G28" s="75"/>
      <c r="H28" s="34"/>
      <c r="I28" s="56"/>
      <c r="J28" s="101" t="s">
        <v>5045</v>
      </c>
    </row>
    <row r="29" spans="1:10" ht="18">
      <c r="A29" s="30"/>
      <c r="B29" s="31"/>
      <c r="C29" s="72" t="s">
        <v>5046</v>
      </c>
      <c r="D29" s="75" t="str">
        <f>IF(H60=0,"",(D60-H60)/H60)</f>
        <v/>
      </c>
      <c r="E29" s="75"/>
      <c r="F29" s="75">
        <f>IF(D60=0,"",(F60-D60)/D60)</f>
        <v>1.8E-3</v>
      </c>
      <c r="G29" s="75"/>
      <c r="H29" s="34"/>
      <c r="I29" s="56"/>
      <c r="J29" s="101" t="s">
        <v>5047</v>
      </c>
    </row>
    <row r="30" spans="1:10" ht="18">
      <c r="A30" s="30"/>
      <c r="B30" s="31"/>
      <c r="C30" s="72" t="s">
        <v>5048</v>
      </c>
      <c r="D30" s="75" t="str">
        <f>IF(H55=0,"",(D55-H55)/H55)</f>
        <v/>
      </c>
      <c r="E30" s="75"/>
      <c r="F30" s="75">
        <f>IF(D55=0,"",(F55-D55)/D55)</f>
        <v>7.0000000000000007E-2</v>
      </c>
      <c r="G30" s="75"/>
      <c r="H30" s="34"/>
      <c r="I30" s="56"/>
      <c r="J30" s="101" t="s">
        <v>5049</v>
      </c>
    </row>
    <row r="31" spans="1:10" ht="18">
      <c r="A31" s="30"/>
      <c r="B31" s="31">
        <v>6</v>
      </c>
      <c r="C31" s="69" t="s">
        <v>5050</v>
      </c>
      <c r="D31" s="70"/>
      <c r="E31" s="70"/>
      <c r="F31" s="70"/>
      <c r="G31" s="70"/>
      <c r="H31" s="34"/>
      <c r="I31" s="56"/>
      <c r="J31" s="96"/>
    </row>
    <row r="32" spans="1:10" ht="18">
      <c r="A32" s="30"/>
      <c r="B32" s="31"/>
      <c r="C32" s="72" t="s">
        <v>891</v>
      </c>
      <c r="D32" s="70" t="str">
        <f>IF(D$43=0,"",D65/D$43)</f>
        <v/>
      </c>
      <c r="E32" s="70"/>
      <c r="F32" s="70" t="str">
        <f>IF(F$43=0,"",F65/F$43)</f>
        <v/>
      </c>
      <c r="G32" s="70"/>
      <c r="H32" s="34"/>
      <c r="I32" s="56"/>
      <c r="J32" s="101" t="s">
        <v>5051</v>
      </c>
    </row>
    <row r="33" spans="1:10" ht="18">
      <c r="A33" s="30"/>
      <c r="B33" s="31"/>
      <c r="C33" s="72" t="s">
        <v>5052</v>
      </c>
      <c r="D33" s="70" t="str">
        <f>IF(D$43=0,"",D60/D$43)</f>
        <v/>
      </c>
      <c r="E33" s="70"/>
      <c r="F33" s="70" t="str">
        <f>IF(F$43=0,"",F60/F$43)</f>
        <v/>
      </c>
      <c r="G33" s="70"/>
      <c r="H33" s="34"/>
      <c r="I33" s="56"/>
      <c r="J33" s="101" t="s">
        <v>5053</v>
      </c>
    </row>
    <row r="34" spans="1:10" ht="18">
      <c r="A34" s="30"/>
      <c r="B34" s="36"/>
      <c r="C34" s="76" t="s">
        <v>5054</v>
      </c>
      <c r="D34" s="70" t="str">
        <f>IF(D$43=0,"",#REF!/D$43)</f>
        <v/>
      </c>
      <c r="E34" s="70"/>
      <c r="F34" s="70" t="str">
        <f>IF(F$43=0,"",#REF!/F$43)</f>
        <v/>
      </c>
      <c r="G34" s="70"/>
      <c r="H34" s="39"/>
      <c r="I34" s="57"/>
      <c r="J34" s="101" t="s">
        <v>5055</v>
      </c>
    </row>
    <row r="35" spans="1:10" ht="18">
      <c r="A35" s="30"/>
      <c r="B35" s="81"/>
      <c r="C35" s="94"/>
      <c r="D35" s="33"/>
      <c r="E35" s="33"/>
      <c r="F35" s="95"/>
      <c r="G35" s="83"/>
      <c r="H35" s="84"/>
      <c r="I35" s="56"/>
      <c r="J35" s="96"/>
    </row>
    <row r="36" spans="1:10" ht="18">
      <c r="A36" s="30"/>
      <c r="B36" s="81"/>
      <c r="C36" s="78" t="s">
        <v>5004</v>
      </c>
      <c r="D36" s="83"/>
      <c r="E36" s="83"/>
      <c r="F36" s="83"/>
      <c r="G36" s="83"/>
      <c r="H36" s="84"/>
      <c r="I36" s="56"/>
      <c r="J36" s="96"/>
    </row>
    <row r="37" spans="1:10" ht="18">
      <c r="A37" s="30"/>
      <c r="B37" s="81"/>
      <c r="C37" s="82"/>
      <c r="D37" s="83"/>
      <c r="E37" s="83"/>
      <c r="F37" s="83"/>
      <c r="G37" s="83"/>
      <c r="H37" s="84"/>
      <c r="I37" s="56"/>
      <c r="J37" s="96"/>
    </row>
    <row r="38" spans="1:10" ht="18">
      <c r="A38" s="30"/>
      <c r="B38" s="85"/>
      <c r="C38" s="49"/>
      <c r="D38" s="86"/>
      <c r="E38" s="86"/>
      <c r="F38" s="86"/>
      <c r="G38" s="86"/>
      <c r="H38" s="87"/>
      <c r="I38" s="57"/>
      <c r="J38" s="96"/>
    </row>
    <row r="39" spans="1:10" ht="18">
      <c r="A39" s="30"/>
      <c r="B39" s="103"/>
      <c r="C39" s="103"/>
      <c r="D39" s="103"/>
      <c r="E39" s="103"/>
      <c r="F39" s="103"/>
      <c r="G39" s="103"/>
      <c r="H39" s="103"/>
      <c r="I39" s="103"/>
      <c r="J39" s="96"/>
    </row>
    <row r="40" spans="1:10" ht="18">
      <c r="A40" s="30"/>
      <c r="J40" s="96"/>
    </row>
    <row r="41" spans="1:10" ht="24">
      <c r="A41" s="30"/>
      <c r="B41" s="104" t="s">
        <v>2874</v>
      </c>
      <c r="C41" s="105"/>
      <c r="D41" s="106" t="s">
        <v>5056</v>
      </c>
      <c r="E41" s="107" t="s">
        <v>5057</v>
      </c>
      <c r="F41" s="106" t="s">
        <v>5058</v>
      </c>
      <c r="G41" s="106" t="s">
        <v>5010</v>
      </c>
      <c r="H41" s="3606" t="s">
        <v>5059</v>
      </c>
      <c r="I41" s="3607"/>
      <c r="J41" s="97" t="s">
        <v>5060</v>
      </c>
    </row>
    <row r="42" spans="1:10" ht="18">
      <c r="A42" s="30"/>
      <c r="B42" s="108"/>
      <c r="C42" s="109" t="s">
        <v>5061</v>
      </c>
      <c r="D42" s="110"/>
      <c r="E42" s="111"/>
      <c r="F42" s="110"/>
      <c r="G42" s="110"/>
      <c r="H42" s="3608"/>
      <c r="I42" s="3609"/>
      <c r="J42" s="96"/>
    </row>
    <row r="43" spans="1:10" ht="18">
      <c r="A43" s="30"/>
      <c r="B43" s="112"/>
      <c r="C43" s="113" t="s">
        <v>5062</v>
      </c>
      <c r="D43" s="114"/>
      <c r="E43" s="115"/>
      <c r="F43" s="114"/>
      <c r="G43" s="114"/>
      <c r="H43" s="3610"/>
      <c r="I43" s="3611"/>
      <c r="J43" s="96"/>
    </row>
    <row r="44" spans="1:10" ht="18">
      <c r="A44" s="30"/>
      <c r="B44" s="116">
        <v>1122</v>
      </c>
      <c r="C44" s="113" t="s">
        <v>124</v>
      </c>
      <c r="D44" s="117">
        <f>VLOOKUP($B44,Sheet_Trialbal,10,0)</f>
        <v>15914214.57</v>
      </c>
      <c r="E44" s="117"/>
      <c r="F44" s="117">
        <f>VLOOKUP($B44,Sheet_Trialbal,3,0)</f>
        <v>17534070.530000001</v>
      </c>
      <c r="G44" s="117"/>
      <c r="H44" s="3604"/>
      <c r="I44" s="3605"/>
      <c r="J44" s="101" t="s">
        <v>5063</v>
      </c>
    </row>
    <row r="45" spans="1:10" ht="18">
      <c r="A45" s="30"/>
      <c r="B45" s="116">
        <v>1122.1231</v>
      </c>
      <c r="C45" s="113" t="s">
        <v>5064</v>
      </c>
      <c r="D45" s="114">
        <f>VLOOKUP($B45,Sheet_Trialbal,10,0)</f>
        <v>0</v>
      </c>
      <c r="E45" s="114"/>
      <c r="F45" s="114">
        <f>VLOOKUP($B45,Sheet_Trialbal,3,0)</f>
        <v>0</v>
      </c>
      <c r="G45" s="114"/>
      <c r="H45" s="3604"/>
      <c r="I45" s="3605"/>
      <c r="J45" s="101" t="s">
        <v>5063</v>
      </c>
    </row>
    <row r="46" spans="1:10" ht="18">
      <c r="A46" s="30"/>
      <c r="B46" s="116"/>
      <c r="C46" s="113" t="s">
        <v>5065</v>
      </c>
      <c r="D46" s="118">
        <f>D44+D45</f>
        <v>15914214.57</v>
      </c>
      <c r="E46" s="118"/>
      <c r="F46" s="118">
        <f>F44+F45</f>
        <v>17534070.530000001</v>
      </c>
      <c r="G46" s="118"/>
      <c r="H46" s="3598">
        <f>H44+H45</f>
        <v>0</v>
      </c>
      <c r="I46" s="3599">
        <f>I44+I45</f>
        <v>0</v>
      </c>
      <c r="J46" s="96"/>
    </row>
    <row r="47" spans="1:10" ht="18">
      <c r="A47" s="30"/>
      <c r="B47" s="116"/>
      <c r="C47" s="120" t="s">
        <v>5066</v>
      </c>
      <c r="D47" s="118">
        <f>(D46+H46)/2</f>
        <v>7957107.29</v>
      </c>
      <c r="E47" s="118"/>
      <c r="F47" s="118">
        <f>(D46+F46)/2</f>
        <v>16724142.550000001</v>
      </c>
      <c r="G47" s="118"/>
      <c r="H47" s="3598"/>
      <c r="I47" s="3599"/>
      <c r="J47" s="96"/>
    </row>
    <row r="48" spans="1:10" ht="18">
      <c r="A48" s="30"/>
      <c r="B48" s="116">
        <v>1125</v>
      </c>
      <c r="C48" s="113" t="s">
        <v>162</v>
      </c>
      <c r="D48" s="117">
        <f>VLOOKUP($B48,Sheet_Trialbal,10,0)</f>
        <v>916036.19</v>
      </c>
      <c r="E48" s="117"/>
      <c r="F48" s="117">
        <f>VLOOKUP($B48,Sheet_Trialbal,3,0)</f>
        <v>815153.11</v>
      </c>
      <c r="G48" s="117"/>
      <c r="H48" s="3598"/>
      <c r="I48" s="3599"/>
      <c r="J48" s="96"/>
    </row>
    <row r="49" spans="1:10" ht="18">
      <c r="A49" s="30"/>
      <c r="B49" s="116">
        <v>1400</v>
      </c>
      <c r="C49" s="113" t="s">
        <v>229</v>
      </c>
      <c r="D49" s="117">
        <f>VLOOKUP($B49,Sheet_Trialbal,10,0)</f>
        <v>12739599.279999999</v>
      </c>
      <c r="E49" s="117"/>
      <c r="F49" s="117">
        <f>VLOOKUP($B49,Sheet_Trialbal,3,0)</f>
        <v>14225246.289999999</v>
      </c>
      <c r="G49" s="117"/>
      <c r="H49" s="3604"/>
      <c r="I49" s="3605"/>
      <c r="J49" s="101" t="s">
        <v>5063</v>
      </c>
    </row>
    <row r="50" spans="1:10" ht="18">
      <c r="A50" s="30"/>
      <c r="B50" s="116">
        <v>1400.1470999999999</v>
      </c>
      <c r="C50" s="113" t="s">
        <v>5067</v>
      </c>
      <c r="D50" s="114">
        <f>VLOOKUP($B50,Sheet_Trialbal,10,0)</f>
        <v>0</v>
      </c>
      <c r="E50" s="114"/>
      <c r="F50" s="114">
        <f>VLOOKUP($B50,Sheet_Trialbal,3,0)</f>
        <v>0</v>
      </c>
      <c r="G50" s="114"/>
      <c r="H50" s="3604"/>
      <c r="I50" s="3605"/>
      <c r="J50" s="101" t="s">
        <v>5063</v>
      </c>
    </row>
    <row r="51" spans="1:10" ht="18">
      <c r="A51" s="30"/>
      <c r="B51" s="116"/>
      <c r="C51" s="113" t="s">
        <v>5068</v>
      </c>
      <c r="D51" s="118">
        <f>D49+D50</f>
        <v>12739599.279999999</v>
      </c>
      <c r="E51" s="118"/>
      <c r="F51" s="118">
        <f>F49+F50</f>
        <v>14225246.289999999</v>
      </c>
      <c r="G51" s="118"/>
      <c r="H51" s="3598">
        <f>H49+H50</f>
        <v>0</v>
      </c>
      <c r="I51" s="3599">
        <f>I49+I50</f>
        <v>0</v>
      </c>
      <c r="J51" s="96"/>
    </row>
    <row r="52" spans="1:10" ht="18">
      <c r="A52" s="30"/>
      <c r="B52" s="116"/>
      <c r="C52" s="120" t="s">
        <v>5069</v>
      </c>
      <c r="D52" s="118">
        <f>(D51+H51)/2</f>
        <v>6369799.6399999997</v>
      </c>
      <c r="E52" s="118"/>
      <c r="F52" s="118">
        <f>(D51+F51)/2</f>
        <v>13482422.789999999</v>
      </c>
      <c r="G52" s="118"/>
      <c r="H52" s="3598"/>
      <c r="I52" s="3599"/>
      <c r="J52" s="96"/>
    </row>
    <row r="53" spans="1:10" ht="18">
      <c r="A53" s="30"/>
      <c r="B53" s="116">
        <v>1498</v>
      </c>
      <c r="C53" s="113" t="s">
        <v>286</v>
      </c>
      <c r="D53" s="117">
        <f>VLOOKUP($B53,Sheet_Trialbal,10,0)</f>
        <v>32383594.129999999</v>
      </c>
      <c r="E53" s="117"/>
      <c r="F53" s="117">
        <f>VLOOKUP($B53,Sheet_Trialbal,3,0)</f>
        <v>38068475.060000002</v>
      </c>
      <c r="G53" s="117"/>
      <c r="H53" s="3598"/>
      <c r="I53" s="3599"/>
      <c r="J53" s="96"/>
    </row>
    <row r="54" spans="1:10" ht="18">
      <c r="A54" s="30"/>
      <c r="B54" s="116"/>
      <c r="C54" s="120" t="s">
        <v>5070</v>
      </c>
      <c r="D54" s="118">
        <f>D53-D48-D49</f>
        <v>18727958.66</v>
      </c>
      <c r="E54" s="118"/>
      <c r="F54" s="118">
        <f>F53-F48-F49</f>
        <v>23028075.66</v>
      </c>
      <c r="G54" s="118"/>
      <c r="H54" s="3598"/>
      <c r="I54" s="3599"/>
      <c r="J54" s="96"/>
    </row>
    <row r="55" spans="1:10" ht="18">
      <c r="A55" s="30"/>
      <c r="B55" s="116">
        <v>1999</v>
      </c>
      <c r="C55" s="113" t="s">
        <v>5071</v>
      </c>
      <c r="D55" s="117">
        <f>VLOOKUP($B55,Sheet_Trialbal,10,0)</f>
        <v>59007107.990000002</v>
      </c>
      <c r="E55" s="117"/>
      <c r="F55" s="117">
        <f>VLOOKUP($B55,Sheet_Trialbal,3,0)</f>
        <v>63138219.909999996</v>
      </c>
      <c r="G55" s="117"/>
      <c r="H55" s="3604"/>
      <c r="I55" s="3605"/>
      <c r="J55" s="101" t="s">
        <v>5063</v>
      </c>
    </row>
    <row r="56" spans="1:10" ht="18">
      <c r="A56" s="30"/>
      <c r="B56" s="116"/>
      <c r="C56" s="120" t="s">
        <v>5072</v>
      </c>
      <c r="D56" s="118">
        <f>(D55+H55)/2</f>
        <v>29503554</v>
      </c>
      <c r="E56" s="118"/>
      <c r="F56" s="118">
        <f>(D55+F55)/2</f>
        <v>61072663.950000003</v>
      </c>
      <c r="G56" s="117"/>
      <c r="H56" s="3598"/>
      <c r="I56" s="3599"/>
      <c r="J56" s="96"/>
    </row>
    <row r="57" spans="1:10" ht="18">
      <c r="A57" s="30"/>
      <c r="B57" s="116">
        <v>2498</v>
      </c>
      <c r="C57" s="113" t="s">
        <v>566</v>
      </c>
      <c r="D57" s="117">
        <f>VLOOKUP($B57,Sheet_Trialbal,10,0)</f>
        <v>14238625.880000001</v>
      </c>
      <c r="E57" s="117"/>
      <c r="F57" s="117">
        <f>VLOOKUP($B57,Sheet_Trialbal,3,0)</f>
        <v>18149273.829999998</v>
      </c>
      <c r="G57" s="117"/>
      <c r="H57" s="3598"/>
      <c r="I57" s="3599"/>
      <c r="J57" s="96"/>
    </row>
    <row r="58" spans="1:10" ht="18">
      <c r="A58" s="30"/>
      <c r="B58" s="116"/>
      <c r="C58" s="113" t="s">
        <v>5073</v>
      </c>
      <c r="D58" s="118">
        <f>D53-D57</f>
        <v>18144968.25</v>
      </c>
      <c r="E58" s="118"/>
      <c r="F58" s="118">
        <f>F53-F57</f>
        <v>19919201.23</v>
      </c>
      <c r="G58" s="118"/>
      <c r="H58" s="3598"/>
      <c r="I58" s="3599"/>
      <c r="J58" s="96"/>
    </row>
    <row r="59" spans="1:10" ht="18">
      <c r="A59" s="30"/>
      <c r="B59" s="116">
        <v>2999</v>
      </c>
      <c r="C59" s="113" t="s">
        <v>5074</v>
      </c>
      <c r="D59" s="117">
        <f t="shared" ref="D59:D70" si="0">VLOOKUP($B59,Sheet_Trialbal,10,0)</f>
        <v>14238625.880000001</v>
      </c>
      <c r="E59" s="117"/>
      <c r="F59" s="117">
        <f t="shared" ref="F59:F70" si="1">VLOOKUP($B59,Sheet_Trialbal,3,0)</f>
        <v>18289273.829999998</v>
      </c>
      <c r="G59" s="117"/>
      <c r="H59" s="3598"/>
      <c r="I59" s="3599"/>
      <c r="J59" s="96"/>
    </row>
    <row r="60" spans="1:10" ht="18">
      <c r="A60" s="30"/>
      <c r="B60" s="116">
        <v>4999</v>
      </c>
      <c r="C60" s="113" t="s">
        <v>5075</v>
      </c>
      <c r="D60" s="117">
        <f t="shared" si="0"/>
        <v>44768482.109999999</v>
      </c>
      <c r="E60" s="117"/>
      <c r="F60" s="117">
        <f t="shared" si="1"/>
        <v>44848946.079999998</v>
      </c>
      <c r="G60" s="117"/>
      <c r="H60" s="3604"/>
      <c r="I60" s="3605"/>
      <c r="J60" s="101" t="s">
        <v>5063</v>
      </c>
    </row>
    <row r="61" spans="1:10" ht="18">
      <c r="A61" s="30"/>
      <c r="B61" s="116">
        <v>6001</v>
      </c>
      <c r="C61" s="113" t="s">
        <v>631</v>
      </c>
      <c r="D61" s="117">
        <f>VLOOKUP($B61,Sheet_Trialbal,10,0)</f>
        <v>37369847.649999999</v>
      </c>
      <c r="E61" s="117"/>
      <c r="F61" s="117">
        <f>VLOOKUP($B61,Sheet_Trialbal,3,0)</f>
        <v>34251580.890000001</v>
      </c>
      <c r="G61" s="117"/>
      <c r="H61" s="3602"/>
      <c r="I61" s="3603"/>
      <c r="J61" s="101" t="s">
        <v>5063</v>
      </c>
    </row>
    <row r="62" spans="1:10" ht="18">
      <c r="A62" s="30"/>
      <c r="B62" s="116"/>
      <c r="C62" s="113" t="s">
        <v>5076</v>
      </c>
      <c r="D62" s="117">
        <f>D61-D67</f>
        <v>13435255.960000001</v>
      </c>
      <c r="E62" s="117"/>
      <c r="F62" s="117">
        <f>F61-F67</f>
        <v>12349441.93</v>
      </c>
      <c r="G62" s="117"/>
      <c r="H62" s="73"/>
      <c r="I62" s="56"/>
      <c r="J62" s="96"/>
    </row>
    <row r="63" spans="1:10" ht="18">
      <c r="A63" s="30"/>
      <c r="B63" s="116">
        <v>6111</v>
      </c>
      <c r="C63" s="113" t="s">
        <v>656</v>
      </c>
      <c r="D63" s="117">
        <f>VLOOKUP($B63,Sheet_Trialbal,10,0)</f>
        <v>38200.720000000001</v>
      </c>
      <c r="E63" s="117"/>
      <c r="F63" s="117">
        <f>VLOOKUP($B63,Sheet_Trialbal,3,0)</f>
        <v>41851.06</v>
      </c>
      <c r="G63" s="117"/>
      <c r="H63" s="74" t="s">
        <v>5059</v>
      </c>
      <c r="I63" s="56"/>
      <c r="J63" s="96"/>
    </row>
    <row r="64" spans="1:10" ht="18">
      <c r="A64" s="30"/>
      <c r="B64" s="116">
        <v>6689</v>
      </c>
      <c r="C64" s="113" t="s">
        <v>833</v>
      </c>
      <c r="D64" s="117">
        <f>VLOOKUP($B64,Sheet_Trialbal,10,0)</f>
        <v>123376.75</v>
      </c>
      <c r="E64" s="117"/>
      <c r="F64" s="117">
        <f>VLOOKUP($B64,Sheet_Trialbal,3,0)</f>
        <v>-2303426.8199999998</v>
      </c>
      <c r="G64" s="117"/>
      <c r="H64" s="3602"/>
      <c r="I64" s="3603"/>
      <c r="J64" s="101" t="s">
        <v>5063</v>
      </c>
    </row>
    <row r="65" spans="1:10" ht="18">
      <c r="A65" s="30"/>
      <c r="B65" s="116">
        <v>6799</v>
      </c>
      <c r="C65" s="113" t="s">
        <v>871</v>
      </c>
      <c r="D65" s="117">
        <f>VLOOKUP($B65,Sheet_Trialbal,10,0)</f>
        <v>520228.91</v>
      </c>
      <c r="E65" s="117"/>
      <c r="F65" s="117">
        <f>VLOOKUP($B65,Sheet_Trialbal,3,0)</f>
        <v>80463.97</v>
      </c>
      <c r="G65" s="117"/>
      <c r="H65" s="3602"/>
      <c r="I65" s="3603"/>
      <c r="J65" s="101" t="s">
        <v>5063</v>
      </c>
    </row>
    <row r="66" spans="1:10" ht="18">
      <c r="A66" s="30"/>
      <c r="B66" s="116">
        <v>6811</v>
      </c>
      <c r="C66" s="113" t="s">
        <v>5077</v>
      </c>
      <c r="D66" s="117">
        <f>VLOOKUP($B66,Sheet_Trialbal,10,0)</f>
        <v>520228.91</v>
      </c>
      <c r="E66" s="117"/>
      <c r="F66" s="117">
        <f>VLOOKUP($B66,Sheet_Trialbal,3,0)</f>
        <v>80463.97</v>
      </c>
      <c r="G66" s="117"/>
      <c r="H66" s="34"/>
      <c r="I66" s="56"/>
      <c r="J66" s="96"/>
    </row>
    <row r="67" spans="1:10" ht="18">
      <c r="A67" s="30"/>
      <c r="B67" s="116">
        <v>6401</v>
      </c>
      <c r="C67" s="113" t="s">
        <v>671</v>
      </c>
      <c r="D67" s="117">
        <f t="shared" si="0"/>
        <v>23934591.690000001</v>
      </c>
      <c r="E67" s="117"/>
      <c r="F67" s="117">
        <f t="shared" si="1"/>
        <v>21902138.960000001</v>
      </c>
      <c r="G67" s="117"/>
      <c r="H67" s="3598"/>
      <c r="I67" s="3599"/>
      <c r="J67" s="96"/>
    </row>
    <row r="68" spans="1:10" ht="18">
      <c r="A68" s="30"/>
      <c r="B68" s="116">
        <v>6601</v>
      </c>
      <c r="C68" s="113" t="s">
        <v>680</v>
      </c>
      <c r="D68" s="117">
        <f t="shared" si="0"/>
        <v>5670698.4400000004</v>
      </c>
      <c r="E68" s="117"/>
      <c r="F68" s="117">
        <f t="shared" si="1"/>
        <v>5573302.79</v>
      </c>
      <c r="G68" s="117"/>
      <c r="H68" s="3598"/>
      <c r="I68" s="3599"/>
      <c r="J68" s="96"/>
    </row>
    <row r="69" spans="1:10" ht="18">
      <c r="A69" s="30"/>
      <c r="B69" s="116">
        <v>6602</v>
      </c>
      <c r="C69" s="113" t="s">
        <v>685</v>
      </c>
      <c r="D69" s="117">
        <f t="shared" si="0"/>
        <v>2881011.76</v>
      </c>
      <c r="E69" s="117"/>
      <c r="F69" s="117">
        <f t="shared" si="1"/>
        <v>3468057.07</v>
      </c>
      <c r="G69" s="117"/>
      <c r="H69" s="3598"/>
      <c r="I69" s="3599"/>
      <c r="J69" s="96"/>
    </row>
    <row r="70" spans="1:10" ht="18">
      <c r="A70" s="30"/>
      <c r="B70" s="121">
        <v>7399</v>
      </c>
      <c r="C70" s="122" t="s">
        <v>2272</v>
      </c>
      <c r="D70" s="123">
        <f t="shared" si="0"/>
        <v>252723.84</v>
      </c>
      <c r="E70" s="123"/>
      <c r="F70" s="123">
        <f t="shared" si="1"/>
        <v>479304.95</v>
      </c>
      <c r="G70" s="123"/>
      <c r="H70" s="3600"/>
      <c r="I70" s="3601"/>
      <c r="J70" s="96"/>
    </row>
  </sheetData>
  <mergeCells count="27">
    <mergeCell ref="H41:I41"/>
    <mergeCell ref="H42:I42"/>
    <mergeCell ref="H43:I43"/>
    <mergeCell ref="H44:I44"/>
    <mergeCell ref="H45:I45"/>
    <mergeCell ref="H46:I46"/>
    <mergeCell ref="H47:I47"/>
    <mergeCell ref="H48:I48"/>
    <mergeCell ref="H49:I49"/>
    <mergeCell ref="H50:I50"/>
    <mergeCell ref="H51:I51"/>
    <mergeCell ref="H52:I52"/>
    <mergeCell ref="H53:I53"/>
    <mergeCell ref="H54:I54"/>
    <mergeCell ref="H55:I55"/>
    <mergeCell ref="H56:I56"/>
    <mergeCell ref="H57:I57"/>
    <mergeCell ref="H58:I58"/>
    <mergeCell ref="H59:I59"/>
    <mergeCell ref="H60:I60"/>
    <mergeCell ref="H69:I69"/>
    <mergeCell ref="H70:I70"/>
    <mergeCell ref="H61:I61"/>
    <mergeCell ref="H64:I64"/>
    <mergeCell ref="H65:I65"/>
    <mergeCell ref="H67:I67"/>
    <mergeCell ref="H68:I68"/>
  </mergeCells>
  <phoneticPr fontId="163" type="noConversion"/>
  <conditionalFormatting sqref="H64:I65 H55:I55 H49:I50 H44:I45 H60:I61">
    <cfRule type="expression" dxfId="1" priority="1" stopIfTrue="1">
      <formula>H44=""</formula>
    </cfRule>
  </conditionalFormatting>
  <hyperlinks>
    <hyperlink ref="J41" location="指标分析!D9" display="返回表头"/>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autoPageBreaks="0"/>
  </sheetPr>
  <dimension ref="A2:K138"/>
  <sheetViews>
    <sheetView showZeros="0" workbookViewId="0">
      <selection activeCell="D12" sqref="D12"/>
    </sheetView>
  </sheetViews>
  <sheetFormatPr defaultColWidth="9.140625" defaultRowHeight="12"/>
  <cols>
    <col min="1" max="1" width="4.28515625" style="1" customWidth="1"/>
    <col min="2" max="2" width="6.7109375" style="1" customWidth="1"/>
    <col min="3" max="3" width="25.85546875" style="1" customWidth="1"/>
    <col min="4" max="4" width="14.7109375" style="1" customWidth="1"/>
    <col min="5" max="5" width="9.7109375" style="1" customWidth="1"/>
    <col min="6" max="6" width="14.7109375" style="1" customWidth="1"/>
    <col min="7" max="8" width="9.7109375" style="1" customWidth="1"/>
    <col min="9" max="9" width="12.7109375" style="1" customWidth="1"/>
    <col min="10" max="10" width="9.7109375" style="1" customWidth="1"/>
    <col min="11" max="11" width="17.7109375" style="1" customWidth="1"/>
    <col min="12" max="16384" width="9.140625" style="1"/>
  </cols>
  <sheetData>
    <row r="2" spans="1:11" ht="18" customHeight="1">
      <c r="B2" s="2" t="s">
        <v>2520</v>
      </c>
      <c r="C2" s="3" t="str">
        <f>Lead!$C$5</f>
        <v>福建省力菲克药业有限公司</v>
      </c>
      <c r="D2" s="125"/>
      <c r="E2" s="126"/>
      <c r="F2" s="4"/>
      <c r="G2" s="5" t="s">
        <v>2521</v>
      </c>
      <c r="H2" s="6"/>
      <c r="I2" s="7" t="s">
        <v>2501</v>
      </c>
      <c r="J2" s="8"/>
      <c r="K2" s="53"/>
    </row>
    <row r="3" spans="1:11" ht="18" customHeight="1">
      <c r="B3" s="2" t="s">
        <v>2522</v>
      </c>
      <c r="C3" s="9" t="s">
        <v>4985</v>
      </c>
      <c r="D3" s="127"/>
      <c r="E3" s="128"/>
      <c r="F3" s="10" t="s">
        <v>2450</v>
      </c>
      <c r="G3" s="11" t="str">
        <f>IF(Lead!$E$9="","",Lead!$E$9)</f>
        <v>孙健</v>
      </c>
      <c r="H3" s="12"/>
      <c r="I3" s="13">
        <f>IF(Lead!$F$9="","",Lead!$F$9)</f>
        <v>43864</v>
      </c>
      <c r="J3" s="14" t="s">
        <v>2524</v>
      </c>
      <c r="K3" s="2789" t="s">
        <v>6604</v>
      </c>
    </row>
    <row r="4" spans="1:11" ht="18" customHeight="1">
      <c r="B4" s="2" t="s">
        <v>2436</v>
      </c>
      <c r="C4" s="15">
        <f>Lead!$F$5</f>
        <v>43830</v>
      </c>
      <c r="D4" s="127"/>
      <c r="E4" s="128"/>
      <c r="F4" s="10" t="s">
        <v>2457</v>
      </c>
      <c r="G4" s="16" t="str">
        <f>IF(Lead!$E$10="","",Lead!$E$10)</f>
        <v/>
      </c>
      <c r="H4" s="12"/>
      <c r="I4" s="17" t="str">
        <f>IF(Lead!$F$10="","",Lead!$F$10)</f>
        <v/>
      </c>
      <c r="J4" s="14" t="s">
        <v>2525</v>
      </c>
      <c r="K4" s="157"/>
    </row>
    <row r="5" spans="1:11" ht="12" customHeight="1">
      <c r="B5" s="18"/>
      <c r="C5" s="19"/>
      <c r="D5" s="19"/>
      <c r="E5" s="18"/>
      <c r="F5" s="20"/>
      <c r="G5" s="21"/>
      <c r="H5" s="19"/>
      <c r="I5" s="22"/>
      <c r="J5" s="21"/>
      <c r="K5" s="19"/>
    </row>
    <row r="6" spans="1:11" ht="12" customHeight="1">
      <c r="B6" s="23"/>
      <c r="C6" s="23"/>
      <c r="D6" s="23"/>
      <c r="E6" s="23"/>
      <c r="F6" s="23"/>
      <c r="G6" s="23"/>
      <c r="H6" s="23"/>
      <c r="I6" s="23"/>
      <c r="J6" s="23"/>
      <c r="K6" s="23"/>
    </row>
    <row r="7" spans="1:11" ht="18" customHeight="1">
      <c r="B7" s="1458" t="s">
        <v>4865</v>
      </c>
      <c r="C7" s="129" t="s">
        <v>4986</v>
      </c>
      <c r="D7" s="130"/>
      <c r="E7" s="130"/>
      <c r="F7" s="130"/>
      <c r="G7" s="130"/>
      <c r="H7" s="130"/>
      <c r="I7" s="130"/>
      <c r="J7" s="130"/>
      <c r="K7" s="130"/>
    </row>
    <row r="8" spans="1:11" ht="18">
      <c r="A8" s="24"/>
      <c r="B8" s="131"/>
      <c r="C8" s="132"/>
      <c r="D8" s="133" t="s">
        <v>4987</v>
      </c>
      <c r="E8" s="26"/>
      <c r="F8" s="133" t="s">
        <v>5078</v>
      </c>
      <c r="G8" s="28"/>
      <c r="H8" s="28" t="s">
        <v>4989</v>
      </c>
      <c r="I8" s="133" t="s">
        <v>4990</v>
      </c>
      <c r="J8" s="26"/>
      <c r="K8" s="158"/>
    </row>
    <row r="9" spans="1:11" ht="18">
      <c r="A9" s="30"/>
      <c r="B9" s="134" t="s">
        <v>4991</v>
      </c>
      <c r="C9" s="135" t="s">
        <v>2529</v>
      </c>
      <c r="D9" s="136" t="s">
        <v>2887</v>
      </c>
      <c r="E9" s="137" t="s">
        <v>4992</v>
      </c>
      <c r="F9" s="138" t="s">
        <v>2887</v>
      </c>
      <c r="G9" s="138" t="s">
        <v>4992</v>
      </c>
      <c r="H9" s="139" t="s">
        <v>4993</v>
      </c>
      <c r="I9" s="137" t="s">
        <v>4994</v>
      </c>
      <c r="J9" s="137" t="s">
        <v>4995</v>
      </c>
      <c r="K9" s="159" t="s">
        <v>4996</v>
      </c>
    </row>
    <row r="10" spans="1:11" ht="18">
      <c r="A10" s="30"/>
      <c r="B10" s="140"/>
      <c r="C10" s="141"/>
      <c r="D10" s="142" t="s">
        <v>4997</v>
      </c>
      <c r="E10" s="143" t="s">
        <v>4998</v>
      </c>
      <c r="F10" s="144" t="s">
        <v>4999</v>
      </c>
      <c r="G10" s="144" t="s">
        <v>5000</v>
      </c>
      <c r="H10" s="145" t="s">
        <v>5001</v>
      </c>
      <c r="I10" s="160" t="s">
        <v>5002</v>
      </c>
      <c r="J10" s="160" t="s">
        <v>5003</v>
      </c>
      <c r="K10" s="161"/>
    </row>
    <row r="11" spans="1:11" ht="18">
      <c r="A11" s="30"/>
      <c r="B11" s="146">
        <v>1</v>
      </c>
      <c r="C11" s="147" t="str">
        <f t="shared" ref="C11:C53" si="0">IF($B11="","",VLOOKUP($B11,Sheet_Items,6,0))</f>
        <v>资产负债表</v>
      </c>
      <c r="D11" s="148"/>
      <c r="E11" s="149"/>
      <c r="F11" s="148"/>
      <c r="G11" s="149"/>
      <c r="H11" s="149" t="str">
        <f>IF(OR(G11="",E11=""),"",G11-E11)</f>
        <v/>
      </c>
      <c r="I11" s="148" t="str">
        <f>IF(OR(F11="",D11=""),"",F11-D11)</f>
        <v/>
      </c>
      <c r="J11" s="149" t="str">
        <f t="shared" ref="J11:J55" si="1">IF(OR(I11="",D11="",D11=0),"",I11/D11)</f>
        <v/>
      </c>
      <c r="K11" s="162"/>
    </row>
    <row r="12" spans="1:11" ht="18">
      <c r="A12" s="30"/>
      <c r="B12" s="150">
        <v>1000</v>
      </c>
      <c r="C12" s="151" t="str">
        <f t="shared" si="0"/>
        <v>流动资产：</v>
      </c>
      <c r="D12" s="70"/>
      <c r="E12" s="152"/>
      <c r="F12" s="70"/>
      <c r="G12" s="152"/>
      <c r="H12" s="149"/>
      <c r="I12" s="148"/>
      <c r="J12" s="149" t="str">
        <f t="shared" si="1"/>
        <v/>
      </c>
      <c r="K12" s="163"/>
    </row>
    <row r="13" spans="1:11" ht="18">
      <c r="A13" s="30"/>
      <c r="B13" s="150">
        <v>1015</v>
      </c>
      <c r="C13" s="151" t="str">
        <f t="shared" si="0"/>
        <v>货币资金</v>
      </c>
      <c r="D13" s="70">
        <f t="shared" ref="D13:D27" si="2">VLOOKUP($B13,Sheet_Trialbal,10,0)</f>
        <v>252723.84</v>
      </c>
      <c r="E13" s="152">
        <f>IF(D$55=0,"",D13/D$55)</f>
        <v>4.3E-3</v>
      </c>
      <c r="F13" s="70">
        <f t="shared" ref="F13:F27" si="3">VLOOKUP($B13,Sheet_Trialbal,6,0)</f>
        <v>479304.95</v>
      </c>
      <c r="G13" s="152">
        <f>IF(F$55=0,"",F13/F$55)</f>
        <v>8.0999999999999996E-3</v>
      </c>
      <c r="H13" s="152">
        <f t="shared" ref="H13:H30" si="4">IF(OR(G13="",E13=""),"",G13-E13)</f>
        <v>3.8E-3</v>
      </c>
      <c r="I13" s="70">
        <f t="shared" ref="I13" si="5">IF(OR(F13="",D13=""),"",F13-D13)</f>
        <v>226581.11</v>
      </c>
      <c r="J13" s="152">
        <f t="shared" si="1"/>
        <v>0.89659999999999995</v>
      </c>
      <c r="K13" s="163"/>
    </row>
    <row r="14" spans="1:11" ht="18">
      <c r="A14" s="30"/>
      <c r="B14" s="150">
        <v>1102</v>
      </c>
      <c r="C14" s="151" t="str">
        <f t="shared" si="0"/>
        <v>交易性金融资产</v>
      </c>
      <c r="D14" s="70">
        <f t="shared" si="2"/>
        <v>0</v>
      </c>
      <c r="E14" s="152">
        <f t="shared" ref="E14:E27" si="6">IF(D$55=0,"",D14/D$55)</f>
        <v>0</v>
      </c>
      <c r="F14" s="70">
        <f t="shared" si="3"/>
        <v>0</v>
      </c>
      <c r="G14" s="152">
        <f t="shared" ref="G14:G27" si="7">IF(F$55=0,"",F14/F$55)</f>
        <v>0</v>
      </c>
      <c r="H14" s="152">
        <f t="shared" ref="H14:H27" si="8">IF(OR(G14="",E14=""),"",G14-E14)</f>
        <v>0</v>
      </c>
      <c r="I14" s="70">
        <f t="shared" ref="I14:I27" si="9">IF(OR(F14="",D14=""),"",F14-D14)</f>
        <v>0</v>
      </c>
      <c r="J14" s="152" t="str">
        <f t="shared" ref="J14:J27" si="10">IF(OR(I14="",D14="",D14=0),"",I14/D14)</f>
        <v/>
      </c>
      <c r="K14" s="163"/>
    </row>
    <row r="15" spans="1:11" ht="24">
      <c r="A15" s="30"/>
      <c r="B15" s="150">
        <v>1101</v>
      </c>
      <c r="C15" s="151" t="str">
        <f t="shared" si="0"/>
        <v>以公允价值计量且其变动计入当期损益的金融资产</v>
      </c>
      <c r="D15" s="70">
        <f t="shared" si="2"/>
        <v>0</v>
      </c>
      <c r="E15" s="152">
        <f t="shared" si="6"/>
        <v>0</v>
      </c>
      <c r="F15" s="70">
        <f t="shared" si="3"/>
        <v>0</v>
      </c>
      <c r="G15" s="152">
        <f t="shared" si="7"/>
        <v>0</v>
      </c>
      <c r="H15" s="152">
        <f t="shared" si="8"/>
        <v>0</v>
      </c>
      <c r="I15" s="70">
        <f t="shared" si="9"/>
        <v>0</v>
      </c>
      <c r="J15" s="152" t="str">
        <f t="shared" si="10"/>
        <v/>
      </c>
      <c r="K15" s="163"/>
    </row>
    <row r="16" spans="1:11" ht="18">
      <c r="A16" s="30"/>
      <c r="B16" s="150">
        <v>1115</v>
      </c>
      <c r="C16" s="151" t="str">
        <f t="shared" si="0"/>
        <v>衍生金融资产</v>
      </c>
      <c r="D16" s="70">
        <f t="shared" si="2"/>
        <v>0</v>
      </c>
      <c r="E16" s="152">
        <f t="shared" si="6"/>
        <v>0</v>
      </c>
      <c r="F16" s="70">
        <f t="shared" si="3"/>
        <v>0</v>
      </c>
      <c r="G16" s="152">
        <f t="shared" si="7"/>
        <v>0</v>
      </c>
      <c r="H16" s="152">
        <f t="shared" si="8"/>
        <v>0</v>
      </c>
      <c r="I16" s="70">
        <f t="shared" si="9"/>
        <v>0</v>
      </c>
      <c r="J16" s="152" t="str">
        <f t="shared" si="10"/>
        <v/>
      </c>
      <c r="K16" s="163"/>
    </row>
    <row r="17" spans="1:11" ht="18">
      <c r="A17" s="30"/>
      <c r="B17" s="150">
        <v>1121</v>
      </c>
      <c r="C17" s="151" t="str">
        <f t="shared" si="0"/>
        <v>应收票据</v>
      </c>
      <c r="D17" s="70">
        <f t="shared" si="2"/>
        <v>0</v>
      </c>
      <c r="E17" s="152">
        <f t="shared" si="6"/>
        <v>0</v>
      </c>
      <c r="F17" s="70">
        <f t="shared" si="3"/>
        <v>0</v>
      </c>
      <c r="G17" s="152">
        <f t="shared" si="7"/>
        <v>0</v>
      </c>
      <c r="H17" s="152">
        <f t="shared" si="8"/>
        <v>0</v>
      </c>
      <c r="I17" s="70">
        <f t="shared" si="9"/>
        <v>0</v>
      </c>
      <c r="J17" s="152" t="str">
        <f t="shared" si="10"/>
        <v/>
      </c>
      <c r="K17" s="163"/>
    </row>
    <row r="18" spans="1:11" ht="18">
      <c r="A18" s="30"/>
      <c r="B18" s="150">
        <v>1122</v>
      </c>
      <c r="C18" s="151" t="str">
        <f t="shared" si="0"/>
        <v>应收账款</v>
      </c>
      <c r="D18" s="70">
        <f t="shared" si="2"/>
        <v>15914214.57</v>
      </c>
      <c r="E18" s="152">
        <f t="shared" si="6"/>
        <v>0.2697</v>
      </c>
      <c r="F18" s="70">
        <f t="shared" si="3"/>
        <v>15482120.279999999</v>
      </c>
      <c r="G18" s="152">
        <f t="shared" si="7"/>
        <v>0.26100000000000001</v>
      </c>
      <c r="H18" s="152">
        <f t="shared" si="8"/>
        <v>-8.6999999999999994E-3</v>
      </c>
      <c r="I18" s="70">
        <f t="shared" si="9"/>
        <v>-432094.29</v>
      </c>
      <c r="J18" s="152">
        <f t="shared" si="10"/>
        <v>-2.7199999999999998E-2</v>
      </c>
      <c r="K18" s="163"/>
    </row>
    <row r="19" spans="1:11" ht="18">
      <c r="A19" s="30"/>
      <c r="B19" s="150">
        <v>1124</v>
      </c>
      <c r="C19" s="151" t="str">
        <f t="shared" si="0"/>
        <v>应收款项融资</v>
      </c>
      <c r="D19" s="70">
        <f t="shared" si="2"/>
        <v>0</v>
      </c>
      <c r="E19" s="152">
        <f t="shared" si="6"/>
        <v>0</v>
      </c>
      <c r="F19" s="70">
        <f t="shared" si="3"/>
        <v>279569.36</v>
      </c>
      <c r="G19" s="152">
        <f t="shared" si="7"/>
        <v>4.7000000000000002E-3</v>
      </c>
      <c r="H19" s="152">
        <f t="shared" si="8"/>
        <v>4.7000000000000002E-3</v>
      </c>
      <c r="I19" s="70">
        <f t="shared" si="9"/>
        <v>279569.36</v>
      </c>
      <c r="J19" s="152" t="str">
        <f t="shared" si="10"/>
        <v/>
      </c>
      <c r="K19" s="163"/>
    </row>
    <row r="20" spans="1:11" ht="18">
      <c r="A20" s="30"/>
      <c r="B20" s="150">
        <v>1125</v>
      </c>
      <c r="C20" s="151" t="str">
        <f t="shared" si="0"/>
        <v>预付款项</v>
      </c>
      <c r="D20" s="70">
        <f t="shared" si="2"/>
        <v>916036.19</v>
      </c>
      <c r="E20" s="152">
        <f t="shared" si="6"/>
        <v>1.55E-2</v>
      </c>
      <c r="F20" s="70">
        <f t="shared" si="3"/>
        <v>815153.11</v>
      </c>
      <c r="G20" s="152">
        <f t="shared" si="7"/>
        <v>1.37E-2</v>
      </c>
      <c r="H20" s="152">
        <f t="shared" si="8"/>
        <v>-1.8E-3</v>
      </c>
      <c r="I20" s="70">
        <f t="shared" si="9"/>
        <v>-100883.08</v>
      </c>
      <c r="J20" s="152">
        <f t="shared" si="10"/>
        <v>-0.1101</v>
      </c>
      <c r="K20" s="163"/>
    </row>
    <row r="21" spans="1:11" ht="18">
      <c r="A21" s="30"/>
      <c r="B21" s="150">
        <v>1220</v>
      </c>
      <c r="C21" s="151" t="str">
        <f>IF($B21="","",VLOOKUP($B21,Sheet_Items,2,0))</f>
        <v>其他应收款（报表项目）</v>
      </c>
      <c r="D21" s="70">
        <f t="shared" si="2"/>
        <v>328019.46999999997</v>
      </c>
      <c r="E21" s="152">
        <f t="shared" si="6"/>
        <v>5.5999999999999999E-3</v>
      </c>
      <c r="F21" s="70">
        <f t="shared" si="3"/>
        <v>2208147.21</v>
      </c>
      <c r="G21" s="152">
        <f t="shared" si="7"/>
        <v>3.7199999999999997E-2</v>
      </c>
      <c r="H21" s="152">
        <f t="shared" si="8"/>
        <v>3.1600000000000003E-2</v>
      </c>
      <c r="I21" s="70">
        <f t="shared" si="9"/>
        <v>1880127.74</v>
      </c>
      <c r="J21" s="152">
        <f t="shared" si="10"/>
        <v>5.7317999999999998</v>
      </c>
      <c r="K21" s="163"/>
    </row>
    <row r="22" spans="1:11" ht="18">
      <c r="A22" s="30"/>
      <c r="B22" s="150">
        <v>1132</v>
      </c>
      <c r="C22" s="151" t="str">
        <f t="shared" si="0"/>
        <v>其中：应收利息</v>
      </c>
      <c r="D22" s="70">
        <f t="shared" si="2"/>
        <v>0</v>
      </c>
      <c r="E22" s="152">
        <f t="shared" si="6"/>
        <v>0</v>
      </c>
      <c r="F22" s="70">
        <f t="shared" si="3"/>
        <v>0</v>
      </c>
      <c r="G22" s="152">
        <f t="shared" si="7"/>
        <v>0</v>
      </c>
      <c r="H22" s="152">
        <f t="shared" si="8"/>
        <v>0</v>
      </c>
      <c r="I22" s="70">
        <f t="shared" si="9"/>
        <v>0</v>
      </c>
      <c r="J22" s="152" t="str">
        <f t="shared" si="10"/>
        <v/>
      </c>
      <c r="K22" s="163"/>
    </row>
    <row r="23" spans="1:11" ht="18">
      <c r="A23" s="30"/>
      <c r="B23" s="150">
        <v>1131</v>
      </c>
      <c r="C23" s="151" t="str">
        <f t="shared" si="0"/>
        <v>应收股利</v>
      </c>
      <c r="D23" s="70">
        <f t="shared" si="2"/>
        <v>0</v>
      </c>
      <c r="E23" s="152">
        <f t="shared" si="6"/>
        <v>0</v>
      </c>
      <c r="F23" s="70">
        <f t="shared" si="3"/>
        <v>0</v>
      </c>
      <c r="G23" s="152">
        <f t="shared" si="7"/>
        <v>0</v>
      </c>
      <c r="H23" s="152">
        <f t="shared" si="8"/>
        <v>0</v>
      </c>
      <c r="I23" s="70">
        <f t="shared" si="9"/>
        <v>0</v>
      </c>
      <c r="J23" s="152" t="str">
        <f t="shared" si="10"/>
        <v/>
      </c>
      <c r="K23" s="163"/>
    </row>
    <row r="24" spans="1:11" ht="18">
      <c r="A24" s="30"/>
      <c r="B24" s="150">
        <v>1400</v>
      </c>
      <c r="C24" s="151" t="str">
        <f t="shared" si="0"/>
        <v>存货</v>
      </c>
      <c r="D24" s="70">
        <f t="shared" si="2"/>
        <v>12739599.279999999</v>
      </c>
      <c r="E24" s="152">
        <f t="shared" si="6"/>
        <v>0.21590000000000001</v>
      </c>
      <c r="F24" s="70">
        <f t="shared" si="3"/>
        <v>13979569.91</v>
      </c>
      <c r="G24" s="152">
        <f t="shared" si="7"/>
        <v>0.23569999999999999</v>
      </c>
      <c r="H24" s="152">
        <f t="shared" si="8"/>
        <v>1.9800000000000002E-2</v>
      </c>
      <c r="I24" s="70">
        <f t="shared" si="9"/>
        <v>1239970.6299999999</v>
      </c>
      <c r="J24" s="152">
        <f t="shared" si="10"/>
        <v>9.7299999999999998E-2</v>
      </c>
      <c r="K24" s="163"/>
    </row>
    <row r="25" spans="1:11" ht="18">
      <c r="A25" s="30"/>
      <c r="B25" s="150">
        <v>1315</v>
      </c>
      <c r="C25" s="151" t="str">
        <f t="shared" si="0"/>
        <v>持有待售资产</v>
      </c>
      <c r="D25" s="70">
        <f t="shared" si="2"/>
        <v>0</v>
      </c>
      <c r="E25" s="152">
        <f t="shared" si="6"/>
        <v>0</v>
      </c>
      <c r="F25" s="70">
        <f t="shared" si="3"/>
        <v>0</v>
      </c>
      <c r="G25" s="152">
        <f t="shared" si="7"/>
        <v>0</v>
      </c>
      <c r="H25" s="152">
        <f t="shared" si="8"/>
        <v>0</v>
      </c>
      <c r="I25" s="70">
        <f t="shared" si="9"/>
        <v>0</v>
      </c>
      <c r="J25" s="152" t="str">
        <f t="shared" si="10"/>
        <v/>
      </c>
      <c r="K25" s="163"/>
    </row>
    <row r="26" spans="1:11" ht="18">
      <c r="A26" s="30"/>
      <c r="B26" s="150">
        <v>1495</v>
      </c>
      <c r="C26" s="151" t="str">
        <f t="shared" si="0"/>
        <v>一年内到期的非流动资产</v>
      </c>
      <c r="D26" s="70">
        <f t="shared" si="2"/>
        <v>0</v>
      </c>
      <c r="E26" s="152">
        <f t="shared" si="6"/>
        <v>0</v>
      </c>
      <c r="F26" s="70">
        <f t="shared" si="3"/>
        <v>0</v>
      </c>
      <c r="G26" s="152">
        <f t="shared" si="7"/>
        <v>0</v>
      </c>
      <c r="H26" s="152">
        <f t="shared" si="8"/>
        <v>0</v>
      </c>
      <c r="I26" s="70">
        <f t="shared" si="9"/>
        <v>0</v>
      </c>
      <c r="J26" s="152" t="str">
        <f t="shared" si="10"/>
        <v/>
      </c>
      <c r="K26" s="163"/>
    </row>
    <row r="27" spans="1:11" ht="18">
      <c r="A27" s="30"/>
      <c r="B27" s="150">
        <v>1496</v>
      </c>
      <c r="C27" s="151" t="str">
        <f t="shared" si="0"/>
        <v>其他流动资产</v>
      </c>
      <c r="D27" s="70">
        <f t="shared" si="2"/>
        <v>2233000.7799999998</v>
      </c>
      <c r="E27" s="152">
        <f t="shared" si="6"/>
        <v>3.78E-2</v>
      </c>
      <c r="F27" s="70">
        <f t="shared" si="3"/>
        <v>1690423.37</v>
      </c>
      <c r="G27" s="152">
        <f t="shared" si="7"/>
        <v>2.8500000000000001E-2</v>
      </c>
      <c r="H27" s="152">
        <f t="shared" si="8"/>
        <v>-9.2999999999999992E-3</v>
      </c>
      <c r="I27" s="70">
        <f t="shared" si="9"/>
        <v>-542577.41</v>
      </c>
      <c r="J27" s="152">
        <f t="shared" si="10"/>
        <v>-0.24299999999999999</v>
      </c>
      <c r="K27" s="163"/>
    </row>
    <row r="28" spans="1:11" ht="18">
      <c r="A28" s="30"/>
      <c r="B28" s="150">
        <v>1498</v>
      </c>
      <c r="C28" s="153" t="str">
        <f t="shared" si="0"/>
        <v>流动资产合计</v>
      </c>
      <c r="D28" s="154">
        <f>SUM(D13:D27)-SUM(D22,D23)</f>
        <v>32383594.129999999</v>
      </c>
      <c r="E28" s="155">
        <f t="shared" ref="E28:I28" si="11">SUM(E13:E27)-SUM(E22,E23)</f>
        <v>0.54879999999999995</v>
      </c>
      <c r="F28" s="154">
        <f t="shared" si="11"/>
        <v>34934288.189999998</v>
      </c>
      <c r="G28" s="155">
        <f t="shared" si="11"/>
        <v>0.58889999999999998</v>
      </c>
      <c r="H28" s="155">
        <f t="shared" si="11"/>
        <v>4.0099999999999997E-2</v>
      </c>
      <c r="I28" s="154">
        <f t="shared" si="11"/>
        <v>2550694.06</v>
      </c>
      <c r="J28" s="155">
        <f t="shared" si="1"/>
        <v>7.8799999999999995E-2</v>
      </c>
      <c r="K28" s="163"/>
    </row>
    <row r="29" spans="1:11" ht="18">
      <c r="A29" s="30"/>
      <c r="B29" s="150">
        <v>1500</v>
      </c>
      <c r="C29" s="151" t="str">
        <f t="shared" si="0"/>
        <v>非流动资产：</v>
      </c>
      <c r="D29" s="70"/>
      <c r="E29" s="152"/>
      <c r="F29" s="70"/>
      <c r="G29" s="152"/>
      <c r="H29" s="152" t="str">
        <f t="shared" si="4"/>
        <v/>
      </c>
      <c r="I29" s="70" t="str">
        <f t="shared" ref="I29:I30" si="12">IF(OR(F29="",D29=""),"",F29-D29)</f>
        <v/>
      </c>
      <c r="J29" s="152" t="str">
        <f t="shared" si="1"/>
        <v/>
      </c>
      <c r="K29" s="163"/>
    </row>
    <row r="30" spans="1:11" ht="18">
      <c r="A30" s="30"/>
      <c r="B30" s="150">
        <v>1505</v>
      </c>
      <c r="C30" s="151" t="str">
        <f t="shared" si="0"/>
        <v>债权投资</v>
      </c>
      <c r="D30" s="70">
        <f t="shared" ref="D30:D53" si="13">VLOOKUP($B30,Sheet_Trialbal,10,0)</f>
        <v>0</v>
      </c>
      <c r="E30" s="152">
        <f t="shared" ref="E30" si="14">IF(D$55=0,"",D30/D$55)</f>
        <v>0</v>
      </c>
      <c r="F30" s="70">
        <f t="shared" ref="F30:F53" si="15">VLOOKUP($B30,Sheet_Trialbal,6,0)</f>
        <v>0</v>
      </c>
      <c r="G30" s="152">
        <f t="shared" ref="G30" si="16">IF(F$55=0,"",F30/F$55)</f>
        <v>0</v>
      </c>
      <c r="H30" s="152">
        <f t="shared" si="4"/>
        <v>0</v>
      </c>
      <c r="I30" s="70">
        <f t="shared" si="12"/>
        <v>0</v>
      </c>
      <c r="J30" s="152" t="str">
        <f t="shared" si="1"/>
        <v/>
      </c>
      <c r="K30" s="163"/>
    </row>
    <row r="31" spans="1:11" ht="18">
      <c r="A31" s="30"/>
      <c r="B31" s="150">
        <v>1503</v>
      </c>
      <c r="C31" s="151" t="str">
        <f t="shared" si="0"/>
        <v>可供出售金融资产</v>
      </c>
      <c r="D31" s="70">
        <f t="shared" si="13"/>
        <v>0</v>
      </c>
      <c r="E31" s="152">
        <f t="shared" ref="E31:E53" si="17">IF(D$55=0,"",D31/D$55)</f>
        <v>0</v>
      </c>
      <c r="F31" s="70">
        <f t="shared" si="15"/>
        <v>0</v>
      </c>
      <c r="G31" s="152">
        <f t="shared" ref="G31:G53" si="18">IF(F$55=0,"",F31/F$55)</f>
        <v>0</v>
      </c>
      <c r="H31" s="152">
        <f t="shared" ref="H31:H53" si="19">IF(OR(G31="",E31=""),"",G31-E31)</f>
        <v>0</v>
      </c>
      <c r="I31" s="70">
        <f t="shared" ref="I31:I53" si="20">IF(OR(F31="",D31=""),"",F31-D31)</f>
        <v>0</v>
      </c>
      <c r="J31" s="152" t="str">
        <f t="shared" ref="J31:J53" si="21">IF(OR(I31="",D31="",D31=0),"",I31/D31)</f>
        <v/>
      </c>
      <c r="K31" s="163"/>
    </row>
    <row r="32" spans="1:11" ht="18">
      <c r="A32" s="30"/>
      <c r="B32" s="150">
        <v>1508</v>
      </c>
      <c r="C32" s="151" t="str">
        <f t="shared" si="0"/>
        <v>其他债权投资</v>
      </c>
      <c r="D32" s="70">
        <f t="shared" si="13"/>
        <v>0</v>
      </c>
      <c r="E32" s="152">
        <f t="shared" si="17"/>
        <v>0</v>
      </c>
      <c r="F32" s="70">
        <f t="shared" si="15"/>
        <v>0</v>
      </c>
      <c r="G32" s="152">
        <f t="shared" si="18"/>
        <v>0</v>
      </c>
      <c r="H32" s="152">
        <f t="shared" si="19"/>
        <v>0</v>
      </c>
      <c r="I32" s="70">
        <f t="shared" si="20"/>
        <v>0</v>
      </c>
      <c r="J32" s="152" t="str">
        <f t="shared" si="21"/>
        <v/>
      </c>
      <c r="K32" s="163"/>
    </row>
    <row r="33" spans="1:11" ht="18">
      <c r="A33" s="30"/>
      <c r="B33" s="150">
        <v>1501</v>
      </c>
      <c r="C33" s="151" t="str">
        <f t="shared" si="0"/>
        <v>持有至到期投资</v>
      </c>
      <c r="D33" s="70">
        <f t="shared" si="13"/>
        <v>0</v>
      </c>
      <c r="E33" s="152">
        <f t="shared" si="17"/>
        <v>0</v>
      </c>
      <c r="F33" s="70">
        <f t="shared" si="15"/>
        <v>0</v>
      </c>
      <c r="G33" s="152">
        <f t="shared" si="18"/>
        <v>0</v>
      </c>
      <c r="H33" s="152">
        <f t="shared" si="19"/>
        <v>0</v>
      </c>
      <c r="I33" s="70">
        <f t="shared" si="20"/>
        <v>0</v>
      </c>
      <c r="J33" s="152" t="str">
        <f t="shared" si="21"/>
        <v/>
      </c>
      <c r="K33" s="163"/>
    </row>
    <row r="34" spans="1:11" ht="18">
      <c r="A34" s="30"/>
      <c r="B34" s="150">
        <v>1531</v>
      </c>
      <c r="C34" s="151" t="str">
        <f t="shared" si="0"/>
        <v>长期应收款</v>
      </c>
      <c r="D34" s="70">
        <f t="shared" si="13"/>
        <v>0</v>
      </c>
      <c r="E34" s="152">
        <f t="shared" si="17"/>
        <v>0</v>
      </c>
      <c r="F34" s="70">
        <f t="shared" si="15"/>
        <v>0</v>
      </c>
      <c r="G34" s="152">
        <f t="shared" si="18"/>
        <v>0</v>
      </c>
      <c r="H34" s="152">
        <f t="shared" si="19"/>
        <v>0</v>
      </c>
      <c r="I34" s="70">
        <f t="shared" si="20"/>
        <v>0</v>
      </c>
      <c r="J34" s="152" t="str">
        <f t="shared" si="21"/>
        <v/>
      </c>
      <c r="K34" s="163"/>
    </row>
    <row r="35" spans="1:11" ht="18">
      <c r="A35" s="30"/>
      <c r="B35" s="150">
        <v>1515</v>
      </c>
      <c r="C35" s="151" t="str">
        <f t="shared" si="0"/>
        <v>设定受益计划净资产</v>
      </c>
      <c r="D35" s="70">
        <f t="shared" si="13"/>
        <v>0</v>
      </c>
      <c r="E35" s="152">
        <f t="shared" si="17"/>
        <v>0</v>
      </c>
      <c r="F35" s="70">
        <f t="shared" si="15"/>
        <v>0</v>
      </c>
      <c r="G35" s="152">
        <f t="shared" si="18"/>
        <v>0</v>
      </c>
      <c r="H35" s="152">
        <f t="shared" si="19"/>
        <v>0</v>
      </c>
      <c r="I35" s="70">
        <f t="shared" si="20"/>
        <v>0</v>
      </c>
      <c r="J35" s="152" t="str">
        <f t="shared" si="21"/>
        <v/>
      </c>
      <c r="K35" s="163"/>
    </row>
    <row r="36" spans="1:11" ht="18">
      <c r="A36" s="30"/>
      <c r="B36" s="150">
        <v>1511</v>
      </c>
      <c r="C36" s="151" t="str">
        <f t="shared" si="0"/>
        <v>长期股权投资</v>
      </c>
      <c r="D36" s="70">
        <f t="shared" si="13"/>
        <v>0</v>
      </c>
      <c r="E36" s="152">
        <f t="shared" si="17"/>
        <v>0</v>
      </c>
      <c r="F36" s="70">
        <f t="shared" si="15"/>
        <v>0</v>
      </c>
      <c r="G36" s="152">
        <f t="shared" si="18"/>
        <v>0</v>
      </c>
      <c r="H36" s="152">
        <f t="shared" si="19"/>
        <v>0</v>
      </c>
      <c r="I36" s="70">
        <f t="shared" si="20"/>
        <v>0</v>
      </c>
      <c r="J36" s="152" t="str">
        <f t="shared" si="21"/>
        <v/>
      </c>
      <c r="K36" s="163"/>
    </row>
    <row r="37" spans="1:11" ht="18">
      <c r="A37" s="30"/>
      <c r="B37" s="150">
        <v>1538</v>
      </c>
      <c r="C37" s="151" t="str">
        <f t="shared" si="0"/>
        <v>其他权益工具投资</v>
      </c>
      <c r="D37" s="70">
        <f t="shared" si="13"/>
        <v>0</v>
      </c>
      <c r="E37" s="152">
        <f t="shared" si="17"/>
        <v>0</v>
      </c>
      <c r="F37" s="70">
        <f t="shared" si="15"/>
        <v>0</v>
      </c>
      <c r="G37" s="152">
        <f t="shared" si="18"/>
        <v>0</v>
      </c>
      <c r="H37" s="152">
        <f t="shared" si="19"/>
        <v>0</v>
      </c>
      <c r="I37" s="70">
        <f t="shared" si="20"/>
        <v>0</v>
      </c>
      <c r="J37" s="152" t="str">
        <f t="shared" si="21"/>
        <v/>
      </c>
      <c r="K37" s="163"/>
    </row>
    <row r="38" spans="1:11" ht="18">
      <c r="A38" s="30"/>
      <c r="B38" s="150">
        <v>1539</v>
      </c>
      <c r="C38" s="151" t="str">
        <f t="shared" si="0"/>
        <v>其他非流动金融资产</v>
      </c>
      <c r="D38" s="70">
        <f t="shared" si="13"/>
        <v>0</v>
      </c>
      <c r="E38" s="152">
        <f t="shared" si="17"/>
        <v>0</v>
      </c>
      <c r="F38" s="70">
        <f t="shared" si="15"/>
        <v>0</v>
      </c>
      <c r="G38" s="152">
        <f t="shared" si="18"/>
        <v>0</v>
      </c>
      <c r="H38" s="152">
        <f t="shared" si="19"/>
        <v>0</v>
      </c>
      <c r="I38" s="70">
        <f t="shared" si="20"/>
        <v>0</v>
      </c>
      <c r="J38" s="152" t="str">
        <f t="shared" si="21"/>
        <v/>
      </c>
      <c r="K38" s="163"/>
    </row>
    <row r="39" spans="1:11" ht="18">
      <c r="A39" s="30"/>
      <c r="B39" s="150">
        <v>1521</v>
      </c>
      <c r="C39" s="151" t="str">
        <f t="shared" si="0"/>
        <v>投资性房地产</v>
      </c>
      <c r="D39" s="70">
        <f t="shared" si="13"/>
        <v>0</v>
      </c>
      <c r="E39" s="152">
        <f t="shared" si="17"/>
        <v>0</v>
      </c>
      <c r="F39" s="70">
        <f t="shared" si="15"/>
        <v>0</v>
      </c>
      <c r="G39" s="152">
        <f t="shared" si="18"/>
        <v>0</v>
      </c>
      <c r="H39" s="152">
        <f t="shared" si="19"/>
        <v>0</v>
      </c>
      <c r="I39" s="70">
        <f t="shared" si="20"/>
        <v>0</v>
      </c>
      <c r="J39" s="152" t="str">
        <f t="shared" si="21"/>
        <v/>
      </c>
      <c r="K39" s="163"/>
    </row>
    <row r="40" spans="1:11" ht="18">
      <c r="A40" s="30"/>
      <c r="B40" s="150">
        <v>1611</v>
      </c>
      <c r="C40" s="151" t="str">
        <f>IF($B40="","",VLOOKUP($B40,Sheet_Items,2,0))</f>
        <v>固定资产（报表项目）</v>
      </c>
      <c r="D40" s="70">
        <f t="shared" si="13"/>
        <v>20288571.73</v>
      </c>
      <c r="E40" s="152">
        <f t="shared" si="17"/>
        <v>0.34379999999999999</v>
      </c>
      <c r="F40" s="70">
        <f t="shared" si="15"/>
        <v>18818300.170000002</v>
      </c>
      <c r="G40" s="152">
        <f t="shared" si="18"/>
        <v>0.31730000000000003</v>
      </c>
      <c r="H40" s="152">
        <f t="shared" si="19"/>
        <v>-2.6499999999999999E-2</v>
      </c>
      <c r="I40" s="70">
        <f t="shared" si="20"/>
        <v>-1470271.56</v>
      </c>
      <c r="J40" s="152">
        <f t="shared" si="21"/>
        <v>-7.2499999999999995E-2</v>
      </c>
      <c r="K40" s="163"/>
    </row>
    <row r="41" spans="1:11" ht="18">
      <c r="A41" s="30"/>
      <c r="B41" s="150">
        <v>1601</v>
      </c>
      <c r="C41" s="151" t="str">
        <f>IF($B41="","",VLOOKUP($B41,Sheet_Items,6,0))</f>
        <v>其中：固定资产</v>
      </c>
      <c r="D41" s="70">
        <f t="shared" si="13"/>
        <v>20288571.73</v>
      </c>
      <c r="E41" s="152">
        <f t="shared" si="17"/>
        <v>0.34379999999999999</v>
      </c>
      <c r="F41" s="70">
        <f t="shared" si="15"/>
        <v>18818300.170000002</v>
      </c>
      <c r="G41" s="152">
        <f t="shared" si="18"/>
        <v>0.31730000000000003</v>
      </c>
      <c r="H41" s="152">
        <f t="shared" si="19"/>
        <v>-2.6499999999999999E-2</v>
      </c>
      <c r="I41" s="70">
        <f t="shared" si="20"/>
        <v>-1470271.56</v>
      </c>
      <c r="J41" s="152">
        <f t="shared" si="21"/>
        <v>-7.2499999999999995E-2</v>
      </c>
      <c r="K41" s="163"/>
    </row>
    <row r="42" spans="1:11" ht="18">
      <c r="A42" s="30"/>
      <c r="B42" s="150">
        <v>1606</v>
      </c>
      <c r="C42" s="151" t="str">
        <f>IF($B42="","",VLOOKUP($B42,Sheet_Items,6,0))</f>
        <v>固定资产清理</v>
      </c>
      <c r="D42" s="70">
        <f t="shared" si="13"/>
        <v>0</v>
      </c>
      <c r="E42" s="152">
        <f t="shared" si="17"/>
        <v>0</v>
      </c>
      <c r="F42" s="70">
        <f t="shared" si="15"/>
        <v>0</v>
      </c>
      <c r="G42" s="152">
        <f t="shared" si="18"/>
        <v>0</v>
      </c>
      <c r="H42" s="152">
        <f t="shared" si="19"/>
        <v>0</v>
      </c>
      <c r="I42" s="70">
        <f t="shared" si="20"/>
        <v>0</v>
      </c>
      <c r="J42" s="152" t="str">
        <f t="shared" si="21"/>
        <v/>
      </c>
      <c r="K42" s="163"/>
    </row>
    <row r="43" spans="1:11" ht="18">
      <c r="A43" s="30"/>
      <c r="B43" s="150">
        <v>1616</v>
      </c>
      <c r="C43" s="151" t="str">
        <f>IF($B43="","",VLOOKUP($B43,Sheet_Items,2,0))</f>
        <v>在建工程（报表项目）</v>
      </c>
      <c r="D43" s="70">
        <f t="shared" si="13"/>
        <v>41650</v>
      </c>
      <c r="E43" s="152">
        <f t="shared" si="17"/>
        <v>6.9999999999999999E-4</v>
      </c>
      <c r="F43" s="70">
        <f t="shared" si="15"/>
        <v>0</v>
      </c>
      <c r="G43" s="152">
        <f t="shared" si="18"/>
        <v>0</v>
      </c>
      <c r="H43" s="152">
        <f t="shared" si="19"/>
        <v>-6.9999999999999999E-4</v>
      </c>
      <c r="I43" s="70">
        <f t="shared" si="20"/>
        <v>-41650</v>
      </c>
      <c r="J43" s="152">
        <f t="shared" si="21"/>
        <v>-1</v>
      </c>
      <c r="K43" s="163"/>
    </row>
    <row r="44" spans="1:11" ht="18">
      <c r="A44" s="30"/>
      <c r="B44" s="150">
        <v>1604</v>
      </c>
      <c r="C44" s="151" t="str">
        <f>IF($B44="","",VLOOKUP($B44,Sheet_Items,6,0))</f>
        <v>其中：在建工程</v>
      </c>
      <c r="D44" s="70">
        <f t="shared" si="13"/>
        <v>41650</v>
      </c>
      <c r="E44" s="152">
        <f t="shared" si="17"/>
        <v>6.9999999999999999E-4</v>
      </c>
      <c r="F44" s="70">
        <f t="shared" si="15"/>
        <v>0</v>
      </c>
      <c r="G44" s="152">
        <f t="shared" si="18"/>
        <v>0</v>
      </c>
      <c r="H44" s="152">
        <f t="shared" si="19"/>
        <v>-6.9999999999999999E-4</v>
      </c>
      <c r="I44" s="70">
        <f t="shared" si="20"/>
        <v>-41650</v>
      </c>
      <c r="J44" s="152">
        <f t="shared" si="21"/>
        <v>-1</v>
      </c>
      <c r="K44" s="163"/>
    </row>
    <row r="45" spans="1:11" ht="18">
      <c r="A45" s="30"/>
      <c r="B45" s="150">
        <v>1605</v>
      </c>
      <c r="C45" s="151" t="str">
        <f>IF($B45="","",VLOOKUP($B45,Sheet_Items,6,0))</f>
        <v>工程物资</v>
      </c>
      <c r="D45" s="70">
        <f t="shared" si="13"/>
        <v>0</v>
      </c>
      <c r="E45" s="152">
        <f t="shared" si="17"/>
        <v>0</v>
      </c>
      <c r="F45" s="70">
        <f t="shared" si="15"/>
        <v>0</v>
      </c>
      <c r="G45" s="152">
        <f t="shared" si="18"/>
        <v>0</v>
      </c>
      <c r="H45" s="152">
        <f t="shared" si="19"/>
        <v>0</v>
      </c>
      <c r="I45" s="70">
        <f t="shared" si="20"/>
        <v>0</v>
      </c>
      <c r="J45" s="152" t="str">
        <f t="shared" si="21"/>
        <v/>
      </c>
      <c r="K45" s="163"/>
    </row>
    <row r="46" spans="1:11" ht="18">
      <c r="A46" s="30"/>
      <c r="B46" s="150">
        <v>1621</v>
      </c>
      <c r="C46" s="151" t="str">
        <f t="shared" si="0"/>
        <v>生产性生物资产</v>
      </c>
      <c r="D46" s="70">
        <f t="shared" si="13"/>
        <v>0</v>
      </c>
      <c r="E46" s="152">
        <f t="shared" si="17"/>
        <v>0</v>
      </c>
      <c r="F46" s="70">
        <f t="shared" si="15"/>
        <v>0</v>
      </c>
      <c r="G46" s="152">
        <f t="shared" si="18"/>
        <v>0</v>
      </c>
      <c r="H46" s="152">
        <f t="shared" si="19"/>
        <v>0</v>
      </c>
      <c r="I46" s="70">
        <f t="shared" si="20"/>
        <v>0</v>
      </c>
      <c r="J46" s="152" t="str">
        <f t="shared" si="21"/>
        <v/>
      </c>
      <c r="K46" s="163"/>
    </row>
    <row r="47" spans="1:11" ht="18">
      <c r="A47" s="30"/>
      <c r="B47" s="150">
        <v>1631</v>
      </c>
      <c r="C47" s="151" t="str">
        <f t="shared" si="0"/>
        <v>油气资产</v>
      </c>
      <c r="D47" s="70">
        <f t="shared" si="13"/>
        <v>0</v>
      </c>
      <c r="E47" s="152">
        <f t="shared" si="17"/>
        <v>0</v>
      </c>
      <c r="F47" s="70">
        <f t="shared" si="15"/>
        <v>0</v>
      </c>
      <c r="G47" s="152">
        <f t="shared" si="18"/>
        <v>0</v>
      </c>
      <c r="H47" s="152">
        <f t="shared" si="19"/>
        <v>0</v>
      </c>
      <c r="I47" s="70">
        <f t="shared" si="20"/>
        <v>0</v>
      </c>
      <c r="J47" s="152" t="str">
        <f t="shared" si="21"/>
        <v/>
      </c>
      <c r="K47" s="163"/>
    </row>
    <row r="48" spans="1:11" ht="18">
      <c r="A48" s="30"/>
      <c r="B48" s="150">
        <v>1701</v>
      </c>
      <c r="C48" s="151" t="str">
        <f t="shared" si="0"/>
        <v>无形资产</v>
      </c>
      <c r="D48" s="70">
        <f t="shared" si="13"/>
        <v>1820271.51</v>
      </c>
      <c r="E48" s="152">
        <f t="shared" si="17"/>
        <v>3.0800000000000001E-2</v>
      </c>
      <c r="F48" s="70">
        <f t="shared" si="15"/>
        <v>1951607.86</v>
      </c>
      <c r="G48" s="152">
        <f t="shared" si="18"/>
        <v>3.2899999999999999E-2</v>
      </c>
      <c r="H48" s="152">
        <f t="shared" si="19"/>
        <v>2.0999999999999999E-3</v>
      </c>
      <c r="I48" s="70">
        <f t="shared" si="20"/>
        <v>131336.35</v>
      </c>
      <c r="J48" s="152">
        <f t="shared" si="21"/>
        <v>7.22E-2</v>
      </c>
      <c r="K48" s="163"/>
    </row>
    <row r="49" spans="1:11" ht="18">
      <c r="A49" s="30"/>
      <c r="B49" s="150">
        <v>1700</v>
      </c>
      <c r="C49" s="151" t="str">
        <f t="shared" si="0"/>
        <v>开发支出</v>
      </c>
      <c r="D49" s="70">
        <f t="shared" si="13"/>
        <v>2369218.02</v>
      </c>
      <c r="E49" s="152">
        <f t="shared" si="17"/>
        <v>4.02E-2</v>
      </c>
      <c r="F49" s="70">
        <f t="shared" si="15"/>
        <v>1467375.43</v>
      </c>
      <c r="G49" s="152">
        <f t="shared" si="18"/>
        <v>2.47E-2</v>
      </c>
      <c r="H49" s="152">
        <f t="shared" si="19"/>
        <v>-1.55E-2</v>
      </c>
      <c r="I49" s="70">
        <f t="shared" si="20"/>
        <v>-901842.59</v>
      </c>
      <c r="J49" s="152">
        <f t="shared" si="21"/>
        <v>-0.38059999999999999</v>
      </c>
      <c r="K49" s="163"/>
    </row>
    <row r="50" spans="1:11" ht="18">
      <c r="A50" s="30"/>
      <c r="B50" s="150">
        <v>1711</v>
      </c>
      <c r="C50" s="151" t="str">
        <f t="shared" si="0"/>
        <v>商誉</v>
      </c>
      <c r="D50" s="70">
        <f t="shared" si="13"/>
        <v>0</v>
      </c>
      <c r="E50" s="152">
        <f t="shared" si="17"/>
        <v>0</v>
      </c>
      <c r="F50" s="70">
        <f t="shared" si="15"/>
        <v>0</v>
      </c>
      <c r="G50" s="152">
        <f t="shared" si="18"/>
        <v>0</v>
      </c>
      <c r="H50" s="152">
        <f t="shared" si="19"/>
        <v>0</v>
      </c>
      <c r="I50" s="70">
        <f t="shared" si="20"/>
        <v>0</v>
      </c>
      <c r="J50" s="152" t="str">
        <f t="shared" si="21"/>
        <v/>
      </c>
      <c r="K50" s="163"/>
    </row>
    <row r="51" spans="1:11" ht="18">
      <c r="A51" s="30"/>
      <c r="B51" s="150">
        <v>1801</v>
      </c>
      <c r="C51" s="151" t="str">
        <f t="shared" si="0"/>
        <v>长期待摊费用</v>
      </c>
      <c r="D51" s="70">
        <f t="shared" si="13"/>
        <v>395514.45</v>
      </c>
      <c r="E51" s="152">
        <f t="shared" si="17"/>
        <v>6.7000000000000002E-3</v>
      </c>
      <c r="F51" s="70">
        <f t="shared" si="15"/>
        <v>233942.48</v>
      </c>
      <c r="G51" s="152">
        <f t="shared" si="18"/>
        <v>3.8999999999999998E-3</v>
      </c>
      <c r="H51" s="152">
        <f t="shared" si="19"/>
        <v>-2.8E-3</v>
      </c>
      <c r="I51" s="70">
        <f t="shared" si="20"/>
        <v>-161571.97</v>
      </c>
      <c r="J51" s="152">
        <f t="shared" si="21"/>
        <v>-0.40849999999999997</v>
      </c>
      <c r="K51" s="163"/>
    </row>
    <row r="52" spans="1:11" ht="18">
      <c r="A52" s="30"/>
      <c r="B52" s="150">
        <v>1811</v>
      </c>
      <c r="C52" s="151" t="str">
        <f t="shared" si="0"/>
        <v>递延所得税资产</v>
      </c>
      <c r="D52" s="70">
        <f t="shared" si="13"/>
        <v>1185152.1499999999</v>
      </c>
      <c r="E52" s="152">
        <f t="shared" si="17"/>
        <v>2.01E-2</v>
      </c>
      <c r="F52" s="70">
        <f t="shared" si="15"/>
        <v>1809801.34</v>
      </c>
      <c r="G52" s="152">
        <f t="shared" si="18"/>
        <v>3.0499999999999999E-2</v>
      </c>
      <c r="H52" s="152">
        <f t="shared" si="19"/>
        <v>1.04E-2</v>
      </c>
      <c r="I52" s="70">
        <f t="shared" si="20"/>
        <v>624649.18999999994</v>
      </c>
      <c r="J52" s="152">
        <f t="shared" si="21"/>
        <v>0.52710000000000001</v>
      </c>
      <c r="K52" s="163"/>
    </row>
    <row r="53" spans="1:11" ht="18">
      <c r="A53" s="30"/>
      <c r="B53" s="150">
        <v>1996</v>
      </c>
      <c r="C53" s="151" t="str">
        <f t="shared" si="0"/>
        <v>其他非流动资产</v>
      </c>
      <c r="D53" s="70">
        <f t="shared" si="13"/>
        <v>523136</v>
      </c>
      <c r="E53" s="152">
        <f t="shared" si="17"/>
        <v>8.8999999999999999E-3</v>
      </c>
      <c r="F53" s="70">
        <f t="shared" si="15"/>
        <v>94970</v>
      </c>
      <c r="G53" s="152">
        <f t="shared" si="18"/>
        <v>1.6000000000000001E-3</v>
      </c>
      <c r="H53" s="152">
        <f t="shared" si="19"/>
        <v>-7.3000000000000001E-3</v>
      </c>
      <c r="I53" s="70">
        <f t="shared" si="20"/>
        <v>-428166</v>
      </c>
      <c r="J53" s="152">
        <f t="shared" si="21"/>
        <v>-0.81850000000000001</v>
      </c>
      <c r="K53" s="163"/>
    </row>
    <row r="54" spans="1:11" ht="18">
      <c r="A54" s="30"/>
      <c r="B54" s="150">
        <v>1998</v>
      </c>
      <c r="C54" s="153" t="str">
        <f t="shared" ref="C54:C93" si="22">IF($B54="","",VLOOKUP($B54,Sheet_Items,6,0))</f>
        <v>非流动资产合计</v>
      </c>
      <c r="D54" s="154">
        <f>SUM(D30:D53)-SUM(D41,D42,D44,D45)</f>
        <v>26623513.859999999</v>
      </c>
      <c r="E54" s="156">
        <f t="shared" ref="E54:I54" si="23">SUM(E30:E53)-SUM(E41,E42,E44,E45)</f>
        <v>0.45119999999999999</v>
      </c>
      <c r="F54" s="154">
        <f t="shared" si="23"/>
        <v>24375997.280000001</v>
      </c>
      <c r="G54" s="156">
        <f t="shared" si="23"/>
        <v>0.41089999999999999</v>
      </c>
      <c r="H54" s="156">
        <f t="shared" si="23"/>
        <v>-4.0300000000000002E-2</v>
      </c>
      <c r="I54" s="154">
        <f t="shared" si="23"/>
        <v>-2247516.58</v>
      </c>
      <c r="J54" s="152">
        <f t="shared" si="1"/>
        <v>-8.4400000000000003E-2</v>
      </c>
      <c r="K54" s="163"/>
    </row>
    <row r="55" spans="1:11" ht="18">
      <c r="A55" s="30"/>
      <c r="B55" s="150">
        <v>1999</v>
      </c>
      <c r="C55" s="153" t="str">
        <f t="shared" si="22"/>
        <v>资产总计</v>
      </c>
      <c r="D55" s="154">
        <f t="shared" ref="D55:I55" si="24">SUM(D28,D54)</f>
        <v>59007107.990000002</v>
      </c>
      <c r="E55" s="156">
        <f t="shared" si="24"/>
        <v>1</v>
      </c>
      <c r="F55" s="154">
        <f t="shared" si="24"/>
        <v>59310285.469999999</v>
      </c>
      <c r="G55" s="156">
        <f t="shared" si="24"/>
        <v>0.99980000000000002</v>
      </c>
      <c r="H55" s="156">
        <f t="shared" si="24"/>
        <v>-2.0000000000000001E-4</v>
      </c>
      <c r="I55" s="154">
        <f t="shared" si="24"/>
        <v>303177.48</v>
      </c>
      <c r="J55" s="155">
        <f t="shared" si="1"/>
        <v>5.1000000000000004E-3</v>
      </c>
      <c r="K55" s="163"/>
    </row>
    <row r="56" spans="1:11" ht="18">
      <c r="A56" s="30"/>
      <c r="B56" s="150">
        <v>2000</v>
      </c>
      <c r="C56" s="151" t="str">
        <f t="shared" si="22"/>
        <v>流动负债：</v>
      </c>
      <c r="D56" s="70"/>
      <c r="E56" s="152"/>
      <c r="F56" s="70"/>
      <c r="G56" s="152"/>
      <c r="H56" s="152" t="str">
        <f t="shared" ref="H56:H57" si="25">IF(OR(G56="",E56=""),"",G56-E56)</f>
        <v/>
      </c>
      <c r="I56" s="70" t="str">
        <f t="shared" ref="I56:I57" si="26">IF(OR(F56="",D56=""),"",F56-D56)</f>
        <v/>
      </c>
      <c r="J56" s="152" t="str">
        <f t="shared" ref="J56:J99" si="27">IF(OR(I56="",D56="",D56=0),"",I56/D56)</f>
        <v/>
      </c>
      <c r="K56" s="163"/>
    </row>
    <row r="57" spans="1:11" ht="18">
      <c r="A57" s="30"/>
      <c r="B57" s="150">
        <v>2001</v>
      </c>
      <c r="C57" s="151" t="str">
        <f t="shared" si="22"/>
        <v>短期借款</v>
      </c>
      <c r="D57" s="70">
        <f t="shared" ref="D57:D71" si="28">VLOOKUP($B57,Sheet_Trialbal,10,0)</f>
        <v>0</v>
      </c>
      <c r="E57" s="152">
        <f>IF(D$85=0,"",D57/D$85)</f>
        <v>0</v>
      </c>
      <c r="F57" s="70">
        <f t="shared" ref="F57:F71" si="29">VLOOKUP($B57,Sheet_Trialbal,6,0)</f>
        <v>2002968.82</v>
      </c>
      <c r="G57" s="152">
        <f>IF(F$85=0,"",F57/F$85)</f>
        <v>0.1104</v>
      </c>
      <c r="H57" s="152">
        <f t="shared" si="25"/>
        <v>0.1104</v>
      </c>
      <c r="I57" s="70">
        <f t="shared" si="26"/>
        <v>2002968.82</v>
      </c>
      <c r="J57" s="152" t="str">
        <f t="shared" si="27"/>
        <v/>
      </c>
      <c r="K57" s="163"/>
    </row>
    <row r="58" spans="1:11" ht="18">
      <c r="A58" s="30"/>
      <c r="B58" s="150">
        <v>2102</v>
      </c>
      <c r="C58" s="151" t="str">
        <f t="shared" si="22"/>
        <v>交易性金融负债</v>
      </c>
      <c r="D58" s="70">
        <f t="shared" si="28"/>
        <v>0</v>
      </c>
      <c r="E58" s="152">
        <f t="shared" ref="E58:E71" si="30">IF(D$85=0,"",D58/D$85)</f>
        <v>0</v>
      </c>
      <c r="F58" s="70">
        <f t="shared" si="29"/>
        <v>0</v>
      </c>
      <c r="G58" s="152">
        <f t="shared" ref="G58:G71" si="31">IF(F$85=0,"",F58/F$85)</f>
        <v>0</v>
      </c>
      <c r="H58" s="152">
        <f t="shared" ref="H58:H71" si="32">IF(OR(G58="",E58=""),"",G58-E58)</f>
        <v>0</v>
      </c>
      <c r="I58" s="70">
        <f t="shared" ref="I58:I71" si="33">IF(OR(F58="",D58=""),"",F58-D58)</f>
        <v>0</v>
      </c>
      <c r="J58" s="152" t="str">
        <f t="shared" ref="J58:J71" si="34">IF(OR(I58="",D58="",D58=0),"",I58/D58)</f>
        <v/>
      </c>
      <c r="K58" s="163"/>
    </row>
    <row r="59" spans="1:11" ht="24">
      <c r="A59" s="30"/>
      <c r="B59" s="150">
        <v>2101</v>
      </c>
      <c r="C59" s="151" t="str">
        <f t="shared" si="22"/>
        <v>以公允价值计量且其变动计入当期损益的金融负债</v>
      </c>
      <c r="D59" s="70">
        <f t="shared" si="28"/>
        <v>0</v>
      </c>
      <c r="E59" s="152">
        <f t="shared" si="30"/>
        <v>0</v>
      </c>
      <c r="F59" s="70">
        <f t="shared" si="29"/>
        <v>0</v>
      </c>
      <c r="G59" s="152">
        <f t="shared" si="31"/>
        <v>0</v>
      </c>
      <c r="H59" s="152">
        <f t="shared" si="32"/>
        <v>0</v>
      </c>
      <c r="I59" s="70">
        <f t="shared" si="33"/>
        <v>0</v>
      </c>
      <c r="J59" s="152" t="str">
        <f t="shared" si="34"/>
        <v/>
      </c>
      <c r="K59" s="163"/>
    </row>
    <row r="60" spans="1:11" ht="18">
      <c r="A60" s="30"/>
      <c r="B60" s="150">
        <v>2115</v>
      </c>
      <c r="C60" s="151" t="str">
        <f t="shared" si="22"/>
        <v>衍生金融负债</v>
      </c>
      <c r="D60" s="70">
        <f t="shared" si="28"/>
        <v>0</v>
      </c>
      <c r="E60" s="152">
        <f t="shared" si="30"/>
        <v>0</v>
      </c>
      <c r="F60" s="70">
        <f t="shared" si="29"/>
        <v>0</v>
      </c>
      <c r="G60" s="152">
        <f t="shared" si="31"/>
        <v>0</v>
      </c>
      <c r="H60" s="152">
        <f t="shared" si="32"/>
        <v>0</v>
      </c>
      <c r="I60" s="70">
        <f t="shared" si="33"/>
        <v>0</v>
      </c>
      <c r="J60" s="152" t="str">
        <f t="shared" si="34"/>
        <v/>
      </c>
      <c r="K60" s="163"/>
    </row>
    <row r="61" spans="1:11" ht="18">
      <c r="A61" s="30"/>
      <c r="B61" s="150">
        <v>2201</v>
      </c>
      <c r="C61" s="151" t="str">
        <f t="shared" si="22"/>
        <v>应付票据</v>
      </c>
      <c r="D61" s="70">
        <f t="shared" si="28"/>
        <v>0</v>
      </c>
      <c r="E61" s="152">
        <f t="shared" si="30"/>
        <v>0</v>
      </c>
      <c r="F61" s="70">
        <f t="shared" si="29"/>
        <v>0</v>
      </c>
      <c r="G61" s="152">
        <f t="shared" si="31"/>
        <v>0</v>
      </c>
      <c r="H61" s="152">
        <f t="shared" si="32"/>
        <v>0</v>
      </c>
      <c r="I61" s="70">
        <f t="shared" si="33"/>
        <v>0</v>
      </c>
      <c r="J61" s="152" t="str">
        <f t="shared" si="34"/>
        <v/>
      </c>
      <c r="K61" s="163"/>
    </row>
    <row r="62" spans="1:11" ht="18">
      <c r="A62" s="30"/>
      <c r="B62" s="150">
        <v>2202</v>
      </c>
      <c r="C62" s="151" t="str">
        <f t="shared" si="22"/>
        <v>应付账款</v>
      </c>
      <c r="D62" s="70">
        <f t="shared" si="28"/>
        <v>8476287.8300000001</v>
      </c>
      <c r="E62" s="152">
        <f t="shared" si="30"/>
        <v>0.59530000000000005</v>
      </c>
      <c r="F62" s="70">
        <f t="shared" si="29"/>
        <v>11123454.48</v>
      </c>
      <c r="G62" s="152">
        <f t="shared" si="31"/>
        <v>0.6129</v>
      </c>
      <c r="H62" s="152">
        <f t="shared" si="32"/>
        <v>1.7600000000000001E-2</v>
      </c>
      <c r="I62" s="70">
        <f t="shared" si="33"/>
        <v>2647166.65</v>
      </c>
      <c r="J62" s="152">
        <f t="shared" si="34"/>
        <v>0.31230000000000002</v>
      </c>
      <c r="K62" s="163"/>
    </row>
    <row r="63" spans="1:11" ht="18">
      <c r="A63" s="30"/>
      <c r="B63" s="150">
        <v>2205</v>
      </c>
      <c r="C63" s="151" t="str">
        <f t="shared" si="22"/>
        <v>预收款项</v>
      </c>
      <c r="D63" s="70">
        <f t="shared" si="28"/>
        <v>2229809.83</v>
      </c>
      <c r="E63" s="152">
        <f t="shared" si="30"/>
        <v>0.15659999999999999</v>
      </c>
      <c r="F63" s="70">
        <f t="shared" si="29"/>
        <v>2360727.0299999998</v>
      </c>
      <c r="G63" s="152">
        <f t="shared" si="31"/>
        <v>0.13009999999999999</v>
      </c>
      <c r="H63" s="152">
        <f t="shared" si="32"/>
        <v>-2.6499999999999999E-2</v>
      </c>
      <c r="I63" s="70">
        <f t="shared" si="33"/>
        <v>130917.2</v>
      </c>
      <c r="J63" s="152">
        <f t="shared" si="34"/>
        <v>5.8700000000000002E-2</v>
      </c>
      <c r="K63" s="163"/>
    </row>
    <row r="64" spans="1:11" ht="18">
      <c r="A64" s="30"/>
      <c r="B64" s="150">
        <v>2211</v>
      </c>
      <c r="C64" s="151" t="str">
        <f t="shared" si="22"/>
        <v>应付职工薪酬</v>
      </c>
      <c r="D64" s="70">
        <f t="shared" si="28"/>
        <v>974467.27</v>
      </c>
      <c r="E64" s="152">
        <f t="shared" si="30"/>
        <v>6.8400000000000002E-2</v>
      </c>
      <c r="F64" s="70">
        <f t="shared" si="29"/>
        <v>1058561.81</v>
      </c>
      <c r="G64" s="152">
        <f t="shared" si="31"/>
        <v>5.8299999999999998E-2</v>
      </c>
      <c r="H64" s="152">
        <f t="shared" si="32"/>
        <v>-1.01E-2</v>
      </c>
      <c r="I64" s="70">
        <f t="shared" si="33"/>
        <v>84094.54</v>
      </c>
      <c r="J64" s="152">
        <f t="shared" si="34"/>
        <v>8.6300000000000002E-2</v>
      </c>
      <c r="K64" s="163"/>
    </row>
    <row r="65" spans="1:11" ht="18">
      <c r="A65" s="30"/>
      <c r="B65" s="150">
        <v>2221</v>
      </c>
      <c r="C65" s="151" t="str">
        <f t="shared" si="22"/>
        <v>应交税费</v>
      </c>
      <c r="D65" s="70">
        <f t="shared" si="28"/>
        <v>487153.95</v>
      </c>
      <c r="E65" s="152">
        <f t="shared" si="30"/>
        <v>3.4200000000000001E-2</v>
      </c>
      <c r="F65" s="70">
        <f t="shared" si="29"/>
        <v>507471.64</v>
      </c>
      <c r="G65" s="152">
        <f t="shared" si="31"/>
        <v>2.8000000000000001E-2</v>
      </c>
      <c r="H65" s="152">
        <f t="shared" si="32"/>
        <v>-6.1999999999999998E-3</v>
      </c>
      <c r="I65" s="70">
        <f t="shared" si="33"/>
        <v>20317.689999999999</v>
      </c>
      <c r="J65" s="152">
        <f t="shared" si="34"/>
        <v>4.1700000000000001E-2</v>
      </c>
      <c r="K65" s="163"/>
    </row>
    <row r="66" spans="1:11" ht="18">
      <c r="A66" s="30"/>
      <c r="B66" s="150">
        <v>2246</v>
      </c>
      <c r="C66" s="151" t="str">
        <f>IF($B66="","",VLOOKUP($B66,Sheet_Items,2,0))</f>
        <v>其他应付款（报表项目）</v>
      </c>
      <c r="D66" s="70">
        <f t="shared" si="28"/>
        <v>2070907</v>
      </c>
      <c r="E66" s="152">
        <f t="shared" si="30"/>
        <v>0.1454</v>
      </c>
      <c r="F66" s="70">
        <f t="shared" si="29"/>
        <v>1096090.05</v>
      </c>
      <c r="G66" s="152">
        <f t="shared" si="31"/>
        <v>6.0400000000000002E-2</v>
      </c>
      <c r="H66" s="152">
        <f t="shared" si="32"/>
        <v>-8.5000000000000006E-2</v>
      </c>
      <c r="I66" s="70">
        <f t="shared" si="33"/>
        <v>-974816.95</v>
      </c>
      <c r="J66" s="152">
        <f t="shared" si="34"/>
        <v>-0.47070000000000001</v>
      </c>
      <c r="K66" s="163"/>
    </row>
    <row r="67" spans="1:11" ht="18">
      <c r="A67" s="30"/>
      <c r="B67" s="150">
        <v>2231</v>
      </c>
      <c r="C67" s="151" t="str">
        <f t="shared" si="22"/>
        <v>其中：应付利息</v>
      </c>
      <c r="D67" s="70">
        <f t="shared" si="28"/>
        <v>0</v>
      </c>
      <c r="E67" s="152">
        <f t="shared" si="30"/>
        <v>0</v>
      </c>
      <c r="F67" s="70">
        <f t="shared" si="29"/>
        <v>0</v>
      </c>
      <c r="G67" s="152">
        <f t="shared" si="31"/>
        <v>0</v>
      </c>
      <c r="H67" s="152">
        <f t="shared" si="32"/>
        <v>0</v>
      </c>
      <c r="I67" s="70">
        <f t="shared" si="33"/>
        <v>0</v>
      </c>
      <c r="J67" s="152" t="str">
        <f t="shared" si="34"/>
        <v/>
      </c>
      <c r="K67" s="163"/>
    </row>
    <row r="68" spans="1:11" ht="18">
      <c r="A68" s="30"/>
      <c r="B68" s="150">
        <v>2232</v>
      </c>
      <c r="C68" s="151" t="str">
        <f t="shared" si="22"/>
        <v>应付股利</v>
      </c>
      <c r="D68" s="70">
        <f t="shared" si="28"/>
        <v>0</v>
      </c>
      <c r="E68" s="152">
        <f t="shared" si="30"/>
        <v>0</v>
      </c>
      <c r="F68" s="70">
        <f t="shared" si="29"/>
        <v>0</v>
      </c>
      <c r="G68" s="152">
        <f t="shared" si="31"/>
        <v>0</v>
      </c>
      <c r="H68" s="152">
        <f t="shared" si="32"/>
        <v>0</v>
      </c>
      <c r="I68" s="70">
        <f t="shared" si="33"/>
        <v>0</v>
      </c>
      <c r="J68" s="152" t="str">
        <f t="shared" si="34"/>
        <v/>
      </c>
      <c r="K68" s="163"/>
    </row>
    <row r="69" spans="1:11" ht="18">
      <c r="A69" s="30"/>
      <c r="B69" s="150">
        <v>2315</v>
      </c>
      <c r="C69" s="151" t="str">
        <f t="shared" si="22"/>
        <v>持有待售负债</v>
      </c>
      <c r="D69" s="70">
        <f t="shared" si="28"/>
        <v>0</v>
      </c>
      <c r="E69" s="152">
        <f t="shared" si="30"/>
        <v>0</v>
      </c>
      <c r="F69" s="70">
        <f t="shared" si="29"/>
        <v>0</v>
      </c>
      <c r="G69" s="152">
        <f t="shared" si="31"/>
        <v>0</v>
      </c>
      <c r="H69" s="152">
        <f t="shared" si="32"/>
        <v>0</v>
      </c>
      <c r="I69" s="70">
        <f t="shared" si="33"/>
        <v>0</v>
      </c>
      <c r="J69" s="152" t="str">
        <f t="shared" si="34"/>
        <v/>
      </c>
      <c r="K69" s="163"/>
    </row>
    <row r="70" spans="1:11" ht="18">
      <c r="A70" s="30"/>
      <c r="B70" s="150">
        <v>2395</v>
      </c>
      <c r="C70" s="151" t="str">
        <f t="shared" si="22"/>
        <v>一年内到期的非流动负债</v>
      </c>
      <c r="D70" s="70">
        <f t="shared" si="28"/>
        <v>0</v>
      </c>
      <c r="E70" s="152">
        <f t="shared" si="30"/>
        <v>0</v>
      </c>
      <c r="F70" s="70">
        <f t="shared" si="29"/>
        <v>0</v>
      </c>
      <c r="G70" s="152">
        <f t="shared" si="31"/>
        <v>0</v>
      </c>
      <c r="H70" s="152">
        <f t="shared" si="32"/>
        <v>0</v>
      </c>
      <c r="I70" s="70">
        <f t="shared" si="33"/>
        <v>0</v>
      </c>
      <c r="J70" s="152" t="str">
        <f t="shared" si="34"/>
        <v/>
      </c>
      <c r="K70" s="163"/>
    </row>
    <row r="71" spans="1:11" ht="18">
      <c r="A71" s="30"/>
      <c r="B71" s="150">
        <v>2396</v>
      </c>
      <c r="C71" s="151" t="str">
        <f t="shared" si="22"/>
        <v>其他流动负债</v>
      </c>
      <c r="D71" s="70">
        <f t="shared" si="28"/>
        <v>0</v>
      </c>
      <c r="E71" s="152">
        <f t="shared" si="30"/>
        <v>0</v>
      </c>
      <c r="F71" s="70">
        <f t="shared" si="29"/>
        <v>0</v>
      </c>
      <c r="G71" s="152">
        <f t="shared" si="31"/>
        <v>0</v>
      </c>
      <c r="H71" s="152">
        <f t="shared" si="32"/>
        <v>0</v>
      </c>
      <c r="I71" s="70">
        <f t="shared" si="33"/>
        <v>0</v>
      </c>
      <c r="J71" s="152" t="str">
        <f t="shared" si="34"/>
        <v/>
      </c>
      <c r="K71" s="163"/>
    </row>
    <row r="72" spans="1:11" ht="18">
      <c r="A72" s="30"/>
      <c r="B72" s="150">
        <v>2498</v>
      </c>
      <c r="C72" s="153" t="str">
        <f t="shared" si="22"/>
        <v>流动负债合计</v>
      </c>
      <c r="D72" s="154">
        <f>SUM(D57:D71)-SUM(D67,D68)</f>
        <v>14238625.880000001</v>
      </c>
      <c r="E72" s="156">
        <f t="shared" ref="E72:I72" si="35">SUM(E57:E71)-SUM(E67,E68)</f>
        <v>0.99990000000000001</v>
      </c>
      <c r="F72" s="154">
        <f t="shared" si="35"/>
        <v>18149273.829999998</v>
      </c>
      <c r="G72" s="156">
        <f t="shared" si="35"/>
        <v>1.0001</v>
      </c>
      <c r="H72" s="156">
        <f t="shared" si="35"/>
        <v>2.0000000000000001E-4</v>
      </c>
      <c r="I72" s="154">
        <f t="shared" si="35"/>
        <v>3910647.95</v>
      </c>
      <c r="J72" s="152">
        <f t="shared" si="27"/>
        <v>0.2747</v>
      </c>
      <c r="K72" s="163"/>
    </row>
    <row r="73" spans="1:11" ht="18">
      <c r="A73" s="30"/>
      <c r="B73" s="150">
        <v>2500</v>
      </c>
      <c r="C73" s="151" t="str">
        <f t="shared" si="22"/>
        <v>非流动负债：</v>
      </c>
      <c r="D73" s="70"/>
      <c r="E73" s="152"/>
      <c r="F73" s="70"/>
      <c r="G73" s="152"/>
      <c r="H73" s="152" t="str">
        <f t="shared" ref="H73:H74" si="36">IF(OR(G73="",E73=""),"",G73-E73)</f>
        <v/>
      </c>
      <c r="I73" s="70" t="str">
        <f t="shared" ref="I73:I74" si="37">IF(OR(F73="",D73=""),"",F73-D73)</f>
        <v/>
      </c>
      <c r="J73" s="152" t="str">
        <f t="shared" si="27"/>
        <v/>
      </c>
      <c r="K73" s="163"/>
    </row>
    <row r="74" spans="1:11" ht="18">
      <c r="A74" s="30"/>
      <c r="B74" s="150">
        <v>2501</v>
      </c>
      <c r="C74" s="151" t="str">
        <f t="shared" si="22"/>
        <v>长期借款</v>
      </c>
      <c r="D74" s="70">
        <f t="shared" ref="D74:D83" si="38">VLOOKUP($B74,Sheet_Trialbal,10,0)</f>
        <v>0</v>
      </c>
      <c r="E74" s="152">
        <f>IF(D$85=0,"",D74/D$85)</f>
        <v>0</v>
      </c>
      <c r="F74" s="70">
        <f t="shared" ref="F74:F83" si="39">VLOOKUP($B74,Sheet_Trialbal,6,0)</f>
        <v>0</v>
      </c>
      <c r="G74" s="152">
        <f>IF(F$85=0,"",F74/F$85)</f>
        <v>0</v>
      </c>
      <c r="H74" s="152">
        <f t="shared" si="36"/>
        <v>0</v>
      </c>
      <c r="I74" s="70">
        <f t="shared" si="37"/>
        <v>0</v>
      </c>
      <c r="J74" s="152" t="str">
        <f t="shared" si="27"/>
        <v/>
      </c>
      <c r="K74" s="163"/>
    </row>
    <row r="75" spans="1:11" ht="18">
      <c r="A75" s="30"/>
      <c r="B75" s="150">
        <v>2502</v>
      </c>
      <c r="C75" s="151" t="str">
        <f t="shared" si="22"/>
        <v>应付债券</v>
      </c>
      <c r="D75" s="70">
        <f t="shared" si="38"/>
        <v>0</v>
      </c>
      <c r="E75" s="152">
        <f t="shared" ref="E75:E83" si="40">IF(D$85=0,"",D75/D$85)</f>
        <v>0</v>
      </c>
      <c r="F75" s="70">
        <f t="shared" si="39"/>
        <v>0</v>
      </c>
      <c r="G75" s="152">
        <f t="shared" ref="G75:G83" si="41">IF(F$85=0,"",F75/F$85)</f>
        <v>0</v>
      </c>
      <c r="H75" s="152">
        <f t="shared" ref="H75:H83" si="42">IF(OR(G75="",E75=""),"",G75-E75)</f>
        <v>0</v>
      </c>
      <c r="I75" s="70">
        <f t="shared" ref="I75:I83" si="43">IF(OR(F75="",D75=""),"",F75-D75)</f>
        <v>0</v>
      </c>
      <c r="J75" s="152" t="str">
        <f t="shared" ref="J75:J83" si="44">IF(OR(I75="",D75="",D75=0),"",I75/D75)</f>
        <v/>
      </c>
      <c r="K75" s="163"/>
    </row>
    <row r="76" spans="1:11" ht="18">
      <c r="A76" s="30"/>
      <c r="B76" s="150">
        <v>2706</v>
      </c>
      <c r="C76" s="151" t="str">
        <f>IF($B76="","",VLOOKUP($B76,Sheet_Items,2,0))</f>
        <v>长期应付款（报表项目）</v>
      </c>
      <c r="D76" s="70">
        <f t="shared" si="38"/>
        <v>0</v>
      </c>
      <c r="E76" s="152">
        <f t="shared" si="40"/>
        <v>0</v>
      </c>
      <c r="F76" s="70">
        <f t="shared" si="39"/>
        <v>0</v>
      </c>
      <c r="G76" s="152">
        <f t="shared" si="41"/>
        <v>0</v>
      </c>
      <c r="H76" s="152">
        <f t="shared" si="42"/>
        <v>0</v>
      </c>
      <c r="I76" s="70">
        <f t="shared" si="43"/>
        <v>0</v>
      </c>
      <c r="J76" s="152" t="str">
        <f t="shared" si="44"/>
        <v/>
      </c>
      <c r="K76" s="163"/>
    </row>
    <row r="77" spans="1:11" ht="18">
      <c r="A77" s="30"/>
      <c r="B77" s="150">
        <v>2701</v>
      </c>
      <c r="C77" s="151" t="str">
        <f t="shared" si="22"/>
        <v>其中：长期应付款</v>
      </c>
      <c r="D77" s="70">
        <f t="shared" si="38"/>
        <v>0</v>
      </c>
      <c r="E77" s="152">
        <f t="shared" si="40"/>
        <v>0</v>
      </c>
      <c r="F77" s="70">
        <f t="shared" si="39"/>
        <v>0</v>
      </c>
      <c r="G77" s="152">
        <f t="shared" si="41"/>
        <v>0</v>
      </c>
      <c r="H77" s="152">
        <f t="shared" si="42"/>
        <v>0</v>
      </c>
      <c r="I77" s="70">
        <f t="shared" si="43"/>
        <v>0</v>
      </c>
      <c r="J77" s="152" t="str">
        <f t="shared" si="44"/>
        <v/>
      </c>
      <c r="K77" s="163"/>
    </row>
    <row r="78" spans="1:11" ht="18">
      <c r="A78" s="30"/>
      <c r="B78" s="150">
        <v>2711</v>
      </c>
      <c r="C78" s="151" t="str">
        <f t="shared" si="22"/>
        <v>专项应付款</v>
      </c>
      <c r="D78" s="70">
        <f t="shared" si="38"/>
        <v>0</v>
      </c>
      <c r="E78" s="152">
        <f t="shared" si="40"/>
        <v>0</v>
      </c>
      <c r="F78" s="70">
        <f t="shared" si="39"/>
        <v>0</v>
      </c>
      <c r="G78" s="152">
        <f t="shared" si="41"/>
        <v>0</v>
      </c>
      <c r="H78" s="152">
        <f t="shared" si="42"/>
        <v>0</v>
      </c>
      <c r="I78" s="70">
        <f t="shared" si="43"/>
        <v>0</v>
      </c>
      <c r="J78" s="152" t="str">
        <f t="shared" si="44"/>
        <v/>
      </c>
      <c r="K78" s="163"/>
    </row>
    <row r="79" spans="1:11" ht="18">
      <c r="A79" s="30"/>
      <c r="B79" s="150">
        <v>2715</v>
      </c>
      <c r="C79" s="151" t="str">
        <f>IF($B79="","",VLOOKUP($B79,Sheet_Items,6,0))</f>
        <v>长期应付职工薪酬</v>
      </c>
      <c r="D79" s="70">
        <f t="shared" si="38"/>
        <v>0</v>
      </c>
      <c r="E79" s="152">
        <f t="shared" si="40"/>
        <v>0</v>
      </c>
      <c r="F79" s="70">
        <f t="shared" si="39"/>
        <v>0</v>
      </c>
      <c r="G79" s="152">
        <f t="shared" si="41"/>
        <v>0</v>
      </c>
      <c r="H79" s="152">
        <f t="shared" si="42"/>
        <v>0</v>
      </c>
      <c r="I79" s="70">
        <f t="shared" si="43"/>
        <v>0</v>
      </c>
      <c r="J79" s="152" t="str">
        <f t="shared" si="44"/>
        <v/>
      </c>
      <c r="K79" s="163"/>
    </row>
    <row r="80" spans="1:11" ht="18">
      <c r="A80" s="30"/>
      <c r="B80" s="150">
        <v>2801</v>
      </c>
      <c r="C80" s="151" t="str">
        <f t="shared" si="22"/>
        <v>预计负债</v>
      </c>
      <c r="D80" s="70">
        <f t="shared" si="38"/>
        <v>0</v>
      </c>
      <c r="E80" s="152">
        <f t="shared" si="40"/>
        <v>0</v>
      </c>
      <c r="F80" s="70">
        <f t="shared" si="39"/>
        <v>0</v>
      </c>
      <c r="G80" s="152">
        <f t="shared" si="41"/>
        <v>0</v>
      </c>
      <c r="H80" s="152">
        <f t="shared" si="42"/>
        <v>0</v>
      </c>
      <c r="I80" s="70">
        <f t="shared" si="43"/>
        <v>0</v>
      </c>
      <c r="J80" s="152" t="str">
        <f t="shared" si="44"/>
        <v/>
      </c>
      <c r="K80" s="163"/>
    </row>
    <row r="81" spans="1:11" ht="18">
      <c r="A81" s="30"/>
      <c r="B81" s="150">
        <v>2401</v>
      </c>
      <c r="C81" s="151" t="str">
        <f t="shared" si="22"/>
        <v>递延收益</v>
      </c>
      <c r="D81" s="70">
        <f t="shared" si="38"/>
        <v>0</v>
      </c>
      <c r="E81" s="152">
        <f t="shared" si="40"/>
        <v>0</v>
      </c>
      <c r="F81" s="70">
        <f t="shared" si="39"/>
        <v>0</v>
      </c>
      <c r="G81" s="152">
        <f t="shared" si="41"/>
        <v>0</v>
      </c>
      <c r="H81" s="152">
        <f t="shared" si="42"/>
        <v>0</v>
      </c>
      <c r="I81" s="70">
        <f t="shared" si="43"/>
        <v>0</v>
      </c>
      <c r="J81" s="152" t="str">
        <f t="shared" si="44"/>
        <v/>
      </c>
      <c r="K81" s="163"/>
    </row>
    <row r="82" spans="1:11" ht="18">
      <c r="A82" s="30"/>
      <c r="B82" s="150">
        <v>2901</v>
      </c>
      <c r="C82" s="151" t="str">
        <f t="shared" si="22"/>
        <v>递延所得税负债</v>
      </c>
      <c r="D82" s="70">
        <f t="shared" si="38"/>
        <v>0</v>
      </c>
      <c r="E82" s="152">
        <f t="shared" si="40"/>
        <v>0</v>
      </c>
      <c r="F82" s="70">
        <f t="shared" si="39"/>
        <v>0</v>
      </c>
      <c r="G82" s="152">
        <f t="shared" si="41"/>
        <v>0</v>
      </c>
      <c r="H82" s="152">
        <f t="shared" si="42"/>
        <v>0</v>
      </c>
      <c r="I82" s="70">
        <f t="shared" si="43"/>
        <v>0</v>
      </c>
      <c r="J82" s="152" t="str">
        <f t="shared" si="44"/>
        <v/>
      </c>
      <c r="K82" s="163"/>
    </row>
    <row r="83" spans="1:11" ht="18">
      <c r="A83" s="30"/>
      <c r="B83" s="150">
        <v>2996</v>
      </c>
      <c r="C83" s="151" t="str">
        <f t="shared" si="22"/>
        <v>其他非流动负债</v>
      </c>
      <c r="D83" s="70">
        <f t="shared" si="38"/>
        <v>0</v>
      </c>
      <c r="E83" s="152">
        <f t="shared" si="40"/>
        <v>0</v>
      </c>
      <c r="F83" s="70">
        <f t="shared" si="39"/>
        <v>0</v>
      </c>
      <c r="G83" s="152">
        <f t="shared" si="41"/>
        <v>0</v>
      </c>
      <c r="H83" s="152">
        <f t="shared" si="42"/>
        <v>0</v>
      </c>
      <c r="I83" s="70">
        <f t="shared" si="43"/>
        <v>0</v>
      </c>
      <c r="J83" s="152" t="str">
        <f t="shared" si="44"/>
        <v/>
      </c>
      <c r="K83" s="163"/>
    </row>
    <row r="84" spans="1:11" ht="18">
      <c r="A84" s="30"/>
      <c r="B84" s="150">
        <v>2998</v>
      </c>
      <c r="C84" s="153" t="str">
        <f t="shared" si="22"/>
        <v>非流动负债合计</v>
      </c>
      <c r="D84" s="154">
        <f>SUM(D74:D83)-SUM(D77,D78)</f>
        <v>0</v>
      </c>
      <c r="E84" s="156">
        <f>SUM(E74:E83)-SUM(E77,E78)</f>
        <v>0</v>
      </c>
      <c r="F84" s="154">
        <f>SUM(F74:F83)-SUM(F77,F78)</f>
        <v>0</v>
      </c>
      <c r="G84" s="156">
        <f>SUM(G74:G83)-SUM(G77,G78)</f>
        <v>0</v>
      </c>
      <c r="H84" s="156"/>
      <c r="I84" s="154">
        <f>SUM(I74:I83)-SUM(I77,I78)</f>
        <v>0</v>
      </c>
      <c r="J84" s="155" t="str">
        <f t="shared" si="27"/>
        <v/>
      </c>
      <c r="K84" s="163"/>
    </row>
    <row r="85" spans="1:11" ht="18">
      <c r="A85" s="30"/>
      <c r="B85" s="150">
        <v>2999</v>
      </c>
      <c r="C85" s="153" t="str">
        <f t="shared" si="22"/>
        <v>负债合计</v>
      </c>
      <c r="D85" s="154">
        <f>SUM(D72,D84)</f>
        <v>14238625.880000001</v>
      </c>
      <c r="E85" s="156">
        <f>SUM(E72,E84)</f>
        <v>0.99990000000000001</v>
      </c>
      <c r="F85" s="154">
        <f>SUM(F72,F84)</f>
        <v>18149273.829999998</v>
      </c>
      <c r="G85" s="156">
        <f>SUM(G72,G84)</f>
        <v>1.0001</v>
      </c>
      <c r="H85" s="156"/>
      <c r="I85" s="154">
        <f>SUM(I72,I84)</f>
        <v>3910647.95</v>
      </c>
      <c r="J85" s="155">
        <f t="shared" si="27"/>
        <v>0.2747</v>
      </c>
      <c r="K85" s="163"/>
    </row>
    <row r="86" spans="1:11" ht="18">
      <c r="A86" s="30"/>
      <c r="B86" s="150">
        <v>4000</v>
      </c>
      <c r="C86" s="151" t="str">
        <f t="shared" si="22"/>
        <v>所有者权益：</v>
      </c>
      <c r="D86" s="70"/>
      <c r="E86" s="152"/>
      <c r="F86" s="70"/>
      <c r="G86" s="152"/>
      <c r="H86" s="152" t="str">
        <f t="shared" ref="H86:H96" si="45">IF(OR(G86="",E86=""),"",G86-E86)</f>
        <v/>
      </c>
      <c r="I86" s="70" t="str">
        <f t="shared" ref="I86:I87" si="46">IF(OR(F86="",D86=""),"",F86-D86)</f>
        <v/>
      </c>
      <c r="J86" s="152" t="str">
        <f t="shared" si="27"/>
        <v/>
      </c>
      <c r="K86" s="163"/>
    </row>
    <row r="87" spans="1:11" ht="18">
      <c r="A87" s="30"/>
      <c r="B87" s="150">
        <v>4001</v>
      </c>
      <c r="C87" s="151" t="str">
        <f t="shared" si="22"/>
        <v>股本</v>
      </c>
      <c r="D87" s="70">
        <f t="shared" ref="D87:D97" si="47">VLOOKUP($B87,Sheet_Trialbal,10,0)</f>
        <v>30000000</v>
      </c>
      <c r="E87" s="152">
        <f>IF(D$98=0,"",D87/D$98)</f>
        <v>0.67010000000000003</v>
      </c>
      <c r="F87" s="70">
        <f t="shared" ref="F87:F97" si="48">VLOOKUP($B87,Sheet_Trialbal,6,0)</f>
        <v>30000000</v>
      </c>
      <c r="G87" s="152">
        <f>IF(F$98=0,"",F87/F$98)</f>
        <v>0.7288</v>
      </c>
      <c r="H87" s="152">
        <f t="shared" si="45"/>
        <v>5.8700000000000002E-2</v>
      </c>
      <c r="I87" s="70">
        <f t="shared" si="46"/>
        <v>0</v>
      </c>
      <c r="J87" s="152">
        <f t="shared" si="27"/>
        <v>0</v>
      </c>
      <c r="K87" s="163"/>
    </row>
    <row r="88" spans="1:11" ht="18">
      <c r="A88" s="30"/>
      <c r="B88" s="150">
        <v>4015</v>
      </c>
      <c r="C88" s="151" t="str">
        <f t="shared" si="22"/>
        <v>其他权益工具</v>
      </c>
      <c r="D88" s="70">
        <f t="shared" si="47"/>
        <v>0</v>
      </c>
      <c r="E88" s="152">
        <f t="shared" ref="E88:E95" si="49">IF(D$98=0,"",D88/D$98)</f>
        <v>0</v>
      </c>
      <c r="F88" s="70">
        <f t="shared" si="48"/>
        <v>0</v>
      </c>
      <c r="G88" s="152">
        <f t="shared" ref="G88:G95" si="50">IF(F$98=0,"",F88/F$98)</f>
        <v>0</v>
      </c>
      <c r="H88" s="152">
        <f t="shared" ref="H88:H95" si="51">IF(OR(G88="",E88=""),"",G88-E88)</f>
        <v>0</v>
      </c>
      <c r="I88" s="70">
        <f t="shared" ref="I88:I95" si="52">IF(OR(F88="",D88=""),"",F88-D88)</f>
        <v>0</v>
      </c>
      <c r="J88" s="152" t="str">
        <f t="shared" ref="J88:J95" si="53">IF(OR(I88="",D88="",D88=0),"",I88/D88)</f>
        <v/>
      </c>
      <c r="K88" s="163"/>
    </row>
    <row r="89" spans="1:11" ht="18">
      <c r="A89" s="30"/>
      <c r="B89" s="150">
        <v>4002</v>
      </c>
      <c r="C89" s="151" t="str">
        <f t="shared" si="22"/>
        <v>资本公积</v>
      </c>
      <c r="D89" s="70">
        <f t="shared" si="47"/>
        <v>0</v>
      </c>
      <c r="E89" s="152">
        <f t="shared" si="49"/>
        <v>0</v>
      </c>
      <c r="F89" s="70">
        <f t="shared" si="48"/>
        <v>10464100</v>
      </c>
      <c r="G89" s="152">
        <f t="shared" si="50"/>
        <v>0.25419999999999998</v>
      </c>
      <c r="H89" s="152">
        <f t="shared" si="51"/>
        <v>0.25419999999999998</v>
      </c>
      <c r="I89" s="70">
        <f t="shared" si="52"/>
        <v>10464100</v>
      </c>
      <c r="J89" s="152" t="str">
        <f t="shared" si="53"/>
        <v/>
      </c>
      <c r="K89" s="163"/>
    </row>
    <row r="90" spans="1:11" ht="18">
      <c r="A90" s="30"/>
      <c r="B90" s="150">
        <v>4201</v>
      </c>
      <c r="C90" s="151" t="str">
        <f t="shared" si="22"/>
        <v>减：库存股</v>
      </c>
      <c r="D90" s="70">
        <f t="shared" si="47"/>
        <v>0</v>
      </c>
      <c r="E90" s="152">
        <f t="shared" si="49"/>
        <v>0</v>
      </c>
      <c r="F90" s="70">
        <f t="shared" si="48"/>
        <v>0</v>
      </c>
      <c r="G90" s="152">
        <f t="shared" si="50"/>
        <v>0</v>
      </c>
      <c r="H90" s="152">
        <f t="shared" si="51"/>
        <v>0</v>
      </c>
      <c r="I90" s="70">
        <f t="shared" si="52"/>
        <v>0</v>
      </c>
      <c r="J90" s="152" t="str">
        <f t="shared" si="53"/>
        <v/>
      </c>
      <c r="K90" s="163"/>
    </row>
    <row r="91" spans="1:11" ht="18">
      <c r="A91" s="30"/>
      <c r="B91" s="150">
        <v>4215</v>
      </c>
      <c r="C91" s="151" t="str">
        <f t="shared" si="22"/>
        <v>其他综合收益</v>
      </c>
      <c r="D91" s="70">
        <f t="shared" si="47"/>
        <v>0</v>
      </c>
      <c r="E91" s="152">
        <f t="shared" si="49"/>
        <v>0</v>
      </c>
      <c r="F91" s="70">
        <f t="shared" si="48"/>
        <v>0</v>
      </c>
      <c r="G91" s="152">
        <f t="shared" si="50"/>
        <v>0</v>
      </c>
      <c r="H91" s="152">
        <f t="shared" si="51"/>
        <v>0</v>
      </c>
      <c r="I91" s="70">
        <f t="shared" si="52"/>
        <v>0</v>
      </c>
      <c r="J91" s="152" t="str">
        <f t="shared" si="53"/>
        <v/>
      </c>
      <c r="K91" s="163"/>
    </row>
    <row r="92" spans="1:11" ht="18">
      <c r="A92" s="30"/>
      <c r="B92" s="150">
        <v>4301</v>
      </c>
      <c r="C92" s="151" t="str">
        <f t="shared" si="22"/>
        <v>专项储备</v>
      </c>
      <c r="D92" s="70">
        <f t="shared" si="47"/>
        <v>0</v>
      </c>
      <c r="E92" s="152">
        <f t="shared" si="49"/>
        <v>0</v>
      </c>
      <c r="F92" s="70">
        <f t="shared" si="48"/>
        <v>0</v>
      </c>
      <c r="G92" s="152">
        <f t="shared" si="50"/>
        <v>0</v>
      </c>
      <c r="H92" s="152">
        <f t="shared" si="51"/>
        <v>0</v>
      </c>
      <c r="I92" s="70">
        <f t="shared" si="52"/>
        <v>0</v>
      </c>
      <c r="J92" s="152" t="str">
        <f t="shared" si="53"/>
        <v/>
      </c>
      <c r="K92" s="163"/>
    </row>
    <row r="93" spans="1:11" ht="18">
      <c r="A93" s="30"/>
      <c r="B93" s="150">
        <v>4101</v>
      </c>
      <c r="C93" s="151" t="str">
        <f t="shared" si="22"/>
        <v>盈余公积</v>
      </c>
      <c r="D93" s="70">
        <f t="shared" si="47"/>
        <v>1476848.22</v>
      </c>
      <c r="E93" s="152">
        <f t="shared" si="49"/>
        <v>3.3000000000000002E-2</v>
      </c>
      <c r="F93" s="70">
        <f t="shared" si="48"/>
        <v>1484894.62</v>
      </c>
      <c r="G93" s="152">
        <f t="shared" si="50"/>
        <v>3.61E-2</v>
      </c>
      <c r="H93" s="152">
        <f t="shared" si="51"/>
        <v>3.0999999999999999E-3</v>
      </c>
      <c r="I93" s="70">
        <f t="shared" si="52"/>
        <v>8046.4</v>
      </c>
      <c r="J93" s="152">
        <f t="shared" si="53"/>
        <v>5.4000000000000003E-3</v>
      </c>
      <c r="K93" s="163"/>
    </row>
    <row r="94" spans="1:11" ht="18">
      <c r="A94" s="30"/>
      <c r="B94" s="150">
        <v>4102</v>
      </c>
      <c r="C94" s="151" t="str">
        <f t="shared" ref="C94:C100" si="54">IF($B94="","",VLOOKUP($B94,Sheet_Items,6,0))</f>
        <v>一般风险准备</v>
      </c>
      <c r="D94" s="70">
        <f t="shared" si="47"/>
        <v>0</v>
      </c>
      <c r="E94" s="152">
        <f t="shared" si="49"/>
        <v>0</v>
      </c>
      <c r="F94" s="70">
        <f t="shared" si="48"/>
        <v>0</v>
      </c>
      <c r="G94" s="152">
        <f t="shared" si="50"/>
        <v>0</v>
      </c>
      <c r="H94" s="152">
        <f t="shared" si="51"/>
        <v>0</v>
      </c>
      <c r="I94" s="70">
        <f t="shared" si="52"/>
        <v>0</v>
      </c>
      <c r="J94" s="152" t="str">
        <f t="shared" si="53"/>
        <v/>
      </c>
      <c r="K94" s="163"/>
    </row>
    <row r="95" spans="1:11" ht="18">
      <c r="A95" s="30"/>
      <c r="B95" s="150">
        <v>4200</v>
      </c>
      <c r="C95" s="151" t="str">
        <f t="shared" si="54"/>
        <v>未分配利润</v>
      </c>
      <c r="D95" s="70">
        <f t="shared" si="47"/>
        <v>13291633.890000001</v>
      </c>
      <c r="E95" s="152">
        <f t="shared" si="49"/>
        <v>0.2969</v>
      </c>
      <c r="F95" s="70">
        <f t="shared" si="48"/>
        <v>-787982.98</v>
      </c>
      <c r="G95" s="152">
        <f t="shared" si="50"/>
        <v>-1.9099999999999999E-2</v>
      </c>
      <c r="H95" s="152">
        <f t="shared" si="51"/>
        <v>-0.316</v>
      </c>
      <c r="I95" s="70">
        <f t="shared" si="52"/>
        <v>-14079616.869999999</v>
      </c>
      <c r="J95" s="152">
        <f t="shared" si="53"/>
        <v>-1.0592999999999999</v>
      </c>
      <c r="K95" s="163"/>
    </row>
    <row r="96" spans="1:11" ht="18">
      <c r="A96" s="30"/>
      <c r="B96" s="150">
        <v>4298</v>
      </c>
      <c r="C96" s="164" t="str">
        <f t="shared" si="54"/>
        <v>归属于母公司所有者权益合计</v>
      </c>
      <c r="D96" s="154">
        <f>SUM(D87:D89,-D90,D91:D95)</f>
        <v>44768482.109999999</v>
      </c>
      <c r="E96" s="155">
        <f t="shared" ref="E96:E97" si="55">IF(D$98=0,"",D96/D$98)</f>
        <v>1</v>
      </c>
      <c r="F96" s="154">
        <f>SUM(F87:F89,-F90,F91:F95)</f>
        <v>41161011.640000001</v>
      </c>
      <c r="G96" s="155">
        <f t="shared" ref="G96:G97" si="56">IF(F$98=0,"",F96/F$98)</f>
        <v>1</v>
      </c>
      <c r="H96" s="155">
        <f t="shared" si="45"/>
        <v>0</v>
      </c>
      <c r="I96" s="154">
        <f>SUM(I87:I89,-I90,I91:I95)</f>
        <v>-3607470.47</v>
      </c>
      <c r="J96" s="152">
        <f t="shared" si="27"/>
        <v>-8.0600000000000005E-2</v>
      </c>
      <c r="K96" s="163"/>
    </row>
    <row r="97" spans="1:11" ht="18">
      <c r="A97" s="30"/>
      <c r="B97" s="150">
        <v>4398</v>
      </c>
      <c r="C97" s="151" t="str">
        <f t="shared" si="54"/>
        <v>少数股东权益</v>
      </c>
      <c r="D97" s="70">
        <f t="shared" si="47"/>
        <v>0</v>
      </c>
      <c r="E97" s="152">
        <f t="shared" si="55"/>
        <v>0</v>
      </c>
      <c r="F97" s="70">
        <f t="shared" si="48"/>
        <v>0</v>
      </c>
      <c r="G97" s="152">
        <f t="shared" si="56"/>
        <v>0</v>
      </c>
      <c r="H97" s="152">
        <f t="shared" ref="H97" si="57">IF(OR(G97="",E97=""),"",G97-E97)</f>
        <v>0</v>
      </c>
      <c r="I97" s="70">
        <f t="shared" ref="I97" si="58">IF(OR(F97="",D97=""),"",F97-D97)</f>
        <v>0</v>
      </c>
      <c r="J97" s="152" t="str">
        <f t="shared" ref="J97" si="59">IF(OR(I97="",D97="",D97=0),"",I97/D97)</f>
        <v/>
      </c>
      <c r="K97" s="163"/>
    </row>
    <row r="98" spans="1:11" ht="18">
      <c r="A98" s="30"/>
      <c r="B98" s="150">
        <v>4999</v>
      </c>
      <c r="C98" s="164" t="str">
        <f t="shared" si="54"/>
        <v>所有者权益合计</v>
      </c>
      <c r="D98" s="154">
        <f t="shared" ref="D98:I98" si="60">SUM(D96,D97)</f>
        <v>44768482.109999999</v>
      </c>
      <c r="E98" s="156">
        <f t="shared" si="60"/>
        <v>1</v>
      </c>
      <c r="F98" s="154">
        <f t="shared" si="60"/>
        <v>41161011.640000001</v>
      </c>
      <c r="G98" s="156">
        <f t="shared" si="60"/>
        <v>1</v>
      </c>
      <c r="H98" s="156">
        <f t="shared" si="60"/>
        <v>0</v>
      </c>
      <c r="I98" s="154">
        <f t="shared" si="60"/>
        <v>-3607470.47</v>
      </c>
      <c r="J98" s="152">
        <f t="shared" si="27"/>
        <v>-8.0600000000000005E-2</v>
      </c>
      <c r="K98" s="163"/>
    </row>
    <row r="99" spans="1:11" ht="18">
      <c r="A99" s="30"/>
      <c r="B99" s="150">
        <v>5000</v>
      </c>
      <c r="C99" s="153" t="str">
        <f t="shared" si="54"/>
        <v>负债和所有者权益总计</v>
      </c>
      <c r="D99" s="154">
        <f>SUM(D85,D98)</f>
        <v>59007107.990000002</v>
      </c>
      <c r="E99" s="152"/>
      <c r="F99" s="154">
        <f>SUM(F85,F98)</f>
        <v>59310285.469999999</v>
      </c>
      <c r="G99" s="152"/>
      <c r="H99" s="152" t="str">
        <f t="shared" ref="H99:H101" si="61">IF(OR(G99="",E99=""),"",G99-E99)</f>
        <v/>
      </c>
      <c r="I99" s="154">
        <f>SUM(I85,I98)</f>
        <v>303177.48</v>
      </c>
      <c r="J99" s="152">
        <f t="shared" si="27"/>
        <v>5.1000000000000004E-3</v>
      </c>
      <c r="K99" s="163"/>
    </row>
    <row r="100" spans="1:11" ht="18">
      <c r="A100" s="30"/>
      <c r="B100" s="165">
        <v>6</v>
      </c>
      <c r="C100" s="147" t="str">
        <f t="shared" si="54"/>
        <v>利润表</v>
      </c>
      <c r="D100" s="70"/>
      <c r="E100" s="152"/>
      <c r="F100" s="70"/>
      <c r="G100" s="152"/>
      <c r="H100" s="152" t="str">
        <f t="shared" si="61"/>
        <v/>
      </c>
      <c r="I100" s="70" t="str">
        <f t="shared" ref="I100:I101" si="62">IF(OR(F100="",D100=""),"",F100-D100)</f>
        <v/>
      </c>
      <c r="J100" s="152" t="str">
        <f t="shared" ref="J100:J125" si="63">IF(OR(I100="",D100="",D100=0),"",I100/D100)</f>
        <v/>
      </c>
      <c r="K100" s="163"/>
    </row>
    <row r="101" spans="1:11" ht="18">
      <c r="A101" s="30"/>
      <c r="B101" s="150">
        <v>6001</v>
      </c>
      <c r="C101" s="151" t="str">
        <f t="shared" ref="C101:C124" si="64">IF($B101="","",VLOOKUP($B101,Sheet_Items,2,0))</f>
        <v>营业收入</v>
      </c>
      <c r="D101" s="70">
        <f t="shared" ref="D101:D114" si="65">VLOOKUP($B101,Sheet_Trialbal,10,0)</f>
        <v>37369847.649999999</v>
      </c>
      <c r="E101" s="152"/>
      <c r="F101" s="70">
        <f t="shared" ref="F101:F114" si="66">VLOOKUP($B101,Sheet_Trialbal,6,0)</f>
        <v>34251580.890000001</v>
      </c>
      <c r="G101" s="152"/>
      <c r="H101" s="152" t="str">
        <f t="shared" si="61"/>
        <v/>
      </c>
      <c r="I101" s="70">
        <f t="shared" si="62"/>
        <v>-3118266.76</v>
      </c>
      <c r="J101" s="152">
        <f t="shared" si="63"/>
        <v>-8.3400000000000002E-2</v>
      </c>
      <c r="K101" s="163"/>
    </row>
    <row r="102" spans="1:11" ht="18">
      <c r="A102" s="30"/>
      <c r="B102" s="150">
        <v>6401</v>
      </c>
      <c r="C102" s="151" t="str">
        <f t="shared" si="64"/>
        <v>营业成本</v>
      </c>
      <c r="D102" s="70">
        <f t="shared" si="65"/>
        <v>23934591.690000001</v>
      </c>
      <c r="E102" s="152"/>
      <c r="F102" s="70">
        <f t="shared" si="66"/>
        <v>21384532.949999999</v>
      </c>
      <c r="G102" s="152"/>
      <c r="H102" s="152" t="str">
        <f t="shared" ref="H102:H114" si="67">IF(OR(G102="",E102=""),"",G102-E102)</f>
        <v/>
      </c>
      <c r="I102" s="70">
        <f t="shared" ref="I102:I114" si="68">IF(OR(F102="",D102=""),"",F102-D102)</f>
        <v>-2550058.7400000002</v>
      </c>
      <c r="J102" s="152">
        <f t="shared" ref="J102:J114" si="69">IF(OR(I102="",D102="",D102=0),"",I102/D102)</f>
        <v>-0.1065</v>
      </c>
      <c r="K102" s="163"/>
    </row>
    <row r="103" spans="1:11" ht="18">
      <c r="A103" s="30"/>
      <c r="B103" s="150">
        <v>6600</v>
      </c>
      <c r="C103" s="151" t="str">
        <f t="shared" si="64"/>
        <v>税金及附加</v>
      </c>
      <c r="D103" s="70">
        <f t="shared" si="65"/>
        <v>816515.77</v>
      </c>
      <c r="E103" s="152"/>
      <c r="F103" s="70">
        <f t="shared" si="66"/>
        <v>740280.52</v>
      </c>
      <c r="G103" s="152"/>
      <c r="H103" s="152" t="str">
        <f t="shared" si="67"/>
        <v/>
      </c>
      <c r="I103" s="70">
        <f t="shared" si="68"/>
        <v>-76235.25</v>
      </c>
      <c r="J103" s="152">
        <f t="shared" si="69"/>
        <v>-9.3399999999999997E-2</v>
      </c>
      <c r="K103" s="163"/>
    </row>
    <row r="104" spans="1:11" ht="18">
      <c r="A104" s="30"/>
      <c r="B104" s="150">
        <v>6601</v>
      </c>
      <c r="C104" s="151" t="str">
        <f t="shared" si="64"/>
        <v>销售费用</v>
      </c>
      <c r="D104" s="70">
        <f t="shared" si="65"/>
        <v>5670698.4400000004</v>
      </c>
      <c r="E104" s="152"/>
      <c r="F104" s="70">
        <f t="shared" si="66"/>
        <v>5573302.79</v>
      </c>
      <c r="G104" s="152"/>
      <c r="H104" s="152" t="str">
        <f t="shared" si="67"/>
        <v/>
      </c>
      <c r="I104" s="70">
        <f t="shared" si="68"/>
        <v>-97395.65</v>
      </c>
      <c r="J104" s="152">
        <f t="shared" si="69"/>
        <v>-1.72E-2</v>
      </c>
      <c r="K104" s="163"/>
    </row>
    <row r="105" spans="1:11" ht="18">
      <c r="A105" s="30"/>
      <c r="B105" s="150">
        <v>6602</v>
      </c>
      <c r="C105" s="151" t="str">
        <f t="shared" si="64"/>
        <v>管理费用</v>
      </c>
      <c r="D105" s="70">
        <f t="shared" si="65"/>
        <v>2881011.76</v>
      </c>
      <c r="E105" s="152"/>
      <c r="F105" s="70">
        <f t="shared" si="66"/>
        <v>3943436.51</v>
      </c>
      <c r="G105" s="152"/>
      <c r="H105" s="152" t="str">
        <f t="shared" si="67"/>
        <v/>
      </c>
      <c r="I105" s="70">
        <f t="shared" si="68"/>
        <v>1062424.75</v>
      </c>
      <c r="J105" s="152">
        <f t="shared" si="69"/>
        <v>0.36880000000000002</v>
      </c>
      <c r="K105" s="163"/>
    </row>
    <row r="106" spans="1:11" ht="18">
      <c r="A106" s="30"/>
      <c r="B106" s="150">
        <v>6606</v>
      </c>
      <c r="C106" s="151" t="str">
        <f t="shared" si="64"/>
        <v>研发费用</v>
      </c>
      <c r="D106" s="70">
        <f t="shared" si="65"/>
        <v>3908463.7</v>
      </c>
      <c r="E106" s="152"/>
      <c r="F106" s="70">
        <f t="shared" si="66"/>
        <v>4398818.97</v>
      </c>
      <c r="G106" s="152"/>
      <c r="H106" s="152" t="str">
        <f t="shared" si="67"/>
        <v/>
      </c>
      <c r="I106" s="70">
        <f t="shared" si="68"/>
        <v>490355.27</v>
      </c>
      <c r="J106" s="152">
        <f t="shared" si="69"/>
        <v>0.1255</v>
      </c>
      <c r="K106" s="163"/>
    </row>
    <row r="107" spans="1:11" ht="18">
      <c r="A107" s="30"/>
      <c r="B107" s="150">
        <v>6603</v>
      </c>
      <c r="C107" s="151" t="str">
        <f t="shared" si="64"/>
        <v>财务费用</v>
      </c>
      <c r="D107" s="70">
        <f t="shared" si="65"/>
        <v>353161.16</v>
      </c>
      <c r="E107" s="152"/>
      <c r="F107" s="70">
        <f t="shared" si="66"/>
        <v>47156.11</v>
      </c>
      <c r="G107" s="152"/>
      <c r="H107" s="152" t="str">
        <f t="shared" si="67"/>
        <v/>
      </c>
      <c r="I107" s="70">
        <f t="shared" si="68"/>
        <v>-306005.05</v>
      </c>
      <c r="J107" s="152">
        <f t="shared" si="69"/>
        <v>-0.86650000000000005</v>
      </c>
      <c r="K107" s="163"/>
    </row>
    <row r="108" spans="1:11" ht="18">
      <c r="A108" s="30"/>
      <c r="B108" s="150">
        <v>6181</v>
      </c>
      <c r="C108" s="151" t="str">
        <f t="shared" si="64"/>
        <v>其他收益</v>
      </c>
      <c r="D108" s="70">
        <f t="shared" si="65"/>
        <v>80500</v>
      </c>
      <c r="E108" s="152"/>
      <c r="F108" s="70">
        <f t="shared" si="66"/>
        <v>715900</v>
      </c>
      <c r="G108" s="152"/>
      <c r="H108" s="152" t="str">
        <f t="shared" si="67"/>
        <v/>
      </c>
      <c r="I108" s="70">
        <f t="shared" si="68"/>
        <v>635400</v>
      </c>
      <c r="J108" s="152">
        <f t="shared" si="69"/>
        <v>7.8932000000000002</v>
      </c>
      <c r="K108" s="163"/>
    </row>
    <row r="109" spans="1:11" ht="18">
      <c r="A109" s="30"/>
      <c r="B109" s="150">
        <v>6111</v>
      </c>
      <c r="C109" s="151" t="str">
        <f t="shared" si="64"/>
        <v>投资收益</v>
      </c>
      <c r="D109" s="70">
        <f t="shared" si="65"/>
        <v>38200.720000000001</v>
      </c>
      <c r="E109" s="152"/>
      <c r="F109" s="70">
        <f t="shared" si="66"/>
        <v>41851.06</v>
      </c>
      <c r="G109" s="152"/>
      <c r="H109" s="152" t="str">
        <f t="shared" si="67"/>
        <v/>
      </c>
      <c r="I109" s="70">
        <f t="shared" si="68"/>
        <v>3650.34</v>
      </c>
      <c r="J109" s="152">
        <f t="shared" si="69"/>
        <v>9.5600000000000004E-2</v>
      </c>
      <c r="K109" s="163"/>
    </row>
    <row r="110" spans="1:11" ht="18">
      <c r="A110" s="30"/>
      <c r="B110" s="150">
        <v>6102</v>
      </c>
      <c r="C110" s="151" t="str">
        <f t="shared" si="64"/>
        <v>净敞口套期收益</v>
      </c>
      <c r="D110" s="70">
        <f t="shared" si="65"/>
        <v>0</v>
      </c>
      <c r="E110" s="152"/>
      <c r="F110" s="70">
        <f t="shared" si="66"/>
        <v>0</v>
      </c>
      <c r="G110" s="152"/>
      <c r="H110" s="152" t="str">
        <f t="shared" si="67"/>
        <v/>
      </c>
      <c r="I110" s="70">
        <f t="shared" si="68"/>
        <v>0</v>
      </c>
      <c r="J110" s="152" t="str">
        <f t="shared" si="69"/>
        <v/>
      </c>
      <c r="K110" s="163"/>
    </row>
    <row r="111" spans="1:11" ht="18">
      <c r="A111" s="30"/>
      <c r="B111" s="150">
        <v>6101</v>
      </c>
      <c r="C111" s="151" t="str">
        <f t="shared" si="64"/>
        <v>公允价值变动收益</v>
      </c>
      <c r="D111" s="70">
        <f t="shared" si="65"/>
        <v>0</v>
      </c>
      <c r="E111" s="152"/>
      <c r="F111" s="70">
        <f t="shared" si="66"/>
        <v>0</v>
      </c>
      <c r="G111" s="152"/>
      <c r="H111" s="152" t="str">
        <f t="shared" si="67"/>
        <v/>
      </c>
      <c r="I111" s="70">
        <f t="shared" si="68"/>
        <v>0</v>
      </c>
      <c r="J111" s="152" t="str">
        <f t="shared" si="69"/>
        <v/>
      </c>
      <c r="K111" s="163"/>
    </row>
    <row r="112" spans="1:11" ht="24">
      <c r="A112" s="30"/>
      <c r="B112" s="150">
        <v>6672</v>
      </c>
      <c r="C112" s="151" t="str">
        <f>IF($B112="","",VLOOKUP($B112,Sheet_Items,6,0))</f>
        <v>信用减值损失（损失以“-”号填列）</v>
      </c>
      <c r="D112" s="70">
        <f t="shared" si="65"/>
        <v>0</v>
      </c>
      <c r="E112" s="152"/>
      <c r="F112" s="70">
        <f t="shared" si="66"/>
        <v>-1923898.24</v>
      </c>
      <c r="G112" s="152"/>
      <c r="H112" s="152" t="str">
        <f t="shared" si="67"/>
        <v/>
      </c>
      <c r="I112" s="70">
        <f t="shared" si="68"/>
        <v>-1923898.24</v>
      </c>
      <c r="J112" s="152" t="str">
        <f t="shared" si="69"/>
        <v/>
      </c>
      <c r="K112" s="163"/>
    </row>
    <row r="113" spans="1:11" ht="24">
      <c r="A113" s="30"/>
      <c r="B113" s="150">
        <v>6671</v>
      </c>
      <c r="C113" s="151" t="str">
        <f>IF($B113="","",VLOOKUP($B113,Sheet_Items,6,0))</f>
        <v>资产减值损失（损失以“-”号填列）</v>
      </c>
      <c r="D113" s="70">
        <f t="shared" si="65"/>
        <v>198814.86</v>
      </c>
      <c r="E113" s="152"/>
      <c r="F113" s="70">
        <f t="shared" si="66"/>
        <v>-864640.09</v>
      </c>
      <c r="G113" s="152"/>
      <c r="H113" s="152" t="str">
        <f t="shared" si="67"/>
        <v/>
      </c>
      <c r="I113" s="70">
        <f t="shared" si="68"/>
        <v>-1063454.95</v>
      </c>
      <c r="J113" s="152">
        <f t="shared" si="69"/>
        <v>-5.3490000000000002</v>
      </c>
      <c r="K113" s="163"/>
    </row>
    <row r="114" spans="1:11" ht="18">
      <c r="A114" s="30"/>
      <c r="B114" s="150">
        <v>6171</v>
      </c>
      <c r="C114" s="151" t="str">
        <f t="shared" si="64"/>
        <v>资产处置收益</v>
      </c>
      <c r="D114" s="70">
        <f t="shared" si="65"/>
        <v>456.04</v>
      </c>
      <c r="E114" s="152"/>
      <c r="F114" s="70">
        <f t="shared" si="66"/>
        <v>0</v>
      </c>
      <c r="G114" s="152"/>
      <c r="H114" s="152" t="str">
        <f t="shared" si="67"/>
        <v/>
      </c>
      <c r="I114" s="70">
        <f t="shared" si="68"/>
        <v>-456.04</v>
      </c>
      <c r="J114" s="152">
        <f t="shared" si="69"/>
        <v>-1</v>
      </c>
      <c r="K114" s="163"/>
    </row>
    <row r="115" spans="1:11" ht="18">
      <c r="A115" s="30"/>
      <c r="B115" s="150">
        <v>6689</v>
      </c>
      <c r="C115" s="153" t="str">
        <f t="shared" si="64"/>
        <v>营业利润</v>
      </c>
      <c r="D115" s="154">
        <f>SUM(D101)-SUM(D102:D107)+SUM(D108:D114)</f>
        <v>123376.75</v>
      </c>
      <c r="E115" s="152">
        <f t="shared" ref="E115:I115" si="70">SUM(E101)-SUM(E102:E107)+SUM(E108:E114)</f>
        <v>0</v>
      </c>
      <c r="F115" s="154">
        <f t="shared" si="70"/>
        <v>-3866734.23</v>
      </c>
      <c r="G115" s="152">
        <f t="shared" si="70"/>
        <v>0</v>
      </c>
      <c r="H115" s="152">
        <f t="shared" si="70"/>
        <v>0</v>
      </c>
      <c r="I115" s="154">
        <f t="shared" si="70"/>
        <v>-3990110.98</v>
      </c>
      <c r="J115" s="152">
        <f t="shared" si="63"/>
        <v>-32.340899999999998</v>
      </c>
      <c r="K115" s="163"/>
    </row>
    <row r="116" spans="1:11" ht="18">
      <c r="A116" s="30"/>
      <c r="B116" s="150">
        <v>6710</v>
      </c>
      <c r="C116" s="151" t="str">
        <f t="shared" si="64"/>
        <v>营业外收入</v>
      </c>
      <c r="D116" s="70">
        <f>VLOOKUP($B116,Sheet_Trialbal,10,0)</f>
        <v>0</v>
      </c>
      <c r="E116" s="152"/>
      <c r="F116" s="70">
        <f>VLOOKUP($B116,Sheet_Trialbal,6,0)</f>
        <v>1.06</v>
      </c>
      <c r="G116" s="152"/>
      <c r="H116" s="152" t="str">
        <f t="shared" ref="H116:H125" si="71">IF(OR(G116="",E116=""),"",G116-E116)</f>
        <v/>
      </c>
      <c r="I116" s="70">
        <f>IF(OR(F116="",D116=""),"",F116-D116)</f>
        <v>1.06</v>
      </c>
      <c r="J116" s="152" t="str">
        <f t="shared" si="63"/>
        <v/>
      </c>
      <c r="K116" s="163"/>
    </row>
    <row r="117" spans="1:11" ht="18">
      <c r="A117" s="30"/>
      <c r="B117" s="150">
        <v>6711</v>
      </c>
      <c r="C117" s="151" t="str">
        <f t="shared" si="64"/>
        <v>营业外支出</v>
      </c>
      <c r="D117" s="70">
        <f>VLOOKUP($B117,Sheet_Trialbal,10,0)</f>
        <v>88651.11</v>
      </c>
      <c r="E117" s="152"/>
      <c r="F117" s="70">
        <f>VLOOKUP($B117,Sheet_Trialbal,6,0)</f>
        <v>21970.3</v>
      </c>
      <c r="G117" s="152"/>
      <c r="H117" s="152" t="str">
        <f t="shared" si="71"/>
        <v/>
      </c>
      <c r="I117" s="70">
        <f>IF(OR(F117="",D117=""),"",F117-D117)</f>
        <v>-66680.81</v>
      </c>
      <c r="J117" s="152">
        <f t="shared" si="63"/>
        <v>-0.75219999999999998</v>
      </c>
      <c r="K117" s="163"/>
    </row>
    <row r="118" spans="1:11" ht="18">
      <c r="A118" s="30"/>
      <c r="B118" s="150">
        <v>6788</v>
      </c>
      <c r="C118" s="153" t="str">
        <f t="shared" si="64"/>
        <v>利润总额</v>
      </c>
      <c r="D118" s="154">
        <f>SUM(D115,D116,-D117)</f>
        <v>34725.64</v>
      </c>
      <c r="E118" s="152"/>
      <c r="F118" s="154">
        <f>SUM(F115,F116,-F117)</f>
        <v>-3888703.47</v>
      </c>
      <c r="G118" s="152"/>
      <c r="H118" s="152" t="str">
        <f t="shared" si="71"/>
        <v/>
      </c>
      <c r="I118" s="154">
        <f>SUM(I115,I116,-I117)</f>
        <v>-3923429.11</v>
      </c>
      <c r="J118" s="155">
        <f t="shared" si="63"/>
        <v>-112.9836</v>
      </c>
      <c r="K118" s="163"/>
    </row>
    <row r="119" spans="1:11" ht="18">
      <c r="A119" s="30"/>
      <c r="B119" s="150">
        <v>6791</v>
      </c>
      <c r="C119" s="151" t="str">
        <f t="shared" si="64"/>
        <v>所得税费用</v>
      </c>
      <c r="D119" s="70">
        <f>VLOOKUP($B119,Sheet_Trialbal,10,0)</f>
        <v>-485503.27</v>
      </c>
      <c r="E119" s="152"/>
      <c r="F119" s="70">
        <f>VLOOKUP($B119,Sheet_Trialbal,6,0)</f>
        <v>-538795.14</v>
      </c>
      <c r="G119" s="152"/>
      <c r="H119" s="152" t="str">
        <f t="shared" si="71"/>
        <v/>
      </c>
      <c r="I119" s="70">
        <f t="shared" ref="I119:I125" si="72">IF(OR(F119="",D119=""),"",F119-D119)</f>
        <v>-53291.87</v>
      </c>
      <c r="J119" s="152">
        <f t="shared" si="63"/>
        <v>0.10979999999999999</v>
      </c>
      <c r="K119" s="163"/>
    </row>
    <row r="120" spans="1:11" ht="18">
      <c r="A120" s="30"/>
      <c r="B120" s="150">
        <v>6799</v>
      </c>
      <c r="C120" s="153" t="str">
        <f t="shared" si="64"/>
        <v>净利润</v>
      </c>
      <c r="D120" s="154">
        <f>SUM(D118,-D119)</f>
        <v>520228.91</v>
      </c>
      <c r="E120" s="152"/>
      <c r="F120" s="154">
        <f>SUM(F118,-F119)</f>
        <v>-3349908.33</v>
      </c>
      <c r="G120" s="152"/>
      <c r="H120" s="152" t="str">
        <f t="shared" si="71"/>
        <v/>
      </c>
      <c r="I120" s="154">
        <f t="shared" si="72"/>
        <v>-3870137.24</v>
      </c>
      <c r="J120" s="155">
        <f t="shared" si="63"/>
        <v>-7.4393000000000002</v>
      </c>
      <c r="K120" s="163"/>
    </row>
    <row r="121" spans="1:11" ht="18">
      <c r="A121" s="30"/>
      <c r="B121" s="150">
        <v>6811</v>
      </c>
      <c r="C121" s="151" t="str">
        <f t="shared" si="64"/>
        <v>归属于母公司所有者的净利润</v>
      </c>
      <c r="D121" s="70">
        <f>VLOOKUP($B121,Sheet_Trialbal,10,0)</f>
        <v>520228.91</v>
      </c>
      <c r="E121" s="152"/>
      <c r="F121" s="70">
        <f>VLOOKUP($B121,Sheet_Trialbal,6,0)</f>
        <v>-3349908.33</v>
      </c>
      <c r="G121" s="152"/>
      <c r="H121" s="152" t="str">
        <f t="shared" si="71"/>
        <v/>
      </c>
      <c r="I121" s="70">
        <f t="shared" si="72"/>
        <v>-3870137.24</v>
      </c>
      <c r="J121" s="152">
        <f t="shared" si="63"/>
        <v>-7.4393000000000002</v>
      </c>
      <c r="K121" s="163"/>
    </row>
    <row r="122" spans="1:11" ht="18">
      <c r="A122" s="30"/>
      <c r="B122" s="150">
        <v>6812</v>
      </c>
      <c r="C122" s="151" t="str">
        <f t="shared" si="64"/>
        <v>少数股东损益</v>
      </c>
      <c r="D122" s="70">
        <f>VLOOKUP($B122,Sheet_Trialbal,10,0)</f>
        <v>0</v>
      </c>
      <c r="E122" s="152"/>
      <c r="F122" s="70">
        <f>VLOOKUP($B122,Sheet_Trialbal,6,0)</f>
        <v>0</v>
      </c>
      <c r="G122" s="152"/>
      <c r="H122" s="152" t="str">
        <f t="shared" si="71"/>
        <v/>
      </c>
      <c r="I122" s="70">
        <f t="shared" si="72"/>
        <v>0</v>
      </c>
      <c r="J122" s="152" t="str">
        <f t="shared" si="63"/>
        <v/>
      </c>
      <c r="K122" s="163"/>
    </row>
    <row r="123" spans="1:11" ht="18">
      <c r="A123" s="30"/>
      <c r="B123" s="150">
        <v>6829</v>
      </c>
      <c r="C123" s="151" t="str">
        <f t="shared" si="64"/>
        <v>其他综合收益的税后净额</v>
      </c>
      <c r="D123" s="70">
        <f>VLOOKUP($B123,Sheet_Trialbal,10,0)</f>
        <v>0</v>
      </c>
      <c r="E123" s="152"/>
      <c r="F123" s="70">
        <f>VLOOKUP($B123,Sheet_Trialbal,6,0)</f>
        <v>0</v>
      </c>
      <c r="G123" s="152"/>
      <c r="H123" s="152" t="str">
        <f t="shared" si="71"/>
        <v/>
      </c>
      <c r="I123" s="70">
        <f t="shared" si="72"/>
        <v>0</v>
      </c>
      <c r="J123" s="152" t="str">
        <f t="shared" si="63"/>
        <v/>
      </c>
      <c r="K123" s="163"/>
    </row>
    <row r="124" spans="1:11" ht="18">
      <c r="A124" s="30"/>
      <c r="B124" s="150">
        <v>6839</v>
      </c>
      <c r="C124" s="153" t="str">
        <f t="shared" si="64"/>
        <v>综合收益总额</v>
      </c>
      <c r="D124" s="154">
        <f>SUM(D120,D123)</f>
        <v>520228.91</v>
      </c>
      <c r="E124" s="152"/>
      <c r="F124" s="154">
        <f>SUM(F120,F123)</f>
        <v>-3349908.33</v>
      </c>
      <c r="G124" s="152"/>
      <c r="H124" s="152" t="str">
        <f t="shared" si="71"/>
        <v/>
      </c>
      <c r="I124" s="154">
        <f t="shared" si="72"/>
        <v>-3870137.24</v>
      </c>
      <c r="J124" s="155">
        <f t="shared" si="63"/>
        <v>-7.4393000000000002</v>
      </c>
      <c r="K124" s="163"/>
    </row>
    <row r="125" spans="1:11" ht="18">
      <c r="A125" s="30"/>
      <c r="B125" s="36"/>
      <c r="C125" s="37"/>
      <c r="D125" s="166"/>
      <c r="E125" s="167"/>
      <c r="F125" s="166"/>
      <c r="G125" s="167"/>
      <c r="H125" s="167" t="str">
        <f t="shared" si="71"/>
        <v/>
      </c>
      <c r="I125" s="166" t="str">
        <f t="shared" si="72"/>
        <v/>
      </c>
      <c r="J125" s="167" t="str">
        <f t="shared" si="63"/>
        <v/>
      </c>
      <c r="K125" s="171"/>
    </row>
    <row r="126" spans="1:11" ht="18">
      <c r="A126" s="30"/>
      <c r="B126" s="1458" t="s">
        <v>4867</v>
      </c>
      <c r="C126" s="168" t="s">
        <v>5079</v>
      </c>
      <c r="D126" s="169"/>
      <c r="E126" s="170"/>
      <c r="F126" s="169"/>
      <c r="G126" s="170"/>
      <c r="H126" s="170"/>
      <c r="I126" s="169"/>
      <c r="J126" s="170"/>
      <c r="K126" s="45"/>
    </row>
    <row r="127" spans="1:11" ht="18">
      <c r="A127" s="30"/>
      <c r="B127" s="44"/>
      <c r="C127" s="45"/>
      <c r="D127" s="169"/>
      <c r="E127" s="170"/>
      <c r="F127" s="169"/>
      <c r="G127" s="170"/>
      <c r="H127" s="170"/>
      <c r="I127" s="169"/>
      <c r="J127" s="170"/>
      <c r="K127" s="45"/>
    </row>
    <row r="128" spans="1:11" ht="18">
      <c r="A128" s="30"/>
      <c r="B128" s="44"/>
      <c r="C128" s="45"/>
      <c r="D128" s="169"/>
      <c r="E128" s="170"/>
      <c r="F128" s="169"/>
      <c r="G128" s="170"/>
      <c r="H128" s="170"/>
      <c r="I128" s="169"/>
      <c r="J128" s="170"/>
      <c r="K128" s="45"/>
    </row>
    <row r="129" spans="1:11" ht="18">
      <c r="A129" s="30"/>
      <c r="B129" s="44"/>
      <c r="C129" s="45"/>
      <c r="D129" s="169"/>
      <c r="E129" s="170"/>
      <c r="F129" s="169"/>
      <c r="G129" s="170"/>
      <c r="H129" s="170"/>
      <c r="I129" s="169"/>
      <c r="J129" s="170"/>
      <c r="K129" s="45"/>
    </row>
    <row r="130" spans="1:11" ht="18">
      <c r="A130" s="30"/>
      <c r="B130" s="52"/>
      <c r="C130" s="52"/>
      <c r="D130" s="52"/>
      <c r="E130" s="52"/>
      <c r="F130" s="52"/>
      <c r="G130" s="52"/>
      <c r="H130" s="52"/>
      <c r="I130" s="52"/>
      <c r="J130" s="52"/>
      <c r="K130" s="52"/>
    </row>
    <row r="131" spans="1:11" ht="18">
      <c r="A131" s="30"/>
    </row>
    <row r="132" spans="1:11" ht="18">
      <c r="A132" s="30"/>
    </row>
    <row r="133" spans="1:11" ht="18">
      <c r="A133" s="30"/>
    </row>
    <row r="134" spans="1:11" ht="18">
      <c r="A134" s="30"/>
    </row>
    <row r="135" spans="1:11" ht="18">
      <c r="A135" s="30"/>
    </row>
    <row r="136" spans="1:11" ht="18">
      <c r="A136" s="30"/>
    </row>
    <row r="137" spans="1:11" ht="18">
      <c r="A137" s="30"/>
    </row>
    <row r="138" spans="1:11" ht="18">
      <c r="A138" s="30"/>
    </row>
  </sheetData>
  <phoneticPr fontId="163" type="noConversion"/>
  <pageMargins left="0.78740157480314998" right="0" top="0.78740157480314998" bottom="0.196850393700787" header="0.511811023622047" footer="0.511811023622047"/>
  <pageSetup paperSize="9" scale="80" orientation="portrait" blackAndWhite="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2:J109"/>
  <sheetViews>
    <sheetView showZeros="0" workbookViewId="0">
      <selection activeCell="D10" sqref="D10"/>
    </sheetView>
  </sheetViews>
  <sheetFormatPr defaultColWidth="9.140625" defaultRowHeight="12"/>
  <cols>
    <col min="1" max="1" width="4.28515625" style="1" customWidth="1"/>
    <col min="2" max="2" width="6.7109375" style="1" customWidth="1"/>
    <col min="3" max="3" width="31.140625" style="1" customWidth="1"/>
    <col min="4" max="7" width="14.7109375" style="1" customWidth="1"/>
    <col min="8" max="9" width="8.7109375" style="1" customWidth="1"/>
    <col min="10" max="16384" width="9.140625" style="1"/>
  </cols>
  <sheetData>
    <row r="2" spans="1:10" ht="18" customHeight="1">
      <c r="B2" s="2" t="s">
        <v>2520</v>
      </c>
      <c r="C2" s="3" t="str">
        <f>Lead!$C$5</f>
        <v>福建省力菲克药业有限公司</v>
      </c>
      <c r="D2" s="4"/>
      <c r="E2" s="5" t="s">
        <v>2521</v>
      </c>
      <c r="F2" s="6"/>
      <c r="G2" s="7" t="s">
        <v>2501</v>
      </c>
      <c r="H2" s="8"/>
      <c r="I2" s="53"/>
      <c r="J2" s="96"/>
    </row>
    <row r="3" spans="1:10" ht="18" customHeight="1">
      <c r="B3" s="2" t="s">
        <v>2522</v>
      </c>
      <c r="C3" s="9" t="s">
        <v>5005</v>
      </c>
      <c r="D3" s="10" t="s">
        <v>2450</v>
      </c>
      <c r="E3" s="11" t="str">
        <f>IF(Lead!$E$9="","",Lead!$E$9)</f>
        <v>孙健</v>
      </c>
      <c r="F3" s="12"/>
      <c r="G3" s="13">
        <f>IF(Lead!$F$9="","",Lead!$F$9)</f>
        <v>43864</v>
      </c>
      <c r="H3" s="14" t="s">
        <v>2524</v>
      </c>
      <c r="I3" s="2747" t="s">
        <v>6597</v>
      </c>
      <c r="J3" s="96"/>
    </row>
    <row r="4" spans="1:10" ht="18" customHeight="1">
      <c r="B4" s="2" t="s">
        <v>2436</v>
      </c>
      <c r="C4" s="15">
        <f>Lead!$F$5</f>
        <v>43830</v>
      </c>
      <c r="D4" s="10" t="s">
        <v>2457</v>
      </c>
      <c r="E4" s="16" t="str">
        <f>IF(Lead!$E$10="","",Lead!$E$10)</f>
        <v/>
      </c>
      <c r="F4" s="12"/>
      <c r="G4" s="17" t="str">
        <f>IF(Lead!$F$10="","",Lead!$F$10)</f>
        <v/>
      </c>
      <c r="H4" s="14" t="s">
        <v>2525</v>
      </c>
      <c r="I4" s="54"/>
      <c r="J4" s="96"/>
    </row>
    <row r="5" spans="1:10" ht="12" customHeight="1">
      <c r="B5" s="18"/>
      <c r="C5" s="19"/>
      <c r="D5" s="20"/>
      <c r="E5" s="21"/>
      <c r="F5" s="19"/>
      <c r="G5" s="22"/>
      <c r="H5" s="21"/>
      <c r="I5" s="19"/>
      <c r="J5" s="96"/>
    </row>
    <row r="6" spans="1:10" ht="12" customHeight="1">
      <c r="B6" s="61"/>
      <c r="C6" s="6"/>
      <c r="D6" s="61"/>
      <c r="E6" s="62"/>
      <c r="F6" s="6"/>
      <c r="G6" s="62"/>
      <c r="H6" s="62"/>
      <c r="I6" s="6"/>
      <c r="J6" s="97" t="s">
        <v>918</v>
      </c>
    </row>
    <row r="7" spans="1:10" ht="12" hidden="1" customHeight="1">
      <c r="B7" s="23"/>
      <c r="C7" s="23"/>
      <c r="D7" s="23"/>
      <c r="E7" s="23"/>
      <c r="F7" s="23"/>
      <c r="G7" s="23"/>
      <c r="H7" s="23"/>
      <c r="I7" s="23"/>
      <c r="J7" s="96"/>
    </row>
    <row r="8" spans="1:10" ht="24.75">
      <c r="A8" s="24"/>
      <c r="B8" s="63" t="s">
        <v>2528</v>
      </c>
      <c r="C8" s="64" t="s">
        <v>5006</v>
      </c>
      <c r="D8" s="65" t="s">
        <v>5007</v>
      </c>
      <c r="E8" s="64" t="s">
        <v>5008</v>
      </c>
      <c r="F8" s="66" t="s">
        <v>5080</v>
      </c>
      <c r="G8" s="66" t="s">
        <v>5010</v>
      </c>
      <c r="H8" s="67" t="s">
        <v>2508</v>
      </c>
      <c r="I8" s="98"/>
      <c r="J8" s="99" t="s">
        <v>5011</v>
      </c>
    </row>
    <row r="9" spans="1:10" ht="18">
      <c r="A9" s="30"/>
      <c r="B9" s="68">
        <v>1</v>
      </c>
      <c r="C9" s="69" t="s">
        <v>5081</v>
      </c>
      <c r="D9" s="70"/>
      <c r="E9" s="70"/>
      <c r="F9" s="70"/>
      <c r="G9" s="70"/>
      <c r="H9" s="71" t="s">
        <v>5059</v>
      </c>
      <c r="I9" s="100"/>
      <c r="J9" s="97" t="s">
        <v>918</v>
      </c>
    </row>
    <row r="10" spans="1:10" ht="18">
      <c r="A10" s="30"/>
      <c r="B10" s="31">
        <v>6001</v>
      </c>
      <c r="C10" s="72" t="s">
        <v>631</v>
      </c>
      <c r="D10" s="70">
        <f>VLOOKUP($B10,Sheet_Trialbal,10,0)</f>
        <v>37369847.649999999</v>
      </c>
      <c r="E10" s="70"/>
      <c r="F10" s="70">
        <f>VLOOKUP($B10,Sheet_Trialbal,6,0)</f>
        <v>34251580.890000001</v>
      </c>
      <c r="G10" s="70"/>
      <c r="H10" s="3602"/>
      <c r="I10" s="3603"/>
      <c r="J10" s="101" t="s">
        <v>5063</v>
      </c>
    </row>
    <row r="11" spans="1:10" ht="18">
      <c r="A11" s="30"/>
      <c r="B11" s="31"/>
      <c r="C11" s="72" t="s">
        <v>5076</v>
      </c>
      <c r="D11" s="70">
        <f>D10-D106</f>
        <v>13435255.960000001</v>
      </c>
      <c r="E11" s="70"/>
      <c r="F11" s="70">
        <f>F10-F106</f>
        <v>12867047.939999999</v>
      </c>
      <c r="G11" s="70"/>
      <c r="H11" s="73"/>
      <c r="I11" s="56"/>
      <c r="J11" s="96"/>
    </row>
    <row r="12" spans="1:10" ht="18">
      <c r="A12" s="30"/>
      <c r="B12" s="31">
        <v>6111</v>
      </c>
      <c r="C12" s="72" t="s">
        <v>656</v>
      </c>
      <c r="D12" s="70">
        <f>VLOOKUP($B12,Sheet_Trialbal,10,0)</f>
        <v>38200.720000000001</v>
      </c>
      <c r="E12" s="70"/>
      <c r="F12" s="70">
        <f>VLOOKUP($B12,Sheet_Trialbal,6,0)</f>
        <v>41851.06</v>
      </c>
      <c r="G12" s="70"/>
      <c r="H12" s="74" t="s">
        <v>5059</v>
      </c>
      <c r="I12" s="56"/>
      <c r="J12" s="96"/>
    </row>
    <row r="13" spans="1:10" ht="18">
      <c r="A13" s="30"/>
      <c r="B13" s="31">
        <v>6689</v>
      </c>
      <c r="C13" s="72" t="s">
        <v>833</v>
      </c>
      <c r="D13" s="70">
        <f>VLOOKUP($B13,Sheet_Trialbal,10,0)</f>
        <v>123376.75</v>
      </c>
      <c r="E13" s="70"/>
      <c r="F13" s="70">
        <f>VLOOKUP($B13,Sheet_Trialbal,6,0)</f>
        <v>-3866734.23</v>
      </c>
      <c r="G13" s="70"/>
      <c r="H13" s="3602"/>
      <c r="I13" s="3603"/>
      <c r="J13" s="101" t="s">
        <v>5063</v>
      </c>
    </row>
    <row r="14" spans="1:10" ht="18">
      <c r="A14" s="30"/>
      <c r="B14" s="31">
        <v>6799</v>
      </c>
      <c r="C14" s="72" t="s">
        <v>871</v>
      </c>
      <c r="D14" s="70">
        <f>VLOOKUP($B14,Sheet_Trialbal,10,0)</f>
        <v>520228.91</v>
      </c>
      <c r="E14" s="70"/>
      <c r="F14" s="70">
        <f>VLOOKUP($B14,Sheet_Trialbal,6,0)</f>
        <v>-3349908.33</v>
      </c>
      <c r="G14" s="70"/>
      <c r="H14" s="3602"/>
      <c r="I14" s="3603"/>
      <c r="J14" s="101" t="s">
        <v>5063</v>
      </c>
    </row>
    <row r="15" spans="1:10" ht="18">
      <c r="A15" s="30"/>
      <c r="B15" s="31">
        <v>6811</v>
      </c>
      <c r="C15" s="72" t="s">
        <v>5077</v>
      </c>
      <c r="D15" s="70">
        <f>VLOOKUP($B15,Sheet_Trialbal,10,0)</f>
        <v>520228.91</v>
      </c>
      <c r="E15" s="70"/>
      <c r="F15" s="70">
        <f>VLOOKUP($B15,Sheet_Trialbal,6,0)</f>
        <v>-3349908.33</v>
      </c>
      <c r="G15" s="70"/>
      <c r="H15" s="34"/>
      <c r="I15" s="56"/>
      <c r="J15" s="96"/>
    </row>
    <row r="16" spans="1:10" ht="18">
      <c r="A16" s="30"/>
      <c r="B16" s="31">
        <v>2</v>
      </c>
      <c r="C16" s="69" t="s">
        <v>5012</v>
      </c>
      <c r="D16" s="70"/>
      <c r="E16" s="70"/>
      <c r="F16" s="70"/>
      <c r="G16" s="70"/>
      <c r="H16" s="34"/>
      <c r="I16" s="56"/>
      <c r="J16" s="96"/>
    </row>
    <row r="17" spans="1:10" ht="18">
      <c r="A17" s="30"/>
      <c r="B17" s="31"/>
      <c r="C17" s="72" t="s">
        <v>5013</v>
      </c>
      <c r="D17" s="75">
        <f>IF(D10=0,"",D11/D10)</f>
        <v>0.35949999999999999</v>
      </c>
      <c r="E17" s="70"/>
      <c r="F17" s="75">
        <f>IF(F10=0,"",F11/F10)</f>
        <v>0.37569999999999998</v>
      </c>
      <c r="G17" s="70"/>
      <c r="H17" s="34"/>
      <c r="I17" s="56"/>
      <c r="J17" s="101" t="s">
        <v>5014</v>
      </c>
    </row>
    <row r="18" spans="1:10" ht="18">
      <c r="A18" s="30"/>
      <c r="B18" s="31"/>
      <c r="C18" s="72" t="s">
        <v>5015</v>
      </c>
      <c r="D18" s="75">
        <f>IF(D$10=0,"",D13/D$10)</f>
        <v>3.3E-3</v>
      </c>
      <c r="E18" s="70"/>
      <c r="F18" s="75">
        <f>IF(F$10=0,"",F13/F$10)</f>
        <v>-0.1129</v>
      </c>
      <c r="G18" s="70"/>
      <c r="H18" s="34"/>
      <c r="I18" s="56"/>
      <c r="J18" s="101" t="s">
        <v>5016</v>
      </c>
    </row>
    <row r="19" spans="1:10" ht="18">
      <c r="A19" s="30"/>
      <c r="B19" s="31"/>
      <c r="C19" s="72" t="s">
        <v>5017</v>
      </c>
      <c r="D19" s="75">
        <f>IF(D$82=0,"",D14/D$82)</f>
        <v>8.8000000000000005E-3</v>
      </c>
      <c r="E19" s="70"/>
      <c r="F19" s="75">
        <f>IF(F$82=0,"",F14/F$82)</f>
        <v>-5.6500000000000002E-2</v>
      </c>
      <c r="G19" s="70"/>
      <c r="H19" s="34"/>
      <c r="I19" s="56"/>
      <c r="J19" s="101" t="s">
        <v>5018</v>
      </c>
    </row>
    <row r="20" spans="1:10" ht="18">
      <c r="A20" s="30"/>
      <c r="B20" s="31"/>
      <c r="C20" s="72" t="s">
        <v>5019</v>
      </c>
      <c r="D20" s="75">
        <f>IF(D87=0,"",D14/D87)</f>
        <v>1.1599999999999999E-2</v>
      </c>
      <c r="E20" s="70"/>
      <c r="F20" s="75">
        <f>IF(F87=0,"",F14/F87)</f>
        <v>-8.14E-2</v>
      </c>
      <c r="G20" s="70"/>
      <c r="H20" s="34"/>
      <c r="I20" s="56"/>
      <c r="J20" s="101" t="s">
        <v>5020</v>
      </c>
    </row>
    <row r="21" spans="1:10" ht="18">
      <c r="A21" s="30"/>
      <c r="B21" s="31">
        <v>3</v>
      </c>
      <c r="C21" s="69" t="s">
        <v>5021</v>
      </c>
      <c r="D21" s="70"/>
      <c r="E21" s="70"/>
      <c r="F21" s="70"/>
      <c r="G21" s="70"/>
      <c r="H21" s="34"/>
      <c r="I21" s="56"/>
      <c r="J21" s="96"/>
    </row>
    <row r="22" spans="1:10" ht="18">
      <c r="A22" s="30"/>
      <c r="B22" s="31"/>
      <c r="C22" s="72" t="s">
        <v>5022</v>
      </c>
      <c r="D22" s="70">
        <f>IF(D74=0,"",D$10/D74)</f>
        <v>4.7</v>
      </c>
      <c r="E22" s="70"/>
      <c r="F22" s="70">
        <f>IF(F74=0,"",F$10/F74)</f>
        <v>2.0699999999999998</v>
      </c>
      <c r="G22" s="70"/>
      <c r="H22" s="34"/>
      <c r="I22" s="56"/>
      <c r="J22" s="101" t="s">
        <v>5023</v>
      </c>
    </row>
    <row r="23" spans="1:10" ht="18">
      <c r="A23" s="30"/>
      <c r="B23" s="31"/>
      <c r="C23" s="72" t="s">
        <v>5024</v>
      </c>
      <c r="D23" s="70">
        <f>IF(D79=0,"",D106/D79)</f>
        <v>3.76</v>
      </c>
      <c r="E23" s="70"/>
      <c r="F23" s="70">
        <f>IF(F79=0,"",F106/F79)</f>
        <v>1.59</v>
      </c>
      <c r="G23" s="70"/>
      <c r="H23" s="34"/>
      <c r="I23" s="56"/>
      <c r="J23" s="101" t="s">
        <v>5025</v>
      </c>
    </row>
    <row r="24" spans="1:10" ht="18">
      <c r="A24" s="30"/>
      <c r="B24" s="31"/>
      <c r="C24" s="72" t="s">
        <v>5026</v>
      </c>
      <c r="D24" s="70">
        <f>IF(D83=0,"",D$10/D83)</f>
        <v>1.27</v>
      </c>
      <c r="E24" s="70"/>
      <c r="F24" s="70">
        <f>IF(F83=0,"",F$10/F83)</f>
        <v>0.57999999999999996</v>
      </c>
      <c r="G24" s="70"/>
      <c r="H24" s="34"/>
      <c r="I24" s="56"/>
      <c r="J24" s="101" t="s">
        <v>5027</v>
      </c>
    </row>
    <row r="25" spans="1:10" ht="18">
      <c r="A25" s="30"/>
      <c r="B25" s="31"/>
      <c r="C25" s="72" t="s">
        <v>5028</v>
      </c>
      <c r="D25" s="70">
        <f>IF(D85=0,"",D$10/D85)</f>
        <v>2.06</v>
      </c>
      <c r="E25" s="70"/>
      <c r="F25" s="70">
        <f>IF(F85=0,"",F$10/F85)</f>
        <v>2.04</v>
      </c>
      <c r="G25" s="70"/>
      <c r="H25" s="34"/>
      <c r="I25" s="56"/>
      <c r="J25" s="101" t="s">
        <v>5029</v>
      </c>
    </row>
    <row r="26" spans="1:10" ht="18">
      <c r="A26" s="30"/>
      <c r="B26" s="31">
        <v>4</v>
      </c>
      <c r="C26" s="69" t="s">
        <v>5030</v>
      </c>
      <c r="D26" s="70"/>
      <c r="E26" s="70"/>
      <c r="F26" s="70"/>
      <c r="G26" s="70"/>
      <c r="H26" s="34"/>
      <c r="I26" s="56"/>
      <c r="J26" s="96"/>
    </row>
    <row r="27" spans="1:10" ht="18">
      <c r="A27" s="30"/>
      <c r="B27" s="31"/>
      <c r="C27" s="72" t="s">
        <v>5031</v>
      </c>
      <c r="D27" s="70">
        <f>IF(D$84=0,"",D80/D$84)</f>
        <v>2.27</v>
      </c>
      <c r="E27" s="70"/>
      <c r="F27" s="70">
        <f>IF(F$84=0,"",F80/F$84)</f>
        <v>1.92</v>
      </c>
      <c r="G27" s="70"/>
      <c r="H27" s="34"/>
      <c r="I27" s="56"/>
      <c r="J27" s="101" t="s">
        <v>5032</v>
      </c>
    </row>
    <row r="28" spans="1:10" ht="18">
      <c r="A28" s="30"/>
      <c r="B28" s="31"/>
      <c r="C28" s="72" t="s">
        <v>5033</v>
      </c>
      <c r="D28" s="70">
        <f>IF(D$84=0,"",D81/D$84)</f>
        <v>1.32</v>
      </c>
      <c r="E28" s="70"/>
      <c r="F28" s="70">
        <f>IF(F$84=0,"",F81/F$84)</f>
        <v>1.1100000000000001</v>
      </c>
      <c r="G28" s="70"/>
      <c r="H28" s="34"/>
      <c r="I28" s="56"/>
      <c r="J28" s="101" t="s">
        <v>5034</v>
      </c>
    </row>
    <row r="29" spans="1:10" ht="18">
      <c r="A29" s="30"/>
      <c r="B29" s="31"/>
      <c r="C29" s="72" t="s">
        <v>5035</v>
      </c>
      <c r="D29" s="70">
        <f>IF(D$84=0,"",D109/D$84)</f>
        <v>0.02</v>
      </c>
      <c r="E29" s="70"/>
      <c r="F29" s="70">
        <f>IF(F$84=0,"",F109/F$84)</f>
        <v>0.03</v>
      </c>
      <c r="G29" s="70"/>
      <c r="H29" s="34"/>
      <c r="I29" s="56"/>
      <c r="J29" s="101" t="s">
        <v>5036</v>
      </c>
    </row>
    <row r="30" spans="1:10" ht="18">
      <c r="A30" s="30"/>
      <c r="B30" s="31">
        <v>5</v>
      </c>
      <c r="C30" s="69" t="s">
        <v>5037</v>
      </c>
      <c r="D30" s="70"/>
      <c r="E30" s="70"/>
      <c r="F30" s="70"/>
      <c r="G30" s="70"/>
      <c r="H30" s="34"/>
      <c r="I30" s="56"/>
      <c r="J30" s="96"/>
    </row>
    <row r="31" spans="1:10" ht="18">
      <c r="A31" s="30"/>
      <c r="B31" s="31"/>
      <c r="C31" s="72" t="s">
        <v>5038</v>
      </c>
      <c r="D31" s="75">
        <f>IF(D82=0,"",D86/D82)</f>
        <v>0.24129999999999999</v>
      </c>
      <c r="E31" s="75"/>
      <c r="F31" s="75">
        <f>IF(F82=0,"",F86/F82)</f>
        <v>0.30599999999999999</v>
      </c>
      <c r="G31" s="75"/>
      <c r="H31" s="34"/>
      <c r="I31" s="56"/>
      <c r="J31" s="96"/>
    </row>
    <row r="32" spans="1:10" ht="18">
      <c r="A32" s="30"/>
      <c r="B32" s="31">
        <v>6</v>
      </c>
      <c r="C32" s="69" t="s">
        <v>5082</v>
      </c>
      <c r="D32" s="70"/>
      <c r="E32" s="70"/>
      <c r="F32" s="70"/>
      <c r="G32" s="70"/>
      <c r="H32" s="34"/>
      <c r="I32" s="56"/>
      <c r="J32" s="96"/>
    </row>
    <row r="33" spans="1:10" ht="18">
      <c r="A33" s="30"/>
      <c r="B33" s="31"/>
      <c r="C33" s="72" t="s">
        <v>5083</v>
      </c>
      <c r="D33" s="70" t="str">
        <f>IF(D69=0,"",D10/D69)</f>
        <v/>
      </c>
      <c r="E33" s="70"/>
      <c r="F33" s="70" t="str">
        <f>IF(F69=0,"",F10/F69)</f>
        <v/>
      </c>
      <c r="G33" s="70"/>
      <c r="H33" s="34"/>
      <c r="I33" s="56"/>
      <c r="J33" s="101" t="s">
        <v>5084</v>
      </c>
    </row>
    <row r="34" spans="1:10" ht="18">
      <c r="A34" s="30"/>
      <c r="B34" s="31"/>
      <c r="C34" s="72" t="s">
        <v>5085</v>
      </c>
      <c r="D34" s="75">
        <f>IF(D$10=0,"",(D107+D108)/D$10)</f>
        <v>0.2288</v>
      </c>
      <c r="E34" s="70"/>
      <c r="F34" s="75">
        <f>IF(F$10=0,"",(F107+F108)/F$10)</f>
        <v>0.27779999999999999</v>
      </c>
      <c r="G34" s="70"/>
      <c r="H34" s="34"/>
      <c r="I34" s="56"/>
      <c r="J34" s="101" t="s">
        <v>5086</v>
      </c>
    </row>
    <row r="35" spans="1:10" ht="18">
      <c r="A35" s="30"/>
      <c r="B35" s="31">
        <v>7</v>
      </c>
      <c r="C35" s="69" t="s">
        <v>5039</v>
      </c>
      <c r="D35" s="70"/>
      <c r="E35" s="70"/>
      <c r="F35" s="70"/>
      <c r="G35" s="70"/>
      <c r="H35" s="34"/>
      <c r="I35" s="56"/>
      <c r="J35" s="96"/>
    </row>
    <row r="36" spans="1:10" ht="18">
      <c r="A36" s="30"/>
      <c r="B36" s="31"/>
      <c r="C36" s="72" t="s">
        <v>5040</v>
      </c>
      <c r="D36" s="75" t="str">
        <f>IF(H10=0,"",(D10-H10)/H10)</f>
        <v/>
      </c>
      <c r="E36" s="75"/>
      <c r="F36" s="75">
        <f>IF(D10=0,"",(F10-D10)/D10)</f>
        <v>-8.3400000000000002E-2</v>
      </c>
      <c r="G36" s="75"/>
      <c r="H36" s="34"/>
      <c r="I36" s="56"/>
      <c r="J36" s="101" t="s">
        <v>5041</v>
      </c>
    </row>
    <row r="37" spans="1:10" ht="18">
      <c r="A37" s="30"/>
      <c r="B37" s="31"/>
      <c r="C37" s="72" t="s">
        <v>5042</v>
      </c>
      <c r="D37" s="75" t="str">
        <f>IF(H13=0,"",(D13-H13)/H13)</f>
        <v/>
      </c>
      <c r="E37" s="75"/>
      <c r="F37" s="75">
        <f>IF(D13=0,"",(F13-D13)/D13)</f>
        <v>-32.340899999999998</v>
      </c>
      <c r="G37" s="75"/>
      <c r="H37" s="34"/>
      <c r="I37" s="56"/>
      <c r="J37" s="101" t="s">
        <v>5043</v>
      </c>
    </row>
    <row r="38" spans="1:10" ht="18">
      <c r="A38" s="30"/>
      <c r="B38" s="31"/>
      <c r="C38" s="72" t="s">
        <v>5044</v>
      </c>
      <c r="D38" s="75" t="str">
        <f>IF(H14=0,"",(D14-H14)/H14)</f>
        <v/>
      </c>
      <c r="E38" s="75"/>
      <c r="F38" s="75">
        <f>IF(D14=0,"",(F14-D14)/D14)</f>
        <v>-7.4393000000000002</v>
      </c>
      <c r="G38" s="75"/>
      <c r="H38" s="34"/>
      <c r="I38" s="56"/>
      <c r="J38" s="101" t="s">
        <v>5045</v>
      </c>
    </row>
    <row r="39" spans="1:10" ht="18">
      <c r="A39" s="30"/>
      <c r="B39" s="31"/>
      <c r="C39" s="72" t="s">
        <v>5046</v>
      </c>
      <c r="D39" s="75" t="str">
        <f>IF(H87=0,"",(D87-H87)/H87)</f>
        <v/>
      </c>
      <c r="E39" s="75"/>
      <c r="F39" s="75">
        <f>IF(D87=0,"",(F87-D87)/D87)</f>
        <v>-8.0600000000000005E-2</v>
      </c>
      <c r="G39" s="75"/>
      <c r="H39" s="34"/>
      <c r="I39" s="56"/>
      <c r="J39" s="101" t="s">
        <v>5047</v>
      </c>
    </row>
    <row r="40" spans="1:10" ht="18">
      <c r="A40" s="30"/>
      <c r="B40" s="31"/>
      <c r="C40" s="72" t="s">
        <v>5048</v>
      </c>
      <c r="D40" s="75" t="str">
        <f>IF(H82=0,"",(D82-H82)/H82)</f>
        <v/>
      </c>
      <c r="E40" s="75"/>
      <c r="F40" s="75">
        <f>IF(D82=0,"",(F82-D82)/D82)</f>
        <v>5.1000000000000004E-3</v>
      </c>
      <c r="G40" s="75"/>
      <c r="H40" s="34"/>
      <c r="I40" s="56"/>
      <c r="J40" s="101" t="s">
        <v>5049</v>
      </c>
    </row>
    <row r="41" spans="1:10" ht="18">
      <c r="A41" s="30"/>
      <c r="B41" s="31">
        <v>8</v>
      </c>
      <c r="C41" s="69" t="s">
        <v>5087</v>
      </c>
      <c r="D41" s="70"/>
      <c r="E41" s="70"/>
      <c r="F41" s="70"/>
      <c r="G41" s="70"/>
      <c r="H41" s="34"/>
      <c r="I41" s="56"/>
      <c r="J41" s="96"/>
    </row>
    <row r="42" spans="1:10" ht="18">
      <c r="A42" s="30"/>
      <c r="B42" s="31">
        <v>7348</v>
      </c>
      <c r="C42" s="72" t="s">
        <v>5088</v>
      </c>
      <c r="D42" s="70">
        <f>VLOOKUP($B42,Sheet_Trialbal,10,0)</f>
        <v>-2979289.28</v>
      </c>
      <c r="E42" s="70"/>
      <c r="F42" s="70">
        <f>VLOOKUP($B42,Sheet_Trialbal,6,0)</f>
        <v>226581.11</v>
      </c>
      <c r="G42" s="70"/>
      <c r="H42" s="34"/>
      <c r="I42" s="56"/>
      <c r="J42" s="96"/>
    </row>
    <row r="43" spans="1:10" ht="18">
      <c r="A43" s="30"/>
      <c r="B43" s="31">
        <v>7099</v>
      </c>
      <c r="C43" s="72" t="s">
        <v>5089</v>
      </c>
      <c r="D43" s="70">
        <f>VLOOKUP($B43,Sheet_Trialbal,10,0)</f>
        <v>11322700.880000001</v>
      </c>
      <c r="E43" s="70"/>
      <c r="F43" s="70">
        <f>VLOOKUP($B43,Sheet_Trialbal,6,0)</f>
        <v>963447.92</v>
      </c>
      <c r="G43" s="70"/>
      <c r="H43" s="34"/>
      <c r="I43" s="56"/>
      <c r="J43" s="96"/>
    </row>
    <row r="44" spans="1:10" ht="18">
      <c r="A44" s="30"/>
      <c r="B44" s="31">
        <v>7001</v>
      </c>
      <c r="C44" s="72" t="s">
        <v>5090</v>
      </c>
      <c r="D44" s="70">
        <f>VLOOKUP($B44,Sheet_Trialbal,10,0)</f>
        <v>43157155</v>
      </c>
      <c r="E44" s="70"/>
      <c r="F44" s="70">
        <f>VLOOKUP($B44,Sheet_Trialbal,6,0)</f>
        <v>36631011.609999999</v>
      </c>
      <c r="G44" s="70"/>
      <c r="H44" s="34"/>
      <c r="I44" s="56"/>
      <c r="J44" s="96"/>
    </row>
    <row r="45" spans="1:10" ht="24">
      <c r="A45" s="30"/>
      <c r="B45" s="31"/>
      <c r="C45" s="72" t="s">
        <v>5091</v>
      </c>
      <c r="D45" s="75">
        <f>IF(D$10=0,"",D44/D$10)</f>
        <v>1.1549</v>
      </c>
      <c r="E45" s="70"/>
      <c r="F45" s="75">
        <f>IF(F$10=0,"",F44/F$10)</f>
        <v>1.0694999999999999</v>
      </c>
      <c r="G45" s="70"/>
      <c r="H45" s="34"/>
      <c r="I45" s="56"/>
      <c r="J45" s="96"/>
    </row>
    <row r="46" spans="1:10" ht="18">
      <c r="A46" s="30"/>
      <c r="B46" s="31">
        <v>9</v>
      </c>
      <c r="C46" s="69" t="s">
        <v>5050</v>
      </c>
      <c r="D46" s="70"/>
      <c r="E46" s="70"/>
      <c r="F46" s="70"/>
      <c r="G46" s="70"/>
      <c r="H46" s="34"/>
      <c r="I46" s="56"/>
      <c r="J46" s="96"/>
    </row>
    <row r="47" spans="1:10" ht="18">
      <c r="A47" s="30"/>
      <c r="B47" s="31"/>
      <c r="C47" s="72" t="s">
        <v>891</v>
      </c>
      <c r="D47" s="70" t="str">
        <f>IF(D$70=0,"",D14/D$70)</f>
        <v/>
      </c>
      <c r="E47" s="70"/>
      <c r="F47" s="70" t="str">
        <f>IF(F$70=0,"",F14/F$70)</f>
        <v/>
      </c>
      <c r="G47" s="70"/>
      <c r="H47" s="34"/>
      <c r="I47" s="56"/>
      <c r="J47" s="101" t="s">
        <v>5051</v>
      </c>
    </row>
    <row r="48" spans="1:10" ht="18">
      <c r="A48" s="30"/>
      <c r="B48" s="31"/>
      <c r="C48" s="72" t="s">
        <v>5052</v>
      </c>
      <c r="D48" s="70" t="str">
        <f>IF(D$70=0,"",D87/D$70)</f>
        <v/>
      </c>
      <c r="E48" s="70"/>
      <c r="F48" s="70" t="str">
        <f>IF(F$70=0,"",F87/F$70)</f>
        <v/>
      </c>
      <c r="G48" s="70"/>
      <c r="H48" s="34"/>
      <c r="I48" s="56"/>
      <c r="J48" s="101" t="s">
        <v>5053</v>
      </c>
    </row>
    <row r="49" spans="1:10" ht="18">
      <c r="A49" s="30"/>
      <c r="B49" s="36"/>
      <c r="C49" s="76" t="s">
        <v>5054</v>
      </c>
      <c r="D49" s="70" t="str">
        <f>IF(D$70=0,"",D42/D$70)</f>
        <v/>
      </c>
      <c r="E49" s="70"/>
      <c r="F49" s="70" t="str">
        <f>IF(F$70=0,"",F42/F$70)</f>
        <v/>
      </c>
      <c r="G49" s="70"/>
      <c r="H49" s="39"/>
      <c r="I49" s="57"/>
      <c r="J49" s="101" t="s">
        <v>5055</v>
      </c>
    </row>
    <row r="50" spans="1:10" ht="18">
      <c r="A50" s="30"/>
      <c r="B50" s="77"/>
      <c r="C50" s="78" t="s">
        <v>5092</v>
      </c>
      <c r="D50" s="79"/>
      <c r="E50" s="79"/>
      <c r="F50" s="79"/>
      <c r="G50" s="79"/>
      <c r="H50" s="80"/>
      <c r="I50" s="102"/>
      <c r="J50" s="96"/>
    </row>
    <row r="51" spans="1:10" ht="18">
      <c r="A51" s="30"/>
      <c r="B51" s="81"/>
      <c r="C51" s="82" t="s">
        <v>5093</v>
      </c>
      <c r="D51" s="83"/>
      <c r="E51" s="83"/>
      <c r="F51" s="83"/>
      <c r="G51" s="83"/>
      <c r="H51" s="84"/>
      <c r="I51" s="56"/>
      <c r="J51" s="96"/>
    </row>
    <row r="52" spans="1:10" ht="18">
      <c r="A52" s="30"/>
      <c r="B52" s="81"/>
      <c r="C52" s="82" t="s">
        <v>5094</v>
      </c>
      <c r="D52" s="83"/>
      <c r="E52" s="83"/>
      <c r="F52" s="83"/>
      <c r="G52" s="83"/>
      <c r="H52" s="84"/>
      <c r="I52" s="56"/>
      <c r="J52" s="96"/>
    </row>
    <row r="53" spans="1:10" ht="18">
      <c r="A53" s="30"/>
      <c r="B53" s="81"/>
      <c r="C53" s="82" t="s">
        <v>5095</v>
      </c>
      <c r="D53" s="83"/>
      <c r="E53" s="83"/>
      <c r="F53" s="83"/>
      <c r="G53" s="83"/>
      <c r="H53" s="84"/>
      <c r="I53" s="56"/>
      <c r="J53" s="96"/>
    </row>
    <row r="54" spans="1:10" ht="18">
      <c r="A54" s="30"/>
      <c r="B54" s="81"/>
      <c r="C54" s="82" t="s">
        <v>5096</v>
      </c>
      <c r="D54" s="83"/>
      <c r="E54" s="83"/>
      <c r="F54" s="83"/>
      <c r="G54" s="83"/>
      <c r="H54" s="84"/>
      <c r="I54" s="56"/>
      <c r="J54" s="96"/>
    </row>
    <row r="55" spans="1:10" ht="18">
      <c r="A55" s="30"/>
      <c r="B55" s="81"/>
      <c r="C55" s="82" t="s">
        <v>5097</v>
      </c>
      <c r="D55" s="83"/>
      <c r="E55" s="83"/>
      <c r="F55" s="83"/>
      <c r="G55" s="83"/>
      <c r="H55" s="84"/>
      <c r="I55" s="56"/>
      <c r="J55" s="96"/>
    </row>
    <row r="56" spans="1:10" ht="18">
      <c r="A56" s="30"/>
      <c r="B56" s="85"/>
      <c r="C56" s="49" t="s">
        <v>5098</v>
      </c>
      <c r="D56" s="86"/>
      <c r="E56" s="86"/>
      <c r="F56" s="86"/>
      <c r="G56" s="86"/>
      <c r="H56" s="87"/>
      <c r="I56" s="57"/>
      <c r="J56" s="96"/>
    </row>
    <row r="57" spans="1:10" ht="18">
      <c r="A57" s="30"/>
      <c r="B57" s="77"/>
      <c r="C57" s="88" t="s">
        <v>5099</v>
      </c>
      <c r="D57" s="79"/>
      <c r="E57" s="79"/>
      <c r="F57" s="79"/>
      <c r="G57" s="79"/>
      <c r="H57" s="80"/>
      <c r="I57" s="102"/>
      <c r="J57" s="96"/>
    </row>
    <row r="58" spans="1:10" ht="18">
      <c r="A58" s="30"/>
      <c r="B58" s="81"/>
      <c r="C58" s="89" t="s">
        <v>5100</v>
      </c>
      <c r="D58" s="83"/>
      <c r="E58" s="83"/>
      <c r="F58" s="83"/>
      <c r="G58" s="83"/>
      <c r="H58" s="84"/>
      <c r="I58" s="56"/>
      <c r="J58" s="96"/>
    </row>
    <row r="59" spans="1:10" ht="18">
      <c r="A59" s="30"/>
      <c r="B59" s="81"/>
      <c r="C59" s="90" t="s">
        <v>5006</v>
      </c>
      <c r="D59" s="91" t="s">
        <v>5007</v>
      </c>
      <c r="E59" s="92" t="s">
        <v>5101</v>
      </c>
      <c r="F59" s="93" t="s">
        <v>5080</v>
      </c>
      <c r="G59" s="83"/>
      <c r="H59" s="84"/>
      <c r="I59" s="56"/>
      <c r="J59" s="96"/>
    </row>
    <row r="60" spans="1:10" ht="18">
      <c r="A60" s="30"/>
      <c r="B60" s="81"/>
      <c r="C60" s="94"/>
      <c r="D60" s="33"/>
      <c r="E60" s="33"/>
      <c r="F60" s="95"/>
      <c r="G60" s="83"/>
      <c r="H60" s="84"/>
      <c r="I60" s="56"/>
      <c r="J60" s="96"/>
    </row>
    <row r="61" spans="1:10" ht="18">
      <c r="A61" s="30"/>
      <c r="B61" s="81"/>
      <c r="C61" s="94"/>
      <c r="D61" s="33"/>
      <c r="E61" s="33"/>
      <c r="F61" s="95"/>
      <c r="G61" s="83"/>
      <c r="H61" s="84"/>
      <c r="I61" s="56"/>
      <c r="J61" s="96"/>
    </row>
    <row r="62" spans="1:10" ht="18">
      <c r="A62" s="30"/>
      <c r="B62" s="81"/>
      <c r="C62" s="94"/>
      <c r="D62" s="33"/>
      <c r="E62" s="33"/>
      <c r="F62" s="95"/>
      <c r="G62" s="83"/>
      <c r="H62" s="84"/>
      <c r="I62" s="56"/>
      <c r="J62" s="96"/>
    </row>
    <row r="63" spans="1:10" ht="18">
      <c r="A63" s="30"/>
      <c r="B63" s="81"/>
      <c r="C63" s="78" t="s">
        <v>5092</v>
      </c>
      <c r="D63" s="83"/>
      <c r="E63" s="83"/>
      <c r="F63" s="83"/>
      <c r="G63" s="83"/>
      <c r="H63" s="84"/>
      <c r="I63" s="56"/>
      <c r="J63" s="96"/>
    </row>
    <row r="64" spans="1:10" ht="18">
      <c r="A64" s="30"/>
      <c r="B64" s="81"/>
      <c r="C64" s="82"/>
      <c r="D64" s="83"/>
      <c r="E64" s="83"/>
      <c r="F64" s="83"/>
      <c r="G64" s="83"/>
      <c r="H64" s="84"/>
      <c r="I64" s="56"/>
      <c r="J64" s="96"/>
    </row>
    <row r="65" spans="1:10" ht="18">
      <c r="A65" s="30"/>
      <c r="B65" s="85"/>
      <c r="C65" s="49"/>
      <c r="D65" s="86"/>
      <c r="E65" s="86"/>
      <c r="F65" s="86"/>
      <c r="G65" s="86"/>
      <c r="H65" s="87"/>
      <c r="I65" s="57"/>
      <c r="J65" s="96"/>
    </row>
    <row r="66" spans="1:10" ht="18">
      <c r="A66" s="30"/>
      <c r="B66" s="103"/>
      <c r="C66" s="103"/>
      <c r="D66" s="103"/>
      <c r="E66" s="103"/>
      <c r="F66" s="103"/>
      <c r="G66" s="103"/>
      <c r="H66" s="103"/>
      <c r="I66" s="103"/>
      <c r="J66" s="96"/>
    </row>
    <row r="67" spans="1:10" ht="18">
      <c r="A67" s="30"/>
      <c r="J67" s="96"/>
    </row>
    <row r="68" spans="1:10" ht="24">
      <c r="A68" s="30"/>
      <c r="B68" s="104" t="s">
        <v>2874</v>
      </c>
      <c r="C68" s="105"/>
      <c r="D68" s="106" t="s">
        <v>5056</v>
      </c>
      <c r="E68" s="107" t="s">
        <v>5057</v>
      </c>
      <c r="F68" s="106" t="s">
        <v>5080</v>
      </c>
      <c r="G68" s="106" t="s">
        <v>5010</v>
      </c>
      <c r="H68" s="3606" t="s">
        <v>5059</v>
      </c>
      <c r="I68" s="3607"/>
      <c r="J68" s="97" t="s">
        <v>5060</v>
      </c>
    </row>
    <row r="69" spans="1:10" ht="18">
      <c r="A69" s="30"/>
      <c r="B69" s="108"/>
      <c r="C69" s="109" t="s">
        <v>5061</v>
      </c>
      <c r="D69" s="110"/>
      <c r="E69" s="111"/>
      <c r="F69" s="110"/>
      <c r="G69" s="110"/>
      <c r="H69" s="3608"/>
      <c r="I69" s="3609"/>
      <c r="J69" s="96"/>
    </row>
    <row r="70" spans="1:10" ht="18">
      <c r="A70" s="30"/>
      <c r="B70" s="112"/>
      <c r="C70" s="113" t="s">
        <v>5062</v>
      </c>
      <c r="D70" s="114"/>
      <c r="E70" s="115"/>
      <c r="F70" s="114"/>
      <c r="G70" s="114"/>
      <c r="H70" s="3610"/>
      <c r="I70" s="3611"/>
      <c r="J70" s="96"/>
    </row>
    <row r="71" spans="1:10" ht="18">
      <c r="A71" s="30"/>
      <c r="B71" s="116">
        <v>1122</v>
      </c>
      <c r="C71" s="113" t="s">
        <v>124</v>
      </c>
      <c r="D71" s="117">
        <f>VLOOKUP($B71,Sheet_Trialbal,10,0)</f>
        <v>15914214.57</v>
      </c>
      <c r="E71" s="117"/>
      <c r="F71" s="117">
        <f>VLOOKUP($B71,Sheet_Trialbal,6,0)</f>
        <v>15482120.279999999</v>
      </c>
      <c r="G71" s="117"/>
      <c r="H71" s="3604"/>
      <c r="I71" s="3605"/>
      <c r="J71" s="101" t="s">
        <v>5063</v>
      </c>
    </row>
    <row r="72" spans="1:10" ht="18">
      <c r="A72" s="30"/>
      <c r="B72" s="116">
        <v>1122.1231</v>
      </c>
      <c r="C72" s="113" t="s">
        <v>5064</v>
      </c>
      <c r="D72" s="114">
        <f>VLOOKUP($B72,Sheet_Trialbal,10,0)</f>
        <v>0</v>
      </c>
      <c r="E72" s="114"/>
      <c r="F72" s="114">
        <f>VLOOKUP($B72,Sheet_Trialbal,6,0)</f>
        <v>1772380.89</v>
      </c>
      <c r="G72" s="114"/>
      <c r="H72" s="3604"/>
      <c r="I72" s="3605"/>
      <c r="J72" s="101" t="s">
        <v>5063</v>
      </c>
    </row>
    <row r="73" spans="1:10" ht="18">
      <c r="A73" s="30"/>
      <c r="B73" s="116"/>
      <c r="C73" s="113" t="s">
        <v>5065</v>
      </c>
      <c r="D73" s="118">
        <f>D71+D72</f>
        <v>15914214.57</v>
      </c>
      <c r="E73" s="118"/>
      <c r="F73" s="118">
        <f>F71+F72</f>
        <v>17254501.170000002</v>
      </c>
      <c r="G73" s="118"/>
      <c r="H73" s="3598">
        <f>H71+H72</f>
        <v>0</v>
      </c>
      <c r="I73" s="3599">
        <f>I71+I72</f>
        <v>0</v>
      </c>
      <c r="J73" s="96"/>
    </row>
    <row r="74" spans="1:10" ht="18">
      <c r="A74" s="30"/>
      <c r="B74" s="116"/>
      <c r="C74" s="120" t="s">
        <v>5066</v>
      </c>
      <c r="D74" s="118">
        <f>(D73+H73)/2</f>
        <v>7957107.29</v>
      </c>
      <c r="E74" s="118"/>
      <c r="F74" s="118">
        <f>(D73+F73)/2</f>
        <v>16584357.869999999</v>
      </c>
      <c r="G74" s="118"/>
      <c r="H74" s="3598"/>
      <c r="I74" s="3599"/>
      <c r="J74" s="96"/>
    </row>
    <row r="75" spans="1:10" ht="18">
      <c r="A75" s="30"/>
      <c r="B75" s="116">
        <v>1125</v>
      </c>
      <c r="C75" s="113" t="s">
        <v>162</v>
      </c>
      <c r="D75" s="117">
        <f>VLOOKUP($B75,Sheet_Trialbal,10,0)</f>
        <v>916036.19</v>
      </c>
      <c r="E75" s="117"/>
      <c r="F75" s="117">
        <f>VLOOKUP($B75,Sheet_Trialbal,6,0)</f>
        <v>815153.11</v>
      </c>
      <c r="G75" s="117"/>
      <c r="H75" s="3598"/>
      <c r="I75" s="3599"/>
      <c r="J75" s="96"/>
    </row>
    <row r="76" spans="1:10" ht="18">
      <c r="A76" s="30"/>
      <c r="B76" s="116">
        <v>1400</v>
      </c>
      <c r="C76" s="113" t="s">
        <v>229</v>
      </c>
      <c r="D76" s="117">
        <f>VLOOKUP($B76,Sheet_Trialbal,10,0)</f>
        <v>12739599.279999999</v>
      </c>
      <c r="E76" s="117"/>
      <c r="F76" s="117">
        <f>VLOOKUP($B76,Sheet_Trialbal,6,0)</f>
        <v>13979569.91</v>
      </c>
      <c r="G76" s="117"/>
      <c r="H76" s="3604"/>
      <c r="I76" s="3605"/>
      <c r="J76" s="101" t="s">
        <v>5063</v>
      </c>
    </row>
    <row r="77" spans="1:10" ht="18">
      <c r="A77" s="30"/>
      <c r="B77" s="116">
        <v>1400.1470999999999</v>
      </c>
      <c r="C77" s="113" t="s">
        <v>5067</v>
      </c>
      <c r="D77" s="114">
        <f>VLOOKUP($B77,Sheet_Trialbal,10,0)</f>
        <v>0</v>
      </c>
      <c r="E77" s="114"/>
      <c r="F77" s="114">
        <f>VLOOKUP($B77,Sheet_Trialbal,6,0)</f>
        <v>245676.38</v>
      </c>
      <c r="G77" s="114"/>
      <c r="H77" s="3604"/>
      <c r="I77" s="3605"/>
      <c r="J77" s="101" t="s">
        <v>5063</v>
      </c>
    </row>
    <row r="78" spans="1:10" ht="18">
      <c r="A78" s="30"/>
      <c r="B78" s="116"/>
      <c r="C78" s="113" t="s">
        <v>5068</v>
      </c>
      <c r="D78" s="118">
        <f>D76+D77</f>
        <v>12739599.279999999</v>
      </c>
      <c r="E78" s="118"/>
      <c r="F78" s="118">
        <f>F76+F77</f>
        <v>14225246.289999999</v>
      </c>
      <c r="G78" s="118"/>
      <c r="H78" s="3598">
        <f>H76+H77</f>
        <v>0</v>
      </c>
      <c r="I78" s="3599">
        <f>I76+I77</f>
        <v>0</v>
      </c>
      <c r="J78" s="96"/>
    </row>
    <row r="79" spans="1:10" ht="18">
      <c r="A79" s="30"/>
      <c r="B79" s="116"/>
      <c r="C79" s="120" t="s">
        <v>5069</v>
      </c>
      <c r="D79" s="118">
        <f>(D78+H78)/2</f>
        <v>6369799.6399999997</v>
      </c>
      <c r="E79" s="118"/>
      <c r="F79" s="118">
        <f>(D78+F78)/2</f>
        <v>13482422.789999999</v>
      </c>
      <c r="G79" s="118"/>
      <c r="H79" s="3598"/>
      <c r="I79" s="3599"/>
      <c r="J79" s="96"/>
    </row>
    <row r="80" spans="1:10" ht="18">
      <c r="A80" s="30"/>
      <c r="B80" s="116">
        <v>1498</v>
      </c>
      <c r="C80" s="113" t="s">
        <v>286</v>
      </c>
      <c r="D80" s="117">
        <f>VLOOKUP($B80,Sheet_Trialbal,10,0)</f>
        <v>32383594.129999999</v>
      </c>
      <c r="E80" s="117"/>
      <c r="F80" s="117">
        <f>VLOOKUP($B80,Sheet_Trialbal,6,0)</f>
        <v>34934288.189999998</v>
      </c>
      <c r="G80" s="117"/>
      <c r="H80" s="3598"/>
      <c r="I80" s="3599"/>
      <c r="J80" s="96"/>
    </row>
    <row r="81" spans="1:10" ht="18">
      <c r="A81" s="30"/>
      <c r="B81" s="116"/>
      <c r="C81" s="120" t="s">
        <v>5070</v>
      </c>
      <c r="D81" s="118">
        <f>D80-D75-D76</f>
        <v>18727958.66</v>
      </c>
      <c r="E81" s="118"/>
      <c r="F81" s="118">
        <f>F80-F75-F76</f>
        <v>20139565.170000002</v>
      </c>
      <c r="G81" s="118"/>
      <c r="H81" s="3598"/>
      <c r="I81" s="3599"/>
      <c r="J81" s="96"/>
    </row>
    <row r="82" spans="1:10" ht="18">
      <c r="A82" s="30"/>
      <c r="B82" s="116">
        <v>1999</v>
      </c>
      <c r="C82" s="113" t="s">
        <v>5071</v>
      </c>
      <c r="D82" s="117">
        <f>VLOOKUP($B82,Sheet_Trialbal,10,0)</f>
        <v>59007107.990000002</v>
      </c>
      <c r="E82" s="117"/>
      <c r="F82" s="117">
        <f>VLOOKUP($B82,Sheet_Trialbal,6,0)</f>
        <v>59310285.469999999</v>
      </c>
      <c r="G82" s="117"/>
      <c r="H82" s="3604"/>
      <c r="I82" s="3605"/>
      <c r="J82" s="101" t="s">
        <v>5063</v>
      </c>
    </row>
    <row r="83" spans="1:10" ht="18">
      <c r="A83" s="30"/>
      <c r="B83" s="116"/>
      <c r="C83" s="120" t="s">
        <v>5072</v>
      </c>
      <c r="D83" s="118">
        <f>(D82+H82)/2</f>
        <v>29503554</v>
      </c>
      <c r="E83" s="118"/>
      <c r="F83" s="118">
        <f>(D82+F82)/2</f>
        <v>59158696.729999997</v>
      </c>
      <c r="G83" s="117"/>
      <c r="H83" s="3598"/>
      <c r="I83" s="3599"/>
      <c r="J83" s="96"/>
    </row>
    <row r="84" spans="1:10" ht="18">
      <c r="A84" s="30"/>
      <c r="B84" s="116">
        <v>2498</v>
      </c>
      <c r="C84" s="113" t="s">
        <v>566</v>
      </c>
      <c r="D84" s="117">
        <f>VLOOKUP($B84,Sheet_Trialbal,10,0)</f>
        <v>14238625.880000001</v>
      </c>
      <c r="E84" s="117"/>
      <c r="F84" s="117">
        <f>VLOOKUP($B84,Sheet_Trialbal,6,0)</f>
        <v>18149273.829999998</v>
      </c>
      <c r="G84" s="117"/>
      <c r="H84" s="3598"/>
      <c r="I84" s="3599"/>
      <c r="J84" s="96"/>
    </row>
    <row r="85" spans="1:10" ht="18">
      <c r="A85" s="30"/>
      <c r="B85" s="116"/>
      <c r="C85" s="113" t="s">
        <v>5073</v>
      </c>
      <c r="D85" s="118">
        <f>D80-D84</f>
        <v>18144968.25</v>
      </c>
      <c r="E85" s="118"/>
      <c r="F85" s="118">
        <f>F80-F84</f>
        <v>16785014.359999999</v>
      </c>
      <c r="G85" s="118"/>
      <c r="H85" s="3598"/>
      <c r="I85" s="3599"/>
      <c r="J85" s="96"/>
    </row>
    <row r="86" spans="1:10" ht="18">
      <c r="A86" s="30"/>
      <c r="B86" s="116">
        <v>2999</v>
      </c>
      <c r="C86" s="113" t="s">
        <v>5074</v>
      </c>
      <c r="D86" s="117">
        <f>VLOOKUP($B86,Sheet_Trialbal,10,0)</f>
        <v>14238625.880000001</v>
      </c>
      <c r="E86" s="117"/>
      <c r="F86" s="117">
        <f>VLOOKUP($B86,Sheet_Trialbal,6,0)</f>
        <v>18149273.829999998</v>
      </c>
      <c r="G86" s="117"/>
      <c r="H86" s="3598"/>
      <c r="I86" s="3599"/>
      <c r="J86" s="96"/>
    </row>
    <row r="87" spans="1:10" ht="18">
      <c r="A87" s="30"/>
      <c r="B87" s="116">
        <v>4999</v>
      </c>
      <c r="C87" s="113" t="s">
        <v>5075</v>
      </c>
      <c r="D87" s="117">
        <f>VLOOKUP($B87,Sheet_Trialbal,10,0)</f>
        <v>44768482.109999999</v>
      </c>
      <c r="E87" s="117"/>
      <c r="F87" s="117">
        <f>VLOOKUP($B87,Sheet_Trialbal,6,0)</f>
        <v>41161011.640000001</v>
      </c>
      <c r="G87" s="117"/>
      <c r="H87" s="3598"/>
      <c r="I87" s="3599"/>
      <c r="J87" s="101" t="s">
        <v>5063</v>
      </c>
    </row>
    <row r="88" spans="1:10" ht="18">
      <c r="A88" s="30"/>
      <c r="B88" s="116"/>
      <c r="C88" s="113"/>
      <c r="D88" s="117"/>
      <c r="E88" s="117"/>
      <c r="F88" s="117"/>
      <c r="G88" s="117"/>
      <c r="H88" s="3612"/>
      <c r="I88" s="3613"/>
      <c r="J88" s="101"/>
    </row>
    <row r="89" spans="1:10" ht="18">
      <c r="A89" s="30"/>
      <c r="B89" s="116"/>
      <c r="C89" s="113"/>
      <c r="D89" s="117"/>
      <c r="E89" s="117"/>
      <c r="F89" s="117"/>
      <c r="G89" s="117"/>
      <c r="H89" s="3598"/>
      <c r="I89" s="3599"/>
      <c r="J89" s="101"/>
    </row>
    <row r="90" spans="1:10" ht="18">
      <c r="A90" s="30"/>
      <c r="B90" s="116"/>
      <c r="C90" s="113"/>
      <c r="D90" s="117"/>
      <c r="E90" s="117"/>
      <c r="F90" s="117"/>
      <c r="G90" s="117"/>
      <c r="H90" s="3598"/>
      <c r="I90" s="3599"/>
      <c r="J90" s="101"/>
    </row>
    <row r="91" spans="1:10" ht="18">
      <c r="A91" s="30"/>
      <c r="B91" s="116"/>
      <c r="C91" s="113"/>
      <c r="D91" s="117"/>
      <c r="E91" s="117"/>
      <c r="F91" s="117"/>
      <c r="G91" s="117"/>
      <c r="H91" s="3598"/>
      <c r="I91" s="3599"/>
      <c r="J91" s="101"/>
    </row>
    <row r="92" spans="1:10" ht="18">
      <c r="A92" s="30"/>
      <c r="B92" s="116"/>
      <c r="C92" s="113"/>
      <c r="D92" s="117"/>
      <c r="E92" s="117"/>
      <c r="F92" s="117"/>
      <c r="G92" s="117"/>
      <c r="H92" s="3598"/>
      <c r="I92" s="3599"/>
      <c r="J92" s="101"/>
    </row>
    <row r="93" spans="1:10" ht="18">
      <c r="A93" s="30"/>
      <c r="B93" s="116"/>
      <c r="C93" s="113"/>
      <c r="D93" s="117"/>
      <c r="E93" s="117"/>
      <c r="F93" s="117"/>
      <c r="G93" s="117"/>
      <c r="H93" s="3598"/>
      <c r="I93" s="3599"/>
      <c r="J93" s="101"/>
    </row>
    <row r="94" spans="1:10" ht="18">
      <c r="A94" s="30"/>
      <c r="B94" s="116"/>
      <c r="C94" s="113"/>
      <c r="D94" s="117"/>
      <c r="E94" s="117"/>
      <c r="F94" s="117"/>
      <c r="G94" s="117"/>
      <c r="H94" s="3598"/>
      <c r="I94" s="3599"/>
      <c r="J94" s="101"/>
    </row>
    <row r="95" spans="1:10" ht="18">
      <c r="A95" s="30"/>
      <c r="B95" s="116"/>
      <c r="C95" s="113"/>
      <c r="D95" s="117"/>
      <c r="E95" s="117"/>
      <c r="F95" s="117"/>
      <c r="G95" s="117"/>
      <c r="H95" s="3598"/>
      <c r="I95" s="3599"/>
      <c r="J95" s="101"/>
    </row>
    <row r="96" spans="1:10" ht="18">
      <c r="A96" s="30"/>
      <c r="B96" s="116"/>
      <c r="C96" s="113"/>
      <c r="D96" s="117"/>
      <c r="E96" s="117"/>
      <c r="F96" s="117"/>
      <c r="G96" s="117"/>
      <c r="H96" s="119"/>
      <c r="I96" s="124"/>
      <c r="J96" s="101"/>
    </row>
    <row r="97" spans="1:10" ht="18">
      <c r="A97" s="30"/>
      <c r="B97" s="116"/>
      <c r="C97" s="113"/>
      <c r="D97" s="117"/>
      <c r="E97" s="117"/>
      <c r="F97" s="117"/>
      <c r="G97" s="117"/>
      <c r="H97" s="119"/>
      <c r="I97" s="124"/>
      <c r="J97" s="101"/>
    </row>
    <row r="98" spans="1:10" ht="18">
      <c r="A98" s="30"/>
      <c r="B98" s="116"/>
      <c r="C98" s="113"/>
      <c r="D98" s="117"/>
      <c r="E98" s="117"/>
      <c r="F98" s="117"/>
      <c r="G98" s="117"/>
      <c r="H98" s="119"/>
      <c r="I98" s="124"/>
      <c r="J98" s="101"/>
    </row>
    <row r="99" spans="1:10" ht="18">
      <c r="A99" s="30"/>
      <c r="B99" s="116"/>
      <c r="C99" s="113"/>
      <c r="D99" s="117"/>
      <c r="E99" s="117"/>
      <c r="F99" s="117"/>
      <c r="G99" s="117"/>
      <c r="H99" s="119"/>
      <c r="I99" s="124"/>
      <c r="J99" s="101"/>
    </row>
    <row r="100" spans="1:10" ht="18">
      <c r="A100" s="30"/>
      <c r="B100" s="116"/>
      <c r="C100" s="113"/>
      <c r="D100" s="117"/>
      <c r="E100" s="117"/>
      <c r="F100" s="117"/>
      <c r="G100" s="117"/>
      <c r="H100" s="3598"/>
      <c r="I100" s="3599"/>
      <c r="J100" s="101"/>
    </row>
    <row r="101" spans="1:10" ht="18">
      <c r="A101" s="30"/>
      <c r="B101" s="116"/>
      <c r="C101" s="113"/>
      <c r="D101" s="117"/>
      <c r="E101" s="117"/>
      <c r="F101" s="117"/>
      <c r="G101" s="117"/>
      <c r="H101" s="3598"/>
      <c r="I101" s="3599"/>
      <c r="J101" s="101"/>
    </row>
    <row r="102" spans="1:10" ht="18">
      <c r="A102" s="30"/>
      <c r="B102" s="116"/>
      <c r="C102" s="113"/>
      <c r="D102" s="117"/>
      <c r="E102" s="117"/>
      <c r="F102" s="117"/>
      <c r="G102" s="117"/>
      <c r="H102" s="3598"/>
      <c r="I102" s="3599"/>
      <c r="J102" s="101"/>
    </row>
    <row r="103" spans="1:10" ht="18">
      <c r="A103" s="30"/>
      <c r="B103" s="116"/>
      <c r="C103" s="113"/>
      <c r="D103" s="117"/>
      <c r="E103" s="117"/>
      <c r="F103" s="117"/>
      <c r="G103" s="117"/>
      <c r="H103" s="3598"/>
      <c r="I103" s="3599"/>
      <c r="J103" s="101"/>
    </row>
    <row r="104" spans="1:10" ht="18">
      <c r="A104" s="30"/>
      <c r="B104" s="116"/>
      <c r="C104" s="113"/>
      <c r="D104" s="117"/>
      <c r="E104" s="117"/>
      <c r="F104" s="117"/>
      <c r="G104" s="117"/>
      <c r="H104" s="3598"/>
      <c r="I104" s="3599"/>
      <c r="J104" s="101"/>
    </row>
    <row r="105" spans="1:10" ht="18">
      <c r="A105" s="30"/>
      <c r="B105" s="116"/>
      <c r="C105" s="113"/>
      <c r="D105" s="117"/>
      <c r="E105" s="117"/>
      <c r="F105" s="117"/>
      <c r="G105" s="117"/>
      <c r="H105" s="3598"/>
      <c r="I105" s="3599"/>
      <c r="J105" s="101"/>
    </row>
    <row r="106" spans="1:10" ht="18">
      <c r="A106" s="30"/>
      <c r="B106" s="116">
        <v>6401</v>
      </c>
      <c r="C106" s="113" t="s">
        <v>671</v>
      </c>
      <c r="D106" s="117">
        <f>VLOOKUP($B106,Sheet_Trialbal,10,0)</f>
        <v>23934591.690000001</v>
      </c>
      <c r="E106" s="117"/>
      <c r="F106" s="117">
        <f>VLOOKUP($B106,Sheet_Trialbal,6,0)</f>
        <v>21384532.949999999</v>
      </c>
      <c r="G106" s="117"/>
      <c r="H106" s="3598"/>
      <c r="I106" s="3599"/>
      <c r="J106" s="96"/>
    </row>
    <row r="107" spans="1:10" ht="18">
      <c r="A107" s="30"/>
      <c r="B107" s="116">
        <v>6601</v>
      </c>
      <c r="C107" s="113" t="s">
        <v>680</v>
      </c>
      <c r="D107" s="117">
        <f>VLOOKUP($B107,Sheet_Trialbal,10,0)</f>
        <v>5670698.4400000004</v>
      </c>
      <c r="E107" s="117"/>
      <c r="F107" s="117">
        <f>VLOOKUP($B107,Sheet_Trialbal,6,0)</f>
        <v>5573302.79</v>
      </c>
      <c r="G107" s="117"/>
      <c r="H107" s="3598"/>
      <c r="I107" s="3599"/>
      <c r="J107" s="96"/>
    </row>
    <row r="108" spans="1:10" ht="18">
      <c r="A108" s="30"/>
      <c r="B108" s="116">
        <v>6602</v>
      </c>
      <c r="C108" s="113" t="s">
        <v>685</v>
      </c>
      <c r="D108" s="117">
        <f>VLOOKUP($B108,Sheet_Trialbal,10,0)</f>
        <v>2881011.76</v>
      </c>
      <c r="E108" s="117"/>
      <c r="F108" s="117">
        <f>VLOOKUP($B108,Sheet_Trialbal,6,0)</f>
        <v>3943436.51</v>
      </c>
      <c r="G108" s="117"/>
      <c r="H108" s="3598"/>
      <c r="I108" s="3599"/>
      <c r="J108" s="96"/>
    </row>
    <row r="109" spans="1:10" ht="18">
      <c r="A109" s="30"/>
      <c r="B109" s="121">
        <v>7399</v>
      </c>
      <c r="C109" s="122" t="s">
        <v>2272</v>
      </c>
      <c r="D109" s="123">
        <f>VLOOKUP($B109,Sheet_Trialbal,10,0)</f>
        <v>252723.84</v>
      </c>
      <c r="E109" s="123"/>
      <c r="F109" s="123">
        <f>VLOOKUP($B109,Sheet_Trialbal,6,0)</f>
        <v>479304.95</v>
      </c>
      <c r="G109" s="123"/>
      <c r="H109" s="3600"/>
      <c r="I109" s="3601"/>
      <c r="J109" s="96"/>
    </row>
  </sheetData>
  <mergeCells count="41">
    <mergeCell ref="H10:I10"/>
    <mergeCell ref="H13:I13"/>
    <mergeCell ref="H14:I14"/>
    <mergeCell ref="H68:I68"/>
    <mergeCell ref="H69:I69"/>
    <mergeCell ref="H70:I70"/>
    <mergeCell ref="H71:I71"/>
    <mergeCell ref="H72:I72"/>
    <mergeCell ref="H73:I73"/>
    <mergeCell ref="H74:I74"/>
    <mergeCell ref="H75:I75"/>
    <mergeCell ref="H76:I76"/>
    <mergeCell ref="H77:I77"/>
    <mergeCell ref="H78:I78"/>
    <mergeCell ref="H79:I79"/>
    <mergeCell ref="H80:I80"/>
    <mergeCell ref="H81:I81"/>
    <mergeCell ref="H82:I82"/>
    <mergeCell ref="H83:I83"/>
    <mergeCell ref="H84:I84"/>
    <mergeCell ref="H85:I85"/>
    <mergeCell ref="H86:I86"/>
    <mergeCell ref="H87:I87"/>
    <mergeCell ref="H88:I88"/>
    <mergeCell ref="H89:I89"/>
    <mergeCell ref="H90:I90"/>
    <mergeCell ref="H91:I91"/>
    <mergeCell ref="H92:I92"/>
    <mergeCell ref="H93:I93"/>
    <mergeCell ref="H94:I94"/>
    <mergeCell ref="H95:I95"/>
    <mergeCell ref="H100:I100"/>
    <mergeCell ref="H101:I101"/>
    <mergeCell ref="H102:I102"/>
    <mergeCell ref="H103:I103"/>
    <mergeCell ref="H109:I109"/>
    <mergeCell ref="H104:I104"/>
    <mergeCell ref="H105:I105"/>
    <mergeCell ref="H106:I106"/>
    <mergeCell ref="H107:I107"/>
    <mergeCell ref="H108:I108"/>
  </mergeCells>
  <phoneticPr fontId="163" type="noConversion"/>
  <conditionalFormatting sqref="H10:I10 H13:I14 H71:I72 H76:I77 H82:I82">
    <cfRule type="expression" dxfId="0" priority="1" stopIfTrue="1">
      <formula>H10=""</formula>
    </cfRule>
  </conditionalFormatting>
  <hyperlinks>
    <hyperlink ref="J68" location="指标分析!D9" display="返回表头"/>
    <hyperlink ref="J9" location="指标分析!Sheet_Link1" display="补充资料"/>
    <hyperlink ref="J6" location="指标分析!Sheet_Link1" display="补充资料"/>
  </hyperlinks>
  <pageMargins left="0.78740157480314998" right="0" top="0.78740157480314998" bottom="0.196850393700787" header="0.511811023622047" footer="0.511811023622047"/>
  <pageSetup paperSize="9" scale="90" orientation="portrait" blackAndWhite="1"/>
  <headerFooter alignWithMargins="0"/>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fitToPage="1"/>
  </sheetPr>
  <dimension ref="A2:I25"/>
  <sheetViews>
    <sheetView workbookViewId="0">
      <selection activeCell="C8" sqref="C8"/>
    </sheetView>
  </sheetViews>
  <sheetFormatPr defaultColWidth="9.140625" defaultRowHeight="12"/>
  <cols>
    <col min="1" max="1" width="4.28515625" style="1" customWidth="1"/>
    <col min="2" max="2" width="6.7109375" style="1" customWidth="1"/>
    <col min="3" max="3" width="31.140625" style="1" customWidth="1"/>
    <col min="4" max="4" width="19.85546875" style="1" customWidth="1"/>
    <col min="5" max="5" width="17.7109375" style="1" customWidth="1"/>
    <col min="6" max="6" width="12.28515625" style="1" customWidth="1"/>
    <col min="7" max="7" width="10.5703125" style="1" customWidth="1"/>
    <col min="8" max="8" width="8.7109375" style="1" customWidth="1"/>
    <col min="9" max="9" width="8.5703125" style="1" customWidth="1"/>
    <col min="10" max="16384" width="9.140625" style="1"/>
  </cols>
  <sheetData>
    <row r="2" spans="1:9" ht="18" customHeight="1">
      <c r="B2" s="2" t="s">
        <v>2520</v>
      </c>
      <c r="C2" s="3" t="str">
        <f>IF(Lead!$C$5="","",Lead!$C$5)</f>
        <v>福建省力菲克药业有限公司</v>
      </c>
      <c r="D2" s="4"/>
      <c r="E2" s="5" t="s">
        <v>2521</v>
      </c>
      <c r="F2" s="6"/>
      <c r="G2" s="7" t="s">
        <v>2501</v>
      </c>
      <c r="H2" s="8"/>
      <c r="I2" s="53"/>
    </row>
    <row r="3" spans="1:9" ht="18" customHeight="1">
      <c r="B3" s="2" t="s">
        <v>2522</v>
      </c>
      <c r="C3" s="9" t="s">
        <v>5102</v>
      </c>
      <c r="D3" s="10" t="s">
        <v>2450</v>
      </c>
      <c r="E3" s="11" t="str">
        <f>IF(Lead!$E$9="","",Lead!$E$9)</f>
        <v>孙健</v>
      </c>
      <c r="F3" s="12"/>
      <c r="G3" s="13">
        <f>IF(Lead!$F$9="","",Lead!$F$9)</f>
        <v>43864</v>
      </c>
      <c r="H3" s="14" t="s">
        <v>2524</v>
      </c>
      <c r="I3" s="2748" t="s">
        <v>6598</v>
      </c>
    </row>
    <row r="4" spans="1:9" ht="18" customHeight="1">
      <c r="B4" s="2" t="s">
        <v>2436</v>
      </c>
      <c r="C4" s="15">
        <f>Lead!$F$5</f>
        <v>43830</v>
      </c>
      <c r="D4" s="10" t="s">
        <v>2457</v>
      </c>
      <c r="E4" s="16" t="str">
        <f>IF(Lead!$E$10="","",Lead!$E$10)</f>
        <v/>
      </c>
      <c r="F4" s="12"/>
      <c r="G4" s="17" t="str">
        <f>IF(Lead!$F$10="","",Lead!$F$10)</f>
        <v/>
      </c>
      <c r="H4" s="14" t="s">
        <v>2525</v>
      </c>
      <c r="I4" s="54"/>
    </row>
    <row r="5" spans="1:9" ht="12" customHeight="1">
      <c r="B5" s="18"/>
      <c r="C5" s="19"/>
      <c r="D5" s="20"/>
      <c r="E5" s="21"/>
      <c r="F5" s="19"/>
      <c r="G5" s="22"/>
      <c r="H5" s="21"/>
      <c r="I5" s="19"/>
    </row>
    <row r="6" spans="1:9" ht="12" customHeight="1">
      <c r="B6" s="23"/>
      <c r="C6" s="23"/>
      <c r="D6" s="23"/>
      <c r="E6" s="23"/>
      <c r="F6" s="23"/>
      <c r="G6" s="23"/>
      <c r="H6" s="23"/>
      <c r="I6" s="23"/>
    </row>
    <row r="7" spans="1:9" ht="25.5">
      <c r="A7" s="24"/>
      <c r="B7" s="25" t="s">
        <v>2528</v>
      </c>
      <c r="C7" s="26" t="s">
        <v>5103</v>
      </c>
      <c r="D7" s="27" t="s">
        <v>5104</v>
      </c>
      <c r="E7" s="26" t="s">
        <v>5105</v>
      </c>
      <c r="F7" s="28" t="s">
        <v>5106</v>
      </c>
      <c r="G7" s="28" t="s">
        <v>5107</v>
      </c>
      <c r="H7" s="29" t="s">
        <v>2508</v>
      </c>
      <c r="I7" s="55"/>
    </row>
    <row r="8" spans="1:9" ht="18">
      <c r="A8" s="30"/>
      <c r="B8" s="31">
        <v>1</v>
      </c>
      <c r="C8" s="32"/>
      <c r="D8" s="33"/>
      <c r="E8" s="33"/>
      <c r="F8" s="33"/>
      <c r="G8" s="33"/>
      <c r="H8" s="34"/>
      <c r="I8" s="56"/>
    </row>
    <row r="9" spans="1:9" ht="18">
      <c r="A9" s="30"/>
      <c r="B9" s="31"/>
      <c r="C9" s="35"/>
      <c r="D9" s="33"/>
      <c r="E9" s="33"/>
      <c r="F9" s="33"/>
      <c r="G9" s="33"/>
      <c r="H9" s="34"/>
      <c r="I9" s="56"/>
    </row>
    <row r="10" spans="1:9" ht="18">
      <c r="A10" s="30"/>
      <c r="B10" s="31"/>
      <c r="C10" s="35"/>
      <c r="D10" s="33"/>
      <c r="E10" s="33"/>
      <c r="F10" s="33"/>
      <c r="G10" s="33"/>
      <c r="H10" s="34"/>
      <c r="I10" s="56"/>
    </row>
    <row r="11" spans="1:9" ht="18">
      <c r="A11" s="30"/>
      <c r="B11" s="31"/>
      <c r="C11" s="35"/>
      <c r="D11" s="33"/>
      <c r="E11" s="33"/>
      <c r="F11" s="33"/>
      <c r="G11" s="33"/>
      <c r="H11" s="34"/>
      <c r="I11" s="56"/>
    </row>
    <row r="12" spans="1:9" ht="18">
      <c r="A12" s="30"/>
      <c r="B12" s="31"/>
      <c r="C12" s="35"/>
      <c r="D12" s="33"/>
      <c r="E12" s="33"/>
      <c r="F12" s="33"/>
      <c r="G12" s="33"/>
      <c r="H12" s="34"/>
      <c r="I12" s="56"/>
    </row>
    <row r="13" spans="1:9" ht="18">
      <c r="A13" s="30"/>
      <c r="B13" s="36"/>
      <c r="C13" s="37"/>
      <c r="D13" s="38"/>
      <c r="E13" s="38"/>
      <c r="F13" s="38"/>
      <c r="G13" s="38"/>
      <c r="H13" s="39"/>
      <c r="I13" s="57"/>
    </row>
    <row r="14" spans="1:9" ht="18">
      <c r="A14" s="30"/>
      <c r="B14" s="40" t="s">
        <v>5108</v>
      </c>
      <c r="C14" s="41"/>
      <c r="D14" s="42"/>
      <c r="E14" s="42"/>
      <c r="F14" s="42"/>
      <c r="G14" s="42"/>
      <c r="H14" s="43"/>
      <c r="I14" s="58"/>
    </row>
    <row r="15" spans="1:9" ht="18">
      <c r="A15" s="30"/>
      <c r="B15" s="44"/>
      <c r="C15" s="45"/>
      <c r="D15" s="46"/>
      <c r="E15" s="46"/>
      <c r="F15" s="46"/>
      <c r="G15" s="46"/>
      <c r="H15" s="47"/>
      <c r="I15" s="59"/>
    </row>
    <row r="16" spans="1:9" ht="18">
      <c r="A16" s="30"/>
      <c r="B16" s="48"/>
      <c r="C16" s="49"/>
      <c r="D16" s="50"/>
      <c r="E16" s="50"/>
      <c r="F16" s="50"/>
      <c r="G16" s="50"/>
      <c r="H16" s="51"/>
      <c r="I16" s="60"/>
    </row>
    <row r="17" spans="1:9" ht="18">
      <c r="A17" s="30"/>
      <c r="B17" s="52"/>
      <c r="C17" s="52"/>
      <c r="D17" s="52"/>
      <c r="E17" s="52"/>
      <c r="F17" s="52"/>
      <c r="G17" s="52"/>
      <c r="H17" s="52"/>
      <c r="I17" s="52"/>
    </row>
    <row r="18" spans="1:9" ht="18">
      <c r="A18" s="30"/>
    </row>
    <row r="19" spans="1:9" ht="18">
      <c r="A19" s="30"/>
    </row>
    <row r="20" spans="1:9" ht="18">
      <c r="A20" s="30"/>
    </row>
    <row r="21" spans="1:9" ht="18">
      <c r="A21" s="30"/>
    </row>
    <row r="22" spans="1:9" ht="18">
      <c r="A22" s="30"/>
    </row>
    <row r="23" spans="1:9" ht="18">
      <c r="A23" s="30"/>
    </row>
    <row r="24" spans="1:9" ht="18">
      <c r="A24" s="30"/>
    </row>
    <row r="25" spans="1:9" ht="18">
      <c r="A25" s="30"/>
    </row>
  </sheetData>
  <phoneticPr fontId="163" type="noConversion"/>
  <pageMargins left="0.78740157480314998" right="0" top="0.78740157480314998" bottom="0.196850393700787" header="0.511811023622047" footer="0.511811023622047"/>
  <pageSetup paperSize="9" scale="90" fitToHeight="0" orientation="portrait" blackAndWhite="1" r:id="rId1"/>
  <headerFooter alignWithMargins="0"/>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K191"/>
  <sheetViews>
    <sheetView showGridLines="0" workbookViewId="0">
      <selection activeCell="D7" sqref="D7"/>
    </sheetView>
  </sheetViews>
  <sheetFormatPr defaultRowHeight="15.75"/>
  <cols>
    <col min="1" max="1" width="7.7109375" style="2947" customWidth="1"/>
    <col min="2" max="2" width="6" style="2906" customWidth="1"/>
    <col min="3" max="3" width="8.28515625" style="2906" customWidth="1"/>
    <col min="4" max="4" width="26.85546875" style="2906" customWidth="1"/>
    <col min="5" max="6" width="11.140625" style="2906" customWidth="1"/>
    <col min="7" max="8" width="9.85546875" style="2906" customWidth="1"/>
    <col min="9" max="9" width="14.85546875" style="2906" customWidth="1"/>
    <col min="10" max="10" width="9.85546875" style="2906" customWidth="1"/>
    <col min="11" max="11" width="10.42578125" style="2906" customWidth="1"/>
    <col min="12" max="16384" width="9.140625" style="2906"/>
  </cols>
  <sheetData>
    <row r="1" spans="1:11" ht="16.5" customHeight="1">
      <c r="A1" s="2900"/>
      <c r="B1" s="2901" t="s">
        <v>6657</v>
      </c>
      <c r="C1" s="2901"/>
      <c r="D1" s="2902" t="str">
        <f>Lead!$E$9</f>
        <v>孙健</v>
      </c>
      <c r="E1" s="2903"/>
      <c r="F1" s="2903"/>
      <c r="G1" s="2904"/>
      <c r="H1" s="2904"/>
      <c r="I1" s="2904"/>
      <c r="J1" s="2904"/>
      <c r="K1" s="2905"/>
    </row>
    <row r="2" spans="1:11" ht="26.1" customHeight="1">
      <c r="A2" s="2907" t="str">
        <f>TEXT(Lead!$F$9,"yyyy-m-d")</f>
        <v>2020-2-3</v>
      </c>
      <c r="B2" s="2908"/>
      <c r="C2" s="2908"/>
      <c r="D2" s="2908"/>
      <c r="E2" s="2908"/>
      <c r="F2" s="2909"/>
      <c r="G2" s="2910"/>
      <c r="H2" s="2910"/>
      <c r="I2" s="2910"/>
      <c r="J2" s="2911"/>
      <c r="K2" s="2912"/>
    </row>
    <row r="3" spans="1:11">
      <c r="A3" s="2913" t="s">
        <v>6658</v>
      </c>
      <c r="B3" s="2914" t="str">
        <f>Lead!$C$5</f>
        <v>福建省力菲克药业有限公司</v>
      </c>
      <c r="C3" s="2915"/>
      <c r="D3" s="2915"/>
      <c r="E3" s="2915"/>
      <c r="F3" s="2909"/>
      <c r="G3" s="2910"/>
      <c r="H3" s="2910"/>
      <c r="I3" s="2910"/>
      <c r="J3" s="2916" t="str">
        <f>""&amp;$B$1</f>
        <v>9000A</v>
      </c>
      <c r="K3" s="2912"/>
    </row>
    <row r="4" spans="1:11">
      <c r="A4" s="2917" t="s">
        <v>6659</v>
      </c>
      <c r="B4" s="2918" t="s">
        <v>6659</v>
      </c>
      <c r="C4" s="2915"/>
      <c r="D4" s="2915"/>
      <c r="E4" s="2915"/>
      <c r="F4" s="2909"/>
      <c r="G4" s="2910"/>
      <c r="H4" s="2910"/>
      <c r="I4" s="2910"/>
      <c r="J4" s="2919" t="str">
        <f>$D$1&amp;" "&amp;IF($A$2="","",TEXT($A$2,"YYYY-M-D"))</f>
        <v>孙健 2020-2-3</v>
      </c>
      <c r="K4" s="2912"/>
    </row>
    <row r="5" spans="1:11" ht="16.5" thickBot="1">
      <c r="A5" s="2907">
        <f>Lead!$E$10</f>
        <v>0</v>
      </c>
      <c r="B5" s="2920" t="str">
        <f>TEXT(Lead!$F$5,"yyyy-m-d")</f>
        <v>2019-12-31</v>
      </c>
      <c r="C5" s="2921"/>
      <c r="D5" s="2921"/>
      <c r="E5" s="2921"/>
      <c r="F5" s="2922"/>
      <c r="G5" s="2923"/>
      <c r="H5" s="2923"/>
      <c r="I5" s="2923"/>
      <c r="J5" s="2924" t="str">
        <f>$A$5&amp;" "&amp;IF($A$6="","",TEXT($A$6,"YYYY-M-D"))</f>
        <v xml:space="preserve">0 </v>
      </c>
      <c r="K5" s="2912"/>
    </row>
    <row r="6" spans="1:11" ht="16.5" thickTop="1">
      <c r="A6" s="2907" t="str">
        <f>IF(Lead!$F$10="","",TEXT(Lead!$F$10,"yyyy-m-d"))</f>
        <v/>
      </c>
      <c r="B6" s="2908"/>
      <c r="C6" s="2915"/>
      <c r="D6" s="2915"/>
      <c r="E6" s="2915"/>
      <c r="F6" s="2909"/>
      <c r="G6" s="2910"/>
      <c r="H6" s="2910"/>
      <c r="I6" s="2910"/>
      <c r="J6" s="2915"/>
      <c r="K6" s="2912"/>
    </row>
    <row r="7" spans="1:11" s="2928" customFormat="1" ht="20.25" customHeight="1">
      <c r="A7" s="2925"/>
      <c r="B7" s="2926"/>
      <c r="C7" s="2926"/>
      <c r="D7" s="2926"/>
      <c r="E7" s="2926"/>
      <c r="F7" s="2926"/>
      <c r="G7" s="2927"/>
      <c r="H7" s="2927"/>
      <c r="I7" s="2927"/>
      <c r="J7" s="2927"/>
      <c r="K7" s="2905"/>
    </row>
    <row r="8" spans="1:11" s="2928" customFormat="1" ht="27" customHeight="1">
      <c r="A8" s="2925"/>
      <c r="B8" s="2929" t="s">
        <v>6660</v>
      </c>
      <c r="C8" s="3616" t="s">
        <v>6661</v>
      </c>
      <c r="D8" s="3616"/>
      <c r="E8" s="3616"/>
      <c r="F8" s="3616"/>
      <c r="G8" s="3616"/>
      <c r="H8" s="2930" t="s">
        <v>6662</v>
      </c>
      <c r="I8" s="2931" t="s">
        <v>6663</v>
      </c>
      <c r="J8" s="2932" t="s">
        <v>6664</v>
      </c>
      <c r="K8" s="2905"/>
    </row>
    <row r="9" spans="1:11" s="2928" customFormat="1" ht="39.75" customHeight="1">
      <c r="A9" s="2925"/>
      <c r="B9" s="2933">
        <v>1</v>
      </c>
      <c r="C9" s="3617" t="s">
        <v>6665</v>
      </c>
      <c r="D9" s="3618"/>
      <c r="E9" s="3618"/>
      <c r="F9" s="3618"/>
      <c r="G9" s="3618"/>
      <c r="H9" s="2934"/>
      <c r="I9" s="2935"/>
      <c r="J9" s="2936"/>
      <c r="K9" s="2905"/>
    </row>
    <row r="10" spans="1:11" s="2928" customFormat="1" ht="51" customHeight="1">
      <c r="A10" s="2925"/>
      <c r="B10" s="2933">
        <v>2</v>
      </c>
      <c r="C10" s="3617" t="s">
        <v>6666</v>
      </c>
      <c r="D10" s="3618"/>
      <c r="E10" s="3618"/>
      <c r="F10" s="3618"/>
      <c r="G10" s="3618"/>
      <c r="H10" s="2934"/>
      <c r="I10" s="2935"/>
      <c r="J10" s="2937"/>
      <c r="K10" s="2905"/>
    </row>
    <row r="11" spans="1:11" s="2928" customFormat="1" ht="20.25" customHeight="1">
      <c r="A11" s="2925"/>
      <c r="B11" s="2938" t="s">
        <v>6667</v>
      </c>
      <c r="C11" s="3614" t="s">
        <v>6668</v>
      </c>
      <c r="D11" s="3615"/>
      <c r="E11" s="3615"/>
      <c r="F11" s="3615"/>
      <c r="G11" s="3615"/>
      <c r="H11" s="2939"/>
      <c r="I11" s="2935"/>
      <c r="J11" s="2936"/>
      <c r="K11" s="2905"/>
    </row>
    <row r="12" spans="1:11" s="2928" customFormat="1" ht="31.5" customHeight="1">
      <c r="A12" s="2925"/>
      <c r="B12" s="2938" t="s">
        <v>6669</v>
      </c>
      <c r="C12" s="3614" t="s">
        <v>6670</v>
      </c>
      <c r="D12" s="3615"/>
      <c r="E12" s="3615"/>
      <c r="F12" s="3615"/>
      <c r="G12" s="3615"/>
      <c r="H12" s="2939"/>
      <c r="I12" s="2935"/>
      <c r="J12" s="2936"/>
      <c r="K12" s="2905"/>
    </row>
    <row r="13" spans="1:11" s="2928" customFormat="1" ht="39" customHeight="1">
      <c r="A13" s="2925"/>
      <c r="B13" s="2938" t="s">
        <v>6671</v>
      </c>
      <c r="C13" s="3614" t="s">
        <v>6672</v>
      </c>
      <c r="D13" s="3615"/>
      <c r="E13" s="3615"/>
      <c r="F13" s="3615"/>
      <c r="G13" s="3615"/>
      <c r="H13" s="2939"/>
      <c r="I13" s="2935"/>
      <c r="J13" s="2936"/>
      <c r="K13" s="2905"/>
    </row>
    <row r="14" spans="1:11" s="2928" customFormat="1" ht="69" customHeight="1">
      <c r="A14" s="2925"/>
      <c r="B14" s="2933">
        <v>3</v>
      </c>
      <c r="C14" s="3617" t="s">
        <v>6673</v>
      </c>
      <c r="D14" s="3618"/>
      <c r="E14" s="3618"/>
      <c r="F14" s="3618"/>
      <c r="G14" s="3618"/>
      <c r="H14" s="2934"/>
      <c r="I14" s="2940"/>
      <c r="J14" s="2937"/>
      <c r="K14" s="2905"/>
    </row>
    <row r="15" spans="1:11" s="2928" customFormat="1" ht="41.25" customHeight="1">
      <c r="A15" s="2925"/>
      <c r="B15" s="2938" t="s">
        <v>6667</v>
      </c>
      <c r="C15" s="3614" t="s">
        <v>6674</v>
      </c>
      <c r="D15" s="3619"/>
      <c r="E15" s="3619"/>
      <c r="F15" s="3619"/>
      <c r="G15" s="3619"/>
      <c r="H15" s="2941"/>
      <c r="I15" s="2935"/>
      <c r="J15" s="2936"/>
      <c r="K15" s="2905"/>
    </row>
    <row r="16" spans="1:11" s="2928" customFormat="1" ht="38.25" customHeight="1">
      <c r="A16" s="2925"/>
      <c r="B16" s="2938" t="s">
        <v>6669</v>
      </c>
      <c r="C16" s="3614" t="s">
        <v>6675</v>
      </c>
      <c r="D16" s="3619"/>
      <c r="E16" s="3619"/>
      <c r="F16" s="3619"/>
      <c r="G16" s="3619"/>
      <c r="H16" s="2941"/>
      <c r="I16" s="2935"/>
      <c r="J16" s="2936"/>
      <c r="K16" s="2905"/>
    </row>
    <row r="17" spans="1:11" s="2928" customFormat="1" ht="53.25" customHeight="1">
      <c r="A17" s="2925"/>
      <c r="B17" s="2938" t="s">
        <v>6676</v>
      </c>
      <c r="C17" s="3614" t="s">
        <v>6677</v>
      </c>
      <c r="D17" s="3615"/>
      <c r="E17" s="3615"/>
      <c r="F17" s="3615"/>
      <c r="G17" s="3615"/>
      <c r="H17" s="2939"/>
      <c r="I17" s="2935"/>
      <c r="J17" s="2936"/>
      <c r="K17" s="2905"/>
    </row>
    <row r="18" spans="1:11" s="2928" customFormat="1" ht="39" customHeight="1">
      <c r="A18" s="2925"/>
      <c r="B18" s="2933" t="s">
        <v>6678</v>
      </c>
      <c r="C18" s="3614" t="s">
        <v>6679</v>
      </c>
      <c r="D18" s="3615"/>
      <c r="E18" s="3615"/>
      <c r="F18" s="3615"/>
      <c r="G18" s="3615"/>
      <c r="H18" s="2942"/>
      <c r="I18" s="2935"/>
      <c r="J18" s="2936"/>
      <c r="K18" s="2905"/>
    </row>
    <row r="19" spans="1:11" s="2928" customFormat="1" ht="53.25" customHeight="1">
      <c r="A19" s="2925"/>
      <c r="B19" s="2933" t="s">
        <v>6680</v>
      </c>
      <c r="C19" s="3614" t="s">
        <v>6681</v>
      </c>
      <c r="D19" s="3615"/>
      <c r="E19" s="3615"/>
      <c r="F19" s="3615"/>
      <c r="G19" s="3615"/>
      <c r="H19" s="2942"/>
      <c r="I19" s="2935"/>
      <c r="J19" s="2936"/>
      <c r="K19" s="2905"/>
    </row>
    <row r="20" spans="1:11" s="2928" customFormat="1" ht="53.25" customHeight="1">
      <c r="A20" s="2925"/>
      <c r="B20" s="2933" t="s">
        <v>6682</v>
      </c>
      <c r="C20" s="3614" t="s">
        <v>6683</v>
      </c>
      <c r="D20" s="3615"/>
      <c r="E20" s="3615"/>
      <c r="F20" s="3615"/>
      <c r="G20" s="3615"/>
      <c r="H20" s="2942"/>
      <c r="I20" s="2935"/>
      <c r="J20" s="2936"/>
      <c r="K20" s="2905"/>
    </row>
    <row r="21" spans="1:11" s="2928" customFormat="1" ht="42.75" customHeight="1">
      <c r="A21" s="2925"/>
      <c r="B21" s="2933" t="s">
        <v>6684</v>
      </c>
      <c r="C21" s="3614" t="s">
        <v>6685</v>
      </c>
      <c r="D21" s="3615"/>
      <c r="E21" s="3615"/>
      <c r="F21" s="3615"/>
      <c r="G21" s="3615"/>
      <c r="H21" s="2942"/>
      <c r="I21" s="2935"/>
      <c r="J21" s="2936"/>
      <c r="K21" s="2905"/>
    </row>
    <row r="22" spans="1:11" s="2928" customFormat="1" ht="60.75" customHeight="1">
      <c r="A22" s="2925"/>
      <c r="B22" s="2933" t="s">
        <v>6686</v>
      </c>
      <c r="C22" s="3614" t="s">
        <v>6687</v>
      </c>
      <c r="D22" s="3615"/>
      <c r="E22" s="3615"/>
      <c r="F22" s="3615"/>
      <c r="G22" s="3615"/>
      <c r="H22" s="2942"/>
      <c r="I22" s="2935"/>
      <c r="J22" s="2936"/>
      <c r="K22" s="2905"/>
    </row>
    <row r="23" spans="1:11" s="2928" customFormat="1" ht="36" customHeight="1">
      <c r="A23" s="2925"/>
      <c r="B23" s="2933" t="s">
        <v>6688</v>
      </c>
      <c r="C23" s="3614" t="s">
        <v>6689</v>
      </c>
      <c r="D23" s="3615"/>
      <c r="E23" s="3615"/>
      <c r="F23" s="3615"/>
      <c r="G23" s="3615"/>
      <c r="H23" s="2942"/>
      <c r="I23" s="2935"/>
      <c r="J23" s="2936"/>
      <c r="K23" s="2905"/>
    </row>
    <row r="24" spans="1:11" s="2928" customFormat="1" ht="42" customHeight="1">
      <c r="A24" s="2925"/>
      <c r="B24" s="2938" t="s">
        <v>6690</v>
      </c>
      <c r="C24" s="3614" t="s">
        <v>6691</v>
      </c>
      <c r="D24" s="3615"/>
      <c r="E24" s="3615"/>
      <c r="F24" s="3615"/>
      <c r="G24" s="3615"/>
      <c r="H24" s="2939"/>
      <c r="I24" s="2935"/>
      <c r="J24" s="2936"/>
      <c r="K24" s="2905"/>
    </row>
    <row r="25" spans="1:11" s="2928" customFormat="1" ht="40.5" customHeight="1">
      <c r="A25" s="2925"/>
      <c r="B25" s="2933">
        <v>4</v>
      </c>
      <c r="C25" s="3617" t="s">
        <v>6692</v>
      </c>
      <c r="D25" s="3618"/>
      <c r="E25" s="3618"/>
      <c r="F25" s="3618"/>
      <c r="G25" s="3618"/>
      <c r="H25" s="2934"/>
      <c r="I25" s="2935"/>
      <c r="J25" s="2936"/>
      <c r="K25" s="2905"/>
    </row>
    <row r="26" spans="1:11" s="2928" customFormat="1" ht="117" customHeight="1">
      <c r="A26" s="2925"/>
      <c r="B26" s="2933">
        <v>5</v>
      </c>
      <c r="C26" s="3617" t="s">
        <v>6693</v>
      </c>
      <c r="D26" s="3618"/>
      <c r="E26" s="3618"/>
      <c r="F26" s="3618"/>
      <c r="G26" s="3618"/>
      <c r="H26" s="2934"/>
      <c r="I26" s="2935"/>
      <c r="J26" s="2936"/>
      <c r="K26" s="2905"/>
    </row>
    <row r="27" spans="1:11" s="2928" customFormat="1" ht="20.25" customHeight="1">
      <c r="A27" s="2925"/>
      <c r="B27" s="2926"/>
      <c r="C27" s="2926"/>
      <c r="D27" s="2926"/>
      <c r="E27" s="2926"/>
      <c r="F27" s="2926"/>
      <c r="G27" s="2927"/>
      <c r="H27" s="2927"/>
      <c r="I27" s="2927"/>
      <c r="J27" s="2927"/>
      <c r="K27" s="2905"/>
    </row>
    <row r="28" spans="1:11" s="2928" customFormat="1" ht="20.25" customHeight="1">
      <c r="A28" s="2925"/>
      <c r="B28" s="2926"/>
      <c r="C28" s="2926"/>
      <c r="D28" s="2926"/>
      <c r="E28" s="2926"/>
      <c r="F28" s="2926"/>
      <c r="G28" s="2927"/>
      <c r="H28" s="2927"/>
      <c r="I28" s="2927"/>
      <c r="J28" s="2927"/>
      <c r="K28" s="2905"/>
    </row>
    <row r="29" spans="1:11">
      <c r="A29" s="2943"/>
      <c r="B29" s="2944" t="s">
        <v>6694</v>
      </c>
      <c r="C29" s="2945"/>
      <c r="D29" s="2945"/>
      <c r="E29" s="2945"/>
      <c r="F29" s="2945"/>
      <c r="G29" s="2945"/>
      <c r="H29" s="2945"/>
      <c r="I29" s="2945"/>
      <c r="J29" s="2945"/>
      <c r="K29" s="2946"/>
    </row>
    <row r="30" spans="1:11">
      <c r="B30" s="2948" t="s">
        <v>6695</v>
      </c>
    </row>
    <row r="130" spans="2:10">
      <c r="B130" s="2949"/>
      <c r="C130" s="2950"/>
      <c r="D130" s="2950"/>
      <c r="E130" s="2950"/>
      <c r="F130" s="2950"/>
      <c r="G130" s="2950"/>
      <c r="H130" s="2950"/>
      <c r="I130" s="2950"/>
      <c r="J130" s="2950"/>
    </row>
    <row r="131" spans="2:10">
      <c r="B131" s="3622"/>
      <c r="C131" s="3623"/>
      <c r="D131" s="3623"/>
      <c r="E131" s="3623"/>
      <c r="F131" s="3623"/>
      <c r="G131" s="3623"/>
      <c r="H131" s="3623"/>
      <c r="I131" s="3623"/>
      <c r="J131" s="3623"/>
    </row>
    <row r="132" spans="2:10">
      <c r="B132" s="3623"/>
      <c r="C132" s="3623"/>
      <c r="D132" s="3623"/>
      <c r="E132" s="3623"/>
      <c r="F132" s="3623"/>
      <c r="G132" s="3623"/>
      <c r="H132" s="3623"/>
      <c r="I132" s="3623"/>
      <c r="J132" s="3623"/>
    </row>
    <row r="133" spans="2:10">
      <c r="B133" s="3623"/>
      <c r="C133" s="3623"/>
      <c r="D133" s="3623"/>
      <c r="E133" s="3623"/>
      <c r="F133" s="3623"/>
      <c r="G133" s="3623"/>
      <c r="H133" s="3623"/>
      <c r="I133" s="3623"/>
      <c r="J133" s="3623"/>
    </row>
    <row r="134" spans="2:10">
      <c r="B134" s="2950"/>
      <c r="C134" s="2950"/>
      <c r="D134" s="2950"/>
      <c r="E134" s="2950"/>
      <c r="F134" s="2950"/>
      <c r="G134" s="2950"/>
      <c r="H134" s="2950"/>
      <c r="I134" s="2950"/>
      <c r="J134" s="2950"/>
    </row>
    <row r="135" spans="2:10">
      <c r="B135" s="3624"/>
      <c r="C135" s="3625"/>
      <c r="D135" s="3625"/>
      <c r="E135" s="3625"/>
      <c r="F135" s="3625"/>
      <c r="G135" s="3625"/>
      <c r="H135" s="3625"/>
      <c r="I135" s="3625"/>
      <c r="J135" s="3625"/>
    </row>
    <row r="136" spans="2:10" ht="56.25" customHeight="1">
      <c r="B136" s="3623"/>
      <c r="C136" s="3623"/>
      <c r="D136" s="3623"/>
      <c r="E136" s="3623"/>
      <c r="F136" s="3623"/>
      <c r="G136" s="3623"/>
      <c r="H136" s="3623"/>
      <c r="I136" s="3623"/>
      <c r="J136" s="3623"/>
    </row>
    <row r="137" spans="2:10">
      <c r="B137" s="2951"/>
      <c r="C137" s="2951"/>
      <c r="D137" s="2951"/>
      <c r="E137" s="2951"/>
      <c r="F137" s="2951"/>
      <c r="G137" s="2951"/>
      <c r="H137" s="2951"/>
      <c r="I137" s="2951"/>
      <c r="J137" s="2951"/>
    </row>
    <row r="138" spans="2:10">
      <c r="B138" s="3623"/>
      <c r="C138" s="3623"/>
      <c r="D138" s="3623"/>
      <c r="E138" s="3623"/>
      <c r="F138" s="3623"/>
      <c r="G138" s="3623"/>
      <c r="H138" s="3623"/>
      <c r="I138" s="3623"/>
      <c r="J138" s="3623"/>
    </row>
    <row r="139" spans="2:10">
      <c r="B139" s="2952"/>
      <c r="C139" s="2952"/>
      <c r="D139" s="2952"/>
      <c r="E139" s="2952"/>
      <c r="F139" s="2952"/>
      <c r="G139" s="2952"/>
      <c r="H139" s="2952"/>
      <c r="I139" s="2952"/>
      <c r="J139" s="2952"/>
    </row>
    <row r="140" spans="2:10">
      <c r="B140" s="3626"/>
      <c r="C140" s="3626"/>
      <c r="D140" s="3626"/>
      <c r="E140" s="3626"/>
      <c r="F140" s="3626"/>
      <c r="G140" s="3626"/>
      <c r="H140" s="3626"/>
      <c r="I140" s="3626"/>
      <c r="J140" s="3626"/>
    </row>
    <row r="141" spans="2:10">
      <c r="B141" s="2952"/>
      <c r="C141" s="2952"/>
      <c r="D141" s="2952"/>
      <c r="E141" s="2952"/>
      <c r="F141" s="2952"/>
      <c r="G141" s="2952"/>
      <c r="H141" s="2952"/>
      <c r="I141" s="2952"/>
      <c r="J141" s="2952"/>
    </row>
    <row r="142" spans="2:10">
      <c r="B142" s="3626"/>
      <c r="C142" s="3626"/>
      <c r="D142" s="3626"/>
      <c r="E142" s="3626"/>
      <c r="F142" s="3626"/>
      <c r="G142" s="3626"/>
      <c r="H142" s="3626"/>
      <c r="I142" s="3626"/>
      <c r="J142" s="3626"/>
    </row>
    <row r="143" spans="2:10">
      <c r="B143" s="2952"/>
      <c r="C143" s="2952"/>
      <c r="D143" s="2952"/>
      <c r="E143" s="2952"/>
      <c r="F143" s="2952"/>
      <c r="G143" s="2952"/>
      <c r="H143" s="2952"/>
      <c r="I143" s="2952"/>
      <c r="J143" s="2952"/>
    </row>
    <row r="144" spans="2:10">
      <c r="B144" s="3626"/>
      <c r="C144" s="3626"/>
      <c r="D144" s="3626"/>
      <c r="E144" s="3626"/>
      <c r="F144" s="3626"/>
      <c r="G144" s="3626"/>
      <c r="H144" s="3626"/>
      <c r="I144" s="3626"/>
      <c r="J144" s="3626"/>
    </row>
    <row r="145" spans="2:10">
      <c r="B145" s="2952"/>
      <c r="C145" s="2952"/>
      <c r="D145" s="2952"/>
      <c r="E145" s="2952"/>
      <c r="F145" s="2952"/>
      <c r="G145" s="2952"/>
      <c r="H145" s="2952"/>
      <c r="I145" s="2952"/>
      <c r="J145" s="2952"/>
    </row>
    <row r="146" spans="2:10">
      <c r="B146" s="3624"/>
      <c r="C146" s="3625"/>
      <c r="D146" s="3625"/>
      <c r="E146" s="3625"/>
      <c r="F146" s="3625"/>
      <c r="G146" s="3625"/>
      <c r="H146" s="3625"/>
      <c r="I146" s="3625"/>
      <c r="J146" s="3625"/>
    </row>
    <row r="147" spans="2:10">
      <c r="B147" s="3620"/>
      <c r="C147" s="3621"/>
      <c r="D147" s="3621"/>
      <c r="E147" s="3621"/>
      <c r="F147" s="3621"/>
      <c r="G147" s="3621"/>
      <c r="H147" s="3621"/>
      <c r="I147" s="3621"/>
      <c r="J147" s="3621"/>
    </row>
    <row r="148" spans="2:10">
      <c r="B148" s="3627"/>
      <c r="C148" s="3627"/>
      <c r="D148" s="3627"/>
      <c r="E148" s="3627"/>
      <c r="F148" s="3627"/>
      <c r="G148" s="3627"/>
      <c r="H148" s="3627"/>
      <c r="I148" s="3627"/>
      <c r="J148" s="3627"/>
    </row>
    <row r="149" spans="2:10">
      <c r="B149" s="3620"/>
      <c r="C149" s="3621"/>
      <c r="D149" s="3621"/>
      <c r="E149" s="3621"/>
      <c r="F149" s="3621"/>
      <c r="G149" s="3621"/>
      <c r="H149" s="3621"/>
      <c r="I149" s="3621"/>
      <c r="J149" s="3621"/>
    </row>
    <row r="150" spans="2:10" ht="63" customHeight="1">
      <c r="B150" s="3627"/>
      <c r="C150" s="3627"/>
      <c r="D150" s="3627"/>
      <c r="E150" s="3627"/>
      <c r="F150" s="3627"/>
      <c r="G150" s="3627"/>
      <c r="H150" s="3627"/>
      <c r="I150" s="3627"/>
      <c r="J150" s="3627"/>
    </row>
    <row r="151" spans="2:10" ht="36" customHeight="1">
      <c r="B151" s="3627"/>
      <c r="C151" s="3627"/>
      <c r="D151" s="3627"/>
      <c r="E151" s="3627"/>
      <c r="F151" s="3627"/>
      <c r="G151" s="3627"/>
      <c r="H151" s="3627"/>
      <c r="I151" s="3627"/>
      <c r="J151" s="3627"/>
    </row>
    <row r="152" spans="2:10" ht="42" customHeight="1">
      <c r="B152" s="3626"/>
      <c r="C152" s="3626"/>
      <c r="D152" s="3626"/>
      <c r="E152" s="3626"/>
      <c r="F152" s="3626"/>
      <c r="G152" s="3626"/>
      <c r="H152" s="3626"/>
      <c r="I152" s="3626"/>
      <c r="J152" s="3626"/>
    </row>
    <row r="153" spans="2:10" ht="47.25" customHeight="1">
      <c r="B153" s="3626"/>
      <c r="C153" s="3626"/>
      <c r="D153" s="3626"/>
      <c r="E153" s="3626"/>
      <c r="F153" s="3626"/>
      <c r="G153" s="3626"/>
      <c r="H153" s="3626"/>
      <c r="I153" s="3626"/>
      <c r="J153" s="3626"/>
    </row>
    <row r="154" spans="2:10" ht="51" customHeight="1">
      <c r="B154" s="3626"/>
      <c r="C154" s="3626"/>
      <c r="D154" s="3626"/>
      <c r="E154" s="3626"/>
      <c r="F154" s="3626"/>
      <c r="G154" s="3626"/>
      <c r="H154" s="3626"/>
      <c r="I154" s="3626"/>
      <c r="J154" s="3626"/>
    </row>
    <row r="155" spans="2:10">
      <c r="B155" s="3620"/>
      <c r="C155" s="3621"/>
      <c r="D155" s="3621"/>
      <c r="E155" s="3621"/>
      <c r="F155" s="3621"/>
      <c r="G155" s="3621"/>
      <c r="H155" s="3621"/>
      <c r="I155" s="3621"/>
      <c r="J155" s="3621"/>
    </row>
    <row r="156" spans="2:10" ht="30" customHeight="1">
      <c r="B156" s="3627"/>
      <c r="C156" s="3627"/>
      <c r="D156" s="3627"/>
      <c r="E156" s="3627"/>
      <c r="F156" s="3627"/>
      <c r="G156" s="3627"/>
      <c r="H156" s="3627"/>
      <c r="I156" s="3627"/>
      <c r="J156" s="3627"/>
    </row>
    <row r="157" spans="2:10" ht="29.25" customHeight="1">
      <c r="B157" s="3627"/>
      <c r="C157" s="3627"/>
      <c r="D157" s="3627"/>
      <c r="E157" s="3627"/>
      <c r="F157" s="3627"/>
      <c r="G157" s="3627"/>
      <c r="H157" s="3627"/>
      <c r="I157" s="3627"/>
      <c r="J157" s="3627"/>
    </row>
    <row r="158" spans="2:10" ht="37.5" customHeight="1">
      <c r="B158" s="3626"/>
      <c r="C158" s="3626"/>
      <c r="D158" s="3626"/>
      <c r="E158" s="3626"/>
      <c r="F158" s="3626"/>
      <c r="G158" s="3626"/>
      <c r="H158" s="3626"/>
      <c r="I158" s="3626"/>
      <c r="J158" s="3626"/>
    </row>
    <row r="159" spans="2:10" ht="56.25" customHeight="1">
      <c r="B159" s="3626"/>
      <c r="C159" s="3626"/>
      <c r="D159" s="3626"/>
      <c r="E159" s="3626"/>
      <c r="F159" s="3626"/>
      <c r="G159" s="3626"/>
      <c r="H159" s="3626"/>
      <c r="I159" s="3626"/>
      <c r="J159" s="3626"/>
    </row>
    <row r="160" spans="2:10">
      <c r="B160" s="3620"/>
      <c r="C160" s="3621"/>
      <c r="D160" s="3621"/>
      <c r="E160" s="3621"/>
      <c r="F160" s="3621"/>
      <c r="G160" s="3621"/>
      <c r="H160" s="3621"/>
      <c r="I160" s="3621"/>
      <c r="J160" s="3621"/>
    </row>
    <row r="161" spans="2:10">
      <c r="B161" s="3620"/>
      <c r="C161" s="3621"/>
      <c r="D161" s="3621"/>
      <c r="E161" s="3621"/>
      <c r="F161" s="3621"/>
      <c r="G161" s="3621"/>
      <c r="H161" s="3621"/>
      <c r="I161" s="3621"/>
      <c r="J161" s="3621"/>
    </row>
    <row r="162" spans="2:10" ht="35.25" customHeight="1">
      <c r="B162" s="3627"/>
      <c r="C162" s="3627"/>
      <c r="D162" s="3627"/>
      <c r="E162" s="3627"/>
      <c r="F162" s="3627"/>
      <c r="G162" s="3627"/>
      <c r="H162" s="3627"/>
      <c r="I162" s="3627"/>
      <c r="J162" s="3627"/>
    </row>
    <row r="163" spans="2:10" ht="33.75" customHeight="1">
      <c r="B163" s="3626"/>
      <c r="C163" s="3626"/>
      <c r="D163" s="3626"/>
      <c r="E163" s="3626"/>
      <c r="F163" s="3626"/>
      <c r="G163" s="3626"/>
      <c r="H163" s="3626"/>
      <c r="I163" s="3626"/>
      <c r="J163" s="3626"/>
    </row>
    <row r="164" spans="2:10">
      <c r="B164" s="3621"/>
      <c r="C164" s="3621"/>
      <c r="D164" s="3621"/>
      <c r="E164" s="3621"/>
      <c r="F164" s="3621"/>
      <c r="G164" s="3621"/>
      <c r="H164" s="3621"/>
      <c r="I164" s="3621"/>
      <c r="J164" s="3621"/>
    </row>
    <row r="165" spans="2:10" ht="25.5" customHeight="1">
      <c r="B165" s="3620"/>
      <c r="C165" s="3621"/>
      <c r="D165" s="3621"/>
      <c r="E165" s="3621"/>
      <c r="F165" s="3621"/>
      <c r="G165" s="3621"/>
      <c r="H165" s="3621"/>
      <c r="I165" s="3621"/>
      <c r="J165" s="3621"/>
    </row>
    <row r="166" spans="2:10" ht="27" customHeight="1">
      <c r="B166" s="3627"/>
      <c r="C166" s="3627"/>
      <c r="D166" s="3627"/>
      <c r="E166" s="3627"/>
      <c r="F166" s="3627"/>
      <c r="G166" s="3627"/>
      <c r="H166" s="3627"/>
      <c r="I166" s="3627"/>
      <c r="J166" s="3627"/>
    </row>
    <row r="167" spans="2:10" ht="38.25" customHeight="1">
      <c r="B167" s="3626"/>
      <c r="C167" s="3626"/>
      <c r="D167" s="3626"/>
      <c r="E167" s="3626"/>
      <c r="F167" s="3626"/>
      <c r="G167" s="3626"/>
      <c r="H167" s="3626"/>
      <c r="I167" s="3626"/>
      <c r="J167" s="3626"/>
    </row>
    <row r="168" spans="2:10" ht="56.25" customHeight="1">
      <c r="B168" s="3626"/>
      <c r="C168" s="3626"/>
      <c r="D168" s="3626"/>
      <c r="E168" s="3626"/>
      <c r="F168" s="3626"/>
      <c r="G168" s="3626"/>
      <c r="H168" s="3626"/>
      <c r="I168" s="3626"/>
      <c r="J168" s="3626"/>
    </row>
    <row r="169" spans="2:10" ht="74.25" customHeight="1">
      <c r="B169" s="3626"/>
      <c r="C169" s="3626"/>
      <c r="D169" s="3626"/>
      <c r="E169" s="3626"/>
      <c r="F169" s="3626"/>
      <c r="G169" s="3626"/>
      <c r="H169" s="3626"/>
      <c r="I169" s="3626"/>
      <c r="J169" s="3626"/>
    </row>
    <row r="170" spans="2:10" ht="205.5" customHeight="1">
      <c r="B170" s="3626"/>
      <c r="C170" s="3626"/>
      <c r="D170" s="3626"/>
      <c r="E170" s="3626"/>
      <c r="F170" s="3626"/>
      <c r="G170" s="3626"/>
      <c r="H170" s="3626"/>
      <c r="I170" s="3626"/>
      <c r="J170" s="3626"/>
    </row>
    <row r="171" spans="2:10" ht="52.5" customHeight="1">
      <c r="B171" s="3626"/>
      <c r="C171" s="3626"/>
      <c r="D171" s="3626"/>
      <c r="E171" s="3626"/>
      <c r="F171" s="3626"/>
      <c r="G171" s="3626"/>
      <c r="H171" s="3626"/>
      <c r="I171" s="3626"/>
      <c r="J171" s="3626"/>
    </row>
    <row r="172" spans="2:10" ht="31.5" customHeight="1">
      <c r="B172" s="3628"/>
      <c r="C172" s="3628"/>
      <c r="D172" s="3628"/>
      <c r="E172" s="3628"/>
      <c r="F172" s="3628"/>
      <c r="G172" s="3628"/>
      <c r="H172" s="3628"/>
      <c r="I172" s="3628"/>
      <c r="J172" s="3628"/>
    </row>
    <row r="173" spans="2:10">
      <c r="B173" s="3621"/>
      <c r="C173" s="3621"/>
      <c r="D173" s="3621"/>
      <c r="E173" s="3621"/>
      <c r="F173" s="3621"/>
      <c r="G173" s="3621"/>
      <c r="H173" s="3621"/>
      <c r="I173" s="3621"/>
      <c r="J173" s="3621"/>
    </row>
    <row r="174" spans="2:10" ht="33" customHeight="1">
      <c r="B174" s="3626"/>
      <c r="C174" s="3626"/>
      <c r="D174" s="3626"/>
      <c r="E174" s="3626"/>
      <c r="F174" s="3626"/>
      <c r="G174" s="3626"/>
      <c r="H174" s="3626"/>
      <c r="I174" s="3626"/>
      <c r="J174" s="3626"/>
    </row>
    <row r="175" spans="2:10" ht="48" customHeight="1">
      <c r="B175" s="3628"/>
      <c r="C175" s="3628"/>
      <c r="D175" s="3628"/>
      <c r="E175" s="3628"/>
      <c r="F175" s="3628"/>
      <c r="G175" s="3628"/>
      <c r="H175" s="3628"/>
      <c r="I175" s="3628"/>
      <c r="J175" s="3628"/>
    </row>
    <row r="176" spans="2:10" ht="55.5" customHeight="1">
      <c r="B176" s="3628"/>
      <c r="C176" s="3628"/>
      <c r="D176" s="3628"/>
      <c r="E176" s="3628"/>
      <c r="F176" s="3628"/>
      <c r="G176" s="3628"/>
      <c r="H176" s="3628"/>
      <c r="I176" s="3628"/>
      <c r="J176" s="3628"/>
    </row>
    <row r="177" spans="2:10" ht="42" customHeight="1">
      <c r="B177" s="3628"/>
      <c r="C177" s="3628"/>
      <c r="D177" s="3628"/>
      <c r="E177" s="3628"/>
      <c r="F177" s="3628"/>
      <c r="G177" s="3628"/>
      <c r="H177" s="3628"/>
      <c r="I177" s="3628"/>
      <c r="J177" s="3628"/>
    </row>
    <row r="178" spans="2:10">
      <c r="B178" s="3620"/>
      <c r="C178" s="3621"/>
      <c r="D178" s="3621"/>
      <c r="E178" s="3621"/>
      <c r="F178" s="3621"/>
      <c r="G178" s="3621"/>
      <c r="H178" s="3621"/>
      <c r="I178" s="3621"/>
      <c r="J178" s="3621"/>
    </row>
    <row r="179" spans="2:10" ht="32.25" customHeight="1">
      <c r="B179" s="3627"/>
      <c r="C179" s="3627"/>
      <c r="D179" s="3627"/>
      <c r="E179" s="3627"/>
      <c r="F179" s="3627"/>
      <c r="G179" s="3627"/>
      <c r="H179" s="3627"/>
      <c r="I179" s="3627"/>
      <c r="J179" s="3627"/>
    </row>
    <row r="180" spans="2:10" ht="35.25" customHeight="1">
      <c r="B180" s="3626"/>
      <c r="C180" s="3626"/>
      <c r="D180" s="3626"/>
      <c r="E180" s="3626"/>
      <c r="F180" s="3626"/>
      <c r="G180" s="3626"/>
      <c r="H180" s="3626"/>
      <c r="I180" s="3626"/>
      <c r="J180" s="3626"/>
    </row>
    <row r="181" spans="2:10" ht="31.5" customHeight="1">
      <c r="B181" s="3627"/>
      <c r="C181" s="3627"/>
      <c r="D181" s="3627"/>
      <c r="E181" s="3627"/>
      <c r="F181" s="3627"/>
      <c r="G181" s="3627"/>
      <c r="H181" s="3627"/>
      <c r="I181" s="3627"/>
      <c r="J181" s="3627"/>
    </row>
    <row r="182" spans="2:10">
      <c r="B182" s="3620"/>
      <c r="C182" s="3621"/>
      <c r="D182" s="3621"/>
      <c r="E182" s="3621"/>
      <c r="F182" s="3621"/>
      <c r="G182" s="3621"/>
      <c r="H182" s="3621"/>
      <c r="I182" s="3621"/>
      <c r="J182" s="3621"/>
    </row>
    <row r="183" spans="2:10" ht="32.25" customHeight="1">
      <c r="B183" s="3627"/>
      <c r="C183" s="3627"/>
      <c r="D183" s="3627"/>
      <c r="E183" s="3627"/>
      <c r="F183" s="3627"/>
      <c r="G183" s="3627"/>
      <c r="H183" s="3627"/>
      <c r="I183" s="3627"/>
      <c r="J183" s="3627"/>
    </row>
    <row r="184" spans="2:10" ht="36" customHeight="1">
      <c r="B184" s="3627"/>
      <c r="C184" s="3627"/>
      <c r="D184" s="3627"/>
      <c r="E184" s="3627"/>
      <c r="F184" s="3627"/>
      <c r="G184" s="3627"/>
      <c r="H184" s="3627"/>
      <c r="I184" s="3627"/>
      <c r="J184" s="3627"/>
    </row>
    <row r="185" spans="2:10" ht="44.25" customHeight="1">
      <c r="B185" s="3626"/>
      <c r="C185" s="3626"/>
      <c r="D185" s="3626"/>
      <c r="E185" s="3626"/>
      <c r="F185" s="3626"/>
      <c r="G185" s="3626"/>
      <c r="H185" s="3626"/>
      <c r="I185" s="3626"/>
      <c r="J185" s="3626"/>
    </row>
    <row r="186" spans="2:10" ht="35.25" customHeight="1">
      <c r="B186" s="3626"/>
      <c r="C186" s="3626"/>
      <c r="D186" s="3626"/>
      <c r="E186" s="3626"/>
      <c r="F186" s="3626"/>
      <c r="G186" s="3626"/>
      <c r="H186" s="3626"/>
      <c r="I186" s="3626"/>
      <c r="J186" s="3626"/>
    </row>
    <row r="187" spans="2:10">
      <c r="B187" s="3620"/>
      <c r="C187" s="3621"/>
      <c r="D187" s="3621"/>
      <c r="E187" s="3621"/>
      <c r="F187" s="3621"/>
      <c r="G187" s="3621"/>
      <c r="H187" s="3621"/>
      <c r="I187" s="3621"/>
      <c r="J187" s="3621"/>
    </row>
    <row r="188" spans="2:10" ht="36" customHeight="1">
      <c r="B188" s="3627"/>
      <c r="C188" s="3627"/>
      <c r="D188" s="3627"/>
      <c r="E188" s="3627"/>
      <c r="F188" s="3627"/>
      <c r="G188" s="3627"/>
      <c r="H188" s="3627"/>
      <c r="I188" s="3627"/>
      <c r="J188" s="3627"/>
    </row>
    <row r="189" spans="2:10" ht="66.75" customHeight="1">
      <c r="B189" s="3626"/>
      <c r="C189" s="3626"/>
      <c r="D189" s="3626"/>
      <c r="E189" s="3626"/>
      <c r="F189" s="3626"/>
      <c r="G189" s="3626"/>
      <c r="H189" s="3626"/>
      <c r="I189" s="3626"/>
      <c r="J189" s="3626"/>
    </row>
    <row r="190" spans="2:10">
      <c r="B190" s="3620"/>
      <c r="C190" s="3621"/>
      <c r="D190" s="3621"/>
      <c r="E190" s="3621"/>
      <c r="F190" s="3621"/>
      <c r="G190" s="3621"/>
      <c r="H190" s="3621"/>
      <c r="I190" s="3621"/>
      <c r="J190" s="3621"/>
    </row>
    <row r="191" spans="2:10" ht="39.75" customHeight="1">
      <c r="B191" s="3627"/>
      <c r="C191" s="3627"/>
      <c r="D191" s="3627"/>
      <c r="E191" s="3627"/>
      <c r="F191" s="3627"/>
      <c r="G191" s="3627"/>
      <c r="H191" s="3627"/>
      <c r="I191" s="3627"/>
      <c r="J191" s="3627"/>
    </row>
  </sheetData>
  <sheetProtection formatCells="0" formatColumns="0" formatRows="0" insertColumns="0" insertRows="0" insertHyperlinks="0" deleteColumns="0" deleteRows="0" sort="0" autoFilter="0" pivotTables="0"/>
  <mergeCells count="74">
    <mergeCell ref="B190:J190"/>
    <mergeCell ref="B191:J191"/>
    <mergeCell ref="B184:J184"/>
    <mergeCell ref="B185:J185"/>
    <mergeCell ref="B186:J186"/>
    <mergeCell ref="B187:J187"/>
    <mergeCell ref="B188:J188"/>
    <mergeCell ref="B189:J189"/>
    <mergeCell ref="B183:J183"/>
    <mergeCell ref="B172:J172"/>
    <mergeCell ref="B173:J173"/>
    <mergeCell ref="B174:J174"/>
    <mergeCell ref="B175:J175"/>
    <mergeCell ref="B176:J176"/>
    <mergeCell ref="B177:J177"/>
    <mergeCell ref="B178:J178"/>
    <mergeCell ref="B179:J179"/>
    <mergeCell ref="B180:J180"/>
    <mergeCell ref="B181:J181"/>
    <mergeCell ref="B182:J182"/>
    <mergeCell ref="B171:J171"/>
    <mergeCell ref="B160:J160"/>
    <mergeCell ref="B161:J161"/>
    <mergeCell ref="B162:J162"/>
    <mergeCell ref="B163:J163"/>
    <mergeCell ref="B164:J164"/>
    <mergeCell ref="B165:J165"/>
    <mergeCell ref="B166:J166"/>
    <mergeCell ref="B167:J167"/>
    <mergeCell ref="B168:J168"/>
    <mergeCell ref="B169:J169"/>
    <mergeCell ref="B170:J170"/>
    <mergeCell ref="B159:J159"/>
    <mergeCell ref="B148:J148"/>
    <mergeCell ref="B149:J149"/>
    <mergeCell ref="B150:J150"/>
    <mergeCell ref="B151:J151"/>
    <mergeCell ref="B152:J152"/>
    <mergeCell ref="B153:J153"/>
    <mergeCell ref="B154:J154"/>
    <mergeCell ref="B155:J155"/>
    <mergeCell ref="B156:J156"/>
    <mergeCell ref="B157:J157"/>
    <mergeCell ref="B158:J158"/>
    <mergeCell ref="B147:J147"/>
    <mergeCell ref="C26:G26"/>
    <mergeCell ref="B131:J131"/>
    <mergeCell ref="B132:J132"/>
    <mergeCell ref="B133:J133"/>
    <mergeCell ref="B135:J135"/>
    <mergeCell ref="B136:J136"/>
    <mergeCell ref="B138:J138"/>
    <mergeCell ref="B140:J140"/>
    <mergeCell ref="B142:J142"/>
    <mergeCell ref="B144:J144"/>
    <mergeCell ref="B146:J146"/>
    <mergeCell ref="C25:G25"/>
    <mergeCell ref="C14:G14"/>
    <mergeCell ref="C15:G15"/>
    <mergeCell ref="C16:G16"/>
    <mergeCell ref="C17:G17"/>
    <mergeCell ref="C18:G18"/>
    <mergeCell ref="C19:G19"/>
    <mergeCell ref="C20:G20"/>
    <mergeCell ref="C21:G21"/>
    <mergeCell ref="C22:G22"/>
    <mergeCell ref="C23:G23"/>
    <mergeCell ref="C24:G24"/>
    <mergeCell ref="C13:G13"/>
    <mergeCell ref="C8:G8"/>
    <mergeCell ref="C9:G9"/>
    <mergeCell ref="C10:G10"/>
    <mergeCell ref="C11:G11"/>
    <mergeCell ref="C12:G12"/>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Q35"/>
  <sheetViews>
    <sheetView showGridLines="0" workbookViewId="0">
      <selection activeCell="D7" sqref="D7:D8"/>
    </sheetView>
  </sheetViews>
  <sheetFormatPr defaultRowHeight="15.75"/>
  <cols>
    <col min="1" max="1" width="7.7109375" style="2947" customWidth="1"/>
    <col min="2" max="2" width="6" style="2906" customWidth="1"/>
    <col min="3" max="3" width="8.28515625" style="2906" customWidth="1"/>
    <col min="4" max="4" width="10" style="2906" customWidth="1"/>
    <col min="5" max="5" width="13.42578125" style="2906" customWidth="1"/>
    <col min="6" max="11" width="12.140625" style="2906" customWidth="1"/>
    <col min="12" max="12" width="11.7109375" style="2906" customWidth="1"/>
    <col min="13" max="16" width="12.140625" style="2906" customWidth="1"/>
    <col min="17" max="17" width="10.42578125" style="2906" customWidth="1"/>
    <col min="18" max="16384" width="9.140625" style="2906"/>
  </cols>
  <sheetData>
    <row r="1" spans="1:17" ht="16.5" customHeight="1">
      <c r="A1" s="2900"/>
      <c r="B1" s="2901" t="s">
        <v>6696</v>
      </c>
      <c r="C1" s="2901"/>
      <c r="D1" s="2902" t="str">
        <f>Lead!$E$9</f>
        <v>孙健</v>
      </c>
      <c r="E1" s="2903"/>
      <c r="F1" s="2903"/>
      <c r="G1" s="2903"/>
      <c r="H1" s="2903"/>
      <c r="I1" s="2903"/>
      <c r="J1" s="2903"/>
      <c r="K1" s="2903"/>
      <c r="L1" s="2904"/>
      <c r="M1" s="2904"/>
      <c r="N1" s="2904"/>
      <c r="O1" s="2904"/>
      <c r="P1" s="2904"/>
      <c r="Q1" s="2905"/>
    </row>
    <row r="2" spans="1:17" ht="26.1" customHeight="1">
      <c r="A2" s="2907" t="str">
        <f>TEXT(Lead!$F$9,"yyyy-m-d")</f>
        <v>2020-2-3</v>
      </c>
      <c r="B2" s="2908"/>
      <c r="C2" s="2908"/>
      <c r="D2" s="2908"/>
      <c r="E2" s="2908"/>
      <c r="F2" s="2909"/>
      <c r="G2" s="2909"/>
      <c r="H2" s="2909"/>
      <c r="I2" s="2909"/>
      <c r="J2" s="2909"/>
      <c r="K2" s="2909"/>
      <c r="L2" s="2910"/>
      <c r="M2" s="2910"/>
      <c r="N2" s="2910"/>
      <c r="O2" s="2910"/>
      <c r="P2" s="2911"/>
      <c r="Q2" s="2912"/>
    </row>
    <row r="3" spans="1:17">
      <c r="A3" s="2913" t="s">
        <v>6697</v>
      </c>
      <c r="B3" s="2914" t="str">
        <f>Lead!$C$5</f>
        <v>福建省力菲克药业有限公司</v>
      </c>
      <c r="C3" s="2915"/>
      <c r="D3" s="2915"/>
      <c r="E3" s="2915"/>
      <c r="F3" s="2953"/>
      <c r="G3" s="2953"/>
      <c r="H3" s="2953"/>
      <c r="I3" s="2953"/>
      <c r="J3" s="2953"/>
      <c r="K3" s="2909"/>
      <c r="L3" s="2910"/>
      <c r="M3" s="2910"/>
      <c r="N3" s="2910"/>
      <c r="O3" s="2910"/>
      <c r="P3" s="2916" t="str">
        <f>""&amp;$B$1</f>
        <v>9002B</v>
      </c>
      <c r="Q3" s="2912"/>
    </row>
    <row r="4" spans="1:17">
      <c r="A4" s="2901" t="s">
        <v>6698</v>
      </c>
      <c r="B4" s="2918" t="s">
        <v>6699</v>
      </c>
      <c r="C4" s="2915"/>
      <c r="D4" s="2915"/>
      <c r="E4" s="2915"/>
      <c r="F4" s="2953"/>
      <c r="G4" s="2953"/>
      <c r="H4" s="2953"/>
      <c r="I4" s="2953"/>
      <c r="J4" s="2953"/>
      <c r="K4" s="2909"/>
      <c r="L4" s="2910"/>
      <c r="M4" s="2910"/>
      <c r="N4" s="2910"/>
      <c r="O4" s="2910"/>
      <c r="P4" s="2919" t="str">
        <f>$D$1&amp;" "&amp;IF($A$2="","",TEXT($A$2,"YYYY-M-D"))</f>
        <v>孙健 2020-2-3</v>
      </c>
      <c r="Q4" s="2912"/>
    </row>
    <row r="5" spans="1:17" ht="16.5" thickBot="1">
      <c r="A5" s="2907">
        <f>Lead!$E$10</f>
        <v>0</v>
      </c>
      <c r="B5" s="2920" t="str">
        <f>TEXT(Lead!$F$5,"yyyy-m-d")</f>
        <v>2019-12-31</v>
      </c>
      <c r="C5" s="2921"/>
      <c r="D5" s="2921"/>
      <c r="E5" s="2921"/>
      <c r="F5" s="2954"/>
      <c r="G5" s="2954"/>
      <c r="H5" s="2954"/>
      <c r="I5" s="2954"/>
      <c r="J5" s="2954"/>
      <c r="K5" s="2922"/>
      <c r="L5" s="2923"/>
      <c r="M5" s="2923"/>
      <c r="N5" s="2923"/>
      <c r="O5" s="2923"/>
      <c r="P5" s="2924" t="str">
        <f>$A$5&amp;" "&amp;IF($A$6="","",TEXT($A$6,"YYYY-M-D"))</f>
        <v xml:space="preserve">0 </v>
      </c>
      <c r="Q5" s="2912"/>
    </row>
    <row r="6" spans="1:17" ht="16.5" thickTop="1">
      <c r="A6" s="2907" t="str">
        <f>IF(Lead!$F$10="","",TEXT(Lead!$F$10,"yyyy-m-d"))</f>
        <v/>
      </c>
      <c r="B6" s="2908"/>
      <c r="C6" s="2915"/>
      <c r="D6" s="2915"/>
      <c r="E6" s="2915"/>
      <c r="F6" s="2953"/>
      <c r="G6" s="2953"/>
      <c r="H6" s="2953"/>
      <c r="I6" s="2953"/>
      <c r="J6" s="2953"/>
      <c r="K6" s="2909"/>
      <c r="L6" s="2910"/>
      <c r="M6" s="2910"/>
      <c r="N6" s="2910"/>
      <c r="O6" s="2910"/>
      <c r="P6" s="2915"/>
      <c r="Q6" s="2912"/>
    </row>
    <row r="7" spans="1:17" s="2928" customFormat="1" ht="18" customHeight="1">
      <c r="A7" s="2925"/>
      <c r="B7" s="3630" t="s">
        <v>6660</v>
      </c>
      <c r="C7" s="3632" t="s">
        <v>6700</v>
      </c>
      <c r="D7" s="3632" t="s">
        <v>6701</v>
      </c>
      <c r="E7" s="3632" t="s">
        <v>6702</v>
      </c>
      <c r="F7" s="3629" t="s">
        <v>6703</v>
      </c>
      <c r="G7" s="3629"/>
      <c r="H7" s="3629" t="s">
        <v>6704</v>
      </c>
      <c r="I7" s="3629"/>
      <c r="J7" s="3629" t="s">
        <v>6705</v>
      </c>
      <c r="K7" s="3629"/>
      <c r="L7" s="3629" t="s">
        <v>6706</v>
      </c>
      <c r="M7" s="3629"/>
      <c r="N7" s="3632" t="s">
        <v>6707</v>
      </c>
      <c r="O7" s="3634" t="s">
        <v>6708</v>
      </c>
      <c r="P7" s="3635" t="s">
        <v>6709</v>
      </c>
      <c r="Q7" s="2905"/>
    </row>
    <row r="8" spans="1:17" s="2928" customFormat="1" ht="18" customHeight="1">
      <c r="A8" s="2925"/>
      <c r="B8" s="3631"/>
      <c r="C8" s="3633"/>
      <c r="D8" s="3633"/>
      <c r="E8" s="3633"/>
      <c r="F8" s="2955" t="s">
        <v>6710</v>
      </c>
      <c r="G8" s="2955" t="s">
        <v>6711</v>
      </c>
      <c r="H8" s="2955" t="s">
        <v>6710</v>
      </c>
      <c r="I8" s="2955" t="s">
        <v>6711</v>
      </c>
      <c r="J8" s="2955" t="s">
        <v>6710</v>
      </c>
      <c r="K8" s="2955" t="s">
        <v>6711</v>
      </c>
      <c r="L8" s="2955" t="s">
        <v>6710</v>
      </c>
      <c r="M8" s="2955" t="s">
        <v>6711</v>
      </c>
      <c r="N8" s="3633"/>
      <c r="O8" s="3633"/>
      <c r="P8" s="3636"/>
      <c r="Q8" s="2905"/>
    </row>
    <row r="9" spans="1:17" s="2928" customFormat="1" ht="18" customHeight="1">
      <c r="A9" s="2925"/>
      <c r="B9" s="2956" t="s">
        <v>6712</v>
      </c>
      <c r="C9" s="2957"/>
      <c r="D9" s="2958"/>
      <c r="E9" s="2958"/>
      <c r="F9" s="2959"/>
      <c r="G9" s="2959"/>
      <c r="H9" s="2959"/>
      <c r="I9" s="2959"/>
      <c r="J9" s="2959"/>
      <c r="K9" s="2959"/>
      <c r="L9" s="2959"/>
      <c r="M9" s="2959"/>
      <c r="N9" s="2959"/>
      <c r="O9" s="2958"/>
      <c r="P9" s="2960"/>
      <c r="Q9" s="2905"/>
    </row>
    <row r="10" spans="1:17" s="2928" customFormat="1" ht="18" customHeight="1">
      <c r="A10" s="2925"/>
      <c r="B10" s="2961"/>
      <c r="C10" s="2962"/>
      <c r="D10" s="2962"/>
      <c r="E10" s="2962"/>
      <c r="F10" s="2963"/>
      <c r="G10" s="2963"/>
      <c r="H10" s="2963"/>
      <c r="I10" s="2963"/>
      <c r="J10" s="2963"/>
      <c r="K10" s="2963"/>
      <c r="L10" s="2963"/>
      <c r="M10" s="2963"/>
      <c r="N10" s="2963">
        <f>F10-G10+H10-I10+J10-K10+L10-M10</f>
        <v>0</v>
      </c>
      <c r="O10" s="2964"/>
      <c r="P10" s="2965"/>
      <c r="Q10" s="2905"/>
    </row>
    <row r="11" spans="1:17" s="2928" customFormat="1" ht="18" customHeight="1">
      <c r="A11" s="2925"/>
      <c r="B11" s="2961"/>
      <c r="C11" s="2962"/>
      <c r="D11" s="2962"/>
      <c r="E11" s="2962"/>
      <c r="F11" s="2963"/>
      <c r="G11" s="2963"/>
      <c r="H11" s="2963"/>
      <c r="I11" s="2963"/>
      <c r="J11" s="2963"/>
      <c r="K11" s="2963"/>
      <c r="L11" s="2963"/>
      <c r="M11" s="2963"/>
      <c r="N11" s="2963">
        <f>F11-G11+H11-I11+J11-K11+L11-M11</f>
        <v>0</v>
      </c>
      <c r="O11" s="2964"/>
      <c r="P11" s="2965"/>
      <c r="Q11" s="2905"/>
    </row>
    <row r="12" spans="1:17" s="2928" customFormat="1" ht="18" customHeight="1">
      <c r="A12" s="2925"/>
      <c r="B12" s="2961"/>
      <c r="C12" s="2962"/>
      <c r="D12" s="2962"/>
      <c r="E12" s="2962"/>
      <c r="F12" s="2963"/>
      <c r="G12" s="2963"/>
      <c r="H12" s="2963"/>
      <c r="I12" s="2963"/>
      <c r="J12" s="2963"/>
      <c r="K12" s="2963"/>
      <c r="L12" s="2963"/>
      <c r="M12" s="2963"/>
      <c r="N12" s="2963">
        <f t="shared" ref="N12:N30" si="0">F12-G12+H12-I12+J12-K12+L12-M12</f>
        <v>0</v>
      </c>
      <c r="O12" s="2964"/>
      <c r="P12" s="2965"/>
      <c r="Q12" s="2905"/>
    </row>
    <row r="13" spans="1:17" s="2928" customFormat="1" ht="18" customHeight="1">
      <c r="A13" s="2925"/>
      <c r="B13" s="2961"/>
      <c r="C13" s="2962"/>
      <c r="D13" s="2962"/>
      <c r="E13" s="2962"/>
      <c r="F13" s="2963"/>
      <c r="G13" s="2963"/>
      <c r="H13" s="2963"/>
      <c r="I13" s="2963"/>
      <c r="J13" s="2963"/>
      <c r="K13" s="2963"/>
      <c r="L13" s="2963"/>
      <c r="M13" s="2963"/>
      <c r="N13" s="2963">
        <f t="shared" si="0"/>
        <v>0</v>
      </c>
      <c r="O13" s="2964"/>
      <c r="P13" s="2965"/>
      <c r="Q13" s="2905"/>
    </row>
    <row r="14" spans="1:17" s="2928" customFormat="1" ht="18" customHeight="1">
      <c r="A14" s="2925"/>
      <c r="B14" s="2961"/>
      <c r="C14" s="2962"/>
      <c r="D14" s="2962"/>
      <c r="E14" s="2962"/>
      <c r="F14" s="2963"/>
      <c r="G14" s="2963"/>
      <c r="H14" s="2963"/>
      <c r="I14" s="2963"/>
      <c r="J14" s="2963"/>
      <c r="K14" s="2963"/>
      <c r="L14" s="2963"/>
      <c r="M14" s="2963"/>
      <c r="N14" s="2963">
        <f t="shared" si="0"/>
        <v>0</v>
      </c>
      <c r="O14" s="2964"/>
      <c r="P14" s="2965"/>
      <c r="Q14" s="2905"/>
    </row>
    <row r="15" spans="1:17" s="2928" customFormat="1" ht="18" customHeight="1">
      <c r="A15" s="2925"/>
      <c r="B15" s="2961"/>
      <c r="C15" s="2962"/>
      <c r="D15" s="2962"/>
      <c r="E15" s="2966" t="s">
        <v>6713</v>
      </c>
      <c r="F15" s="2963">
        <f>SUM(F10:F14)</f>
        <v>0</v>
      </c>
      <c r="G15" s="2963">
        <f t="shared" ref="G15:M15" si="1">SUM(G10:G14)</f>
        <v>0</v>
      </c>
      <c r="H15" s="2963">
        <f t="shared" si="1"/>
        <v>0</v>
      </c>
      <c r="I15" s="2963">
        <f t="shared" si="1"/>
        <v>0</v>
      </c>
      <c r="J15" s="2963">
        <f t="shared" si="1"/>
        <v>0</v>
      </c>
      <c r="K15" s="2963">
        <f t="shared" si="1"/>
        <v>0</v>
      </c>
      <c r="L15" s="2963">
        <f t="shared" si="1"/>
        <v>0</v>
      </c>
      <c r="M15" s="2963">
        <f t="shared" si="1"/>
        <v>0</v>
      </c>
      <c r="N15" s="2963">
        <f t="shared" si="0"/>
        <v>0</v>
      </c>
      <c r="O15" s="2964"/>
      <c r="P15" s="2965"/>
      <c r="Q15" s="2905"/>
    </row>
    <row r="16" spans="1:17" s="2928" customFormat="1" ht="18" customHeight="1">
      <c r="A16" s="2925"/>
      <c r="B16" s="2967" t="s">
        <v>6714</v>
      </c>
      <c r="C16" s="2968"/>
      <c r="D16" s="2964"/>
      <c r="E16" s="2964"/>
      <c r="F16" s="2963"/>
      <c r="G16" s="2963"/>
      <c r="H16" s="2963"/>
      <c r="I16" s="2963"/>
      <c r="J16" s="2963"/>
      <c r="K16" s="2963"/>
      <c r="L16" s="2963"/>
      <c r="M16" s="2963"/>
      <c r="N16" s="2963"/>
      <c r="O16" s="2964"/>
      <c r="P16" s="2965"/>
      <c r="Q16" s="2905"/>
    </row>
    <row r="17" spans="1:17" s="2928" customFormat="1" ht="18" customHeight="1">
      <c r="A17" s="2925"/>
      <c r="B17" s="2961"/>
      <c r="C17" s="2962"/>
      <c r="D17" s="2962"/>
      <c r="E17" s="2962"/>
      <c r="F17" s="2963"/>
      <c r="G17" s="2963"/>
      <c r="H17" s="2963"/>
      <c r="I17" s="2963"/>
      <c r="J17" s="2963"/>
      <c r="K17" s="2963"/>
      <c r="L17" s="2963"/>
      <c r="M17" s="2963"/>
      <c r="N17" s="2963">
        <f>F17-G17+H17-I17+J17-K17+L17-M17</f>
        <v>0</v>
      </c>
      <c r="O17" s="2964"/>
      <c r="P17" s="2965"/>
      <c r="Q17" s="2905"/>
    </row>
    <row r="18" spans="1:17" s="2928" customFormat="1" ht="18" customHeight="1">
      <c r="A18" s="2925"/>
      <c r="B18" s="2961"/>
      <c r="C18" s="2962"/>
      <c r="D18" s="2962"/>
      <c r="E18" s="2962"/>
      <c r="F18" s="2963"/>
      <c r="G18" s="2963"/>
      <c r="H18" s="2963"/>
      <c r="I18" s="2963"/>
      <c r="J18" s="2963"/>
      <c r="K18" s="2963"/>
      <c r="L18" s="2963"/>
      <c r="M18" s="2963"/>
      <c r="N18" s="2963">
        <f t="shared" si="0"/>
        <v>0</v>
      </c>
      <c r="O18" s="2964"/>
      <c r="P18" s="2965"/>
      <c r="Q18" s="2905"/>
    </row>
    <row r="19" spans="1:17" s="2928" customFormat="1" ht="18" customHeight="1">
      <c r="A19" s="2925"/>
      <c r="B19" s="2961"/>
      <c r="C19" s="2962"/>
      <c r="D19" s="2962"/>
      <c r="E19" s="2962"/>
      <c r="F19" s="2963"/>
      <c r="G19" s="2963"/>
      <c r="H19" s="2963"/>
      <c r="I19" s="2963"/>
      <c r="J19" s="2963"/>
      <c r="K19" s="2963"/>
      <c r="L19" s="2963"/>
      <c r="M19" s="2963"/>
      <c r="N19" s="2963">
        <f t="shared" si="0"/>
        <v>0</v>
      </c>
      <c r="O19" s="2964"/>
      <c r="P19" s="2965"/>
      <c r="Q19" s="2905"/>
    </row>
    <row r="20" spans="1:17" s="2928" customFormat="1" ht="18" customHeight="1">
      <c r="A20" s="2925"/>
      <c r="B20" s="2961"/>
      <c r="C20" s="2962"/>
      <c r="D20" s="2962"/>
      <c r="E20" s="2962"/>
      <c r="F20" s="2963"/>
      <c r="G20" s="2963"/>
      <c r="H20" s="2963"/>
      <c r="I20" s="2963"/>
      <c r="J20" s="2963"/>
      <c r="K20" s="2963"/>
      <c r="L20" s="2963"/>
      <c r="M20" s="2963"/>
      <c r="N20" s="2963">
        <f t="shared" si="0"/>
        <v>0</v>
      </c>
      <c r="O20" s="2964"/>
      <c r="P20" s="2965"/>
      <c r="Q20" s="2905"/>
    </row>
    <row r="21" spans="1:17" s="2928" customFormat="1" ht="18" customHeight="1">
      <c r="A21" s="2925"/>
      <c r="B21" s="2961"/>
      <c r="C21" s="2962"/>
      <c r="D21" s="2962"/>
      <c r="E21" s="2962"/>
      <c r="F21" s="2963"/>
      <c r="G21" s="2963"/>
      <c r="H21" s="2963"/>
      <c r="I21" s="2963"/>
      <c r="J21" s="2963"/>
      <c r="K21" s="2963"/>
      <c r="L21" s="2963"/>
      <c r="M21" s="2963"/>
      <c r="N21" s="2963">
        <f t="shared" si="0"/>
        <v>0</v>
      </c>
      <c r="O21" s="2964"/>
      <c r="P21" s="2965"/>
      <c r="Q21" s="2905"/>
    </row>
    <row r="22" spans="1:17" s="2928" customFormat="1" ht="18" customHeight="1">
      <c r="A22" s="2925"/>
      <c r="B22" s="2961"/>
      <c r="C22" s="2962"/>
      <c r="D22" s="2962"/>
      <c r="E22" s="2966" t="s">
        <v>6713</v>
      </c>
      <c r="F22" s="2963">
        <f>SUM(F17:F21)</f>
        <v>0</v>
      </c>
      <c r="G22" s="2963">
        <f t="shared" ref="G22:M22" si="2">SUM(G17:G21)</f>
        <v>0</v>
      </c>
      <c r="H22" s="2963">
        <f t="shared" si="2"/>
        <v>0</v>
      </c>
      <c r="I22" s="2963">
        <f t="shared" si="2"/>
        <v>0</v>
      </c>
      <c r="J22" s="2963">
        <f t="shared" si="2"/>
        <v>0</v>
      </c>
      <c r="K22" s="2963">
        <f t="shared" si="2"/>
        <v>0</v>
      </c>
      <c r="L22" s="2963">
        <f t="shared" si="2"/>
        <v>0</v>
      </c>
      <c r="M22" s="2963">
        <f t="shared" si="2"/>
        <v>0</v>
      </c>
      <c r="N22" s="2963">
        <f t="shared" si="0"/>
        <v>0</v>
      </c>
      <c r="O22" s="2964"/>
      <c r="P22" s="2965"/>
      <c r="Q22" s="2905"/>
    </row>
    <row r="23" spans="1:17" s="2928" customFormat="1" ht="18" customHeight="1">
      <c r="A23" s="2925"/>
      <c r="B23" s="2967" t="s">
        <v>6715</v>
      </c>
      <c r="C23" s="2968"/>
      <c r="D23" s="2964"/>
      <c r="E23" s="2964"/>
      <c r="F23" s="2963">
        <f>F15+F22</f>
        <v>0</v>
      </c>
      <c r="G23" s="2963">
        <f t="shared" ref="G23:M23" si="3">G15+G22</f>
        <v>0</v>
      </c>
      <c r="H23" s="2963">
        <f t="shared" si="3"/>
        <v>0</v>
      </c>
      <c r="I23" s="2963">
        <f t="shared" si="3"/>
        <v>0</v>
      </c>
      <c r="J23" s="2963">
        <f t="shared" si="3"/>
        <v>0</v>
      </c>
      <c r="K23" s="2963">
        <f t="shared" si="3"/>
        <v>0</v>
      </c>
      <c r="L23" s="2963">
        <f t="shared" si="3"/>
        <v>0</v>
      </c>
      <c r="M23" s="2963">
        <f t="shared" si="3"/>
        <v>0</v>
      </c>
      <c r="N23" s="2963">
        <f t="shared" si="0"/>
        <v>0</v>
      </c>
      <c r="O23" s="2964"/>
      <c r="P23" s="2965"/>
      <c r="Q23" s="2905"/>
    </row>
    <row r="24" spans="1:17" s="2928" customFormat="1" ht="18" customHeight="1">
      <c r="A24" s="2925"/>
      <c r="B24" s="2967" t="s">
        <v>6716</v>
      </c>
      <c r="C24" s="2968"/>
      <c r="D24" s="2964"/>
      <c r="E24" s="2964"/>
      <c r="F24" s="2963"/>
      <c r="G24" s="2963"/>
      <c r="H24" s="2963"/>
      <c r="I24" s="2963"/>
      <c r="J24" s="2963"/>
      <c r="K24" s="2963"/>
      <c r="L24" s="2963"/>
      <c r="M24" s="2963"/>
      <c r="N24" s="2963"/>
      <c r="O24" s="2964"/>
      <c r="P24" s="2965"/>
      <c r="Q24" s="2905"/>
    </row>
    <row r="25" spans="1:17" s="2928" customFormat="1" ht="18" customHeight="1">
      <c r="A25" s="2925"/>
      <c r="B25" s="2961"/>
      <c r="C25" s="2962"/>
      <c r="D25" s="2962"/>
      <c r="E25" s="2962"/>
      <c r="F25" s="2963"/>
      <c r="G25" s="2963"/>
      <c r="H25" s="2963"/>
      <c r="I25" s="2963"/>
      <c r="J25" s="2963"/>
      <c r="K25" s="2963"/>
      <c r="L25" s="2963"/>
      <c r="M25" s="2963"/>
      <c r="N25" s="2963">
        <f t="shared" si="0"/>
        <v>0</v>
      </c>
      <c r="O25" s="2964"/>
      <c r="P25" s="2965"/>
      <c r="Q25" s="2905"/>
    </row>
    <row r="26" spans="1:17" s="2928" customFormat="1" ht="18" customHeight="1">
      <c r="A26" s="2925"/>
      <c r="B26" s="2961"/>
      <c r="C26" s="2962"/>
      <c r="D26" s="2962"/>
      <c r="E26" s="2962"/>
      <c r="F26" s="2963"/>
      <c r="G26" s="2963"/>
      <c r="H26" s="2963"/>
      <c r="I26" s="2963"/>
      <c r="J26" s="2963"/>
      <c r="K26" s="2963"/>
      <c r="L26" s="2963"/>
      <c r="M26" s="2963"/>
      <c r="N26" s="2963">
        <f t="shared" si="0"/>
        <v>0</v>
      </c>
      <c r="O26" s="2964"/>
      <c r="P26" s="2965"/>
      <c r="Q26" s="2905"/>
    </row>
    <row r="27" spans="1:17" s="2928" customFormat="1" ht="18" customHeight="1">
      <c r="A27" s="2925"/>
      <c r="B27" s="2961"/>
      <c r="C27" s="2962"/>
      <c r="D27" s="2962"/>
      <c r="E27" s="2962"/>
      <c r="F27" s="2963"/>
      <c r="G27" s="2963"/>
      <c r="H27" s="2963"/>
      <c r="I27" s="2963"/>
      <c r="J27" s="2963"/>
      <c r="K27" s="2963"/>
      <c r="L27" s="2963"/>
      <c r="M27" s="2963"/>
      <c r="N27" s="2963">
        <f t="shared" si="0"/>
        <v>0</v>
      </c>
      <c r="O27" s="2964"/>
      <c r="P27" s="2965"/>
      <c r="Q27" s="2905"/>
    </row>
    <row r="28" spans="1:17" s="2928" customFormat="1" ht="18" customHeight="1">
      <c r="A28" s="2925"/>
      <c r="B28" s="2961"/>
      <c r="C28" s="2962"/>
      <c r="D28" s="2962"/>
      <c r="E28" s="2962"/>
      <c r="F28" s="2963"/>
      <c r="G28" s="2963"/>
      <c r="H28" s="2963"/>
      <c r="I28" s="2963"/>
      <c r="J28" s="2963"/>
      <c r="K28" s="2963"/>
      <c r="L28" s="2963"/>
      <c r="M28" s="2963"/>
      <c r="N28" s="2963">
        <f t="shared" si="0"/>
        <v>0</v>
      </c>
      <c r="O28" s="2964"/>
      <c r="P28" s="2965"/>
      <c r="Q28" s="2905"/>
    </row>
    <row r="29" spans="1:17" s="2928" customFormat="1" ht="18" customHeight="1">
      <c r="A29" s="2925"/>
      <c r="B29" s="2961"/>
      <c r="C29" s="2962"/>
      <c r="D29" s="2962"/>
      <c r="E29" s="2962"/>
      <c r="F29" s="2963"/>
      <c r="G29" s="2963"/>
      <c r="H29" s="2963"/>
      <c r="I29" s="2963"/>
      <c r="J29" s="2963"/>
      <c r="K29" s="2963"/>
      <c r="L29" s="2963"/>
      <c r="M29" s="2963"/>
      <c r="N29" s="2963">
        <f t="shared" si="0"/>
        <v>0</v>
      </c>
      <c r="O29" s="2964"/>
      <c r="P29" s="2965"/>
      <c r="Q29" s="2905"/>
    </row>
    <row r="30" spans="1:17" s="2928" customFormat="1" ht="18" customHeight="1">
      <c r="A30" s="2925"/>
      <c r="B30" s="2961"/>
      <c r="C30" s="2962"/>
      <c r="D30" s="2962"/>
      <c r="E30" s="2966" t="s">
        <v>6713</v>
      </c>
      <c r="F30" s="2963">
        <f>SUM(F25:F29)</f>
        <v>0</v>
      </c>
      <c r="G30" s="2963">
        <f t="shared" ref="G30:M30" si="4">SUM(G25:G29)</f>
        <v>0</v>
      </c>
      <c r="H30" s="2963">
        <f t="shared" si="4"/>
        <v>0</v>
      </c>
      <c r="I30" s="2963">
        <f t="shared" si="4"/>
        <v>0</v>
      </c>
      <c r="J30" s="2963">
        <f t="shared" si="4"/>
        <v>0</v>
      </c>
      <c r="K30" s="2963">
        <f t="shared" si="4"/>
        <v>0</v>
      </c>
      <c r="L30" s="2963">
        <f t="shared" si="4"/>
        <v>0</v>
      </c>
      <c r="M30" s="2963">
        <f t="shared" si="4"/>
        <v>0</v>
      </c>
      <c r="N30" s="2963">
        <f t="shared" si="0"/>
        <v>0</v>
      </c>
      <c r="O30" s="2964"/>
      <c r="P30" s="2965"/>
      <c r="Q30" s="2905"/>
    </row>
    <row r="31" spans="1:17" s="2928" customFormat="1" ht="18" customHeight="1">
      <c r="A31" s="2925"/>
      <c r="B31" s="2969" t="s">
        <v>6717</v>
      </c>
      <c r="C31" s="2970"/>
      <c r="D31" s="2970"/>
      <c r="E31" s="2970"/>
      <c r="F31" s="2971">
        <f>F23+F30</f>
        <v>0</v>
      </c>
      <c r="G31" s="2971">
        <f t="shared" ref="G31:N31" si="5">G23+G30</f>
        <v>0</v>
      </c>
      <c r="H31" s="2971">
        <f t="shared" si="5"/>
        <v>0</v>
      </c>
      <c r="I31" s="2971">
        <f t="shared" si="5"/>
        <v>0</v>
      </c>
      <c r="J31" s="2971">
        <f t="shared" si="5"/>
        <v>0</v>
      </c>
      <c r="K31" s="2971">
        <f t="shared" si="5"/>
        <v>0</v>
      </c>
      <c r="L31" s="2971">
        <f t="shared" si="5"/>
        <v>0</v>
      </c>
      <c r="M31" s="2971">
        <f t="shared" si="5"/>
        <v>0</v>
      </c>
      <c r="N31" s="2971">
        <f t="shared" si="5"/>
        <v>0</v>
      </c>
      <c r="O31" s="2970"/>
      <c r="P31" s="2972"/>
      <c r="Q31" s="2905"/>
    </row>
    <row r="32" spans="1:17" s="2928" customFormat="1" ht="20.25" customHeight="1">
      <c r="A32" s="2925"/>
      <c r="B32" s="2926"/>
      <c r="C32" s="2926"/>
      <c r="D32" s="2926"/>
      <c r="E32" s="2926"/>
      <c r="F32" s="2926"/>
      <c r="G32" s="2926"/>
      <c r="H32" s="2926"/>
      <c r="I32" s="2926"/>
      <c r="J32" s="2926"/>
      <c r="K32" s="2926"/>
      <c r="L32" s="2927"/>
      <c r="M32" s="2927"/>
      <c r="N32" s="2927"/>
      <c r="O32" s="2927"/>
      <c r="P32" s="2927"/>
      <c r="Q32" s="2905"/>
    </row>
    <row r="33" spans="1:17" s="2928" customFormat="1" ht="18" customHeight="1">
      <c r="A33" s="2925"/>
      <c r="B33" s="2927"/>
      <c r="C33" s="2927"/>
      <c r="D33" s="2927"/>
      <c r="E33" s="2927"/>
      <c r="F33" s="2927"/>
      <c r="G33" s="2927"/>
      <c r="H33" s="2927"/>
      <c r="I33" s="2927"/>
      <c r="J33" s="2927"/>
      <c r="K33" s="2926"/>
      <c r="L33" s="2926"/>
      <c r="M33" s="2926"/>
      <c r="N33" s="2926"/>
      <c r="O33" s="2926"/>
      <c r="P33" s="2927"/>
      <c r="Q33" s="2973"/>
    </row>
    <row r="34" spans="1:17">
      <c r="A34" s="2943"/>
      <c r="B34" s="2944" t="s">
        <v>6718</v>
      </c>
      <c r="Q34" s="2946"/>
    </row>
    <row r="35" spans="1:17">
      <c r="B35" s="2948" t="s">
        <v>6719</v>
      </c>
    </row>
  </sheetData>
  <sheetProtection formatCells="0" formatColumns="0" formatRows="0" insertColumns="0" insertRows="0" insertHyperlinks="0" deleteColumns="0" deleteRows="0" sort="0" autoFilter="0" pivotTables="0"/>
  <mergeCells count="11">
    <mergeCell ref="J7:K7"/>
    <mergeCell ref="L7:M7"/>
    <mergeCell ref="N7:N8"/>
    <mergeCell ref="O7:O8"/>
    <mergeCell ref="P7:P8"/>
    <mergeCell ref="H7:I7"/>
    <mergeCell ref="B7:B8"/>
    <mergeCell ref="C7:C8"/>
    <mergeCell ref="D7:D8"/>
    <mergeCell ref="E7:E8"/>
    <mergeCell ref="F7:G7"/>
  </mergeCells>
  <phoneticPr fontId="163" type="noConversion"/>
  <dataValidations count="2">
    <dataValidation type="list" allowBlank="1" showInputMessage="1" showErrorMessage="1" sqref="D9">
      <formula1>"事实错报,判断错报,推断错报"</formula1>
    </dataValidation>
    <dataValidation type="list" allowBlank="1" showInputMessage="1" showErrorMessage="1" sqref="O9:O30">
      <formula1>"错误,舞弊"</formula1>
    </dataValidation>
  </dataValidations>
  <pageMargins left="0.78740157480314998" right="0" top="0.39370078740157499" bottom="0.39370078740157499" header="0.39370078740157499" footer="0.196850393700787"/>
  <pageSetup paperSize="9" scale="85" orientation="landscape" blackAndWhite="1" horizontalDpi="360" r:id="rId1"/>
  <headerFooter>
    <oddHeader>&amp;R&amp;"Arial,常规"-&amp;P/&amp;N</oddHeader>
  </headerFooter>
  <drawing r:id="rId2"/>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27"/>
  <sheetViews>
    <sheetView showGridLines="0" workbookViewId="0">
      <selection activeCell="D7" sqref="D7"/>
    </sheetView>
  </sheetViews>
  <sheetFormatPr defaultRowHeight="15.75"/>
  <cols>
    <col min="1" max="1" width="7.7109375" style="2947" customWidth="1"/>
    <col min="2" max="2" width="9" style="2906" customWidth="1"/>
    <col min="3" max="3" width="18.42578125" style="2906" customWidth="1"/>
    <col min="4" max="4" width="21.28515625" style="2906" customWidth="1"/>
    <col min="5" max="5" width="15.85546875" style="2906" customWidth="1"/>
    <col min="6" max="6" width="17.140625" style="2906" customWidth="1"/>
    <col min="7" max="7" width="12.5703125" style="2906" customWidth="1"/>
    <col min="8" max="8" width="22.5703125" style="2906" customWidth="1"/>
    <col min="9" max="9" width="10.42578125" style="2906" customWidth="1"/>
    <col min="10" max="16384" width="9.140625" style="2906"/>
  </cols>
  <sheetData>
    <row r="1" spans="1:9" ht="16.5" customHeight="1">
      <c r="A1" s="2900"/>
      <c r="B1" s="2901" t="s">
        <v>6720</v>
      </c>
      <c r="C1" s="2901"/>
      <c r="D1" s="2902" t="str">
        <f>Lead!$E$9</f>
        <v>孙健</v>
      </c>
      <c r="E1" s="2903"/>
      <c r="F1" s="2903"/>
      <c r="G1" s="2904"/>
      <c r="H1" s="2904"/>
      <c r="I1" s="2905"/>
    </row>
    <row r="2" spans="1:9" ht="26.1" customHeight="1">
      <c r="A2" s="2907" t="str">
        <f>TEXT(Lead!$F$9,"yyyy-m-d")</f>
        <v>2020-2-3</v>
      </c>
      <c r="B2" s="2908"/>
      <c r="C2" s="2908"/>
      <c r="D2" s="2908"/>
      <c r="E2" s="2908"/>
      <c r="F2" s="2909"/>
      <c r="G2" s="2910"/>
      <c r="H2" s="2911"/>
      <c r="I2" s="2912"/>
    </row>
    <row r="3" spans="1:9">
      <c r="A3" s="2913" t="s">
        <v>6721</v>
      </c>
      <c r="B3" s="2914" t="str">
        <f>Lead!$C$5</f>
        <v>福建省力菲克药业有限公司</v>
      </c>
      <c r="C3" s="2915"/>
      <c r="D3" s="2915"/>
      <c r="E3" s="2915"/>
      <c r="F3" s="2909"/>
      <c r="G3" s="2910"/>
      <c r="H3" s="2916" t="str">
        <f>""&amp;$B$1</f>
        <v>9002C</v>
      </c>
      <c r="I3" s="2912"/>
    </row>
    <row r="4" spans="1:9">
      <c r="A4" s="2901" t="s">
        <v>6722</v>
      </c>
      <c r="B4" s="2918" t="s">
        <v>6723</v>
      </c>
      <c r="C4" s="2915"/>
      <c r="D4" s="2915"/>
      <c r="E4" s="2915"/>
      <c r="F4" s="2909"/>
      <c r="G4" s="2910"/>
      <c r="H4" s="2919" t="str">
        <f>$D$1&amp;" "&amp;IF($A$2="","",TEXT($A$2,"YYYY-M-D"))</f>
        <v>孙健 2020-2-3</v>
      </c>
      <c r="I4" s="2912"/>
    </row>
    <row r="5" spans="1:9" ht="16.5" thickBot="1">
      <c r="A5" s="2907">
        <f>Lead!$E$10</f>
        <v>0</v>
      </c>
      <c r="B5" s="2920" t="str">
        <f>TEXT(Lead!$F$5,"yyyy-m-d")</f>
        <v>2019-12-31</v>
      </c>
      <c r="C5" s="2921"/>
      <c r="D5" s="2921"/>
      <c r="E5" s="2921"/>
      <c r="F5" s="2922"/>
      <c r="G5" s="2923"/>
      <c r="H5" s="2924" t="str">
        <f>$A$5&amp;" "&amp;IF($A$6="","",TEXT($A$6,"YYYY-M-D"))</f>
        <v xml:space="preserve">0 </v>
      </c>
      <c r="I5" s="2912"/>
    </row>
    <row r="6" spans="1:9" ht="16.5" thickTop="1">
      <c r="A6" s="2907" t="str">
        <f>IF(Lead!$F$10="","",TEXT(Lead!$F$10,"yyyy-m-d"))</f>
        <v/>
      </c>
      <c r="B6" s="2908"/>
      <c r="C6" s="2915"/>
      <c r="D6" s="2915"/>
      <c r="E6" s="2915"/>
      <c r="F6" s="2909"/>
      <c r="G6" s="2910"/>
      <c r="H6" s="2915"/>
      <c r="I6" s="2912"/>
    </row>
    <row r="7" spans="1:9">
      <c r="A7" s="2974"/>
      <c r="B7" s="2909"/>
      <c r="C7" s="2953"/>
      <c r="D7" s="2953"/>
      <c r="E7" s="2953"/>
      <c r="F7" s="2909"/>
      <c r="G7" s="2910"/>
      <c r="H7" s="2953"/>
      <c r="I7" s="2912"/>
    </row>
    <row r="8" spans="1:9" s="2928" customFormat="1" ht="20.25" customHeight="1">
      <c r="A8" s="2925"/>
      <c r="B8" s="2975" t="s">
        <v>6660</v>
      </c>
      <c r="C8" s="2976" t="s">
        <v>6724</v>
      </c>
      <c r="D8" s="2976" t="s">
        <v>6725</v>
      </c>
      <c r="E8" s="2976" t="s">
        <v>6726</v>
      </c>
      <c r="F8" s="2976" t="s">
        <v>6727</v>
      </c>
      <c r="G8" s="2976" t="s">
        <v>6728</v>
      </c>
      <c r="H8" s="2977" t="s">
        <v>6709</v>
      </c>
      <c r="I8" s="2905"/>
    </row>
    <row r="9" spans="1:9" s="2928" customFormat="1" ht="20.25" customHeight="1">
      <c r="A9" s="2925"/>
      <c r="B9" s="2978"/>
      <c r="C9" s="2979"/>
      <c r="D9" s="2979"/>
      <c r="E9" s="2979"/>
      <c r="F9" s="2980"/>
      <c r="G9" s="2979"/>
      <c r="H9" s="2981"/>
      <c r="I9" s="2905"/>
    </row>
    <row r="10" spans="1:9" s="2928" customFormat="1" ht="20.25" customHeight="1">
      <c r="A10" s="2925"/>
      <c r="B10" s="2961"/>
      <c r="C10" s="2982"/>
      <c r="D10" s="2982"/>
      <c r="E10" s="2982"/>
      <c r="F10" s="2963"/>
      <c r="G10" s="2982"/>
      <c r="H10" s="2983"/>
      <c r="I10" s="2905"/>
    </row>
    <row r="11" spans="1:9" s="2928" customFormat="1" ht="20.25" customHeight="1">
      <c r="A11" s="2925"/>
      <c r="B11" s="2961"/>
      <c r="C11" s="2982"/>
      <c r="D11" s="2982"/>
      <c r="E11" s="2982"/>
      <c r="F11" s="2963"/>
      <c r="G11" s="2982"/>
      <c r="H11" s="2983"/>
      <c r="I11" s="2905"/>
    </row>
    <row r="12" spans="1:9" s="2928" customFormat="1" ht="20.25" customHeight="1">
      <c r="A12" s="2925"/>
      <c r="B12" s="2961"/>
      <c r="C12" s="2982"/>
      <c r="D12" s="2982"/>
      <c r="E12" s="2982"/>
      <c r="F12" s="2963"/>
      <c r="G12" s="2982"/>
      <c r="H12" s="2983"/>
      <c r="I12" s="2905"/>
    </row>
    <row r="13" spans="1:9" s="2928" customFormat="1" ht="20.25" customHeight="1">
      <c r="A13" s="2925"/>
      <c r="B13" s="2984"/>
      <c r="C13" s="2985"/>
      <c r="D13" s="2985"/>
      <c r="E13" s="2985"/>
      <c r="F13" s="2971"/>
      <c r="G13" s="2985"/>
      <c r="H13" s="2986"/>
      <c r="I13" s="2905"/>
    </row>
    <row r="14" spans="1:9" s="2928" customFormat="1" ht="20.25" customHeight="1">
      <c r="A14" s="2925"/>
      <c r="B14" s="2926"/>
      <c r="C14" s="2926"/>
      <c r="D14" s="2926"/>
      <c r="E14" s="2926"/>
      <c r="F14" s="2926"/>
      <c r="G14" s="2927"/>
      <c r="H14" s="2927"/>
      <c r="I14" s="2905"/>
    </row>
    <row r="15" spans="1:9" s="2928" customFormat="1" ht="20.25" customHeight="1">
      <c r="A15" s="2925"/>
      <c r="B15" s="2926"/>
      <c r="C15" s="2926"/>
      <c r="D15" s="2926"/>
      <c r="E15" s="2926"/>
      <c r="F15" s="2926"/>
      <c r="G15" s="2927"/>
      <c r="H15" s="2927"/>
      <c r="I15" s="2905"/>
    </row>
    <row r="16" spans="1:9" s="2928" customFormat="1" ht="20.25" customHeight="1">
      <c r="A16" s="2925"/>
      <c r="B16" s="2926"/>
      <c r="C16" s="2926"/>
      <c r="D16" s="2926"/>
      <c r="E16" s="2926"/>
      <c r="F16" s="2926"/>
      <c r="G16" s="2927"/>
      <c r="H16" s="2927"/>
      <c r="I16" s="2905"/>
    </row>
    <row r="17" spans="1:9" s="2928" customFormat="1" ht="20.25" customHeight="1">
      <c r="A17" s="2925"/>
      <c r="B17" s="2926"/>
      <c r="C17" s="2926"/>
      <c r="D17" s="2926"/>
      <c r="E17" s="2926"/>
      <c r="F17" s="2926"/>
      <c r="G17" s="2927"/>
      <c r="H17" s="2927"/>
      <c r="I17" s="2905"/>
    </row>
    <row r="18" spans="1:9" s="2928" customFormat="1" ht="20.25" customHeight="1">
      <c r="A18" s="2925"/>
      <c r="B18" s="2926"/>
      <c r="C18" s="2926"/>
      <c r="D18" s="2926"/>
      <c r="E18" s="2926"/>
      <c r="F18" s="2926"/>
      <c r="G18" s="2927"/>
      <c r="H18" s="2927"/>
      <c r="I18" s="2905"/>
    </row>
    <row r="19" spans="1:9" s="2928" customFormat="1" ht="20.25" customHeight="1">
      <c r="A19" s="2925"/>
      <c r="B19" s="2926"/>
      <c r="C19" s="2926"/>
      <c r="D19" s="2926"/>
      <c r="E19" s="2926"/>
      <c r="F19" s="2926"/>
      <c r="G19" s="2927"/>
      <c r="H19" s="2927"/>
      <c r="I19" s="2905"/>
    </row>
    <row r="20" spans="1:9" s="2928" customFormat="1" ht="20.25" customHeight="1">
      <c r="A20" s="2925"/>
      <c r="B20" s="2926"/>
      <c r="C20" s="2926"/>
      <c r="D20" s="2926"/>
      <c r="E20" s="2926"/>
      <c r="F20" s="2926"/>
      <c r="G20" s="2927"/>
      <c r="H20" s="2927"/>
      <c r="I20" s="2905"/>
    </row>
    <row r="21" spans="1:9" s="2928" customFormat="1" ht="20.25" customHeight="1">
      <c r="A21" s="2925"/>
      <c r="B21" s="2926"/>
      <c r="C21" s="2926"/>
      <c r="D21" s="2926"/>
      <c r="E21" s="2926"/>
      <c r="F21" s="2926"/>
      <c r="G21" s="2927"/>
      <c r="H21" s="2927"/>
      <c r="I21" s="2905"/>
    </row>
    <row r="22" spans="1:9" s="2928" customFormat="1" ht="20.25" customHeight="1">
      <c r="A22" s="2925"/>
      <c r="B22" s="2926"/>
      <c r="C22" s="2926"/>
      <c r="D22" s="2926"/>
      <c r="E22" s="2926"/>
      <c r="F22" s="2926"/>
      <c r="G22" s="2927"/>
      <c r="H22" s="2927"/>
      <c r="I22" s="2905"/>
    </row>
    <row r="23" spans="1:9" s="2928" customFormat="1" ht="20.25" customHeight="1">
      <c r="A23" s="2925"/>
      <c r="B23" s="2926"/>
      <c r="C23" s="2926"/>
      <c r="D23" s="2926"/>
      <c r="E23" s="2926"/>
      <c r="F23" s="2926"/>
      <c r="G23" s="2927"/>
      <c r="H23" s="2927"/>
      <c r="I23" s="2905"/>
    </row>
    <row r="24" spans="1:9" s="2928" customFormat="1" ht="20.25" customHeight="1">
      <c r="A24" s="2925"/>
      <c r="B24" s="2926"/>
      <c r="C24" s="2926"/>
      <c r="D24" s="2926"/>
      <c r="E24" s="2926"/>
      <c r="F24" s="2926"/>
      <c r="G24" s="2927"/>
      <c r="H24" s="2927"/>
      <c r="I24" s="2905"/>
    </row>
    <row r="25" spans="1:9" s="2928" customFormat="1" ht="18" customHeight="1">
      <c r="A25" s="2925"/>
      <c r="B25" s="2927"/>
      <c r="C25" s="2927"/>
      <c r="D25" s="2927"/>
      <c r="E25" s="2927"/>
      <c r="F25" s="2926"/>
      <c r="G25" s="2926"/>
      <c r="H25" s="2927"/>
      <c r="I25" s="2973"/>
    </row>
    <row r="26" spans="1:9">
      <c r="A26" s="2943"/>
      <c r="B26" s="2944" t="s">
        <v>6718</v>
      </c>
      <c r="C26" s="2945"/>
      <c r="D26" s="2945"/>
      <c r="E26" s="2945"/>
      <c r="F26" s="2945"/>
      <c r="G26" s="2945"/>
      <c r="H26" s="2945"/>
      <c r="I26" s="2946"/>
    </row>
    <row r="27" spans="1:9">
      <c r="B27" s="2948" t="s">
        <v>6719</v>
      </c>
    </row>
  </sheetData>
  <sheetProtection formatCells="0" formatColumns="0" formatRows="0" insertColumns="0" insertRows="0" insertHyperlinks="0" deleteColumns="0" deleteRows="0" sort="0" autoFilter="0" pivotTables="0"/>
  <phoneticPr fontId="163" type="noConversion"/>
  <dataValidations count="1">
    <dataValidation type="list" allowBlank="1" showInputMessage="1" showErrorMessage="1" sqref="G9">
      <formula1>"错误,舞弊"</formula1>
    </dataValidation>
  </dataValidations>
  <pageMargins left="0.78740157480314965" right="0" top="0.39370078740157483" bottom="0.39370078740157483" header="0.39370078740157483" footer="0.19685039370078741"/>
  <pageSetup paperSize="9" scale="85" orientation="portrait" blackAndWhite="1" horizontalDpi="360" r:id="rId1"/>
  <headerFooter>
    <oddHeader>&amp;R&amp;"Arial,常规"-&amp;P/&amp;N</oddHeader>
  </headerFooter>
  <drawing r:id="rId2"/>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I40"/>
  <sheetViews>
    <sheetView showGridLines="0" workbookViewId="0">
      <selection activeCell="D7" sqref="D7"/>
    </sheetView>
  </sheetViews>
  <sheetFormatPr defaultRowHeight="15.75"/>
  <cols>
    <col min="1" max="1" width="7.7109375" style="2947" customWidth="1"/>
    <col min="2" max="2" width="9.42578125" style="2906" customWidth="1"/>
    <col min="3" max="3" width="21" style="2906" customWidth="1"/>
    <col min="4" max="4" width="18.140625" style="2906" customWidth="1"/>
    <col min="5" max="5" width="17.5703125" style="2906" customWidth="1"/>
    <col min="6" max="6" width="3" style="2906" customWidth="1"/>
    <col min="7" max="7" width="18.42578125" style="2906" customWidth="1"/>
    <col min="8" max="8" width="13.28515625" style="2906" customWidth="1"/>
    <col min="9" max="9" width="10.42578125" style="2906" customWidth="1"/>
    <col min="10" max="16384" width="9.140625" style="2906"/>
  </cols>
  <sheetData>
    <row r="1" spans="1:9" ht="16.5" customHeight="1">
      <c r="A1" s="2900"/>
      <c r="B1" s="2901" t="s">
        <v>6729</v>
      </c>
      <c r="C1" s="2901"/>
      <c r="D1" s="2902" t="str">
        <f>Lead!$E$9</f>
        <v>孙健</v>
      </c>
      <c r="E1" s="2903"/>
      <c r="F1" s="2904"/>
      <c r="G1" s="2904"/>
      <c r="H1" s="2904"/>
      <c r="I1" s="2905"/>
    </row>
    <row r="2" spans="1:9" ht="26.1" customHeight="1">
      <c r="A2" s="2907" t="str">
        <f>TEXT(Lead!$F$9,"yyyy-m-d")</f>
        <v>2020-2-3</v>
      </c>
      <c r="B2" s="2908"/>
      <c r="C2" s="2908"/>
      <c r="D2" s="2908"/>
      <c r="E2" s="2908"/>
      <c r="F2" s="2910"/>
      <c r="G2" s="2910"/>
      <c r="H2" s="2911"/>
      <c r="I2" s="2912"/>
    </row>
    <row r="3" spans="1:9">
      <c r="A3" s="2913" t="s">
        <v>6730</v>
      </c>
      <c r="B3" s="2914" t="str">
        <f>Lead!$C$5</f>
        <v>福建省力菲克药业有限公司</v>
      </c>
      <c r="C3" s="2915"/>
      <c r="D3" s="2915"/>
      <c r="E3" s="2908"/>
      <c r="F3" s="2910"/>
      <c r="G3" s="2910"/>
      <c r="H3" s="2916" t="str">
        <f>""&amp;$B$1</f>
        <v>9000B</v>
      </c>
      <c r="I3" s="2912"/>
    </row>
    <row r="4" spans="1:9">
      <c r="A4" s="2901" t="s">
        <v>6731</v>
      </c>
      <c r="B4" s="2918" t="s">
        <v>6732</v>
      </c>
      <c r="C4" s="2915"/>
      <c r="D4" s="2915"/>
      <c r="E4" s="2908"/>
      <c r="F4" s="2910"/>
      <c r="G4" s="2910"/>
      <c r="H4" s="2919" t="str">
        <f>$D$1&amp;" "&amp;IF($A$2="","",TEXT($A$2,"YYYY-M-D"))</f>
        <v>孙健 2020-2-3</v>
      </c>
      <c r="I4" s="2912"/>
    </row>
    <row r="5" spans="1:9" ht="16.5" thickBot="1">
      <c r="A5" s="2907">
        <f>Lead!$E$10</f>
        <v>0</v>
      </c>
      <c r="B5" s="2920" t="str">
        <f>TEXT(Lead!$F$5,"yyyy-m-d")</f>
        <v>2019-12-31</v>
      </c>
      <c r="C5" s="2921"/>
      <c r="D5" s="2921"/>
      <c r="E5" s="2987"/>
      <c r="F5" s="2923"/>
      <c r="G5" s="2923"/>
      <c r="H5" s="2924" t="str">
        <f>$A$5&amp;" "&amp;IF($A$6="","",TEXT($A$6,"YYYY-M-D"))</f>
        <v xml:space="preserve">0 </v>
      </c>
      <c r="I5" s="2912"/>
    </row>
    <row r="6" spans="1:9" ht="16.5" thickTop="1">
      <c r="A6" s="2907" t="str">
        <f>IF(Lead!$F$10="","",TEXT(Lead!$F$10,"yyyy-m-d"))</f>
        <v/>
      </c>
      <c r="B6" s="2908"/>
      <c r="C6" s="2915"/>
      <c r="D6" s="2915"/>
      <c r="E6" s="2908"/>
      <c r="F6" s="2910"/>
      <c r="G6" s="2910"/>
      <c r="H6" s="2915"/>
      <c r="I6" s="2912"/>
    </row>
    <row r="7" spans="1:9" s="2928" customFormat="1" ht="20.25" customHeight="1">
      <c r="A7" s="2925"/>
      <c r="B7" s="2988" t="s">
        <v>6733</v>
      </c>
      <c r="C7" s="2989"/>
      <c r="D7" s="2990"/>
      <c r="E7" s="2990"/>
      <c r="F7" s="2990"/>
      <c r="G7" s="2990"/>
      <c r="H7" s="2927"/>
      <c r="I7" s="2905"/>
    </row>
    <row r="8" spans="1:9" s="2928" customFormat="1" ht="42" customHeight="1">
      <c r="A8" s="2925"/>
      <c r="B8" s="2991" t="s">
        <v>2650</v>
      </c>
      <c r="C8" s="2992" t="s">
        <v>6734</v>
      </c>
      <c r="D8" s="2992" t="s">
        <v>6735</v>
      </c>
      <c r="E8" s="3643" t="s">
        <v>6736</v>
      </c>
      <c r="F8" s="3644"/>
      <c r="G8" s="2992" t="s">
        <v>6737</v>
      </c>
      <c r="H8" s="2993" t="s">
        <v>6738</v>
      </c>
      <c r="I8" s="2905"/>
    </row>
    <row r="9" spans="1:9" s="2928" customFormat="1" ht="21" customHeight="1">
      <c r="A9" s="2925"/>
      <c r="B9" s="2994"/>
      <c r="C9" s="2995"/>
      <c r="D9" s="2996"/>
      <c r="E9" s="3637"/>
      <c r="F9" s="3638"/>
      <c r="G9" s="2997"/>
      <c r="H9" s="2998"/>
      <c r="I9" s="2905"/>
    </row>
    <row r="10" spans="1:9" s="2928" customFormat="1" ht="20.25" customHeight="1">
      <c r="A10" s="2925"/>
      <c r="B10" s="2999"/>
      <c r="C10" s="3000"/>
      <c r="D10" s="3000"/>
      <c r="E10" s="3639"/>
      <c r="F10" s="3640"/>
      <c r="G10" s="3001"/>
      <c r="H10" s="3002"/>
      <c r="I10" s="2905"/>
    </row>
    <row r="11" spans="1:9" s="2928" customFormat="1" ht="20.25" customHeight="1">
      <c r="A11" s="2925"/>
      <c r="B11" s="2999"/>
      <c r="C11" s="3000"/>
      <c r="D11" s="3000"/>
      <c r="E11" s="3639"/>
      <c r="F11" s="3640"/>
      <c r="G11" s="3001"/>
      <c r="H11" s="3002"/>
      <c r="I11" s="2905"/>
    </row>
    <row r="12" spans="1:9" s="2928" customFormat="1" ht="20.25" customHeight="1">
      <c r="A12" s="2925"/>
      <c r="B12" s="3003"/>
      <c r="C12" s="3004"/>
      <c r="D12" s="3004"/>
      <c r="E12" s="3641"/>
      <c r="F12" s="3642"/>
      <c r="G12" s="3005"/>
      <c r="H12" s="3006"/>
      <c r="I12" s="2905"/>
    </row>
    <row r="13" spans="1:9" s="2928" customFormat="1" ht="20.25" customHeight="1">
      <c r="A13" s="2925"/>
      <c r="B13" s="3007"/>
      <c r="C13" s="3007"/>
      <c r="D13" s="3008"/>
      <c r="E13" s="3008"/>
      <c r="F13" s="3008"/>
      <c r="G13" s="3009"/>
      <c r="H13" s="2927"/>
      <c r="I13" s="2905"/>
    </row>
    <row r="14" spans="1:9" s="2928" customFormat="1" ht="20.25" customHeight="1">
      <c r="A14" s="2925"/>
      <c r="B14" s="2988" t="s">
        <v>6739</v>
      </c>
      <c r="C14" s="3007"/>
      <c r="D14" s="3008"/>
      <c r="E14" s="3008"/>
      <c r="F14" s="3008"/>
      <c r="G14" s="3009"/>
      <c r="H14" s="2927"/>
      <c r="I14" s="2905"/>
    </row>
    <row r="15" spans="1:9" s="2928" customFormat="1" ht="45" customHeight="1">
      <c r="A15" s="2925"/>
      <c r="B15" s="2991" t="s">
        <v>2650</v>
      </c>
      <c r="C15" s="2992" t="s">
        <v>6734</v>
      </c>
      <c r="D15" s="2992" t="s">
        <v>6735</v>
      </c>
      <c r="E15" s="3643" t="s">
        <v>6736</v>
      </c>
      <c r="F15" s="3644"/>
      <c r="G15" s="2992" t="s">
        <v>6737</v>
      </c>
      <c r="H15" s="2993" t="s">
        <v>6738</v>
      </c>
      <c r="I15" s="2905"/>
    </row>
    <row r="16" spans="1:9" s="2928" customFormat="1" ht="20.25" customHeight="1">
      <c r="A16" s="2925"/>
      <c r="B16" s="2994"/>
      <c r="C16" s="2995"/>
      <c r="D16" s="2996"/>
      <c r="E16" s="3637"/>
      <c r="F16" s="3638"/>
      <c r="G16" s="2997"/>
      <c r="H16" s="2998"/>
      <c r="I16" s="2905"/>
    </row>
    <row r="17" spans="1:9" s="2928" customFormat="1" ht="20.25" customHeight="1">
      <c r="A17" s="2925"/>
      <c r="B17" s="2999"/>
      <c r="C17" s="3000"/>
      <c r="D17" s="3000"/>
      <c r="E17" s="3639"/>
      <c r="F17" s="3640"/>
      <c r="G17" s="3001"/>
      <c r="H17" s="3002"/>
      <c r="I17" s="2905"/>
    </row>
    <row r="18" spans="1:9" s="2928" customFormat="1" ht="20.25" customHeight="1">
      <c r="A18" s="2925"/>
      <c r="B18" s="2999"/>
      <c r="C18" s="3000"/>
      <c r="D18" s="3000"/>
      <c r="E18" s="3639"/>
      <c r="F18" s="3640"/>
      <c r="G18" s="3001"/>
      <c r="H18" s="3002"/>
      <c r="I18" s="2905"/>
    </row>
    <row r="19" spans="1:9" s="2928" customFormat="1" ht="20.25" customHeight="1">
      <c r="A19" s="2925"/>
      <c r="B19" s="3003"/>
      <c r="C19" s="3004"/>
      <c r="D19" s="3004"/>
      <c r="E19" s="3641"/>
      <c r="F19" s="3642"/>
      <c r="G19" s="3005"/>
      <c r="H19" s="3006"/>
      <c r="I19" s="2905"/>
    </row>
    <row r="20" spans="1:9" s="2928" customFormat="1" ht="20.25" customHeight="1">
      <c r="A20" s="2925"/>
      <c r="B20" s="3010"/>
      <c r="C20" s="3010"/>
      <c r="D20" s="3010"/>
      <c r="E20" s="3010"/>
      <c r="F20" s="3010"/>
      <c r="G20" s="3010"/>
      <c r="H20" s="2927"/>
      <c r="I20" s="2905"/>
    </row>
    <row r="21" spans="1:9" s="2928" customFormat="1" ht="20.25" customHeight="1">
      <c r="A21" s="2925"/>
      <c r="B21" s="2988" t="s">
        <v>6740</v>
      </c>
      <c r="C21" s="2990"/>
      <c r="D21" s="2990"/>
      <c r="E21" s="2990"/>
      <c r="F21" s="2990"/>
      <c r="G21" s="2990"/>
      <c r="H21" s="2927"/>
      <c r="I21" s="2905"/>
    </row>
    <row r="22" spans="1:9" s="2928" customFormat="1" ht="20.25" customHeight="1">
      <c r="A22" s="2925"/>
      <c r="B22" s="3011" t="s">
        <v>6741</v>
      </c>
      <c r="C22" s="3010"/>
      <c r="D22" s="3010"/>
      <c r="E22" s="3010"/>
      <c r="F22" s="3010"/>
      <c r="G22" s="3010"/>
      <c r="H22" s="2927"/>
      <c r="I22" s="2905"/>
    </row>
    <row r="23" spans="1:9" s="2928" customFormat="1" ht="20.25" customHeight="1">
      <c r="A23" s="2925"/>
      <c r="B23" s="3010"/>
      <c r="C23" s="3010"/>
      <c r="D23" s="3010"/>
      <c r="E23" s="3010"/>
      <c r="F23" s="3010"/>
      <c r="G23" s="3010"/>
      <c r="H23" s="2927"/>
      <c r="I23" s="2905"/>
    </row>
    <row r="24" spans="1:9" s="2928" customFormat="1" ht="20.25" customHeight="1">
      <c r="A24" s="2925"/>
      <c r="B24" s="3010"/>
      <c r="C24" s="3010"/>
      <c r="D24" s="3010"/>
      <c r="E24" s="3010"/>
      <c r="F24" s="3010"/>
      <c r="G24" s="3010"/>
      <c r="H24" s="2927"/>
      <c r="I24" s="2905"/>
    </row>
    <row r="25" spans="1:9" s="2928" customFormat="1" ht="20.25" customHeight="1">
      <c r="A25" s="2925"/>
      <c r="B25" s="3010"/>
      <c r="C25" s="3010"/>
      <c r="D25" s="3010"/>
      <c r="E25" s="3010"/>
      <c r="F25" s="3010"/>
      <c r="G25" s="3010"/>
      <c r="H25" s="2927"/>
      <c r="I25" s="2905"/>
    </row>
    <row r="26" spans="1:9" s="2928" customFormat="1" ht="20.25" customHeight="1">
      <c r="A26" s="2925"/>
      <c r="B26" s="3011" t="s">
        <v>6742</v>
      </c>
      <c r="C26" s="3010"/>
      <c r="D26" s="3010"/>
      <c r="E26" s="3010"/>
      <c r="F26" s="3010"/>
      <c r="G26" s="3010"/>
      <c r="H26" s="2927"/>
      <c r="I26" s="2905"/>
    </row>
    <row r="27" spans="1:9" s="2928" customFormat="1" ht="20.25" customHeight="1">
      <c r="A27" s="2925"/>
      <c r="B27" s="3010"/>
      <c r="C27" s="3010"/>
      <c r="D27" s="3010"/>
      <c r="E27" s="3010"/>
      <c r="F27" s="3010"/>
      <c r="G27" s="3010"/>
      <c r="H27" s="2927"/>
      <c r="I27" s="2905"/>
    </row>
    <row r="28" spans="1:9" s="2928" customFormat="1" ht="20.25" customHeight="1">
      <c r="A28" s="2925"/>
      <c r="B28" s="3010"/>
      <c r="C28" s="3010"/>
      <c r="D28" s="3010"/>
      <c r="E28" s="3010"/>
      <c r="F28" s="3010"/>
      <c r="G28" s="3010"/>
      <c r="H28" s="2927"/>
      <c r="I28" s="2905"/>
    </row>
    <row r="29" spans="1:9" s="2928" customFormat="1" ht="20.25" customHeight="1">
      <c r="A29" s="2925"/>
      <c r="B29" s="3010"/>
      <c r="C29" s="3010"/>
      <c r="D29" s="3010"/>
      <c r="E29" s="3010"/>
      <c r="F29" s="3010"/>
      <c r="G29" s="3010"/>
      <c r="H29" s="2927"/>
      <c r="I29" s="2905"/>
    </row>
    <row r="30" spans="1:9" s="2928" customFormat="1" ht="20.25" customHeight="1">
      <c r="A30" s="2925"/>
      <c r="B30" s="3011" t="s">
        <v>6743</v>
      </c>
      <c r="C30" s="3010"/>
      <c r="D30" s="3010"/>
      <c r="E30" s="3010"/>
      <c r="F30" s="3010"/>
      <c r="G30" s="3010"/>
      <c r="H30" s="2927"/>
      <c r="I30" s="2905"/>
    </row>
    <row r="31" spans="1:9" s="2928" customFormat="1" ht="20.25" customHeight="1">
      <c r="A31" s="2925"/>
      <c r="B31" s="3010"/>
      <c r="C31" s="3010"/>
      <c r="D31" s="3010"/>
      <c r="E31" s="3010"/>
      <c r="F31" s="3010"/>
      <c r="G31" s="3010"/>
      <c r="H31" s="2927"/>
      <c r="I31" s="2905"/>
    </row>
    <row r="32" spans="1:9" s="2928" customFormat="1" ht="20.25" customHeight="1">
      <c r="A32" s="2925"/>
      <c r="B32" s="3010"/>
      <c r="C32" s="3010"/>
      <c r="D32" s="3010"/>
      <c r="E32" s="3010"/>
      <c r="F32" s="3010"/>
      <c r="G32" s="3010"/>
      <c r="H32" s="2927"/>
      <c r="I32" s="2905"/>
    </row>
    <row r="33" spans="1:9" s="2928" customFormat="1" ht="20.25" customHeight="1">
      <c r="A33" s="2925"/>
      <c r="B33" s="3010"/>
      <c r="C33" s="3010"/>
      <c r="D33" s="3010"/>
      <c r="E33" s="3010"/>
      <c r="F33" s="3010"/>
      <c r="G33" s="3010"/>
      <c r="H33" s="2927"/>
      <c r="I33" s="2905"/>
    </row>
    <row r="34" spans="1:9" s="2928" customFormat="1" ht="20.25" customHeight="1">
      <c r="A34" s="2925"/>
      <c r="B34" s="3011" t="s">
        <v>6744</v>
      </c>
      <c r="C34" s="3010"/>
      <c r="D34" s="3010"/>
      <c r="E34" s="3010"/>
      <c r="F34" s="3010"/>
      <c r="G34" s="3010"/>
      <c r="H34" s="2927"/>
      <c r="I34" s="2905"/>
    </row>
    <row r="35" spans="1:9" s="2928" customFormat="1" ht="20.25" customHeight="1">
      <c r="A35" s="2925"/>
      <c r="B35" s="3010"/>
      <c r="C35" s="3010"/>
      <c r="D35" s="3010"/>
      <c r="E35" s="3010"/>
      <c r="F35" s="3010"/>
      <c r="G35" s="3010"/>
      <c r="H35" s="2927"/>
      <c r="I35" s="2905"/>
    </row>
    <row r="36" spans="1:9" s="2928" customFormat="1" ht="20.25" customHeight="1">
      <c r="A36" s="2925"/>
      <c r="B36" s="3010"/>
      <c r="C36" s="3010"/>
      <c r="D36" s="3010"/>
      <c r="E36" s="3010"/>
      <c r="F36" s="3010"/>
      <c r="G36" s="3010"/>
      <c r="H36" s="2927"/>
      <c r="I36" s="2905"/>
    </row>
    <row r="37" spans="1:9" s="2928" customFormat="1" ht="20.25" customHeight="1">
      <c r="A37" s="2925"/>
      <c r="B37" s="3010"/>
      <c r="C37" s="3010"/>
      <c r="D37" s="3010"/>
      <c r="E37" s="3010"/>
      <c r="F37" s="3010"/>
      <c r="G37" s="3010"/>
      <c r="H37" s="2927"/>
      <c r="I37" s="2905"/>
    </row>
    <row r="38" spans="1:9" s="2928" customFormat="1" ht="18" customHeight="1">
      <c r="A38" s="2925"/>
      <c r="B38" s="2927"/>
      <c r="C38" s="2927"/>
      <c r="D38" s="2927"/>
      <c r="E38" s="2926"/>
      <c r="F38" s="2926"/>
      <c r="G38" s="2926"/>
      <c r="H38" s="2927"/>
      <c r="I38" s="2973"/>
    </row>
    <row r="39" spans="1:9">
      <c r="A39" s="2943"/>
      <c r="B39" s="2944" t="s">
        <v>6718</v>
      </c>
      <c r="C39" s="2945"/>
      <c r="D39" s="2945"/>
      <c r="E39" s="2945"/>
      <c r="F39" s="2945"/>
      <c r="G39" s="2945"/>
      <c r="H39" s="2945"/>
      <c r="I39" s="2946"/>
    </row>
    <row r="40" spans="1:9">
      <c r="B40" s="2948" t="s">
        <v>6719</v>
      </c>
    </row>
  </sheetData>
  <sheetProtection formatCells="0" formatColumns="0" formatRows="0" insertColumns="0" insertRows="0" insertHyperlinks="0" deleteColumns="0" deleteRows="0" sort="0" autoFilter="0" pivotTables="0"/>
  <mergeCells count="10">
    <mergeCell ref="E16:F16"/>
    <mergeCell ref="E17:F17"/>
    <mergeCell ref="E18:F18"/>
    <mergeCell ref="E19:F19"/>
    <mergeCell ref="E8:F8"/>
    <mergeCell ref="E9:F9"/>
    <mergeCell ref="E10:F10"/>
    <mergeCell ref="E11:F11"/>
    <mergeCell ref="E12:F12"/>
    <mergeCell ref="E15:F15"/>
  </mergeCells>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35"/>
  <sheetViews>
    <sheetView showGridLines="0" workbookViewId="0">
      <selection activeCell="D7" sqref="D7"/>
    </sheetView>
  </sheetViews>
  <sheetFormatPr defaultRowHeight="15.75"/>
  <cols>
    <col min="1" max="1" width="7.7109375" style="2947" customWidth="1"/>
    <col min="2" max="2" width="16.140625" style="2906" customWidth="1"/>
    <col min="3" max="3" width="10.5703125" style="2906" customWidth="1"/>
    <col min="4" max="11" width="15.7109375" style="2906" customWidth="1"/>
    <col min="12" max="12" width="19.85546875" style="2906" customWidth="1"/>
    <col min="13" max="16384" width="9.140625" style="2906"/>
  </cols>
  <sheetData>
    <row r="1" spans="1:12" ht="16.5" customHeight="1">
      <c r="A1" s="2900"/>
      <c r="B1" s="2901" t="s">
        <v>6745</v>
      </c>
      <c r="C1" s="2901"/>
      <c r="D1" s="2902" t="str">
        <f>Lead!$E$9</f>
        <v>孙健</v>
      </c>
      <c r="E1" s="2903"/>
      <c r="F1" s="2903"/>
      <c r="G1" s="2903"/>
      <c r="H1" s="2903"/>
      <c r="I1" s="2904"/>
      <c r="J1" s="2904"/>
      <c r="K1" s="2904"/>
      <c r="L1" s="2905"/>
    </row>
    <row r="2" spans="1:12" ht="26.1" customHeight="1">
      <c r="A2" s="2907" t="str">
        <f>TEXT(Lead!$F$9,"yyyy-m-d")</f>
        <v>2020-2-3</v>
      </c>
      <c r="B2" s="2908"/>
      <c r="C2" s="2908"/>
      <c r="D2" s="2908"/>
      <c r="E2" s="2908"/>
      <c r="F2" s="2909"/>
      <c r="G2" s="2909"/>
      <c r="H2" s="2909"/>
      <c r="I2" s="2910"/>
      <c r="J2" s="2910"/>
      <c r="K2" s="2911"/>
      <c r="L2" s="2912"/>
    </row>
    <row r="3" spans="1:12">
      <c r="A3" s="2913" t="s">
        <v>6746</v>
      </c>
      <c r="B3" s="2914" t="str">
        <f>Lead!$C$5</f>
        <v>福建省力菲克药业有限公司</v>
      </c>
      <c r="C3" s="2915"/>
      <c r="D3" s="2915"/>
      <c r="E3" s="2915"/>
      <c r="F3" s="2953"/>
      <c r="G3" s="2953"/>
      <c r="H3" s="2909"/>
      <c r="I3" s="2910"/>
      <c r="J3" s="2910"/>
      <c r="K3" s="2916" t="str">
        <f>""&amp;$B$1</f>
        <v>9000C</v>
      </c>
      <c r="L3" s="2912"/>
    </row>
    <row r="4" spans="1:12">
      <c r="A4" s="2917" t="s">
        <v>6747</v>
      </c>
      <c r="B4" s="2918" t="s">
        <v>6748</v>
      </c>
      <c r="C4" s="2915"/>
      <c r="D4" s="2915"/>
      <c r="E4" s="2915"/>
      <c r="F4" s="2953"/>
      <c r="G4" s="2953"/>
      <c r="H4" s="2909"/>
      <c r="I4" s="2910"/>
      <c r="J4" s="2910"/>
      <c r="K4" s="2919" t="str">
        <f>$D$1&amp;" "&amp;IF($A$2="","",TEXT($A$2,"YYYY-M-D"))</f>
        <v>孙健 2020-2-3</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6749</v>
      </c>
      <c r="C7" s="2926"/>
      <c r="D7" s="2926"/>
      <c r="E7" s="2926"/>
      <c r="F7" s="2926"/>
      <c r="G7" s="2926"/>
      <c r="H7" s="2926"/>
      <c r="I7" s="2927"/>
      <c r="J7" s="2927"/>
      <c r="K7" s="2927"/>
      <c r="L7" s="2905"/>
    </row>
    <row r="8" spans="1:12" s="2928" customFormat="1" ht="20.25" customHeight="1">
      <c r="A8" s="2925"/>
      <c r="B8" s="3013" t="s">
        <v>6750</v>
      </c>
      <c r="C8" s="2926"/>
      <c r="D8" s="2926"/>
      <c r="E8" s="2926"/>
      <c r="F8" s="2926"/>
      <c r="G8" s="2926"/>
      <c r="H8" s="2926"/>
      <c r="I8" s="2927"/>
      <c r="J8" s="2927"/>
      <c r="K8" s="2927"/>
      <c r="L8" s="2905"/>
    </row>
    <row r="9" spans="1:12" s="2928" customFormat="1" ht="20.25" customHeight="1">
      <c r="A9" s="2925"/>
      <c r="B9" s="3014"/>
      <c r="C9" s="3015"/>
      <c r="D9" s="3645" t="s">
        <v>2887</v>
      </c>
      <c r="E9" s="3645"/>
      <c r="F9" s="3645"/>
      <c r="G9" s="3645"/>
      <c r="H9" s="3645"/>
      <c r="I9" s="3645"/>
      <c r="J9" s="3645"/>
      <c r="K9" s="3646"/>
      <c r="L9" s="2905"/>
    </row>
    <row r="10" spans="1:12" s="2928" customFormat="1" ht="20.25" customHeight="1">
      <c r="A10" s="2925"/>
      <c r="B10" s="3016" t="s">
        <v>6751</v>
      </c>
      <c r="C10" s="3017" t="s">
        <v>6752</v>
      </c>
      <c r="D10" s="3017" t="s">
        <v>6753</v>
      </c>
      <c r="E10" s="3017" t="s">
        <v>6754</v>
      </c>
      <c r="F10" s="3017" t="s">
        <v>6755</v>
      </c>
      <c r="G10" s="3017" t="s">
        <v>6756</v>
      </c>
      <c r="H10" s="3017" t="s">
        <v>6757</v>
      </c>
      <c r="I10" s="3017" t="s">
        <v>6758</v>
      </c>
      <c r="J10" s="3017" t="s">
        <v>6759</v>
      </c>
      <c r="K10" s="3018" t="s">
        <v>6760</v>
      </c>
      <c r="L10" s="2905"/>
    </row>
    <row r="11" spans="1:12" s="2928" customFormat="1" ht="20.25" customHeight="1">
      <c r="A11" s="2925"/>
      <c r="B11" s="3016" t="s">
        <v>6761</v>
      </c>
      <c r="C11" s="3019"/>
      <c r="D11" s="3020">
        <f>SUMIF(UJE!$R$9:$R$38,"1",UJE!$O$9:$O$38)</f>
        <v>0</v>
      </c>
      <c r="E11" s="3020">
        <f>SUMIF(UJE!$R$9:$R$38,"1",UJE!$P$9:$P$38)</f>
        <v>0</v>
      </c>
      <c r="F11" s="3020">
        <f>SUMIF(UJE!$R$9:$R$38,"2",UJE!$O$9:$O$38)</f>
        <v>0</v>
      </c>
      <c r="G11" s="3020">
        <f>SUMIF(UJE!$R$9:$R$38,"2",UJE!$P$9:$P$38)</f>
        <v>0</v>
      </c>
      <c r="H11" s="3020">
        <f>SUMIF(UJE!$R$9:$R$38,"4",UJE!$O$9:$O$38)+SUMIF(UJE!$R$9:$R$38,"8",UJE!$O$9:$O$38)</f>
        <v>0</v>
      </c>
      <c r="I11" s="3020">
        <f>SUMIF(UJE!$R$9:$R$38,"4",UJE!$P$9:$P$38)+SUMIF(UJE!$R$9:$R$38,"8",UJE!$P$9:$P$38)</f>
        <v>0</v>
      </c>
      <c r="J11" s="3020">
        <f>SUMIF(UJE!$R$9:$R$38,"6",UJE!$O$9:$O$38)</f>
        <v>0</v>
      </c>
      <c r="K11" s="3021">
        <f>SUMIF(UJE!$R$9:$R$38,"6",UJE!$P$9:$P$38)</f>
        <v>0</v>
      </c>
      <c r="L11" s="3022" t="str">
        <f>IF(AND(SUM(D11,F11,H11,J11)=0,SUM(E11,G11,I11,K11)=0),"",IF(ROUND(SUM(D11,F11,H11,J11)-SUM(E11,G11,I11,K11),2)=0,"借贷平衡!","借贷相差："&amp;(TEXT(SUM(D11,F11,H11,J11)-SUM(E11,G11,I11,K11),"#,0.00"))))</f>
        <v/>
      </c>
    </row>
    <row r="12" spans="1:12" s="2928" customFormat="1" ht="20.25" customHeight="1">
      <c r="A12" s="2925"/>
      <c r="B12" s="3016" t="s">
        <v>6762</v>
      </c>
      <c r="C12" s="3019"/>
      <c r="D12" s="3020">
        <f>SUMIF(AJE!$R$9:$R$65,"1",AJE!$O$9:$O$65)</f>
        <v>365423.41</v>
      </c>
      <c r="E12" s="3020">
        <f>SUMIF(AJE!$R$9:$R$65,"1",AJE!$P$9:$P$65)</f>
        <v>4193357.85</v>
      </c>
      <c r="F12" s="3020">
        <f>SUMIF(AJE!$R$9:$R$65,"2",AJE!$O$9:$O$65)</f>
        <v>142968.82</v>
      </c>
      <c r="G12" s="3020">
        <f>SUMIF(AJE!$R$9:$R$65,"2",AJE!$P$9:$P$65)</f>
        <v>2968.82</v>
      </c>
      <c r="H12" s="3020">
        <f>SUMIF(AJE!$R$9:$R$65,"4",AJE!$O$9:$O$65)+SUMIF(AJE!$R$9:$R$65,"8",AJE!$O$9:$O$65)</f>
        <v>257562.14</v>
      </c>
      <c r="I12" s="3020">
        <f>SUMIF(AJE!$R$9:$R$65,"4",AJE!$P$9:$P$65)+SUMIF(AJE!$R$9:$R$65,"8",AJE!$P$9:$P$65)</f>
        <v>0</v>
      </c>
      <c r="J12" s="3020">
        <f>SUMIF(AJE!$R$9:$R$65,"6",AJE!$O$9:$O$65)</f>
        <v>4669997.28</v>
      </c>
      <c r="K12" s="3021">
        <f>SUMIF(AJE!$R$9:$R$65,"6",AJE!$P$9:$P$65)</f>
        <v>1239624.98</v>
      </c>
      <c r="L12" s="3022" t="str">
        <f>IF(AND(SUM(D12,F12,H12,J12)=0,SUM(E12,G12,I12,K12)=0),"",IF(ROUND(SUM(D12,F12,H12,J12)-SUM(E12,G12,I12,K12),2)=0,"借贷平衡!","借贷相差："&amp;(TEXT(SUM(D12,F12,H12,J12)-SUM(E12,G12,I12,K12),"#,0.00"))))</f>
        <v>借贷平衡!</v>
      </c>
    </row>
    <row r="13" spans="1:12" s="2928" customFormat="1" ht="20.25" customHeight="1">
      <c r="A13" s="2925"/>
      <c r="B13" s="3023" t="s">
        <v>6763</v>
      </c>
      <c r="C13" s="3024"/>
      <c r="D13" s="3025">
        <f>SUM(D11:D12)</f>
        <v>365423.41</v>
      </c>
      <c r="E13" s="3025">
        <f t="shared" ref="E13:K13" si="0">SUM(E11:E12)</f>
        <v>4193357.85</v>
      </c>
      <c r="F13" s="3025">
        <f t="shared" si="0"/>
        <v>142968.82</v>
      </c>
      <c r="G13" s="3025">
        <f t="shared" si="0"/>
        <v>2968.82</v>
      </c>
      <c r="H13" s="3025">
        <f t="shared" si="0"/>
        <v>257562.14</v>
      </c>
      <c r="I13" s="3025">
        <f t="shared" si="0"/>
        <v>0</v>
      </c>
      <c r="J13" s="3025">
        <f t="shared" si="0"/>
        <v>4669997.28</v>
      </c>
      <c r="K13" s="3026">
        <f t="shared" si="0"/>
        <v>1239624.98</v>
      </c>
      <c r="L13" s="3022" t="str">
        <f>IF(AND(SUM(D13,F13,H13,J13)=0,SUM(E13,G13,I13,K13)=0),"",IF(ROUND(SUM(D13,F13,H13,J13)-SUM(E13,G13,I13,K13),2)=0,"借贷平衡!","借贷相差："&amp;(TEXT(SUM(D13,F13,H13,J13)-SUM(E13,G13,I13,K13),"#,0.00"))))</f>
        <v>借贷平衡!</v>
      </c>
    </row>
    <row r="14" spans="1:12" s="2928" customFormat="1" ht="20.25" customHeight="1">
      <c r="A14" s="2925"/>
      <c r="B14" s="3013" t="s">
        <v>6764</v>
      </c>
      <c r="C14" s="2926"/>
      <c r="D14" s="3027"/>
      <c r="E14" s="2926"/>
      <c r="F14" s="3027"/>
      <c r="G14" s="2926"/>
      <c r="H14" s="2926"/>
      <c r="I14" s="2927"/>
      <c r="J14" s="2927"/>
      <c r="K14" s="2927"/>
      <c r="L14" s="2905"/>
    </row>
    <row r="15" spans="1:12" s="2928" customFormat="1" ht="20.25" customHeight="1">
      <c r="A15" s="2925"/>
      <c r="B15" s="3013" t="s">
        <v>6765</v>
      </c>
      <c r="C15" s="2926"/>
      <c r="D15" s="2926"/>
      <c r="E15" s="2926"/>
      <c r="F15" s="2926"/>
      <c r="G15" s="3028" t="s">
        <v>6766</v>
      </c>
      <c r="H15" s="2926"/>
      <c r="I15" s="2927"/>
      <c r="J15" s="2927"/>
      <c r="K15" s="2927"/>
      <c r="L15" s="2905"/>
    </row>
    <row r="16" spans="1:12" s="2928" customFormat="1" ht="42.75" customHeight="1">
      <c r="A16" s="2925"/>
      <c r="B16" s="3647" t="s">
        <v>6767</v>
      </c>
      <c r="C16" s="3648"/>
      <c r="D16" s="3648"/>
      <c r="E16" s="3648"/>
      <c r="F16" s="3648"/>
      <c r="G16" s="3648"/>
      <c r="H16" s="3648"/>
      <c r="I16" s="3648"/>
      <c r="J16" s="3648"/>
      <c r="K16" s="3648"/>
      <c r="L16" s="2905"/>
    </row>
    <row r="17" spans="1:12" s="2928" customFormat="1" ht="20.25" customHeight="1">
      <c r="A17" s="2925"/>
      <c r="B17" s="3029" t="s">
        <v>2691</v>
      </c>
      <c r="C17" s="3030"/>
      <c r="D17" s="3030"/>
      <c r="E17" s="3030"/>
      <c r="F17" s="3030"/>
      <c r="G17" s="3030"/>
      <c r="H17" s="3030"/>
      <c r="I17" s="3031"/>
      <c r="J17" s="3031"/>
      <c r="K17" s="3032"/>
      <c r="L17" s="2905"/>
    </row>
    <row r="18" spans="1:12" s="2928" customFormat="1" ht="20.25" customHeight="1">
      <c r="A18" s="2925"/>
      <c r="B18" s="3033" t="s">
        <v>6768</v>
      </c>
      <c r="C18" s="3034"/>
      <c r="D18" s="3034"/>
      <c r="E18" s="3034"/>
      <c r="F18" s="3034"/>
      <c r="G18" s="3034"/>
      <c r="H18" s="3034"/>
      <c r="I18" s="3035"/>
      <c r="J18" s="3035"/>
      <c r="K18" s="3036"/>
      <c r="L18" s="2905"/>
    </row>
    <row r="19" spans="1:12" s="2928" customFormat="1" ht="20.25" customHeight="1">
      <c r="A19" s="2925"/>
      <c r="B19" s="3012" t="s">
        <v>6769</v>
      </c>
      <c r="C19" s="2926"/>
      <c r="D19" s="2926"/>
      <c r="E19" s="2926"/>
      <c r="F19" s="2926"/>
      <c r="G19" s="2926"/>
      <c r="H19" s="2926"/>
      <c r="I19" s="2927"/>
      <c r="J19" s="2927"/>
      <c r="K19" s="2927"/>
      <c r="L19" s="2905"/>
    </row>
    <row r="20" spans="1:12" s="2928" customFormat="1" ht="20.25" customHeight="1">
      <c r="A20" s="2925"/>
      <c r="B20" s="3013" t="s">
        <v>6770</v>
      </c>
      <c r="C20" s="2926"/>
      <c r="D20" s="2926"/>
      <c r="E20" s="2926"/>
      <c r="F20" s="2926"/>
      <c r="G20" s="2926"/>
      <c r="H20" s="2926"/>
      <c r="I20" s="2927"/>
      <c r="J20" s="2927"/>
      <c r="K20" s="2927"/>
      <c r="L20" s="2905"/>
    </row>
    <row r="21" spans="1:12" s="2928" customFormat="1" ht="20.25" customHeight="1">
      <c r="A21" s="2925"/>
      <c r="B21" s="2926" t="s">
        <v>6771</v>
      </c>
      <c r="C21" s="2926"/>
      <c r="D21" s="2926"/>
      <c r="E21" s="2926"/>
      <c r="F21" s="3037" t="s">
        <v>2887</v>
      </c>
      <c r="G21" s="2926"/>
      <c r="H21" s="2926"/>
      <c r="I21" s="2927"/>
      <c r="J21" s="2927"/>
      <c r="K21" s="2927"/>
      <c r="L21" s="2905"/>
    </row>
    <row r="22" spans="1:12" s="2928" customFormat="1" ht="20.25" customHeight="1">
      <c r="A22" s="2925"/>
      <c r="B22" s="2926" t="s">
        <v>6772</v>
      </c>
      <c r="C22" s="2926"/>
      <c r="D22" s="2926"/>
      <c r="E22" s="2926"/>
      <c r="F22" s="3027"/>
      <c r="G22" s="2926"/>
      <c r="H22" s="2926"/>
      <c r="I22" s="2927"/>
      <c r="J22" s="2927"/>
      <c r="K22" s="2927"/>
      <c r="L22" s="2905"/>
    </row>
    <row r="23" spans="1:12" s="2928" customFormat="1" ht="20.25" customHeight="1">
      <c r="A23" s="2925"/>
      <c r="B23" s="3029" t="s">
        <v>2691</v>
      </c>
      <c r="C23" s="3030"/>
      <c r="D23" s="3030"/>
      <c r="E23" s="3030"/>
      <c r="F23" s="3030"/>
      <c r="G23" s="3030"/>
      <c r="H23" s="3030"/>
      <c r="I23" s="3031"/>
      <c r="J23" s="3031"/>
      <c r="K23" s="3032"/>
      <c r="L23" s="2905"/>
    </row>
    <row r="24" spans="1:12" s="2928" customFormat="1" ht="20.25" customHeight="1">
      <c r="A24" s="2925"/>
      <c r="B24" s="3038" t="s">
        <v>6773</v>
      </c>
      <c r="C24" s="3028"/>
      <c r="D24" s="3028"/>
      <c r="E24" s="3028"/>
      <c r="F24" s="3028"/>
      <c r="G24" s="2926"/>
      <c r="H24" s="2926"/>
      <c r="I24" s="2927"/>
      <c r="J24" s="2927"/>
      <c r="K24" s="3039"/>
      <c r="L24" s="2905"/>
    </row>
    <row r="25" spans="1:12" s="2928" customFormat="1" ht="20.25" customHeight="1">
      <c r="A25" s="2925"/>
      <c r="B25" s="3033" t="s">
        <v>6774</v>
      </c>
      <c r="C25" s="3040"/>
      <c r="D25" s="3040"/>
      <c r="E25" s="3040"/>
      <c r="F25" s="3040"/>
      <c r="G25" s="3034"/>
      <c r="H25" s="3034"/>
      <c r="I25" s="3035"/>
      <c r="J25" s="3035"/>
      <c r="K25" s="3036"/>
      <c r="L25" s="2905"/>
    </row>
    <row r="26" spans="1:12" s="2928" customFormat="1" ht="20.25" customHeight="1">
      <c r="A26" s="2925"/>
      <c r="B26" s="2926"/>
      <c r="C26" s="2926"/>
      <c r="D26" s="2926"/>
      <c r="E26" s="2926"/>
      <c r="F26" s="2926"/>
      <c r="G26" s="2926"/>
      <c r="H26" s="2926"/>
      <c r="I26" s="2927"/>
      <c r="J26" s="2927"/>
      <c r="K26" s="2927"/>
      <c r="L26" s="2905"/>
    </row>
    <row r="27" spans="1:12" s="2928" customFormat="1" ht="20.25" customHeight="1">
      <c r="A27" s="2925"/>
      <c r="B27" s="3013" t="s">
        <v>6775</v>
      </c>
      <c r="C27" s="2926"/>
      <c r="D27" s="2926"/>
      <c r="E27" s="2926"/>
      <c r="F27" s="2926"/>
      <c r="G27" s="2926"/>
      <c r="H27" s="2926"/>
      <c r="I27" s="2927"/>
      <c r="J27" s="2927"/>
      <c r="K27" s="2927"/>
      <c r="L27" s="2905"/>
    </row>
    <row r="28" spans="1:12" s="2928" customFormat="1" ht="20.25" customHeight="1">
      <c r="A28" s="2925"/>
      <c r="B28" s="2926" t="s">
        <v>6776</v>
      </c>
      <c r="C28" s="2926"/>
      <c r="D28" s="2926"/>
      <c r="E28" s="2926"/>
      <c r="F28" s="3037" t="s">
        <v>2887</v>
      </c>
      <c r="G28" s="2926"/>
      <c r="H28" s="2926"/>
      <c r="I28" s="2927"/>
      <c r="J28" s="2927"/>
      <c r="K28" s="2927"/>
      <c r="L28" s="2905"/>
    </row>
    <row r="29" spans="1:12" s="2928" customFormat="1" ht="20.25" customHeight="1">
      <c r="A29" s="2925"/>
      <c r="B29" s="2926" t="s">
        <v>6777</v>
      </c>
      <c r="C29" s="2926"/>
      <c r="D29" s="2926"/>
      <c r="E29" s="2926"/>
      <c r="F29" s="3027"/>
      <c r="G29" s="2926"/>
      <c r="H29" s="2926"/>
      <c r="I29" s="2927"/>
      <c r="J29" s="2927"/>
      <c r="K29" s="2927"/>
      <c r="L29" s="2905"/>
    </row>
    <row r="30" spans="1:12" s="2928" customFormat="1" ht="20.25" customHeight="1">
      <c r="A30" s="2925"/>
      <c r="B30" s="3029" t="s">
        <v>2691</v>
      </c>
      <c r="C30" s="3030"/>
      <c r="D30" s="3030"/>
      <c r="E30" s="3030"/>
      <c r="F30" s="3030"/>
      <c r="G30" s="3030"/>
      <c r="H30" s="3030"/>
      <c r="I30" s="3031"/>
      <c r="J30" s="3031"/>
      <c r="K30" s="3032"/>
      <c r="L30" s="2905"/>
    </row>
    <row r="31" spans="1:12" s="2928" customFormat="1" ht="20.25" customHeight="1">
      <c r="A31" s="2925"/>
      <c r="B31" s="3033" t="s">
        <v>6778</v>
      </c>
      <c r="C31" s="3034"/>
      <c r="D31" s="3034"/>
      <c r="E31" s="3034"/>
      <c r="F31" s="3034"/>
      <c r="G31" s="3034"/>
      <c r="H31" s="3034"/>
      <c r="I31" s="3035"/>
      <c r="J31" s="3035"/>
      <c r="K31" s="3036"/>
      <c r="L31" s="2905"/>
    </row>
    <row r="32" spans="1:12" s="2928" customFormat="1" ht="20.25" customHeight="1">
      <c r="A32" s="2925"/>
      <c r="B32" s="2926"/>
      <c r="C32" s="2926"/>
      <c r="D32" s="2926"/>
      <c r="E32" s="2926"/>
      <c r="F32" s="2926"/>
      <c r="G32" s="2926"/>
      <c r="H32" s="2926"/>
      <c r="I32" s="2927"/>
      <c r="J32" s="2927"/>
      <c r="K32" s="2927"/>
      <c r="L32" s="2905"/>
    </row>
    <row r="33" spans="1:12" s="2928" customFormat="1" ht="18" customHeight="1">
      <c r="A33" s="2925"/>
      <c r="B33" s="2927"/>
      <c r="C33" s="2927"/>
      <c r="D33" s="2927"/>
      <c r="E33" s="2927"/>
      <c r="F33" s="2927"/>
      <c r="G33" s="2927"/>
      <c r="H33" s="2926"/>
      <c r="I33" s="2926"/>
      <c r="J33" s="2926"/>
      <c r="K33" s="2927"/>
      <c r="L33" s="2973"/>
    </row>
    <row r="34" spans="1:12">
      <c r="A34" s="2943"/>
      <c r="B34" s="2944" t="s">
        <v>6718</v>
      </c>
      <c r="C34" s="2945"/>
      <c r="D34" s="2945"/>
      <c r="E34" s="2945"/>
      <c r="F34" s="2945"/>
      <c r="G34" s="2945"/>
      <c r="H34" s="2945"/>
      <c r="I34" s="2945"/>
      <c r="J34" s="2945"/>
      <c r="K34" s="2945"/>
      <c r="L34" s="2946"/>
    </row>
    <row r="35" spans="1:12">
      <c r="B35" s="2948" t="s">
        <v>6719</v>
      </c>
    </row>
  </sheetData>
  <sheetProtection formatCells="0" formatColumns="0" formatRows="0" insertColumns="0" insertRows="0" insertHyperlinks="0" deleteColumns="0" deleteRows="0" sort="0" autoFilter="0" pivotTables="0"/>
  <mergeCells count="2">
    <mergeCell ref="D9:K9"/>
    <mergeCell ref="B16:K16"/>
  </mergeCells>
  <phoneticPr fontId="163" type="noConversion"/>
  <pageMargins left="0.78740157480314965" right="0" top="0.39370078740157483" bottom="0.39370078740157483" header="0.39370078740157483" footer="0.19685039370078741"/>
  <pageSetup paperSize="9" scale="95" orientation="landscape" blackAndWhite="1" horizontalDpi="360" r:id="rId1"/>
  <headerFooter>
    <oddHeader>&amp;R&amp;"Arial,常规"-&amp;P/&amp;N</oddHeader>
  </headerFooter>
  <drawing r:id="rId2"/>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autoPageBreaks="0"/>
  </sheetPr>
  <dimension ref="A1:L43"/>
  <sheetViews>
    <sheetView showGridLines="0" workbookViewId="0">
      <selection activeCell="D7" sqref="D7"/>
    </sheetView>
  </sheetViews>
  <sheetFormatPr defaultRowHeight="15.75"/>
  <cols>
    <col min="1" max="1" width="7.7109375" style="2947" customWidth="1"/>
    <col min="2" max="2" width="6" style="2906" customWidth="1"/>
    <col min="3" max="3" width="13.140625" style="2906" customWidth="1"/>
    <col min="4" max="4" width="14.85546875" style="2906" customWidth="1"/>
    <col min="5" max="8" width="11.140625" style="2906" customWidth="1"/>
    <col min="9" max="11" width="9.85546875" style="2906" customWidth="1"/>
    <col min="12" max="12" width="10.42578125" style="2906" customWidth="1"/>
    <col min="13" max="16384" width="9.140625" style="2906"/>
  </cols>
  <sheetData>
    <row r="1" spans="1:12" ht="16.5" customHeight="1">
      <c r="A1" s="2900"/>
      <c r="B1" s="2901" t="s">
        <v>6779</v>
      </c>
      <c r="C1" s="2901"/>
      <c r="D1" s="2902" t="str">
        <f>Lead!$E$9</f>
        <v>孙健</v>
      </c>
      <c r="E1" s="2903"/>
      <c r="F1" s="2903"/>
      <c r="G1" s="2903"/>
      <c r="H1" s="2903"/>
      <c r="I1" s="2904"/>
      <c r="J1" s="2904"/>
      <c r="K1" s="2904"/>
      <c r="L1" s="2905"/>
    </row>
    <row r="2" spans="1:12" ht="26.1" customHeight="1">
      <c r="A2" s="2907" t="str">
        <f>TEXT(Lead!$F$9,"yyyy-m-d")</f>
        <v>2020-2-3</v>
      </c>
      <c r="B2" s="2908"/>
      <c r="C2" s="2908"/>
      <c r="D2" s="2908"/>
      <c r="E2" s="2908"/>
      <c r="F2" s="2909"/>
      <c r="G2" s="2909"/>
      <c r="H2" s="2909"/>
      <c r="I2" s="2910"/>
      <c r="J2" s="2910"/>
      <c r="K2" s="2911"/>
      <c r="L2" s="2912"/>
    </row>
    <row r="3" spans="1:12">
      <c r="A3" s="2913" t="s">
        <v>6780</v>
      </c>
      <c r="B3" s="2914" t="str">
        <f>Lead!$C$5</f>
        <v>福建省力菲克药业有限公司</v>
      </c>
      <c r="C3" s="2915"/>
      <c r="D3" s="2915"/>
      <c r="E3" s="2915"/>
      <c r="F3" s="2953"/>
      <c r="G3" s="2953"/>
      <c r="H3" s="2909"/>
      <c r="I3" s="2910"/>
      <c r="J3" s="2910"/>
      <c r="K3" s="2916" t="str">
        <f>""&amp;$B$1</f>
        <v>9000D</v>
      </c>
      <c r="L3" s="2912"/>
    </row>
    <row r="4" spans="1:12">
      <c r="A4" s="2901" t="s">
        <v>6781</v>
      </c>
      <c r="B4" s="2918" t="s">
        <v>6782</v>
      </c>
      <c r="C4" s="2915"/>
      <c r="D4" s="2915"/>
      <c r="E4" s="2915"/>
      <c r="F4" s="2953"/>
      <c r="G4" s="2953"/>
      <c r="H4" s="2909"/>
      <c r="I4" s="2910"/>
      <c r="J4" s="2910"/>
      <c r="K4" s="2919" t="str">
        <f>$D$1&amp;" "&amp;IF($A$2="","",TEXT($A$2,"YYYY-M-D"))</f>
        <v>孙健 2020-2-3</v>
      </c>
      <c r="L4" s="2912"/>
    </row>
    <row r="5" spans="1:12" ht="16.5" thickBot="1">
      <c r="A5" s="2907">
        <f>Lead!$E$10</f>
        <v>0</v>
      </c>
      <c r="B5" s="2920" t="str">
        <f>TEXT(Lead!$F$5,"yyyy-m-d")</f>
        <v>2019-12-31</v>
      </c>
      <c r="C5" s="2921"/>
      <c r="D5" s="2921"/>
      <c r="E5" s="2921"/>
      <c r="F5" s="2954"/>
      <c r="G5" s="2954"/>
      <c r="H5" s="2922"/>
      <c r="I5" s="2923"/>
      <c r="J5" s="2923"/>
      <c r="K5" s="2924" t="str">
        <f>$A$5&amp;" "&amp;IF($A$6="","",TEXT($A$6,"YYYY-M-D"))</f>
        <v xml:space="preserve">0 </v>
      </c>
      <c r="L5" s="2912"/>
    </row>
    <row r="6" spans="1:12" ht="16.5" thickTop="1">
      <c r="A6" s="2907" t="str">
        <f>IF(Lead!$F$10="","",TEXT(Lead!$F$10,"yyyy-m-d"))</f>
        <v/>
      </c>
      <c r="B6" s="2908"/>
      <c r="C6" s="2915"/>
      <c r="D6" s="2915"/>
      <c r="E6" s="2915"/>
      <c r="F6" s="2953"/>
      <c r="G6" s="2953"/>
      <c r="H6" s="2909"/>
      <c r="I6" s="2910"/>
      <c r="J6" s="2910"/>
      <c r="K6" s="2915"/>
      <c r="L6" s="2912"/>
    </row>
    <row r="7" spans="1:12" s="2928" customFormat="1" ht="20.25" customHeight="1">
      <c r="A7" s="2925"/>
      <c r="B7" s="3012" t="s">
        <v>6783</v>
      </c>
      <c r="C7" s="2926"/>
      <c r="D7" s="2926"/>
      <c r="E7" s="2926"/>
      <c r="F7" s="2926"/>
      <c r="G7" s="2926"/>
      <c r="H7" s="2926"/>
      <c r="I7" s="2927"/>
      <c r="J7" s="2927"/>
      <c r="K7" s="2927"/>
      <c r="L7" s="2905"/>
    </row>
    <row r="8" spans="1:12" s="2928" customFormat="1" ht="20.25" customHeight="1">
      <c r="A8" s="2925"/>
      <c r="B8" s="2926"/>
      <c r="C8" s="3014" t="s">
        <v>6784</v>
      </c>
      <c r="D8" s="3041"/>
      <c r="E8" s="3041"/>
      <c r="F8" s="3041"/>
      <c r="G8" s="3041"/>
      <c r="H8" s="3041"/>
      <c r="I8" s="3042"/>
      <c r="J8" s="3042"/>
      <c r="K8" s="3042"/>
      <c r="L8" s="2905"/>
    </row>
    <row r="9" spans="1:12" s="2928" customFormat="1" ht="20.25" customHeight="1">
      <c r="A9" s="2925"/>
      <c r="B9" s="2926"/>
      <c r="C9" s="3043" t="s">
        <v>6785</v>
      </c>
      <c r="D9" s="3044"/>
      <c r="E9" s="3044"/>
      <c r="F9" s="3044"/>
      <c r="G9" s="3044"/>
      <c r="H9" s="3044"/>
      <c r="I9" s="3045"/>
      <c r="J9" s="3045"/>
      <c r="K9" s="3045"/>
      <c r="L9" s="2905"/>
    </row>
    <row r="10" spans="1:12" s="2928" customFormat="1" ht="20.25" customHeight="1">
      <c r="A10" s="2925"/>
      <c r="B10" s="2926"/>
      <c r="C10" s="3043" t="s">
        <v>6786</v>
      </c>
      <c r="D10" s="3044"/>
      <c r="E10" s="3044"/>
      <c r="F10" s="3044"/>
      <c r="G10" s="3044"/>
      <c r="H10" s="3044"/>
      <c r="I10" s="3045"/>
      <c r="J10" s="3045"/>
      <c r="K10" s="3045"/>
      <c r="L10" s="2905"/>
    </row>
    <row r="11" spans="1:12" s="2928" customFormat="1" ht="20.25" customHeight="1">
      <c r="A11" s="2925"/>
      <c r="B11" s="2926"/>
      <c r="C11" s="3046" t="s">
        <v>6787</v>
      </c>
      <c r="D11" s="3044"/>
      <c r="E11" s="3044"/>
      <c r="F11" s="3044"/>
      <c r="G11" s="3044"/>
      <c r="H11" s="3044"/>
      <c r="I11" s="3045"/>
      <c r="J11" s="3045"/>
      <c r="K11" s="3045"/>
      <c r="L11" s="2905"/>
    </row>
    <row r="12" spans="1:12" s="2928" customFormat="1" ht="20.25" customHeight="1">
      <c r="A12" s="2925"/>
      <c r="B12" s="2926"/>
      <c r="C12" s="3047"/>
      <c r="D12" s="3044"/>
      <c r="E12" s="3044"/>
      <c r="F12" s="3044"/>
      <c r="G12" s="3044"/>
      <c r="H12" s="3044"/>
      <c r="I12" s="3045"/>
      <c r="J12" s="3045"/>
      <c r="K12" s="3045"/>
      <c r="L12" s="2905"/>
    </row>
    <row r="13" spans="1:12" s="2928" customFormat="1" ht="20.25" customHeight="1">
      <c r="A13" s="2925"/>
      <c r="B13" s="2926"/>
      <c r="C13" s="3047"/>
      <c r="D13" s="3044"/>
      <c r="E13" s="3044"/>
      <c r="F13" s="3044"/>
      <c r="G13" s="3044"/>
      <c r="H13" s="3044"/>
      <c r="I13" s="3045"/>
      <c r="J13" s="3045"/>
      <c r="K13" s="3045"/>
      <c r="L13" s="2905"/>
    </row>
    <row r="14" spans="1:12" s="2928" customFormat="1" ht="20.25" customHeight="1">
      <c r="A14" s="2925"/>
      <c r="B14" s="2926"/>
      <c r="C14" s="3047"/>
      <c r="D14" s="3044"/>
      <c r="E14" s="3044"/>
      <c r="F14" s="3044"/>
      <c r="G14" s="3044"/>
      <c r="H14" s="3044"/>
      <c r="I14" s="3045"/>
      <c r="J14" s="3045"/>
      <c r="K14" s="3045"/>
      <c r="L14" s="2905"/>
    </row>
    <row r="15" spans="1:12" s="2928" customFormat="1" ht="20.25" customHeight="1">
      <c r="A15" s="2925"/>
      <c r="B15" s="2926"/>
      <c r="C15" s="3048"/>
      <c r="D15" s="3044"/>
      <c r="E15" s="3044"/>
      <c r="F15" s="3044"/>
      <c r="G15" s="3044"/>
      <c r="H15" s="3044"/>
      <c r="I15" s="3045"/>
      <c r="J15" s="3045"/>
      <c r="K15" s="3045"/>
      <c r="L15" s="2905"/>
    </row>
    <row r="16" spans="1:12" s="2928" customFormat="1" ht="20.25" customHeight="1">
      <c r="A16" s="2925"/>
      <c r="B16" s="2926"/>
      <c r="C16" s="3046" t="s">
        <v>6788</v>
      </c>
      <c r="D16" s="3044"/>
      <c r="E16" s="3044"/>
      <c r="F16" s="3044"/>
      <c r="G16" s="3044"/>
      <c r="H16" s="3044"/>
      <c r="I16" s="3045"/>
      <c r="J16" s="3045"/>
      <c r="K16" s="3045"/>
      <c r="L16" s="2905"/>
    </row>
    <row r="17" spans="1:12" s="2928" customFormat="1" ht="20.25" customHeight="1">
      <c r="A17" s="2925"/>
      <c r="B17" s="2926"/>
      <c r="C17" s="3047"/>
      <c r="D17" s="3044"/>
      <c r="E17" s="3044"/>
      <c r="F17" s="3044"/>
      <c r="G17" s="3044"/>
      <c r="H17" s="3044"/>
      <c r="I17" s="3045"/>
      <c r="J17" s="3045"/>
      <c r="K17" s="3045"/>
      <c r="L17" s="2905"/>
    </row>
    <row r="18" spans="1:12" s="2928" customFormat="1" ht="20.25" customHeight="1">
      <c r="A18" s="2925"/>
      <c r="B18" s="2926"/>
      <c r="C18" s="3047"/>
      <c r="D18" s="3044"/>
      <c r="E18" s="3044"/>
      <c r="F18" s="3044"/>
      <c r="G18" s="3044"/>
      <c r="H18" s="3044"/>
      <c r="I18" s="3045"/>
      <c r="J18" s="3045"/>
      <c r="K18" s="3045"/>
      <c r="L18" s="2905"/>
    </row>
    <row r="19" spans="1:12" s="2928" customFormat="1" ht="20.25" customHeight="1">
      <c r="A19" s="2925"/>
      <c r="B19" s="2926"/>
      <c r="C19" s="3047"/>
      <c r="D19" s="3044"/>
      <c r="E19" s="3044"/>
      <c r="F19" s="3044"/>
      <c r="G19" s="3044"/>
      <c r="H19" s="3044"/>
      <c r="I19" s="3045"/>
      <c r="J19" s="3045"/>
      <c r="K19" s="3045"/>
      <c r="L19" s="2905"/>
    </row>
    <row r="20" spans="1:12" s="2928" customFormat="1" ht="20.25" customHeight="1">
      <c r="A20" s="2925"/>
      <c r="B20" s="2926"/>
      <c r="C20" s="3048"/>
      <c r="D20" s="3044"/>
      <c r="E20" s="3044"/>
      <c r="F20" s="3044"/>
      <c r="G20" s="3044"/>
      <c r="H20" s="3044"/>
      <c r="I20" s="3045"/>
      <c r="J20" s="3045"/>
      <c r="K20" s="3045"/>
      <c r="L20" s="2905"/>
    </row>
    <row r="21" spans="1:12" s="2928" customFormat="1" ht="20.25" customHeight="1">
      <c r="A21" s="2925"/>
      <c r="B21" s="2926"/>
      <c r="C21" s="3049" t="s">
        <v>6789</v>
      </c>
      <c r="D21" s="3050"/>
      <c r="E21" s="3050"/>
      <c r="F21" s="3050"/>
      <c r="G21" s="3050"/>
      <c r="H21" s="3050"/>
      <c r="I21" s="3051"/>
      <c r="J21" s="3051"/>
      <c r="K21" s="3051"/>
      <c r="L21" s="2905"/>
    </row>
    <row r="22" spans="1:12" s="2928" customFormat="1" ht="20.25" customHeight="1">
      <c r="A22" s="2925"/>
      <c r="B22" s="2926"/>
      <c r="C22" s="2926"/>
      <c r="D22" s="2926"/>
      <c r="E22" s="2926"/>
      <c r="F22" s="2926"/>
      <c r="G22" s="2926"/>
      <c r="H22" s="2926"/>
      <c r="I22" s="2927"/>
      <c r="J22" s="2927"/>
      <c r="K22" s="2927"/>
      <c r="L22" s="2905"/>
    </row>
    <row r="23" spans="1:12" s="2928" customFormat="1" ht="20.25" customHeight="1">
      <c r="A23" s="2925"/>
      <c r="B23" s="3012" t="s">
        <v>6790</v>
      </c>
      <c r="C23" s="2926"/>
      <c r="D23" s="2926"/>
      <c r="E23" s="2926"/>
      <c r="F23" s="2926"/>
      <c r="G23" s="2926"/>
      <c r="H23" s="2926"/>
      <c r="I23" s="2927"/>
      <c r="J23" s="2927"/>
      <c r="K23" s="2927"/>
      <c r="L23" s="2905"/>
    </row>
    <row r="24" spans="1:12" s="2928" customFormat="1" ht="20.25" customHeight="1">
      <c r="A24" s="2925"/>
      <c r="B24" s="3052"/>
      <c r="C24" s="3014" t="s">
        <v>6784</v>
      </c>
      <c r="D24" s="3041"/>
      <c r="E24" s="3041"/>
      <c r="F24" s="3041"/>
      <c r="G24" s="3041"/>
      <c r="H24" s="3041"/>
      <c r="I24" s="3042"/>
      <c r="J24" s="3042"/>
      <c r="K24" s="3042"/>
      <c r="L24" s="2905"/>
    </row>
    <row r="25" spans="1:12" s="2928" customFormat="1" ht="20.25" customHeight="1">
      <c r="A25" s="2925"/>
      <c r="B25" s="3052"/>
      <c r="C25" s="3043" t="s">
        <v>6791</v>
      </c>
      <c r="D25" s="3044"/>
      <c r="E25" s="3044"/>
      <c r="F25" s="3044"/>
      <c r="G25" s="3044"/>
      <c r="H25" s="3044"/>
      <c r="I25" s="3045"/>
      <c r="J25" s="3045"/>
      <c r="K25" s="3045"/>
      <c r="L25" s="2905"/>
    </row>
    <row r="26" spans="1:12" s="2928" customFormat="1" ht="20.25" customHeight="1">
      <c r="A26" s="2925"/>
      <c r="B26" s="3052"/>
      <c r="C26" s="3043" t="s">
        <v>6786</v>
      </c>
      <c r="D26" s="3044"/>
      <c r="E26" s="3044"/>
      <c r="F26" s="3044"/>
      <c r="G26" s="3044"/>
      <c r="H26" s="3044"/>
      <c r="I26" s="3045"/>
      <c r="J26" s="3045"/>
      <c r="K26" s="3045"/>
      <c r="L26" s="2905"/>
    </row>
    <row r="27" spans="1:12" s="2928" customFormat="1" ht="20.25" customHeight="1">
      <c r="A27" s="2925"/>
      <c r="B27" s="3052"/>
      <c r="C27" s="3046" t="s">
        <v>6787</v>
      </c>
      <c r="D27" s="3044"/>
      <c r="E27" s="3044"/>
      <c r="F27" s="3044"/>
      <c r="G27" s="3044"/>
      <c r="H27" s="3044"/>
      <c r="I27" s="3045"/>
      <c r="J27" s="3045"/>
      <c r="K27" s="3045"/>
      <c r="L27" s="2905"/>
    </row>
    <row r="28" spans="1:12" s="2928" customFormat="1" ht="20.25" customHeight="1">
      <c r="A28" s="2925"/>
      <c r="B28" s="3052"/>
      <c r="C28" s="3047"/>
      <c r="D28" s="3044"/>
      <c r="E28" s="3044"/>
      <c r="F28" s="3044"/>
      <c r="G28" s="3044"/>
      <c r="H28" s="3044"/>
      <c r="I28" s="3045"/>
      <c r="J28" s="3045"/>
      <c r="K28" s="3045"/>
      <c r="L28" s="2905"/>
    </row>
    <row r="29" spans="1:12" s="2928" customFormat="1" ht="20.25" customHeight="1">
      <c r="A29" s="2925"/>
      <c r="B29" s="3052"/>
      <c r="C29" s="3047"/>
      <c r="D29" s="3044"/>
      <c r="E29" s="3044"/>
      <c r="F29" s="3044"/>
      <c r="G29" s="3044"/>
      <c r="H29" s="3044"/>
      <c r="I29" s="3045"/>
      <c r="J29" s="3045"/>
      <c r="K29" s="3045"/>
      <c r="L29" s="2905"/>
    </row>
    <row r="30" spans="1:12" s="2928" customFormat="1" ht="20.25" customHeight="1">
      <c r="A30" s="2925"/>
      <c r="B30" s="3052"/>
      <c r="C30" s="3047"/>
      <c r="D30" s="3044"/>
      <c r="E30" s="3044"/>
      <c r="F30" s="3044"/>
      <c r="G30" s="3044"/>
      <c r="H30" s="3044"/>
      <c r="I30" s="3045"/>
      <c r="J30" s="3045"/>
      <c r="K30" s="3045"/>
      <c r="L30" s="2905"/>
    </row>
    <row r="31" spans="1:12" s="2928" customFormat="1" ht="20.25" customHeight="1">
      <c r="A31" s="2925"/>
      <c r="B31" s="3052"/>
      <c r="C31" s="3048"/>
      <c r="D31" s="3044"/>
      <c r="E31" s="3044"/>
      <c r="F31" s="3044"/>
      <c r="G31" s="3044"/>
      <c r="H31" s="3044"/>
      <c r="I31" s="3045"/>
      <c r="J31" s="3045"/>
      <c r="K31" s="3045"/>
      <c r="L31" s="2905"/>
    </row>
    <row r="32" spans="1:12" s="2928" customFormat="1" ht="20.25" customHeight="1">
      <c r="A32" s="2925"/>
      <c r="B32" s="3052"/>
      <c r="C32" s="3046" t="s">
        <v>6792</v>
      </c>
      <c r="D32" s="3044"/>
      <c r="E32" s="3044"/>
      <c r="F32" s="3044"/>
      <c r="G32" s="3044"/>
      <c r="H32" s="3044"/>
      <c r="I32" s="3045"/>
      <c r="J32" s="3045"/>
      <c r="K32" s="3045"/>
      <c r="L32" s="2905"/>
    </row>
    <row r="33" spans="1:12" s="2928" customFormat="1" ht="20.25" customHeight="1">
      <c r="A33" s="2925"/>
      <c r="B33" s="3052"/>
      <c r="C33" s="3047"/>
      <c r="D33" s="3044"/>
      <c r="E33" s="3044"/>
      <c r="F33" s="3044"/>
      <c r="G33" s="3044"/>
      <c r="H33" s="3044"/>
      <c r="I33" s="3045"/>
      <c r="J33" s="3045"/>
      <c r="K33" s="3045"/>
      <c r="L33" s="2905"/>
    </row>
    <row r="34" spans="1:12" s="2928" customFormat="1" ht="20.25" customHeight="1">
      <c r="A34" s="2925"/>
      <c r="B34" s="3052"/>
      <c r="C34" s="3047"/>
      <c r="D34" s="3044"/>
      <c r="E34" s="3044"/>
      <c r="F34" s="3044"/>
      <c r="G34" s="3044"/>
      <c r="H34" s="3044"/>
      <c r="I34" s="3045"/>
      <c r="J34" s="3045"/>
      <c r="K34" s="3045"/>
      <c r="L34" s="2905"/>
    </row>
    <row r="35" spans="1:12" s="2928" customFormat="1" ht="20.25" customHeight="1">
      <c r="A35" s="2925"/>
      <c r="B35" s="3052"/>
      <c r="C35" s="3047"/>
      <c r="D35" s="3044"/>
      <c r="E35" s="3044"/>
      <c r="F35" s="3044"/>
      <c r="G35" s="3044"/>
      <c r="H35" s="3044"/>
      <c r="I35" s="3045"/>
      <c r="J35" s="3045"/>
      <c r="K35" s="3045"/>
      <c r="L35" s="2905"/>
    </row>
    <row r="36" spans="1:12" s="2928" customFormat="1" ht="20.25" customHeight="1">
      <c r="A36" s="2925"/>
      <c r="B36" s="3052"/>
      <c r="C36" s="3048"/>
      <c r="D36" s="3044"/>
      <c r="E36" s="3044"/>
      <c r="F36" s="3044"/>
      <c r="G36" s="3044"/>
      <c r="H36" s="3044"/>
      <c r="I36" s="3045"/>
      <c r="J36" s="3045"/>
      <c r="K36" s="3045"/>
      <c r="L36" s="2905"/>
    </row>
    <row r="37" spans="1:12" s="2928" customFormat="1" ht="20.25" customHeight="1">
      <c r="A37" s="2925"/>
      <c r="B37" s="3052"/>
      <c r="C37" s="3049" t="s">
        <v>6793</v>
      </c>
      <c r="D37" s="3050"/>
      <c r="E37" s="3050"/>
      <c r="F37" s="3050"/>
      <c r="G37" s="3050"/>
      <c r="H37" s="3050"/>
      <c r="I37" s="3051"/>
      <c r="J37" s="3051"/>
      <c r="K37" s="3051"/>
      <c r="L37" s="2905"/>
    </row>
    <row r="38" spans="1:12" s="2928" customFormat="1" ht="20.25" customHeight="1">
      <c r="A38" s="2925"/>
      <c r="B38" s="3052"/>
      <c r="C38" s="2926"/>
      <c r="D38" s="2926"/>
      <c r="E38" s="2926"/>
      <c r="F38" s="2926"/>
      <c r="G38" s="2926"/>
      <c r="H38" s="2926"/>
      <c r="I38" s="2927"/>
      <c r="J38" s="2927"/>
      <c r="K38" s="2927"/>
      <c r="L38" s="2905"/>
    </row>
    <row r="39" spans="1:12" s="2928" customFormat="1" ht="20.25" customHeight="1">
      <c r="A39" s="2925"/>
      <c r="B39" s="3052"/>
      <c r="C39" s="2926"/>
      <c r="D39" s="2926"/>
      <c r="E39" s="2926"/>
      <c r="F39" s="2926"/>
      <c r="G39" s="2926"/>
      <c r="H39" s="2926"/>
      <c r="I39" s="2927"/>
      <c r="J39" s="2927"/>
      <c r="K39" s="2927"/>
      <c r="L39" s="2905"/>
    </row>
    <row r="40" spans="1:12" s="2928" customFormat="1" ht="20.25" customHeight="1">
      <c r="A40" s="2925"/>
      <c r="B40" s="2926"/>
      <c r="C40" s="2926"/>
      <c r="D40" s="2926"/>
      <c r="E40" s="2926"/>
      <c r="F40" s="2926"/>
      <c r="G40" s="2926"/>
      <c r="H40" s="2926"/>
      <c r="I40" s="2927"/>
      <c r="J40" s="2927"/>
      <c r="K40" s="2927"/>
      <c r="L40" s="2905"/>
    </row>
    <row r="41" spans="1:12" s="2928" customFormat="1" ht="18" customHeight="1">
      <c r="A41" s="2925"/>
      <c r="B41" s="2927"/>
      <c r="C41" s="2927"/>
      <c r="D41" s="2927"/>
      <c r="E41" s="2927"/>
      <c r="F41" s="2927"/>
      <c r="G41" s="2927"/>
      <c r="H41" s="2926"/>
      <c r="I41" s="2926"/>
      <c r="J41" s="2926"/>
      <c r="K41" s="2927"/>
      <c r="L41" s="2973"/>
    </row>
    <row r="42" spans="1:12">
      <c r="A42" s="2943"/>
      <c r="B42" s="2944" t="s">
        <v>6718</v>
      </c>
      <c r="C42" s="2945"/>
      <c r="D42" s="2945"/>
      <c r="E42" s="2945"/>
      <c r="F42" s="2945"/>
      <c r="G42" s="2945"/>
      <c r="H42" s="2945"/>
      <c r="I42" s="2945"/>
      <c r="J42" s="2945"/>
      <c r="K42" s="2945"/>
      <c r="L42" s="2946"/>
    </row>
    <row r="43" spans="1:12">
      <c r="B43" s="2948" t="s">
        <v>6719</v>
      </c>
    </row>
  </sheetData>
  <sheetProtection formatCells="0" formatColumns="0" formatRows="0" insertColumns="0" insertRows="0" insertHyperlinks="0" deleteColumns="0" deleteRows="0" sort="0" autoFilter="0" pivotTables="0"/>
  <phoneticPr fontId="163" type="noConversion"/>
  <pageMargins left="0.78740157480314965" right="0" top="0.39370078740157483" bottom="0.39370078740157483" header="0.39370078740157483" footer="0.19685039370078741"/>
  <pageSetup paperSize="9" scale="90" orientation="portrait" blackAndWhite="1" horizontalDpi="360" r:id="rId1"/>
  <headerFooter>
    <oddHeader>&amp;R&amp;"Arial,常规"-&amp;P/&amp;N</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35</vt:i4>
      </vt:variant>
      <vt:variant>
        <vt:lpstr>命名范围</vt:lpstr>
      </vt:variant>
      <vt:variant>
        <vt:i4>129</vt:i4>
      </vt:variant>
    </vt:vector>
  </HeadingPairs>
  <TitlesOfParts>
    <vt:vector size="164" baseType="lpstr">
      <vt:lpstr>Lead</vt:lpstr>
      <vt:lpstr>递延所得税计算表</vt:lpstr>
      <vt:lpstr>所得税计算表</vt:lpstr>
      <vt:lpstr>noteChecks</vt:lpstr>
      <vt:lpstr>Notes</vt:lpstr>
      <vt:lpstr>BS</vt:lpstr>
      <vt:lpstr>IS</vt:lpstr>
      <vt:lpstr>CF</vt:lpstr>
      <vt:lpstr>CE</vt:lpstr>
      <vt:lpstr>AJE</vt:lpstr>
      <vt:lpstr>坏账及减值表</vt:lpstr>
      <vt:lpstr>Checks</vt:lpstr>
      <vt:lpstr>preBS</vt:lpstr>
      <vt:lpstr>preIS</vt:lpstr>
      <vt:lpstr>Sheet1</vt:lpstr>
      <vt:lpstr>preCE</vt:lpstr>
      <vt:lpstr>preCF</vt:lpstr>
      <vt:lpstr>CF底稿</vt:lpstr>
      <vt:lpstr>TB</vt:lpstr>
      <vt:lpstr>CFJE</vt:lpstr>
      <vt:lpstr>UJE</vt:lpstr>
      <vt:lpstr>AJE1</vt:lpstr>
      <vt:lpstr>CFWP1</vt:lpstr>
      <vt:lpstr>CFWP2</vt:lpstr>
      <vt:lpstr>未审报表分析</vt:lpstr>
      <vt:lpstr>未审财务指标分析</vt:lpstr>
      <vt:lpstr>已审报表分析</vt:lpstr>
      <vt:lpstr>已审财务指标分析</vt:lpstr>
      <vt:lpstr>非财务信息</vt:lpstr>
      <vt:lpstr>9000A错报程序表</vt:lpstr>
      <vt:lpstr>9002B未更正错报（不包括披露错报）汇总表</vt:lpstr>
      <vt:lpstr>9002C未更正披露错报汇总表</vt:lpstr>
      <vt:lpstr>9000B对错报性质的评价</vt:lpstr>
      <vt:lpstr>9000C错报评价</vt:lpstr>
      <vt:lpstr>9000D对错报的沟通</vt:lpstr>
      <vt:lpstr>AJE!cellAbove</vt:lpstr>
      <vt:lpstr>'AJE1'!cellAbove</vt:lpstr>
      <vt:lpstr>CFJE!cellAbove</vt:lpstr>
      <vt:lpstr>UJE!cellAbove</vt:lpstr>
      <vt:lpstr>'9000A错报程序表'!EAS_Range_AccountDrCr</vt:lpstr>
      <vt:lpstr>'9000B对错报性质的评价'!EAS_Range_AccountDrCr</vt:lpstr>
      <vt:lpstr>'9000C错报评价'!EAS_Range_AccountDrCr</vt:lpstr>
      <vt:lpstr>'9000D对错报的沟通'!EAS_Range_AccountDrCr</vt:lpstr>
      <vt:lpstr>'9002B未更正错报（不包括披露错报）汇总表'!EAS_Range_AccountDrCr</vt:lpstr>
      <vt:lpstr>'9002C未更正披露错报汇总表'!EAS_Range_AccountDrCr</vt:lpstr>
      <vt:lpstr>'9000A错报程序表'!EAS_Range_AccountName</vt:lpstr>
      <vt:lpstr>'9000B对错报性质的评价'!EAS_Range_AccountName</vt:lpstr>
      <vt:lpstr>'9000C错报评价'!EAS_Range_AccountName</vt:lpstr>
      <vt:lpstr>'9000D对错报的沟通'!EAS_Range_AccountName</vt:lpstr>
      <vt:lpstr>'9002B未更正错报（不包括披露错报）汇总表'!EAS_Range_AccountName</vt:lpstr>
      <vt:lpstr>'9002C未更正披露错报汇总表'!EAS_Range_AccountName</vt:lpstr>
      <vt:lpstr>'9000A错报程序表'!EAS_Range_AuditProc</vt:lpstr>
      <vt:lpstr>'9000A错报程序表'!EAS_Range_ClientName</vt:lpstr>
      <vt:lpstr>'9000B对错报性质的评价'!EAS_Range_ClientName</vt:lpstr>
      <vt:lpstr>'9000C错报评价'!EAS_Range_ClientName</vt:lpstr>
      <vt:lpstr>'9000D对错报的沟通'!EAS_Range_ClientName</vt:lpstr>
      <vt:lpstr>'9002B未更正错报（不包括披露错报）汇总表'!EAS_Range_ClientName</vt:lpstr>
      <vt:lpstr>'9002C未更正披露错报汇总表'!EAS_Range_ClientName</vt:lpstr>
      <vt:lpstr>'9000A错报程序表'!EAS_Range_PeriodEnd</vt:lpstr>
      <vt:lpstr>'9000B对错报性质的评价'!EAS_Range_PeriodEnd</vt:lpstr>
      <vt:lpstr>'9000C错报评价'!EAS_Range_PeriodEnd</vt:lpstr>
      <vt:lpstr>'9000D对错报的沟通'!EAS_Range_PeriodEnd</vt:lpstr>
      <vt:lpstr>'9002B未更正错报（不包括披露错报）汇总表'!EAS_Range_PeriodEnd</vt:lpstr>
      <vt:lpstr>'9002C未更正披露错报汇总表'!EAS_Range_PeriodEnd</vt:lpstr>
      <vt:lpstr>'9000A错报程序表'!EAS_Range_PreparedDate</vt:lpstr>
      <vt:lpstr>'9000B对错报性质的评价'!EAS_Range_PreparedDate</vt:lpstr>
      <vt:lpstr>'9000C错报评价'!EAS_Range_PreparedDate</vt:lpstr>
      <vt:lpstr>'9000D对错报的沟通'!EAS_Range_PreparedDate</vt:lpstr>
      <vt:lpstr>'9002B未更正错报（不包括披露错报）汇总表'!EAS_Range_PreparedDate</vt:lpstr>
      <vt:lpstr>'9002C未更正披露错报汇总表'!EAS_Range_PreparedDate</vt:lpstr>
      <vt:lpstr>'9000A错报程序表'!EAS_Range_Preparer</vt:lpstr>
      <vt:lpstr>'9000B对错报性质的评价'!EAS_Range_Preparer</vt:lpstr>
      <vt:lpstr>'9000C错报评价'!EAS_Range_Preparer</vt:lpstr>
      <vt:lpstr>'9000D对错报的沟通'!EAS_Range_Preparer</vt:lpstr>
      <vt:lpstr>'9002B未更正错报（不包括披露错报）汇总表'!EAS_Range_Preparer</vt:lpstr>
      <vt:lpstr>'9002C未更正披露错报汇总表'!EAS_Range_Preparer</vt:lpstr>
      <vt:lpstr>'9000A错报程序表'!EAS_Range_ReviewedDate</vt:lpstr>
      <vt:lpstr>'9000B对错报性质的评价'!EAS_Range_ReviewedDate</vt:lpstr>
      <vt:lpstr>'9000C错报评价'!EAS_Range_ReviewedDate</vt:lpstr>
      <vt:lpstr>'9000D对错报的沟通'!EAS_Range_ReviewedDate</vt:lpstr>
      <vt:lpstr>'9002B未更正错报（不包括披露错报）汇总表'!EAS_Range_ReviewedDate</vt:lpstr>
      <vt:lpstr>'9002C未更正披露错报汇总表'!EAS_Range_ReviewedDate</vt:lpstr>
      <vt:lpstr>'9000A错报程序表'!EAS_Range_Reviewer</vt:lpstr>
      <vt:lpstr>'9000B对错报性质的评价'!EAS_Range_Reviewer</vt:lpstr>
      <vt:lpstr>'9000C错报评价'!EAS_Range_Reviewer</vt:lpstr>
      <vt:lpstr>'9000D对错报的沟通'!EAS_Range_Reviewer</vt:lpstr>
      <vt:lpstr>'9002B未更正错报（不包括披露错报）汇总表'!EAS_Range_Reviewer</vt:lpstr>
      <vt:lpstr>'9002C未更正披露错报汇总表'!EAS_Range_Reviewer</vt:lpstr>
      <vt:lpstr>'9000A错报程序表'!EAS_Range_Subject</vt:lpstr>
      <vt:lpstr>'9000B对错报性质的评价'!EAS_Range_Subject</vt:lpstr>
      <vt:lpstr>'9000C错报评价'!EAS_Range_Subject</vt:lpstr>
      <vt:lpstr>'9000D对错报的沟通'!EAS_Range_Subject</vt:lpstr>
      <vt:lpstr>'9002B未更正错报（不包括披露错报）汇总表'!EAS_Range_Subject</vt:lpstr>
      <vt:lpstr>'9002C未更正披露错报汇总表'!EAS_Range_Subject</vt:lpstr>
      <vt:lpstr>'9000A错报程序表'!EAS_Range_TemplID</vt:lpstr>
      <vt:lpstr>'9000B对错报性质的评价'!EAS_Range_TemplID</vt:lpstr>
      <vt:lpstr>'9000C错报评价'!EAS_Range_TemplID</vt:lpstr>
      <vt:lpstr>'9000D对错报的沟通'!EAS_Range_TemplID</vt:lpstr>
      <vt:lpstr>'9002B未更正错报（不包括披露错报）汇总表'!EAS_Range_TemplID</vt:lpstr>
      <vt:lpstr>'9002C未更正披露错报汇总表'!EAS_Range_TemplID</vt:lpstr>
      <vt:lpstr>'9000A错报程序表'!EAS_Range_WPReference</vt:lpstr>
      <vt:lpstr>'9000B对错报性质的评价'!EAS_Range_WPReference</vt:lpstr>
      <vt:lpstr>'9000C错报评价'!EAS_Range_WPReference</vt:lpstr>
      <vt:lpstr>'9000D对错报的沟通'!EAS_Range_WPReference</vt:lpstr>
      <vt:lpstr>'9002B未更正错报（不包括披露错报）汇总表'!EAS_Range_WPReference</vt:lpstr>
      <vt:lpstr>'9002C未更正披露错报汇总表'!EAS_Range_WPReference</vt:lpstr>
      <vt:lpstr>'9000A错报程序表'!Print_Area</vt:lpstr>
      <vt:lpstr>'9000B对错报性质的评价'!Print_Area</vt:lpstr>
      <vt:lpstr>'9000C错报评价'!Print_Area</vt:lpstr>
      <vt:lpstr>'9000D对错报的沟通'!Print_Area</vt:lpstr>
      <vt:lpstr>'9002B未更正错报（不包括披露错报）汇总表'!Print_Area</vt:lpstr>
      <vt:lpstr>'9002C未更正披露错报汇总表'!Print_Area</vt:lpstr>
      <vt:lpstr>AJE!Print_Area</vt:lpstr>
      <vt:lpstr>'AJE1'!Print_Area</vt:lpstr>
      <vt:lpstr>BalanceSheet!Print_Area</vt:lpstr>
      <vt:lpstr>BS!Print_Area</vt:lpstr>
      <vt:lpstr>CashFlow!Print_Area</vt:lpstr>
      <vt:lpstr>CE!Print_Area</vt:lpstr>
      <vt:lpstr>CF!Print_Area</vt:lpstr>
      <vt:lpstr>CFJE!Print_Area</vt:lpstr>
      <vt:lpstr>CFWP1!Print_Area</vt:lpstr>
      <vt:lpstr>CFWP2!Print_Area</vt:lpstr>
      <vt:lpstr>Checks!Print_Area</vt:lpstr>
      <vt:lpstr>IncomeStatement!Print_Area</vt:lpstr>
      <vt:lpstr>IS!Print_Area</vt:lpstr>
      <vt:lpstr>Lead!Print_Area</vt:lpstr>
      <vt:lpstr>noteChecks!Print_Area</vt:lpstr>
      <vt:lpstr>Notes!Print_Area</vt:lpstr>
      <vt:lpstr>OwnersEquity!Print_Area</vt:lpstr>
      <vt:lpstr>preBS!Print_Area</vt:lpstr>
      <vt:lpstr>preCE!Print_Area</vt:lpstr>
      <vt:lpstr>preCF!Print_Area</vt:lpstr>
      <vt:lpstr>preIS!Print_Area</vt:lpstr>
      <vt:lpstr>TB!Print_Area</vt:lpstr>
      <vt:lpstr>UJE!Print_Area</vt:lpstr>
      <vt:lpstr>非财务信息!Print_Area</vt:lpstr>
      <vt:lpstr>未审报表分析!Print_Area</vt:lpstr>
      <vt:lpstr>未审财务指标分析!Print_Area</vt:lpstr>
      <vt:lpstr>已审报表分析!Print_Area</vt:lpstr>
      <vt:lpstr>已审财务指标分析!Print_Area</vt:lpstr>
      <vt:lpstr>'9000A错报程序表'!Print_Titles</vt:lpstr>
      <vt:lpstr>'9000B对错报性质的评价'!Print_Titles</vt:lpstr>
      <vt:lpstr>'9000C错报评价'!Print_Titles</vt:lpstr>
      <vt:lpstr>'9000D对错报的沟通'!Print_Titles</vt:lpstr>
      <vt:lpstr>'9002B未更正错报（不包括披露错报）汇总表'!Print_Titles</vt:lpstr>
      <vt:lpstr>'9002C未更正披露错报汇总表'!Print_Titles</vt:lpstr>
      <vt:lpstr>AJE!Print_Titles</vt:lpstr>
      <vt:lpstr>'AJE1'!Print_Titles</vt:lpstr>
      <vt:lpstr>CE!Print_Titles</vt:lpstr>
      <vt:lpstr>CFJE!Print_Titles</vt:lpstr>
      <vt:lpstr>CFWP1!Print_Titles</vt:lpstr>
      <vt:lpstr>CFWP2!Print_Titles</vt:lpstr>
      <vt:lpstr>Checks!Print_Titles</vt:lpstr>
      <vt:lpstr>noteChecks!Print_Titles</vt:lpstr>
      <vt:lpstr>Notes!Print_Titles</vt:lpstr>
      <vt:lpstr>OwnersEquity!Print_Titles</vt:lpstr>
      <vt:lpstr>TB!Print_Titles</vt:lpstr>
      <vt:lpstr>UJE!Print_Titles</vt:lpstr>
      <vt:lpstr>非财务信息!Print_Titles</vt:lpstr>
      <vt:lpstr>未审报表分析!Print_Titles</vt:lpstr>
      <vt:lpstr>未审财务指标分析!Print_Titles</vt:lpstr>
      <vt:lpstr>已审报表分析!Print_Titles</vt:lpstr>
      <vt:lpstr>已审财务指标分析!Print_Titles</vt:lpstr>
      <vt:lpstr>'9000A错报程序表'!审计程序Procedures</vt:lpstr>
    </vt:vector>
  </TitlesOfParts>
  <Company>PCCPAXM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胡晓明</dc:creator>
  <cp:lastModifiedBy>孙健</cp:lastModifiedBy>
  <cp:lastPrinted>2019-12-30T11:37:13Z</cp:lastPrinted>
  <dcterms:created xsi:type="dcterms:W3CDTF">2010-02-17T01:24:00Z</dcterms:created>
  <dcterms:modified xsi:type="dcterms:W3CDTF">2020-04-14T14:14:30Z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2052-11.1.0.9175</vt:lpwstr>
  </property>
</Properties>
</file>